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i_leg" vbProcedure="false">In!$E$125</definedName>
    <definedName function="false" hidden="false" name="ai_leg_lo" vbProcedure="false">In!$D$125</definedName>
    <definedName function="false" hidden="false" name="ai_rr" vbProcedure="false">In!$E$87</definedName>
    <definedName function="false" hidden="false" name="ant_sh" vbProcedure="false">In!$E$120</definedName>
    <definedName function="false" hidden="false" name="ant_sh_hi" vbProcedure="false">In!$F$120</definedName>
    <definedName function="false" hidden="false" name="ant_sh_lo" vbProcedure="false">In!$D$120</definedName>
    <definedName function="false" hidden="false" name="ant_val" vbProcedure="false">In!$E$119</definedName>
    <definedName function="false" hidden="false" name="beta" vbProcedure="false">In!$E$14</definedName>
    <definedName function="false" hidden="false" name="beta_gf" vbProcedure="false">In!$E$13</definedName>
    <definedName function="false" hidden="false" name="beta_hi" vbProcedure="false">In!$F$14</definedName>
    <definedName function="false" hidden="false" name="beta_lo" vbProcedure="false">In!$D$14</definedName>
    <definedName function="false" hidden="false" name="beta_sa" vbProcedure="false">In!$E$12</definedName>
    <definedName function="false" hidden="false" name="capex_g26" vbProcedure="false">In!$E$85</definedName>
    <definedName function="false" hidden="false" name="cash_q2" vbProcedure="false">In!$E$109</definedName>
    <definedName function="false" hidden="false" name="cf_chip" vbProcedure="false">In!$E$80</definedName>
    <definedName function="false" hidden="false" name="cf_chip_lo" vbProcedure="false">In!$D$80</definedName>
    <definedName function="false" hidden="false" name="cf_cx" vbProcedure="false">In!$E$81</definedName>
    <definedName function="false" hidden="false" name="cf_cx_lo" vbProcedure="false">In!$D$81</definedName>
    <definedName function="false" hidden="false" name="colo_sh" vbProcedure="false">In!$E$82</definedName>
    <definedName function="false" hidden="false" name="colo_sh_hi" vbProcedure="false">In!$F$82</definedName>
    <definedName function="false" hidden="false" name="colo_sh_lo" vbProcedure="false">In!$D$82</definedName>
    <definedName function="false" hidden="false" name="cons_tp" vbProcedure="false">In!$E$9</definedName>
    <definedName function="false" hidden="false" name="cons_tp_hi" vbProcedure="false">In!$F$9</definedName>
    <definedName function="false" hidden="false" name="cons_tp_lo" vbProcedure="false">In!$D$9</definedName>
    <definedName function="false" hidden="false" name="cust_sh" vbProcedure="false">In!$E$76</definedName>
    <definedName function="false" hidden="false" name="cust_sh_hi" vbProcedure="false">In!$F$76</definedName>
    <definedName function="false" hidden="false" name="cust_sh_lo" vbProcedure="false">In!$D$76</definedName>
    <definedName function="false" hidden="false" name="cx_awso" vbProcedure="false">In!$E$90</definedName>
    <definedName function="false" hidden="false" name="cx_awso_hi" vbProcedure="false">In!$F$90</definedName>
    <definedName function="false" hidden="false" name="cx_awso_lo" vbProcedure="false">In!$D$90</definedName>
    <definedName function="false" hidden="false" name="cx_rt" vbProcedure="false">In!$E$101</definedName>
    <definedName function="false" hidden="false" name="c_capex26" vbProcedure="false">In!$E$133</definedName>
    <definedName function="false" hidden="false" name="c_capex27" vbProcedure="false">In!$E$140</definedName>
    <definedName function="false" hidden="false" name="c_capex28" vbProcedure="false">In!$E$147</definedName>
    <definedName function="false" hidden="false" name="c_ebit26" vbProcedure="false">In!$E$130</definedName>
    <definedName function="false" hidden="false" name="c_ebit27" vbProcedure="false">In!$E$137</definedName>
    <definedName function="false" hidden="false" name="c_ebit28" vbProcedure="false">In!$E$144</definedName>
    <definedName function="false" hidden="false" name="c_ebitda26" vbProcedure="false">In!$E$129</definedName>
    <definedName function="false" hidden="false" name="c_ebitda27" vbProcedure="false">In!$E$136</definedName>
    <definedName function="false" hidden="false" name="c_ebitda28" vbProcedure="false">In!$E$143</definedName>
    <definedName function="false" hidden="false" name="c_eps26" vbProcedure="false">In!$E$132</definedName>
    <definedName function="false" hidden="false" name="c_eps27" vbProcedure="false">In!$E$139</definedName>
    <definedName function="false" hidden="false" name="c_eps28" vbProcedure="false">In!$E$146</definedName>
    <definedName function="false" hidden="false" name="c_fcf26" vbProcedure="false">In!$E$134</definedName>
    <definedName function="false" hidden="false" name="c_fcf27" vbProcedure="false">In!$E$141</definedName>
    <definedName function="false" hidden="false" name="c_fcf28" vbProcedure="false">In!$E$148</definedName>
    <definedName function="false" hidden="false" name="c_ni26" vbProcedure="false">In!$E$131</definedName>
    <definedName function="false" hidden="false" name="c_ni27" vbProcedure="false">In!$E$138</definedName>
    <definedName function="false" hidden="false" name="c_ni28" vbProcedure="false">In!$E$145</definedName>
    <definedName function="false" hidden="false" name="c_rev26" vbProcedure="false">In!$E$128</definedName>
    <definedName function="false" hidden="false" name="c_rev27" vbProcedure="false">In!$E$135</definedName>
    <definedName function="false" hidden="false" name="c_rev28" vbProcedure="false">In!$E$142</definedName>
    <definedName function="false" hidden="false" name="c_speps26" vbProcedure="false">In!$E$151</definedName>
    <definedName function="false" hidden="false" name="c_speps26_hi" vbProcedure="false">In!$F$151</definedName>
    <definedName function="false" hidden="false" name="c_speps26_lo" vbProcedure="false">In!$D$151</definedName>
    <definedName function="false" hidden="false" name="c_speps27" vbProcedure="false">In!$E$152</definedName>
    <definedName function="false" hidden="false" name="c_sprev26" vbProcedure="false">In!$E$149</definedName>
    <definedName function="false" hidden="false" name="c_sprev26_hi" vbProcedure="false">In!$F$149</definedName>
    <definedName function="false" hidden="false" name="c_sprev26_lo" vbProcedure="false">In!$D$149</definedName>
    <definedName function="false" hidden="false" name="c_sprev27" vbProcedure="false">In!$E$150</definedName>
    <definedName function="false" hidden="false" name="debt_q2" vbProcedure="false">In!$E$20</definedName>
    <definedName function="false" hidden="false" name="dps" vbProcedure="false">In!$E$117</definedName>
    <definedName function="false" hidden="false" name="erp" vbProcedure="false">In!$E$15</definedName>
    <definedName function="false" hidden="false" name="erp_hi" vbProcedure="false">In!$F$15</definedName>
    <definedName function="false" hidden="false" name="erp_lo" vbProcedure="false">In!$D$15</definedName>
    <definedName function="false" hidden="false" name="ext_sh" vbProcedure="false">In!$E$41</definedName>
    <definedName function="false" hidden="false" name="ext_sh_hi" vbProcedure="false">In!$F$41</definedName>
    <definedName function="false" hidden="false" name="ext_sh_lo" vbProcedure="false">In!$D$41</definedName>
    <definedName function="false" hidden="false" name="fac_life" vbProcedure="false">In!$E$62</definedName>
    <definedName function="false" hidden="false" name="fac_life_hi" vbProcedure="false">In!$F$62</definedName>
    <definedName function="false" hidden="false" name="fac_life_lo" vbProcedure="false">In!$D$62</definedName>
    <definedName function="false" hidden="false" name="fin_debt" vbProcedure="false">In!$E$23</definedName>
    <definedName function="false" hidden="false" name="fin_obl" vbProcedure="false">In!$E$22</definedName>
    <definedName function="false" hidden="false" name="fl_pv" vbProcedure="false">In!$E$21</definedName>
    <definedName function="false" hidden="false" name="fx_gbp" vbProcedure="false">In!$E$113</definedName>
    <definedName function="false" hidden="false" name="g26q3_hi" vbProcedure="false">In!$E$154</definedName>
    <definedName function="false" hidden="false" name="g26q3_lo" vbProcedure="false">In!$E$153</definedName>
    <definedName function="false" hidden="false" name="g26q3_mid" vbProcedure="false">In!$E$157</definedName>
    <definedName function="false" hidden="false" name="g26q3_oihi" vbProcedure="false">In!$E$156</definedName>
    <definedName function="false" hidden="false" name="g26q3_oilo" vbProcedure="false">In!$E$155</definedName>
    <definedName function="false" hidden="false" name="g_ad" vbProcedure="false">In!$E$95</definedName>
    <definedName function="false" hidden="false" name="g_ad_hi" vbProcedure="false">In!$F$95</definedName>
    <definedName function="false" hidden="false" name="g_ad_lo" vbProcedure="false">In!$D$95</definedName>
    <definedName function="false" hidden="false" name="g_awso_lt" vbProcedure="false">In!$E$89</definedName>
    <definedName function="false" hidden="false" name="g_awso_lt_hi" vbProcedure="false">In!$F$89</definedName>
    <definedName function="false" hidden="false" name="g_awso_lt_lo" vbProcedure="false">In!$D$89</definedName>
    <definedName function="false" hidden="false" name="g_os" vbProcedure="false">In!$E$92</definedName>
    <definedName function="false" hidden="false" name="g_os_hi" vbProcedure="false">In!$F$92</definedName>
    <definedName function="false" hidden="false" name="g_os_lo" vbProcedure="false">In!$D$92</definedName>
    <definedName function="false" hidden="false" name="g_ot" vbProcedure="false">In!$E$97</definedName>
    <definedName function="false" hidden="false" name="g_ot_hi" vbProcedure="false">In!$F$97</definedName>
    <definedName function="false" hidden="false" name="g_ot_lo" vbProcedure="false">In!$D$97</definedName>
    <definedName function="false" hidden="false" name="g_ps" vbProcedure="false">In!$E$93</definedName>
    <definedName function="false" hidden="false" name="g_ps_hi" vbProcedure="false">In!$F$93</definedName>
    <definedName function="false" hidden="false" name="g_ps_lo" vbProcedure="false">In!$D$93</definedName>
    <definedName function="false" hidden="false" name="g_sp" vbProcedure="false">In!$E$94</definedName>
    <definedName function="false" hidden="false" name="g_sp_hi" vbProcedure="false">In!$F$94</definedName>
    <definedName function="false" hidden="false" name="g_sp_lo" vbProcedure="false">In!$D$94</definedName>
    <definedName function="false" hidden="false" name="g_sub" vbProcedure="false">In!$E$96</definedName>
    <definedName function="false" hidden="false" name="g_sub_hi" vbProcedure="false">In!$F$96</definedName>
    <definedName function="false" hidden="false" name="g_sub_lo" vbProcedure="false">In!$D$96</definedName>
    <definedName function="false" hidden="false" name="he_open" vbProcedure="false">In!$E$73</definedName>
    <definedName function="false" hidden="false" name="internal_ai_reading" vbProcedure="false">In!$E$86</definedName>
    <definedName function="false" hidden="false" name="internal_ai_reading_lo" vbProcedure="false">In!$D$86</definedName>
    <definedName function="false" hidden="false" name="inv_2h26" vbProcedure="false">In!$E$116</definedName>
    <definedName function="false" hidden="false" name="iss_2h26" vbProcedure="false">In!$E$114</definedName>
    <definedName function="false" hidden="false" name="iss_gbp" vbProcedure="false">In!$E$112</definedName>
    <definedName function="false" hidden="false" name="iss_t" vbProcedure="false">In!$E$115</definedName>
    <definedName function="false" hidden="false" name="iss_usd" vbProcedure="false">In!$E$111</definedName>
    <definedName function="false" hidden="false" name="kd" vbProcedure="false">In!$E$18</definedName>
    <definedName function="false" hidden="false" name="kd_book" vbProcedure="false">In!$E$107</definedName>
    <definedName function="false" hidden="false" name="kd_new" vbProcedure="false">In!$E$16</definedName>
    <definedName function="false" hidden="false" name="kd_spr" vbProcedure="false">In!$E$17</definedName>
    <definedName function="false" hidden="false" name="kd_spr_hi" vbProcedure="false">In!$F$17</definedName>
    <definedName function="false" hidden="false" name="kd_spr_lo" vbProcedure="false">In!$D$17</definedName>
    <definedName function="false" hidden="false" name="ke" vbProcedure="false">In!$E$24</definedName>
    <definedName function="false" hidden="false" name="k_A" vbProcedure="false">In!$E$66</definedName>
    <definedName function="false" hidden="false" name="k_B" vbProcedure="false">In!$E$67</definedName>
    <definedName function="false" hidden="false" name="k_C" vbProcedure="false">In!$E$68</definedName>
    <definedName function="false" hidden="false" name="k_long" vbProcedure="false">In!$E$64</definedName>
    <definedName function="false" hidden="false" name="k_long_lo" vbProcedure="false">In!$D$64</definedName>
    <definedName function="false" hidden="false" name="k_spot" vbProcedure="false">In!$E$65</definedName>
    <definedName function="false" hidden="false" name="k_spot_hi" vbProcedure="false">In!$F$65</definedName>
    <definedName function="false" hidden="false" name="lease_pr" vbProcedure="false">In!$E$105</definedName>
    <definedName function="false" hidden="false" name="lease_pr_hi" vbProcedure="false">In!$F$105</definedName>
    <definedName function="false" hidden="false" name="lease_pr_lo" vbProcedure="false">In!$D$105</definedName>
    <definedName function="false" hidden="false" name="liq_disc" vbProcedure="false">In!$E$123</definedName>
    <definedName function="false" hidden="false" name="liq_disc_hi" vbProcedure="false">In!$F$123</definedName>
    <definedName function="false" hidden="false" name="liq_disc_lo" vbProcedure="false">In!$D$123</definedName>
    <definedName function="false" hidden="false" name="long_sh" vbProcedure="false">In!$E$42</definedName>
    <definedName function="false" hidden="false" name="long_sh_hi" vbProcedure="false">In!$F$42</definedName>
    <definedName function="false" hidden="false" name="long_sh_lo" vbProcedure="false">In!$D$42</definedName>
    <definedName function="false" hidden="false" name="min_cash" vbProcedure="false">In!$E$110</definedName>
    <definedName function="false" hidden="false" name="min_cash_hi" vbProcedure="false">In!$F$110</definedName>
    <definedName function="false" hidden="false" name="min_cash_lo" vbProcedure="false">In!$D$110</definedName>
    <definedName function="false" hidden="false" name="mo_gb200" vbProcedure="false">In!$E$71</definedName>
    <definedName function="false" hidden="false" name="mo_gb300" vbProcedure="false">In!$E$72</definedName>
    <definedName function="false" hidden="false" name="mo_h100" vbProcedure="false">In!$E$70</definedName>
    <definedName function="false" hidden="false" name="mo_trn2" vbProcedure="false">In!$E$69</definedName>
    <definedName function="false" hidden="false" name="mw_open" vbProcedure="false">In!$E$37</definedName>
    <definedName function="false" hidden="false" name="mw_open_hi" vbProcedure="false">In!$F$37</definedName>
    <definedName function="false" hidden="false" name="mw_open_lo" vbProcedure="false">In!$D$37</definedName>
    <definedName function="false" hidden="false" name="mw_ye23" vbProcedure="false">In!$E$34</definedName>
    <definedName function="false" hidden="false" name="mw_ye24" vbProcedure="false">In!$E$35</definedName>
    <definedName function="false" hidden="false" name="mw_ye25" vbProcedure="false">In!$E$36</definedName>
    <definedName function="false" hidden="false" name="mw_ye25_hi" vbProcedure="false">In!$F$36</definedName>
    <definedName function="false" hidden="false" name="mw_ye25_lo" vbProcedure="false">In!$D$36</definedName>
    <definedName function="false" hidden="false" name="m_ad" vbProcedure="false">In!$E$98</definedName>
    <definedName function="false" hidden="false" name="m_ads" vbProcedure="false">Val!$C$60</definedName>
    <definedName function="false" hidden="false" name="m_ad_hi" vbProcedure="false">In!$F$98</definedName>
    <definedName function="false" hidden="false" name="m_ad_lo" vbProcedure="false">In!$D$98</definedName>
    <definedName function="false" hidden="false" name="m_ai" vbProcedure="false">In!$E$124</definedName>
    <definedName function="false" hidden="false" name="m_ai_hi" vbProcedure="false">In!$F$124</definedName>
    <definedName function="false" hidden="false" name="m_ai_lo" vbProcedure="false">In!$D$124</definedName>
    <definedName function="false" hidden="false" name="m_cloud" vbProcedure="false">Val!$C$61</definedName>
    <definedName function="false" hidden="false" name="m_retail" vbProcedure="false">Val!$C$59</definedName>
    <definedName function="false" hidden="false" name="m_x" vbProcedure="false">In!$E$126</definedName>
    <definedName function="false" hidden="false" name="m_x_hi" vbProcedure="false">In!$F$126</definedName>
    <definedName function="false" hidden="false" name="m_x_lo" vbProcedure="false">In!$D$126</definedName>
    <definedName function="false" hidden="false" name="na_vr26" vbProcedure="false">In!$E$77</definedName>
    <definedName function="false" hidden="false" name="na_vr27" vbProcedure="false">In!$E$78</definedName>
    <definedName function="false" hidden="false" name="na_vr28" vbProcedure="false">In!$E$79</definedName>
    <definedName function="false" hidden="false" name="oai_sh" vbProcedure="false">In!$E$122</definedName>
    <definedName function="false" hidden="false" name="oai_val" vbProcedure="false">In!$E$121</definedName>
    <definedName function="false" hidden="false" name="oth_r" vbProcedure="false">In!$E$104</definedName>
    <definedName function="false" hidden="false" name="oth_r_hi" vbProcedure="false">In!$F$104</definedName>
    <definedName function="false" hidden="false" name="oth_r_lo" vbProcedure="false">In!$D$104</definedName>
    <definedName function="false" hidden="false" name="ox_open" vbProcedure="false">In!$E$74</definedName>
    <definedName function="false" hidden="false" name="pace_A" vbProcedure="false">In!$E$38</definedName>
    <definedName function="false" hidden="false" name="pace_B" vbProcedure="false">In!$E$39</definedName>
    <definedName function="false" hidden="false" name="pace_C" vbProcedure="false">In!$E$40</definedName>
    <definedName function="false" hidden="false" name="px" vbProcedure="false">In!$E$5</definedName>
    <definedName function="false" hidden="false" name="p_list" vbProcedure="false">In!$E$44</definedName>
    <definedName function="false" hidden="false" name="p_long" vbProcedure="false">In!$E$45</definedName>
    <definedName function="false" hidden="false" name="p_long_lo" vbProcedure="false">In!$E$46</definedName>
    <definedName function="false" hidden="false" name="p_spot" vbProcedure="false">In!$E$43</definedName>
    <definedName function="false" hidden="false" name="rent_mw" vbProcedure="false">In!$E$84</definedName>
    <definedName function="false" hidden="false" name="rent_rec" vbProcedure="false">In!$E$83</definedName>
    <definedName function="false" hidden="false" name="rf" vbProcedure="false">In!$E$11</definedName>
    <definedName function="false" hidden="false" name="ronic" vbProcedure="false">In!$E$27</definedName>
    <definedName function="false" hidden="false" name="ronic_hi" vbProcedure="false">In!$F$27</definedName>
    <definedName function="false" hidden="false" name="rpm_open" vbProcedure="false">In!$E$75</definedName>
    <definedName function="false" hidden="false" name="sbc_r" vbProcedure="false">In!$E$103</definedName>
    <definedName function="false" hidden="false" name="sh_awd" vbProcedure="false">In!$E$7</definedName>
    <definedName function="false" hidden="false" name="sh_g" vbProcedure="false">In!$E$106</definedName>
    <definedName function="false" hidden="false" name="sh_g_hi" vbProcedure="false">In!$F$106</definedName>
    <definedName function="false" hidden="false" name="sh_g_lo" vbProcedure="false">In!$D$106</definedName>
    <definedName function="false" hidden="false" name="sh_out" vbProcedure="false">In!$E$6</definedName>
    <definedName function="false" hidden="false" name="sh_val" vbProcedure="false">In!$E$8</definedName>
    <definedName function="false" hidden="false" name="step_in" vbProcedure="false">In!$E$100</definedName>
    <definedName function="false" hidden="false" name="step_in_hi" vbProcedure="false">In!$F$100</definedName>
    <definedName function="false" hidden="false" name="step_in_lo" vbProcedure="false">In!$D$100</definedName>
    <definedName function="false" hidden="false" name="step_na" vbProcedure="false">In!$E$99</definedName>
    <definedName function="false" hidden="false" name="step_na_hi" vbProcedure="false">In!$F$99</definedName>
    <definedName function="false" hidden="false" name="step_na_lo" vbProcedure="false">In!$D$99</definedName>
    <definedName function="false" hidden="false" name="tax" vbProcedure="false">In!$E$19</definedName>
    <definedName function="false" hidden="false" name="tax_hi" vbProcedure="false">In!$F$19</definedName>
    <definedName function="false" hidden="false" name="tax_lo" vbProcedure="false">In!$D$19</definedName>
    <definedName function="false" hidden="false" name="tg" vbProcedure="false">In!$E$26</definedName>
    <definedName function="false" hidden="false" name="tg_hi" vbProcedure="false">In!$F$26</definedName>
    <definedName function="false" hidden="false" name="tg_lo" vbProcedure="false">In!$D$26</definedName>
    <definedName function="false" hidden="false" name="tk_cx_gb200" vbProcedure="false">In!$E$52</definedName>
    <definedName function="false" hidden="false" name="tk_cx_gb300" vbProcedure="false">In!$E$53</definedName>
    <definedName function="false" hidden="false" name="tk_cx_h100" vbProcedure="false">In!$E$51</definedName>
    <definedName function="false" hidden="false" name="tk_cx_vr200" vbProcedure="false">In!$E$54</definedName>
    <definedName function="false" hidden="false" name="tk_fac" vbProcedure="false">In!$E$60</definedName>
    <definedName function="false" hidden="false" name="tk_gpuhr" vbProcedure="false">In!$E$59</definedName>
    <definedName function="false" hidden="false" name="tk_he_gb200" vbProcedure="false">In!$E$48</definedName>
    <definedName function="false" hidden="false" name="tk_he_gb300" vbProcedure="false">In!$E$49</definedName>
    <definedName function="false" hidden="false" name="tk_he_h100" vbProcedure="false">In!$E$47</definedName>
    <definedName function="false" hidden="false" name="tk_he_vr200" vbProcedure="false">In!$E$50</definedName>
    <definedName function="false" hidden="false" name="tk_life" vbProcedure="false">In!$E$61</definedName>
    <definedName function="false" hidden="false" name="tk_life_hi" vbProcedure="false">In!$F$61</definedName>
    <definedName function="false" hidden="false" name="tk_life_lo" vbProcedure="false">In!$D$61</definedName>
    <definedName function="false" hidden="false" name="tk_ox_gb200" vbProcedure="false">In!$E$56</definedName>
    <definedName function="false" hidden="false" name="tk_ox_gb300" vbProcedure="false">In!$E$57</definedName>
    <definedName function="false" hidden="false" name="tk_ox_h100" vbProcedure="false">In!$E$55</definedName>
    <definedName function="false" hidden="false" name="tk_ox_vr200" vbProcedure="false">In!$E$58</definedName>
    <definedName function="false" hidden="false" name="tk_pq" vbProcedure="false">In!$E$63</definedName>
    <definedName function="false" hidden="false" name="tk_pq_hi" vbProcedure="false">In!$F$63</definedName>
    <definedName function="false" hidden="false" name="tk_pq_lo" vbProcedure="false">In!$D$63</definedName>
    <definedName function="false" hidden="false" name="tp_yf" vbProcedure="false">In!$E$32</definedName>
    <definedName function="false" hidden="false" name="v022_px" vbProcedure="false">In!$E$160</definedName>
    <definedName function="false" hidden="false" name="v022_tp" vbProcedure="false">In!$E$159</definedName>
    <definedName function="false" hidden="false" name="v022_wdcf" vbProcedure="false">In!$E$161</definedName>
    <definedName function="false" hidden="false" name="wacc" vbProcedure="false">In!$E$25</definedName>
    <definedName function="false" hidden="false" name="w_A" vbProcedure="false">In!$E$29</definedName>
    <definedName function="false" hidden="false" name="w_B" vbProcedure="false">In!$E$30</definedName>
    <definedName function="false" hidden="false" name="w_C" vbProcedure="false">In!$E$31</definedName>
    <definedName function="false" hidden="false" name="w_dcf" vbProcedure="false">In!$E$28</definedName>
    <definedName function="false" hidden="false" name="y_cash" vbProcedure="false">In!$E$108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<sst xmlns="http://schemas.openxmlformats.org/spreadsheetml/2006/main" count="28460" uniqueCount="1450">
  <si>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（命題模組＋官方營收分部 → 損益表）　</t>
    </r>
    <r>
      <rPr>
        <b val="true"/>
        <sz val="11"/>
        <rFont val="Cambria"/>
        <family val="0"/>
        <charset val="1"/>
      </rPr>
      <t xml:space="preserve">2026-10-27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</si>
  <si>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（架構重建；取代 </t>
    </r>
    <r>
      <rPr>
        <sz val="11"/>
        <rFont val="Cambria"/>
        <family val="0"/>
        <charset val="1"/>
      </rPr>
      <t xml:space="preserve">v0.2.2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CoreWeave </t>
    </r>
    <r>
      <rPr>
        <sz val="11"/>
        <rFont val="Noto Sans CJK SC"/>
        <family val="2"/>
      </rPr>
      <t xml:space="preserve">式收支引擎，舊引擎移至 </t>
    </r>
    <r>
      <rPr>
        <sz val="11"/>
        <rFont val="Cambria"/>
        <family val="0"/>
        <charset val="1"/>
      </rPr>
      <t xml:space="preserve">legacy_v0.2/</t>
    </r>
    <r>
      <rPr>
        <sz val="11"/>
        <rFont val="Noto Sans CJK SC"/>
        <family val="2"/>
      </rPr>
      <t xml:space="preserve">）。資料截至 </t>
    </r>
    <r>
      <rPr>
        <sz val="11"/>
        <rFont val="Cambria"/>
        <family val="0"/>
        <charset val="1"/>
      </rPr>
      <t xml:space="preserve">2026Q2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10-Q 2026-07-31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＝上半年實績＋下半年模型；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公布後以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滾入。</t>
    </r>
  </si>
  <si>
    <r>
      <rPr>
        <b val="true"/>
        <sz val="11"/>
        <rFont val="Noto Sans CJK SC"/>
        <family val="2"/>
      </rPr>
      <t xml:space="preserve">命題：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）能否以高於資金成本的報酬變現，零售與廣告的現金流能否支應資本支出。</t>
    </r>
  </si>
  <si>
    <r>
      <rPr>
        <b val="true"/>
        <sz val="11"/>
        <rFont val="Noto Sans CJK SC"/>
        <family val="2"/>
      </rPr>
      <t xml:space="preserve">核心問題：</t>
    </r>
    <r>
      <rPr>
        <b val="true"/>
        <sz val="11"/>
        <rFont val="Cambria"/>
        <family val="0"/>
        <charset val="1"/>
      </rPr>
      <t xml:space="preserve">FY2028 AWS </t>
    </r>
    <r>
      <rPr>
        <b val="true"/>
        <sz val="11"/>
        <rFont val="Noto Sans CJK SC"/>
        <family val="2"/>
      </rPr>
      <t xml:space="preserve">營業利益率與自由現金流（扣股利後）是否轉正並維持。</t>
    </r>
  </si>
  <si>
    <t xml:space="preserve">驅動 → 推導對照表（每頁輸入、推導量、因果方向）</t>
  </si>
  <si>
    <r>
      <rPr>
        <sz val="11"/>
        <rFont val="Cambria"/>
        <family val="0"/>
        <charset val="1"/>
      </rPr>
      <t xml:space="preserve">In → Thesis</t>
    </r>
    <r>
      <rPr>
        <sz val="11"/>
        <rFont val="Noto Sans CJK SC"/>
        <family val="2"/>
      </rPr>
      <t xml:space="preserve">：對外 </t>
    </r>
    <r>
      <rPr>
        <sz val="11"/>
        <rFont val="Cambria"/>
        <family val="0"/>
        <charset val="1"/>
      </rPr>
      <t xml:space="preserve">AI MW</t>
    </r>
    <r>
      <rPr>
        <sz val="11"/>
        <rFont val="Noto Sans CJK SC"/>
        <family val="2"/>
      </rPr>
      <t xml:space="preserve">（期初 </t>
    </r>
    <r>
      <rPr>
        <sz val="11"/>
        <rFont val="Cambria"/>
        <family val="0"/>
        <charset val="1"/>
      </rPr>
      <t xml:space="preserve">2,080 MW</t>
    </r>
    <r>
      <rPr>
        <sz val="11"/>
        <rFont val="Noto Sans CJK SC"/>
        <family val="2"/>
      </rPr>
      <t xml:space="preserve">、每年新增 </t>
    </r>
    <r>
      <rPr>
        <sz val="11"/>
        <rFont val="Cambria"/>
        <family val="0"/>
        <charset val="1"/>
      </rPr>
      <t xml:space="preserve">pace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Tokenomics IF_HoldEcon × k → AWS AI </t>
    </r>
    <r>
      <rPr>
        <sz val="11"/>
        <rFont val="Noto Sans CJK SC"/>
        <family val="2"/>
      </rPr>
      <t xml:space="preserve">營收；新增 </t>
    </r>
    <r>
      <rPr>
        <sz val="11"/>
        <rFont val="Cambria"/>
        <family val="0"/>
        <charset val="1"/>
      </rPr>
      <t xml:space="preserve">MW ÷ </t>
    </r>
    <r>
      <rPr>
        <sz val="11"/>
        <rFont val="Noto Sans CJK SC"/>
        <family val="2"/>
      </rPr>
      <t xml:space="preserve">對外比例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IT</t>
    </r>
    <r>
      <rPr>
        <sz val="11"/>
        <rFont val="Noto Sans CJK SC"/>
        <family val="2"/>
      </rPr>
      <t xml:space="preserve">＋自建機房成本）→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 → </t>
    </r>
    <r>
      <rPr>
        <sz val="11"/>
        <rFont val="Cambria"/>
        <family val="0"/>
        <charset val="1"/>
      </rPr>
      <t xml:space="preserve">IT 6 </t>
    </r>
    <r>
      <rPr>
        <sz val="11"/>
        <rFont val="Noto Sans CJK SC"/>
        <family val="2"/>
      </rPr>
      <t xml:space="preserve">年／機房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年折舊 → </t>
    </r>
    <r>
      <rPr>
        <sz val="11"/>
        <rFont val="Cambria"/>
        <family val="0"/>
        <charset val="1"/>
      </rPr>
      <t xml:space="preserve">AWS AI </t>
    </r>
    <r>
      <rPr>
        <sz val="11"/>
        <rFont val="Noto Sans CJK SC"/>
        <family val="2"/>
      </rPr>
      <t xml:space="preserve">營業利益（對外）與自用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成本（零售）。</t>
    </r>
  </si>
  <si>
    <r>
      <rPr>
        <sz val="11"/>
        <rFont val="Cambria"/>
        <family val="0"/>
        <charset val="1"/>
      </rPr>
      <t xml:space="preserve">In → Seg</t>
    </r>
    <r>
      <rPr>
        <sz val="11"/>
        <rFont val="Noto Sans CJK SC"/>
        <family val="2"/>
      </rPr>
      <t xml:space="preserve">：零售六條營收線（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2H25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2H25 </t>
    </r>
    <r>
      <rPr>
        <sz val="11"/>
        <rFont val="Noto Sans CJK SC"/>
        <family val="2"/>
      </rPr>
      <t xml:space="preserve">年增）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校準係數〔隱含 </t>
    </r>
    <r>
      <rPr>
        <sz val="11"/>
        <rFont val="Cambria"/>
        <family val="0"/>
        <charset val="1"/>
      </rPr>
      <t xml:space="preserve">2026Q3</t>
    </r>
    <r>
      <rPr>
        <sz val="11"/>
        <rFont val="Noto Sans CJK SC"/>
        <family val="2"/>
      </rPr>
      <t xml:space="preserve">＝指引中點〕，之後收斂到長期年增）→ 零售合計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北美比例 → </t>
    </r>
    <r>
      <rPr>
        <sz val="11"/>
        <rFont val="Cambria"/>
        <family val="0"/>
        <charset val="1"/>
      </rPr>
      <t xml:space="preserve">North America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International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AWS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AWS AI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其他（殘差起算、收斂到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</si>
  <si>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Seg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Thesis → PL</t>
    </r>
    <r>
      <rPr>
        <sz val="11"/>
        <rFont val="Noto Sans CJK SC"/>
        <family val="2"/>
      </rPr>
      <t xml:space="preserve">：北美／國際營業利益＝廣告營收 </t>
    </r>
    <r>
      <rPr>
        <sz val="11"/>
        <rFont val="Cambria"/>
        <family val="0"/>
        <charset val="1"/>
      </rPr>
      <t xml:space="preserve">× 50%</t>
    </r>
    <r>
      <rPr>
        <sz val="11"/>
        <rFont val="Noto Sans CJK SC"/>
        <family val="2"/>
      </rPr>
      <t xml:space="preserve">＋零售本業營收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本業利益率（實績殘差＋每年改善）− 自用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成本；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營業利益＝</t>
    </r>
    <r>
      <rPr>
        <sz val="11"/>
        <rFont val="Cambria"/>
        <family val="0"/>
        <charset val="1"/>
      </rPr>
      <t xml:space="preserve">AWS AI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近四季利益率 → 合併營業利益 → 利息（</t>
    </r>
    <r>
      <rPr>
        <sz val="11"/>
        <rFont val="Cambria"/>
        <family val="0"/>
        <charset val="1"/>
      </rPr>
      <t xml:space="preserve">CF</t>
    </r>
    <r>
      <rPr>
        <sz val="11"/>
        <rFont val="Noto Sans CJK SC"/>
        <family val="2"/>
      </rPr>
      <t xml:space="preserve">）、稅 </t>
    </r>
    <r>
      <rPr>
        <sz val="11"/>
        <rFont val="Cambria"/>
        <family val="0"/>
        <charset val="1"/>
      </rPr>
      <t xml:space="preserve">17.4% → </t>
    </r>
    <r>
      <rPr>
        <sz val="11"/>
        <rFont val="Noto Sans CJK SC"/>
        <family val="2"/>
      </rPr>
      <t xml:space="preserve">淨利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</si>
  <si>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PL → CF</t>
    </r>
    <r>
      <rPr>
        <sz val="11"/>
        <rFont val="Noto Sans CJK SC"/>
        <family val="2"/>
      </rPr>
      <t xml:space="preserve">：淨利＋分部折舊＋</t>
    </r>
    <r>
      <rPr>
        <sz val="11"/>
        <rFont val="Cambria"/>
        <family val="0"/>
        <charset val="1"/>
      </rPr>
      <t xml:space="preserve">SBC</t>
    </r>
    <r>
      <rPr>
        <sz val="11"/>
        <rFont val="Noto Sans CJK SC"/>
        <family val="2"/>
      </rPr>
      <t xml:space="preserve">＋其他 − 資本支出（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＋零售 </t>
    </r>
    <r>
      <rPr>
        <sz val="11"/>
        <rFont val="Cambria"/>
        <family val="0"/>
        <charset val="1"/>
      </rPr>
      <t xml:space="preserve">5.9%</t>
    </r>
    <r>
      <rPr>
        <sz val="11"/>
        <rFont val="Noto Sans CJK SC"/>
        <family val="2"/>
      </rPr>
      <t xml:space="preserve">）− 融資租賃本金 → 自由現金流；股利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、回購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；現金低於 </t>
    </r>
    <r>
      <rPr>
        <sz val="11"/>
        <rFont val="Cambria"/>
        <family val="0"/>
        <charset val="1"/>
      </rPr>
      <t xml:space="preserve">50 </t>
    </r>
    <r>
      <rPr>
        <sz val="11"/>
        <rFont val="Noto Sans CJK SC"/>
        <family val="2"/>
      </rPr>
      <t xml:space="preserve">即舉債 → 利息費用回到 </t>
    </r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</si>
  <si>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CF → 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FCFF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WACC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RONIC </t>
    </r>
    <r>
      <rPr>
        <sz val="11"/>
        <rFont val="Noto Sans CJK SC"/>
        <family val="2"/>
      </rPr>
      <t xml:space="preserve">永續）＋分部加總（廣告、零售本業、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其他、</t>
    </r>
    <r>
      <rPr>
        <sz val="11"/>
        <rFont val="Cambria"/>
        <family val="0"/>
        <charset val="1"/>
      </rPr>
      <t xml:space="preserve">AWS AI × </t>
    </r>
    <r>
      <rPr>
        <sz val="11"/>
        <rFont val="Noto Sans CJK SC"/>
        <family val="2"/>
      </rPr>
      <t xml:space="preserve">同業倍數）＋持股（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）→ 情境目標價 → 情境加權 → 上檔空間 → 投資建議。</t>
    </r>
  </si>
  <si>
    <r>
      <rPr>
        <sz val="11"/>
        <rFont val="Noto Sans CJK SC"/>
        <family val="2"/>
      </rPr>
      <t xml:space="preserve">工作表：</t>
    </r>
    <r>
      <rPr>
        <sz val="11"/>
        <rFont val="Cambria"/>
        <family val="0"/>
        <charset val="1"/>
      </rPr>
      <t xml:space="preserve">README → In</t>
    </r>
    <r>
      <rPr>
        <sz val="11"/>
        <rFont val="Noto Sans CJK SC"/>
        <family val="2"/>
      </rPr>
      <t xml:space="preserve">（輸入）→ </t>
    </r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（實績與核對）→ </t>
    </r>
    <r>
      <rPr>
        <sz val="11"/>
        <rFont val="Cambria"/>
        <family val="0"/>
        <charset val="1"/>
      </rPr>
      <t xml:space="preserve">Thesis</t>
    </r>
    <r>
      <rPr>
        <sz val="11"/>
        <rFont val="Noto Sans CJK SC"/>
        <family val="2"/>
      </rPr>
      <t xml:space="preserve">（命題模組）→ </t>
    </r>
    <r>
      <rPr>
        <sz val="11"/>
        <rFont val="Cambria"/>
        <family val="0"/>
        <charset val="1"/>
      </rPr>
      <t xml:space="preserve">Seg</t>
    </r>
    <r>
      <rPr>
        <sz val="11"/>
        <rFont val="Noto Sans CJK SC"/>
        <family val="2"/>
      </rPr>
      <t xml:space="preserve">（營收分部）→ </t>
    </r>
    <r>
      <rPr>
        <sz val="11"/>
        <rFont val="Cambria"/>
        <family val="0"/>
        <charset val="1"/>
      </rPr>
      <t xml:space="preserve">PL → CF → Val → Recon</t>
    </r>
    <r>
      <rPr>
        <sz val="11"/>
        <rFont val="Noto Sans CJK SC"/>
        <family val="2"/>
      </rPr>
      <t xml:space="preserve">（共識、指引、</t>
    </r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（敏感度）→ </t>
    </r>
    <r>
      <rPr>
        <sz val="11"/>
        <rFont val="Cambria"/>
        <family val="0"/>
        <charset val="1"/>
      </rPr>
      <t xml:space="preserve">Sources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</si>
  <si>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。沿用 </t>
    </r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規格（</t>
    </r>
    <r>
      <rPr>
        <sz val="11"/>
        <rFont val="Cambria"/>
        <family val="0"/>
        <charset val="1"/>
      </rPr>
      <t xml:space="preserve">kspec.py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C10 </t>
    </r>
    <r>
      <rPr>
        <sz val="11"/>
        <rFont val="Noto Sans CJK SC"/>
        <family val="2"/>
      </rPr>
      <t xml:space="preserve">基準速度、對外比例、</t>
    </r>
    <r>
      <rPr>
        <sz val="11"/>
        <rFont val="Cambria"/>
        <family val="0"/>
        <charset val="1"/>
      </rPr>
      <t xml:space="preserve">Tokenomics v21.4 </t>
    </r>
    <r>
      <rPr>
        <sz val="11"/>
        <rFont val="Noto Sans CJK SC"/>
        <family val="2"/>
      </rPr>
      <t xml:space="preserve">快照、</t>
    </r>
    <r>
      <rPr>
        <sz val="11"/>
        <rFont val="Cambria"/>
        <family val="0"/>
        <charset val="1"/>
      </rPr>
      <t xml:space="preserve">WACC </t>
    </r>
    <r>
      <rPr>
        <sz val="11"/>
        <rFont val="Noto Sans CJK SC"/>
        <family val="2"/>
      </rPr>
      <t xml:space="preserve">輸入、持股與同業倍數。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</si>
  <si>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在役 </t>
    </r>
    <r>
      <rPr>
        <sz val="11"/>
        <rFont val="Cambria"/>
        <family val="0"/>
        <charset val="1"/>
      </rPr>
      <t xml:space="preserve">MW</t>
    </r>
    <r>
      <rPr>
        <sz val="11"/>
        <rFont val="Noto Sans CJK SC"/>
        <family val="2"/>
      </rPr>
      <t xml:space="preserve">、對外比例與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營收，</t>
    </r>
    <r>
      <rPr>
        <sz val="11"/>
        <rFont val="Cambria"/>
        <family val="0"/>
        <charset val="1"/>
      </rPr>
      <t xml:space="preserve">AWS AI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其他的歷史分拆為估計；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分部共識未找到；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同業倍數與 </t>
    </r>
    <r>
      <rPr>
        <sz val="11"/>
        <rFont val="Cambria"/>
        <family val="0"/>
        <charset val="1"/>
      </rPr>
      <t xml:space="preserve">WACC </t>
    </r>
    <r>
      <rPr>
        <sz val="11"/>
        <rFont val="Noto Sans CJK SC"/>
        <family val="2"/>
      </rPr>
      <t xml:space="preserve">輸入沿用 </t>
    </r>
    <r>
      <rPr>
        <sz val="11"/>
        <rFont val="Cambria"/>
        <family val="0"/>
        <charset val="1"/>
      </rPr>
      <t xml:space="preserve">2026-10-07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到期債務假設全數再融資；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自用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讀法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為主值（</t>
    </r>
    <r>
      <rPr>
        <sz val="11"/>
        <rFont val="Cambria"/>
        <family val="0"/>
        <charset val="1"/>
      </rPr>
      <t xml:space="preserve">C16 </t>
    </r>
    <r>
      <rPr>
        <sz val="11"/>
        <rFont val="Noto Sans CJK SC"/>
        <family val="2"/>
      </rPr>
      <t xml:space="preserve">待決）。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</si>
  <si>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 </t>
    </r>
    <r>
      <rPr>
        <sz val="11"/>
        <color theme="1"/>
        <rFont val="Calibri"/>
        <family val="2"/>
        <charset val="1"/>
      </rPr>
      <t xml:space="preserve">US$bn</t>
    </r>
    <r>
      <rPr>
        <sz val="11"/>
        <color theme="1"/>
        <rFont val="Noto Sans CJK SC"/>
        <family val="2"/>
      </rPr>
      <t xml:space="preserve">、每股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。每列一個鍵（定義名稱＝鍵）；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</si>
  <si>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。「沿用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已核准的參數與證據（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規格 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基準速度、對外比例、</t>
    </r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快照），出處見 </t>
    </r>
    <r>
      <rPr>
        <sz val="11"/>
        <color theme="1"/>
        <rFont val="Calibri"/>
        <family val="2"/>
        <charset val="1"/>
      </rPr>
      <t xml:space="preserve">legacy_v0.2/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docs/handoff</t>
    </r>
    <r>
      <rPr>
        <sz val="11"/>
        <color theme="1"/>
        <rFont val="Noto Sans CJK SC"/>
        <family val="2"/>
      </rPr>
      <t xml:space="preserve">。不以公司雲端營收、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run-rate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價格（共同規則第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節）；公司說法只作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驗證列。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</si>
  <si>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</si>
  <si>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</si>
  <si>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</si>
  <si>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</si>
  <si>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</si>
  <si>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</si>
  <si>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</si>
  <si>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</si>
  <si>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</si>
  <si>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價格、股數與共識目標價</t>
    </r>
  </si>
  <si>
    <t xml:space="preserve">px</t>
  </si>
  <si>
    <r>
      <rPr>
        <sz val="11"/>
        <color theme="1"/>
        <rFont val="Calibri"/>
        <family val="2"/>
        <charset val="1"/>
      </rPr>
      <t xml:space="preserve">AMZN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</si>
  <si>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</si>
  <si>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</si>
  <si>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S13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S14</t>
    </r>
  </si>
  <si>
    <r>
      <rPr>
        <sz val="11"/>
        <color theme="1"/>
        <rFont val="Noto Sans CJK SC"/>
        <family val="2"/>
      </rPr>
      <t xml:space="preserve">前收 </t>
    </r>
    <r>
      <rPr>
        <sz val="11"/>
        <color theme="1"/>
        <rFont val="Calibri"/>
        <family val="2"/>
        <charset val="1"/>
      </rPr>
      <t xml:space="preserve">248.00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）；市值約 </t>
    </r>
    <r>
      <rPr>
        <sz val="11"/>
        <color theme="1"/>
        <rFont val="Calibri"/>
        <family val="2"/>
        <charset val="1"/>
      </rPr>
      <t xml:space="preserve">2.69T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盤中）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</si>
  <si>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</si>
  <si>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封面）</t>
    </r>
  </si>
  <si>
    <t xml:space="preserve">十億股</t>
  </si>
  <si>
    <t xml:space="preserve">S02</t>
  </si>
  <si>
    <r>
      <rPr>
        <sz val="11"/>
        <color theme="1"/>
        <rFont val="Calibri"/>
        <family val="2"/>
        <charset val="1"/>
      </rPr>
      <t xml:space="preserve">10,786,313,572 </t>
    </r>
    <r>
      <rPr>
        <sz val="11"/>
        <color theme="1"/>
        <rFont val="Noto Sans CJK SC"/>
        <family val="2"/>
      </rPr>
      <t xml:space="preserve">股</t>
    </r>
  </si>
  <si>
    <t xml:space="preserve">sh_awd</t>
  </si>
  <si>
    <r>
      <rPr>
        <sz val="11"/>
        <color theme="1"/>
        <rFont val="Noto Sans CJK SC"/>
        <family val="2"/>
      </rPr>
      <t xml:space="preserve">未歸屬股份獎勵（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</si>
  <si>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244 </t>
    </r>
    <r>
      <rPr>
        <sz val="11"/>
        <color theme="1"/>
        <rFont val="Noto Sans CJK SC"/>
        <family val="2"/>
      </rPr>
      <t xml:space="preserve">百萬股</t>
    </r>
  </si>
  <si>
    <t xml:space="preserve">sh_val</t>
  </si>
  <si>
    <r>
      <rPr>
        <sz val="11"/>
        <color theme="1"/>
        <rFont val="Noto Sans CJK SC"/>
        <family val="2"/>
      </rPr>
      <t xml:space="preserve">分部加總用稀釋股數＝流通股數＋未歸屬獎勵（倍數為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加回口徑，故計入稀釋）</t>
    </r>
  </si>
  <si>
    <t xml:space="preserve">Derived</t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</si>
  <si>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</si>
  <si>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視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為現金成本，改用流通股數 </t>
    </r>
    <r>
      <rPr>
        <sz val="11"/>
        <color theme="1"/>
        <rFont val="Calibri"/>
        <family val="2"/>
        <charset val="1"/>
      </rPr>
      <t xml:space="preserve">sh_out</t>
    </r>
    <r>
      <rPr>
        <sz val="11"/>
        <color theme="1"/>
        <rFont val="Noto Sans CJK SC"/>
        <family val="2"/>
      </rPr>
      <t xml:space="preserve">，不另計稀釋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</si>
  <si>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</si>
  <si>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位平均）</t>
    </r>
  </si>
  <si>
    <t xml:space="preserve">Interested-party</t>
  </si>
  <si>
    <t xml:space="preserve">S15</t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</si>
  <si>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Strong Buy 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Buy 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Hold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MarketBeat 2026-10-07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322.86</t>
    </r>
    <r>
      <rPr>
        <sz val="11"/>
        <color theme="1"/>
        <rFont val="Noto Sans CJK SC"/>
        <family val="2"/>
      </rPr>
      <t xml:space="preserve">（獨立彙整）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</si>
  <si>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；沿用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輸入，現價更新）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</si>
  <si>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</si>
  <si>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</si>
  <si>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</si>
  <si>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S28</t>
  </si>
  <si>
    <r>
      <rPr>
        <sz val="11"/>
        <color theme="1"/>
        <rFont val="Noto Sans CJK SC"/>
        <family val="2"/>
      </rPr>
      <t xml:space="preserve">美國財政部每日殖利率曲線：</t>
    </r>
    <r>
      <rPr>
        <sz val="11"/>
        <color theme="1"/>
        <rFont val="Calibri"/>
        <family val="2"/>
        <charset val="1"/>
      </rPr>
      <t xml:space="preserve">10-26 5.00%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10-23 5.00%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10-22 4.96%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10-07 5.28%</t>
    </r>
    <r>
      <rPr>
        <sz val="11"/>
        <color theme="1"/>
        <rFont val="Noto Sans CJK SC"/>
        <family val="2"/>
      </rPr>
      <t xml:space="preserve">）</t>
    </r>
  </si>
  <si>
    <t xml:space="preserve">beta_sa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</si>
  <si>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5 </t>
    </r>
    <r>
      <rPr>
        <sz val="11"/>
        <color theme="1"/>
        <rFont val="Noto Sans CJK SC"/>
        <family val="2"/>
      </rPr>
      <t xml:space="preserve">年月資料（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同值，推測同源）</t>
    </r>
  </si>
  <si>
    <t xml:space="preserve">x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</si>
  <si>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val.beta.sa</t>
    </r>
    <r>
      <rPr>
        <sz val="11"/>
        <color theme="1"/>
        <rFont val="Noto Sans CJK SC"/>
        <family val="2"/>
      </rPr>
      <t xml:space="preserve">）</t>
    </r>
  </si>
  <si>
    <t xml:space="preserve">beta_gf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</si>
  <si>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GuruFocus 3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</si>
  <si>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val.beta.gurufocus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</si>
  <si>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不同資料商、不同期間（</t>
    </r>
    <r>
      <rPr>
        <sz val="11"/>
        <color theme="1"/>
        <rFont val="Calibri"/>
        <family val="2"/>
        <charset val="1"/>
      </rPr>
      <t xml:space="preserve">C13 </t>
    </r>
    <r>
      <rPr>
        <sz val="11"/>
        <color theme="1"/>
        <rFont val="Noto Sans CJK SC"/>
        <family val="2"/>
      </rPr>
      <t xml:space="preserve">獨立來源）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</si>
  <si>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</si>
  <si>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，兩個獨立來源的中位數）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</si>
  <si>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</si>
  <si>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為原始平均 </t>
    </r>
    <r>
      <rPr>
        <sz val="11"/>
        <color theme="1"/>
        <rFont val="Calibri"/>
        <family val="2"/>
        <charset val="1"/>
      </rPr>
      <t xml:space="preserve">1.5135</t>
    </r>
  </si>
  <si>
    <t xml:space="preserve">erp</t>
  </si>
  <si>
    <t xml:space="preserve">股權風險溢酬</t>
  </si>
  <si>
    <t xml:space="preserve">Assumed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</si>
  <si>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（對照表預設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</si>
  <si>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t xml:space="preserve">kd_new</t>
  </si>
  <si>
    <r>
      <rPr>
        <sz val="11"/>
        <color theme="1"/>
        <rFont val="Noto Sans CJK SC"/>
        <family val="2"/>
      </rPr>
      <t xml:space="preserve">新增借款利率（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新發 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票據有效利率；只用於利息費用）</t>
    </r>
  </si>
  <si>
    <r>
      <rPr>
        <sz val="11"/>
        <color theme="1"/>
        <rFont val="Noto Sans CJK SC"/>
        <family val="2"/>
      </rPr>
      <t xml:space="preserve">期後事項：固定票面 </t>
    </r>
    <r>
      <rPr>
        <sz val="11"/>
        <color theme="1"/>
        <rFont val="Calibri"/>
        <family val="2"/>
        <charset val="1"/>
      </rPr>
      <t xml:space="preserve">4.60%–6.25%</t>
    </r>
    <r>
      <rPr>
        <sz val="11"/>
        <color theme="1"/>
        <rFont val="Noto Sans CJK SC"/>
        <family val="2"/>
      </rPr>
      <t xml:space="preserve">、有效 </t>
    </r>
    <r>
      <rPr>
        <sz val="11"/>
        <color theme="1"/>
        <rFont val="Calibri"/>
        <family val="2"/>
        <charset val="1"/>
      </rPr>
      <t xml:space="preserve">4.67%–6.33%</t>
    </r>
  </si>
  <si>
    <t xml:space="preserve">kd_spr</t>
  </si>
  <si>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級公司債約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年期利差（相對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</si>
  <si>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年期公司債殖利率</t>
    </r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</si>
  <si>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各期票據的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年期殖利率：未找到（本輪網路搜尋額度用盡）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</si>
  <si>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</si>
  <si>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用）＝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</t>
    </r>
  </si>
  <si>
    <t xml:space="preserve">tax</t>
  </si>
  <si>
    <r>
      <rPr>
        <sz val="11"/>
        <color theme="1"/>
        <rFont val="Noto Sans CJK SC"/>
        <family val="2"/>
      </rPr>
      <t xml:space="preserve">稅率（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有效稅率平均）</t>
    </r>
  </si>
  <si>
    <t xml:space="preserve">S01</t>
  </si>
  <si>
    <r>
      <rPr>
        <sz val="11"/>
        <color theme="1"/>
        <rFont val="Calibri"/>
        <family val="2"/>
        <charset val="1"/>
      </rPr>
      <t xml:space="preserve">18.96%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19.61%</t>
    </r>
    <r>
      <rPr>
        <sz val="11"/>
        <color theme="1"/>
        <rFont val="Noto Sans CJK SC"/>
        <family val="2"/>
      </rPr>
      <t xml:space="preserve">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17.36%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上半年不含一次性項目 </t>
    </r>
    <r>
      <rPr>
        <sz val="11"/>
        <color theme="1"/>
        <rFont val="Calibri"/>
        <family val="2"/>
        <charset val="1"/>
      </rPr>
      <t xml:space="preserve">23%</t>
    </r>
  </si>
  <si>
    <t xml:space="preserve">debt_q2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</si>
  <si>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</si>
  <si>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US$bn</t>
  </si>
  <si>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</t>
    </r>
  </si>
  <si>
    <t xml:space="preserve">fl_pv</t>
  </si>
  <si>
    <r>
      <rPr>
        <sz val="11"/>
        <color theme="1"/>
        <rFont val="Noto Sans CJK SC"/>
        <family val="2"/>
      </rPr>
      <t xml:space="preserve">融資租賃負債現值（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</si>
  <si>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</si>
  <si>
    <t xml:space="preserve">fin_obl</t>
  </si>
  <si>
    <r>
      <rPr>
        <sz val="11"/>
        <color theme="1"/>
        <rFont val="Noto Sans CJK SC"/>
        <family val="2"/>
      </rPr>
      <t xml:space="preserve">融資義務（</t>
    </r>
    <r>
      <rPr>
        <sz val="11"/>
        <color theme="1"/>
        <rFont val="Calibri"/>
        <family val="2"/>
        <charset val="1"/>
      </rPr>
      <t xml:space="preserve">financing obligations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</si>
  <si>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fin_debt</t>
  </si>
  <si>
    <r>
      <rPr>
        <sz val="11"/>
        <color theme="1"/>
        <rFont val="Noto Sans CJK SC"/>
        <family val="2"/>
      </rPr>
      <t xml:space="preserve">類債務（融資租賃＋融資義務；淨負債與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皆計入，模型期間持平）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</si>
  <si>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、核對第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點）</t>
    </r>
  </si>
  <si>
    <t xml:space="preserve">ke</t>
  </si>
  <si>
    <r>
      <rPr>
        <sz val="11"/>
        <color theme="1"/>
        <rFont val="Noto Sans CJK SC"/>
        <family val="2"/>
      </rPr>
      <t xml:space="preserve">股權成本＝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</si>
  <si>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t xml:space="preserve">CAPM</t>
  </si>
  <si>
    <t xml:space="preserve">wacc</t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</si>
  <si>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E/(D+E) × ke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D/(D+E) × kd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＝債務面額＋類債務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</si>
  <si>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12.5%</t>
    </r>
  </si>
  <si>
    <t xml:space="preserve">tg</t>
  </si>
  <si>
    <r>
      <rPr>
        <sz val="11"/>
        <color theme="1"/>
        <rFont val="Noto Sans CJK SC"/>
        <family val="2"/>
      </rPr>
      <t xml:space="preserve">永續成長率 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</si>
  <si>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g 3%</t>
    </r>
    <r>
      <rPr>
        <sz val="11"/>
        <color theme="1"/>
        <rFont val="Noto Sans CJK SC"/>
        <family val="2"/>
      </rPr>
      <t xml:space="preserve">）</t>
    </r>
  </si>
  <si>
    <t xml:space="preserve">ronic</t>
  </si>
  <si>
    <r>
      <rPr>
        <sz val="11"/>
        <color theme="1"/>
        <rFont val="Noto Sans CJK SC"/>
        <family val="2"/>
      </rPr>
      <t xml:space="preserve">永續期新投資報酬率（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；預設＝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：永續成長不創造價值）</t>
    </r>
  </si>
  <si>
    <r>
      <rPr>
        <sz val="11"/>
        <color theme="1"/>
        <rFont val="Noto Sans CJK SC"/>
        <family val="2"/>
      </rPr>
      <t xml:space="preserve">判斷（報告第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</si>
  <si>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高值＝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</si>
  <si>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</si>
  <si>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</si>
  <si>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</si>
  <si>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</si>
  <si>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w_A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</si>
  <si>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</si>
  <si>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</si>
  <si>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 </t>
    </r>
    <r>
      <rPr>
        <sz val="11"/>
        <color theme="1"/>
        <rFont val="Calibri"/>
        <family val="2"/>
        <charset val="1"/>
      </rPr>
      <t xml:space="preserve">100%</t>
    </r>
  </si>
  <si>
    <t xml:space="preserve">w_B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</si>
  <si>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</si>
  <si>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w_C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</si>
  <si>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（保守）</t>
    </r>
  </si>
  <si>
    <t xml:space="preserve">tp_yf</t>
  </si>
  <si>
    <r>
      <rPr>
        <sz val="11"/>
        <color theme="1"/>
        <rFont val="Noto Sans CJK SC"/>
        <family val="2"/>
      </rPr>
      <t xml:space="preserve">目標價時點（</t>
    </r>
    <r>
      <rPr>
        <sz val="11"/>
        <color theme="1"/>
        <rFont val="Calibri"/>
        <family val="2"/>
        <charset val="1"/>
      </rPr>
      <t xml:space="preserve">2027-10-27</t>
    </r>
    <r>
      <rPr>
        <sz val="11"/>
        <color theme="1"/>
        <rFont val="Noto Sans CJK SC"/>
        <family val="2"/>
      </rPr>
      <t xml:space="preserve">）距評價基準日（</t>
    </r>
    <r>
      <rPr>
        <sz val="11"/>
        <color theme="1"/>
        <rFont val="Calibri"/>
        <family val="2"/>
        <charset val="1"/>
      </rPr>
      <t xml:space="preserve">2026-12-31</t>
    </r>
    <r>
      <rPr>
        <sz val="11"/>
        <color theme="1"/>
        <rFont val="Noto Sans CJK SC"/>
        <family val="2"/>
      </rPr>
      <t xml:space="preserve">）年數</t>
    </r>
  </si>
  <si>
    <t xml:space="preserve">年</t>
  </si>
  <si>
    <r>
      <rPr>
        <sz val="11"/>
        <color theme="1"/>
        <rFont val="Noto Sans CJK SC"/>
        <family val="2"/>
      </rPr>
      <t xml:space="preserve">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</si>
  <si>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推到目標價時點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</si>
  <si>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AWS AI</t>
    </r>
    <r>
      <rPr>
        <b val="true"/>
        <sz val="11"/>
        <rFont val="Noto Sans CJK SC"/>
        <family val="2"/>
      </rPr>
      <t xml:space="preserve">（對外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 </t>
    </r>
    <r>
      <rPr>
        <b val="true"/>
        <sz val="11"/>
        <rFont val="Cambria"/>
        <family val="0"/>
        <charset val="1"/>
      </rPr>
      <t xml:space="preserve">MW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年收入；沿用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）</t>
    </r>
  </si>
  <si>
    <t xml:space="preserve">mw_ye23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</si>
  <si>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年底）</t>
    </r>
  </si>
  <si>
    <t xml:space="preserve">MW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</si>
  <si>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defaults.mwYearEnd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</si>
  <si>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；只用於歷史分拆與折舊年份</t>
    </r>
  </si>
  <si>
    <t xml:space="preserve">mw_ye24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</si>
  <si>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年底）</t>
    </r>
  </si>
  <si>
    <t xml:space="preserve">同上</t>
  </si>
  <si>
    <t xml:space="preserve">mw_ye25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</si>
  <si>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</si>
  <si>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Calibri"/>
        <family val="2"/>
        <charset val="1"/>
      </rPr>
      <t xml:space="preserve">Trainium2 1.4M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× 0.871 kW ≈ 1,220 MW-IT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chip.trn2.mwFromLanded</t>
    </r>
    <r>
      <rPr>
        <sz val="11"/>
        <color theme="1"/>
        <rFont val="Noto Sans CJK SC"/>
        <family val="2"/>
      </rPr>
      <t xml:space="preserve">）</t>
    </r>
  </si>
  <si>
    <t xml:space="preserve">mw_open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</si>
  <si>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（期初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）＝在役 </t>
    </r>
    <r>
      <rPr>
        <sz val="11"/>
        <color theme="1"/>
        <rFont val="Calibri"/>
        <family val="2"/>
        <charset val="1"/>
      </rPr>
      <t xml:space="preserve">AI 2,600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</si>
  <si>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S19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S20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</si>
  <si>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三站 </t>
    </r>
    <r>
      <rPr>
        <sz val="11"/>
        <color theme="1"/>
        <rFont val="Calibri"/>
        <family val="2"/>
        <charset val="1"/>
      </rPr>
      <t xml:space="preserve">1,422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推估；第三方估計，區間見事實總帳 </t>
    </r>
    <r>
      <rPr>
        <sz val="11"/>
        <color theme="1"/>
        <rFont val="Calibri"/>
        <family val="2"/>
        <charset val="1"/>
      </rPr>
      <t xml:space="preserve">mw.ai.ext.2026q2</t>
    </r>
  </si>
  <si>
    <t xml:space="preserve">pace_A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</si>
  <si>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每年新增（公司「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年底容量為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年兩倍」，以 </t>
    </r>
    <r>
      <rPr>
        <sz val="11"/>
        <color theme="1"/>
        <rFont val="Calibri"/>
        <family val="2"/>
        <charset val="1"/>
      </rPr>
      <t xml:space="preserve">MS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對照）</t>
    </r>
  </si>
  <si>
    <r>
      <rPr>
        <sz val="11"/>
        <color theme="1"/>
        <rFont val="Calibri"/>
        <family val="2"/>
        <charset val="1"/>
      </rPr>
      <t xml:space="preserve">MW/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</si>
  <si>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scenarios.mwPath.pace.high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S30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</si>
  <si>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+7 GW × AI </t>
    </r>
    <r>
      <rPr>
        <sz val="11"/>
        <color theme="1"/>
        <rFont val="Noto Sans CJK SC"/>
        <family val="2"/>
      </rPr>
      <t xml:space="preserve">占新增 </t>
    </r>
    <r>
      <rPr>
        <sz val="11"/>
        <color theme="1"/>
        <rFont val="Calibri"/>
        <family val="2"/>
        <charset val="1"/>
      </rPr>
      <t xml:space="preserve">80% ÷ PUE 1.2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80%</t>
    </r>
  </si>
  <si>
    <t xml:space="preserve">pace_B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</si>
  <si>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隱含的建置量，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</si>
  <si>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scripts/calib_pace.js </t>
    </r>
    <r>
      <rPr>
        <sz val="11"/>
        <color theme="1"/>
        <rFont val="Noto Sans CJK SC"/>
        <family val="2"/>
      </rPr>
      <t xml:space="preserve">解出，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</t>
    </r>
  </si>
  <si>
    <t xml:space="preserve">這是把支出換成實體產能（物理換算），不是以營收反推單價</t>
  </si>
  <si>
    <t xml:space="preserve">pace_C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</si>
  <si>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相同：資本支出照指引投入，下檔在變現）</t>
    </r>
  </si>
  <si>
    <r>
      <rPr>
        <sz val="11"/>
        <color theme="1"/>
        <rFont val="Noto Sans CJK SC"/>
        <family val="2"/>
      </rPr>
      <t xml:space="preserve">判斷（報告第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</si>
  <si>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的保守情境為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站點速度 </t>
    </r>
    <r>
      <rPr>
        <sz val="11"/>
        <color theme="1"/>
        <rFont val="Calibri"/>
        <family val="2"/>
        <charset val="1"/>
      </rPr>
      <t xml:space="preserve">720</t>
    </r>
    <r>
      <rPr>
        <sz val="11"/>
        <color theme="1"/>
        <rFont val="Noto Sans CJK SC"/>
        <family val="2"/>
      </rPr>
      <t xml:space="preserve">／年；本版改為變現不如預期</t>
    </r>
  </si>
  <si>
    <t xml:space="preserve">ext_sh</t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</si>
  <si>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中租給客戶的比例）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</si>
  <si>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（對照表 </t>
    </r>
    <r>
      <rPr>
        <sz val="11"/>
        <color theme="1"/>
        <rFont val="Calibri"/>
        <family val="2"/>
        <charset val="1"/>
      </rPr>
      <t xml:space="preserve">r1 C23</t>
    </r>
    <r>
      <rPr>
        <sz val="11"/>
        <color theme="1"/>
        <rFont val="Noto Sans CJK SC"/>
        <family val="2"/>
      </rPr>
      <t xml:space="preserve">：公司未揭露、最大不確定）</t>
    </r>
  </si>
  <si>
    <r>
      <rPr>
        <sz val="11"/>
        <color theme="1"/>
        <rFont val="Calibri"/>
        <family val="2"/>
        <charset val="1"/>
      </rPr>
      <t xml:space="preserve">Anthropic Trainium2 </t>
    </r>
    <r>
      <rPr>
        <sz val="11"/>
        <color theme="1"/>
        <rFont val="Noto Sans CJK SC"/>
        <family val="2"/>
      </rPr>
      <t xml:space="preserve">三站全為對外；自用（</t>
    </r>
    <r>
      <rPr>
        <sz val="11"/>
        <color theme="1"/>
        <rFont val="Calibri"/>
        <family val="2"/>
        <charset val="1"/>
      </rPr>
      <t xml:space="preserve">Alexa+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Rufus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Nova</t>
    </r>
    <r>
      <rPr>
        <sz val="11"/>
        <color theme="1"/>
        <rFont val="Noto Sans CJK SC"/>
        <family val="2"/>
      </rPr>
      <t xml:space="preserve">、廣告）未揭露；</t>
    </r>
    <r>
      <rPr>
        <sz val="11"/>
        <color theme="1"/>
        <rFont val="Calibri"/>
        <family val="2"/>
        <charset val="1"/>
      </rPr>
      <t xml:space="preserve">Sens ±20pt</t>
    </r>
  </si>
  <si>
    <t xml:space="preserve">long_sh</t>
  </si>
  <si>
    <t xml:space="preserve">長約占對外容量比例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</si>
  <si>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pricing.longShare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</si>
  <si>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Trainium2 </t>
    </r>
    <r>
      <rPr>
        <sz val="11"/>
        <color theme="1"/>
        <rFont val="Noto Sans CJK SC"/>
        <family val="2"/>
      </rPr>
      <t xml:space="preserve">三站＋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兩筆占多數</t>
    </r>
  </si>
  <si>
    <t xml:space="preserve">p_spot</t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</si>
  <si>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現貨價（</t>
    </r>
    <r>
      <rPr>
        <sz val="11"/>
        <color theme="1"/>
        <rFont val="Calibri"/>
        <family val="2"/>
        <charset val="1"/>
      </rPr>
      <t xml:space="preserve">Silicon Data </t>
    </r>
    <r>
      <rPr>
        <sz val="11"/>
        <color theme="1"/>
        <rFont val="Noto Sans CJK SC"/>
        <family val="2"/>
      </rPr>
      <t xml:space="preserve">指數）</t>
    </r>
  </si>
  <si>
    <t xml:space="preserve">US$/GPU-hr</t>
  </si>
  <si>
    <t xml:space="preserve">S18</t>
  </si>
  <si>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三家共用（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）</t>
    </r>
  </si>
  <si>
    <t xml:space="preserve">p_list</t>
  </si>
  <si>
    <r>
      <rPr>
        <sz val="11"/>
        <color theme="1"/>
        <rFont val="Calibri"/>
        <family val="2"/>
        <charset val="1"/>
      </rPr>
      <t xml:space="preserve">AWS p5.48xlarge </t>
    </r>
    <r>
      <rPr>
        <sz val="11"/>
        <color theme="1"/>
        <rFont val="Noto Sans CJK SC"/>
        <family val="2"/>
      </rPr>
      <t xml:space="preserve">隨需（每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小時）</t>
    </r>
  </si>
  <si>
    <r>
      <rPr>
        <sz val="11"/>
        <color theme="1"/>
        <rFont val="Noto Sans CJK SC"/>
        <family val="2"/>
      </rPr>
      <t xml:space="preserve">公開牌價（賣價，非成交價）；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高軸</t>
    </r>
  </si>
  <si>
    <t xml:space="preserve">p_long</t>
  </si>
  <si>
    <r>
      <rPr>
        <sz val="11"/>
        <color theme="1"/>
        <rFont val="Noto Sans CJK SC"/>
        <family val="2"/>
      </rPr>
      <t xml:space="preserve">長約等值價格（判斷倍數 </t>
    </r>
    <r>
      <rPr>
        <sz val="11"/>
        <color theme="1"/>
        <rFont val="Calibri"/>
        <family val="2"/>
        <charset val="1"/>
      </rPr>
      <t xml:space="preserve">0.75 × v5.27 VR200 </t>
    </r>
    <r>
      <rPr>
        <sz val="11"/>
        <color theme="1"/>
        <rFont val="Noto Sans CJK SC"/>
        <family val="2"/>
      </rPr>
      <t xml:space="preserve">成本 </t>
    </r>
    <r>
      <rPr>
        <sz val="11"/>
        <color theme="1"/>
        <rFont val="Calibri"/>
        <family val="2"/>
        <charset val="1"/>
      </rPr>
      <t xml:space="preserve">12.762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</si>
  <si>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</si>
  <si>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legacy_v0.2/kspec.py long.base</t>
    </r>
    <r>
      <rPr>
        <sz val="11"/>
        <color theme="1"/>
        <rFont val="Noto Sans CJK SC"/>
        <family val="2"/>
      </rPr>
      <t xml:space="preserve">）</t>
    </r>
  </si>
  <si>
    <t xml:space="preserve">判斷值，不是觀察到的市場價格</t>
  </si>
  <si>
    <t xml:space="preserve">p_long_lo</t>
  </si>
  <si>
    <r>
      <rPr>
        <sz val="11"/>
        <color theme="1"/>
        <rFont val="Noto Sans CJK SC"/>
        <family val="2"/>
      </rPr>
      <t xml:space="preserve">長約等值價格下緣（判斷倍數 </t>
    </r>
    <r>
      <rPr>
        <sz val="11"/>
        <color theme="1"/>
        <rFont val="Calibri"/>
        <family val="2"/>
        <charset val="1"/>
      </rPr>
      <t xml:space="preserve">0.55 × 12.762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</si>
  <si>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legacy_v0.2/kspec.py long.low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</si>
  <si>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下限 </t>
    </r>
    <r>
      <rPr>
        <sz val="11"/>
        <color theme="1"/>
        <rFont val="Calibri"/>
        <family val="2"/>
        <charset val="1"/>
      </rPr>
      <t xml:space="preserve">0.22–0.45 </t>
    </r>
    <r>
      <rPr>
        <sz val="11"/>
        <color theme="1"/>
        <rFont val="Noto Sans CJK SC"/>
        <family val="2"/>
      </rPr>
      <t xml:space="preserve">只作對照</t>
    </r>
  </si>
  <si>
    <t xml:space="preserve">tk_he_h100</t>
  </si>
  <si>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年持有成本，經濟口徑、基準）</t>
    </r>
  </si>
  <si>
    <t xml:space="preserve">S17</t>
  </si>
  <si>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下的打平持有成本（資本回收年金＋營運費用）</t>
    </r>
  </si>
  <si>
    <t xml:space="preserve">tk_he_gb200</t>
  </si>
  <si>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年持有成本，經濟口徑、基準）</t>
    </r>
  </si>
  <si>
    <t xml:space="preserve">tk_he_gb300</t>
  </si>
  <si>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年持有成本，經濟口徑、基準）</t>
    </r>
  </si>
  <si>
    <t xml:space="preserve">tk_he_vr200</t>
  </si>
  <si>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年持有成本，經濟口徑、基準）</t>
    </r>
  </si>
  <si>
    <t xml:space="preserve">tk_cx_h100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</si>
  <si>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</si>
  <si>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</si>
  <si>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tk_cx_gb200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</si>
  <si>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</si>
  <si>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tk_cx_gb300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</si>
  <si>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</si>
  <si>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tk_cx_vr200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</si>
  <si>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</si>
  <si>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tk_ox_h100</t>
  </si>
  <si>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年營運費用，不含折舊、含電費）</t>
    </r>
  </si>
  <si>
    <t xml:space="preserve">tk_ox_gb200</t>
  </si>
  <si>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年營運費用，不含折舊、含電費）</t>
    </r>
  </si>
  <si>
    <t xml:space="preserve">tk_ox_gb300</t>
  </si>
  <si>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年營運費用，不含折舊、含電費）</t>
    </r>
  </si>
  <si>
    <t xml:space="preserve">tk_ox_vr200</t>
  </si>
  <si>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年營運費用，不含折舊、含電費）</t>
    </r>
  </si>
  <si>
    <t xml:space="preserve">tk_gpuhr</t>
  </si>
  <si>
    <r>
      <rPr>
        <sz val="11"/>
        <color theme="1"/>
        <rFont val="Calibri"/>
        <family val="2"/>
        <charset val="1"/>
      </rPr>
      <t xml:space="preserve">Tokenomics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小時持有成本）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</si>
  <si>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現貨的分母</t>
    </r>
  </si>
  <si>
    <t xml:space="preserve">tk_fac</t>
  </si>
  <si>
    <r>
      <rPr>
        <sz val="11"/>
        <color theme="1"/>
        <rFont val="Calibri"/>
        <family val="2"/>
        <charset val="1"/>
      </rPr>
      <t xml:space="preserve">Tokenomics L1_FacCapexMW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</si>
  <si>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tk_life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</si>
  <si>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設備折舊年限（</t>
    </r>
    <r>
      <rPr>
        <sz val="11"/>
        <color theme="1"/>
        <rFont val="Calibri"/>
        <family val="2"/>
        <charset val="1"/>
      </rPr>
      <t xml:space="preserve">Tokenomics IF_DeprLifeIT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</si>
  <si>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管理層口述伺服器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年（事實總帳 </t>
    </r>
    <r>
      <rPr>
        <sz val="11"/>
        <color theme="1"/>
        <rFont val="Calibri"/>
        <family val="2"/>
        <charset val="1"/>
      </rPr>
      <t xml:space="preserve">guide.server.life</t>
    </r>
    <r>
      <rPr>
        <sz val="11"/>
        <color theme="1"/>
        <rFont val="Noto Sans CJK SC"/>
        <family val="2"/>
      </rPr>
      <t xml:space="preserve">）</t>
    </r>
  </si>
  <si>
    <t xml:space="preserve">fac_life</t>
  </si>
  <si>
    <t xml:space="preserve">機房折舊年限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</si>
  <si>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</si>
  <si>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管理層：資料中心建築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年以上</t>
    </r>
  </si>
  <si>
    <t xml:space="preserve">tk_pq</t>
  </si>
  <si>
    <r>
      <rPr>
        <sz val="11"/>
        <color theme="1"/>
        <rFont val="Calibri"/>
        <family val="2"/>
        <charset val="1"/>
      </rPr>
      <t xml:space="preserve">Tokenomics L1_RevGW_PQ_VR200</t>
    </r>
    <r>
      <rPr>
        <sz val="11"/>
        <color theme="1"/>
        <rFont val="Noto Sans CJK SC"/>
        <family val="2"/>
      </rPr>
      <t xml:space="preserve">（模型商每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年實收 </t>
    </r>
    <r>
      <rPr>
        <sz val="11"/>
        <color theme="1"/>
        <rFont val="Calibri"/>
        <family val="2"/>
        <charset val="1"/>
      </rPr>
      <t xml:space="preserve">P×Q</t>
    </r>
    <r>
      <rPr>
        <sz val="11"/>
        <color theme="1"/>
        <rFont val="Noto Sans CJK SC"/>
        <family val="2"/>
      </rPr>
      <t xml:space="preserve">；只作上限檢查）</t>
    </r>
  </si>
  <si>
    <t xml:space="preserve">上限，不得作預測</t>
  </si>
  <si>
    <t xml:space="preserve">k_long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</si>
  <si>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長約＝長約等值價格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VR200 IF_HoldEcon</t>
    </r>
  </si>
  <si>
    <r>
      <rPr>
        <sz val="11"/>
        <color theme="1"/>
        <rFont val="Calibri"/>
        <family val="2"/>
        <charset val="1"/>
      </rPr>
      <t xml:space="preserve">legacy_v0.2/kspec.py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起隨目前快照重算）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</si>
  <si>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0.783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0.574</t>
    </r>
  </si>
  <si>
    <t xml:space="preserve">k_spot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</si>
  <si>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現貨＝現貨價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</si>
  <si>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r>
      <rPr>
        <sz val="11"/>
        <color theme="1"/>
        <rFont val="Calibri"/>
        <family val="2"/>
        <charset val="1"/>
      </rPr>
      <t xml:space="preserve">legacy_v0.2/kspec.py</t>
    </r>
    <r>
      <rPr>
        <sz val="11"/>
        <color theme="1"/>
        <rFont val="Noto Sans CJK SC"/>
        <family val="2"/>
      </rPr>
      <t xml:space="preserve">（三家一致，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</si>
  <si>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牌價（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價格軸高）</t>
    </r>
  </si>
  <si>
    <t xml:space="preserve">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</si>
  <si>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：新產能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（價格軸高：現貨改用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牌價）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</si>
  <si>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價格軸（</t>
    </r>
    <r>
      <rPr>
        <sz val="11"/>
        <color theme="1"/>
        <rFont val="Calibri"/>
        <family val="2"/>
        <charset val="1"/>
      </rPr>
      <t xml:space="preserve">pricing.kSpot.high</t>
    </r>
    <r>
      <rPr>
        <sz val="11"/>
        <color theme="1"/>
        <rFont val="Noto Sans CJK SC"/>
        <family val="2"/>
      </rPr>
      <t xml:space="preserve">）</t>
    </r>
  </si>
  <si>
    <t xml:space="preserve">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</si>
  <si>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（價格軸基準：長約 </t>
    </r>
    <r>
      <rPr>
        <sz val="11"/>
        <color theme="1"/>
        <rFont val="Calibri"/>
        <family val="2"/>
        <charset val="1"/>
      </rPr>
      <t xml:space="preserve">80% × k_</t>
    </r>
    <r>
      <rPr>
        <sz val="11"/>
        <color theme="1"/>
        <rFont val="Noto Sans CJK SC"/>
        <family val="2"/>
      </rPr>
      <t xml:space="preserve">長約＋現貨 </t>
    </r>
    <r>
      <rPr>
        <sz val="11"/>
        <color theme="1"/>
        <rFont val="Calibri"/>
        <family val="2"/>
        <charset val="1"/>
      </rPr>
      <t xml:space="preserve">20% × k_</t>
    </r>
    <r>
      <rPr>
        <sz val="11"/>
        <color theme="1"/>
        <rFont val="Noto Sans CJK SC"/>
        <family val="2"/>
      </rPr>
      <t xml:space="preserve">現貨）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</si>
  <si>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</si>
  <si>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t xml:space="preserve">期初機隊三情境皆用本列</t>
  </si>
  <si>
    <t xml:space="preserve">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</si>
  <si>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：新產能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（價格軸低：長約下緣）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</si>
  <si>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價格軸（</t>
    </r>
    <r>
      <rPr>
        <sz val="11"/>
        <color theme="1"/>
        <rFont val="Calibri"/>
        <family val="2"/>
        <charset val="1"/>
      </rPr>
      <t xml:space="preserve">pricing.kLong.low</t>
    </r>
    <r>
      <rPr>
        <sz val="11"/>
        <color theme="1"/>
        <rFont val="Noto Sans CJK SC"/>
        <family val="2"/>
      </rPr>
      <t xml:space="preserve">）</t>
    </r>
  </si>
  <si>
    <t xml:space="preserve">mo_trn2</t>
  </si>
  <si>
    <r>
      <rPr>
        <sz val="11"/>
        <color theme="1"/>
        <rFont val="Noto Sans CJK SC"/>
        <family val="2"/>
      </rPr>
      <t xml:space="preserve">期初世代占比：</t>
    </r>
    <r>
      <rPr>
        <sz val="11"/>
        <color theme="1"/>
        <rFont val="Calibri"/>
        <family val="2"/>
        <charset val="1"/>
      </rPr>
      <t xml:space="preserve">Trainium2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計價，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</si>
  <si>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t xml:space="preserve">S20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</si>
  <si>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三站 </t>
    </r>
    <r>
      <rPr>
        <sz val="11"/>
        <color theme="1"/>
        <rFont val="Calibri"/>
        <family val="2"/>
        <charset val="1"/>
      </rPr>
      <t xml:space="preserve">1,422 ÷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2,600</t>
    </r>
  </si>
  <si>
    <t xml:space="preserve">mo_h100</t>
  </si>
  <si>
    <r>
      <rPr>
        <sz val="11"/>
        <color theme="1"/>
        <rFont val="Noto Sans CJK SC"/>
        <family val="2"/>
      </rPr>
      <t xml:space="preserve">期初世代占比：</t>
    </r>
    <r>
      <rPr>
        <sz val="11"/>
        <color theme="1"/>
        <rFont val="Calibri"/>
        <family val="2"/>
        <charset val="1"/>
      </rPr>
      <t xml:space="preserve">Hopper</t>
    </r>
  </si>
  <si>
    <t xml:space="preserve">mo_gb200</t>
  </si>
  <si>
    <r>
      <rPr>
        <sz val="11"/>
        <color theme="1"/>
        <rFont val="Noto Sans CJK SC"/>
        <family val="2"/>
      </rPr>
      <t xml:space="preserve">期初世代占比：</t>
    </r>
    <r>
      <rPr>
        <sz val="11"/>
        <color theme="1"/>
        <rFont val="Calibri"/>
        <family val="2"/>
        <charset val="1"/>
      </rPr>
      <t xml:space="preserve">GB200</t>
    </r>
  </si>
  <si>
    <t xml:space="preserve">mo_gb300</t>
  </si>
  <si>
    <r>
      <rPr>
        <sz val="11"/>
        <color theme="1"/>
        <rFont val="Noto Sans CJK SC"/>
        <family val="2"/>
      </rPr>
      <t xml:space="preserve">期初世代占比：</t>
    </r>
    <r>
      <rPr>
        <sz val="11"/>
        <color theme="1"/>
        <rFont val="Calibri"/>
        <family val="2"/>
        <charset val="1"/>
      </rPr>
      <t xml:space="preserve">GB300</t>
    </r>
  </si>
  <si>
    <t xml:space="preserve">he_open</t>
  </si>
  <si>
    <r>
      <rPr>
        <sz val="11"/>
        <color theme="1"/>
        <rFont val="Noto Sans CJK SC"/>
        <family val="2"/>
      </rPr>
      <t xml:space="preserve">期初機隊加權 </t>
    </r>
    <r>
      <rPr>
        <sz val="11"/>
        <color theme="1"/>
        <rFont val="Calibri"/>
        <family val="2"/>
        <charset val="1"/>
      </rPr>
      <t xml:space="preserve">IF_HoldEcon</t>
    </r>
  </si>
  <si>
    <t xml:space="preserve">上列加權</t>
  </si>
  <si>
    <t xml:space="preserve">ox_open</t>
  </si>
  <si>
    <t xml:space="preserve">期初機隊加權營運費用</t>
  </si>
  <si>
    <t xml:space="preserve">rpm_open</t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</si>
  <si>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年收入＝加權 </t>
    </r>
    <r>
      <rPr>
        <sz val="11"/>
        <color theme="1"/>
        <rFont val="Calibri"/>
        <family val="2"/>
        <charset val="1"/>
      </rPr>
      <t xml:space="preserve">IF_HoldEcon × k_B</t>
    </r>
    <r>
      <rPr>
        <sz val="11"/>
        <color theme="1"/>
        <rFont val="Noto Sans CJK SC"/>
        <family val="2"/>
      </rPr>
      <t xml:space="preserve">（收入端不乘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</si>
  <si>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</t>
    </r>
  </si>
  <si>
    <t xml:space="preserve">cust_sh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</si>
  <si>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中自研晶片（</t>
    </r>
    <r>
      <rPr>
        <sz val="11"/>
        <color theme="1"/>
        <rFont val="Calibri"/>
        <family val="2"/>
        <charset val="1"/>
      </rPr>
      <t xml:space="preserve">Trainium3 → GB300 </t>
    </r>
    <r>
      <rPr>
        <sz val="11"/>
        <color theme="1"/>
        <rFont val="Noto Sans CJK SC"/>
        <family val="2"/>
      </rPr>
      <t xml:space="preserve">計價）比例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</si>
  <si>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pricing.chips mixAdds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</si>
  <si>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Trainium3 2026 </t>
    </r>
    <r>
      <rPr>
        <sz val="11"/>
        <color theme="1"/>
        <rFont val="Noto Sans CJK SC"/>
        <family val="2"/>
      </rPr>
      <t xml:space="preserve">年初出貨且「接近全數認購」</t>
    </r>
  </si>
  <si>
    <t xml:space="preserve">na_vr26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</si>
  <si>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</si>
  <si>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</si>
  <si>
    <t xml:space="preserve">na_vr27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</si>
  <si>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</si>
  <si>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na_vr28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</si>
  <si>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</t>
    </r>
  </si>
  <si>
    <t xml:space="preserve">cf_chip</t>
  </si>
  <si>
    <r>
      <rPr>
        <sz val="11"/>
        <color theme="1"/>
        <rFont val="Noto Sans CJK SC"/>
        <family val="2"/>
      </rPr>
      <t xml:space="preserve">自研晶片每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收入係數（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</si>
  <si>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對照表 </t>
    </r>
    <r>
      <rPr>
        <sz val="11"/>
        <color theme="1"/>
        <rFont val="Calibri"/>
        <family val="2"/>
        <charset val="1"/>
      </rPr>
      <t xml:space="preserve">r1 C2</t>
    </r>
  </si>
  <si>
    <r>
      <rPr>
        <sz val="11"/>
        <color theme="1"/>
        <rFont val="Noto Sans CJK SC"/>
        <family val="2"/>
      </rPr>
      <t xml:space="preserve">敏感度 </t>
    </r>
    <r>
      <rPr>
        <sz val="11"/>
        <color theme="1"/>
        <rFont val="Calibri"/>
        <family val="2"/>
        <charset val="1"/>
      </rPr>
      <t xml:space="preserve">× 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IF_NonNV_Hold_Trn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Noto Sans CJK SC"/>
        <family val="2"/>
      </rPr>
      <t xml:space="preserve">）</t>
    </r>
  </si>
  <si>
    <t xml:space="preserve">cf_cx</t>
  </si>
  <si>
    <r>
      <rPr>
        <sz val="11"/>
        <color theme="1"/>
        <rFont val="Noto Sans CJK SC"/>
        <family val="2"/>
      </rPr>
      <t xml:space="preserve">自研晶片每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資本支出係數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</si>
  <si>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customCapexFactor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</si>
  <si>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雙邊敏感度時與收入係數同乘 </t>
    </r>
    <r>
      <rPr>
        <sz val="11"/>
        <color theme="1"/>
        <rFont val="Calibri"/>
        <family val="2"/>
        <charset val="1"/>
      </rPr>
      <t xml:space="preserve">0.7</t>
    </r>
  </si>
  <si>
    <t xml:space="preserve">colo_sh</t>
  </si>
  <si>
    <t xml:space="preserve">機房租用比例（第三方託管）</t>
  </si>
  <si>
    <t xml:space="preserve">S29</t>
  </si>
  <si>
    <r>
      <rPr>
        <sz val="11"/>
        <color theme="1"/>
        <rFont val="Noto Sans CJK SC"/>
        <family val="2"/>
      </rPr>
      <t xml:space="preserve">自建比例＝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本列；租用部分不計機房資本支出</t>
    </r>
  </si>
  <si>
    <t xml:space="preserve">rent_rec</t>
  </si>
  <si>
    <r>
      <rPr>
        <sz val="11"/>
        <color theme="1"/>
        <rFont val="Noto Sans CJK SC"/>
        <family val="2"/>
      </rPr>
      <t xml:space="preserve">租用機房年租金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機房資本支出（資本回收係數，</t>
    </r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</si>
  <si>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對照表 </t>
    </r>
    <r>
      <rPr>
        <sz val="11"/>
        <color theme="1"/>
        <rFont val="Calibri"/>
        <family val="2"/>
        <charset val="1"/>
      </rPr>
      <t xml:space="preserve">r1 C22</t>
    </r>
  </si>
  <si>
    <t xml:space="preserve">rent_mw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</si>
  <si>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年機房租金（攤到全部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）＝租用比例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回收係數</t>
    </r>
  </si>
  <si>
    <t xml:space="preserve">上列</t>
  </si>
  <si>
    <t xml:space="preserve">capex_g26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</si>
  <si>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現金資本支出指引（下限）</t>
    </r>
  </si>
  <si>
    <t xml:space="preserve">S11</t>
  </si>
  <si>
    <r>
      <rPr>
        <sz val="11"/>
        <color theme="1"/>
        <rFont val="Noto Sans CJK SC"/>
        <family val="2"/>
      </rPr>
      <t xml:space="preserve">上調自約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；首期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MAX(MW 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指引 − 上半年實際 − 非 </t>
    </r>
    <r>
      <rPr>
        <sz val="11"/>
        <color theme="1"/>
        <rFont val="Calibri"/>
        <family val="2"/>
        <charset val="1"/>
      </rPr>
      <t xml:space="preserve">AI)</t>
    </r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</si>
  <si>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</si>
  <si>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主值：自用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計影子效益、價值中性；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：只計成本）</t>
    </r>
  </si>
  <si>
    <t xml:space="preserve">1/2</t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</si>
  <si>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端預設讀法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</si>
  <si>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</si>
  <si>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ai_rr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</si>
  <si>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營收年化（</t>
    </r>
    <r>
      <rPr>
        <sz val="11"/>
        <color theme="1"/>
        <rFont val="Calibri"/>
        <family val="2"/>
        <charset val="1"/>
      </rPr>
      <t xml:space="preserve">AWS AI run-rate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&gt;25</t>
    </r>
    <r>
      <rPr>
        <sz val="11"/>
        <color theme="1"/>
        <rFont val="Noto Sans CJK SC"/>
        <family val="2"/>
      </rPr>
      <t xml:space="preserve">）</t>
    </r>
  </si>
  <si>
    <t xml:space="preserve">S04</t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</si>
  <si>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驗證列（</t>
    </r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）；不用於校準</t>
    </r>
  </si>
  <si>
    <r>
      <rPr>
        <b val="true"/>
        <sz val="11"/>
        <rFont val="Cambria"/>
        <family val="0"/>
        <charset val="1"/>
      </rPr>
      <t xml:space="preserve">D. AWS </t>
    </r>
    <r>
      <rPr>
        <b val="true"/>
        <sz val="11"/>
        <rFont val="Noto Sans CJK SC"/>
        <family val="2"/>
      </rPr>
      <t xml:space="preserve">其他（非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雲端）</t>
    </r>
  </si>
  <si>
    <t xml:space="preserve">g_awso_lt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</si>
  <si>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</si>
  <si>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gLT 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</si>
  <si>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由近期年增（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）線性收斂</t>
    </r>
  </si>
  <si>
    <t xml:space="preserve">cx_awso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</si>
  <si>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其他資本支出 </t>
    </r>
    <r>
      <rPr>
        <sz val="11"/>
        <color theme="1"/>
        <rFont val="Calibri"/>
        <family val="2"/>
        <charset val="1"/>
      </rPr>
      <t xml:space="preserve">÷ AWS </t>
    </r>
    <r>
      <rPr>
        <sz val="11"/>
        <color theme="1"/>
        <rFont val="Noto Sans CJK SC"/>
        <family val="2"/>
      </rPr>
      <t xml:space="preserve">其他營收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</si>
  <si>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cx 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</si>
  <si>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上緣＝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AWS PP&amp;E </t>
    </r>
    <r>
      <rPr>
        <sz val="11"/>
        <color theme="1"/>
        <rFont val="Noto Sans CJK SC"/>
        <family val="2"/>
      </rPr>
      <t xml:space="preserve">淨增加 </t>
    </r>
    <r>
      <rPr>
        <sz val="11"/>
        <color theme="1"/>
        <rFont val="Calibri"/>
        <family val="2"/>
        <charset val="1"/>
      </rPr>
      <t xml:space="preserve">÷ AWS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27.4%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</si>
  <si>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零售各營收線（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營收類別；北美＋國際）</t>
    </r>
  </si>
  <si>
    <t xml:space="preserve">g_os</t>
  </si>
  <si>
    <r>
      <rPr>
        <sz val="11"/>
        <color theme="1"/>
        <rFont val="Calibri"/>
        <family val="2"/>
        <charset val="1"/>
      </rPr>
      <t xml:space="preserve">Online stores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</si>
  <si>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年增）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校準係數（隱含 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＝指引中點）；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年增線性收斂到本列</t>
    </r>
  </si>
  <si>
    <t xml:space="preserve">g_ps</t>
  </si>
  <si>
    <r>
      <rPr>
        <sz val="11"/>
        <color theme="1"/>
        <rFont val="Calibri"/>
        <family val="2"/>
        <charset val="1"/>
      </rPr>
      <t xml:space="preserve">Physical stores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</si>
  <si>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g_sp</t>
  </si>
  <si>
    <r>
      <rPr>
        <sz val="11"/>
        <color theme="1"/>
        <rFont val="Calibri"/>
        <family val="2"/>
        <charset val="1"/>
      </rPr>
      <t xml:space="preserve">Third-party seller services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</si>
  <si>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g_ad</t>
  </si>
  <si>
    <r>
      <rPr>
        <sz val="11"/>
        <color theme="1"/>
        <rFont val="Calibri"/>
        <family val="2"/>
        <charset val="1"/>
      </rPr>
      <t xml:space="preserve">Advertising services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</si>
  <si>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g_sub</t>
  </si>
  <si>
    <r>
      <rPr>
        <sz val="11"/>
        <color theme="1"/>
        <rFont val="Calibri"/>
        <family val="2"/>
        <charset val="1"/>
      </rPr>
      <t xml:space="preserve">Subscription services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</si>
  <si>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g_ot</t>
  </si>
  <si>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</si>
  <si>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m_ad</t>
  </si>
  <si>
    <r>
      <rPr>
        <sz val="11"/>
        <color theme="1"/>
        <rFont val="Noto Sans CJK SC"/>
        <family val="2"/>
      </rPr>
      <t xml:space="preserve">廣告營業利益率（分攤到北美／國際的方法：見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</si>
  <si>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（廣告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，分部未揭露）</t>
    </r>
  </si>
  <si>
    <r>
      <rPr>
        <sz val="11"/>
        <color theme="1"/>
        <rFont val="Noto Sans CJK SC"/>
        <family val="2"/>
      </rPr>
      <t xml:space="preserve">數位廣告同業 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 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50%–60%</t>
    </r>
    <r>
      <rPr>
        <sz val="11"/>
        <color theme="1"/>
        <rFont val="Noto Sans CJK SC"/>
        <family val="2"/>
      </rPr>
      <t xml:space="preserve">；零售本業利益率＝分部利益扣廣告利潤後的殘差</t>
    </r>
  </si>
  <si>
    <t xml:space="preserve">step_na</t>
  </si>
  <si>
    <r>
      <rPr>
        <sz val="11"/>
        <color theme="1"/>
        <rFont val="Noto Sans CJK SC"/>
        <family val="2"/>
      </rPr>
      <t xml:space="preserve">北美零售本業利益率每年改善（</t>
    </r>
    <r>
      <rPr>
        <sz val="11"/>
        <color theme="1"/>
        <rFont val="Calibri"/>
        <family val="2"/>
        <charset val="1"/>
      </rPr>
      <t xml:space="preserve">2027–2030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</si>
  <si>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</si>
  <si>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改善約 </t>
    </r>
    <r>
      <rPr>
        <sz val="11"/>
        <color theme="1"/>
        <rFont val="Calibri"/>
        <family val="2"/>
        <charset val="1"/>
      </rPr>
      <t xml:space="preserve">0.5pt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頁推導）</t>
    </r>
  </si>
  <si>
    <t xml:space="preserve">step_in</t>
  </si>
  <si>
    <r>
      <rPr>
        <sz val="11"/>
        <color theme="1"/>
        <rFont val="Noto Sans CJK SC"/>
        <family val="2"/>
      </rPr>
      <t xml:space="preserve">國際零售本業利益率每年改善（</t>
    </r>
    <r>
      <rPr>
        <sz val="11"/>
        <color theme="1"/>
        <rFont val="Calibri"/>
        <family val="2"/>
        <charset val="1"/>
      </rPr>
      <t xml:space="preserve">2027–2030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</si>
  <si>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0.3pt</t>
    </r>
  </si>
  <si>
    <t xml:space="preserve">cx_rt</t>
  </si>
  <si>
    <r>
      <rPr>
        <sz val="11"/>
        <color theme="1"/>
        <rFont val="Noto Sans CJK SC"/>
        <family val="2"/>
      </rPr>
      <t xml:space="preserve">零售資本支出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零售營收（北美＋國際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淨增加，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</si>
  <si>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Calibri"/>
        <family val="2"/>
        <charset val="1"/>
      </rPr>
      <t xml:space="preserve">4.48%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5.84%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7.40%</t>
    </r>
    <r>
      <rPr>
        <sz val="11"/>
        <color theme="1"/>
        <rFont val="Noto Sans CJK SC"/>
        <family val="2"/>
      </rPr>
      <t xml:space="preserve">；含分攤的技術基礎設施，可能偏高（沿用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</si>
  <si>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公司層與現金</t>
    </r>
  </si>
  <si>
    <t xml:space="preserve">sbc_r</t>
  </si>
  <si>
    <r>
      <rPr>
        <sz val="11"/>
        <color theme="1"/>
        <rFont val="Noto Sans CJK SC"/>
        <family val="2"/>
      </rPr>
      <t xml:space="preserve">股份基礎給付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營收（近四季）</t>
    </r>
  </si>
  <si>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計入費用；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不加回（視同現金成本）</t>
    </r>
  </si>
  <si>
    <t xml:space="preserve">oth_r</t>
  </si>
  <si>
    <r>
      <rPr>
        <sz val="11"/>
        <color theme="1"/>
        <rFont val="Noto Sans CJK SC"/>
        <family val="2"/>
      </rPr>
      <t xml:space="preserve">營運現金其他項目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營收（營運現金流 −（淨利 − 業外淨額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稅率））− 分部 </t>
    </r>
    <r>
      <rPr>
        <sz val="11"/>
        <color theme="1"/>
        <rFont val="Calibri"/>
        <family val="2"/>
        <charset val="1"/>
      </rPr>
      <t xml:space="preserve">D&amp;A − SBC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</si>
  <si>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2.3%</t>
    </r>
    <r>
      <rPr>
        <sz val="11"/>
        <color theme="1"/>
        <rFont val="Noto Sans CJK SC"/>
        <family val="2"/>
      </rPr>
      <t xml:space="preserve">；扣除業外（持股評價利益為非現金）；影音內容與營業租賃資產攤銷與其現金支出相抵，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只加回分部 </t>
    </r>
    <r>
      <rPr>
        <sz val="11"/>
        <color theme="1"/>
        <rFont val="Calibri"/>
        <family val="2"/>
        <charset val="1"/>
      </rPr>
      <t xml:space="preserve">D&amp;A</t>
    </r>
  </si>
  <si>
    <t xml:space="preserve">lease_pr</t>
  </si>
  <si>
    <t xml:space="preserve">融資租賃本金償還（每年）</t>
  </si>
  <si>
    <r>
      <rPr>
        <sz val="11"/>
        <color theme="1"/>
        <rFont val="Calibri"/>
        <family val="2"/>
        <charset val="1"/>
      </rPr>
      <t xml:space="preserve">2023 4.384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2024 2.043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2025 1.557</t>
    </r>
  </si>
  <si>
    <t xml:space="preserve">sh_g</t>
  </si>
  <si>
    <r>
      <rPr>
        <sz val="11"/>
        <color theme="1"/>
        <rFont val="Noto Sans CJK SC"/>
        <family val="2"/>
      </rPr>
      <t xml:space="preserve">稀釋股數年增（無回購，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稀釋）</t>
    </r>
  </si>
  <si>
    <t xml:space="preserve">S10</t>
  </si>
  <si>
    <r>
      <rPr>
        <sz val="11"/>
        <color theme="1"/>
        <rFont val="Noto Sans CJK SC"/>
        <family val="2"/>
      </rPr>
      <t xml:space="preserve">稀釋加權股數 </t>
    </r>
    <r>
      <rPr>
        <sz val="11"/>
        <color theme="1"/>
        <rFont val="Calibri"/>
        <family val="2"/>
        <charset val="1"/>
      </rPr>
      <t xml:space="preserve">2024→2025 +1.0%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2025→1H26 +0.6%</t>
    </r>
    <r>
      <rPr>
        <sz val="11"/>
        <color theme="1"/>
        <rFont val="Noto Sans CJK SC"/>
        <family val="2"/>
      </rPr>
      <t xml:space="preserve">（半年）</t>
    </r>
  </si>
  <si>
    <t xml:space="preserve">kd_book</t>
  </si>
  <si>
    <r>
      <rPr>
        <sz val="11"/>
        <color theme="1"/>
        <rFont val="Noto Sans CJK SC"/>
        <family val="2"/>
      </rPr>
      <t xml:space="preserve">既有債務平均利率（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× 2 ÷ </t>
    </r>
    <r>
      <rPr>
        <sz val="11"/>
        <color theme="1"/>
        <rFont val="Noto Sans CJK SC"/>
        <family val="2"/>
      </rPr>
      <t xml:space="preserve">平均債務面額）</t>
    </r>
  </si>
  <si>
    <r>
      <rPr>
        <sz val="11"/>
        <color theme="1"/>
        <rFont val="Noto Sans CJK SC"/>
        <family val="2"/>
      </rPr>
      <t xml:space="preserve">既有 </t>
    </r>
    <r>
      <rPr>
        <sz val="11"/>
        <color theme="1"/>
        <rFont val="Calibri"/>
        <family val="2"/>
        <charset val="1"/>
      </rPr>
      <t xml:space="preserve">133.0 </t>
    </r>
    <r>
      <rPr>
        <sz val="11"/>
        <color theme="1"/>
        <rFont val="Noto Sans CJK SC"/>
        <family val="2"/>
      </rPr>
      <t xml:space="preserve">以本列計息；新增借款以 </t>
    </r>
    <r>
      <rPr>
        <sz val="11"/>
        <color theme="1"/>
        <rFont val="Calibri"/>
        <family val="2"/>
        <charset val="1"/>
      </rPr>
      <t xml:space="preserve">kd_new</t>
    </r>
  </si>
  <si>
    <t xml:space="preserve">y_cash</t>
  </si>
  <si>
    <r>
      <rPr>
        <sz val="11"/>
        <color theme="1"/>
        <rFont val="Noto Sans CJK SC"/>
        <family val="2"/>
      </rPr>
      <t xml:space="preserve">現金與有價證券收益率（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× 4 ÷ </t>
    </r>
    <r>
      <rPr>
        <sz val="11"/>
        <color theme="1"/>
        <rFont val="Noto Sans CJK SC"/>
        <family val="2"/>
      </rPr>
      <t xml:space="preserve">期末現金）</t>
    </r>
  </si>
  <si>
    <t xml:space="preserve">cash_q2</t>
  </si>
  <si>
    <r>
      <rPr>
        <sz val="11"/>
        <color theme="1"/>
        <rFont val="Noto Sans CJK SC"/>
        <family val="2"/>
      </rPr>
      <t xml:space="preserve">現金、約當現金與有價證券（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</si>
  <si>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min_cash</t>
  </si>
  <si>
    <t xml:space="preserve">最低現金（低於即舉債）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</si>
  <si>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minCash 50</t>
    </r>
    <r>
      <rPr>
        <sz val="11"/>
        <color theme="1"/>
        <rFont val="Noto Sans CJK SC"/>
        <family val="2"/>
      </rPr>
      <t xml:space="preserve">）</t>
    </r>
  </si>
  <si>
    <t xml:space="preserve">iss_usd</t>
  </si>
  <si>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美元票據</t>
    </r>
  </si>
  <si>
    <r>
      <rPr>
        <sz val="11"/>
        <color theme="1"/>
        <rFont val="Calibri"/>
        <family val="2"/>
        <charset val="1"/>
      </rPr>
      <t xml:space="preserve">S02</t>
    </r>
    <r>
      <rPr>
        <sz val="11"/>
        <color theme="1"/>
        <rFont val="Noto Sans CJK SC"/>
        <family val="2"/>
      </rPr>
      <t xml:space="preserve">（期後事項）</t>
    </r>
  </si>
  <si>
    <t xml:space="preserve">iss_gbp</t>
  </si>
  <si>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英鎊票據（</t>
    </r>
    <r>
      <rPr>
        <sz val="11"/>
        <color theme="1"/>
        <rFont val="Calibri"/>
        <family val="2"/>
        <charset val="1"/>
      </rPr>
      <t xml:space="preserve">£bn</t>
    </r>
    <r>
      <rPr>
        <sz val="11"/>
        <color theme="1"/>
        <rFont val="Noto Sans CJK SC"/>
        <family val="2"/>
      </rPr>
      <t xml:space="preserve">）</t>
    </r>
  </si>
  <si>
    <t xml:space="preserve">£bn</t>
  </si>
  <si>
    <t xml:space="preserve">S12</t>
  </si>
  <si>
    <r>
      <rPr>
        <sz val="11"/>
        <color theme="1"/>
        <rFont val="Calibri"/>
        <family val="2"/>
        <charset val="1"/>
      </rPr>
      <t xml:space="preserve">5.200% 2029 £1.25B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5.550% 2032 £1.0B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6.250% 2038 £1.0B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6.650% 2045 £1.0B</t>
    </r>
  </si>
  <si>
    <t xml:space="preserve">fx_gbp</t>
  </si>
  <si>
    <r>
      <rPr>
        <sz val="11"/>
        <color theme="1"/>
        <rFont val="Noto Sans CJK SC"/>
        <family val="2"/>
      </rPr>
      <t xml:space="preserve">英鎊匯率（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£</t>
    </r>
    <r>
      <rPr>
        <sz val="11"/>
        <color theme="1"/>
        <rFont val="Noto Sans CJK SC"/>
        <family val="2"/>
      </rPr>
      <t xml:space="preserve">；事實總帳換算值 </t>
    </r>
    <r>
      <rPr>
        <sz val="11"/>
        <color theme="1"/>
        <rFont val="Calibri"/>
        <family val="2"/>
        <charset val="1"/>
      </rPr>
      <t xml:space="preserve">4.25 ÷ 3.25</t>
    </r>
    <r>
      <rPr>
        <sz val="11"/>
        <color theme="1"/>
        <rFont val="Noto Sans CJK SC"/>
        <family val="2"/>
      </rPr>
      <t xml:space="preserve">）</t>
    </r>
  </si>
  <si>
    <t xml:space="preserve">US$/£</t>
  </si>
  <si>
    <t xml:space="preserve">iss_2h26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</si>
  <si>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下半年已發行債券＝美元＋英鎊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</si>
  <si>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t xml:space="preserve">iss_t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</si>
  <si>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新發債券的平均流通期間（年；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月與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月發行）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</si>
  <si>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：公式內寫死改為鍵）</t>
    </r>
  </si>
  <si>
    <t xml:space="preserve">inv_2h26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</si>
  <si>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下半年策略投資（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35.0 </t>
    </r>
    <r>
      <rPr>
        <sz val="11"/>
        <color theme="1"/>
        <rFont val="Noto Sans CJK SC"/>
        <family val="2"/>
      </rPr>
      <t xml:space="preserve">的期後補足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</si>
  <si>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尚可動用的 </t>
    </r>
    <r>
      <rPr>
        <sz val="11"/>
        <color theme="1"/>
        <rFont val="Calibri"/>
        <family val="2"/>
        <charset val="1"/>
      </rPr>
      <t xml:space="preserve">15.0 </t>
    </r>
    <r>
      <rPr>
        <sz val="11"/>
        <color theme="1"/>
        <rFont val="Noto Sans CJK SC"/>
        <family val="2"/>
      </rPr>
      <t xml:space="preserve">融資額度依里程碑，不列</t>
    </r>
  </si>
  <si>
    <t xml:space="preserve">dps</t>
  </si>
  <si>
    <t xml:space="preserve">每股股利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</si>
  <si>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未發放現金股利；</t>
    </r>
    <r>
      <rPr>
        <sz val="11"/>
        <color theme="1"/>
        <rFont val="Calibri"/>
        <family val="2"/>
        <charset val="1"/>
      </rPr>
      <t xml:space="preserve">2023–2026H1 </t>
    </r>
    <r>
      <rPr>
        <sz val="11"/>
        <color theme="1"/>
        <rFont val="Noto Sans CJK SC"/>
        <family val="2"/>
      </rPr>
      <t xml:space="preserve">無回購（授權剩 </t>
    </r>
    <r>
      <rPr>
        <sz val="11"/>
        <color theme="1"/>
        <rFont val="Calibri"/>
        <family val="2"/>
        <charset val="1"/>
      </rPr>
      <t xml:space="preserve">6.1B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</si>
  <si>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持股（分部加總與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都加；預測期業外評價損益設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</si>
  <si>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ant_val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</si>
  <si>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投後估值（</t>
    </r>
    <r>
      <rPr>
        <sz val="11"/>
        <color theme="1"/>
        <rFont val="Calibri"/>
        <family val="2"/>
        <charset val="1"/>
      </rPr>
      <t xml:space="preserve">Series H</t>
    </r>
    <r>
      <rPr>
        <sz val="11"/>
        <color theme="1"/>
        <rFont val="Noto Sans CJK SC"/>
        <family val="2"/>
      </rPr>
      <t xml:space="preserve">）</t>
    </r>
  </si>
  <si>
    <t xml:space="preserve">S25</t>
  </si>
  <si>
    <t xml:space="preserve">新創自報估值</t>
  </si>
  <si>
    <t xml:space="preserve">ant_sh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</si>
  <si>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</si>
  <si>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S26</t>
    </r>
  </si>
  <si>
    <r>
      <rPr>
        <sz val="11"/>
        <color theme="1"/>
        <rFont val="Calibri"/>
        <family val="2"/>
        <charset val="1"/>
      </rPr>
      <t xml:space="preserve">Fortune 15%–19%</t>
    </r>
    <r>
      <rPr>
        <sz val="11"/>
        <color theme="1"/>
        <rFont val="Noto Sans CJK SC"/>
        <family val="2"/>
      </rPr>
      <t xml:space="preserve">、帳列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19.7%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Crypto Briefing 21%</t>
    </r>
    <r>
      <rPr>
        <sz val="11"/>
        <color theme="1"/>
        <rFont val="Noto Sans CJK SC"/>
        <family val="2"/>
      </rPr>
      <t xml:space="preserve">（無法查證）</t>
    </r>
  </si>
  <si>
    <t xml:space="preserve">oai_val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</si>
  <si>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投後估值（投前 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＋該輪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）</t>
    </r>
  </si>
  <si>
    <t xml:space="preserve">S27</t>
  </si>
  <si>
    <t xml:space="preserve">oai_sh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</si>
  <si>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比例（投入 </t>
    </r>
    <r>
      <rPr>
        <sz val="11"/>
        <color theme="1"/>
        <rFont val="Calibri"/>
        <family val="2"/>
        <charset val="1"/>
      </rPr>
      <t xml:space="preserve">50 ÷ 840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</si>
  <si>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資本結構（</t>
    </r>
    <r>
      <rPr>
        <sz val="11"/>
        <color theme="1"/>
        <rFont val="Calibri"/>
        <family val="2"/>
        <charset val="1"/>
      </rPr>
      <t xml:space="preserve">PBC</t>
    </r>
    <r>
      <rPr>
        <sz val="11"/>
        <color theme="1"/>
        <rFont val="Noto Sans CJK SC"/>
        <family val="2"/>
      </rPr>
      <t xml:space="preserve">＋基金會）可能使比例不同</t>
    </r>
  </si>
  <si>
    <t xml:space="preserve">liq_disc</t>
  </si>
  <si>
    <t xml:space="preserve">持股流動性折價</t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</si>
  <si>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</si>
  <si>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m_ai</t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</si>
  <si>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倍數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</si>
  <si>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（對照表 </t>
    </r>
    <r>
      <rPr>
        <sz val="11"/>
        <color theme="1"/>
        <rFont val="Calibri"/>
        <family val="2"/>
        <charset val="1"/>
      </rPr>
      <t xml:space="preserve">D6</t>
    </r>
    <r>
      <rPr>
        <sz val="11"/>
        <color theme="1"/>
        <rFont val="Noto Sans CJK SC"/>
        <family val="2"/>
      </rPr>
      <t xml:space="preserve">：跨 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可比）</t>
    </r>
  </si>
  <si>
    <r>
      <rPr>
        <sz val="11"/>
        <color theme="1"/>
        <rFont val="Calibri"/>
        <family val="2"/>
        <charset val="1"/>
      </rPr>
      <t xml:space="preserve">CRWV TTM 25.0×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16.5×</t>
    </r>
    <r>
      <rPr>
        <sz val="11"/>
        <color theme="1"/>
        <rFont val="Noto Sans CJK SC"/>
        <family val="2"/>
      </rPr>
      <t xml:space="preserve">（只作對照）；已知可能偏低，</t>
    </r>
    <r>
      <rPr>
        <sz val="11"/>
        <color theme="1"/>
        <rFont val="Calibri"/>
        <family val="2"/>
        <charset val="1"/>
      </rPr>
      <t xml:space="preserve">Sens 10×</t>
    </r>
  </si>
  <si>
    <t xml:space="preserve">ai_leg</t>
  </si>
  <si>
    <r>
      <rPr>
        <sz val="11"/>
        <color theme="1"/>
        <rFont val="Noto Sans CJK SC"/>
        <family val="2"/>
      </rPr>
      <t xml:space="preserve">分部加總中 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的評價法（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，主值；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EBITDA × m_ai </t>
    </r>
    <r>
      <rPr>
        <sz val="11"/>
        <color theme="1"/>
        <rFont val="Noto Sans CJK SC"/>
        <family val="2"/>
      </rPr>
      <t xml:space="preserve">倍數，對照）</t>
    </r>
  </si>
  <si>
    <t xml:space="preserve">0/1</t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</si>
  <si>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</si>
  <si>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是資本密集業務，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倍數忽略汰換與成長資本支出</t>
    </r>
  </si>
  <si>
    <t xml:space="preserve">m_x</t>
  </si>
  <si>
    <r>
      <rPr>
        <sz val="11"/>
        <color theme="1"/>
        <rFont val="Noto Sans CJK SC"/>
        <family val="2"/>
      </rPr>
      <t xml:space="preserve">分部倍數乘數（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</si>
  <si>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Sens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</si>
  <si>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市場共識（只作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對照，不校準）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</si>
  <si>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</si>
  <si>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</si>
  <si>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S16</t>
  </si>
  <si>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口徑由供應商定義</t>
    </r>
  </si>
  <si>
    <t xml:space="preserve">c_ebitda26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</si>
  <si>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</si>
  <si>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c_ebit26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</si>
  <si>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EBIT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</si>
  <si>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</si>
  <si>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</si>
  <si>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</si>
  <si>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</si>
  <si>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c_capex26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</si>
  <si>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</si>
  <si>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c_fcf26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</si>
  <si>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自由現金流（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</si>
  <si>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</si>
  <si>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</si>
  <si>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c_ebitda27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</si>
  <si>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</si>
  <si>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c_ebit27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</si>
  <si>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EBIT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</si>
  <si>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</si>
  <si>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</si>
  <si>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</si>
  <si>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</si>
  <si>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c_capex27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</si>
  <si>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</si>
  <si>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c_fcf27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</si>
  <si>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自由現金流（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</si>
  <si>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</si>
  <si>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</si>
  <si>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c_ebitda28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</si>
  <si>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</si>
  <si>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c_ebit28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</si>
  <si>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EBIT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</si>
  <si>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</si>
  <si>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</si>
  <si>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</si>
  <si>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</si>
  <si>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c_capex28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</si>
  <si>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</si>
  <si>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c_fcf28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</si>
  <si>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自由現金流（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</si>
  <si>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c_sprev26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</si>
  <si>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</si>
  <si>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位</t>
    </r>
  </si>
  <si>
    <t xml:space="preserve">c_sprev27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</si>
  <si>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</si>
  <si>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c_speps26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</si>
  <si>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</si>
  <si>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評價利益）</t>
    </r>
  </si>
  <si>
    <t xml:space="preserve">c_speps27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</si>
  <si>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</si>
  <si>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g26q3_lo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</si>
  <si>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營收下緣</t>
    </r>
  </si>
  <si>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9%–12%</t>
    </r>
  </si>
  <si>
    <t xml:space="preserve">g26q3_hi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</si>
  <si>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營收上緣</t>
    </r>
  </si>
  <si>
    <t xml:space="preserve">g26q3_oilo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</si>
  <si>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營業利益下緣</t>
    </r>
  </si>
  <si>
    <t xml:space="preserve">g26q3_oihi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</si>
  <si>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營業利益上緣</t>
    </r>
  </si>
  <si>
    <t xml:space="preserve">g26q3_mid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</si>
  <si>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營收中點（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零售營收校準目標）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</si>
  <si>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的時點影響約 −</t>
    </r>
    <r>
      <rPr>
        <sz val="11"/>
        <color theme="1"/>
        <rFont val="Calibri"/>
        <family val="2"/>
        <charset val="1"/>
      </rPr>
      <t xml:space="preserve">400bp</t>
    </r>
    <r>
      <rPr>
        <sz val="11"/>
        <color theme="1"/>
        <rFont val="Noto Sans CJK SC"/>
        <family val="2"/>
      </rPr>
      <t xml:space="preserve">、匯率 −</t>
    </r>
    <r>
      <rPr>
        <sz val="11"/>
        <color theme="1"/>
        <rFont val="Calibri"/>
        <family val="2"/>
        <charset val="1"/>
      </rPr>
      <t xml:space="preserve">80bp</t>
    </r>
  </si>
  <si>
    <r>
      <rPr>
        <b val="true"/>
        <sz val="11"/>
        <rFont val="Cambria"/>
        <family val="0"/>
        <charset val="1"/>
      </rPr>
      <t xml:space="preserve">I. v0.2.2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差異拆解用）</t>
    </r>
  </si>
  <si>
    <t xml:space="preserve">v022_tp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</si>
  <si>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</si>
  <si>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docs/handoff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交接檔）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</si>
  <si>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220.09</t>
    </r>
    <r>
      <rPr>
        <sz val="11"/>
        <color theme="1"/>
        <rFont val="Noto Sans CJK SC"/>
        <family val="2"/>
      </rPr>
      <t xml:space="preserve">；三情境 </t>
    </r>
    <r>
      <rPr>
        <sz val="11"/>
        <color theme="1"/>
        <rFont val="Calibri"/>
        <family val="2"/>
        <charset val="1"/>
      </rPr>
      <t xml:space="preserve">212.33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201.71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201.14 </t>
    </r>
    <r>
      <rPr>
        <sz val="11"/>
        <color theme="1"/>
        <rFont val="Noto Sans CJK SC"/>
        <family val="2"/>
      </rPr>
      <t xml:space="preserve">皆賣出</t>
    </r>
  </si>
  <si>
    <t xml:space="preserve">v022_px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</si>
  <si>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</si>
  <si>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legacy_v0.2</t>
  </si>
  <si>
    <t xml:space="preserve">v022_wdcf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</si>
  <si>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評價權重：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</si>
  <si>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EV/EBITDA 55%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</si>
  <si>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US$bn</t>
    </r>
    <r>
      <rPr>
        <sz val="11"/>
        <color theme="1"/>
        <rFont val="Noto Sans CJK SC"/>
        <family val="2"/>
      </rPr>
      <t xml:space="preserve">；股數十億股）：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、最近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季（</t>
    </r>
    <r>
      <rPr>
        <sz val="11"/>
        <color theme="1"/>
        <rFont val="Calibri"/>
        <family val="2"/>
        <charset val="1"/>
      </rPr>
      <t xml:space="preserve">2024Q3–2026Q2</t>
    </r>
    <r>
      <rPr>
        <sz val="11"/>
        <color theme="1"/>
        <rFont val="Noto Sans CJK SC"/>
        <family val="2"/>
      </rPr>
      <t xml:space="preserve">）與半年合計。資料取自 </t>
    </r>
    <r>
      <rPr>
        <sz val="11"/>
        <color theme="1"/>
        <rFont val="Calibri"/>
        <family val="2"/>
        <charset val="1"/>
      </rPr>
      <t xml:space="preserve">data/amazon_facts_20261008.json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、財報新聞稿逐季補充表），藍字＝事實值、黑字＝加總或換算。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（美國時間）公布，本版未納入</t>
    </r>
  </si>
  <si>
    <r>
      <rPr>
        <sz val="11"/>
        <color theme="1"/>
        <rFont val="Noto Sans CJK SC"/>
        <family val="2"/>
      </rPr>
      <t xml:space="preserve">核對列（綠底）：零售營收線合計＝北美＋國際、營收線合計＝合併營收、分部合計＝合併營收、分部營業利益合計＋未分攤＝合併營業利益；實績皆須為 </t>
    </r>
    <r>
      <rPr>
        <sz val="11"/>
        <color theme="1"/>
        <rFont val="Calibri"/>
        <family val="2"/>
        <charset val="1"/>
      </rPr>
      <t xml:space="preserve">0</t>
    </r>
  </si>
  <si>
    <t xml:space="preserve">FY2023A</t>
  </si>
  <si>
    <t xml:space="preserve">FY2024A</t>
  </si>
  <si>
    <t xml:space="preserve">FY2025A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</si>
  <si>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</si>
  <si>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</si>
  <si>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</si>
  <si>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</si>
  <si>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</si>
  <si>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</si>
  <si>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</si>
  <si>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</si>
  <si>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1H25</t>
  </si>
  <si>
    <t xml:space="preserve">2H25</t>
  </si>
  <si>
    <t xml:space="preserve">1H26</t>
  </si>
  <si>
    <r>
      <rPr>
        <b val="true"/>
        <sz val="11"/>
        <rFont val="Noto Sans CJK SC"/>
        <family val="2"/>
      </rPr>
      <t xml:space="preserve">近四季（</t>
    </r>
    <r>
      <rPr>
        <b val="true"/>
        <sz val="11"/>
        <rFont val="Cambria"/>
        <family val="0"/>
        <charset val="1"/>
      </rPr>
      <t xml:space="preserve">2025Q3–2026Q2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</si>
  <si>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官方報告分部營收（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附註：</t>
    </r>
    <r>
      <rPr>
        <b val="true"/>
        <sz val="11"/>
        <rFont val="Cambria"/>
        <family val="0"/>
        <charset val="1"/>
      </rPr>
      <t xml:space="preserve">North America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International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）</t>
    </r>
  </si>
  <si>
    <t xml:space="preserve">North America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</si>
  <si>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</si>
  <si>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S08</t>
    </r>
    <r>
      <rPr>
        <sz val="11"/>
        <color theme="1"/>
        <rFont val="Noto Sans CJK SC"/>
        <family val="2"/>
      </rPr>
      <t xml:space="preserve">（逐季補充表）</t>
    </r>
  </si>
  <si>
    <t xml:space="preserve">International</t>
  </si>
  <si>
    <t xml:space="preserve">AWS</t>
  </si>
  <si>
    <t xml:space="preserve">合併營收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</si>
  <si>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營收線（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營收類別；零售各線＝北美＋國際，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線＝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分部）</t>
    </r>
  </si>
  <si>
    <t xml:space="preserve">Online stores</t>
  </si>
  <si>
    <t xml:space="preserve">Physical stores</t>
  </si>
  <si>
    <t xml:space="preserve">Third-party seller services</t>
  </si>
  <si>
    <t xml:space="preserve">Advertising services</t>
  </si>
  <si>
    <t xml:space="preserve">Subscription services</t>
  </si>
  <si>
    <t xml:space="preserve">Other</t>
  </si>
  <si>
    <r>
      <rPr>
        <sz val="11"/>
        <color theme="1"/>
        <rFont val="Noto Sans CJK SC"/>
        <family val="2"/>
      </rPr>
      <t xml:space="preserve">零售營收線合計（不含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</si>
  <si>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（營收線）</t>
    </r>
  </si>
  <si>
    <r>
      <rPr>
        <sz val="11"/>
        <color theme="1"/>
        <rFont val="Noto Sans CJK SC"/>
        <family val="2"/>
      </rPr>
      <t xml:space="preserve">檢查：零售營收線合計 − </t>
    </r>
    <r>
      <rPr>
        <sz val="11"/>
        <color theme="1"/>
        <rFont val="Calibri"/>
        <family val="2"/>
        <charset val="1"/>
      </rPr>
      <t xml:space="preserve">(North America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International)</t>
    </r>
  </si>
  <si>
    <r>
      <rPr>
        <sz val="11"/>
        <color theme="1"/>
        <rFont val="Noto Sans CJK SC"/>
        <family val="2"/>
      </rPr>
      <t xml:space="preserve">檢查：營收線合計（含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）− 合併營收</t>
    </r>
  </si>
  <si>
    <t xml:space="preserve">檢查：分部合計 − 合併營收</t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</si>
  <si>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分部營業利益</t>
    </r>
  </si>
  <si>
    <r>
      <rPr>
        <sz val="11"/>
        <color theme="1"/>
        <rFont val="Calibri"/>
        <family val="2"/>
        <charset val="1"/>
      </rPr>
      <t xml:space="preserve">North America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</si>
  <si>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International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</si>
  <si>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</t>
    </r>
  </si>
  <si>
    <t xml:space="preserve">合併營業利益</t>
  </si>
  <si>
    <r>
      <rPr>
        <sz val="11"/>
        <color theme="1"/>
        <rFont val="Noto Sans CJK SC"/>
        <family val="2"/>
      </rPr>
      <t xml:space="preserve">未分攤（合併 − 分部合計；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分部已含全部費用）</t>
    </r>
  </si>
  <si>
    <t xml:space="preserve">檢查：分部營業利益合計＋未分攤 − 合併營業利益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</si>
  <si>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分部折舊攤銷（不含影音內容與營業租賃資產攤銷；</t>
    </r>
    <r>
      <rPr>
        <b val="true"/>
        <sz val="11"/>
        <rFont val="Cambria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季度 </t>
    </r>
    <r>
      <rPr>
        <b val="true"/>
        <sz val="11"/>
        <rFont val="Cambria"/>
        <family val="0"/>
        <charset val="1"/>
      </rPr>
      <t xml:space="preserve">facts </t>
    </r>
    <r>
      <rPr>
        <b val="true"/>
        <sz val="11"/>
        <rFont val="Noto Sans CJK SC"/>
        <family val="2"/>
      </rPr>
      <t xml:space="preserve">未收；</t>
    </r>
    <r>
      <rPr>
        <b val="true"/>
        <sz val="11"/>
        <rFont val="Cambria"/>
        <family val="0"/>
        <charset val="1"/>
      </rPr>
      <t xml:space="preserve">2025Q4</t>
    </r>
    <r>
      <rPr>
        <b val="true"/>
        <sz val="11"/>
        <rFont val="Noto Sans CJK SC"/>
        <family val="2"/>
      </rPr>
      <t xml:space="preserve">＝全年 − 前三季）</t>
    </r>
  </si>
  <si>
    <r>
      <rPr>
        <sz val="11"/>
        <color theme="1"/>
        <rFont val="Calibri"/>
        <family val="2"/>
        <charset val="1"/>
      </rPr>
      <t xml:space="preserve">North America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</si>
  <si>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S03</t>
    </r>
  </si>
  <si>
    <r>
      <rPr>
        <sz val="11"/>
        <color theme="1"/>
        <rFont val="Calibri"/>
        <family val="2"/>
        <charset val="1"/>
      </rPr>
      <t xml:space="preserve">International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</si>
  <si>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折舊攤銷</t>
    </r>
  </si>
  <si>
    <t xml:space="preserve">分部折舊攤銷合計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</si>
  <si>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損益（業外、稅、淨利）</t>
    </r>
  </si>
  <si>
    <t xml:space="preserve">利息費用</t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</si>
  <si>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S04</t>
    </r>
  </si>
  <si>
    <r>
      <rPr>
        <sz val="11"/>
        <color theme="1"/>
        <rFont val="Noto Sans CJK SC"/>
        <family val="2"/>
      </rPr>
      <t xml:space="preserve">利息收入（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</si>
  <si>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t xml:space="preserve">稅前淨利</t>
  </si>
  <si>
    <t xml:space="preserve">所得稅</t>
  </si>
  <si>
    <t xml:space="preserve">淨利</t>
  </si>
  <si>
    <r>
      <rPr>
        <sz val="11"/>
        <color theme="1"/>
        <rFont val="Noto Sans CJK SC"/>
        <family val="2"/>
      </rPr>
      <t xml:space="preserve">業外淨額（稅前 − 營業利益＋利息費用；含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等持股評價利益）</t>
    </r>
  </si>
  <si>
    <t xml:space="preserve">有效稅率</t>
  </si>
  <si>
    <t xml:space="preserve">稀釋加權股數</t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</si>
  <si>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稀釋加權股數）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</si>
  <si>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現金流量、資本支出與股東回饋</t>
    </r>
  </si>
  <si>
    <t xml:space="preserve">營運現金流</t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</si>
  <si>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S09</t>
    </r>
  </si>
  <si>
    <r>
      <rPr>
        <sz val="11"/>
        <color theme="1"/>
        <rFont val="Noto Sans CJK SC"/>
        <family val="2"/>
      </rPr>
      <t xml:space="preserve">資本支出（購置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，總額）</t>
    </r>
  </si>
  <si>
    <t xml:space="preserve">資本支出（現金，淨額＝購置 − 出售及獎勵）</t>
  </si>
  <si>
    <t xml:space="preserve">由同季新聞稿現金流量表換算</t>
  </si>
  <si>
    <t xml:space="preserve">折舊攤銷（現金流量表；含影音內容與營業租賃資產）</t>
  </si>
  <si>
    <t xml:space="preserve">股份基礎給付</t>
  </si>
  <si>
    <t xml:space="preserve">自由現金流（公司口徑＝營運現金流 − 資本支出淨額）</t>
  </si>
  <si>
    <t xml:space="preserve">融資租賃本金償還</t>
  </si>
  <si>
    <t xml:space="preserve">買回庫藏股</t>
  </si>
  <si>
    <t xml:space="preserve">現金股利</t>
  </si>
  <si>
    <r>
      <rPr>
        <sz val="11"/>
        <color theme="1"/>
        <rFont val="Noto Sans CJK SC"/>
        <family val="2"/>
      </rPr>
      <t xml:space="preserve">策略投資（收購與投資；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上半年含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</si>
  <si>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7. </t>
    </r>
    <r>
      <rPr>
        <b val="true"/>
        <sz val="11"/>
        <rFont val="Noto Sans CJK SC"/>
        <family val="2"/>
      </rPr>
      <t xml:space="preserve">資本支出分布（</t>
    </r>
    <r>
      <rPr>
        <b val="true"/>
        <sz val="11"/>
        <rFont val="Cambria"/>
        <family val="0"/>
        <charset val="1"/>
      </rPr>
      <t xml:space="preserve">PP&amp;E </t>
    </r>
    <r>
      <rPr>
        <b val="true"/>
        <sz val="11"/>
        <rFont val="Noto Sans CJK SC"/>
        <family val="2"/>
      </rPr>
      <t xml:space="preserve">淨增加，含融資租賃取得與已取得未付款；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分部附註）</t>
    </r>
  </si>
  <si>
    <r>
      <rPr>
        <sz val="11"/>
        <color theme="1"/>
        <rFont val="Calibri"/>
        <family val="2"/>
        <charset val="1"/>
      </rPr>
      <t xml:space="preserve">North America PP&amp;E </t>
    </r>
    <r>
      <rPr>
        <sz val="11"/>
        <color theme="1"/>
        <rFont val="Noto Sans CJK SC"/>
        <family val="2"/>
      </rPr>
      <t xml:space="preserve">淨增加</t>
    </r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</si>
  <si>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S02</t>
    </r>
  </si>
  <si>
    <r>
      <rPr>
        <sz val="11"/>
        <color theme="1"/>
        <rFont val="Calibri"/>
        <family val="2"/>
        <charset val="1"/>
      </rPr>
      <t xml:space="preserve">International PP&amp;E </t>
    </r>
    <r>
      <rPr>
        <sz val="11"/>
        <color theme="1"/>
        <rFont val="Noto Sans CJK SC"/>
        <family val="2"/>
      </rPr>
      <t xml:space="preserve">淨增加</t>
    </r>
  </si>
  <si>
    <r>
      <rPr>
        <sz val="11"/>
        <color theme="1"/>
        <rFont val="Calibri"/>
        <family val="2"/>
        <charset val="1"/>
      </rPr>
      <t xml:space="preserve">AWS PP&amp;E </t>
    </r>
    <r>
      <rPr>
        <sz val="11"/>
        <color theme="1"/>
        <rFont val="Noto Sans CJK SC"/>
        <family val="2"/>
      </rPr>
      <t xml:space="preserve">淨增加</t>
    </r>
  </si>
  <si>
    <r>
      <rPr>
        <sz val="11"/>
        <color theme="1"/>
        <rFont val="Noto Sans CJK SC"/>
        <family val="2"/>
      </rPr>
      <t xml:space="preserve">公司層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淨增加</t>
    </r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</si>
  <si>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淨增加合計</t>
    </r>
  </si>
  <si>
    <r>
      <rPr>
        <b val="true"/>
        <sz val="11"/>
        <rFont val="Cambria"/>
        <family val="0"/>
        <charset val="1"/>
      </rPr>
      <t xml:space="preserve">8. </t>
    </r>
    <r>
      <rPr>
        <b val="true"/>
        <sz val="11"/>
        <rFont val="Noto Sans CJK SC"/>
        <family val="2"/>
      </rPr>
      <t xml:space="preserve">期末餘額</t>
    </r>
  </si>
  <si>
    <t xml:space="preserve">現金、約當現金與有價證券</t>
  </si>
  <si>
    <t xml:space="preserve">債務面額</t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</si>
  <si>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＝對外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</t>
    </r>
    <r>
      <rPr>
        <sz val="11"/>
        <color theme="1"/>
        <rFont val="Calibri"/>
        <family val="2"/>
        <charset val="1"/>
      </rPr>
      <t xml:space="preserve">Tokenomics v21.4 IF_HoldEcon × 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以同期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世代計價，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資本支出（含自用）→ </t>
    </r>
    <r>
      <rPr>
        <sz val="11"/>
        <color theme="1"/>
        <rFont val="Calibri"/>
        <family val="2"/>
        <charset val="1"/>
      </rPr>
      <t xml:space="preserve">IT 6 </t>
    </r>
    <r>
      <rPr>
        <sz val="11"/>
        <color theme="1"/>
        <rFont val="Noto Sans CJK SC"/>
        <family val="2"/>
      </rPr>
      <t xml:space="preserve">年／機房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年折舊（次年起提列）→ 對外部分進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營業利益、自用部分進北美／國際營業利益。三情境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依序排列</t>
    </r>
  </si>
  <si>
    <r>
      <rPr>
        <sz val="11"/>
        <color theme="1"/>
        <rFont val="Noto Sans CJK SC"/>
        <family val="2"/>
      </rPr>
      <t xml:space="preserve">情境差異集中在命題驅動：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＝公司容量目標速度＋新產能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價格軸高；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＝資本支出指引隱含速度（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）＋基準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同速度（資本支出照指引）＋新產能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價格軸低。非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業務三情境相同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</si>
  <si>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</si>
  <si>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t xml:space="preserve">1H26A</t>
  </si>
  <si>
    <t xml:space="preserve">2H26E</t>
  </si>
  <si>
    <r>
      <rPr>
        <b val="true"/>
        <sz val="11"/>
        <rFont val="Cambria"/>
        <family val="0"/>
        <charset val="1"/>
      </rPr>
      <t xml:space="preserve">FY2026E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1H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 </t>
    </r>
    <r>
      <rPr>
        <b val="true"/>
        <sz val="11"/>
        <rFont val="Noto Sans CJK SC"/>
        <family val="2"/>
      </rPr>
      <t xml:space="preserve">模型）</t>
    </r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</si>
  <si>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</si>
  <si>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</si>
  <si>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</si>
  <si>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</si>
  <si>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</si>
  <si>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</si>
  <si>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1H25A</t>
  </si>
  <si>
    <t xml:space="preserve">2H25A</t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</si>
  <si>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容量（對外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 </t>
    </r>
    <r>
      <rPr>
        <b val="true"/>
        <sz val="11"/>
        <rFont val="Cambria"/>
        <family val="0"/>
        <charset val="1"/>
      </rPr>
      <t xml:space="preserve">MW-IT</t>
    </r>
    <r>
      <rPr>
        <b val="true"/>
        <sz val="11"/>
        <rFont val="Noto Sans CJK SC"/>
        <family val="2"/>
      </rPr>
      <t xml:space="preserve">；期末）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</si>
  <si>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MW 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</si>
  <si>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終值不落在建置高峰（共同修正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</si>
  <si>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（期末）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</si>
  <si>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mw_open</t>
    </r>
    <r>
      <rPr>
        <sz val="11"/>
        <color theme="1"/>
        <rFont val="Noto Sans CJK SC"/>
        <family val="2"/>
      </rPr>
      <t xml:space="preserve">；每年新增＝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（情境）；歷史年底值只用於分拆與折舊年份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</si>
  <si>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（期間）</t>
    </r>
  </si>
  <si>
    <t xml:space="preserve">期間長度</t>
  </si>
  <si>
    <r>
      <rPr>
        <sz val="11"/>
        <color theme="1"/>
        <rFont val="Noto Sans CJK SC"/>
        <family val="2"/>
      </rPr>
      <t xml:space="preserve">新增對外 </t>
    </r>
    <r>
      <rPr>
        <sz val="11"/>
        <color theme="1"/>
        <rFont val="Calibri"/>
        <family val="2"/>
        <charset val="1"/>
      </rPr>
      <t xml:space="preserve">AI MW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</si>
  <si>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（含自用＝對外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對外比例）</t>
    </r>
  </si>
  <si>
    <r>
      <rPr>
        <sz val="11"/>
        <color theme="1"/>
        <rFont val="Calibri"/>
        <family val="2"/>
        <charset val="1"/>
      </rPr>
      <t xml:space="preserve">R–AA </t>
    </r>
    <r>
      <rPr>
        <sz val="11"/>
        <color theme="1"/>
        <rFont val="Noto Sans CJK SC"/>
        <family val="2"/>
      </rPr>
      <t xml:space="preserve">欄：依年份（折舊與汰換用）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</si>
  <si>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新增產能的世代與單位經濟（</t>
    </r>
    <r>
      <rPr>
        <b val="true"/>
        <sz val="11"/>
        <rFont val="Cambria"/>
        <family val="0"/>
        <charset val="1"/>
      </rPr>
      <t xml:space="preserve">Tokenomics v21.4 </t>
    </r>
    <r>
      <rPr>
        <b val="true"/>
        <sz val="11"/>
        <rFont val="Noto Sans CJK SC"/>
        <family val="2"/>
      </rPr>
      <t xml:space="preserve">基準成本；自研晶片以同期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世代計價，</t>
    </r>
    <r>
      <rPr>
        <b val="true"/>
        <sz val="11"/>
        <rFont val="Cambria"/>
        <family val="0"/>
        <charset val="1"/>
      </rPr>
      <t xml:space="preserve">C2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</si>
  <si>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</si>
  <si>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（含自研晶片係數）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</si>
  <si>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加權營運費用（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</si>
  <si>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；含自研晶片資本支出係數）</t>
    </r>
  </si>
  <si>
    <r>
      <rPr>
        <sz val="11"/>
        <color theme="1"/>
        <rFont val="Noto Sans CJK SC"/>
        <family val="2"/>
      </rPr>
      <t xml:space="preserve">期初後新增對外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累計（期末）</t>
    </r>
  </si>
  <si>
    <r>
      <rPr>
        <sz val="11"/>
        <color theme="1"/>
        <rFont val="Calibri"/>
        <family val="2"/>
        <charset val="1"/>
      </rPr>
      <t xml:space="preserve">  Σ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× HoldEcon</t>
    </r>
  </si>
  <si>
    <t xml:space="preserve">US$m</t>
  </si>
  <si>
    <r>
      <rPr>
        <sz val="11"/>
        <color theme="1"/>
        <rFont val="Calibri"/>
        <family val="2"/>
        <charset val="1"/>
      </rPr>
      <t xml:space="preserve">  Σ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營運費用</t>
    </r>
  </si>
  <si>
    <r>
      <rPr>
        <sz val="11"/>
        <color theme="1"/>
        <rFont val="Noto Sans CJK SC"/>
        <family val="2"/>
      </rPr>
      <t xml:space="preserve">新增機隊加權 </t>
    </r>
    <r>
      <rPr>
        <sz val="11"/>
        <color theme="1"/>
        <rFont val="Calibri"/>
        <family val="2"/>
        <charset val="1"/>
      </rPr>
      <t xml:space="preserve">HoldEcon</t>
    </r>
  </si>
  <si>
    <t xml:space="preserve">新增機隊加權營運費用</t>
  </si>
  <si>
    <r>
      <rPr>
        <sz val="11"/>
        <color theme="1"/>
        <rFont val="Noto Sans CJK SC"/>
        <family val="2"/>
      </rPr>
      <t xml:space="preserve">新增產能每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年收入＝新增機隊 </t>
    </r>
    <r>
      <rPr>
        <sz val="11"/>
        <color theme="1"/>
        <rFont val="Calibri"/>
        <family val="2"/>
        <charset val="1"/>
      </rPr>
      <t xml:space="preserve">HoldEcon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</si>
  <si>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Noto Sans CJK SC"/>
        <family val="2"/>
      </rPr>
      <t xml:space="preserve">期初機隊 </t>
    </r>
    <r>
      <rPr>
        <sz val="11"/>
        <color theme="1"/>
        <rFont val="Calibri"/>
        <family val="2"/>
        <charset val="1"/>
      </rPr>
      <t xml:space="preserve">2,080 MW </t>
    </r>
    <r>
      <rPr>
        <sz val="11"/>
        <color theme="1"/>
        <rFont val="Noto Sans CJK SC"/>
        <family val="2"/>
      </rPr>
      <t xml:space="preserve">三情境同用 </t>
    </r>
    <r>
      <rPr>
        <sz val="11"/>
        <color theme="1"/>
        <rFont val="Calibri"/>
        <family val="2"/>
        <charset val="1"/>
      </rPr>
      <t xml:space="preserve">rpm_open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k_B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只用於新產能</t>
    </r>
  </si>
  <si>
    <r>
      <rPr>
        <sz val="11"/>
        <color theme="1"/>
        <rFont val="Noto Sans CJK SC"/>
        <family val="2"/>
      </rPr>
      <t xml:space="preserve">新增產能平均在役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（期間）</t>
    </r>
  </si>
  <si>
    <r>
      <rPr>
        <b val="true"/>
        <sz val="11"/>
        <rFont val="Cambria"/>
        <family val="0"/>
        <charset val="1"/>
      </rPr>
      <t xml:space="preserve">3. AWS AI </t>
    </r>
    <r>
      <rPr>
        <b val="true"/>
        <sz val="11"/>
        <rFont val="Noto Sans CJK SC"/>
        <family val="2"/>
      </rPr>
      <t xml:space="preserve">損益（收入端不乘 </t>
    </r>
    <r>
      <rPr>
        <b val="true"/>
        <sz val="11"/>
        <rFont val="Cambria"/>
        <family val="0"/>
        <charset val="1"/>
      </rPr>
      <t xml:space="preserve">IF_Util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MW-year </t>
    </r>
    <r>
      <rPr>
        <b val="true"/>
        <sz val="11"/>
        <rFont val="Noto Sans CJK SC"/>
        <family val="2"/>
      </rPr>
      <t xml:space="preserve">計價）</t>
    </r>
  </si>
  <si>
    <r>
      <rPr>
        <b val="true"/>
        <sz val="11"/>
        <rFont val="Cambria"/>
        <family val="0"/>
        <charset val="1"/>
      </rPr>
      <t xml:space="preserve">AWS AI </t>
    </r>
    <r>
      <rPr>
        <b val="true"/>
        <sz val="11"/>
        <rFont val="Noto Sans CJK SC"/>
        <family val="2"/>
      </rPr>
      <t xml:space="preserve">營收（命題子列）</t>
    </r>
  </si>
  <si>
    <r>
      <rPr>
        <sz val="11"/>
        <color theme="1"/>
        <rFont val="Noto Sans CJK SC"/>
        <family val="2"/>
      </rPr>
      <t xml:space="preserve">實績欄為分拆估計（期初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），不是公司揭露值</t>
    </r>
  </si>
  <si>
    <r>
      <rPr>
        <sz val="11"/>
        <color theme="1"/>
        <rFont val="Noto Sans CJK SC"/>
        <family val="2"/>
      </rPr>
      <t xml:space="preserve">全機隊每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</si>
  <si>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營運成本（含自用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、租用機房租金 </t>
    </r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</si>
  <si>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營收（實績，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</si>
  <si>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其他營收（非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雲端）</t>
    </r>
  </si>
  <si>
    <r>
      <rPr>
        <sz val="11"/>
        <color theme="1"/>
        <rFont val="Noto Sans CJK SC"/>
        <family val="2"/>
      </rPr>
      <t xml:space="preserve">實績＝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分拆估計（殘差，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</si>
  <si>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AWS </t>
    </r>
    <r>
      <rPr>
        <sz val="11"/>
        <color theme="1"/>
        <rFont val="Noto Sans CJK SC"/>
        <family val="2"/>
      </rPr>
      <t xml:space="preserve">其他年增</t>
    </r>
  </si>
  <si>
    <r>
      <rPr>
        <sz val="11"/>
        <color theme="1"/>
        <rFont val="Noto Sans CJK SC"/>
        <family val="2"/>
      </rPr>
      <t xml:space="preserve">起點＝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分拆低估影響偏高，只列不用；收斂到 </t>
    </r>
    <r>
      <rPr>
        <sz val="11"/>
        <color theme="1"/>
        <rFont val="Calibri"/>
        <family val="2"/>
        <charset val="1"/>
      </rPr>
      <t xml:space="preserve">g_awso_lt</t>
    </r>
  </si>
  <si>
    <r>
      <rPr>
        <b val="true"/>
        <sz val="11"/>
        <rFont val="Cambria"/>
        <family val="0"/>
        <charset val="1"/>
      </rPr>
      <t xml:space="preserve">4. AI </t>
    </r>
    <r>
      <rPr>
        <b val="true"/>
        <sz val="11"/>
        <rFont val="Noto Sans CJK SC"/>
        <family val="2"/>
      </rPr>
      <t xml:space="preserve">資本支出（現金）→ 折舊（</t>
    </r>
    <r>
      <rPr>
        <b val="true"/>
        <sz val="11"/>
        <rFont val="Cambria"/>
        <family val="0"/>
        <charset val="1"/>
      </rPr>
      <t xml:space="preserve">IT 6 </t>
    </r>
    <r>
      <rPr>
        <b val="true"/>
        <sz val="11"/>
        <rFont val="Noto Sans CJK SC"/>
        <family val="2"/>
      </rPr>
      <t xml:space="preserve">年、機房 </t>
    </r>
    <r>
      <rPr>
        <b val="true"/>
        <sz val="11"/>
        <rFont val="Cambria"/>
        <family val="0"/>
        <charset val="1"/>
      </rPr>
      <t xml:space="preserve">20 </t>
    </r>
    <r>
      <rPr>
        <b val="true"/>
        <sz val="11"/>
        <rFont val="Noto Sans CJK SC"/>
        <family val="2"/>
      </rPr>
      <t xml:space="preserve">年；次年起提列）</t>
    </r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</si>
  <si>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資本支出（零售＋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</si>
  <si>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比例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</si>
  <si>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資本支出（現金，含自用）</t>
    </r>
  </si>
  <si>
    <r>
      <rPr>
        <sz val="11"/>
        <color theme="1"/>
        <rFont val="Noto Sans CJK SC"/>
        <family val="2"/>
      </rPr>
      <t xml:space="preserve">實績＝公司資本支出淨額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（零售 </t>
    </r>
    <r>
      <rPr>
        <sz val="11"/>
        <color theme="1"/>
        <rFont val="Calibri"/>
        <family val="2"/>
        <charset val="1"/>
      </rPr>
      <t xml:space="preserve">cx_rt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cx_awso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MAX(MW 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220 − </t>
    </r>
    <r>
      <rPr>
        <sz val="11"/>
        <color theme="1"/>
        <rFont val="Noto Sans CJK SC"/>
        <family val="2"/>
      </rPr>
      <t xml:space="preserve">上半年 − 非 </t>
    </r>
    <r>
      <rPr>
        <sz val="11"/>
        <color theme="1"/>
        <rFont val="Calibri"/>
        <family val="2"/>
        <charset val="1"/>
      </rPr>
      <t xml:space="preserve">AI)</t>
    </r>
    <r>
      <rPr>
        <sz val="11"/>
        <color theme="1"/>
        <rFont val="Noto Sans CJK SC"/>
        <family val="2"/>
      </rPr>
      <t xml:space="preserve">；之後＝新增 </t>
    </r>
    <r>
      <rPr>
        <sz val="11"/>
        <color theme="1"/>
        <rFont val="Calibri"/>
        <family val="2"/>
        <charset val="1"/>
      </rPr>
      <t xml:space="preserve">MW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＋自建機房）＋汰換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</si>
  <si>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汰換（折舊年限前新增的總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</si>
  <si>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</t>
    </r>
  </si>
  <si>
    <t xml:space="preserve">  其中機房（自建部分）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</si>
  <si>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資本支出占公司資本支出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</si>
  <si>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</si>
  <si>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機房折舊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</si>
  <si>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折舊合計（對外 → 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；自用 → 零售分部）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</si>
  <si>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淨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（期末）</t>
    </r>
  </si>
  <si>
    <r>
      <rPr>
        <b val="true"/>
        <sz val="11"/>
        <rFont val="Cambria"/>
        <family val="0"/>
        <charset val="1"/>
      </rPr>
      <t xml:space="preserve">5. AWS AI </t>
    </r>
    <r>
      <rPr>
        <b val="true"/>
        <sz val="11"/>
        <rFont val="Noto Sans CJK SC"/>
        <family val="2"/>
      </rPr>
      <t xml:space="preserve">營業利益、自用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成本、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</si>
  <si>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AWS AI EBITDA</t>
    </r>
    <r>
      <rPr>
        <sz val="11"/>
        <color theme="1"/>
        <rFont val="Noto Sans CJK SC"/>
        <family val="2"/>
      </rPr>
      <t xml:space="preserve">＝營收 − 對外比例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營運成本</t>
    </r>
  </si>
  <si>
    <r>
      <rPr>
        <b val="true"/>
        <sz val="11"/>
        <rFont val="Cambria"/>
        <family val="0"/>
        <charset val="1"/>
      </rPr>
      <t xml:space="preserve">AWS AI </t>
    </r>
    <r>
      <rPr>
        <b val="true"/>
        <sz val="11"/>
        <rFont val="Noto Sans CJK SC"/>
        <family val="2"/>
      </rPr>
      <t xml:space="preserve">營業利益＝</t>
    </r>
    <r>
      <rPr>
        <b val="true"/>
        <sz val="11"/>
        <rFont val="Cambria"/>
        <family val="0"/>
        <charset val="1"/>
      </rPr>
      <t xml:space="preserve">EBITDA − </t>
    </r>
    <r>
      <rPr>
        <b val="true"/>
        <sz val="11"/>
        <rFont val="Noto Sans CJK SC"/>
        <family val="2"/>
      </rPr>
      <t xml:space="preserve">對外比例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</si>
  <si>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  AWS AI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</si>
  <si>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MW × HoldEcon × 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；非財報營收）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</si>
  <si>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（主值）；只進評價口徑（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評價口徑、分部加總零售本業）；實績欄為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</si>
  <si>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成本（營運＋折舊；分攤到北美／國際，財報口徑）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</si>
  <si>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營業利益（實績，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</si>
  <si>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其他營業利益</t>
    </r>
  </si>
  <si>
    <r>
      <rPr>
        <sz val="11"/>
        <color theme="1"/>
        <rFont val="Noto Sans CJK SC"/>
        <family val="2"/>
      </rPr>
      <t xml:space="preserve">實績＝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 − 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營業利益（殘差）</t>
    </r>
  </si>
  <si>
    <r>
      <rPr>
        <sz val="11"/>
        <color theme="1"/>
        <rFont val="Calibri"/>
        <family val="2"/>
        <charset val="1"/>
      </rPr>
      <t xml:space="preserve">  AWS </t>
    </r>
    <r>
      <rPr>
        <sz val="11"/>
        <color theme="1"/>
        <rFont val="Noto Sans CJK SC"/>
        <family val="2"/>
      </rPr>
      <t xml:space="preserve">其他營業利益率</t>
    </r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</si>
  <si>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起固定為近四季（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）殘差利益率（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</si>
  <si>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AWS </t>
    </r>
    <r>
      <rPr>
        <sz val="11"/>
        <color theme="1"/>
        <rFont val="Noto Sans CJK SC"/>
        <family val="2"/>
      </rPr>
      <t xml:space="preserve">其他營收（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</si>
  <si>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折舊攤銷（分部）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</si>
  <si>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命題指標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</si>
  <si>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ROIC</t>
    </r>
    <r>
      <rPr>
        <sz val="11"/>
        <color theme="1"/>
        <rFont val="Noto Sans CJK SC"/>
        <family val="2"/>
      </rPr>
      <t xml:space="preserve">（稅後營業利益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對外分攤的平均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淨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</si>
  <si>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C11</t>
    </r>
    <r>
      <rPr>
        <sz val="11"/>
        <color theme="1"/>
        <rFont val="Noto Sans CJK SC"/>
        <family val="2"/>
      </rPr>
      <t xml:space="preserve">：分子分母同口徑（對外）</t>
    </r>
  </si>
  <si>
    <r>
      <rPr>
        <sz val="11"/>
        <color theme="1"/>
        <rFont val="Noto Sans CJK SC"/>
        <family val="2"/>
      </rPr>
      <t xml:space="preserve">機隊平均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持有成本）</t>
    </r>
  </si>
  <si>
    <r>
      <rPr>
        <sz val="11"/>
        <color theme="1"/>
        <rFont val="Noto Sans CJK SC"/>
        <family val="2"/>
      </rPr>
      <t xml:space="preserve">打平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（對外 </t>
    </r>
    <r>
      <rPr>
        <sz val="11"/>
        <color theme="1"/>
        <rFont val="Calibri"/>
        <family val="2"/>
        <charset val="1"/>
      </rPr>
      <t xml:space="preserve">AI ROIC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所需的機隊平均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</si>
  <si>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上限檢查：全機隊每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 </t>
    </r>
    <r>
      <rPr>
        <sz val="11"/>
        <color theme="1"/>
        <rFont val="Calibri"/>
        <family val="2"/>
        <charset val="1"/>
      </rPr>
      <t xml:space="preserve">÷ Tokenomics P×Q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</si>
  <si>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上限，不得作預測；只作檢查</t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</si>
  <si>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</si>
  <si>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</si>
  <si>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 </t>
    </r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營收線 </t>
    </r>
    <r>
      <rPr>
        <sz val="11"/>
        <color theme="1"/>
        <rFont val="Calibri"/>
        <family val="2"/>
        <charset val="1"/>
      </rPr>
      <t xml:space="preserve">Online stores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Physical stores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Third-party seller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Advertising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Subscription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（零售各線合計＝北美＋國際）與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（命題子列，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其他。核對列（綠底）每情境每年度皆須為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</si>
  <si>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</si>
  <si>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零售各營收線（</t>
    </r>
    <r>
      <rPr>
        <b val="true"/>
        <sz val="11"/>
        <rFont val="Cambria"/>
        <family val="0"/>
        <charset val="1"/>
      </rPr>
      <t xml:space="preserve">2H26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2H25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2H25 </t>
    </r>
    <r>
      <rPr>
        <b val="true"/>
        <sz val="11"/>
        <rFont val="Noto Sans CJK SC"/>
        <family val="2"/>
      </rPr>
      <t xml:space="preserve">年增）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校準係數；</t>
    </r>
    <r>
      <rPr>
        <b val="true"/>
        <sz val="11"/>
        <rFont val="Cambria"/>
        <family val="0"/>
        <charset val="1"/>
      </rPr>
      <t xml:space="preserve">2027–2030 </t>
    </r>
    <r>
      <rPr>
        <b val="true"/>
        <sz val="11"/>
        <rFont val="Noto Sans CJK SC"/>
        <family val="2"/>
      </rPr>
      <t xml:space="preserve">年增由 </t>
    </r>
    <r>
      <rPr>
        <b val="true"/>
        <sz val="11"/>
        <rFont val="Cambria"/>
        <family val="0"/>
        <charset val="1"/>
      </rPr>
      <t xml:space="preserve">2H25 </t>
    </r>
    <r>
      <rPr>
        <b val="true"/>
        <sz val="11"/>
        <rFont val="Noto Sans CJK SC"/>
        <family val="2"/>
      </rPr>
      <t xml:space="preserve">年增線性收斂到長期值；</t>
    </r>
    <r>
      <rPr>
        <b val="true"/>
        <sz val="11"/>
        <rFont val="Cambria"/>
        <family val="0"/>
        <charset val="1"/>
      </rPr>
      <t xml:space="preserve">2031–2032</t>
    </r>
    <r>
      <rPr>
        <b val="true"/>
        <sz val="11"/>
        <rFont val="Noto Sans CJK SC"/>
        <family val="2"/>
      </rPr>
      <t xml:space="preserve">＝長期值）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</si>
  <si>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頁實績；預測＝前期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＋年增）</t>
    </r>
  </si>
  <si>
    <r>
      <rPr>
        <sz val="11"/>
        <color theme="1"/>
        <rFont val="Calibri"/>
        <family val="2"/>
        <charset val="1"/>
      </rPr>
      <t xml:space="preserve">  Online stores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</si>
  <si>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2H24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成長基準，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g_os</t>
    </r>
  </si>
  <si>
    <r>
      <rPr>
        <sz val="11"/>
        <color theme="1"/>
        <rFont val="Calibri"/>
        <family val="2"/>
        <charset val="1"/>
      </rPr>
      <t xml:space="preserve">  Physical stores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</si>
  <si>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2H24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成長基準，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g_ps</t>
    </r>
  </si>
  <si>
    <r>
      <rPr>
        <sz val="11"/>
        <color theme="1"/>
        <rFont val="Calibri"/>
        <family val="2"/>
        <charset val="1"/>
      </rPr>
      <t xml:space="preserve">  Third-party seller services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</si>
  <si>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2H24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成長基準，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g_sp</t>
    </r>
  </si>
  <si>
    <r>
      <rPr>
        <sz val="11"/>
        <color theme="1"/>
        <rFont val="Calibri"/>
        <family val="2"/>
        <charset val="1"/>
      </rPr>
      <t xml:space="preserve">  Advertising services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</si>
  <si>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2H24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成長基準，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g_ad</t>
    </r>
  </si>
  <si>
    <r>
      <rPr>
        <sz val="11"/>
        <color theme="1"/>
        <rFont val="Calibri"/>
        <family val="2"/>
        <charset val="1"/>
      </rPr>
      <t xml:space="preserve">  Subscription services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</si>
  <si>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2H24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成長基準，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g_sub</t>
    </r>
  </si>
  <si>
    <r>
      <rPr>
        <sz val="11"/>
        <color theme="1"/>
        <rFont val="Calibri"/>
        <family val="2"/>
        <charset val="1"/>
      </rPr>
      <t xml:space="preserve">  Other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</si>
  <si>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2H24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成長基準，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g_ot</t>
    </r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</si>
  <si>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零售營收校準係數（使隱含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營收＝指引中點）</t>
    </r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</si>
  <si>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合併營收目標＝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比例）；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由命題模組決定，零售六線同比例校準（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時點已含在指引中）</t>
    </r>
  </si>
  <si>
    <r>
      <rPr>
        <b val="true"/>
        <sz val="11"/>
        <rFont val="Noto Sans CJK SC"/>
        <family val="2"/>
      </rPr>
      <t xml:space="preserve">零售營收線合計（＝</t>
    </r>
    <r>
      <rPr>
        <b val="true"/>
        <sz val="11"/>
        <rFont val="Cambria"/>
        <family val="0"/>
        <charset val="1"/>
      </rPr>
      <t xml:space="preserve">North America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International</t>
    </r>
    <r>
      <rPr>
        <b val="true"/>
        <sz val="11"/>
        <rFont val="Noto Sans CJK SC"/>
        <family val="2"/>
      </rPr>
      <t xml:space="preserve">）</t>
    </r>
  </si>
  <si>
    <t xml:space="preserve">北美占零售營收比例（地區分攤）</t>
  </si>
  <si>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比例；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起固定為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）；各營收線不分地區揭露，故以本列分攤</t>
    </r>
  </si>
  <si>
    <r>
      <rPr>
        <sz val="11"/>
        <color theme="1"/>
        <rFont val="Noto Sans CJK SC"/>
        <family val="2"/>
      </rPr>
      <t xml:space="preserve">官方分部；預測＝零售營收線合計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北美比例</t>
    </r>
  </si>
  <si>
    <r>
      <rPr>
        <sz val="11"/>
        <color theme="1"/>
        <rFont val="Noto Sans CJK SC"/>
        <family val="2"/>
      </rPr>
      <t xml:space="preserve">官方分部；預測＝零售營收線合計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北美比例）</t>
    </r>
  </si>
  <si>
    <r>
      <rPr>
        <sz val="11"/>
        <color theme="1"/>
        <rFont val="Noto Sans CJK SC"/>
        <family val="2"/>
      </rPr>
      <t xml:space="preserve">廣告營收歸北美（＝廣告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北美比例）</t>
    </r>
  </si>
  <si>
    <r>
      <rPr>
        <sz val="11"/>
        <color theme="1"/>
        <rFont val="Noto Sans CJK SC"/>
        <family val="2"/>
      </rPr>
      <t xml:space="preserve">廣告營收依零售營收的地區比例分攤（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；公司未分地區揭露）</t>
    </r>
  </si>
  <si>
    <t xml:space="preserve">廣告營收歸國際</t>
  </si>
  <si>
    <r>
      <rPr>
        <b val="true"/>
        <sz val="11"/>
        <rFont val="Cambria"/>
        <family val="0"/>
        <charset val="1"/>
      </rPr>
      <t xml:space="preserve">2. AWS</t>
    </r>
    <r>
      <rPr>
        <b val="true"/>
        <sz val="11"/>
        <rFont val="Noto Sans CJK SC"/>
        <family val="2"/>
      </rPr>
      <t xml:space="preserve">（命題子列＋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其他）與合併營收</t>
    </r>
  </si>
  <si>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</si>
  <si>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</si>
  <si>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</si>
  <si>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Noto Sans CJK SC"/>
        <family val="2"/>
      </rPr>
      <t xml:space="preserve">官方分部＝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營收線</t>
    </r>
  </si>
  <si>
    <t xml:space="preserve">合併營收（實績＝公司揭露；預測＝營收線加總）</t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</si>
  <si>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）：零售營收線合計 − </t>
    </r>
    <r>
      <rPr>
        <sz val="11"/>
        <color theme="1"/>
        <rFont val="Calibri"/>
        <family val="2"/>
        <charset val="1"/>
      </rPr>
      <t xml:space="preserve">(North America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International)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</si>
  <si>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− 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</si>
  <si>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）：分部合計 − 合併營收</t>
    </r>
  </si>
  <si>
    <t xml:space="preserve">合併營收年增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</si>
  <si>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占合併營收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</si>
  <si>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</si>
  <si>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</si>
  <si>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）：零售營收線合計 − </t>
    </r>
    <r>
      <rPr>
        <sz val="11"/>
        <color theme="1"/>
        <rFont val="Calibri"/>
        <family val="2"/>
        <charset val="1"/>
      </rPr>
      <t xml:space="preserve">(North America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International)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</si>
  <si>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− 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</si>
  <si>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）：分部合計 − 合併營收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</si>
  <si>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</si>
  <si>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）：零售營收線合計 − </t>
    </r>
    <r>
      <rPr>
        <sz val="11"/>
        <color theme="1"/>
        <rFont val="Calibri"/>
        <family val="2"/>
        <charset val="1"/>
      </rPr>
      <t xml:space="preserve">(North America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International)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</si>
  <si>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− 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</si>
  <si>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）：分部合計 − 合併營收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</si>
  <si>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 → 合併營業利益 → 業外、稅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。廣告利潤率 </t>
    </r>
    <r>
      <rPr>
        <sz val="11"/>
        <color theme="1"/>
        <rFont val="Calibri"/>
        <family val="2"/>
        <charset val="1"/>
      </rPr>
      <t xml:space="preserve">m_ad </t>
    </r>
    <r>
      <rPr>
        <sz val="11"/>
        <color theme="1"/>
        <rFont val="Noto Sans CJK SC"/>
        <family val="2"/>
      </rPr>
      <t xml:space="preserve">驅動北美／國際利益率（廣告營收依零售地區比例分攤；零售本業利益率＝分部利益扣廣告利潤後的殘差）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</si>
  <si>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4–10 </t>
    </r>
    <r>
      <rPr>
        <sz val="11"/>
        <color theme="1"/>
        <rFont val="Noto Sans CJK SC"/>
        <family val="2"/>
      </rPr>
      <t xml:space="preserve">列：跨情境核對（三情境絕對值合計；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讀本區）；實績欄為公司揭露值的核對</t>
    </r>
  </si>
  <si>
    <r>
      <rPr>
        <b val="true"/>
        <sz val="11"/>
        <rFont val="Noto Sans CJK SC"/>
        <family val="2"/>
      </rPr>
      <t xml:space="preserve">跨情境核對（三情境絕對值合計；應全為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</si>
  <si>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− </t>
    </r>
    <r>
      <rPr>
        <sz val="11"/>
        <color theme="1"/>
        <rFont val="Calibri"/>
        <family val="2"/>
        <charset val="1"/>
      </rPr>
      <t xml:space="preserve">AWS</t>
    </r>
  </si>
  <si>
    <t xml:space="preserve">檢查：分部營業利益合計 − 合併營業利益</t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</si>
  <si>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</si>
  <si>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營收線與官方分部）</t>
    </r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</si>
  <si>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（營收線＝分部）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</si>
  <si>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）：營收線合計（含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）− 合併營收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</si>
  <si>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分部營業利益（廣告利潤率 </t>
    </r>
    <r>
      <rPr>
        <b val="true"/>
        <sz val="11"/>
        <rFont val="Cambria"/>
        <family val="0"/>
        <charset val="1"/>
      </rPr>
      <t xml:space="preserve">m_ad </t>
    </r>
    <r>
      <rPr>
        <b val="true"/>
        <sz val="11"/>
        <rFont val="Noto Sans CJK SC"/>
        <family val="2"/>
      </rPr>
      <t xml:space="preserve">計入北美／國際；零售本業利益率＝殘差；自用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成本按北美比例分攤）</t>
    </r>
  </si>
  <si>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：廣告利潤（廣告營收 </t>
    </r>
    <r>
      <rPr>
        <sz val="11"/>
        <color theme="1"/>
        <rFont val="Calibri"/>
        <family val="2"/>
        <charset val="1"/>
      </rPr>
      <t xml:space="preserve">× m_ad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</si>
  <si>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：零售本業營收（分部 − 廣告）</t>
    </r>
  </si>
  <si>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成本淨額分攤</t>
    </r>
  </si>
  <si>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：零售本業利益率（實績＝殘差，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</si>
  <si>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(1H26 − 1H25)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每年＋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step</t>
    </r>
    <r>
      <rPr>
        <sz val="11"/>
        <color theme="1"/>
        <rFont val="Noto Sans CJK SC"/>
        <family val="2"/>
      </rPr>
      <t xml:space="preserve">；之後持平</t>
    </r>
  </si>
  <si>
    <r>
      <rPr>
        <b val="true"/>
        <sz val="11"/>
        <rFont val="Cambria"/>
        <family val="0"/>
        <charset val="1"/>
      </rPr>
      <t xml:space="preserve">North America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</si>
  <si>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：廣告利潤（廣告營收 </t>
    </r>
    <r>
      <rPr>
        <sz val="11"/>
        <color theme="1"/>
        <rFont val="Calibri"/>
        <family val="2"/>
        <charset val="1"/>
      </rPr>
      <t xml:space="preserve">× m_ad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</si>
  <si>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：零售本業營收（分部 − 廣告）</t>
    </r>
  </si>
  <si>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成本淨額分攤</t>
    </r>
  </si>
  <si>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：零售本業利益率（實績＝殘差，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</si>
  <si>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International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</si>
  <si>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營業利益（命題子列）</t>
    </r>
  </si>
  <si>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</si>
  <si>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未分攤（公司層；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</si>
  <si>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）：分部營業利益合計 − 合併營業利益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</si>
  <si>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；非財報營收；按北美比例分攤到北美／國際）</t>
    </r>
  </si>
  <si>
    <t xml:space="preserve">營收列與分部對帳不動</t>
  </si>
  <si>
    <r>
      <rPr>
        <sz val="11"/>
        <color theme="1"/>
        <rFont val="Noto Sans CJK SC"/>
        <family val="2"/>
      </rPr>
      <t xml:space="preserve">營業利益（評價口徑＝合併營業利益＋自用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</t>
    </r>
  </si>
  <si>
    <r>
      <rPr>
        <sz val="11"/>
        <color theme="1"/>
        <rFont val="Calibri"/>
        <family val="2"/>
        <charset val="1"/>
      </rPr>
      <t xml:space="preserve">North America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</si>
  <si>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International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</si>
  <si>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</si>
  <si>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營業利益率</t>
    </r>
  </si>
  <si>
    <t xml:space="preserve">合併營業利益率</t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</si>
  <si>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分部折舊攤銷（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）與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（分部加總評價用）</t>
    </r>
  </si>
  <si>
    <r>
      <rPr>
        <sz val="11"/>
        <color theme="1"/>
        <rFont val="Noto Sans CJK SC"/>
        <family val="2"/>
      </rPr>
      <t xml:space="preserve">零售非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</si>
  <si>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Noto Sans CJK SC"/>
        <family val="2"/>
      </rPr>
      <t xml:space="preserve">分部折舊攤銷合計（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；不含影音內容與營業租賃資產）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</si>
  <si>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：廣告（＝廣告利潤，未分攤折舊）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</si>
  <si>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：零售本業（北美＋國際 營業利益＋折舊 − 廣告利潤；含自用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</si>
  <si>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</si>
  <si>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AI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</si>
  <si>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（營業利益＋分部折舊攤銷）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</si>
  <si>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業外、稅、淨利、</t>
    </r>
    <r>
      <rPr>
        <b val="true"/>
        <sz val="11"/>
        <rFont val="Cambria"/>
        <family val="0"/>
        <charset val="1"/>
      </rPr>
      <t xml:space="preserve">EPS</t>
    </r>
  </si>
  <si>
    <t xml:space="preserve">利息收入（預測；實績含在業外其他）</t>
  </si>
  <si>
    <r>
      <rPr>
        <sz val="11"/>
        <color theme="1"/>
        <rFont val="Noto Sans CJK SC"/>
        <family val="2"/>
      </rPr>
      <t xml:space="preserve">業外其他（含利息收入與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等持股評價損益；預測期設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</si>
  <si>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持股價值另在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頁加入（不重複計算）</t>
    </r>
  </si>
  <si>
    <r>
      <rPr>
        <sz val="11"/>
        <color theme="1"/>
        <rFont val="Noto Sans CJK SC"/>
        <family val="2"/>
      </rPr>
      <t xml:space="preserve">無回購；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稀釋每年 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</si>
  <si>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Noto Sans CJK SC"/>
        <family val="2"/>
      </rPr>
      <t xml:space="preserve">淨利（評價口徑＝淨利＋影子效益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</si>
  <si>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（評價口徑，稀釋）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</si>
  <si>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（財報口徑，稀釋）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</si>
  <si>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（不含業外其他，近似：扣除業外其他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</si>
  <si>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上半年業外含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評價利益約 </t>
    </r>
    <r>
      <rPr>
        <sz val="11"/>
        <color theme="1"/>
        <rFont val="Calibri"/>
        <family val="2"/>
        <charset val="1"/>
      </rPr>
      <t xml:space="preserve">69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</si>
  <si>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</si>
  <si>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</si>
  <si>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）：營收線合計（含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）− 合併營收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</si>
  <si>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）：分部營業利益合計 − 合併營業利益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</si>
  <si>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</si>
  <si>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）：營收線合計（含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）− 合併營收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</si>
  <si>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）：分部營業利益合計 − 合併營業利益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</si>
  <si>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營運現金（淨利＋分部折舊＋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＋其他）− 資本支出（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其他＋零售）− 融資租賃本金 → 自由現金流；股利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無）；現金低於最低現金即舉債</t>
    </r>
  </si>
  <si>
    <t xml:space="preserve">收支關卡（地圖讀取；列標籤固定）</t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</si>
  <si>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</si>
  <si>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</si>
  <si>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</si>
  <si>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情境加權</t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</si>
  <si>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</si>
  <si>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FY2026–FY2030</t>
    </r>
    <r>
      <rPr>
        <sz val="11"/>
        <color theme="1"/>
        <rFont val="Noto Sans CJK SC"/>
        <family val="2"/>
      </rPr>
      <t xml:space="preserve">（首年起五年；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模型）自由現金流扣股利合計；負值＝入不敷出（地圖收支關卡）</t>
    </r>
  </si>
  <si>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新增借款合計（不含已發行債券）</t>
    </r>
  </si>
  <si>
    <t xml:space="preserve">是否需要舉債</t>
  </si>
  <si>
    <r>
      <rPr>
        <sz val="11"/>
        <color theme="1"/>
        <rFont val="Noto Sans CJK SC"/>
        <family val="2"/>
      </rPr>
      <t xml:space="preserve">已發行的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下半年債券 </t>
    </r>
    <r>
      <rPr>
        <sz val="11"/>
        <color theme="1"/>
        <rFont val="Calibri"/>
        <family val="2"/>
        <charset val="1"/>
      </rPr>
      <t xml:space="preserve">29.25 </t>
    </r>
    <r>
      <rPr>
        <sz val="11"/>
        <color theme="1"/>
        <rFont val="Noto Sans CJK SC"/>
        <family val="2"/>
      </rPr>
      <t xml:space="preserve">不計；現金低於最低現金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時舉債</t>
    </r>
  </si>
  <si>
    <t xml:space="preserve">回購是否需停止</t>
  </si>
  <si>
    <r>
      <rPr>
        <sz val="11"/>
        <color theme="1"/>
        <rFont val="Noto Sans CJK SC"/>
        <family val="2"/>
      </rPr>
      <t xml:space="preserve">無回購可減（</t>
    </r>
    <r>
      <rPr>
        <sz val="11"/>
        <color theme="1"/>
        <rFont val="Calibri"/>
        <family val="2"/>
        <charset val="1"/>
      </rPr>
      <t xml:space="preserve">2023–2026H1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</si>
  <si>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自由現金流（扣股利）</t>
    </r>
  </si>
  <si>
    <t xml:space="preserve">檢查：收支關卡＝首年起五年自由現金流扣股利（逐欄加總；三情境絕對值合計）</t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</si>
  <si>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（樂觀）：營運現金 − 資本支出 − 租賃本金 → 自由現金流；股利、回購、借款與淨現金</t>
    </r>
  </si>
  <si>
    <r>
      <rPr>
        <sz val="11"/>
        <color theme="1"/>
        <rFont val="Noto Sans CJK SC"/>
        <family val="2"/>
      </rPr>
      <t xml:space="preserve">分部折舊攤銷（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</si>
  <si>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t xml:space="preserve">股份基礎給付（加回）</t>
  </si>
  <si>
    <t xml:space="preserve">其他營運項目（營運資金、影音內容與租賃現金支出、非現金業外）</t>
  </si>
  <si>
    <r>
      <rPr>
        <sz val="11"/>
        <color theme="1"/>
        <rFont val="Calibri"/>
        <family val="2"/>
        <charset val="1"/>
      </rPr>
      <t xml:space="preserve">oth_r </t>
    </r>
    <r>
      <rPr>
        <sz val="11"/>
        <color theme="1"/>
        <rFont val="Noto Sans CJK SC"/>
        <family val="2"/>
      </rPr>
      <t xml:space="preserve">已含營運資金（修正一：不再另加 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營運資金，避免重複）；實績含持股評價利益的扣除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</si>
  <si>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</si>
  <si>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cx_awso × AWS </t>
    </r>
    <r>
      <rPr>
        <sz val="11"/>
        <color theme="1"/>
        <rFont val="Noto Sans CJK SC"/>
        <family val="2"/>
      </rPr>
      <t xml:space="preserve">其他營收）</t>
    </r>
  </si>
  <si>
    <r>
      <rPr>
        <sz val="11"/>
        <color theme="1"/>
        <rFont val="Noto Sans CJK SC"/>
        <family val="2"/>
      </rPr>
      <t xml:space="preserve">資本支出：零售（</t>
    </r>
    <r>
      <rPr>
        <sz val="11"/>
        <color theme="1"/>
        <rFont val="Calibri"/>
        <family val="2"/>
        <charset val="1"/>
      </rPr>
      <t xml:space="preserve">cx_rt × </t>
    </r>
    <r>
      <rPr>
        <sz val="11"/>
        <color theme="1"/>
        <rFont val="Noto Sans CJK SC"/>
        <family val="2"/>
      </rPr>
      <t xml:space="preserve">零售營收）</t>
    </r>
  </si>
  <si>
    <t xml:space="preserve">資本支出（現金，淨額）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</si>
  <si>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未揭露：以全年 </t>
    </r>
    <r>
      <rPr>
        <sz val="11"/>
        <color theme="1"/>
        <rFont val="Calibri"/>
        <family val="2"/>
        <charset val="1"/>
      </rPr>
      <t xml:space="preserve">÷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</si>
  <si>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自由現金流（營運現金流 − 資本支出 − 融資租賃本金）</t>
  </si>
  <si>
    <t xml:space="preserve">股利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</si>
  <si>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未配息</t>
    </r>
  </si>
  <si>
    <t xml:space="preserve">回購</t>
  </si>
  <si>
    <r>
      <rPr>
        <sz val="11"/>
        <color theme="1"/>
        <rFont val="Calibri"/>
        <family val="2"/>
        <charset val="1"/>
      </rPr>
      <t xml:space="preserve">2023–2026H1 </t>
    </r>
    <r>
      <rPr>
        <sz val="11"/>
        <color theme="1"/>
        <rFont val="Noto Sans CJK SC"/>
        <family val="2"/>
      </rPr>
      <t xml:space="preserve">無回購；模型不設回購（無可減的回購）</t>
    </r>
  </si>
  <si>
    <t xml:space="preserve">自由現金流扣股利</t>
  </si>
  <si>
    <r>
      <rPr>
        <sz val="11"/>
        <color theme="1"/>
        <rFont val="Noto Sans CJK SC"/>
        <family val="2"/>
      </rPr>
      <t xml:space="preserve">策略投資（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</si>
  <si>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已發行債券（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下半年）</t>
    </r>
  </si>
  <si>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起）</t>
    </r>
  </si>
  <si>
    <t xml:space="preserve">借款前現金</t>
  </si>
  <si>
    <t xml:space="preserve">新增借款（現金低於最低現金時）</t>
  </si>
  <si>
    <r>
      <rPr>
        <sz val="11"/>
        <color theme="1"/>
        <rFont val="Noto Sans CJK SC"/>
        <family val="2"/>
      </rPr>
      <t xml:space="preserve">到期債務假設全數再融資（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</si>
  <si>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期末現金與有價證券</t>
  </si>
  <si>
    <t xml:space="preserve">期末債務面額</t>
  </si>
  <si>
    <t xml:space="preserve">淨負債（債務 − 現金；負值＝淨現金）</t>
  </si>
  <si>
    <r>
      <rPr>
        <sz val="11"/>
        <color theme="1"/>
        <rFont val="Noto Sans CJK SC"/>
        <family val="2"/>
      </rPr>
      <t xml:space="preserve">利息費用（既有債務 </t>
    </r>
    <r>
      <rPr>
        <sz val="11"/>
        <color theme="1"/>
        <rFont val="Calibri"/>
        <family val="2"/>
        <charset val="1"/>
      </rPr>
      <t xml:space="preserve">× kd_book</t>
    </r>
    <r>
      <rPr>
        <sz val="11"/>
        <color theme="1"/>
        <rFont val="Noto Sans CJK SC"/>
        <family val="2"/>
      </rPr>
      <t xml:space="preserve">＋新增債務 </t>
    </r>
    <r>
      <rPr>
        <sz val="11"/>
        <color theme="1"/>
        <rFont val="Calibri"/>
        <family val="2"/>
        <charset val="1"/>
      </rPr>
      <t xml:space="preserve">× kd_new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</si>
  <si>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y_cash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</si>
  <si>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收支關卡（本情境）：自由現金流扣股利 </t>
    </r>
    <r>
      <rPr>
        <b val="true"/>
        <sz val="11"/>
        <rFont val="Cambria"/>
        <family val="0"/>
        <charset val="1"/>
      </rPr>
      <t xml:space="preserve">FY2026–FY2030 </t>
    </r>
    <r>
      <rPr>
        <b val="true"/>
        <sz val="1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</si>
  <si>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）：收支關卡＝首年起五年自由現金流扣股利（逐欄加總）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</si>
  <si>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（基準）：營運現金 − 資本支出 − 租賃本金 → 自由現金流；股利、回購、借款與淨現金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</si>
  <si>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）：收支關卡＝首年起五年自由現金流扣股利（逐欄加總）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</si>
  <si>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（保守）：營運現金 − 資本支出 − 租賃本金 → 自由現金流；股利、回購、借款與淨現金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</si>
  <si>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）：收支關卡＝首年起五年自由現金流扣股利（逐欄加總）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</si>
  <si>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FCFF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；五級投資建議</t>
    </r>
  </si>
  <si>
    <r>
      <rPr>
        <b val="true"/>
        <sz val="12"/>
        <rFont val="Cambria"/>
        <family val="0"/>
        <charset val="1"/>
      </rPr>
      <t xml:space="preserve">0. </t>
    </r>
    <r>
      <rPr>
        <b val="true"/>
        <sz val="12"/>
        <rFont val="Noto Sans CJK SC"/>
        <family val="2"/>
      </rPr>
      <t xml:space="preserve">目標價（工作單第 </t>
    </r>
    <r>
      <rPr>
        <b val="true"/>
        <sz val="12"/>
        <rFont val="Cambria"/>
        <family val="0"/>
        <charset val="1"/>
      </rPr>
      <t xml:space="preserve">2 </t>
    </r>
    <r>
      <rPr>
        <b val="true"/>
        <sz val="12"/>
        <rFont val="Noto Sans CJK SC"/>
        <family val="2"/>
      </rPr>
      <t xml:space="preserve">節；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半導體 </t>
    </r>
    <r>
      <rPr>
        <b val="true"/>
        <sz val="12"/>
        <rFont val="Cambria"/>
        <family val="0"/>
        <charset val="1"/>
      </rPr>
      <t xml:space="preserve">v2 </t>
    </r>
    <r>
      <rPr>
        <b val="true"/>
        <sz val="12"/>
        <rFont val="Noto Sans CJK SC"/>
        <family val="2"/>
      </rPr>
      <t xml:space="preserve">口徑：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Comparable </t>
    </r>
    <r>
      <rPr>
        <b val="true"/>
        <sz val="12"/>
        <rFont val="Noto Sans CJK SC"/>
        <family val="2"/>
      </rPr>
      <t xml:space="preserve">各半，</t>
    </r>
    <r>
      <rPr>
        <b val="true"/>
        <sz val="12"/>
        <rFont val="Cambria"/>
        <family val="0"/>
        <charset val="1"/>
      </rPr>
      <t xml:space="preserve">Comparable </t>
    </r>
    <r>
      <rPr>
        <b val="true"/>
        <sz val="12"/>
        <rFont val="Noto Sans CJK SC"/>
        <family val="2"/>
      </rPr>
      <t xml:space="preserve">在分部層做＝分部加總）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</si>
  <si>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</si>
  <si>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sz val="11"/>
        <color theme="1"/>
        <rFont val="Calibri"/>
        <family val="2"/>
        <charset val="1"/>
      </rPr>
      <t xml:space="preserve">FCFF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折到 </t>
    </r>
    <r>
      <rPr>
        <sz val="11"/>
        <color theme="1"/>
        <rFont val="Calibri"/>
        <family val="2"/>
        <charset val="1"/>
      </rPr>
      <t xml:space="preserve">2026-12-31</t>
    </r>
    <r>
      <rPr>
        <sz val="11"/>
        <color theme="1"/>
        <rFont val="Noto Sans CJK SC"/>
        <family val="2"/>
      </rPr>
      <t xml:space="preserve">，再以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2027-10-27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</si>
  <si>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（分部加總）情境價值</t>
    </r>
  </si>
  <si>
    <r>
      <rPr>
        <sz val="11"/>
        <color theme="1"/>
        <rFont val="Noto Sans CJK SC"/>
        <family val="2"/>
      </rPr>
      <t xml:space="preserve">廣告、零售本業、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各乘同業倍數；＋持股 − 淨負債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</si>
  <si>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</si>
  <si>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企業價值</t>
    </r>
  </si>
  <si>
    <t xml:space="preserve">情境權重</t>
  </si>
  <si>
    <r>
      <rPr>
        <sz val="11"/>
        <color theme="1"/>
        <rFont val="Calibri"/>
        <family val="2"/>
        <charset val="1"/>
      </rPr>
      <t xml:space="preserve">FY2028 AWS </t>
    </r>
    <r>
      <rPr>
        <sz val="11"/>
        <color theme="1"/>
        <rFont val="Noto Sans CJK SC"/>
        <family val="2"/>
      </rPr>
      <t xml:space="preserve">營業利益率</t>
    </r>
  </si>
  <si>
    <t xml:space="preserve">核心問題（一）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</si>
  <si>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自由現金流扣股利</t>
    </r>
  </si>
  <si>
    <t xml:space="preserve">核心問題（二）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</si>
  <si>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ROIC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</si>
  <si>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</si>
  <si>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t xml:space="preserve">FY2028 EPS</t>
  </si>
  <si>
    <r>
      <rPr>
        <sz val="11"/>
        <color theme="1"/>
        <rFont val="Noto Sans CJK SC"/>
        <family val="2"/>
      </rPr>
      <t xml:space="preserve">收支關卡（各情境）：自由現金流扣股利 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</si>
  <si>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</si>
  <si>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t xml:space="preserve">數值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</si>
  <si>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</si>
  <si>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</si>
  <si>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分部加總（工作單：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</si>
  <si>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</si>
  <si>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情境目標價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</si>
  <si>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</si>
  <si>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同值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</si>
  <si>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</si>
  <si>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</si>
  <si>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</si>
  <si>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</si>
  <si>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</si>
  <si>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</si>
  <si>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S&amp;P Global 60 </t>
    </r>
    <r>
      <rPr>
        <sz val="11"/>
        <color theme="1"/>
        <rFont val="Noto Sans CJK SC"/>
        <family val="2"/>
      </rPr>
      <t xml:space="preserve">位平均（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</si>
  <si>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上檔空間：市場共識目標價</t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</si>
  <si>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</si>
  <si>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</si>
  <si>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（目標價時點）</t>
    </r>
  </si>
  <si>
    <r>
      <rPr>
        <sz val="11"/>
        <color theme="1"/>
        <rFont val="Noto Sans CJK SC"/>
        <family val="2"/>
      </rPr>
      <t xml:space="preserve">收支關卡（引用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頁）：自由現金流扣股利五年合計（情境加權）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</si>
  <si>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</si>
  <si>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</si>
  <si>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FCFF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（評價口徑，含讀法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影子效益）＋分部折舊 − 資本支出 − 融資租賃本金＋其他營運項目（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不加回、股數用流通股數），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β Blume </t>
    </r>
    <r>
      <rPr>
        <sz val="11"/>
        <color theme="1"/>
        <rFont val="Noto Sans CJK SC"/>
        <family val="2"/>
      </rPr>
      <t xml:space="preserve">調整、</t>
    </r>
    <r>
      <rPr>
        <sz val="11"/>
        <color theme="1"/>
        <rFont val="Calibri"/>
        <family val="2"/>
        <charset val="1"/>
      </rPr>
      <t xml:space="preserve">rf 2026-10-26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利差、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含類債務），</t>
    </r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期中折現，永續價值＝</t>
    </r>
    <r>
      <rPr>
        <sz val="11"/>
        <color theme="1"/>
        <rFont val="Calibri"/>
        <family val="2"/>
        <charset val="1"/>
      </rPr>
      <t xml:space="preserve">FY2033 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RONIC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；淨負債含融資租賃與融資義務；持股加回。分部加總：廣告、零售本業、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加回口徑，與同業倍數一致）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中位數；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＝自身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資本支出含汰換）；減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年底淨負債（含類債務）、加持股，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稀釋股數。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</si>
  <si>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只計成本）情境目標價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</si>
  <si>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區塊；主值為讀法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</si>
  <si>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：加權目標價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</si>
  <si>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：上檔空間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</si>
  <si>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：投資建議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</si>
  <si>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讀法（主值）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</si>
  <si>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（價值中性）；讀法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容量越大目標價越低，讀法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下容量對目標價大致中性</t>
    </r>
  </si>
  <si>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StockAnalysis EV ÷ MarketScreener NTM EBITDA </t>
    </r>
    <r>
      <rPr>
        <b val="true"/>
        <sz val="11"/>
        <rFont val="Noto Sans CJK SC"/>
        <family val="2"/>
      </rPr>
      <t xml:space="preserve">共識，</t>
    </r>
    <r>
      <rPr>
        <b val="true"/>
        <sz val="11"/>
        <rFont val="Cambria"/>
        <family val="0"/>
        <charset val="1"/>
      </rPr>
      <t xml:space="preserve">2026-10-07</t>
    </r>
    <r>
      <rPr>
        <b val="true"/>
        <sz val="11"/>
        <rFont val="Noto Sans CJK SC"/>
        <family val="2"/>
      </rPr>
      <t xml:space="preserve">；沿用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共用同業檔，本輪未更新）</t>
    </r>
  </si>
  <si>
    <t xml:space="preserve">同業</t>
  </si>
  <si>
    <t xml:space="preserve">代號</t>
  </si>
  <si>
    <t xml:space="preserve">NTM EV/EBITDA</t>
  </si>
  <si>
    <t xml:space="preserve">組別</t>
  </si>
  <si>
    <t xml:space="preserve">Walmart</t>
  </si>
  <si>
    <t xml:space="preserve">WMT</t>
  </si>
  <si>
    <t xml:space="preserve">零售</t>
  </si>
  <si>
    <t xml:space="preserve">S24</t>
  </si>
  <si>
    <t xml:space="preserve">Costco</t>
  </si>
  <si>
    <t xml:space="preserve">COST</t>
  </si>
  <si>
    <t xml:space="preserve">Target</t>
  </si>
  <si>
    <t xml:space="preserve">TGT</t>
  </si>
  <si>
    <t xml:space="preserve">Meta</t>
  </si>
  <si>
    <t xml:space="preserve">META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</si>
  <si>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C18 </t>
    </r>
    <r>
      <rPr>
        <sz val="11"/>
        <color theme="1"/>
        <rFont val="Noto Sans CJK SC"/>
        <family val="2"/>
      </rPr>
      <t xml:space="preserve">共用組）</t>
    </r>
  </si>
  <si>
    <t xml:space="preserve">S23</t>
  </si>
  <si>
    <t xml:space="preserve">Pinterest</t>
  </si>
  <si>
    <t xml:space="preserve">PINS</t>
  </si>
  <si>
    <t xml:space="preserve">The Trade Desk</t>
  </si>
  <si>
    <t xml:space="preserve">TTD</t>
  </si>
  <si>
    <t xml:space="preserve">AppLovin</t>
  </si>
  <si>
    <t xml:space="preserve">APP</t>
  </si>
  <si>
    <t xml:space="preserve">Reddit</t>
  </si>
  <si>
    <t xml:space="preserve">RDDT</t>
  </si>
  <si>
    <t xml:space="preserve">Snap</t>
  </si>
  <si>
    <t xml:space="preserve">SNAP</t>
  </si>
  <si>
    <t xml:space="preserve">Oracle</t>
  </si>
  <si>
    <t xml:space="preserve">ORCL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</si>
  <si>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雲端（</t>
    </r>
    <r>
      <rPr>
        <sz val="11"/>
        <color theme="1"/>
        <rFont val="Calibri"/>
        <family val="2"/>
        <charset val="1"/>
      </rPr>
      <t xml:space="preserve">C12 </t>
    </r>
    <r>
      <rPr>
        <sz val="11"/>
        <color theme="1"/>
        <rFont val="Noto Sans CJK SC"/>
        <family val="2"/>
      </rPr>
      <t xml:space="preserve">共用組）</t>
    </r>
  </si>
  <si>
    <t xml:space="preserve">S22</t>
  </si>
  <si>
    <t xml:space="preserve">IBM</t>
  </si>
  <si>
    <t xml:space="preserve">SAP</t>
  </si>
  <si>
    <t xml:space="preserve">Salesforce</t>
  </si>
  <si>
    <t xml:space="preserve">CRM</t>
  </si>
  <si>
    <t xml:space="preserve">ServiceNow</t>
  </si>
  <si>
    <t xml:space="preserve">NOW</t>
  </si>
  <si>
    <t xml:space="preserve">Akamai</t>
  </si>
  <si>
    <t xml:space="preserve">AKAM</t>
  </si>
  <si>
    <t xml:space="preserve">Equinix</t>
  </si>
  <si>
    <t xml:space="preserve">EQIX</t>
  </si>
  <si>
    <t xml:space="preserve">DigitalOcean</t>
  </si>
  <si>
    <t xml:space="preserve">DOCN</t>
  </si>
  <si>
    <t xml:space="preserve">零售 中位數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</si>
  <si>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家</t>
    </r>
  </si>
  <si>
    <t xml:space="preserve">數位廣告 中位數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</si>
  <si>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</si>
  <si>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 中位數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</si>
  <si>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</t>
    </r>
  </si>
  <si>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m_ai</t>
    </r>
    <r>
      <rPr>
        <sz val="11"/>
        <color theme="1"/>
        <rFont val="Noto Sans CJK SC"/>
        <family val="2"/>
      </rPr>
      <t xml:space="preserve">，對照表 </t>
    </r>
    <r>
      <rPr>
        <sz val="11"/>
        <color theme="1"/>
        <rFont val="Calibri"/>
        <family val="2"/>
        <charset val="1"/>
      </rPr>
      <t xml:space="preserve">D6</t>
    </r>
    <r>
      <rPr>
        <sz val="11"/>
        <color theme="1"/>
        <rFont val="Noto Sans CJK SC"/>
        <family val="2"/>
      </rPr>
      <t xml:space="preserve">）；對照 </t>
    </r>
    <r>
      <rPr>
        <sz val="11"/>
        <color theme="1"/>
        <rFont val="Calibri"/>
        <family val="2"/>
        <charset val="1"/>
      </rPr>
      <t xml:space="preserve">CRWV TTM 25.0×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TTM 16.5×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260×</t>
    </r>
    <r>
      <rPr>
        <sz val="11"/>
        <color theme="1"/>
        <rFont val="Noto Sans CJK SC"/>
        <family val="2"/>
      </rPr>
      <t xml:space="preserve">（只作對照）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</si>
  <si>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</si>
  <si>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（基準日 </t>
    </r>
    <r>
      <rPr>
        <b val="true"/>
        <sz val="11"/>
        <rFont val="Cambria"/>
        <family val="0"/>
        <charset val="1"/>
      </rPr>
      <t xml:space="preserve">2026-12-31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期中折現；永續價值＝</t>
    </r>
    <r>
      <rPr>
        <b val="true"/>
        <sz val="11"/>
        <rFont val="Cambria"/>
        <family val="0"/>
        <charset val="1"/>
      </rPr>
      <t xml:space="preserve">FY2033 NOPAT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1 − g ÷ RONIC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WACC − g</t>
    </r>
    <r>
      <rPr>
        <b val="true"/>
        <sz val="1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</si>
  <si>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＝營業利益（評價口徑，含自用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</si>
  <si>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t xml:space="preserve">＋分部折舊攤銷</t>
  </si>
  <si>
    <t xml:space="preserve">− 資本支出</t>
  </si>
  <si>
    <t xml:space="preserve">− 融資租賃本金</t>
  </si>
  <si>
    <t xml:space="preserve">＋其他營運項目</t>
  </si>
  <si>
    <r>
      <rPr>
        <b val="true"/>
        <sz val="11"/>
        <rFont val="Cambria"/>
        <family val="0"/>
        <charset val="1"/>
      </rPr>
      <t xml:space="preserve">FCFF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不加回，視同現金成本）</t>
    </r>
  </si>
  <si>
    <t xml:space="preserve">折現因子（期中）</t>
  </si>
  <si>
    <t xml:space="preserve">現值</t>
  </si>
  <si>
    <t xml:space="preserve">明確期現值合計</t>
  </si>
  <si>
    <r>
      <rPr>
        <sz val="11"/>
        <color theme="1"/>
        <rFont val="Noto Sans CJK SC"/>
        <family val="2"/>
      </rPr>
      <t xml:space="preserve">永續價值（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年底）</t>
    </r>
  </si>
  <si>
    <t xml:space="preserve">永續價值現值</t>
  </si>
  <si>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</si>
  <si>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永續價值占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</si>
  <si>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− 淨負債（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年底，含融資租賃與融資義務）</t>
    </r>
  </si>
  <si>
    <r>
      <rPr>
        <sz val="11"/>
        <color theme="1"/>
        <rFont val="Noto Sans CJK SC"/>
        <family val="2"/>
      </rPr>
      <t xml:space="preserve">＋持股：</t>
    </r>
    <r>
      <rPr>
        <sz val="11"/>
        <color theme="1"/>
        <rFont val="Calibri"/>
        <family val="2"/>
        <charset val="1"/>
      </rPr>
      <t xml:space="preserve">(Anthropic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</t>
    </r>
    <r>
      <rPr>
        <sz val="11"/>
        <color theme="1"/>
        <rFont val="Calibri"/>
        <family val="2"/>
        <charset val="1"/>
      </rPr>
      <t xml:space="preserve">)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流動性折價）</t>
    </r>
  </si>
  <si>
    <t xml:space="preserve">股權價值</t>
  </si>
  <si>
    <r>
      <rPr>
        <sz val="11"/>
        <color theme="1"/>
        <rFont val="Noto Sans CJK SC"/>
        <family val="2"/>
      </rPr>
      <t xml:space="preserve">每股價值（</t>
    </r>
    <r>
      <rPr>
        <sz val="11"/>
        <color theme="1"/>
        <rFont val="Calibri"/>
        <family val="2"/>
        <charset val="1"/>
      </rPr>
      <t xml:space="preserve">2026-12-31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sh_out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已視為現金成本，不另計稀釋）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</si>
  <si>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情境價值推到目標價時點（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ke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^tp_yf − </t>
    </r>
    <r>
      <rPr>
        <b val="true"/>
        <sz val="11"/>
        <rFont val="Noto Sans CJK SC"/>
        <family val="2"/>
      </rPr>
      <t xml:space="preserve">期間股利）</t>
    </r>
  </si>
  <si>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）：目標價時點的未來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1 − tp_yf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tp_yf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 </t>
    </r>
    <r>
      <rPr>
        <b val="true"/>
        <sz val="11"/>
        <rFont val="Noto Sans CJK SC"/>
        <family val="2"/>
      </rPr>
      <t xml:space="preserve">中位數；</t>
    </r>
    <r>
      <rPr>
        <b val="true"/>
        <sz val="11"/>
        <rFont val="Cambria"/>
        <family val="0"/>
        <charset val="1"/>
      </rPr>
      <t xml:space="preserve">EBITDA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加回口徑（與同業倍數同口徑，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按營收比例分攤）；</t>
    </r>
    <r>
      <rPr>
        <b val="true"/>
        <sz val="11"/>
        <rFont val="Cambria"/>
        <family val="0"/>
        <charset val="1"/>
      </rPr>
      <t xml:space="preserve">AWS AI </t>
    </r>
    <r>
      <rPr>
        <b val="true"/>
        <sz val="11"/>
        <rFont val="Noto Sans CJK SC"/>
        <family val="2"/>
      </rPr>
      <t xml:space="preserve">用自身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F3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</si>
  <si>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廣告：未來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</si>
  <si>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t xml:space="preserve">廣告：倍數</t>
  </si>
  <si>
    <r>
      <rPr>
        <sz val="11"/>
        <color theme="1"/>
        <rFont val="Noto Sans CJK SC"/>
        <family val="2"/>
      </rPr>
      <t xml:space="preserve">廣告：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</si>
  <si>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零售本業（讀法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：加回自用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營運成本，自用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</si>
  <si>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r>
      <rPr>
        <sz val="11"/>
        <color theme="1"/>
        <rFont val="Noto Sans CJK SC"/>
        <family val="2"/>
      </rPr>
      <t xml:space="preserve">零售本業（讀法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：加回自用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營運成本，自用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價值中性）：倍數</t>
    </r>
  </si>
  <si>
    <r>
      <rPr>
        <sz val="11"/>
        <color theme="1"/>
        <rFont val="Noto Sans CJK SC"/>
        <family val="2"/>
      </rPr>
      <t xml:space="preserve">零售本業（讀法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：加回自用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營運成本，自用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</si>
  <si>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</si>
  <si>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雲端）：倍數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</si>
  <si>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雲端）：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</si>
  <si>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自由現金流＝</t>
    </r>
    <r>
      <rPr>
        <sz val="11"/>
        <color theme="1"/>
        <rFont val="Calibri"/>
        <family val="2"/>
        <charset val="1"/>
      </rPr>
      <t xml:space="preserve">AI EBITDA −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營業利益 − 對外比例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資本支出（含汰換）</t>
    </r>
  </si>
  <si>
    <r>
      <rPr>
        <sz val="11"/>
        <color theme="1"/>
        <rFont val="Noto Sans CJK SC"/>
        <family val="2"/>
      </rPr>
      <t xml:space="preserve">  現值（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，期中）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</si>
  <si>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年底）＝</t>
    </r>
    <r>
      <rPr>
        <sz val="11"/>
        <color theme="1"/>
        <rFont val="Calibri"/>
        <family val="2"/>
        <charset val="1"/>
      </rPr>
      <t xml:space="preserve">FY2033 AI 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RONIC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</si>
  <si>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，推到目標價時點）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</si>
  <si>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</si>
  <si>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AWS AI 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× m_ai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</si>
  <si>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：採用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ai_leg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：倍數）</t>
    </r>
  </si>
  <si>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</si>
  <si>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− 淨負債（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年底，含融資租賃與融資義務）</t>
    </r>
  </si>
  <si>
    <t xml:space="preserve">股權價值（＋持股）</t>
  </si>
  <si>
    <t xml:space="preserve">分部加總每股價值（目標價時點）</t>
  </si>
  <si>
    <r>
      <rPr>
        <b val="true"/>
        <sz val="11"/>
        <rFont val="Noto Sans CJK SC"/>
        <family val="2"/>
      </rPr>
      <t xml:space="preserve">情境目標價＝</t>
    </r>
    <r>
      <rPr>
        <b val="true"/>
        <sz val="11"/>
        <rFont val="Cambria"/>
        <family val="0"/>
        <charset val="1"/>
      </rPr>
      <t xml:space="preserve">w_dcf × DCF</t>
    </r>
    <r>
      <rPr>
        <b val="true"/>
        <sz val="11"/>
        <rFont val="Noto Sans CJK SC"/>
        <family val="2"/>
      </rPr>
      <t xml:space="preserve">＋（</t>
    </r>
    <r>
      <rPr>
        <b val="true"/>
        <sz val="11"/>
        <rFont val="Cambria"/>
        <family val="0"/>
        <charset val="1"/>
      </rPr>
      <t xml:space="preserve">1 − w_dcf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分部加總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</si>
  <si>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權重（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＋分部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</si>
  <si>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對照：分部加總每股價值（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倍數）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</si>
  <si>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</si>
  <si>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</si>
  <si>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市場共識、公司指引與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。只作事後對照，不為對上數字而調參數（共同規則第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</si>
  <si>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</si>
  <si>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</si>
  <si>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</si>
  <si>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</si>
  <si>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差距（</t>
    </r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對照 −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</si>
  <si>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合併共識（</t>
    </r>
    <r>
      <rPr>
        <b val="true"/>
        <sz val="11"/>
        <rFont val="Cambria"/>
        <family val="0"/>
        <charset val="1"/>
      </rPr>
      <t xml:space="preserve">MarketScreener 2026-10-08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S&amp;P Global 2026-10-26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</si>
  <si>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</si>
  <si>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</si>
  <si>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模型含 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</si>
  <si>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</si>
  <si>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</si>
  <si>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FY2026 EBITDA</t>
  </si>
  <si>
    <r>
      <rPr>
        <sz val="11"/>
        <color theme="1"/>
        <rFont val="Noto Sans CJK SC"/>
        <family val="2"/>
      </rPr>
      <t xml:space="preserve">模型＝營業利益（財報口徑）＋分部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折舊；差距約一半是折舊口徑（不含影音內容與營業租賃資產攤銷，約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／年），約一半是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（供應商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加回，約 </t>
    </r>
    <r>
      <rPr>
        <sz val="11"/>
        <color theme="1"/>
        <rFont val="Calibri"/>
        <family val="2"/>
        <charset val="1"/>
      </rPr>
      <t xml:space="preserve">22–29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</si>
  <si>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</si>
  <si>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</si>
  <si>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財報口徑；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含上半年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評價利益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</si>
  <si>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模型財報口徑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</si>
  <si>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（調整後，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模型不含業外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</si>
  <si>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</si>
  <si>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模型扣除業外其他（近似）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</si>
  <si>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</si>
  <si>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自由現金流</t>
    </r>
  </si>
  <si>
    <t xml:space="preserve">模型扣融資租賃本金；供應商口徑未揭露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</si>
  <si>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</si>
  <si>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</si>
  <si>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t xml:space="preserve">FY2027 EBITDA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</si>
  <si>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</si>
  <si>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</si>
  <si>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模型財報口徑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</si>
  <si>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（調整後，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模型不含業外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</si>
  <si>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</si>
  <si>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</si>
  <si>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</si>
  <si>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FY2028 EBITDA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</si>
  <si>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</si>
  <si>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</si>
  <si>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模型財報口徑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</si>
  <si>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</si>
  <si>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自由現金流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</si>
  <si>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分部與營收線共識（逐分部）</t>
    </r>
  </si>
  <si>
    <t xml:space="preserve">FY2026 North America</t>
  </si>
  <si>
    <t xml:space="preserve">未找到</t>
  </si>
  <si>
    <t xml:space="preserve">未找到：本輪未取得公開的分部共識（免費來源只有合併數；網路搜尋額度用盡）</t>
  </si>
  <si>
    <t xml:space="preserve">FY2027 North America</t>
  </si>
  <si>
    <t xml:space="preserve">FY2026 International</t>
  </si>
  <si>
    <t xml:space="preserve">FY2027 International</t>
  </si>
  <si>
    <t xml:space="preserve">FY2026 AWS</t>
  </si>
  <si>
    <t xml:space="preserve">FY2027 AWS</t>
  </si>
  <si>
    <t xml:space="preserve">FY2026 Advertising services</t>
  </si>
  <si>
    <t xml:space="preserve">FY2027 Advertising services</t>
  </si>
  <si>
    <r>
      <rPr>
        <sz val="11"/>
        <color theme="1"/>
        <rFont val="Calibri"/>
        <family val="2"/>
        <charset val="1"/>
      </rPr>
      <t xml:space="preserve">FY2026 AWS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</si>
  <si>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Noto Sans CJK SC"/>
        <family val="2"/>
      </rPr>
      <t xml:space="preserve">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</si>
  <si>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AWS AI</t>
    </r>
    <r>
      <rPr>
        <sz val="11"/>
        <color theme="1"/>
        <rFont val="Noto Sans CJK SC"/>
        <family val="2"/>
      </rPr>
      <t xml:space="preserve">（命題子列）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</si>
  <si>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公司指引與說法（驗證列；不用於校準）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</si>
  <si>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</si>
  <si>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法說（二手逐字稿）</t>
    </r>
  </si>
  <si>
    <r>
      <rPr>
        <sz val="11"/>
        <color theme="1"/>
        <rFont val="Calibri"/>
        <family val="2"/>
        <charset val="1"/>
      </rPr>
      <t xml:space="preserve">2H26 AI </t>
    </r>
    <r>
      <rPr>
        <sz val="11"/>
        <color theme="1"/>
        <rFont val="Noto Sans CJK SC"/>
        <family val="2"/>
      </rPr>
      <t xml:space="preserve">資本支出取 </t>
    </r>
    <r>
      <rPr>
        <sz val="11"/>
        <color theme="1"/>
        <rFont val="Calibri"/>
        <family val="2"/>
        <charset val="1"/>
      </rPr>
      <t xml:space="preserve">MAX(MW 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指引下限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</si>
  <si>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營收指引中點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模型隱含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× 2025Q3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</si>
  <si>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新聞稿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</si>
  <si>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197–202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時點約 −</t>
    </r>
    <r>
      <rPr>
        <sz val="11"/>
        <color theme="1"/>
        <rFont val="Calibri"/>
        <family val="2"/>
        <charset val="1"/>
      </rPr>
      <t xml:space="preserve">400bp</t>
    </r>
    <r>
      <rPr>
        <sz val="11"/>
        <color theme="1"/>
        <rFont val="Noto Sans CJK SC"/>
        <family val="2"/>
      </rPr>
      <t xml:space="preserve">、匯率 −</t>
    </r>
    <r>
      <rPr>
        <sz val="11"/>
        <color theme="1"/>
        <rFont val="Calibri"/>
        <family val="2"/>
        <charset val="1"/>
      </rPr>
      <t xml:space="preserve">80bp</t>
    </r>
    <r>
      <rPr>
        <sz val="11"/>
        <color theme="1"/>
        <rFont val="Noto Sans CJK SC"/>
        <family val="2"/>
      </rPr>
      <t xml:space="preserve">）；季節比例為 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</si>
  <si>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營業利益指引中點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模型隱含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× 2025Q3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</si>
  <si>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22.5–26.5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營業利益含 </t>
    </r>
    <r>
      <rPr>
        <sz val="11"/>
        <color theme="1"/>
        <rFont val="Calibri"/>
        <family val="2"/>
        <charset val="1"/>
      </rPr>
      <t xml:space="preserve">FTC </t>
    </r>
    <r>
      <rPr>
        <sz val="11"/>
        <color theme="1"/>
        <rFont val="Noto Sans CJK SC"/>
        <family val="2"/>
      </rPr>
      <t xml:space="preserve">和解等一次性費用，比例偏低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</si>
  <si>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年化營收（評價日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&gt;25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</si>
  <si>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</si>
  <si>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：不回頭改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，差距本身是發現</t>
    </r>
  </si>
  <si>
    <r>
      <rPr>
        <sz val="11"/>
        <color theme="1"/>
        <rFont val="Noto Sans CJK SC"/>
        <family val="2"/>
      </rPr>
      <t xml:space="preserve">要對上公司說法：所需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不變）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</si>
  <si>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k_B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</si>
  <si>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要對上公司說法：所需對外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不變）</t>
    </r>
  </si>
  <si>
    <r>
      <rPr>
        <sz val="11"/>
        <color theme="1"/>
        <rFont val="Noto Sans CJK SC"/>
        <family val="2"/>
      </rPr>
      <t xml:space="preserve">對照期初 </t>
    </r>
    <r>
      <rPr>
        <sz val="11"/>
        <color theme="1"/>
        <rFont val="Calibri"/>
        <family val="2"/>
        <charset val="1"/>
      </rPr>
      <t xml:space="preserve">2,080 MW</t>
    </r>
  </si>
  <si>
    <r>
      <rPr>
        <sz val="11"/>
        <color theme="1"/>
        <rFont val="Noto Sans CJK SC"/>
        <family val="2"/>
      </rPr>
      <t xml:space="preserve">替代：期初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對上公司 </t>
    </r>
    <r>
      <rPr>
        <sz val="11"/>
        <color theme="1"/>
        <rFont val="Calibri"/>
        <family val="2"/>
        <charset val="1"/>
      </rPr>
      <t xml:space="preserve">run-rate </t>
    </r>
    <r>
      <rPr>
        <sz val="11"/>
        <color theme="1"/>
        <rFont val="Noto Sans CJK SC"/>
        <family val="2"/>
      </rPr>
      <t xml:space="preserve">時的情境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目標價變動（每股）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</si>
  <si>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頁案例</t>
    </r>
  </si>
  <si>
    <r>
      <rPr>
        <sz val="11"/>
        <color theme="1"/>
        <rFont val="Noto Sans CJK SC"/>
        <family val="2"/>
      </rPr>
      <t xml:space="preserve">不作主值（共同規則第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節：不以公司說法反推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其他的成長起點已改用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年增，不受此分拆影響</t>
    </r>
  </si>
  <si>
    <r>
      <rPr>
        <sz val="11"/>
        <color theme="1"/>
        <rFont val="Noto Sans CJK SC"/>
        <family val="2"/>
      </rPr>
      <t xml:space="preserve">上限檢查：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 </t>
    </r>
    <r>
      <rPr>
        <sz val="11"/>
        <color theme="1"/>
        <rFont val="Calibri"/>
        <family val="2"/>
        <charset val="1"/>
      </rPr>
      <t xml:space="preserve">÷ Tokenomics P×Q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</si>
  <si>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Tokenomics v21.4</t>
  </si>
  <si>
    <r>
      <rPr>
        <b val="true"/>
        <sz val="11"/>
        <rFont val="Cambria"/>
        <family val="0"/>
        <charset val="1"/>
      </rPr>
      <t xml:space="preserve">D. v0.3 vs v0.2.2</t>
    </r>
    <r>
      <rPr>
        <b val="true"/>
        <sz val="11"/>
        <rFont val="Noto Sans CJK SC"/>
        <family val="2"/>
      </rPr>
      <t xml:space="preserve">：目標價差異拆解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</si>
  <si>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；現價 </t>
    </r>
    <r>
      <rPr>
        <sz val="11"/>
        <color theme="1"/>
        <rFont val="Calibri"/>
        <family val="2"/>
        <charset val="1"/>
      </rPr>
      <t xml:space="preserve">259.92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</si>
  <si>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</t>
    </r>
  </si>
  <si>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</t>
    </r>
  </si>
  <si>
    <t xml:space="preserve">總差異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</si>
  <si>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）評價權重：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＋分部 </t>
    </r>
    <r>
      <rPr>
        <sz val="11"/>
        <color theme="1"/>
        <rFont val="Calibri"/>
        <family val="2"/>
        <charset val="1"/>
      </rPr>
      <t xml:space="preserve">55% → </t>
    </r>
    <r>
      <rPr>
        <sz val="11"/>
        <color theme="1"/>
        <rFont val="Noto Sans CJK SC"/>
        <family val="2"/>
      </rPr>
      <t xml:space="preserve">各半（以情境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計）</t>
    </r>
  </si>
  <si>
    <t xml:space="preserve">方法變更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</si>
  <si>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）情境加權（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以基準情境為目標價）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</si>
  <si>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）其餘：營收結構改官方分部、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成本進分部營業利益、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永續法（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）、分部加總口徑、現價與日期</t>
    </r>
  </si>
  <si>
    <r>
      <rPr>
        <sz val="11"/>
        <color theme="1"/>
        <rFont val="Noto Sans CJK SC"/>
        <family val="2"/>
      </rPr>
      <t xml:space="preserve">未再細分：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引擎（</t>
    </r>
    <r>
      <rPr>
        <sz val="11"/>
        <color theme="1"/>
        <rFont val="Calibri"/>
        <family val="2"/>
        <charset val="1"/>
      </rPr>
      <t xml:space="preserve">legacy_v0.2</t>
    </r>
    <r>
      <rPr>
        <sz val="11"/>
        <color theme="1"/>
        <rFont val="Noto Sans CJK SC"/>
        <family val="2"/>
      </rPr>
      <t xml:space="preserve">）與本版結構不同，無法逐項替換重算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</si>
  <si>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上檔空間（基準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當時現價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</si>
  <si>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評等：賣出（舊三級口徑）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</si>
  <si>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）：對情境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目標價、</t>
    </r>
    <r>
      <rPr>
        <sz val="11"/>
        <color theme="1"/>
        <rFont val="Calibri"/>
        <family val="2"/>
        <charset val="1"/>
      </rPr>
      <t xml:space="preserve">FY2028 AWS </t>
    </r>
    <r>
      <rPr>
        <sz val="11"/>
        <color theme="1"/>
        <rFont val="Noto Sans CJK SC"/>
        <family val="2"/>
      </rPr>
      <t xml:space="preserve">營業利益率、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與收支關卡的影響。每個案例是一個完整推導區塊（本頁第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列起，與主頁同一引擎）</t>
    </r>
  </si>
  <si>
    <t xml:space="preserve">案例</t>
  </si>
  <si>
    <t xml:space="preserve">設定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</si>
  <si>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目標價</t>
    </r>
  </si>
  <si>
    <t xml:space="preserve">相對基準</t>
  </si>
  <si>
    <r>
      <rPr>
        <b val="true"/>
        <sz val="11"/>
        <rFont val="Cambria"/>
        <family val="0"/>
        <charset val="1"/>
      </rPr>
      <t xml:space="preserve">FY2028 AWS </t>
    </r>
    <r>
      <rPr>
        <b val="true"/>
        <sz val="11"/>
        <rFont val="Noto Sans CJK SC"/>
        <family val="2"/>
      </rPr>
      <t xml:space="preserve">營業利益率</t>
    </r>
  </si>
  <si>
    <t xml:space="preserve">收支關卡（五年）</t>
  </si>
  <si>
    <t xml:space="preserve">驅動類別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</si>
  <si>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</si>
  <si>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主頁情境 </t>
    </r>
    <r>
      <rPr>
        <sz val="11"/>
        <color theme="1"/>
        <rFont val="Calibri"/>
        <family val="2"/>
        <charset val="1"/>
      </rPr>
      <t xml:space="preserve">B</t>
    </r>
  </si>
  <si>
    <t xml:space="preserve">—</t>
  </si>
  <si>
    <r>
      <rPr>
        <sz val="11"/>
        <color theme="1"/>
        <rFont val="Noto Sans CJK SC"/>
        <family val="2"/>
      </rPr>
      <t xml:space="preserve">新產能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低（價格軸低 </t>
    </r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</si>
  <si>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0.574 </t>
    </r>
    <r>
      <rPr>
        <sz val="11"/>
        <color theme="1"/>
        <rFont val="Noto Sans CJK SC"/>
        <family val="2"/>
      </rPr>
      <t xml:space="preserve">混合</t>
    </r>
  </si>
  <si>
    <t xml:space="preserve">命題</t>
  </si>
  <si>
    <r>
      <rPr>
        <sz val="11"/>
        <color theme="1"/>
        <rFont val="Noto Sans CJK SC"/>
        <family val="2"/>
      </rPr>
      <t xml:space="preserve">新產能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高（價格軸高 </t>
    </r>
    <r>
      <rPr>
        <sz val="11"/>
        <color theme="1"/>
        <rFont val="Calibri"/>
        <family val="2"/>
        <charset val="1"/>
      </rPr>
      <t xml:space="preserve">k_A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</si>
  <si>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現貨改用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牌價</t>
    </r>
  </si>
  <si>
    <r>
      <rPr>
        <sz val="11"/>
        <color theme="1"/>
        <rFont val="Noto Sans CJK SC"/>
        <family val="2"/>
      </rPr>
      <t xml:space="preserve">對外比例 </t>
    </r>
    <r>
      <rPr>
        <sz val="11"/>
        <color theme="1"/>
        <rFont val="Calibri"/>
        <family val="2"/>
        <charset val="1"/>
      </rPr>
      <t xml:space="preserve">60%</t>
    </r>
  </si>
  <si>
    <t xml:space="preserve">C23 −20pt</t>
  </si>
  <si>
    <r>
      <rPr>
        <sz val="11"/>
        <color theme="1"/>
        <rFont val="Noto Sans CJK SC"/>
        <family val="2"/>
      </rPr>
      <t xml:space="preserve">對外比例 </t>
    </r>
    <r>
      <rPr>
        <sz val="11"/>
        <color theme="1"/>
        <rFont val="Calibri"/>
        <family val="2"/>
        <charset val="1"/>
      </rPr>
      <t xml:space="preserve">100%</t>
    </r>
  </si>
  <si>
    <t xml:space="preserve">C23 +20pt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</si>
  <si>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 </t>
    </r>
    <r>
      <rPr>
        <sz val="11"/>
        <color theme="1"/>
        <rFont val="Calibri"/>
        <family val="2"/>
        <charset val="1"/>
      </rPr>
      <t xml:space="preserve">× 0.75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</si>
  <si>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 −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</si>
  <si>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 </t>
    </r>
    <r>
      <rPr>
        <sz val="11"/>
        <color theme="1"/>
        <rFont val="Calibri"/>
        <family val="2"/>
        <charset val="1"/>
      </rPr>
      <t xml:space="preserve">× 1.25</t>
    </r>
  </si>
  <si>
    <t xml:space="preserve">+25%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</si>
  <si>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</si>
  <si>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Tokenomics 6 </t>
    </r>
    <r>
      <rPr>
        <sz val="11"/>
        <color theme="1"/>
        <rFont val="Noto Sans CJK SC"/>
        <family val="2"/>
      </rPr>
      <t xml:space="preserve">年 →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</si>
  <si>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</si>
  <si>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6 → 7</t>
  </si>
  <si>
    <r>
      <rPr>
        <sz val="11"/>
        <color theme="1"/>
        <rFont val="Noto Sans CJK SC"/>
        <family val="2"/>
      </rPr>
      <t xml:space="preserve">自研晶片係數 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Noto Sans CJK SC"/>
        <family val="2"/>
      </rPr>
      <t xml:space="preserve">（收入與資本支出）</t>
    </r>
  </si>
  <si>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敏感度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</si>
  <si>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（只計成本）</t>
    </r>
  </si>
  <si>
    <r>
      <rPr>
        <sz val="11"/>
        <color theme="1"/>
        <rFont val="Calibri"/>
        <family val="2"/>
        <charset val="1"/>
      </rPr>
      <t xml:space="preserve">C16</t>
    </r>
    <r>
      <rPr>
        <sz val="11"/>
        <color theme="1"/>
        <rFont val="Noto Sans CJK SC"/>
        <family val="2"/>
      </rPr>
      <t xml:space="preserve">；主值為讀法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</si>
  <si>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對上公司 </t>
    </r>
    <r>
      <rPr>
        <sz val="11"/>
        <color theme="1"/>
        <rFont val="Calibri"/>
        <family val="2"/>
        <charset val="1"/>
      </rPr>
      <t xml:space="preserve">AI run-rate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</si>
  <si>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收入＝</t>
    </r>
    <r>
      <rPr>
        <sz val="11"/>
        <color theme="1"/>
        <rFont val="Calibri"/>
        <family val="2"/>
        <charset val="1"/>
      </rPr>
      <t xml:space="preserve">ai_rr ÷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1.23</t>
    </r>
    <r>
      <rPr>
        <sz val="11"/>
        <color theme="1"/>
        <rFont val="Noto Sans CJK SC"/>
        <family val="2"/>
      </rPr>
      <t xml:space="preserve">）；只作對照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</si>
  <si>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其他長期成長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</si>
  <si>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g_awso_lt </t>
    </r>
    <r>
      <rPr>
        <sz val="11"/>
        <color theme="1"/>
        <rFont val="Noto Sans CJK SC"/>
        <family val="2"/>
      </rPr>
      <t xml:space="preserve">低</t>
    </r>
  </si>
  <si>
    <t xml:space="preserve">業務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</si>
  <si>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其他長期成長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</si>
  <si>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g_awso_lt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</si>
  <si>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廣告利益率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</si>
  <si>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m_ad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</si>
  <si>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廣告利益率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</si>
  <si>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m_ad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</si>
  <si>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廣告長期成長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</si>
  <si>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Calibri"/>
        <family val="2"/>
        <charset val="1"/>
      </rPr>
      <t xml:space="preserve">g_ad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</si>
  <si>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廣告長期成長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</si>
  <si>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g_ad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</si>
  <si>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北美零售利益率年改善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</si>
  <si>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step_na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</si>
  <si>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北美零售利益率年改善 </t>
    </r>
    <r>
      <rPr>
        <sz val="11"/>
        <color theme="1"/>
        <rFont val="Calibri"/>
        <family val="2"/>
        <charset val="1"/>
      </rPr>
      <t xml:space="preserve">0.6pt</t>
    </r>
  </si>
  <si>
    <r>
      <rPr>
        <sz val="11"/>
        <color theme="1"/>
        <rFont val="Calibri"/>
        <family val="2"/>
        <charset val="1"/>
      </rPr>
      <t xml:space="preserve">step_na </t>
    </r>
    <r>
      <rPr>
        <sz val="11"/>
        <color theme="1"/>
        <rFont val="Noto Sans CJK SC"/>
        <family val="2"/>
      </rPr>
      <t xml:space="preserve">高</t>
    </r>
  </si>
  <si>
    <t xml:space="preserve">WACC −1pt</t>
  </si>
  <si>
    <t xml:space="preserve">評價</t>
  </si>
  <si>
    <t xml:space="preserve">WACC +1pt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</si>
  <si>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 2%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</si>
  <si>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 4%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</si>
  <si>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</si>
  <si>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</si>
  <si>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分部倍數 </t>
    </r>
    <r>
      <rPr>
        <sz val="11"/>
        <color theme="1"/>
        <rFont val="Calibri"/>
        <family val="2"/>
        <charset val="1"/>
      </rPr>
      <t xml:space="preserve">× 0.8</t>
    </r>
  </si>
  <si>
    <r>
      <rPr>
        <sz val="11"/>
        <color theme="1"/>
        <rFont val="Noto Sans CJK SC"/>
        <family val="2"/>
      </rPr>
      <t xml:space="preserve">零售、廣告、非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</t>
    </r>
  </si>
  <si>
    <r>
      <rPr>
        <sz val="11"/>
        <color theme="1"/>
        <rFont val="Noto Sans CJK SC"/>
        <family val="2"/>
      </rPr>
      <t xml:space="preserve">分部倍數 </t>
    </r>
    <r>
      <rPr>
        <sz val="11"/>
        <color theme="1"/>
        <rFont val="Calibri"/>
        <family val="2"/>
        <charset val="1"/>
      </rPr>
      <t xml:space="preserve">× 1.2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</si>
  <si>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腿改用 </t>
    </r>
    <r>
      <rPr>
        <sz val="11"/>
        <color theme="1"/>
        <rFont val="Calibri"/>
        <family val="2"/>
        <charset val="1"/>
      </rPr>
      <t xml:space="preserve">EBITDA × 6×</t>
    </r>
  </si>
  <si>
    <r>
      <rPr>
        <sz val="11"/>
        <color theme="1"/>
        <rFont val="Noto Sans CJK SC"/>
        <family val="2"/>
      </rPr>
      <t xml:space="preserve">預設：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</si>
  <si>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腿改用 </t>
    </r>
    <r>
      <rPr>
        <sz val="11"/>
        <color theme="1"/>
        <rFont val="Calibri"/>
        <family val="2"/>
        <charset val="1"/>
      </rPr>
      <t xml:space="preserve">EBITDA × 10×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</si>
  <si>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</si>
  <si>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</si>
  <si>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21%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</si>
  <si>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</si>
  <si>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</si>
  <si>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</si>
  <si>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基準區塊目標價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</si>
  <si>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讀法：相對基準＝案例目標價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；每列只動一個輸入（自研晶片係數同時動收入與資本支出）。</t>
    </r>
  </si>
  <si>
    <r>
      <rPr>
        <b val="true"/>
        <sz val="11"/>
        <rFont val="Cambria"/>
        <family val="0"/>
        <charset val="1"/>
      </rPr>
      <t xml:space="preserve">WACC × </t>
    </r>
    <r>
      <rPr>
        <b val="true"/>
        <sz val="11"/>
        <rFont val="Noto Sans CJK SC"/>
        <family val="2"/>
      </rPr>
      <t xml:space="preserve">永續成長 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網格（情境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目標價；</t>
    </r>
    <r>
      <rPr>
        <b val="true"/>
        <sz val="11"/>
        <rFont val="Cambria"/>
        <family val="0"/>
        <charset val="1"/>
      </rPr>
      <t xml:space="preserve">F4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</si>
  <si>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Noto Sans CJK SC"/>
        <family val="2"/>
      </rPr>
      <t xml:space="preserve">調整</t>
    </r>
  </si>
  <si>
    <t xml:space="preserve">g 2%</t>
  </si>
  <si>
    <r>
      <rPr>
        <b val="true"/>
        <sz val="11"/>
        <rFont val="Cambria"/>
        <family val="0"/>
        <charset val="1"/>
      </rPr>
      <t xml:space="preserve">g 3%</t>
    </r>
    <r>
      <rPr>
        <b val="true"/>
        <sz val="11"/>
        <rFont val="Noto Sans CJK SC"/>
        <family val="2"/>
      </rPr>
      <t xml:space="preserve">（基準）</t>
    </r>
  </si>
  <si>
    <t xml:space="preserve">g 4%</t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</si>
  <si>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</si>
  <si>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（只計成本）三情境（主值為讀法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</si>
  <si>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</si>
  <si>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t xml:space="preserve">目標價</t>
  </si>
  <si>
    <t xml:space="preserve">DCF</t>
  </si>
  <si>
    <t xml:space="preserve">分部加總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</si>
  <si>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</si>
  <si>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</si>
  <si>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（保守）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</si>
  <si>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基準區塊（無覆寫）：營收分部層（官方分部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</si>
  <si>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基準區塊（無覆寫）：命題模組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</si>
  <si>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基準區塊（無覆寫）：分部營收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</si>
  <si>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基準區塊（無覆寫）：營運現金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</si>
  <si>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基準區塊（無覆寫）：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</si>
  <si>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低（價格軸低 </t>
    </r>
    <r>
      <rPr>
        <b val="true"/>
        <sz val="12"/>
        <rFont val="Cambria"/>
        <family val="0"/>
        <charset val="1"/>
      </rPr>
      <t xml:space="preserve">k_C</t>
    </r>
    <r>
      <rPr>
        <b val="true"/>
        <sz val="12"/>
        <rFont val="Noto Sans CJK SC"/>
        <family val="2"/>
      </rPr>
      <t xml:space="preserve">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</si>
  <si>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低（價格軸低 </t>
    </r>
    <r>
      <rPr>
        <b val="true"/>
        <sz val="12"/>
        <rFont val="Cambria"/>
        <family val="0"/>
        <charset val="1"/>
      </rPr>
      <t xml:space="preserve">k_C</t>
    </r>
    <r>
      <rPr>
        <b val="true"/>
        <sz val="12"/>
        <rFont val="Noto Sans CJK SC"/>
        <family val="2"/>
      </rPr>
      <t xml:space="preserve">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</si>
  <si>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低（價格軸低 </t>
    </r>
    <r>
      <rPr>
        <b val="true"/>
        <sz val="12"/>
        <rFont val="Cambria"/>
        <family val="0"/>
        <charset val="1"/>
      </rPr>
      <t xml:space="preserve">k_C</t>
    </r>
    <r>
      <rPr>
        <b val="true"/>
        <sz val="12"/>
        <rFont val="Noto Sans CJK SC"/>
        <family val="2"/>
      </rPr>
      <t xml:space="preserve">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</si>
  <si>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低（價格軸低 </t>
    </r>
    <r>
      <rPr>
        <b val="true"/>
        <sz val="12"/>
        <rFont val="Cambria"/>
        <family val="0"/>
        <charset val="1"/>
      </rPr>
      <t xml:space="preserve">k_C</t>
    </r>
    <r>
      <rPr>
        <b val="true"/>
        <sz val="12"/>
        <rFont val="Noto Sans CJK SC"/>
        <family val="2"/>
      </rPr>
      <t xml:space="preserve">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</si>
  <si>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低（價格軸低 </t>
    </r>
    <r>
      <rPr>
        <b val="true"/>
        <sz val="12"/>
        <rFont val="Cambria"/>
        <family val="0"/>
        <charset val="1"/>
      </rPr>
      <t xml:space="preserve">k_C</t>
    </r>
    <r>
      <rPr>
        <b val="true"/>
        <sz val="12"/>
        <rFont val="Noto Sans CJK SC"/>
        <family val="2"/>
      </rPr>
      <t xml:space="preserve">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</si>
  <si>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高（價格軸高 </t>
    </r>
    <r>
      <rPr>
        <b val="true"/>
        <sz val="12"/>
        <rFont val="Cambria"/>
        <family val="0"/>
        <charset val="1"/>
      </rPr>
      <t xml:space="preserve">k_A</t>
    </r>
    <r>
      <rPr>
        <b val="true"/>
        <sz val="12"/>
        <rFont val="Noto Sans CJK SC"/>
        <family val="2"/>
      </rPr>
      <t xml:space="preserve">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</si>
  <si>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高（價格軸高 </t>
    </r>
    <r>
      <rPr>
        <b val="true"/>
        <sz val="12"/>
        <rFont val="Cambria"/>
        <family val="0"/>
        <charset val="1"/>
      </rPr>
      <t xml:space="preserve">k_A</t>
    </r>
    <r>
      <rPr>
        <b val="true"/>
        <sz val="12"/>
        <rFont val="Noto Sans CJK SC"/>
        <family val="2"/>
      </rPr>
      <t xml:space="preserve">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</si>
  <si>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高（價格軸高 </t>
    </r>
    <r>
      <rPr>
        <b val="true"/>
        <sz val="12"/>
        <rFont val="Cambria"/>
        <family val="0"/>
        <charset val="1"/>
      </rPr>
      <t xml:space="preserve">k_A</t>
    </r>
    <r>
      <rPr>
        <b val="true"/>
        <sz val="12"/>
        <rFont val="Noto Sans CJK SC"/>
        <family val="2"/>
      </rPr>
      <t xml:space="preserve">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</si>
  <si>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高（價格軸高 </t>
    </r>
    <r>
      <rPr>
        <b val="true"/>
        <sz val="12"/>
        <rFont val="Cambria"/>
        <family val="0"/>
        <charset val="1"/>
      </rPr>
      <t xml:space="preserve">k_A</t>
    </r>
    <r>
      <rPr>
        <b val="true"/>
        <sz val="12"/>
        <rFont val="Noto Sans CJK SC"/>
        <family val="2"/>
      </rPr>
      <t xml:space="preserve">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</si>
  <si>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高（價格軸高 </t>
    </r>
    <r>
      <rPr>
        <b val="true"/>
        <sz val="12"/>
        <rFont val="Cambria"/>
        <family val="0"/>
        <charset val="1"/>
      </rPr>
      <t xml:space="preserve">k_A</t>
    </r>
    <r>
      <rPr>
        <b val="true"/>
        <sz val="12"/>
        <rFont val="Noto Sans CJK SC"/>
        <family val="2"/>
      </rPr>
      <t xml:space="preserve">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</si>
  <si>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</si>
  <si>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</si>
  <si>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</si>
  <si>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</si>
  <si>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</si>
  <si>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100%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</si>
  <si>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100%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</si>
  <si>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100%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</si>
  <si>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100%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</si>
  <si>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100%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</si>
  <si>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0.75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</si>
  <si>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0.75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</si>
  <si>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0.75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</si>
  <si>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0.75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</si>
  <si>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0.75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</si>
  <si>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1.25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</si>
  <si>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1.25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</si>
  <si>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1.25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</si>
  <si>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1.25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</si>
  <si>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1.25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</si>
  <si>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5 </t>
    </r>
    <r>
      <rPr>
        <b val="true"/>
        <sz val="12"/>
        <rFont val="Noto Sans CJK SC"/>
        <family val="2"/>
      </rPr>
      <t xml:space="preserve">年：營收分部層（官方分部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</si>
  <si>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5 </t>
    </r>
    <r>
      <rPr>
        <b val="true"/>
        <sz val="12"/>
        <rFont val="Noto Sans CJK SC"/>
        <family val="2"/>
      </rPr>
      <t xml:space="preserve">年：命題模組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</si>
  <si>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5 </t>
    </r>
    <r>
      <rPr>
        <b val="true"/>
        <sz val="12"/>
        <rFont val="Noto Sans CJK SC"/>
        <family val="2"/>
      </rPr>
      <t xml:space="preserve">年：分部營收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</si>
  <si>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5 </t>
    </r>
    <r>
      <rPr>
        <b val="true"/>
        <sz val="12"/>
        <rFont val="Noto Sans CJK SC"/>
        <family val="2"/>
      </rPr>
      <t xml:space="preserve">年：營運現金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</si>
  <si>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5 </t>
    </r>
    <r>
      <rPr>
        <b val="true"/>
        <sz val="12"/>
        <rFont val="Noto Sans CJK SC"/>
        <family val="2"/>
      </rPr>
      <t xml:space="preserve">年：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</si>
  <si>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7 </t>
    </r>
    <r>
      <rPr>
        <b val="true"/>
        <sz val="12"/>
        <rFont val="Noto Sans CJK SC"/>
        <family val="2"/>
      </rPr>
      <t xml:space="preserve">年：營收分部層（官方分部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</si>
  <si>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7 </t>
    </r>
    <r>
      <rPr>
        <b val="true"/>
        <sz val="12"/>
        <rFont val="Noto Sans CJK SC"/>
        <family val="2"/>
      </rPr>
      <t xml:space="preserve">年：命題模組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</si>
  <si>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7 </t>
    </r>
    <r>
      <rPr>
        <b val="true"/>
        <sz val="12"/>
        <rFont val="Noto Sans CJK SC"/>
        <family val="2"/>
      </rPr>
      <t xml:space="preserve">年：分部營收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</si>
  <si>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7 </t>
    </r>
    <r>
      <rPr>
        <b val="true"/>
        <sz val="12"/>
        <rFont val="Noto Sans CJK SC"/>
        <family val="2"/>
      </rPr>
      <t xml:space="preserve">年：營運現金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</si>
  <si>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7 </t>
    </r>
    <r>
      <rPr>
        <b val="true"/>
        <sz val="12"/>
        <rFont val="Noto Sans CJK SC"/>
        <family val="2"/>
      </rPr>
      <t xml:space="preserve">年：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</si>
  <si>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案例：自研晶片係數 </t>
    </r>
    <r>
      <rPr>
        <b val="true"/>
        <sz val="12"/>
        <rFont val="Cambria"/>
        <family val="0"/>
        <charset val="1"/>
      </rPr>
      <t xml:space="preserve">0.7</t>
    </r>
    <r>
      <rPr>
        <b val="true"/>
        <sz val="12"/>
        <rFont val="Noto Sans CJK SC"/>
        <family val="2"/>
      </rPr>
      <t xml:space="preserve">（收入與資本支出）：營收分部層（官方分部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</si>
  <si>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案例：自研晶片係數 </t>
    </r>
    <r>
      <rPr>
        <b val="true"/>
        <sz val="12"/>
        <rFont val="Cambria"/>
        <family val="0"/>
        <charset val="1"/>
      </rPr>
      <t xml:space="preserve">0.7</t>
    </r>
    <r>
      <rPr>
        <b val="true"/>
        <sz val="12"/>
        <rFont val="Noto Sans CJK SC"/>
        <family val="2"/>
      </rPr>
      <t xml:space="preserve">（收入與資本支出）：命題模組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</si>
  <si>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案例：自研晶片係數 </t>
    </r>
    <r>
      <rPr>
        <b val="true"/>
        <sz val="12"/>
        <rFont val="Cambria"/>
        <family val="0"/>
        <charset val="1"/>
      </rPr>
      <t xml:space="preserve">0.7</t>
    </r>
    <r>
      <rPr>
        <b val="true"/>
        <sz val="12"/>
        <rFont val="Noto Sans CJK SC"/>
        <family val="2"/>
      </rPr>
      <t xml:space="preserve">（收入與資本支出）：分部營收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</si>
  <si>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案例：自研晶片係數 </t>
    </r>
    <r>
      <rPr>
        <b val="true"/>
        <sz val="12"/>
        <rFont val="Cambria"/>
        <family val="0"/>
        <charset val="1"/>
      </rPr>
      <t xml:space="preserve">0.7</t>
    </r>
    <r>
      <rPr>
        <b val="true"/>
        <sz val="12"/>
        <rFont val="Noto Sans CJK SC"/>
        <family val="2"/>
      </rPr>
      <t xml:space="preserve">（收入與資本支出）：營運現金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</si>
  <si>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案例：自研晶片係數 </t>
    </r>
    <r>
      <rPr>
        <b val="true"/>
        <sz val="12"/>
        <rFont val="Cambria"/>
        <family val="0"/>
        <charset val="1"/>
      </rPr>
      <t xml:space="preserve">0.7</t>
    </r>
    <r>
      <rPr>
        <b val="true"/>
        <sz val="12"/>
        <rFont val="Noto Sans CJK SC"/>
        <family val="2"/>
      </rPr>
      <t xml:space="preserve">（收入與資本支出）：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</si>
  <si>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案例：自用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（只計成本）：營收分部層（官方分部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</si>
  <si>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案例：自用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（只計成本）：命題模組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</si>
  <si>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案例：自用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（只計成本）：分部營收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</si>
  <si>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案例：自用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（只計成本）：營運現金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</si>
  <si>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案例：自用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（只計成本）：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</si>
  <si>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案例：期初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對上公司 </t>
    </r>
    <r>
      <rPr>
        <b val="true"/>
        <sz val="12"/>
        <rFont val="Cambria"/>
        <family val="0"/>
        <charset val="1"/>
      </rPr>
      <t xml:space="preserve">AI run-rate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&gt;25</t>
    </r>
    <r>
      <rPr>
        <b val="true"/>
        <sz val="12"/>
        <rFont val="Noto Sans CJK SC"/>
        <family val="2"/>
      </rPr>
      <t xml:space="preserve">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</si>
  <si>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案例：期初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對上公司 </t>
    </r>
    <r>
      <rPr>
        <b val="true"/>
        <sz val="12"/>
        <rFont val="Cambria"/>
        <family val="0"/>
        <charset val="1"/>
      </rPr>
      <t xml:space="preserve">AI run-rate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&gt;25</t>
    </r>
    <r>
      <rPr>
        <b val="true"/>
        <sz val="12"/>
        <rFont val="Noto Sans CJK SC"/>
        <family val="2"/>
      </rPr>
      <t xml:space="preserve">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</si>
  <si>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案例：期初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對上公司 </t>
    </r>
    <r>
      <rPr>
        <b val="true"/>
        <sz val="12"/>
        <rFont val="Cambria"/>
        <family val="0"/>
        <charset val="1"/>
      </rPr>
      <t xml:space="preserve">AI run-rate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&gt;25</t>
    </r>
    <r>
      <rPr>
        <b val="true"/>
        <sz val="12"/>
        <rFont val="Noto Sans CJK SC"/>
        <family val="2"/>
      </rPr>
      <t xml:space="preserve">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</si>
  <si>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案例：期初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對上公司 </t>
    </r>
    <r>
      <rPr>
        <b val="true"/>
        <sz val="12"/>
        <rFont val="Cambria"/>
        <family val="0"/>
        <charset val="1"/>
      </rPr>
      <t xml:space="preserve">AI run-rate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&gt;25</t>
    </r>
    <r>
      <rPr>
        <b val="true"/>
        <sz val="12"/>
        <rFont val="Noto Sans CJK SC"/>
        <family val="2"/>
      </rPr>
      <t xml:space="preserve">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</si>
  <si>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案例：期初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對上公司 </t>
    </r>
    <r>
      <rPr>
        <b val="true"/>
        <sz val="12"/>
        <rFont val="Cambria"/>
        <family val="0"/>
        <charset val="1"/>
      </rPr>
      <t xml:space="preserve">AI run-rate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&gt;25</t>
    </r>
    <r>
      <rPr>
        <b val="true"/>
        <sz val="12"/>
        <rFont val="Noto Sans CJK SC"/>
        <family val="2"/>
      </rPr>
      <t xml:space="preserve">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</si>
  <si>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5%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</si>
  <si>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5%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</si>
  <si>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5%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</si>
  <si>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5%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</si>
  <si>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5%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</si>
  <si>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11%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</si>
  <si>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11%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</si>
  <si>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11%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</si>
  <si>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11%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</si>
  <si>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11%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</si>
  <si>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40%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</si>
  <si>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40%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</si>
  <si>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40%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</si>
  <si>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40%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</si>
  <si>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40%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</si>
  <si>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</si>
  <si>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</si>
  <si>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</si>
  <si>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</si>
  <si>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</si>
  <si>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7%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</si>
  <si>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7%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</si>
  <si>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7%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</si>
  <si>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7%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</si>
  <si>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7%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</si>
  <si>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13%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</si>
  <si>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13%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</si>
  <si>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13%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</si>
  <si>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13%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</si>
  <si>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13%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</si>
  <si>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</si>
  <si>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</si>
  <si>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</si>
  <si>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</si>
  <si>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</si>
  <si>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0.6pt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</si>
  <si>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0.6pt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</si>
  <si>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0.6pt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</si>
  <si>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0.6pt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</si>
  <si>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0.6pt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</si>
  <si>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</si>
  <si>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</si>
  <si>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</si>
  <si>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</si>
  <si>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</si>
  <si>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</si>
  <si>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</si>
  <si>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</si>
  <si>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</si>
  <si>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</si>
  <si>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</si>
  <si>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</si>
  <si>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</si>
  <si>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</si>
  <si>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</si>
  <si>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</si>
  <si>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</si>
  <si>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</si>
  <si>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</si>
  <si>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</si>
  <si>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RONIC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5pt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</si>
  <si>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RONIC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5pt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</si>
  <si>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RONIC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5pt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</si>
  <si>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RONIC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5pt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</si>
  <si>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RONIC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5pt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</si>
  <si>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0.8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</si>
  <si>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0.8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</si>
  <si>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0.8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</si>
  <si>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0.8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</si>
  <si>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0.8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</si>
  <si>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1.2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</si>
  <si>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1.2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</si>
  <si>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1.2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</si>
  <si>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1.2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</si>
  <si>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1.2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</si>
  <si>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6×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</si>
  <si>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6×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</si>
  <si>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6×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</si>
  <si>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6×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</si>
  <si>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6×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</si>
  <si>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10×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</si>
  <si>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10×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</si>
  <si>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10×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</si>
  <si>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10×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</si>
  <si>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10×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</si>
  <si>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15%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</si>
  <si>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15%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</si>
  <si>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15%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</si>
  <si>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15%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</si>
  <si>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15%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</si>
  <si>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21%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</si>
  <si>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21%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</si>
  <si>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21%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</si>
  <si>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21%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</si>
  <si>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21%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</si>
  <si>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30%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</si>
  <si>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30%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</si>
  <si>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30%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</si>
  <si>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30%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</si>
  <si>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30%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</si>
  <si>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70%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</si>
  <si>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70%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</si>
  <si>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70%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</si>
  <si>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70%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</si>
  <si>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70%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</si>
  <si>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</si>
  <si>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</si>
  <si>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</si>
  <si>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</si>
  <si>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</si>
  <si>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</si>
  <si>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</si>
  <si>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</si>
  <si>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</si>
  <si>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</si>
  <si>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</si>
  <si>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</si>
  <si>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</si>
  <si>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</si>
  <si>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</si>
  <si>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</si>
  <si>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</si>
  <si>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</si>
  <si>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</si>
  <si>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</si>
  <si>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</si>
  <si>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</si>
  <si>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</si>
  <si>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</si>
  <si>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</si>
  <si>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</si>
  <si>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</si>
  <si>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</si>
  <si>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</si>
  <si>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</si>
  <si>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</si>
  <si>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</si>
  <si>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</si>
  <si>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</si>
  <si>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</si>
  <si>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</si>
  <si>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</si>
  <si>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</si>
  <si>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</si>
  <si>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</si>
  <si>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</si>
  <si>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</si>
  <si>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</si>
  <si>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</si>
  <si>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</si>
  <si>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</si>
  <si>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</si>
  <si>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</si>
  <si>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</si>
  <si>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</si>
  <si>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</si>
  <si>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</si>
  <si>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</si>
  <si>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</si>
  <si>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</si>
  <si>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</si>
  <si>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</si>
  <si>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</si>
  <si>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</si>
  <si>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</si>
  <si>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Sources — </t>
    </r>
    <r>
      <rPr>
        <b val="true"/>
        <sz val="11"/>
        <rFont val="Noto Sans CJK SC"/>
        <family val="2"/>
      </rPr>
      <t xml:space="preserve">每個來源一列（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頁、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頁以編號引用）。公司新聞稿與法說屬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（經查核）與 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（核閱）為 </t>
    </r>
    <r>
      <rPr>
        <b val="true"/>
        <sz val="11"/>
        <rFont val="Cambria"/>
        <family val="0"/>
        <charset val="1"/>
      </rPr>
      <t xml:space="preserve">Verified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SemiAnalysis </t>
    </r>
    <r>
      <rPr>
        <b val="true"/>
        <sz val="11"/>
        <rFont val="Noto Sans CJK SC"/>
        <family val="2"/>
      </rPr>
      <t xml:space="preserve">未使用</t>
    </r>
  </si>
  <si>
    <t xml:space="preserve">編號</t>
  </si>
  <si>
    <t xml:space="preserve">文件</t>
  </si>
  <si>
    <t xml:space="preserve">日期</t>
  </si>
  <si>
    <t xml:space="preserve">網址</t>
  </si>
  <si>
    <r>
      <rPr>
        <sz val="11"/>
        <color theme="1"/>
        <rFont val="Calibri"/>
        <family val="2"/>
        <charset val="1"/>
      </rPr>
      <t xml:space="preserve">Form 10-K 2025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，經查核）</t>
    </r>
  </si>
  <si>
    <t xml:space="preserve">2026-02-06</t>
  </si>
  <si>
    <t xml:space="preserve">https://www.sec.gov/Archives/edgar/data/1018724/000101872426000004/amzn-20251231.htm</t>
  </si>
  <si>
    <r>
      <rPr>
        <sz val="11"/>
        <color theme="1"/>
        <rFont val="Calibri"/>
        <family val="2"/>
        <charset val="1"/>
      </rPr>
      <t xml:space="preserve">Form 10-Q 2026Q2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，核閱未查核）</t>
    </r>
  </si>
  <si>
    <t xml:space="preserve">2026-07-31</t>
  </si>
  <si>
    <t xml:space="preserve">https://www.sec.gov/Archives/edgar/data/1018724/000101872426000026/amzn-20260630.htm</t>
  </si>
  <si>
    <t xml:space="preserve">S03</t>
  </si>
  <si>
    <r>
      <rPr>
        <sz val="11"/>
        <color theme="1"/>
        <rFont val="Calibri"/>
        <family val="2"/>
        <charset val="1"/>
      </rPr>
      <t xml:space="preserve">Form 10-Q 2025Q3</t>
    </r>
    <r>
      <rPr>
        <sz val="11"/>
        <color theme="1"/>
        <rFont val="Noto Sans CJK SC"/>
        <family val="2"/>
      </rPr>
      <t xml:space="preserve">（分部 </t>
    </r>
    <r>
      <rPr>
        <sz val="11"/>
        <color theme="1"/>
        <rFont val="Calibri"/>
        <family val="2"/>
        <charset val="1"/>
      </rPr>
      <t xml:space="preserve">D&amp;A </t>
    </r>
    <r>
      <rPr>
        <sz val="11"/>
        <color theme="1"/>
        <rFont val="Noto Sans CJK SC"/>
        <family val="2"/>
      </rPr>
      <t xml:space="preserve">前九個月）</t>
    </r>
  </si>
  <si>
    <t xml:space="preserve">2025-10-31</t>
  </si>
  <si>
    <t xml:space="preserve">https://www.sec.gov/Archives/edgar/data/1018724/000101872425000123/amzn-20250930.htm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</si>
  <si>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；逐季補充表、指引）</t>
    </r>
  </si>
  <si>
    <t xml:space="preserve">2026-07-30</t>
  </si>
  <si>
    <t xml:space="preserve">https://www.sec.gov/Archives/edgar/data/1018724/000101872426000024/amzn-20260630xex991.htm</t>
  </si>
  <si>
    <t xml:space="preserve">S05</t>
  </si>
  <si>
    <r>
      <rPr>
        <sz val="11"/>
        <color theme="1"/>
        <rFont val="Calibri"/>
        <family val="2"/>
        <charset val="1"/>
      </rPr>
      <t xml:space="preserve">2026Q1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</si>
  <si>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2026-04-29</t>
  </si>
  <si>
    <t xml:space="preserve">https://www.sec.gov/Archives/edgar/data/1018724/000101872426000012/amzn-20260331xex991.htm</t>
  </si>
  <si>
    <t xml:space="preserve">S06</t>
  </si>
  <si>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</si>
  <si>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2026-02-05</t>
  </si>
  <si>
    <t xml:space="preserve">https://www.sec.gov/Archives/edgar/data/1018724/000101872426000002/amzn-20251231xex991.htm</t>
  </si>
  <si>
    <t xml:space="preserve">S07</t>
  </si>
  <si>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</si>
  <si>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2025-10-30</t>
  </si>
  <si>
    <t xml:space="preserve">https://www.sec.gov/Archives/edgar/data/1018724/000101872425000121/amzn-20250930xex991.htm</t>
  </si>
  <si>
    <t xml:space="preserve">S08</t>
  </si>
  <si>
    <r>
      <rPr>
        <sz val="11"/>
        <color theme="1"/>
        <rFont val="Calibri"/>
        <family val="2"/>
        <charset val="1"/>
      </rPr>
      <t xml:space="preserve">2024Q4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；逐季補充表）</t>
    </r>
  </si>
  <si>
    <t xml:space="preserve">2025-02-06</t>
  </si>
  <si>
    <t xml:space="preserve">https://www.sec.gov/Archives/edgar/data/1018724/000101872425000002/amzn-20241231xex991.htm</t>
  </si>
  <si>
    <t xml:space="preserve">S09</t>
  </si>
  <si>
    <r>
      <rPr>
        <sz val="11"/>
        <color theme="1"/>
        <rFont val="Calibri"/>
        <family val="2"/>
        <charset val="1"/>
      </rPr>
      <t xml:space="preserve">2024Q3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</si>
  <si>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2024-10-31</t>
  </si>
  <si>
    <t xml:space="preserve">https://www.sec.gov/Archives/edgar/data/1018724/000101872424000158/amzn-20240930xex991.htm</t>
  </si>
  <si>
    <r>
      <rPr>
        <sz val="11"/>
        <color theme="1"/>
        <rFont val="Calibri"/>
        <family val="2"/>
        <charset val="1"/>
      </rPr>
      <t xml:space="preserve">SEC XBRL companyfacts</t>
    </r>
    <r>
      <rPr>
        <sz val="11"/>
        <color theme="1"/>
        <rFont val="Noto Sans CJK SC"/>
        <family val="2"/>
      </rPr>
      <t xml:space="preserve">（稀釋加權股數）</t>
    </r>
  </si>
  <si>
    <t xml:space="preserve">2026-10-08</t>
  </si>
  <si>
    <t xml:space="preserve">https://data.sec.gov/api/xbrl/companyfacts/CIK0001018724.json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</si>
  <si>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法說會逐字稿（二手轉錄：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</si>
  <si>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https://www.webull.com/news/15364638750483456</t>
  </si>
  <si>
    <r>
      <rPr>
        <sz val="11"/>
        <color theme="1"/>
        <rFont val="Calibri"/>
        <family val="2"/>
        <charset val="1"/>
      </rPr>
      <t xml:space="preserve">424B5 </t>
    </r>
    <r>
      <rPr>
        <sz val="11"/>
        <color theme="1"/>
        <rFont val="Noto Sans CJK SC"/>
        <family val="2"/>
      </rPr>
      <t xml:space="preserve">英鎊票據公開說明書補充（</t>
    </r>
    <r>
      <rPr>
        <sz val="11"/>
        <color theme="1"/>
        <rFont val="Calibri"/>
        <family val="2"/>
        <charset val="1"/>
      </rPr>
      <t xml:space="preserve">£3.25B</t>
    </r>
    <r>
      <rPr>
        <sz val="11"/>
        <color theme="1"/>
        <rFont val="Noto Sans CJK SC"/>
        <family val="2"/>
      </rPr>
      <t xml:space="preserve">）</t>
    </r>
  </si>
  <si>
    <t xml:space="preserve">2026-09-11</t>
  </si>
  <si>
    <t xml:space="preserve">https://www.sec.gov/Archives/edgar/data/1018724/000110465926107122/tm2624614-3_424b5.htm</t>
  </si>
  <si>
    <t xml:space="preserve">S13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</si>
  <si>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AMZN 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249.09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同值）</t>
    </r>
  </si>
  <si>
    <t xml:space="preserve">2026-10-26</t>
  </si>
  <si>
    <t xml:space="preserve">https://stockanalysis.com/stocks/amzn/history/</t>
  </si>
  <si>
    <t xml:space="preserve">S14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</si>
  <si>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AMZN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249.09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 16:00 EDT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</si>
  <si>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https://finance.yahoo.com/quote/AMZN/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</si>
  <si>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332.24</t>
    </r>
    <r>
      <rPr>
        <sz val="11"/>
        <color theme="1"/>
        <rFont val="Noto Sans CJK SC"/>
        <family val="2"/>
      </rPr>
      <t xml:space="preserve">、營收與調整後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共識）</t>
    </r>
  </si>
  <si>
    <t xml:space="preserve">https://stockanalysis.com/stocks/amzn/forecast/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</si>
  <si>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年度共識（</t>
    </r>
    <r>
      <rPr>
        <sz val="11"/>
        <color theme="1"/>
        <rFont val="Calibri"/>
        <family val="2"/>
        <charset val="1"/>
      </rPr>
      <t xml:space="preserve">S&amp;P Capital IQ </t>
    </r>
    <r>
      <rPr>
        <sz val="11"/>
        <color theme="1"/>
        <rFont val="Noto Sans CJK SC"/>
        <family val="2"/>
      </rPr>
      <t xml:space="preserve">系；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、淨利、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、資本支出、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）</t>
    </r>
  </si>
  <si>
    <t xml:space="preserve">https://www.marketscreener.com/quote/stock/AMAZON-COM-INC-12864605/finances/</t>
  </si>
  <si>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amazon/data/tokenomics_snapshot_v21.4.json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master 3ac70ac</t>
    </r>
    <r>
      <rPr>
        <sz val="11"/>
        <color theme="1"/>
        <rFont val="Noto Sans CJK SC"/>
        <family val="2"/>
      </rPr>
      <t xml:space="preserve">）</t>
    </r>
  </si>
  <si>
    <t xml:space="preserve">2026-10-25</t>
  </si>
  <si>
    <t xml:space="preserve">amazon/data/tokenomics_snapshot_v21.4.json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</si>
  <si>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證據（</t>
    </r>
    <r>
      <rPr>
        <sz val="11"/>
        <color theme="1"/>
        <rFont val="Calibri"/>
        <family val="2"/>
        <charset val="1"/>
      </rPr>
      <t xml:space="preserve">amazon/data/kevidence_amazon_20261008.json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指數、</t>
    </r>
    <r>
      <rPr>
        <sz val="11"/>
        <color theme="1"/>
        <rFont val="Calibri"/>
        <family val="2"/>
        <charset val="1"/>
      </rPr>
      <t xml:space="preserve">AWS p5 </t>
    </r>
    <r>
      <rPr>
        <sz val="11"/>
        <color theme="1"/>
        <rFont val="Noto Sans CJK SC"/>
        <family val="2"/>
      </rPr>
      <t xml:space="preserve">牌價）</t>
    </r>
  </si>
  <si>
    <t xml:space="preserve">amazon/data/kevidence_amazon_20261008.json</t>
  </si>
  <si>
    <t xml:space="preserve">S19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</si>
  <si>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資料中心目錄（</t>
    </r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）</t>
    </r>
  </si>
  <si>
    <t xml:space="preserve">2026-10-05</t>
  </si>
  <si>
    <t xml:space="preserve">https://epoch.ai/data/ai-data-centers/directory/</t>
  </si>
  <si>
    <t xml:space="preserve">Analogy</t>
  </si>
  <si>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資料報告（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、對外比例、世代占比的推導）</t>
    </r>
  </si>
  <si>
    <r>
      <rPr>
        <sz val="11"/>
        <color theme="1"/>
        <rFont val="Calibri"/>
        <family val="2"/>
        <charset val="1"/>
      </rPr>
      <t xml:space="preserve">amazon/docs/reports/20261008_amazon_v0.1a_</t>
    </r>
    <r>
      <rPr>
        <sz val="11"/>
        <color theme="1"/>
        <rFont val="Noto Sans CJK SC"/>
        <family val="2"/>
      </rPr>
      <t xml:space="preserve">資料</t>
    </r>
    <r>
      <rPr>
        <sz val="11"/>
        <color theme="1"/>
        <rFont val="Calibri"/>
        <family val="2"/>
        <charset val="1"/>
      </rPr>
      <t xml:space="preserve">.md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</si>
  <si>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</si>
  <si>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交接檔（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規格、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、持股、同業倍數；本版沿用）</t>
    </r>
  </si>
  <si>
    <r>
      <rPr>
        <sz val="11"/>
        <color theme="1"/>
        <rFont val="Calibri"/>
        <family val="2"/>
        <charset val="1"/>
      </rPr>
      <t xml:space="preserve">amazon/docs/handoff/20261025_Amazon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；引擎 </t>
    </r>
    <r>
      <rPr>
        <sz val="11"/>
        <color theme="1"/>
        <rFont val="Calibri"/>
        <family val="2"/>
        <charset val="1"/>
      </rPr>
      <t xml:space="preserve">amazon/legacy_v0.2/</t>
    </r>
  </si>
  <si>
    <r>
      <rPr>
        <sz val="11"/>
        <color theme="1"/>
        <rFont val="Noto Sans CJK SC"/>
        <family val="2"/>
      </rPr>
      <t xml:space="preserve">共用非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雲端同業檔（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EV ÷ MarketScreener NTM EBITDA</t>
    </r>
    <r>
      <rPr>
        <sz val="11"/>
        <color theme="1"/>
        <rFont val="Noto Sans CJK SC"/>
        <family val="2"/>
      </rPr>
      <t xml:space="preserve">）</t>
    </r>
  </si>
  <si>
    <t xml:space="preserve">2026-10-07</t>
  </si>
  <si>
    <t xml:space="preserve">amazon/data/peers_cloud_20261008.json</t>
  </si>
  <si>
    <r>
      <rPr>
        <sz val="11"/>
        <color theme="1"/>
        <rFont val="Noto Sans CJK SC"/>
        <family val="2"/>
      </rPr>
      <t xml:space="preserve">共用數位廣告同業檔（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</t>
    </r>
  </si>
  <si>
    <t xml:space="preserve">amazon/data/peers_ads_20261009.json</t>
  </si>
  <si>
    <r>
      <rPr>
        <sz val="11"/>
        <color theme="1"/>
        <rFont val="Noto Sans CJK SC"/>
        <family val="2"/>
      </rPr>
      <t xml:space="preserve">零售同業（</t>
    </r>
    <r>
      <rPr>
        <sz val="11"/>
        <color theme="1"/>
        <rFont val="Calibri"/>
        <family val="2"/>
        <charset val="1"/>
      </rPr>
      <t xml:space="preserve">WMT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val.peer.retail.*</t>
    </r>
    <r>
      <rPr>
        <sz val="11"/>
        <color theme="1"/>
        <rFont val="Noto Sans CJK SC"/>
        <family val="2"/>
      </rPr>
      <t xml:space="preserve">）</t>
    </r>
  </si>
  <si>
    <t xml:space="preserve">amazon/data/amazon_facts_20261008.json</t>
  </si>
  <si>
    <r>
      <rPr>
        <sz val="11"/>
        <color theme="1"/>
        <rFont val="Calibri"/>
        <family val="2"/>
        <charset val="1"/>
      </rPr>
      <t xml:space="preserve">Anthropic Series H </t>
    </r>
    <r>
      <rPr>
        <sz val="11"/>
        <color theme="1"/>
        <rFont val="Noto Sans CJK SC"/>
        <family val="2"/>
      </rPr>
      <t xml:space="preserve">投後估值 </t>
    </r>
    <r>
      <rPr>
        <sz val="11"/>
        <color theme="1"/>
        <rFont val="Calibri"/>
        <family val="2"/>
        <charset val="1"/>
      </rPr>
      <t xml:space="preserve">965B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W.Media</t>
    </r>
    <r>
      <rPr>
        <sz val="11"/>
        <color theme="1"/>
        <rFont val="Noto Sans CJK SC"/>
        <family val="2"/>
      </rPr>
      <t xml:space="preserve">）</t>
    </r>
  </si>
  <si>
    <t xml:space="preserve">2026-06-01</t>
  </si>
  <si>
    <t xml:space="preserve">https://w.media/anthropic-valuation-touches-us-965-billion-surpassing-openai/</t>
  </si>
  <si>
    <t xml:space="preserve">S26</t>
  </si>
  <si>
    <r>
      <rPr>
        <sz val="11"/>
        <color theme="1"/>
        <rFont val="Calibri"/>
        <family val="2"/>
        <charset val="1"/>
      </rPr>
      <t xml:space="preserve">Fortune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mid-to-high teens</t>
    </r>
  </si>
  <si>
    <t xml:space="preserve">2026-06-04</t>
  </si>
  <si>
    <t xml:space="preserve">https://www.fortune.com/2026/06/04/amazon-google-billions-anthropic-ipo/</t>
  </si>
  <si>
    <r>
      <rPr>
        <sz val="11"/>
        <color theme="1"/>
        <rFont val="Calibri"/>
        <family val="2"/>
        <charset val="1"/>
      </rPr>
      <t xml:space="preserve">GeekWire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OpenAI 50B</t>
    </r>
    <r>
      <rPr>
        <sz val="11"/>
        <color theme="1"/>
        <rFont val="Noto Sans CJK SC"/>
        <family val="2"/>
      </rPr>
      <t xml:space="preserve">、投前 </t>
    </r>
    <r>
      <rPr>
        <sz val="11"/>
        <color theme="1"/>
        <rFont val="Calibri"/>
        <family val="2"/>
        <charset val="1"/>
      </rPr>
      <t xml:space="preserve">730B</t>
    </r>
  </si>
  <si>
    <t xml:space="preserve">2026-02-27</t>
  </si>
  <si>
    <t xml:space="preserve">https://www.geekwire.com/2026/amazon-invests-50b-in-openai-deepens-aws-partnership-with-expanded-100b-cloud-deal/</t>
  </si>
  <si>
    <r>
      <rPr>
        <sz val="11"/>
        <color theme="1"/>
        <rFont val="Noto Sans CJK SC"/>
        <family val="2"/>
      </rPr>
      <t xml:space="preserve">美國財政部每日殖利率曲線（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5.28%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沿用）</t>
    </r>
  </si>
  <si>
    <t xml:space="preserve">https://home.treasury.gov/resource-center/data-chart-center/interest-rates/TextView?type=daily_treasury_par_yield_curve_rates</t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</si>
  <si>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SourceMaterial</t>
    </r>
    <r>
      <rPr>
        <sz val="11"/>
        <color theme="1"/>
        <rFont val="Noto Sans CJK SC"/>
        <family val="2"/>
      </rPr>
      <t xml:space="preserve">：第三方託管約占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運算力五分之一（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</si>
  <si>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t xml:space="preserve">2025-11-24</t>
  </si>
  <si>
    <t xml:space="preserve">amazon/data/amazon_facts_20261008.json → mw.colo.share</t>
  </si>
  <si>
    <t xml:space="preserve">S30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</si>
  <si>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Brian Nowak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2026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轉述）</t>
    </r>
  </si>
  <si>
    <t xml:space="preserve">2026-08-18</t>
  </si>
  <si>
    <t xml:space="preserve">https://invezz.com/news/2026/08/18/could-amazon-stock-double-by-end-of-next-year-heres-what-morgan-stanley-says/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</si>
</sst>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.00##"/>
    <numFmt numFmtId="166" formatCode="0.0%"/>
    <numFmt numFmtId="167" formatCode="#,##0.0000"/>
    <numFmt numFmtId="168" formatCode="#,##0.000"/>
    <numFmt numFmtId="169" formatCode="0.00%"/>
    <numFmt numFmtId="170" formatCode="0.00"/>
    <numFmt numFmtId="171" formatCode="#,##0"/>
    <numFmt numFmtId="172" formatCode="0.0"/>
    <numFmt numFmtId="173" formatCode="0%"/>
    <numFmt numFmtId="174" formatCode="0.000"/>
    <numFmt numFmtId="175" formatCode="#,##0.00"/>
    <numFmt numFmtId="176" formatCode="0.0000"/>
    <numFmt numFmtId="177" formatCode="#,##0.0"/>
    <numFmt numFmtId="178" formatCode="@"/>
    <numFmt numFmtId="179" formatCode="0"/>
    <numFmt numFmtId="180" formatCode="\+0.0%;\-0.0%;0.0%"/>
    <numFmt numFmtId="181" formatCode="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7.15" hidden="false" customHeight="false" outlineLevel="0" collapsed="false">
      <c r="A5" s="1" t="str">
        <f aca="false">"投資建議："&amp;Val!B24&amp;"（加權目標價 US$"&amp;TEXT(Val!B19,"0.00")&amp;"，現價 US$"&amp;TEXT(px,"0.00")&amp;"〔2026-10-26〕，上檔空間 "&amp;TEXT(Val!B21,"+0.0%;-0.0%")&amp;"；依五級固定規則）"</f>
        <v>投資建議：中立（加權目標價 US$210.79，現價 US$249.09〔2026-10-26〕，上檔空間 -15.4%；依五級固定規則）</v>
      </c>
    </row>
    <row r="6" customFormat="false" ht="17.15" hidden="false" customHeight="false" outlineLevel="0" collapsed="false">
      <c r="A6" s="2" t="str">
        <f aca="false">"命題答案（情境 B）：FY2028 對外 AI ROIC "&amp;TEXT(Thesis!$I$114,"0.0%")&amp;"，低於 WACC "&amp;TEXT(wacc,"0.0%")&amp;"；打平所需機隊平均 k "&amp;TEXT(Thesis!$I$116,"0.00")&amp;"，模型 k "&amp;TEXT(Thesis!$I$115,"0.00")&amp;"。FY2028 AWS 營業利益率 "&amp;TEXT(PL!$I$123,"0.0%")&amp;"（FY2025 "&amp;TEXT(PL!$D$123,"0.0%")&amp;"）；FY2028 自由現金流扣股利 "&amp;TEXT(CF!$I$60,"#,##0.0")&amp;"；收支關卡（FY2026–FY2030 合計，情境加權）"&amp;TEXT(CF!E6,"#,##0.0")&amp;"。"</f>
        <v>命題答案（情境 B）：FY2028 對外 AI ROIC 6.6%，低於 WACC 11.3%；打平所需機隊平均 k 1.21，模型 k 0.99。FY2028 AWS 營業利益率 34.7%（FY2025 35.4%）；FY2028 自由現金流扣股利 -15.5；收支關卡（FY2026–FY2030 合計，情境加權）40.4。</v>
      </c>
    </row>
    <row r="7" customFormat="false" ht="17.15" hidden="false" customHeight="false" outlineLevel="0" collapsed="false">
      <c r="A7" s="2" t="str">
        <f aca="false">"重點觀察 1：目標價 US$"&amp;TEXT(Val!B19,"0.00")&amp;"＝DCF "&amp;TEXT(Val!B17,"0.00")&amp;"（永續價值占 EV "&amp;TEXT(Val!C8,"0%")&amp;"）與分部加總 "&amp;TEXT(Val!B18,"0.00")&amp;" 各半；DCF 低是因為 WACC "&amp;TEXT(wacc,"0.0%")&amp;" 下，2027–2029 的 AI 資本支出（情境 B FY2027 "&amp;TEXT(CF!$H$55,"#,##0")&amp;"）讓 FCFF 為負，而 AI 增量報酬低於資金成本。"</f>
        <v>重點觀察 1：目標價 US$210.79＝DCF 150.74（永續價值占 EV 79%）與分部加總 270.83 各半；DCF 低是因為 WACC 11.3% 下，2027–2029 的 AI 資本支出（情境 B FY2027 273）讓 FCFF 為負，而 AI 增量報酬低於資金成本。</v>
      </c>
    </row>
    <row r="8" customFormat="false" ht="17.15" hidden="false" customHeight="false" outlineLevel="0" collapsed="false">
      <c r="A8" s="2" t="str">
        <f aca="false">"重點觀察 2：分部加總中 AWS 其他（非 AI 雲端）占 "&amp;TEXT(Val!$C$167/Val!$C$175,"0%")&amp;"、廣告占 "&amp;TEXT(Val!$C$161/Val!$C$175,"0%")&amp;"；零售本業未來 12 個月 EBITDA（SBC 加回）僅 "&amp;TEXT(Val!$C$162,"#,##0")&amp;"，廣告利潤（m_ad 50%）幾乎是零售分部的全部利潤；AWS AI 以自身 DCF 計只值 "&amp;TEXT(Val!$C$174,"#,##0")&amp;"。"</f>
        <v>重點觀察 2：分部加總中 AWS 其他（非 AI 雲端）占 47%、廣告占 19%；零售本業未來 12 個月 EBITDA（SBC 加回）僅 52，廣告利潤（m_ad 50%）幾乎是零售分部的全部利潤；AWS AI 以自身 DCF 計只值 29。</v>
      </c>
    </row>
    <row r="9" customFormat="false" ht="17.15" hidden="false" customHeight="false" outlineLevel="0" collapsed="false">
      <c r="A9" s="2" t="str">
        <f aca="false">"重點觀察 3：三情境目標價 A "&amp;TEXT(Val!B7,"0")&amp;"／B "&amp;TEXT(Val!C7,"0")&amp;"／C "&amp;TEXT(Val!D7,"0")&amp;"；新產能 k 是最大的命題驅動（Sens：k_C "&amp;TEXT(Sens!D5,"+0%;-0%")&amp;"、k_A "&amp;TEXT(Sens!D6,"+0%;-0%")&amp;"），對外比例 ±20pt 為 "&amp;TEXT(Sens!D7,"+0%;-0%")&amp;"／"&amp;TEXT(Sens!D8,"+0%;-0%")&amp;"；市場共識目標價 "&amp;TEXT(cons_tp,"0")&amp;"。"</f>
        <v>重點觀察 3：三情境目標價 A 265／B 199／C 179；新產能 k 是最大的命題驅動（Sens：k_C -10%、k_A +32%），對外比例 ±20pt 為 -0%／-1%；市場共識目標價 332。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4</v>
      </c>
    </row>
    <row r="12" customFormat="false" ht="17.15" hidden="false" customHeight="false" outlineLevel="0" collapsed="false">
      <c r="A12" s="4" t="s">
        <v>5</v>
      </c>
    </row>
    <row r="13" customFormat="false" ht="17.15" hidden="false" customHeight="false" outlineLevel="0" collapsed="false">
      <c r="A13" s="4" t="s">
        <v>6</v>
      </c>
    </row>
    <row r="14" customFormat="false" ht="17.15" hidden="false" customHeight="false" outlineLevel="0" collapsed="false">
      <c r="A14" s="4" t="s">
        <v>7</v>
      </c>
    </row>
    <row r="15" customFormat="false" ht="17.15" hidden="false" customHeight="false" outlineLevel="0" collapsed="false">
      <c r="A15" s="4" t="s">
        <v>8</v>
      </c>
    </row>
    <row r="16" customFormat="false" ht="17.15" hidden="false" customHeight="false" outlineLevel="0" collapsed="false">
      <c r="A16" s="4" t="s">
        <v>9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10</v>
      </c>
    </row>
    <row r="19" customFormat="false" ht="17.15" hidden="false" customHeight="false" outlineLevel="0" collapsed="false">
      <c r="A19" s="2" t="s">
        <v>11</v>
      </c>
    </row>
    <row r="20" customFormat="false" ht="17.15" hidden="false" customHeight="false" outlineLevel="0" collapsed="false">
      <c r="A20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6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249.09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5" t="s">
        <v>32</v>
      </c>
      <c r="C6" s="5" t="s">
        <v>33</v>
      </c>
      <c r="E6" s="7" t="n">
        <v>10.786314</v>
      </c>
      <c r="G6" s="8" t="s">
        <v>28</v>
      </c>
      <c r="H6" s="8" t="s">
        <v>34</v>
      </c>
      <c r="I6" s="8" t="s">
        <v>35</v>
      </c>
    </row>
    <row r="7" customFormat="false" ht="17.15" hidden="false" customHeight="false" outlineLevel="0" collapsed="false">
      <c r="A7" s="0" t="s">
        <v>36</v>
      </c>
      <c r="B7" s="5" t="s">
        <v>37</v>
      </c>
      <c r="C7" s="5" t="s">
        <v>33</v>
      </c>
      <c r="E7" s="7" t="n">
        <v>0.244</v>
      </c>
      <c r="G7" s="8" t="s">
        <v>28</v>
      </c>
      <c r="H7" s="8" t="s">
        <v>34</v>
      </c>
      <c r="I7" s="8" t="s">
        <v>38</v>
      </c>
    </row>
    <row r="8" customFormat="false" ht="17.15" hidden="false" customHeight="false" outlineLevel="0" collapsed="false">
      <c r="A8" s="0" t="s">
        <v>39</v>
      </c>
      <c r="B8" s="5" t="s">
        <v>40</v>
      </c>
      <c r="C8" s="5" t="s">
        <v>33</v>
      </c>
      <c r="E8" s="9" t="n">
        <f aca="false">sh_out+sh_awd</f>
        <v>11.030314</v>
      </c>
      <c r="G8" s="8" t="s">
        <v>41</v>
      </c>
      <c r="H8" s="5" t="s">
        <v>42</v>
      </c>
      <c r="I8" s="8" t="s">
        <v>43</v>
      </c>
    </row>
    <row r="9" customFormat="false" ht="17.15" hidden="false" customHeight="false" outlineLevel="0" collapsed="false">
      <c r="A9" s="0" t="s">
        <v>44</v>
      </c>
      <c r="B9" s="5" t="s">
        <v>45</v>
      </c>
      <c r="C9" s="0" t="s">
        <v>27</v>
      </c>
      <c r="D9" s="7" t="n">
        <v>230</v>
      </c>
      <c r="E9" s="7" t="n">
        <v>332.24</v>
      </c>
      <c r="F9" s="7" t="n">
        <v>405</v>
      </c>
      <c r="G9" s="8" t="s">
        <v>46</v>
      </c>
      <c r="H9" s="8" t="s">
        <v>47</v>
      </c>
      <c r="I9" s="5" t="s">
        <v>48</v>
      </c>
    </row>
    <row r="10" customFormat="false" ht="17.15" hidden="false" customHeight="false" outlineLevel="0" collapsed="false">
      <c r="A10" s="1" t="s">
        <v>49</v>
      </c>
    </row>
    <row r="11" customFormat="false" ht="17.15" hidden="false" customHeight="false" outlineLevel="0" collapsed="false">
      <c r="A11" s="0" t="s">
        <v>50</v>
      </c>
      <c r="B11" s="5" t="s">
        <v>51</v>
      </c>
      <c r="C11" s="0" t="s">
        <v>52</v>
      </c>
      <c r="E11" s="10" t="n">
        <v>0.05</v>
      </c>
      <c r="G11" s="8" t="s">
        <v>28</v>
      </c>
      <c r="H11" s="8" t="s">
        <v>53</v>
      </c>
      <c r="I11" s="5" t="s">
        <v>54</v>
      </c>
    </row>
    <row r="12" customFormat="false" ht="17.15" hidden="false" customHeight="false" outlineLevel="0" collapsed="false">
      <c r="A12" s="0" t="s">
        <v>55</v>
      </c>
      <c r="B12" s="5" t="s">
        <v>56</v>
      </c>
      <c r="C12" s="0" t="s">
        <v>57</v>
      </c>
      <c r="E12" s="11" t="n">
        <v>1.46</v>
      </c>
      <c r="G12" s="8" t="s">
        <v>28</v>
      </c>
      <c r="H12" s="5" t="s">
        <v>58</v>
      </c>
    </row>
    <row r="13" customFormat="false" ht="17.15" hidden="false" customHeight="false" outlineLevel="0" collapsed="false">
      <c r="A13" s="0" t="s">
        <v>59</v>
      </c>
      <c r="B13" s="5" t="s">
        <v>60</v>
      </c>
      <c r="C13" s="0" t="s">
        <v>57</v>
      </c>
      <c r="E13" s="11" t="n">
        <v>1.567</v>
      </c>
      <c r="G13" s="8" t="s">
        <v>28</v>
      </c>
      <c r="H13" s="5" t="s">
        <v>61</v>
      </c>
      <c r="I13" s="5" t="s">
        <v>62</v>
      </c>
    </row>
    <row r="14" customFormat="false" ht="17.15" hidden="false" customHeight="false" outlineLevel="0" collapsed="false">
      <c r="A14" s="0" t="s">
        <v>63</v>
      </c>
      <c r="B14" s="0" t="s">
        <v>64</v>
      </c>
      <c r="C14" s="0" t="s">
        <v>57</v>
      </c>
      <c r="D14" s="12" t="n">
        <f aca="false">MIN(0.67*beta_sa+0.33,0.67*beta_gf+0.33)</f>
        <v>1.3082</v>
      </c>
      <c r="E14" s="12" t="n">
        <f aca="false">MEDIAN(0.67*beta_sa+0.33,0.67*beta_gf+0.33)</f>
        <v>1.344045</v>
      </c>
      <c r="F14" s="12" t="n">
        <f aca="false">MAX(0.67*beta_sa+0.33,0.67*beta_gf+0.33)</f>
        <v>1.37989</v>
      </c>
      <c r="G14" s="8" t="s">
        <v>41</v>
      </c>
      <c r="H14" s="5" t="s">
        <v>65</v>
      </c>
      <c r="I14" s="8" t="s">
        <v>66</v>
      </c>
    </row>
    <row r="15" customFormat="false" ht="17.15" hidden="false" customHeight="false" outlineLevel="0" collapsed="false">
      <c r="A15" s="0" t="s">
        <v>67</v>
      </c>
      <c r="B15" s="5" t="s">
        <v>68</v>
      </c>
      <c r="C15" s="0" t="s">
        <v>52</v>
      </c>
      <c r="D15" s="10" t="n">
        <v>0.04</v>
      </c>
      <c r="E15" s="10" t="n">
        <v>0.05</v>
      </c>
      <c r="F15" s="10" t="n">
        <v>0.06</v>
      </c>
      <c r="G15" s="8" t="s">
        <v>69</v>
      </c>
      <c r="H15" s="5" t="s">
        <v>70</v>
      </c>
    </row>
    <row r="16" customFormat="false" ht="17.15" hidden="false" customHeight="false" outlineLevel="0" collapsed="false">
      <c r="A16" s="0" t="s">
        <v>71</v>
      </c>
      <c r="B16" s="5" t="s">
        <v>72</v>
      </c>
      <c r="C16" s="0" t="s">
        <v>52</v>
      </c>
      <c r="E16" s="10" t="n">
        <v>0.0633</v>
      </c>
      <c r="G16" s="8" t="s">
        <v>46</v>
      </c>
      <c r="H16" s="8" t="s">
        <v>34</v>
      </c>
      <c r="I16" s="5" t="s">
        <v>73</v>
      </c>
    </row>
    <row r="17" customFormat="false" ht="17.15" hidden="false" customHeight="false" outlineLevel="0" collapsed="false">
      <c r="A17" s="0" t="s">
        <v>74</v>
      </c>
      <c r="B17" s="0" t="s">
        <v>75</v>
      </c>
      <c r="C17" s="0" t="s">
        <v>52</v>
      </c>
      <c r="D17" s="10" t="n">
        <v>0.005</v>
      </c>
      <c r="E17" s="10" t="n">
        <v>0.0065</v>
      </c>
      <c r="F17" s="10" t="n">
        <v>0.01</v>
      </c>
      <c r="G17" s="8" t="s">
        <v>69</v>
      </c>
      <c r="H17" s="5" t="s">
        <v>76</v>
      </c>
      <c r="I17" s="8" t="s">
        <v>77</v>
      </c>
    </row>
    <row r="18" customFormat="false" ht="17.15" hidden="false" customHeight="false" outlineLevel="0" collapsed="false">
      <c r="A18" s="0" t="s">
        <v>78</v>
      </c>
      <c r="B18" s="5" t="s">
        <v>79</v>
      </c>
      <c r="C18" s="0" t="s">
        <v>52</v>
      </c>
      <c r="E18" s="13" t="n">
        <f aca="false">rf+kd_spr</f>
        <v>0.0565</v>
      </c>
      <c r="G18" s="8" t="s">
        <v>41</v>
      </c>
      <c r="H18" s="5" t="s">
        <v>65</v>
      </c>
    </row>
    <row r="19" customFormat="false" ht="17.15" hidden="false" customHeight="false" outlineLevel="0" collapsed="false">
      <c r="A19" s="0" t="s">
        <v>80</v>
      </c>
      <c r="B19" s="5" t="s">
        <v>81</v>
      </c>
      <c r="C19" s="0" t="s">
        <v>52</v>
      </c>
      <c r="D19" s="10" t="n">
        <v>0.135</v>
      </c>
      <c r="E19" s="13" t="n">
        <f aca="false">AVERAGE(Q!$C$40,Q!$D$40,Q!$E$40)</f>
        <v>0.173584526621026</v>
      </c>
      <c r="F19" s="10" t="n">
        <v>0.23</v>
      </c>
      <c r="G19" s="8" t="s">
        <v>41</v>
      </c>
      <c r="H19" s="8" t="s">
        <v>82</v>
      </c>
      <c r="I19" s="8" t="s">
        <v>83</v>
      </c>
    </row>
    <row r="20" customFormat="false" ht="17.15" hidden="false" customHeight="false" outlineLevel="0" collapsed="false">
      <c r="A20" s="0" t="s">
        <v>84</v>
      </c>
      <c r="B20" s="5" t="s">
        <v>85</v>
      </c>
      <c r="C20" s="0" t="s">
        <v>86</v>
      </c>
      <c r="E20" s="7" t="n">
        <v>132.995</v>
      </c>
      <c r="G20" s="8" t="s">
        <v>28</v>
      </c>
      <c r="H20" s="8" t="s">
        <v>34</v>
      </c>
      <c r="I20" s="5" t="s">
        <v>87</v>
      </c>
    </row>
    <row r="21" customFormat="false" ht="17.15" hidden="false" customHeight="false" outlineLevel="0" collapsed="false">
      <c r="A21" s="0" t="s">
        <v>88</v>
      </c>
      <c r="B21" s="5" t="s">
        <v>89</v>
      </c>
      <c r="C21" s="0" t="s">
        <v>86</v>
      </c>
      <c r="E21" s="7" t="n">
        <v>13.451</v>
      </c>
      <c r="G21" s="8" t="s">
        <v>28</v>
      </c>
      <c r="H21" s="8" t="s">
        <v>34</v>
      </c>
      <c r="I21" s="5" t="s">
        <v>90</v>
      </c>
    </row>
    <row r="22" customFormat="false" ht="17.15" hidden="false" customHeight="false" outlineLevel="0" collapsed="false">
      <c r="A22" s="0" t="s">
        <v>91</v>
      </c>
      <c r="B22" s="5" t="s">
        <v>92</v>
      </c>
      <c r="C22" s="0" t="s">
        <v>86</v>
      </c>
      <c r="E22" s="7" t="n">
        <v>11.07</v>
      </c>
      <c r="G22" s="8" t="s">
        <v>28</v>
      </c>
      <c r="H22" s="8" t="s">
        <v>34</v>
      </c>
    </row>
    <row r="23" customFormat="false" ht="17.15" hidden="false" customHeight="false" outlineLevel="0" collapsed="false">
      <c r="A23" s="0" t="s">
        <v>93</v>
      </c>
      <c r="B23" s="5" t="s">
        <v>94</v>
      </c>
      <c r="C23" s="0" t="s">
        <v>86</v>
      </c>
      <c r="E23" s="9" t="n">
        <f aca="false">fl_pv+fin_obl</f>
        <v>24.521</v>
      </c>
      <c r="G23" s="8" t="s">
        <v>41</v>
      </c>
      <c r="H23" s="5" t="s">
        <v>95</v>
      </c>
    </row>
    <row r="24" customFormat="false" ht="17.15" hidden="false" customHeight="false" outlineLevel="0" collapsed="false">
      <c r="A24" s="0" t="s">
        <v>96</v>
      </c>
      <c r="B24" s="5" t="s">
        <v>97</v>
      </c>
      <c r="C24" s="0" t="s">
        <v>52</v>
      </c>
      <c r="E24" s="13" t="n">
        <f aca="false">rf+beta*erp</f>
        <v>0.11720225</v>
      </c>
      <c r="G24" s="8" t="s">
        <v>41</v>
      </c>
      <c r="H24" s="8" t="s">
        <v>98</v>
      </c>
    </row>
    <row r="25" customFormat="false" ht="17.15" hidden="false" customHeight="false" outlineLevel="0" collapsed="false">
      <c r="A25" s="0" t="s">
        <v>99</v>
      </c>
      <c r="B25" s="0" t="s">
        <v>100</v>
      </c>
      <c r="C25" s="0" t="s">
        <v>52</v>
      </c>
      <c r="E25" s="13" t="n">
        <f aca="false">px*sh_out/(px*sh_out+debt_q2+fin_debt)*ke+(debt_q2+fin_debt)/(px*sh_out+debt_q2+fin_debt)*kd*(1-tax)</f>
        <v>0.113297422795535</v>
      </c>
      <c r="G25" s="8" t="s">
        <v>41</v>
      </c>
      <c r="H25" s="5" t="s">
        <v>65</v>
      </c>
      <c r="I25" s="8" t="s">
        <v>101</v>
      </c>
    </row>
    <row r="26" customFormat="false" ht="17.15" hidden="false" customHeight="false" outlineLevel="0" collapsed="false">
      <c r="A26" s="14" t="s">
        <v>102</v>
      </c>
      <c r="B26" s="15" t="s">
        <v>103</v>
      </c>
      <c r="C26" s="14" t="s">
        <v>52</v>
      </c>
      <c r="D26" s="16" t="n">
        <v>0.02</v>
      </c>
      <c r="E26" s="16" t="n">
        <v>0.03</v>
      </c>
      <c r="F26" s="16" t="n">
        <v>0.04</v>
      </c>
      <c r="G26" s="14" t="s">
        <v>69</v>
      </c>
      <c r="H26" s="15" t="s">
        <v>104</v>
      </c>
      <c r="I26" s="14"/>
    </row>
    <row r="27" customFormat="false" ht="17.15" hidden="false" customHeight="false" outlineLevel="0" collapsed="false">
      <c r="A27" s="14" t="s">
        <v>105</v>
      </c>
      <c r="B27" s="15" t="s">
        <v>106</v>
      </c>
      <c r="C27" s="14" t="s">
        <v>52</v>
      </c>
      <c r="D27" s="14"/>
      <c r="E27" s="17" t="n">
        <f aca="false">wacc</f>
        <v>0.113297422795535</v>
      </c>
      <c r="F27" s="17" t="n">
        <f aca="false">wacc+0.05</f>
        <v>0.163297422795535</v>
      </c>
      <c r="G27" s="14" t="s">
        <v>69</v>
      </c>
      <c r="H27" s="15" t="s">
        <v>107</v>
      </c>
      <c r="I27" s="15" t="s">
        <v>108</v>
      </c>
    </row>
    <row r="28" customFormat="false" ht="17.15" hidden="false" customHeight="false" outlineLevel="0" collapsed="false">
      <c r="A28" s="14" t="s">
        <v>109</v>
      </c>
      <c r="B28" s="15" t="s">
        <v>110</v>
      </c>
      <c r="C28" s="14" t="s">
        <v>52</v>
      </c>
      <c r="D28" s="14"/>
      <c r="E28" s="16" t="n">
        <v>0.5</v>
      </c>
      <c r="F28" s="14"/>
      <c r="G28" s="14" t="s">
        <v>69</v>
      </c>
      <c r="H28" s="15" t="s">
        <v>111</v>
      </c>
      <c r="I28" s="14" t="s">
        <v>112</v>
      </c>
    </row>
    <row r="29" customFormat="false" ht="17.15" hidden="false" customHeight="false" outlineLevel="0" collapsed="false">
      <c r="A29" s="14" t="s">
        <v>113</v>
      </c>
      <c r="B29" s="15" t="s">
        <v>114</v>
      </c>
      <c r="C29" s="14" t="s">
        <v>52</v>
      </c>
      <c r="D29" s="14"/>
      <c r="E29" s="16" t="n">
        <v>0.25</v>
      </c>
      <c r="F29" s="14"/>
      <c r="G29" s="14" t="s">
        <v>69</v>
      </c>
      <c r="H29" s="15" t="s">
        <v>115</v>
      </c>
      <c r="I29" s="15" t="s">
        <v>116</v>
      </c>
    </row>
    <row r="30" customFormat="false" ht="17.15" hidden="false" customHeight="false" outlineLevel="0" collapsed="false">
      <c r="A30" s="14" t="s">
        <v>117</v>
      </c>
      <c r="B30" s="15" t="s">
        <v>118</v>
      </c>
      <c r="C30" s="14" t="s">
        <v>52</v>
      </c>
      <c r="D30" s="14"/>
      <c r="E30" s="16" t="n">
        <v>0.5</v>
      </c>
      <c r="F30" s="14"/>
      <c r="G30" s="14" t="s">
        <v>69</v>
      </c>
      <c r="H30" s="15" t="s">
        <v>115</v>
      </c>
      <c r="I30" s="15" t="s">
        <v>116</v>
      </c>
    </row>
    <row r="31" customFormat="false" ht="17.15" hidden="false" customHeight="false" outlineLevel="0" collapsed="false">
      <c r="A31" s="14" t="s">
        <v>119</v>
      </c>
      <c r="B31" s="15" t="s">
        <v>120</v>
      </c>
      <c r="C31" s="14" t="s">
        <v>52</v>
      </c>
      <c r="D31" s="14"/>
      <c r="E31" s="16" t="n">
        <v>0.25</v>
      </c>
      <c r="F31" s="14"/>
      <c r="G31" s="14" t="s">
        <v>69</v>
      </c>
      <c r="H31" s="15" t="s">
        <v>115</v>
      </c>
      <c r="I31" s="15" t="s">
        <v>116</v>
      </c>
    </row>
    <row r="32" customFormat="false" ht="17.15" hidden="false" customHeight="false" outlineLevel="0" collapsed="false">
      <c r="A32" s="0" t="s">
        <v>121</v>
      </c>
      <c r="B32" s="5" t="s">
        <v>122</v>
      </c>
      <c r="C32" s="5" t="s">
        <v>123</v>
      </c>
      <c r="E32" s="9" t="n">
        <f aca="false">(DATE(2027,10,27)-DATE(2026,12,31))/365</f>
        <v>0.821917808219178</v>
      </c>
      <c r="G32" s="8" t="s">
        <v>41</v>
      </c>
      <c r="H32" s="5" t="s">
        <v>124</v>
      </c>
      <c r="I32" s="8" t="s">
        <v>125</v>
      </c>
    </row>
    <row r="33" customFormat="false" ht="17.15" hidden="false" customHeight="false" outlineLevel="0" collapsed="false">
      <c r="A33" s="1" t="s">
        <v>126</v>
      </c>
    </row>
    <row r="34" customFormat="false" ht="17.15" hidden="false" customHeight="false" outlineLevel="0" collapsed="false">
      <c r="A34" s="0" t="s">
        <v>127</v>
      </c>
      <c r="B34" s="5" t="s">
        <v>128</v>
      </c>
      <c r="C34" s="0" t="s">
        <v>129</v>
      </c>
      <c r="E34" s="7" t="n">
        <v>120</v>
      </c>
      <c r="G34" s="8" t="s">
        <v>69</v>
      </c>
      <c r="H34" s="5" t="s">
        <v>130</v>
      </c>
      <c r="I34" s="5" t="s">
        <v>131</v>
      </c>
    </row>
    <row r="35" customFormat="false" ht="17.15" hidden="false" customHeight="false" outlineLevel="0" collapsed="false">
      <c r="A35" s="0" t="s">
        <v>132</v>
      </c>
      <c r="B35" s="5" t="s">
        <v>133</v>
      </c>
      <c r="C35" s="0" t="s">
        <v>129</v>
      </c>
      <c r="E35" s="7" t="n">
        <v>360</v>
      </c>
      <c r="G35" s="8" t="s">
        <v>69</v>
      </c>
      <c r="H35" s="5" t="s">
        <v>130</v>
      </c>
      <c r="I35" s="5" t="s">
        <v>134</v>
      </c>
    </row>
    <row r="36" customFormat="false" ht="17.15" hidden="false" customHeight="false" outlineLevel="0" collapsed="false">
      <c r="A36" s="0" t="s">
        <v>135</v>
      </c>
      <c r="B36" s="5" t="s">
        <v>136</v>
      </c>
      <c r="C36" s="0" t="s">
        <v>129</v>
      </c>
      <c r="D36" s="7" t="n">
        <v>1100</v>
      </c>
      <c r="E36" s="7" t="n">
        <v>1440</v>
      </c>
      <c r="F36" s="7" t="n">
        <v>1800</v>
      </c>
      <c r="G36" s="8" t="s">
        <v>69</v>
      </c>
      <c r="H36" s="5" t="s">
        <v>130</v>
      </c>
      <c r="I36" s="8" t="s">
        <v>137</v>
      </c>
    </row>
    <row r="37" customFormat="false" ht="17.15" hidden="false" customHeight="false" outlineLevel="0" collapsed="false">
      <c r="A37" s="0" t="s">
        <v>138</v>
      </c>
      <c r="B37" s="5" t="s">
        <v>139</v>
      </c>
      <c r="C37" s="0" t="s">
        <v>129</v>
      </c>
      <c r="D37" s="7" t="n">
        <v>1400</v>
      </c>
      <c r="E37" s="7" t="n">
        <v>2080</v>
      </c>
      <c r="F37" s="7" t="n">
        <v>2970</v>
      </c>
      <c r="G37" s="8" t="s">
        <v>41</v>
      </c>
      <c r="H37" s="8" t="s">
        <v>140</v>
      </c>
      <c r="I37" s="8" t="s">
        <v>141</v>
      </c>
    </row>
    <row r="38" customFormat="false" ht="17.15" hidden="false" customHeight="false" outlineLevel="0" collapsed="false">
      <c r="A38" s="14" t="s">
        <v>142</v>
      </c>
      <c r="B38" s="15" t="s">
        <v>143</v>
      </c>
      <c r="C38" s="14" t="s">
        <v>144</v>
      </c>
      <c r="D38" s="14"/>
      <c r="E38" s="18" t="n">
        <v>3733</v>
      </c>
      <c r="F38" s="14"/>
      <c r="G38" s="14" t="s">
        <v>41</v>
      </c>
      <c r="H38" s="15" t="s">
        <v>145</v>
      </c>
      <c r="I38" s="15" t="s">
        <v>146</v>
      </c>
    </row>
    <row r="39" customFormat="false" ht="17.15" hidden="false" customHeight="false" outlineLevel="0" collapsed="false">
      <c r="A39" s="14" t="s">
        <v>147</v>
      </c>
      <c r="B39" s="15" t="s">
        <v>148</v>
      </c>
      <c r="C39" s="14" t="s">
        <v>144</v>
      </c>
      <c r="D39" s="14"/>
      <c r="E39" s="18" t="n">
        <v>3634.3</v>
      </c>
      <c r="F39" s="14"/>
      <c r="G39" s="14" t="s">
        <v>41</v>
      </c>
      <c r="H39" s="15" t="s">
        <v>149</v>
      </c>
      <c r="I39" s="15" t="s">
        <v>150</v>
      </c>
    </row>
    <row r="40" customFormat="false" ht="17.15" hidden="false" customHeight="false" outlineLevel="0" collapsed="false">
      <c r="A40" s="14" t="s">
        <v>151</v>
      </c>
      <c r="B40" s="15" t="s">
        <v>152</v>
      </c>
      <c r="C40" s="14" t="s">
        <v>144</v>
      </c>
      <c r="D40" s="14"/>
      <c r="E40" s="19" t="n">
        <f aca="false">pace_B</f>
        <v>3634.3</v>
      </c>
      <c r="F40" s="14"/>
      <c r="G40" s="14" t="s">
        <v>69</v>
      </c>
      <c r="H40" s="15" t="s">
        <v>153</v>
      </c>
      <c r="I40" s="14" t="s">
        <v>154</v>
      </c>
    </row>
    <row r="41" customFormat="false" ht="17.15" hidden="false" customHeight="false" outlineLevel="0" collapsed="false">
      <c r="A41" s="14" t="s">
        <v>155</v>
      </c>
      <c r="B41" s="15" t="s">
        <v>156</v>
      </c>
      <c r="C41" s="14" t="s">
        <v>52</v>
      </c>
      <c r="D41" s="16" t="n">
        <v>0.6</v>
      </c>
      <c r="E41" s="16" t="n">
        <v>0.8</v>
      </c>
      <c r="F41" s="16" t="n">
        <v>1</v>
      </c>
      <c r="G41" s="14" t="s">
        <v>69</v>
      </c>
      <c r="H41" s="15" t="s">
        <v>157</v>
      </c>
      <c r="I41" s="14" t="s">
        <v>158</v>
      </c>
    </row>
    <row r="42" customFormat="false" ht="17.15" hidden="false" customHeight="false" outlineLevel="0" collapsed="false">
      <c r="A42" s="0" t="s">
        <v>159</v>
      </c>
      <c r="B42" s="5" t="s">
        <v>160</v>
      </c>
      <c r="C42" s="0" t="s">
        <v>52</v>
      </c>
      <c r="D42" s="10" t="n">
        <v>0.7</v>
      </c>
      <c r="E42" s="10" t="n">
        <v>0.8</v>
      </c>
      <c r="F42" s="10" t="n">
        <v>0.9</v>
      </c>
      <c r="G42" s="8" t="s">
        <v>69</v>
      </c>
      <c r="H42" s="5" t="s">
        <v>161</v>
      </c>
      <c r="I42" s="8" t="s">
        <v>162</v>
      </c>
    </row>
    <row r="43" customFormat="false" ht="17.15" hidden="false" customHeight="false" outlineLevel="0" collapsed="false">
      <c r="A43" s="0" t="s">
        <v>163</v>
      </c>
      <c r="B43" s="0" t="s">
        <v>164</v>
      </c>
      <c r="C43" s="0" t="s">
        <v>165</v>
      </c>
      <c r="E43" s="7" t="n">
        <v>2.82</v>
      </c>
      <c r="G43" s="8" t="s">
        <v>28</v>
      </c>
      <c r="H43" s="8" t="s">
        <v>166</v>
      </c>
      <c r="I43" s="8" t="s">
        <v>167</v>
      </c>
    </row>
    <row r="44" customFormat="false" ht="17.15" hidden="false" customHeight="false" outlineLevel="0" collapsed="false">
      <c r="A44" s="0" t="s">
        <v>168</v>
      </c>
      <c r="B44" s="0" t="s">
        <v>169</v>
      </c>
      <c r="C44" s="0" t="s">
        <v>165</v>
      </c>
      <c r="E44" s="7" t="n">
        <v>6.88</v>
      </c>
      <c r="G44" s="8" t="s">
        <v>28</v>
      </c>
      <c r="H44" s="8" t="s">
        <v>166</v>
      </c>
      <c r="I44" s="5" t="s">
        <v>170</v>
      </c>
    </row>
    <row r="45" customFormat="false" ht="17.15" hidden="false" customHeight="false" outlineLevel="0" collapsed="false">
      <c r="A45" s="0" t="s">
        <v>171</v>
      </c>
      <c r="B45" s="5" t="s">
        <v>172</v>
      </c>
      <c r="C45" s="0" t="s">
        <v>173</v>
      </c>
      <c r="E45" s="7" t="n">
        <v>9.5715</v>
      </c>
      <c r="G45" s="8" t="s">
        <v>69</v>
      </c>
      <c r="H45" s="5" t="s">
        <v>174</v>
      </c>
      <c r="I45" s="5" t="s">
        <v>175</v>
      </c>
    </row>
    <row r="46" customFormat="false" ht="17.15" hidden="false" customHeight="false" outlineLevel="0" collapsed="false">
      <c r="A46" s="0" t="s">
        <v>176</v>
      </c>
      <c r="B46" s="5" t="s">
        <v>177</v>
      </c>
      <c r="C46" s="0" t="s">
        <v>173</v>
      </c>
      <c r="E46" s="7" t="n">
        <v>7.0191</v>
      </c>
      <c r="G46" s="8" t="s">
        <v>69</v>
      </c>
      <c r="H46" s="5" t="s">
        <v>178</v>
      </c>
      <c r="I46" s="8" t="s">
        <v>179</v>
      </c>
    </row>
    <row r="47" customFormat="false" ht="17.15" hidden="false" customHeight="false" outlineLevel="0" collapsed="false">
      <c r="A47" s="0" t="s">
        <v>180</v>
      </c>
      <c r="B47" s="0" t="s">
        <v>181</v>
      </c>
      <c r="C47" s="0" t="s">
        <v>173</v>
      </c>
      <c r="E47" s="7" t="n">
        <v>9.70308728611469</v>
      </c>
      <c r="G47" s="8" t="s">
        <v>41</v>
      </c>
      <c r="H47" s="8" t="s">
        <v>182</v>
      </c>
      <c r="I47" s="8" t="s">
        <v>183</v>
      </c>
    </row>
    <row r="48" customFormat="false" ht="17.15" hidden="false" customHeight="false" outlineLevel="0" collapsed="false">
      <c r="A48" s="0" t="s">
        <v>184</v>
      </c>
      <c r="B48" s="0" t="s">
        <v>185</v>
      </c>
      <c r="C48" s="0" t="s">
        <v>173</v>
      </c>
      <c r="E48" s="7" t="n">
        <v>8.82816556596761</v>
      </c>
      <c r="G48" s="8" t="s">
        <v>41</v>
      </c>
      <c r="H48" s="8" t="s">
        <v>182</v>
      </c>
      <c r="I48" s="8" t="s">
        <v>183</v>
      </c>
    </row>
    <row r="49" customFormat="false" ht="17.15" hidden="false" customHeight="false" outlineLevel="0" collapsed="false">
      <c r="A49" s="0" t="s">
        <v>186</v>
      </c>
      <c r="B49" s="0" t="s">
        <v>187</v>
      </c>
      <c r="C49" s="0" t="s">
        <v>173</v>
      </c>
      <c r="E49" s="7" t="n">
        <v>10.8864110021101</v>
      </c>
      <c r="G49" s="8" t="s">
        <v>41</v>
      </c>
      <c r="H49" s="8" t="s">
        <v>182</v>
      </c>
      <c r="I49" s="8" t="s">
        <v>183</v>
      </c>
    </row>
    <row r="50" customFormat="false" ht="17.15" hidden="false" customHeight="false" outlineLevel="0" collapsed="false">
      <c r="A50" s="0" t="s">
        <v>188</v>
      </c>
      <c r="B50" s="0" t="s">
        <v>189</v>
      </c>
      <c r="C50" s="0" t="s">
        <v>173</v>
      </c>
      <c r="E50" s="7" t="n">
        <v>12.2254710045841</v>
      </c>
      <c r="G50" s="8" t="s">
        <v>41</v>
      </c>
      <c r="H50" s="8" t="s">
        <v>182</v>
      </c>
      <c r="I50" s="8" t="s">
        <v>183</v>
      </c>
    </row>
    <row r="51" customFormat="false" ht="17.15" hidden="false" customHeight="false" outlineLevel="0" collapsed="false">
      <c r="A51" s="0" t="s">
        <v>190</v>
      </c>
      <c r="B51" s="0" t="s">
        <v>191</v>
      </c>
      <c r="C51" s="0" t="s">
        <v>192</v>
      </c>
      <c r="E51" s="7" t="n">
        <v>27.510214</v>
      </c>
      <c r="G51" s="8" t="s">
        <v>41</v>
      </c>
      <c r="H51" s="8" t="s">
        <v>182</v>
      </c>
    </row>
    <row r="52" customFormat="false" ht="17.15" hidden="false" customHeight="false" outlineLevel="0" collapsed="false">
      <c r="A52" s="0" t="s">
        <v>193</v>
      </c>
      <c r="B52" s="0" t="s">
        <v>194</v>
      </c>
      <c r="C52" s="0" t="s">
        <v>192</v>
      </c>
      <c r="E52" s="7" t="n">
        <v>24.015174</v>
      </c>
      <c r="G52" s="8" t="s">
        <v>41</v>
      </c>
      <c r="H52" s="8" t="s">
        <v>182</v>
      </c>
    </row>
    <row r="53" customFormat="false" ht="17.15" hidden="false" customHeight="false" outlineLevel="0" collapsed="false">
      <c r="A53" s="0" t="s">
        <v>195</v>
      </c>
      <c r="B53" s="0" t="s">
        <v>196</v>
      </c>
      <c r="C53" s="0" t="s">
        <v>192</v>
      </c>
      <c r="E53" s="7" t="n">
        <v>32.237224</v>
      </c>
      <c r="G53" s="8" t="s">
        <v>41</v>
      </c>
      <c r="H53" s="8" t="s">
        <v>182</v>
      </c>
    </row>
    <row r="54" customFormat="false" ht="17.15" hidden="false" customHeight="false" outlineLevel="0" collapsed="false">
      <c r="A54" s="0" t="s">
        <v>197</v>
      </c>
      <c r="B54" s="0" t="s">
        <v>198</v>
      </c>
      <c r="C54" s="0" t="s">
        <v>192</v>
      </c>
      <c r="E54" s="7" t="n">
        <v>37.586352</v>
      </c>
      <c r="G54" s="8" t="s">
        <v>41</v>
      </c>
      <c r="H54" s="8" t="s">
        <v>182</v>
      </c>
    </row>
    <row r="55" customFormat="false" ht="17.15" hidden="false" customHeight="false" outlineLevel="0" collapsed="false">
      <c r="A55" s="0" t="s">
        <v>199</v>
      </c>
      <c r="B55" s="0" t="s">
        <v>200</v>
      </c>
      <c r="C55" s="0" t="s">
        <v>173</v>
      </c>
      <c r="E55" s="7" t="n">
        <v>1.88466748019734</v>
      </c>
      <c r="G55" s="8" t="s">
        <v>41</v>
      </c>
      <c r="H55" s="8" t="s">
        <v>182</v>
      </c>
    </row>
    <row r="56" customFormat="false" ht="17.15" hidden="false" customHeight="false" outlineLevel="0" collapsed="false">
      <c r="A56" s="0" t="s">
        <v>201</v>
      </c>
      <c r="B56" s="0" t="s">
        <v>202</v>
      </c>
      <c r="C56" s="0" t="s">
        <v>173</v>
      </c>
      <c r="E56" s="7" t="n">
        <v>1.812232738713</v>
      </c>
      <c r="G56" s="8" t="s">
        <v>41</v>
      </c>
      <c r="H56" s="8" t="s">
        <v>182</v>
      </c>
    </row>
    <row r="57" customFormat="false" ht="17.15" hidden="false" customHeight="false" outlineLevel="0" collapsed="false">
      <c r="A57" s="0" t="s">
        <v>203</v>
      </c>
      <c r="B57" s="0" t="s">
        <v>204</v>
      </c>
      <c r="C57" s="0" t="s">
        <v>173</v>
      </c>
      <c r="E57" s="7" t="n">
        <v>1.98263481314457</v>
      </c>
      <c r="G57" s="8" t="s">
        <v>41</v>
      </c>
      <c r="H57" s="8" t="s">
        <v>182</v>
      </c>
    </row>
    <row r="58" customFormat="false" ht="17.15" hidden="false" customHeight="false" outlineLevel="0" collapsed="false">
      <c r="A58" s="0" t="s">
        <v>205</v>
      </c>
      <c r="B58" s="0" t="s">
        <v>206</v>
      </c>
      <c r="C58" s="0" t="s">
        <v>173</v>
      </c>
      <c r="E58" s="7" t="n">
        <v>2.09349554831403</v>
      </c>
      <c r="G58" s="8" t="s">
        <v>41</v>
      </c>
      <c r="H58" s="8" t="s">
        <v>182</v>
      </c>
    </row>
    <row r="59" customFormat="false" ht="17.15" hidden="false" customHeight="false" outlineLevel="0" collapsed="false">
      <c r="A59" s="0" t="s">
        <v>207</v>
      </c>
      <c r="B59" s="0" t="s">
        <v>208</v>
      </c>
      <c r="C59" s="0" t="s">
        <v>165</v>
      </c>
      <c r="E59" s="7" t="n">
        <v>1.54259654785589</v>
      </c>
      <c r="G59" s="8" t="s">
        <v>41</v>
      </c>
      <c r="H59" s="8" t="s">
        <v>182</v>
      </c>
      <c r="I59" s="8" t="s">
        <v>209</v>
      </c>
    </row>
    <row r="60" customFormat="false" ht="17.15" hidden="false" customHeight="false" outlineLevel="0" collapsed="false">
      <c r="A60" s="0" t="s">
        <v>210</v>
      </c>
      <c r="B60" s="0" t="s">
        <v>211</v>
      </c>
      <c r="C60" s="0" t="s">
        <v>192</v>
      </c>
      <c r="E60" s="7" t="n">
        <v>12.67</v>
      </c>
      <c r="G60" s="8" t="s">
        <v>41</v>
      </c>
      <c r="H60" s="8" t="s">
        <v>182</v>
      </c>
    </row>
    <row r="61" customFormat="false" ht="17.15" hidden="false" customHeight="false" outlineLevel="0" collapsed="false">
      <c r="A61" s="0" t="s">
        <v>212</v>
      </c>
      <c r="B61" s="0" t="s">
        <v>213</v>
      </c>
      <c r="C61" s="5" t="s">
        <v>123</v>
      </c>
      <c r="D61" s="7" t="n">
        <v>5</v>
      </c>
      <c r="E61" s="7" t="n">
        <v>6</v>
      </c>
      <c r="F61" s="7" t="n">
        <v>7</v>
      </c>
      <c r="G61" s="8" t="s">
        <v>41</v>
      </c>
      <c r="H61" s="8" t="s">
        <v>182</v>
      </c>
      <c r="I61" s="5" t="s">
        <v>214</v>
      </c>
    </row>
    <row r="62" customFormat="false" ht="17.15" hidden="false" customHeight="false" outlineLevel="0" collapsed="false">
      <c r="A62" s="0" t="s">
        <v>215</v>
      </c>
      <c r="B62" s="5" t="s">
        <v>216</v>
      </c>
      <c r="C62" s="5" t="s">
        <v>123</v>
      </c>
      <c r="D62" s="7" t="n">
        <v>15</v>
      </c>
      <c r="E62" s="7" t="n">
        <v>20</v>
      </c>
      <c r="F62" s="7" t="n">
        <v>30</v>
      </c>
      <c r="G62" s="8" t="s">
        <v>69</v>
      </c>
      <c r="H62" s="5" t="s">
        <v>217</v>
      </c>
      <c r="I62" s="5" t="s">
        <v>218</v>
      </c>
    </row>
    <row r="63" customFormat="false" ht="17.15" hidden="false" customHeight="false" outlineLevel="0" collapsed="false">
      <c r="A63" s="0" t="s">
        <v>219</v>
      </c>
      <c r="B63" s="0" t="s">
        <v>220</v>
      </c>
      <c r="C63" s="0" t="s">
        <v>173</v>
      </c>
      <c r="D63" s="7" t="n">
        <v>36.2296</v>
      </c>
      <c r="E63" s="7" t="n">
        <v>49.5137840363362</v>
      </c>
      <c r="F63" s="7" t="n">
        <v>78.4975</v>
      </c>
      <c r="G63" s="8" t="s">
        <v>41</v>
      </c>
      <c r="H63" s="8" t="s">
        <v>182</v>
      </c>
      <c r="I63" s="5" t="s">
        <v>221</v>
      </c>
    </row>
    <row r="64" customFormat="false" ht="17.15" hidden="false" customHeight="false" outlineLevel="0" collapsed="false">
      <c r="A64" s="0" t="s">
        <v>222</v>
      </c>
      <c r="B64" s="0" t="s">
        <v>223</v>
      </c>
      <c r="C64" s="0" t="s">
        <v>57</v>
      </c>
      <c r="D64" s="12" t="n">
        <f aca="false">p_long_lo/tk_he_vr200</f>
        <v>0.574137388847276</v>
      </c>
      <c r="E64" s="12" t="n">
        <f aca="false">p_long/tk_he_vr200</f>
        <v>0.782914621155376</v>
      </c>
      <c r="G64" s="8" t="s">
        <v>41</v>
      </c>
      <c r="H64" s="8" t="s">
        <v>224</v>
      </c>
      <c r="I64" s="8" t="s">
        <v>225</v>
      </c>
    </row>
    <row r="65" customFormat="false" ht="17.15" hidden="false" customHeight="false" outlineLevel="0" collapsed="false">
      <c r="A65" s="0" t="s">
        <v>226</v>
      </c>
      <c r="B65" s="0" t="s">
        <v>227</v>
      </c>
      <c r="C65" s="0" t="s">
        <v>57</v>
      </c>
      <c r="E65" s="12" t="n">
        <f aca="false">p_spot/tk_gpuhr</f>
        <v>1.82808654921445</v>
      </c>
      <c r="F65" s="12" t="n">
        <f aca="false">p_list/tk_gpuhr</f>
        <v>4.46001257397001</v>
      </c>
      <c r="G65" s="8" t="s">
        <v>41</v>
      </c>
      <c r="H65" s="8" t="s">
        <v>228</v>
      </c>
      <c r="I65" s="5" t="s">
        <v>229</v>
      </c>
    </row>
    <row r="66" customFormat="false" ht="17.15" hidden="false" customHeight="false" outlineLevel="0" collapsed="false">
      <c r="A66" s="0" t="s">
        <v>230</v>
      </c>
      <c r="B66" s="5" t="s">
        <v>231</v>
      </c>
      <c r="C66" s="0" t="s">
        <v>57</v>
      </c>
      <c r="E66" s="12" t="n">
        <f aca="false">long_sh*k_long+(1-long_sh)*k_spot_hi</f>
        <v>1.5183342117183</v>
      </c>
      <c r="G66" s="8" t="s">
        <v>41</v>
      </c>
      <c r="H66" s="5" t="s">
        <v>232</v>
      </c>
    </row>
    <row r="67" customFormat="false" ht="17.15" hidden="false" customHeight="false" outlineLevel="0" collapsed="false">
      <c r="A67" s="0" t="s">
        <v>233</v>
      </c>
      <c r="B67" s="5" t="s">
        <v>234</v>
      </c>
      <c r="C67" s="0" t="s">
        <v>57</v>
      </c>
      <c r="E67" s="12" t="n">
        <f aca="false">long_sh*k_long+(1-long_sh)*k_spot</f>
        <v>0.991949006767191</v>
      </c>
      <c r="G67" s="8" t="s">
        <v>41</v>
      </c>
      <c r="H67" s="5" t="s">
        <v>235</v>
      </c>
      <c r="I67" s="5" t="s">
        <v>236</v>
      </c>
    </row>
    <row r="68" customFormat="false" ht="17.15" hidden="false" customHeight="false" outlineLevel="0" collapsed="false">
      <c r="A68" s="0" t="s">
        <v>237</v>
      </c>
      <c r="B68" s="5" t="s">
        <v>238</v>
      </c>
      <c r="C68" s="0" t="s">
        <v>57</v>
      </c>
      <c r="E68" s="12" t="n">
        <f aca="false">long_sh*k_long_lo+(1-long_sh)*k_spot</f>
        <v>0.824927220920711</v>
      </c>
      <c r="G68" s="8" t="s">
        <v>41</v>
      </c>
      <c r="H68" s="5" t="s">
        <v>239</v>
      </c>
    </row>
    <row r="69" customFormat="false" ht="17.15" hidden="false" customHeight="false" outlineLevel="0" collapsed="false">
      <c r="A69" s="0" t="s">
        <v>240</v>
      </c>
      <c r="B69" s="5" t="s">
        <v>241</v>
      </c>
      <c r="C69" s="0" t="s">
        <v>52</v>
      </c>
      <c r="E69" s="10" t="n">
        <v>0.55</v>
      </c>
      <c r="G69" s="8" t="s">
        <v>69</v>
      </c>
      <c r="H69" s="8" t="s">
        <v>242</v>
      </c>
      <c r="I69" s="8" t="s">
        <v>243</v>
      </c>
    </row>
    <row r="70" customFormat="false" ht="17.15" hidden="false" customHeight="false" outlineLevel="0" collapsed="false">
      <c r="A70" s="0" t="s">
        <v>244</v>
      </c>
      <c r="B70" s="5" t="s">
        <v>245</v>
      </c>
      <c r="C70" s="0" t="s">
        <v>52</v>
      </c>
      <c r="E70" s="10" t="n">
        <v>0.15</v>
      </c>
      <c r="G70" s="8" t="s">
        <v>69</v>
      </c>
      <c r="H70" s="8" t="s">
        <v>242</v>
      </c>
    </row>
    <row r="71" customFormat="false" ht="17.15" hidden="false" customHeight="false" outlineLevel="0" collapsed="false">
      <c r="A71" s="0" t="s">
        <v>246</v>
      </c>
      <c r="B71" s="5" t="s">
        <v>247</v>
      </c>
      <c r="C71" s="0" t="s">
        <v>52</v>
      </c>
      <c r="E71" s="10" t="n">
        <v>0.15</v>
      </c>
      <c r="G71" s="8" t="s">
        <v>69</v>
      </c>
      <c r="H71" s="8" t="s">
        <v>242</v>
      </c>
    </row>
    <row r="72" customFormat="false" ht="17.15" hidden="false" customHeight="false" outlineLevel="0" collapsed="false">
      <c r="A72" s="0" t="s">
        <v>248</v>
      </c>
      <c r="B72" s="5" t="s">
        <v>249</v>
      </c>
      <c r="C72" s="0" t="s">
        <v>52</v>
      </c>
      <c r="E72" s="10" t="n">
        <v>0.15</v>
      </c>
      <c r="G72" s="8" t="s">
        <v>69</v>
      </c>
      <c r="H72" s="8" t="s">
        <v>242</v>
      </c>
    </row>
    <row r="73" customFormat="false" ht="17.15" hidden="false" customHeight="false" outlineLevel="0" collapsed="false">
      <c r="A73" s="0" t="s">
        <v>250</v>
      </c>
      <c r="B73" s="5" t="s">
        <v>251</v>
      </c>
      <c r="C73" s="0" t="s">
        <v>173</v>
      </c>
      <c r="E73" s="9" t="n">
        <f aca="false">(mo_trn2+mo_h100)*tk_he_h100+mo_gb200*tk_he_gb200+mo_gb300*tk_he_gb300</f>
        <v>9.74934758549194</v>
      </c>
      <c r="G73" s="8" t="s">
        <v>41</v>
      </c>
      <c r="H73" s="5" t="s">
        <v>252</v>
      </c>
    </row>
    <row r="74" customFormat="false" ht="17.15" hidden="false" customHeight="false" outlineLevel="0" collapsed="false">
      <c r="A74" s="0" t="s">
        <v>253</v>
      </c>
      <c r="B74" s="5" t="s">
        <v>254</v>
      </c>
      <c r="C74" s="0" t="s">
        <v>173</v>
      </c>
      <c r="E74" s="9" t="n">
        <f aca="false">(mo_trn2+mo_h100)*tk_ox_h100+mo_gb200*tk_ox_gb200+mo_gb300*tk_ox_gb300</f>
        <v>1.88849736891677</v>
      </c>
      <c r="G74" s="8" t="s">
        <v>41</v>
      </c>
      <c r="H74" s="5" t="s">
        <v>252</v>
      </c>
    </row>
    <row r="75" customFormat="false" ht="17.15" hidden="false" customHeight="false" outlineLevel="0" collapsed="false">
      <c r="A75" s="0" t="s">
        <v>255</v>
      </c>
      <c r="B75" s="5" t="s">
        <v>256</v>
      </c>
      <c r="C75" s="0" t="s">
        <v>173</v>
      </c>
      <c r="E75" s="9" t="n">
        <f aca="false">he_open*k_B</f>
        <v>9.67085565405685</v>
      </c>
      <c r="G75" s="8" t="s">
        <v>41</v>
      </c>
      <c r="H75" s="5" t="s">
        <v>257</v>
      </c>
    </row>
    <row r="76" customFormat="false" ht="17.15" hidden="false" customHeight="false" outlineLevel="0" collapsed="false">
      <c r="A76" s="0" t="s">
        <v>258</v>
      </c>
      <c r="B76" s="5" t="s">
        <v>259</v>
      </c>
      <c r="C76" s="0" t="s">
        <v>52</v>
      </c>
      <c r="D76" s="10" t="n">
        <v>0.4</v>
      </c>
      <c r="E76" s="10" t="n">
        <v>0.5</v>
      </c>
      <c r="F76" s="10" t="n">
        <v>0.6</v>
      </c>
      <c r="G76" s="8" t="s">
        <v>69</v>
      </c>
      <c r="H76" s="5" t="s">
        <v>260</v>
      </c>
      <c r="I76" s="8" t="s">
        <v>261</v>
      </c>
    </row>
    <row r="77" customFormat="false" ht="17.15" hidden="false" customHeight="false" outlineLevel="0" collapsed="false">
      <c r="A77" s="0" t="s">
        <v>262</v>
      </c>
      <c r="B77" s="0" t="s">
        <v>263</v>
      </c>
      <c r="C77" s="0" t="s">
        <v>52</v>
      </c>
      <c r="E77" s="10" t="n">
        <v>0</v>
      </c>
      <c r="G77" s="8" t="s">
        <v>69</v>
      </c>
      <c r="H77" s="5" t="s">
        <v>264</v>
      </c>
    </row>
    <row r="78" customFormat="false" ht="17.15" hidden="false" customHeight="false" outlineLevel="0" collapsed="false">
      <c r="A78" s="0" t="s">
        <v>265</v>
      </c>
      <c r="B78" s="0" t="s">
        <v>266</v>
      </c>
      <c r="C78" s="0" t="s">
        <v>52</v>
      </c>
      <c r="E78" s="10" t="n">
        <v>0.5</v>
      </c>
      <c r="G78" s="8" t="s">
        <v>69</v>
      </c>
      <c r="H78" s="5" t="s">
        <v>264</v>
      </c>
    </row>
    <row r="79" customFormat="false" ht="17.15" hidden="false" customHeight="false" outlineLevel="0" collapsed="false">
      <c r="A79" s="0" t="s">
        <v>267</v>
      </c>
      <c r="B79" s="0" t="s">
        <v>268</v>
      </c>
      <c r="C79" s="0" t="s">
        <v>52</v>
      </c>
      <c r="E79" s="10" t="n">
        <v>1</v>
      </c>
      <c r="G79" s="8" t="s">
        <v>69</v>
      </c>
      <c r="H79" s="5" t="s">
        <v>264</v>
      </c>
    </row>
    <row r="80" customFormat="false" ht="17.15" hidden="false" customHeight="false" outlineLevel="0" collapsed="false">
      <c r="A80" s="0" t="s">
        <v>269</v>
      </c>
      <c r="B80" s="5" t="s">
        <v>270</v>
      </c>
      <c r="C80" s="0" t="s">
        <v>57</v>
      </c>
      <c r="D80" s="11" t="n">
        <v>0.7</v>
      </c>
      <c r="E80" s="11" t="n">
        <v>1</v>
      </c>
      <c r="G80" s="8" t="s">
        <v>69</v>
      </c>
      <c r="H80" s="5" t="s">
        <v>271</v>
      </c>
      <c r="I80" s="5" t="s">
        <v>272</v>
      </c>
    </row>
    <row r="81" customFormat="false" ht="17.15" hidden="false" customHeight="false" outlineLevel="0" collapsed="false">
      <c r="A81" s="0" t="s">
        <v>273</v>
      </c>
      <c r="B81" s="5" t="s">
        <v>274</v>
      </c>
      <c r="C81" s="0" t="s">
        <v>57</v>
      </c>
      <c r="D81" s="11" t="n">
        <v>0.7</v>
      </c>
      <c r="E81" s="11" t="n">
        <v>1</v>
      </c>
      <c r="G81" s="8" t="s">
        <v>69</v>
      </c>
      <c r="H81" s="5" t="s">
        <v>275</v>
      </c>
      <c r="I81" s="5" t="s">
        <v>276</v>
      </c>
    </row>
    <row r="82" customFormat="false" ht="17.15" hidden="false" customHeight="false" outlineLevel="0" collapsed="false">
      <c r="A82" s="0" t="s">
        <v>277</v>
      </c>
      <c r="B82" s="5" t="s">
        <v>278</v>
      </c>
      <c r="C82" s="0" t="s">
        <v>52</v>
      </c>
      <c r="D82" s="10" t="n">
        <v>0.1</v>
      </c>
      <c r="E82" s="10" t="n">
        <v>0.2</v>
      </c>
      <c r="F82" s="10" t="n">
        <v>0.3</v>
      </c>
      <c r="G82" s="8" t="s">
        <v>46</v>
      </c>
      <c r="H82" s="8" t="s">
        <v>279</v>
      </c>
      <c r="I82" s="5" t="s">
        <v>280</v>
      </c>
    </row>
    <row r="83" customFormat="false" ht="17.15" hidden="false" customHeight="false" outlineLevel="0" collapsed="false">
      <c r="A83" s="0" t="s">
        <v>281</v>
      </c>
      <c r="B83" s="5" t="s">
        <v>282</v>
      </c>
      <c r="C83" s="0" t="s">
        <v>52</v>
      </c>
      <c r="E83" s="10" t="n">
        <v>0.1</v>
      </c>
      <c r="G83" s="8" t="s">
        <v>69</v>
      </c>
      <c r="H83" s="5" t="s">
        <v>283</v>
      </c>
    </row>
    <row r="84" customFormat="false" ht="17.15" hidden="false" customHeight="false" outlineLevel="0" collapsed="false">
      <c r="A84" s="0" t="s">
        <v>284</v>
      </c>
      <c r="B84" s="5" t="s">
        <v>285</v>
      </c>
      <c r="C84" s="0" t="s">
        <v>173</v>
      </c>
      <c r="E84" s="9" t="n">
        <f aca="false">colo_sh*tk_fac*rent_rec</f>
        <v>0.2534</v>
      </c>
      <c r="G84" s="8" t="s">
        <v>41</v>
      </c>
      <c r="H84" s="5" t="s">
        <v>286</v>
      </c>
    </row>
    <row r="85" customFormat="false" ht="17.15" hidden="false" customHeight="false" outlineLevel="0" collapsed="false">
      <c r="A85" s="0" t="s">
        <v>287</v>
      </c>
      <c r="B85" s="0" t="s">
        <v>288</v>
      </c>
      <c r="C85" s="0" t="s">
        <v>86</v>
      </c>
      <c r="E85" s="7" t="n">
        <v>220</v>
      </c>
      <c r="G85" s="8" t="s">
        <v>46</v>
      </c>
      <c r="H85" s="8" t="s">
        <v>289</v>
      </c>
      <c r="I85" s="5" t="s">
        <v>290</v>
      </c>
    </row>
    <row r="86" customFormat="false" ht="17.15" hidden="false" customHeight="false" outlineLevel="0" collapsed="false">
      <c r="A86" s="0" t="s">
        <v>291</v>
      </c>
      <c r="B86" s="5" t="s">
        <v>292</v>
      </c>
      <c r="C86" s="0" t="s">
        <v>293</v>
      </c>
      <c r="D86" s="7" t="n">
        <v>1</v>
      </c>
      <c r="E86" s="7" t="n">
        <v>2</v>
      </c>
      <c r="G86" s="8" t="s">
        <v>69</v>
      </c>
      <c r="H86" s="5" t="s">
        <v>294</v>
      </c>
      <c r="I86" s="5" t="s">
        <v>295</v>
      </c>
    </row>
    <row r="87" customFormat="false" ht="17.15" hidden="false" customHeight="false" outlineLevel="0" collapsed="false">
      <c r="A87" s="0" t="s">
        <v>296</v>
      </c>
      <c r="B87" s="5" t="s">
        <v>297</v>
      </c>
      <c r="C87" s="0" t="s">
        <v>86</v>
      </c>
      <c r="E87" s="7" t="n">
        <v>25</v>
      </c>
      <c r="G87" s="8" t="s">
        <v>46</v>
      </c>
      <c r="H87" s="8" t="s">
        <v>298</v>
      </c>
      <c r="I87" s="5" t="s">
        <v>299</v>
      </c>
    </row>
    <row r="88" customFormat="false" ht="17.15" hidden="false" customHeight="false" outlineLevel="0" collapsed="false">
      <c r="A88" s="1" t="s">
        <v>300</v>
      </c>
    </row>
    <row r="89" customFormat="false" ht="17.15" hidden="false" customHeight="false" outlineLevel="0" collapsed="false">
      <c r="A89" s="0" t="s">
        <v>301</v>
      </c>
      <c r="B89" s="0" t="s">
        <v>302</v>
      </c>
      <c r="C89" s="0" t="s">
        <v>52</v>
      </c>
      <c r="D89" s="10" t="n">
        <v>0.05</v>
      </c>
      <c r="E89" s="10" t="n">
        <v>0.08</v>
      </c>
      <c r="F89" s="10" t="n">
        <v>0.11</v>
      </c>
      <c r="G89" s="8" t="s">
        <v>69</v>
      </c>
      <c r="H89" s="5" t="s">
        <v>303</v>
      </c>
      <c r="I89" s="8" t="s">
        <v>304</v>
      </c>
    </row>
    <row r="90" customFormat="false" ht="17.15" hidden="false" customHeight="false" outlineLevel="0" collapsed="false">
      <c r="A90" s="0" t="s">
        <v>305</v>
      </c>
      <c r="B90" s="0" t="s">
        <v>306</v>
      </c>
      <c r="C90" s="0" t="s">
        <v>52</v>
      </c>
      <c r="D90" s="10" t="n">
        <v>0.15</v>
      </c>
      <c r="E90" s="10" t="n">
        <v>0.2</v>
      </c>
      <c r="F90" s="10" t="n">
        <v>0.27</v>
      </c>
      <c r="G90" s="8" t="s">
        <v>69</v>
      </c>
      <c r="H90" s="5" t="s">
        <v>307</v>
      </c>
      <c r="I90" s="5" t="s">
        <v>308</v>
      </c>
    </row>
    <row r="91" customFormat="false" ht="17.15" hidden="false" customHeight="false" outlineLevel="0" collapsed="false">
      <c r="A91" s="1" t="s">
        <v>309</v>
      </c>
    </row>
    <row r="92" customFormat="false" ht="17.15" hidden="false" customHeight="false" outlineLevel="0" collapsed="false">
      <c r="A92" s="0" t="s">
        <v>310</v>
      </c>
      <c r="B92" s="0" t="s">
        <v>311</v>
      </c>
      <c r="C92" s="0" t="s">
        <v>52</v>
      </c>
      <c r="D92" s="10" t="n">
        <v>0.03</v>
      </c>
      <c r="E92" s="10" t="n">
        <v>0.05</v>
      </c>
      <c r="F92" s="10" t="n">
        <v>0.07</v>
      </c>
      <c r="G92" s="8" t="s">
        <v>69</v>
      </c>
      <c r="H92" s="5" t="s">
        <v>153</v>
      </c>
      <c r="I92" s="8" t="s">
        <v>312</v>
      </c>
    </row>
    <row r="93" customFormat="false" ht="17.15" hidden="false" customHeight="false" outlineLevel="0" collapsed="false">
      <c r="A93" s="0" t="s">
        <v>313</v>
      </c>
      <c r="B93" s="0" t="s">
        <v>314</v>
      </c>
      <c r="C93" s="0" t="s">
        <v>52</v>
      </c>
      <c r="D93" s="10" t="n">
        <v>0.01</v>
      </c>
      <c r="E93" s="10" t="n">
        <v>0.03</v>
      </c>
      <c r="F93" s="10" t="n">
        <v>0.05</v>
      </c>
      <c r="G93" s="8" t="s">
        <v>69</v>
      </c>
      <c r="H93" s="5" t="s">
        <v>153</v>
      </c>
      <c r="I93" s="8" t="s">
        <v>312</v>
      </c>
    </row>
    <row r="94" customFormat="false" ht="17.15" hidden="false" customHeight="false" outlineLevel="0" collapsed="false">
      <c r="A94" s="0" t="s">
        <v>315</v>
      </c>
      <c r="B94" s="0" t="s">
        <v>316</v>
      </c>
      <c r="C94" s="0" t="s">
        <v>52</v>
      </c>
      <c r="D94" s="10" t="n">
        <v>0.05</v>
      </c>
      <c r="E94" s="10" t="n">
        <v>0.07</v>
      </c>
      <c r="F94" s="10" t="n">
        <v>0.09</v>
      </c>
      <c r="G94" s="8" t="s">
        <v>69</v>
      </c>
      <c r="H94" s="5" t="s">
        <v>153</v>
      </c>
      <c r="I94" s="8" t="s">
        <v>312</v>
      </c>
    </row>
    <row r="95" customFormat="false" ht="17.15" hidden="false" customHeight="false" outlineLevel="0" collapsed="false">
      <c r="A95" s="0" t="s">
        <v>317</v>
      </c>
      <c r="B95" s="0" t="s">
        <v>318</v>
      </c>
      <c r="C95" s="0" t="s">
        <v>52</v>
      </c>
      <c r="D95" s="10" t="n">
        <v>0.07</v>
      </c>
      <c r="E95" s="10" t="n">
        <v>0.1</v>
      </c>
      <c r="F95" s="10" t="n">
        <v>0.13</v>
      </c>
      <c r="G95" s="8" t="s">
        <v>69</v>
      </c>
      <c r="H95" s="5" t="s">
        <v>153</v>
      </c>
      <c r="I95" s="8" t="s">
        <v>312</v>
      </c>
    </row>
    <row r="96" customFormat="false" ht="17.15" hidden="false" customHeight="false" outlineLevel="0" collapsed="false">
      <c r="A96" s="0" t="s">
        <v>319</v>
      </c>
      <c r="B96" s="0" t="s">
        <v>320</v>
      </c>
      <c r="C96" s="0" t="s">
        <v>52</v>
      </c>
      <c r="D96" s="10" t="n">
        <v>0.05</v>
      </c>
      <c r="E96" s="10" t="n">
        <v>0.07</v>
      </c>
      <c r="F96" s="10" t="n">
        <v>0.09</v>
      </c>
      <c r="G96" s="8" t="s">
        <v>69</v>
      </c>
      <c r="H96" s="5" t="s">
        <v>153</v>
      </c>
      <c r="I96" s="8" t="s">
        <v>312</v>
      </c>
    </row>
    <row r="97" customFormat="false" ht="17.15" hidden="false" customHeight="false" outlineLevel="0" collapsed="false">
      <c r="A97" s="0" t="s">
        <v>321</v>
      </c>
      <c r="B97" s="0" t="s">
        <v>322</v>
      </c>
      <c r="C97" s="0" t="s">
        <v>52</v>
      </c>
      <c r="D97" s="10" t="n">
        <v>0.02</v>
      </c>
      <c r="E97" s="10" t="n">
        <v>0.05</v>
      </c>
      <c r="F97" s="10" t="n">
        <v>0.08</v>
      </c>
      <c r="G97" s="8" t="s">
        <v>69</v>
      </c>
      <c r="H97" s="5" t="s">
        <v>153</v>
      </c>
      <c r="I97" s="8" t="s">
        <v>312</v>
      </c>
    </row>
    <row r="98" customFormat="false" ht="17.15" hidden="false" customHeight="false" outlineLevel="0" collapsed="false">
      <c r="A98" s="0" t="s">
        <v>323</v>
      </c>
      <c r="B98" s="5" t="s">
        <v>324</v>
      </c>
      <c r="C98" s="0" t="s">
        <v>52</v>
      </c>
      <c r="D98" s="10" t="n">
        <v>0.4</v>
      </c>
      <c r="E98" s="10" t="n">
        <v>0.5</v>
      </c>
      <c r="F98" s="10" t="n">
        <v>0.6</v>
      </c>
      <c r="G98" s="8" t="s">
        <v>69</v>
      </c>
      <c r="H98" s="5" t="s">
        <v>325</v>
      </c>
      <c r="I98" s="5" t="s">
        <v>326</v>
      </c>
    </row>
    <row r="99" customFormat="false" ht="17.15" hidden="false" customHeight="false" outlineLevel="0" collapsed="false">
      <c r="A99" s="0" t="s">
        <v>327</v>
      </c>
      <c r="B99" s="5" t="s">
        <v>328</v>
      </c>
      <c r="C99" s="0" t="s">
        <v>329</v>
      </c>
      <c r="D99" s="10" t="n">
        <v>0</v>
      </c>
      <c r="E99" s="10" t="n">
        <v>0.003</v>
      </c>
      <c r="F99" s="10" t="n">
        <v>0.006</v>
      </c>
      <c r="G99" s="8" t="s">
        <v>69</v>
      </c>
      <c r="H99" s="5" t="s">
        <v>330</v>
      </c>
    </row>
    <row r="100" customFormat="false" ht="17.15" hidden="false" customHeight="false" outlineLevel="0" collapsed="false">
      <c r="A100" s="0" t="s">
        <v>331</v>
      </c>
      <c r="B100" s="5" t="s">
        <v>332</v>
      </c>
      <c r="C100" s="0" t="s">
        <v>329</v>
      </c>
      <c r="D100" s="10" t="n">
        <v>-0.003</v>
      </c>
      <c r="E100" s="10" t="n">
        <v>0</v>
      </c>
      <c r="F100" s="10" t="n">
        <v>0.003</v>
      </c>
      <c r="G100" s="8" t="s">
        <v>69</v>
      </c>
      <c r="H100" s="5" t="s">
        <v>333</v>
      </c>
    </row>
    <row r="101" customFormat="false" ht="17.15" hidden="false" customHeight="false" outlineLevel="0" collapsed="false">
      <c r="A101" s="0" t="s">
        <v>334</v>
      </c>
      <c r="B101" s="5" t="s">
        <v>335</v>
      </c>
      <c r="C101" s="0" t="s">
        <v>52</v>
      </c>
      <c r="E101" s="13" t="n">
        <f aca="false">AVERAGE((Q!$C$55+Q!$C$56)/(Q!$C$5+Q!$C$6),(Q!$D$55+Q!$D$56)/(Q!$D$5+Q!$D$6),(Q!$E$55+Q!$E$56)/(Q!$E$5+Q!$E$6))</f>
        <v>0.0590737529079913</v>
      </c>
      <c r="G101" s="8" t="s">
        <v>41</v>
      </c>
      <c r="H101" s="8" t="s">
        <v>82</v>
      </c>
      <c r="I101" s="8" t="s">
        <v>336</v>
      </c>
    </row>
    <row r="102" customFormat="false" ht="17.15" hidden="false" customHeight="false" outlineLevel="0" collapsed="false">
      <c r="A102" s="1" t="s">
        <v>337</v>
      </c>
    </row>
    <row r="103" customFormat="false" ht="17.15" hidden="false" customHeight="false" outlineLevel="0" collapsed="false">
      <c r="A103" s="0" t="s">
        <v>338</v>
      </c>
      <c r="B103" s="5" t="s">
        <v>339</v>
      </c>
      <c r="C103" s="0" t="s">
        <v>52</v>
      </c>
      <c r="E103" s="13" t="n">
        <f aca="false">Q!$Q$48/Q!$Q$8</f>
        <v>0.0248994430693069</v>
      </c>
      <c r="G103" s="8" t="s">
        <v>41</v>
      </c>
      <c r="H103" s="8" t="s">
        <v>298</v>
      </c>
      <c r="I103" s="8" t="s">
        <v>340</v>
      </c>
    </row>
    <row r="104" customFormat="false" ht="17.15" hidden="false" customHeight="false" outlineLevel="0" collapsed="false">
      <c r="A104" s="0" t="s">
        <v>341</v>
      </c>
      <c r="B104" s="5" t="s">
        <v>342</v>
      </c>
      <c r="C104" s="0" t="s">
        <v>52</v>
      </c>
      <c r="D104" s="10" t="n">
        <v>-0.005</v>
      </c>
      <c r="E104" s="13" t="n">
        <f aca="false">AVERAGE((Q!$C$44-(Q!$C$38-Q!$C$39*(1-Q!$C$40))-Q!$C$32-Q!$C$48)/Q!$C$8,(Q!$D$44-(Q!$D$38-Q!$D$39*(1-Q!$D$40))-Q!$D$32-Q!$D$48)/Q!$D$8,(Q!$E$44-(Q!$E$38-Q!$E$39*(1-Q!$E$40))-Q!$E$32-Q!$E$48)/Q!$E$8)</f>
        <v>0.0119845812666467</v>
      </c>
      <c r="F104" s="10" t="n">
        <v>0.02</v>
      </c>
      <c r="G104" s="8" t="s">
        <v>41</v>
      </c>
      <c r="H104" s="8" t="s">
        <v>82</v>
      </c>
      <c r="I104" s="8" t="s">
        <v>343</v>
      </c>
    </row>
    <row r="105" customFormat="false" ht="17.15" hidden="false" customHeight="false" outlineLevel="0" collapsed="false">
      <c r="A105" s="0" t="s">
        <v>344</v>
      </c>
      <c r="B105" s="5" t="s">
        <v>345</v>
      </c>
      <c r="C105" s="0" t="s">
        <v>86</v>
      </c>
      <c r="D105" s="7" t="n">
        <v>1.5</v>
      </c>
      <c r="E105" s="7" t="n">
        <v>1.6</v>
      </c>
      <c r="F105" s="7" t="n">
        <v>3</v>
      </c>
      <c r="G105" s="8" t="s">
        <v>69</v>
      </c>
      <c r="H105" s="8" t="s">
        <v>82</v>
      </c>
      <c r="I105" s="8" t="s">
        <v>346</v>
      </c>
    </row>
    <row r="106" customFormat="false" ht="17.15" hidden="false" customHeight="false" outlineLevel="0" collapsed="false">
      <c r="A106" s="0" t="s">
        <v>347</v>
      </c>
      <c r="B106" s="5" t="s">
        <v>348</v>
      </c>
      <c r="C106" s="0" t="s">
        <v>52</v>
      </c>
      <c r="D106" s="10" t="n">
        <v>0</v>
      </c>
      <c r="E106" s="10" t="n">
        <v>0.008</v>
      </c>
      <c r="F106" s="10" t="n">
        <v>0.015</v>
      </c>
      <c r="G106" s="8" t="s">
        <v>41</v>
      </c>
      <c r="H106" s="8" t="s">
        <v>349</v>
      </c>
      <c r="I106" s="5" t="s">
        <v>350</v>
      </c>
    </row>
    <row r="107" customFormat="false" ht="17.15" hidden="false" customHeight="false" outlineLevel="0" collapsed="false">
      <c r="A107" s="0" t="s">
        <v>351</v>
      </c>
      <c r="B107" s="5" t="s">
        <v>352</v>
      </c>
      <c r="C107" s="0" t="s">
        <v>52</v>
      </c>
      <c r="E107" s="13" t="n">
        <f aca="false">Q!$P$34*2/((Q!$E$62+Q!$M$62)/2)</f>
        <v>0.0418964381091111</v>
      </c>
      <c r="G107" s="8" t="s">
        <v>41</v>
      </c>
      <c r="H107" s="8" t="s">
        <v>34</v>
      </c>
      <c r="I107" s="5" t="s">
        <v>353</v>
      </c>
    </row>
    <row r="108" customFormat="false" ht="17.15" hidden="false" customHeight="false" outlineLevel="0" collapsed="false">
      <c r="A108" s="0" t="s">
        <v>354</v>
      </c>
      <c r="B108" s="5" t="s">
        <v>355</v>
      </c>
      <c r="C108" s="0" t="s">
        <v>52</v>
      </c>
      <c r="E108" s="13" t="n">
        <f aca="false">Q!$M$35*4/Q!$M$61</f>
        <v>0.0421179302045728</v>
      </c>
      <c r="G108" s="8" t="s">
        <v>41</v>
      </c>
      <c r="H108" s="8" t="s">
        <v>34</v>
      </c>
    </row>
    <row r="109" customFormat="false" ht="17.15" hidden="false" customHeight="false" outlineLevel="0" collapsed="false">
      <c r="A109" s="0" t="s">
        <v>356</v>
      </c>
      <c r="B109" s="5" t="s">
        <v>357</v>
      </c>
      <c r="C109" s="0" t="s">
        <v>86</v>
      </c>
      <c r="E109" s="7" t="n">
        <v>122.988</v>
      </c>
      <c r="G109" s="8" t="s">
        <v>28</v>
      </c>
      <c r="H109" s="8" t="s">
        <v>34</v>
      </c>
    </row>
    <row r="110" customFormat="false" ht="17.15" hidden="false" customHeight="false" outlineLevel="0" collapsed="false">
      <c r="A110" s="0" t="s">
        <v>358</v>
      </c>
      <c r="B110" s="5" t="s">
        <v>359</v>
      </c>
      <c r="C110" s="0" t="s">
        <v>86</v>
      </c>
      <c r="D110" s="7" t="n">
        <v>30</v>
      </c>
      <c r="E110" s="7" t="n">
        <v>50</v>
      </c>
      <c r="F110" s="7" t="n">
        <v>80</v>
      </c>
      <c r="G110" s="8" t="s">
        <v>69</v>
      </c>
      <c r="H110" s="5" t="s">
        <v>360</v>
      </c>
    </row>
    <row r="111" customFormat="false" ht="17.15" hidden="false" customHeight="false" outlineLevel="0" collapsed="false">
      <c r="A111" s="0" t="s">
        <v>361</v>
      </c>
      <c r="B111" s="0" t="s">
        <v>362</v>
      </c>
      <c r="C111" s="0" t="s">
        <v>86</v>
      </c>
      <c r="E111" s="7" t="n">
        <v>25</v>
      </c>
      <c r="G111" s="8" t="s">
        <v>46</v>
      </c>
      <c r="H111" s="8" t="s">
        <v>363</v>
      </c>
    </row>
    <row r="112" customFormat="false" ht="17.15" hidden="false" customHeight="false" outlineLevel="0" collapsed="false">
      <c r="A112" s="0" t="s">
        <v>364</v>
      </c>
      <c r="B112" s="0" t="s">
        <v>365</v>
      </c>
      <c r="C112" s="0" t="s">
        <v>366</v>
      </c>
      <c r="E112" s="7" t="n">
        <v>3.25</v>
      </c>
      <c r="G112" s="8" t="s">
        <v>46</v>
      </c>
      <c r="H112" s="8" t="s">
        <v>367</v>
      </c>
      <c r="I112" s="8" t="s">
        <v>368</v>
      </c>
    </row>
    <row r="113" customFormat="false" ht="17.15" hidden="false" customHeight="false" outlineLevel="0" collapsed="false">
      <c r="A113" s="0" t="s">
        <v>369</v>
      </c>
      <c r="B113" s="5" t="s">
        <v>370</v>
      </c>
      <c r="C113" s="0" t="s">
        <v>371</v>
      </c>
      <c r="E113" s="7" t="n">
        <v>1.307692</v>
      </c>
      <c r="G113" s="8" t="s">
        <v>41</v>
      </c>
      <c r="H113" s="8" t="s">
        <v>367</v>
      </c>
    </row>
    <row r="114" customFormat="false" ht="17.15" hidden="false" customHeight="false" outlineLevel="0" collapsed="false">
      <c r="A114" s="0" t="s">
        <v>372</v>
      </c>
      <c r="B114" s="0" t="s">
        <v>373</v>
      </c>
      <c r="C114" s="0" t="s">
        <v>86</v>
      </c>
      <c r="E114" s="9" t="n">
        <f aca="false">iss_usd+iss_gbp*fx_gbp</f>
        <v>29.249999</v>
      </c>
      <c r="G114" s="8" t="s">
        <v>41</v>
      </c>
      <c r="H114" s="5" t="s">
        <v>286</v>
      </c>
    </row>
    <row r="115" customFormat="false" ht="17.15" hidden="false" customHeight="false" outlineLevel="0" collapsed="false">
      <c r="A115" s="0" t="s">
        <v>374</v>
      </c>
      <c r="B115" s="0" t="s">
        <v>375</v>
      </c>
      <c r="C115" s="5" t="s">
        <v>123</v>
      </c>
      <c r="E115" s="7" t="n">
        <v>0.25</v>
      </c>
      <c r="G115" s="8" t="s">
        <v>69</v>
      </c>
      <c r="H115" s="5" t="s">
        <v>376</v>
      </c>
    </row>
    <row r="116" customFormat="false" ht="17.15" hidden="false" customHeight="false" outlineLevel="0" collapsed="false">
      <c r="A116" s="0" t="s">
        <v>377</v>
      </c>
      <c r="B116" s="0" t="s">
        <v>378</v>
      </c>
      <c r="C116" s="0" t="s">
        <v>86</v>
      </c>
      <c r="E116" s="7" t="n">
        <v>21.3</v>
      </c>
      <c r="G116" s="8" t="s">
        <v>46</v>
      </c>
      <c r="H116" s="8" t="s">
        <v>34</v>
      </c>
      <c r="I116" s="8" t="s">
        <v>379</v>
      </c>
    </row>
    <row r="117" customFormat="false" ht="17.15" hidden="false" customHeight="false" outlineLevel="0" collapsed="false">
      <c r="A117" s="0" t="s">
        <v>380</v>
      </c>
      <c r="B117" s="5" t="s">
        <v>381</v>
      </c>
      <c r="C117" s="0" t="s">
        <v>27</v>
      </c>
      <c r="E117" s="7" t="n">
        <v>0</v>
      </c>
      <c r="G117" s="8" t="s">
        <v>28</v>
      </c>
      <c r="H117" s="8" t="s">
        <v>34</v>
      </c>
      <c r="I117" s="8" t="s">
        <v>382</v>
      </c>
    </row>
    <row r="118" customFormat="false" ht="17.15" hidden="false" customHeight="false" outlineLevel="0" collapsed="false">
      <c r="A118" s="1" t="s">
        <v>383</v>
      </c>
    </row>
    <row r="119" customFormat="false" ht="17.15" hidden="false" customHeight="false" outlineLevel="0" collapsed="false">
      <c r="A119" s="0" t="s">
        <v>384</v>
      </c>
      <c r="B119" s="0" t="s">
        <v>385</v>
      </c>
      <c r="C119" s="0" t="s">
        <v>86</v>
      </c>
      <c r="E119" s="7" t="n">
        <v>965</v>
      </c>
      <c r="G119" s="8" t="s">
        <v>46</v>
      </c>
      <c r="H119" s="8" t="s">
        <v>386</v>
      </c>
      <c r="I119" s="5" t="s">
        <v>387</v>
      </c>
    </row>
    <row r="120" customFormat="false" ht="17.15" hidden="false" customHeight="false" outlineLevel="0" collapsed="false">
      <c r="A120" s="0" t="s">
        <v>388</v>
      </c>
      <c r="B120" s="0" t="s">
        <v>389</v>
      </c>
      <c r="C120" s="0" t="s">
        <v>52</v>
      </c>
      <c r="D120" s="10" t="n">
        <v>0.15</v>
      </c>
      <c r="E120" s="10" t="n">
        <v>0.18</v>
      </c>
      <c r="F120" s="10" t="n">
        <v>0.21</v>
      </c>
      <c r="G120" s="8" t="s">
        <v>69</v>
      </c>
      <c r="H120" s="5" t="s">
        <v>390</v>
      </c>
      <c r="I120" s="8" t="s">
        <v>391</v>
      </c>
    </row>
    <row r="121" customFormat="false" ht="17.15" hidden="false" customHeight="false" outlineLevel="0" collapsed="false">
      <c r="A121" s="0" t="s">
        <v>392</v>
      </c>
      <c r="B121" s="0" t="s">
        <v>393</v>
      </c>
      <c r="C121" s="0" t="s">
        <v>86</v>
      </c>
      <c r="E121" s="7" t="n">
        <v>840</v>
      </c>
      <c r="G121" s="8" t="s">
        <v>41</v>
      </c>
      <c r="H121" s="8" t="s">
        <v>394</v>
      </c>
    </row>
    <row r="122" customFormat="false" ht="17.15" hidden="false" customHeight="false" outlineLevel="0" collapsed="false">
      <c r="A122" s="0" t="s">
        <v>395</v>
      </c>
      <c r="B122" s="0" t="s">
        <v>396</v>
      </c>
      <c r="C122" s="0" t="s">
        <v>52</v>
      </c>
      <c r="E122" s="10" t="n">
        <v>0.0595</v>
      </c>
      <c r="G122" s="8" t="s">
        <v>41</v>
      </c>
      <c r="H122" s="5" t="s">
        <v>264</v>
      </c>
      <c r="I122" s="5" t="s">
        <v>397</v>
      </c>
    </row>
    <row r="123" customFormat="false" ht="17.15" hidden="false" customHeight="false" outlineLevel="0" collapsed="false">
      <c r="A123" s="0" t="s">
        <v>398</v>
      </c>
      <c r="B123" s="5" t="s">
        <v>399</v>
      </c>
      <c r="C123" s="0" t="s">
        <v>52</v>
      </c>
      <c r="D123" s="10" t="n">
        <v>0</v>
      </c>
      <c r="E123" s="10" t="n">
        <v>0.2</v>
      </c>
      <c r="F123" s="10" t="n">
        <v>0.4</v>
      </c>
      <c r="G123" s="8" t="s">
        <v>69</v>
      </c>
      <c r="H123" s="5" t="s">
        <v>400</v>
      </c>
    </row>
    <row r="124" customFormat="false" ht="17.15" hidden="false" customHeight="false" outlineLevel="0" collapsed="false">
      <c r="A124" s="0" t="s">
        <v>401</v>
      </c>
      <c r="B124" s="0" t="s">
        <v>402</v>
      </c>
      <c r="C124" s="0" t="s">
        <v>57</v>
      </c>
      <c r="D124" s="11" t="n">
        <v>4</v>
      </c>
      <c r="E124" s="11" t="n">
        <v>6</v>
      </c>
      <c r="F124" s="11" t="n">
        <v>10</v>
      </c>
      <c r="G124" s="8" t="s">
        <v>69</v>
      </c>
      <c r="H124" s="5" t="s">
        <v>403</v>
      </c>
      <c r="I124" s="8" t="s">
        <v>404</v>
      </c>
    </row>
    <row r="125" customFormat="false" ht="17.15" hidden="false" customHeight="false" outlineLevel="0" collapsed="false">
      <c r="A125" s="0" t="s">
        <v>405</v>
      </c>
      <c r="B125" s="5" t="s">
        <v>406</v>
      </c>
      <c r="C125" s="0" t="s">
        <v>407</v>
      </c>
      <c r="D125" s="7" t="n">
        <v>0</v>
      </c>
      <c r="E125" s="7" t="n">
        <v>1</v>
      </c>
      <c r="G125" s="8" t="s">
        <v>69</v>
      </c>
      <c r="H125" s="5" t="s">
        <v>408</v>
      </c>
      <c r="I125" s="8" t="s">
        <v>409</v>
      </c>
    </row>
    <row r="126" customFormat="false" ht="17.15" hidden="false" customHeight="false" outlineLevel="0" collapsed="false">
      <c r="A126" s="0" t="s">
        <v>410</v>
      </c>
      <c r="B126" s="5" t="s">
        <v>411</v>
      </c>
      <c r="C126" s="0" t="s">
        <v>57</v>
      </c>
      <c r="D126" s="11" t="n">
        <v>0.8</v>
      </c>
      <c r="E126" s="11" t="n">
        <v>1</v>
      </c>
      <c r="F126" s="11" t="n">
        <v>1.2</v>
      </c>
      <c r="G126" s="8" t="s">
        <v>69</v>
      </c>
      <c r="H126" s="8" t="s">
        <v>412</v>
      </c>
    </row>
    <row r="127" customFormat="false" ht="17.15" hidden="false" customHeight="false" outlineLevel="0" collapsed="false">
      <c r="A127" s="1" t="s">
        <v>413</v>
      </c>
    </row>
    <row r="128" customFormat="false" ht="17.15" hidden="false" customHeight="false" outlineLevel="0" collapsed="false">
      <c r="A128" s="0" t="s">
        <v>414</v>
      </c>
      <c r="B128" s="5" t="s">
        <v>415</v>
      </c>
      <c r="C128" s="0" t="s">
        <v>86</v>
      </c>
      <c r="E128" s="7" t="n">
        <v>828.285</v>
      </c>
      <c r="G128" s="8" t="s">
        <v>46</v>
      </c>
      <c r="H128" s="8" t="s">
        <v>416</v>
      </c>
      <c r="I128" s="8" t="s">
        <v>417</v>
      </c>
    </row>
    <row r="129" customFormat="false" ht="17.15" hidden="false" customHeight="false" outlineLevel="0" collapsed="false">
      <c r="A129" s="0" t="s">
        <v>418</v>
      </c>
      <c r="B129" s="5" t="s">
        <v>419</v>
      </c>
      <c r="C129" s="0" t="s">
        <v>86</v>
      </c>
      <c r="E129" s="7" t="n">
        <v>216.957</v>
      </c>
      <c r="G129" s="8" t="s">
        <v>46</v>
      </c>
      <c r="H129" s="8" t="s">
        <v>416</v>
      </c>
      <c r="I129" s="8" t="s">
        <v>417</v>
      </c>
    </row>
    <row r="130" customFormat="false" ht="17.15" hidden="false" customHeight="false" outlineLevel="0" collapsed="false">
      <c r="A130" s="0" t="s">
        <v>420</v>
      </c>
      <c r="B130" s="5" t="s">
        <v>421</v>
      </c>
      <c r="C130" s="0" t="s">
        <v>86</v>
      </c>
      <c r="E130" s="7" t="n">
        <v>109.867</v>
      </c>
      <c r="G130" s="8" t="s">
        <v>46</v>
      </c>
      <c r="H130" s="8" t="s">
        <v>416</v>
      </c>
      <c r="I130" s="8" t="s">
        <v>417</v>
      </c>
    </row>
    <row r="131" customFormat="false" ht="17.15" hidden="false" customHeight="false" outlineLevel="0" collapsed="false">
      <c r="A131" s="0" t="s">
        <v>422</v>
      </c>
      <c r="B131" s="5" t="s">
        <v>423</v>
      </c>
      <c r="C131" s="0" t="s">
        <v>86</v>
      </c>
      <c r="E131" s="7" t="n">
        <v>140.133</v>
      </c>
      <c r="G131" s="8" t="s">
        <v>46</v>
      </c>
      <c r="H131" s="8" t="s">
        <v>416</v>
      </c>
      <c r="I131" s="8" t="s">
        <v>417</v>
      </c>
    </row>
    <row r="132" customFormat="false" ht="17.15" hidden="false" customHeight="false" outlineLevel="0" collapsed="false">
      <c r="A132" s="0" t="s">
        <v>424</v>
      </c>
      <c r="B132" s="5" t="s">
        <v>425</v>
      </c>
      <c r="C132" s="0" t="s">
        <v>27</v>
      </c>
      <c r="E132" s="7" t="n">
        <v>12.88</v>
      </c>
      <c r="G132" s="8" t="s">
        <v>46</v>
      </c>
      <c r="H132" s="8" t="s">
        <v>416</v>
      </c>
      <c r="I132" s="8" t="s">
        <v>417</v>
      </c>
    </row>
    <row r="133" customFormat="false" ht="17.15" hidden="false" customHeight="false" outlineLevel="0" collapsed="false">
      <c r="A133" s="0" t="s">
        <v>426</v>
      </c>
      <c r="B133" s="5" t="s">
        <v>427</v>
      </c>
      <c r="C133" s="0" t="s">
        <v>86</v>
      </c>
      <c r="E133" s="7" t="n">
        <v>220.5</v>
      </c>
      <c r="G133" s="8" t="s">
        <v>46</v>
      </c>
      <c r="H133" s="8" t="s">
        <v>416</v>
      </c>
      <c r="I133" s="8" t="s">
        <v>417</v>
      </c>
    </row>
    <row r="134" customFormat="false" ht="17.15" hidden="false" customHeight="false" outlineLevel="0" collapsed="false">
      <c r="A134" s="0" t="s">
        <v>428</v>
      </c>
      <c r="B134" s="5" t="s">
        <v>429</v>
      </c>
      <c r="C134" s="0" t="s">
        <v>86</v>
      </c>
      <c r="E134" s="7" t="n">
        <v>-34.027</v>
      </c>
      <c r="G134" s="8" t="s">
        <v>46</v>
      </c>
      <c r="H134" s="8" t="s">
        <v>416</v>
      </c>
      <c r="I134" s="8" t="s">
        <v>417</v>
      </c>
    </row>
    <row r="135" customFormat="false" ht="17.15" hidden="false" customHeight="false" outlineLevel="0" collapsed="false">
      <c r="A135" s="0" t="s">
        <v>430</v>
      </c>
      <c r="B135" s="5" t="s">
        <v>431</v>
      </c>
      <c r="C135" s="0" t="s">
        <v>86</v>
      </c>
      <c r="E135" s="7" t="n">
        <v>947.853</v>
      </c>
      <c r="G135" s="8" t="s">
        <v>46</v>
      </c>
      <c r="H135" s="8" t="s">
        <v>416</v>
      </c>
      <c r="I135" s="8" t="s">
        <v>417</v>
      </c>
    </row>
    <row r="136" customFormat="false" ht="17.15" hidden="false" customHeight="false" outlineLevel="0" collapsed="false">
      <c r="A136" s="0" t="s">
        <v>432</v>
      </c>
      <c r="B136" s="5" t="s">
        <v>433</v>
      </c>
      <c r="C136" s="0" t="s">
        <v>86</v>
      </c>
      <c r="E136" s="7" t="n">
        <v>273.452</v>
      </c>
      <c r="G136" s="8" t="s">
        <v>46</v>
      </c>
      <c r="H136" s="8" t="s">
        <v>416</v>
      </c>
      <c r="I136" s="8" t="s">
        <v>417</v>
      </c>
    </row>
    <row r="137" customFormat="false" ht="17.15" hidden="false" customHeight="false" outlineLevel="0" collapsed="false">
      <c r="A137" s="0" t="s">
        <v>434</v>
      </c>
      <c r="B137" s="5" t="s">
        <v>435</v>
      </c>
      <c r="C137" s="0" t="s">
        <v>86</v>
      </c>
      <c r="E137" s="7" t="n">
        <v>140.372</v>
      </c>
      <c r="G137" s="8" t="s">
        <v>46</v>
      </c>
      <c r="H137" s="8" t="s">
        <v>416</v>
      </c>
      <c r="I137" s="8" t="s">
        <v>417</v>
      </c>
    </row>
    <row r="138" customFormat="false" ht="17.15" hidden="false" customHeight="false" outlineLevel="0" collapsed="false">
      <c r="A138" s="0" t="s">
        <v>436</v>
      </c>
      <c r="B138" s="5" t="s">
        <v>437</v>
      </c>
      <c r="C138" s="0" t="s">
        <v>86</v>
      </c>
      <c r="E138" s="7" t="n">
        <v>115.541</v>
      </c>
      <c r="G138" s="8" t="s">
        <v>46</v>
      </c>
      <c r="H138" s="8" t="s">
        <v>416</v>
      </c>
      <c r="I138" s="8" t="s">
        <v>417</v>
      </c>
    </row>
    <row r="139" customFormat="false" ht="17.15" hidden="false" customHeight="false" outlineLevel="0" collapsed="false">
      <c r="A139" s="0" t="s">
        <v>438</v>
      </c>
      <c r="B139" s="5" t="s">
        <v>439</v>
      </c>
      <c r="C139" s="0" t="s">
        <v>27</v>
      </c>
      <c r="E139" s="7" t="n">
        <v>10.51</v>
      </c>
      <c r="G139" s="8" t="s">
        <v>46</v>
      </c>
      <c r="H139" s="8" t="s">
        <v>416</v>
      </c>
      <c r="I139" s="8" t="s">
        <v>417</v>
      </c>
    </row>
    <row r="140" customFormat="false" ht="17.15" hidden="false" customHeight="false" outlineLevel="0" collapsed="false">
      <c r="A140" s="0" t="s">
        <v>440</v>
      </c>
      <c r="B140" s="5" t="s">
        <v>441</v>
      </c>
      <c r="C140" s="0" t="s">
        <v>86</v>
      </c>
      <c r="E140" s="7" t="n">
        <v>275.063</v>
      </c>
      <c r="G140" s="8" t="s">
        <v>46</v>
      </c>
      <c r="H140" s="8" t="s">
        <v>416</v>
      </c>
      <c r="I140" s="8" t="s">
        <v>417</v>
      </c>
    </row>
    <row r="141" customFormat="false" ht="17.15" hidden="false" customHeight="false" outlineLevel="0" collapsed="false">
      <c r="A141" s="0" t="s">
        <v>442</v>
      </c>
      <c r="B141" s="5" t="s">
        <v>443</v>
      </c>
      <c r="C141" s="0" t="s">
        <v>86</v>
      </c>
      <c r="E141" s="7" t="n">
        <v>-5.631</v>
      </c>
      <c r="G141" s="8" t="s">
        <v>46</v>
      </c>
      <c r="H141" s="8" t="s">
        <v>416</v>
      </c>
      <c r="I141" s="8" t="s">
        <v>417</v>
      </c>
    </row>
    <row r="142" customFormat="false" ht="17.15" hidden="false" customHeight="false" outlineLevel="0" collapsed="false">
      <c r="A142" s="0" t="s">
        <v>444</v>
      </c>
      <c r="B142" s="5" t="s">
        <v>445</v>
      </c>
      <c r="C142" s="0" t="s">
        <v>86</v>
      </c>
      <c r="E142" s="7" t="n">
        <v>1097.389</v>
      </c>
      <c r="G142" s="8" t="s">
        <v>46</v>
      </c>
      <c r="H142" s="8" t="s">
        <v>416</v>
      </c>
      <c r="I142" s="8" t="s">
        <v>417</v>
      </c>
    </row>
    <row r="143" customFormat="false" ht="17.15" hidden="false" customHeight="false" outlineLevel="0" collapsed="false">
      <c r="A143" s="0" t="s">
        <v>446</v>
      </c>
      <c r="B143" s="5" t="s">
        <v>447</v>
      </c>
      <c r="C143" s="0" t="s">
        <v>86</v>
      </c>
      <c r="E143" s="7" t="n">
        <v>355.29</v>
      </c>
      <c r="G143" s="8" t="s">
        <v>46</v>
      </c>
      <c r="H143" s="8" t="s">
        <v>416</v>
      </c>
      <c r="I143" s="8" t="s">
        <v>417</v>
      </c>
    </row>
    <row r="144" customFormat="false" ht="17.15" hidden="false" customHeight="false" outlineLevel="0" collapsed="false">
      <c r="A144" s="0" t="s">
        <v>448</v>
      </c>
      <c r="B144" s="5" t="s">
        <v>449</v>
      </c>
      <c r="C144" s="0" t="s">
        <v>86</v>
      </c>
      <c r="E144" s="7" t="n">
        <v>182.749</v>
      </c>
      <c r="G144" s="8" t="s">
        <v>46</v>
      </c>
      <c r="H144" s="8" t="s">
        <v>416</v>
      </c>
      <c r="I144" s="8" t="s">
        <v>417</v>
      </c>
    </row>
    <row r="145" customFormat="false" ht="17.15" hidden="false" customHeight="false" outlineLevel="0" collapsed="false">
      <c r="A145" s="0" t="s">
        <v>450</v>
      </c>
      <c r="B145" s="5" t="s">
        <v>451</v>
      </c>
      <c r="C145" s="0" t="s">
        <v>86</v>
      </c>
      <c r="E145" s="7" t="n">
        <v>147.701</v>
      </c>
      <c r="G145" s="8" t="s">
        <v>46</v>
      </c>
      <c r="H145" s="8" t="s">
        <v>416</v>
      </c>
      <c r="I145" s="8" t="s">
        <v>417</v>
      </c>
    </row>
    <row r="146" customFormat="false" ht="17.15" hidden="false" customHeight="false" outlineLevel="0" collapsed="false">
      <c r="A146" s="0" t="s">
        <v>452</v>
      </c>
      <c r="B146" s="5" t="s">
        <v>453</v>
      </c>
      <c r="C146" s="0" t="s">
        <v>27</v>
      </c>
      <c r="E146" s="7" t="n">
        <v>13.81</v>
      </c>
      <c r="G146" s="8" t="s">
        <v>46</v>
      </c>
      <c r="H146" s="8" t="s">
        <v>416</v>
      </c>
      <c r="I146" s="8" t="s">
        <v>417</v>
      </c>
    </row>
    <row r="147" customFormat="false" ht="17.15" hidden="false" customHeight="false" outlineLevel="0" collapsed="false">
      <c r="A147" s="0" t="s">
        <v>454</v>
      </c>
      <c r="B147" s="5" t="s">
        <v>455</v>
      </c>
      <c r="C147" s="0" t="s">
        <v>86</v>
      </c>
      <c r="E147" s="7" t="n">
        <v>292.927</v>
      </c>
      <c r="G147" s="8" t="s">
        <v>46</v>
      </c>
      <c r="H147" s="8" t="s">
        <v>416</v>
      </c>
      <c r="I147" s="8" t="s">
        <v>417</v>
      </c>
    </row>
    <row r="148" customFormat="false" ht="17.15" hidden="false" customHeight="false" outlineLevel="0" collapsed="false">
      <c r="A148" s="0" t="s">
        <v>456</v>
      </c>
      <c r="B148" s="5" t="s">
        <v>457</v>
      </c>
      <c r="C148" s="0" t="s">
        <v>86</v>
      </c>
      <c r="E148" s="7" t="n">
        <v>41.402</v>
      </c>
      <c r="G148" s="8" t="s">
        <v>46</v>
      </c>
      <c r="H148" s="8" t="s">
        <v>416</v>
      </c>
      <c r="I148" s="8" t="s">
        <v>417</v>
      </c>
    </row>
    <row r="149" customFormat="false" ht="17.15" hidden="false" customHeight="false" outlineLevel="0" collapsed="false">
      <c r="A149" s="0" t="s">
        <v>458</v>
      </c>
      <c r="B149" s="5" t="s">
        <v>459</v>
      </c>
      <c r="C149" s="0" t="s">
        <v>86</v>
      </c>
      <c r="D149" s="7" t="n">
        <v>815.9</v>
      </c>
      <c r="E149" s="7" t="n">
        <v>828.74</v>
      </c>
      <c r="F149" s="7" t="n">
        <v>842</v>
      </c>
      <c r="G149" s="8" t="s">
        <v>46</v>
      </c>
      <c r="H149" s="8" t="s">
        <v>47</v>
      </c>
      <c r="I149" s="8" t="s">
        <v>460</v>
      </c>
    </row>
    <row r="150" customFormat="false" ht="17.15" hidden="false" customHeight="false" outlineLevel="0" collapsed="false">
      <c r="A150" s="0" t="s">
        <v>461</v>
      </c>
      <c r="B150" s="5" t="s">
        <v>462</v>
      </c>
      <c r="C150" s="0" t="s">
        <v>86</v>
      </c>
      <c r="E150" s="7" t="n">
        <v>949.92</v>
      </c>
      <c r="G150" s="8" t="s">
        <v>46</v>
      </c>
      <c r="H150" s="8" t="s">
        <v>47</v>
      </c>
    </row>
    <row r="151" customFormat="false" ht="17.15" hidden="false" customHeight="false" outlineLevel="0" collapsed="false">
      <c r="A151" s="0" t="s">
        <v>463</v>
      </c>
      <c r="B151" s="5" t="s">
        <v>464</v>
      </c>
      <c r="C151" s="0" t="s">
        <v>27</v>
      </c>
      <c r="D151" s="7" t="n">
        <v>7.65</v>
      </c>
      <c r="E151" s="7" t="n">
        <v>7.92</v>
      </c>
      <c r="F151" s="7" t="n">
        <v>8.3</v>
      </c>
      <c r="G151" s="8" t="s">
        <v>46</v>
      </c>
      <c r="H151" s="8" t="s">
        <v>47</v>
      </c>
      <c r="I151" s="8" t="s">
        <v>465</v>
      </c>
    </row>
    <row r="152" customFormat="false" ht="17.15" hidden="false" customHeight="false" outlineLevel="0" collapsed="false">
      <c r="A152" s="0" t="s">
        <v>466</v>
      </c>
      <c r="B152" s="5" t="s">
        <v>467</v>
      </c>
      <c r="C152" s="0" t="s">
        <v>27</v>
      </c>
      <c r="E152" s="7" t="n">
        <v>10.43</v>
      </c>
      <c r="G152" s="8" t="s">
        <v>46</v>
      </c>
      <c r="H152" s="8" t="s">
        <v>47</v>
      </c>
    </row>
    <row r="153" customFormat="false" ht="17.15" hidden="false" customHeight="false" outlineLevel="0" collapsed="false">
      <c r="A153" s="0" t="s">
        <v>468</v>
      </c>
      <c r="B153" s="5" t="s">
        <v>469</v>
      </c>
      <c r="C153" s="0" t="s">
        <v>86</v>
      </c>
      <c r="E153" s="7" t="n">
        <v>197</v>
      </c>
      <c r="G153" s="8" t="s">
        <v>46</v>
      </c>
      <c r="H153" s="8" t="s">
        <v>298</v>
      </c>
      <c r="I153" s="5" t="s">
        <v>470</v>
      </c>
    </row>
    <row r="154" customFormat="false" ht="17.15" hidden="false" customHeight="false" outlineLevel="0" collapsed="false">
      <c r="A154" s="0" t="s">
        <v>471</v>
      </c>
      <c r="B154" s="5" t="s">
        <v>472</v>
      </c>
      <c r="C154" s="0" t="s">
        <v>86</v>
      </c>
      <c r="E154" s="7" t="n">
        <v>202</v>
      </c>
      <c r="G154" s="8" t="s">
        <v>46</v>
      </c>
      <c r="H154" s="8" t="s">
        <v>298</v>
      </c>
    </row>
    <row r="155" customFormat="false" ht="17.15" hidden="false" customHeight="false" outlineLevel="0" collapsed="false">
      <c r="A155" s="0" t="s">
        <v>473</v>
      </c>
      <c r="B155" s="5" t="s">
        <v>474</v>
      </c>
      <c r="C155" s="0" t="s">
        <v>86</v>
      </c>
      <c r="E155" s="7" t="n">
        <v>22.5</v>
      </c>
      <c r="G155" s="8" t="s">
        <v>46</v>
      </c>
      <c r="H155" s="8" t="s">
        <v>298</v>
      </c>
    </row>
    <row r="156" customFormat="false" ht="17.15" hidden="false" customHeight="false" outlineLevel="0" collapsed="false">
      <c r="A156" s="0" t="s">
        <v>475</v>
      </c>
      <c r="B156" s="5" t="s">
        <v>476</v>
      </c>
      <c r="C156" s="0" t="s">
        <v>86</v>
      </c>
      <c r="E156" s="7" t="n">
        <v>26.5</v>
      </c>
      <c r="G156" s="8" t="s">
        <v>46</v>
      </c>
      <c r="H156" s="8" t="s">
        <v>298</v>
      </c>
    </row>
    <row r="157" customFormat="false" ht="17.15" hidden="false" customHeight="false" outlineLevel="0" collapsed="false">
      <c r="A157" s="0" t="s">
        <v>477</v>
      </c>
      <c r="B157" s="5" t="s">
        <v>478</v>
      </c>
      <c r="C157" s="0" t="s">
        <v>86</v>
      </c>
      <c r="E157" s="9" t="n">
        <f aca="false">(g26q3_lo+g26q3_hi)/2</f>
        <v>199.5</v>
      </c>
      <c r="G157" s="8" t="s">
        <v>41</v>
      </c>
      <c r="H157" s="8" t="s">
        <v>298</v>
      </c>
      <c r="I157" s="5" t="s">
        <v>479</v>
      </c>
    </row>
    <row r="158" customFormat="false" ht="17.15" hidden="false" customHeight="false" outlineLevel="0" collapsed="false">
      <c r="A158" s="1" t="s">
        <v>480</v>
      </c>
    </row>
    <row r="159" customFormat="false" ht="17.15" hidden="false" customHeight="false" outlineLevel="0" collapsed="false">
      <c r="A159" s="0" t="s">
        <v>481</v>
      </c>
      <c r="B159" s="0" t="s">
        <v>482</v>
      </c>
      <c r="C159" s="0" t="s">
        <v>27</v>
      </c>
      <c r="E159" s="7" t="n">
        <v>201.71</v>
      </c>
      <c r="G159" s="8" t="s">
        <v>41</v>
      </c>
      <c r="H159" s="8" t="s">
        <v>483</v>
      </c>
      <c r="I159" s="5" t="s">
        <v>484</v>
      </c>
    </row>
    <row r="160" customFormat="false" ht="17.15" hidden="false" customHeight="false" outlineLevel="0" collapsed="false">
      <c r="A160" s="0" t="s">
        <v>485</v>
      </c>
      <c r="B160" s="0" t="s">
        <v>486</v>
      </c>
      <c r="C160" s="0" t="s">
        <v>27</v>
      </c>
      <c r="E160" s="7" t="n">
        <v>259.92</v>
      </c>
      <c r="G160" s="8" t="s">
        <v>28</v>
      </c>
      <c r="H160" s="8" t="s">
        <v>487</v>
      </c>
    </row>
    <row r="161" customFormat="false" ht="17.15" hidden="false" customHeight="false" outlineLevel="0" collapsed="false">
      <c r="A161" s="0" t="s">
        <v>488</v>
      </c>
      <c r="B161" s="0" t="s">
        <v>489</v>
      </c>
      <c r="C161" s="0" t="s">
        <v>52</v>
      </c>
      <c r="E161" s="10" t="n">
        <v>0.45</v>
      </c>
      <c r="G161" s="8" t="s">
        <v>41</v>
      </c>
      <c r="H161" s="8" t="s">
        <v>487</v>
      </c>
      <c r="I161" s="5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7" min="3" style="0" width="11"/>
    <col collapsed="false" customWidth="true" hidden="false" outlineLevel="0" max="18" min="18" style="0" width="22"/>
    <col collapsed="false" customWidth="true" hidden="false" outlineLevel="0" max="19" min="19" style="0" width="60"/>
  </cols>
  <sheetData>
    <row r="1" customFormat="false" ht="17.15" hidden="false" customHeight="false" outlineLevel="0" collapsed="false">
      <c r="A1" s="0" t="s">
        <v>491</v>
      </c>
    </row>
    <row r="2" customFormat="false" ht="17.15" hidden="false" customHeight="false" outlineLevel="0" collapsed="false">
      <c r="A2" s="5" t="s">
        <v>492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20" t="s">
        <v>493</v>
      </c>
      <c r="D3" s="20" t="s">
        <v>494</v>
      </c>
      <c r="E3" s="20" t="s">
        <v>495</v>
      </c>
      <c r="F3" s="20" t="s">
        <v>496</v>
      </c>
      <c r="G3" s="20" t="s">
        <v>497</v>
      </c>
      <c r="H3" s="20" t="s">
        <v>498</v>
      </c>
      <c r="I3" s="20" t="s">
        <v>499</v>
      </c>
      <c r="J3" s="20" t="s">
        <v>500</v>
      </c>
      <c r="K3" s="20" t="s">
        <v>501</v>
      </c>
      <c r="L3" s="20" t="s">
        <v>502</v>
      </c>
      <c r="M3" s="20" t="s">
        <v>503</v>
      </c>
      <c r="N3" s="20" t="s">
        <v>504</v>
      </c>
      <c r="O3" s="20" t="s">
        <v>505</v>
      </c>
      <c r="P3" s="20" t="s">
        <v>506</v>
      </c>
      <c r="Q3" s="6" t="s">
        <v>507</v>
      </c>
      <c r="R3" s="6" t="s">
        <v>21</v>
      </c>
      <c r="S3" s="6" t="s">
        <v>22</v>
      </c>
    </row>
    <row r="4" customFormat="false" ht="17.15" hidden="false" customHeight="false" outlineLevel="0" collapsed="false">
      <c r="A4" s="1" t="s">
        <v>508</v>
      </c>
    </row>
    <row r="5" customFormat="false" ht="17.15" hidden="false" customHeight="false" outlineLevel="0" collapsed="false">
      <c r="A5" s="0" t="s">
        <v>509</v>
      </c>
      <c r="B5" s="0" t="s">
        <v>86</v>
      </c>
      <c r="C5" s="21" t="n">
        <v>352.828</v>
      </c>
      <c r="D5" s="21" t="n">
        <v>387.497</v>
      </c>
      <c r="E5" s="21" t="n">
        <v>426.305</v>
      </c>
      <c r="F5" s="21" t="n">
        <v>95.537</v>
      </c>
      <c r="G5" s="21" t="n">
        <v>115.586</v>
      </c>
      <c r="H5" s="21" t="n">
        <v>92.887</v>
      </c>
      <c r="I5" s="21" t="n">
        <v>100.068</v>
      </c>
      <c r="J5" s="21" t="n">
        <v>106.267</v>
      </c>
      <c r="K5" s="21" t="n">
        <v>127.083</v>
      </c>
      <c r="L5" s="21" t="n">
        <v>104.143</v>
      </c>
      <c r="M5" s="21" t="n">
        <v>116.177</v>
      </c>
      <c r="N5" s="22" t="n">
        <f aca="false">H5+I5</f>
        <v>192.955</v>
      </c>
      <c r="O5" s="22" t="n">
        <f aca="false">J5+K5</f>
        <v>233.35</v>
      </c>
      <c r="P5" s="22" t="n">
        <f aca="false">L5+M5</f>
        <v>220.32</v>
      </c>
      <c r="Q5" s="22" t="n">
        <f aca="false">J5+K5+L5+M5</f>
        <v>453.67</v>
      </c>
      <c r="R5" s="8" t="s">
        <v>510</v>
      </c>
      <c r="S5" s="8" t="s">
        <v>511</v>
      </c>
    </row>
    <row r="6" customFormat="false" ht="17.15" hidden="false" customHeight="false" outlineLevel="0" collapsed="false">
      <c r="A6" s="0" t="s">
        <v>512</v>
      </c>
      <c r="B6" s="0" t="s">
        <v>86</v>
      </c>
      <c r="C6" s="21" t="n">
        <v>131.2</v>
      </c>
      <c r="D6" s="21" t="n">
        <v>142.906</v>
      </c>
      <c r="E6" s="21" t="n">
        <v>161.894</v>
      </c>
      <c r="F6" s="21" t="n">
        <v>35.888</v>
      </c>
      <c r="G6" s="21" t="n">
        <v>43.42</v>
      </c>
      <c r="H6" s="21" t="n">
        <v>33.513</v>
      </c>
      <c r="I6" s="21" t="n">
        <v>36.761</v>
      </c>
      <c r="J6" s="21" t="n">
        <v>40.896</v>
      </c>
      <c r="K6" s="21" t="n">
        <v>50.724</v>
      </c>
      <c r="L6" s="21" t="n">
        <v>39.789</v>
      </c>
      <c r="M6" s="21" t="n">
        <v>42.197</v>
      </c>
      <c r="N6" s="22" t="n">
        <f aca="false">H6+I6</f>
        <v>70.274</v>
      </c>
      <c r="O6" s="22" t="n">
        <f aca="false">J6+K6</f>
        <v>91.62</v>
      </c>
      <c r="P6" s="22" t="n">
        <f aca="false">L6+M6</f>
        <v>81.986</v>
      </c>
      <c r="Q6" s="22" t="n">
        <f aca="false">J6+K6+L6+M6</f>
        <v>173.606</v>
      </c>
      <c r="R6" s="8" t="s">
        <v>510</v>
      </c>
      <c r="S6" s="8" t="s">
        <v>511</v>
      </c>
    </row>
    <row r="7" customFormat="false" ht="17.15" hidden="false" customHeight="false" outlineLevel="0" collapsed="false">
      <c r="A7" s="0" t="s">
        <v>513</v>
      </c>
      <c r="B7" s="0" t="s">
        <v>86</v>
      </c>
      <c r="C7" s="21" t="n">
        <v>90.757</v>
      </c>
      <c r="D7" s="21" t="n">
        <v>107.556</v>
      </c>
      <c r="E7" s="21" t="n">
        <v>128.725</v>
      </c>
      <c r="F7" s="21" t="n">
        <v>27.452</v>
      </c>
      <c r="G7" s="21" t="n">
        <v>28.786</v>
      </c>
      <c r="H7" s="21" t="n">
        <v>29.267</v>
      </c>
      <c r="I7" s="21" t="n">
        <v>30.873</v>
      </c>
      <c r="J7" s="21" t="n">
        <v>33.006</v>
      </c>
      <c r="K7" s="21" t="n">
        <v>35.579</v>
      </c>
      <c r="L7" s="21" t="n">
        <v>37.587</v>
      </c>
      <c r="M7" s="21" t="n">
        <v>42.232</v>
      </c>
      <c r="N7" s="22" t="n">
        <f aca="false">H7+I7</f>
        <v>60.14</v>
      </c>
      <c r="O7" s="22" t="n">
        <f aca="false">J7+K7</f>
        <v>68.585</v>
      </c>
      <c r="P7" s="22" t="n">
        <f aca="false">L7+M7</f>
        <v>79.819</v>
      </c>
      <c r="Q7" s="22" t="n">
        <f aca="false">J7+K7+L7+M7</f>
        <v>148.404</v>
      </c>
      <c r="R7" s="8" t="s">
        <v>510</v>
      </c>
      <c r="S7" s="8" t="s">
        <v>511</v>
      </c>
    </row>
    <row r="8" customFormat="false" ht="17.15" hidden="false" customHeight="false" outlineLevel="0" collapsed="false">
      <c r="A8" s="5" t="s">
        <v>514</v>
      </c>
      <c r="B8" s="0" t="s">
        <v>86</v>
      </c>
      <c r="C8" s="21" t="n">
        <v>574.785</v>
      </c>
      <c r="D8" s="21" t="n">
        <v>637.959</v>
      </c>
      <c r="E8" s="21" t="n">
        <v>716.924</v>
      </c>
      <c r="F8" s="21" t="n">
        <v>158.877</v>
      </c>
      <c r="G8" s="21" t="n">
        <v>187.792</v>
      </c>
      <c r="H8" s="21" t="n">
        <v>155.667</v>
      </c>
      <c r="I8" s="21" t="n">
        <v>167.702</v>
      </c>
      <c r="J8" s="21" t="n">
        <v>180.169</v>
      </c>
      <c r="K8" s="21" t="n">
        <v>213.386</v>
      </c>
      <c r="L8" s="21" t="n">
        <v>181.519</v>
      </c>
      <c r="M8" s="21" t="n">
        <v>200.606</v>
      </c>
      <c r="N8" s="22" t="n">
        <f aca="false">H8+I8</f>
        <v>323.369</v>
      </c>
      <c r="O8" s="22" t="n">
        <f aca="false">J8+K8</f>
        <v>393.555</v>
      </c>
      <c r="P8" s="22" t="n">
        <f aca="false">L8+M8</f>
        <v>382.125</v>
      </c>
      <c r="Q8" s="22" t="n">
        <f aca="false">J8+K8+L8+M8</f>
        <v>775.68</v>
      </c>
      <c r="R8" s="8" t="s">
        <v>510</v>
      </c>
      <c r="S8" s="8" t="s">
        <v>511</v>
      </c>
    </row>
    <row r="9" customFormat="false" ht="17.15" hidden="false" customHeight="false" outlineLevel="0" collapsed="false">
      <c r="A9" s="1" t="s">
        <v>515</v>
      </c>
    </row>
    <row r="10" customFormat="false" ht="17.15" hidden="false" customHeight="false" outlineLevel="0" collapsed="false">
      <c r="A10" s="0" t="s">
        <v>516</v>
      </c>
      <c r="B10" s="0" t="s">
        <v>86</v>
      </c>
      <c r="C10" s="21" t="n">
        <v>231.872</v>
      </c>
      <c r="D10" s="21" t="n">
        <v>247.029</v>
      </c>
      <c r="E10" s="21" t="n">
        <v>269.287</v>
      </c>
      <c r="F10" s="21" t="n">
        <v>61.411</v>
      </c>
      <c r="G10" s="21" t="n">
        <v>75.556</v>
      </c>
      <c r="H10" s="21" t="n">
        <v>57.407</v>
      </c>
      <c r="I10" s="21" t="n">
        <v>61.485</v>
      </c>
      <c r="J10" s="21" t="n">
        <v>67.407</v>
      </c>
      <c r="K10" s="21" t="n">
        <v>82.988</v>
      </c>
      <c r="L10" s="21" t="n">
        <v>64.254</v>
      </c>
      <c r="M10" s="21" t="n">
        <v>70.432</v>
      </c>
      <c r="N10" s="22" t="n">
        <f aca="false">H10+I10</f>
        <v>118.892</v>
      </c>
      <c r="O10" s="22" t="n">
        <f aca="false">J10+K10</f>
        <v>150.395</v>
      </c>
      <c r="P10" s="22" t="n">
        <f aca="false">L10+M10</f>
        <v>134.686</v>
      </c>
      <c r="Q10" s="22" t="n">
        <f aca="false">J10+K10+L10+M10</f>
        <v>285.081</v>
      </c>
      <c r="R10" s="8" t="s">
        <v>510</v>
      </c>
      <c r="S10" s="8" t="s">
        <v>511</v>
      </c>
    </row>
    <row r="11" customFormat="false" ht="17.15" hidden="false" customHeight="false" outlineLevel="0" collapsed="false">
      <c r="A11" s="0" t="s">
        <v>517</v>
      </c>
      <c r="B11" s="0" t="s">
        <v>86</v>
      </c>
      <c r="C11" s="21" t="n">
        <v>20.03</v>
      </c>
      <c r="D11" s="21" t="n">
        <v>21.215</v>
      </c>
      <c r="E11" s="21" t="n">
        <v>22.561</v>
      </c>
      <c r="F11" s="21" t="n">
        <v>5.228</v>
      </c>
      <c r="G11" s="21" t="n">
        <v>5.579</v>
      </c>
      <c r="H11" s="21" t="n">
        <v>5.533</v>
      </c>
      <c r="I11" s="21" t="n">
        <v>5.595</v>
      </c>
      <c r="J11" s="21" t="n">
        <v>5.578</v>
      </c>
      <c r="K11" s="21" t="n">
        <v>5.855</v>
      </c>
      <c r="L11" s="21" t="n">
        <v>5.785</v>
      </c>
      <c r="M11" s="21" t="n">
        <v>5.794</v>
      </c>
      <c r="N11" s="22" t="n">
        <f aca="false">H11+I11</f>
        <v>11.128</v>
      </c>
      <c r="O11" s="22" t="n">
        <f aca="false">J11+K11</f>
        <v>11.433</v>
      </c>
      <c r="P11" s="22" t="n">
        <f aca="false">L11+M11</f>
        <v>11.579</v>
      </c>
      <c r="Q11" s="22" t="n">
        <f aca="false">J11+K11+L11+M11</f>
        <v>23.012</v>
      </c>
      <c r="R11" s="8" t="s">
        <v>510</v>
      </c>
      <c r="S11" s="8" t="s">
        <v>511</v>
      </c>
    </row>
    <row r="12" customFormat="false" ht="17.15" hidden="false" customHeight="false" outlineLevel="0" collapsed="false">
      <c r="A12" s="0" t="s">
        <v>518</v>
      </c>
      <c r="B12" s="0" t="s">
        <v>86</v>
      </c>
      <c r="C12" s="21" t="n">
        <v>140.053</v>
      </c>
      <c r="D12" s="21" t="n">
        <v>156.146</v>
      </c>
      <c r="E12" s="21" t="n">
        <v>172.162</v>
      </c>
      <c r="F12" s="21" t="n">
        <v>37.864</v>
      </c>
      <c r="G12" s="21" t="n">
        <v>47.485</v>
      </c>
      <c r="H12" s="21" t="n">
        <v>36.512</v>
      </c>
      <c r="I12" s="21" t="n">
        <v>40.348</v>
      </c>
      <c r="J12" s="21" t="n">
        <v>42.486</v>
      </c>
      <c r="K12" s="21" t="n">
        <v>52.816</v>
      </c>
      <c r="L12" s="21" t="n">
        <v>41.578</v>
      </c>
      <c r="M12" s="21" t="n">
        <v>46.78</v>
      </c>
      <c r="N12" s="22" t="n">
        <f aca="false">H12+I12</f>
        <v>76.86</v>
      </c>
      <c r="O12" s="22" t="n">
        <f aca="false">J12+K12</f>
        <v>95.302</v>
      </c>
      <c r="P12" s="22" t="n">
        <f aca="false">L12+M12</f>
        <v>88.358</v>
      </c>
      <c r="Q12" s="22" t="n">
        <f aca="false">J12+K12+L12+M12</f>
        <v>183.66</v>
      </c>
      <c r="R12" s="8" t="s">
        <v>510</v>
      </c>
      <c r="S12" s="8" t="s">
        <v>511</v>
      </c>
    </row>
    <row r="13" customFormat="false" ht="17.15" hidden="false" customHeight="false" outlineLevel="0" collapsed="false">
      <c r="A13" s="0" t="s">
        <v>519</v>
      </c>
      <c r="B13" s="0" t="s">
        <v>86</v>
      </c>
      <c r="C13" s="21" t="n">
        <v>46.906</v>
      </c>
      <c r="D13" s="21" t="n">
        <v>56.214</v>
      </c>
      <c r="E13" s="21" t="n">
        <v>68.635</v>
      </c>
      <c r="F13" s="21" t="n">
        <v>14.331</v>
      </c>
      <c r="G13" s="21" t="n">
        <v>17.288</v>
      </c>
      <c r="H13" s="21" t="n">
        <v>13.921</v>
      </c>
      <c r="I13" s="21" t="n">
        <v>15.694</v>
      </c>
      <c r="J13" s="21" t="n">
        <v>17.703</v>
      </c>
      <c r="K13" s="21" t="n">
        <v>21.317</v>
      </c>
      <c r="L13" s="21" t="n">
        <v>17.243</v>
      </c>
      <c r="M13" s="21" t="n">
        <v>19.809</v>
      </c>
      <c r="N13" s="22" t="n">
        <f aca="false">H13+I13</f>
        <v>29.615</v>
      </c>
      <c r="O13" s="22" t="n">
        <f aca="false">J13+K13</f>
        <v>39.02</v>
      </c>
      <c r="P13" s="22" t="n">
        <f aca="false">L13+M13</f>
        <v>37.052</v>
      </c>
      <c r="Q13" s="22" t="n">
        <f aca="false">J13+K13+L13+M13</f>
        <v>76.072</v>
      </c>
      <c r="R13" s="8" t="s">
        <v>510</v>
      </c>
      <c r="S13" s="8" t="s">
        <v>511</v>
      </c>
    </row>
    <row r="14" customFormat="false" ht="17.15" hidden="false" customHeight="false" outlineLevel="0" collapsed="false">
      <c r="A14" s="0" t="s">
        <v>520</v>
      </c>
      <c r="B14" s="0" t="s">
        <v>86</v>
      </c>
      <c r="C14" s="21" t="n">
        <v>40.209</v>
      </c>
      <c r="D14" s="21" t="n">
        <v>44.374</v>
      </c>
      <c r="E14" s="21" t="n">
        <v>49.619</v>
      </c>
      <c r="F14" s="21" t="n">
        <v>11.278</v>
      </c>
      <c r="G14" s="21" t="n">
        <v>11.508</v>
      </c>
      <c r="H14" s="21" t="n">
        <v>11.715</v>
      </c>
      <c r="I14" s="21" t="n">
        <v>12.208</v>
      </c>
      <c r="J14" s="21" t="n">
        <v>12.574</v>
      </c>
      <c r="K14" s="21" t="n">
        <v>13.122</v>
      </c>
      <c r="L14" s="21" t="n">
        <v>13.427</v>
      </c>
      <c r="M14" s="21" t="n">
        <v>13.73</v>
      </c>
      <c r="N14" s="22" t="n">
        <f aca="false">H14+I14</f>
        <v>23.923</v>
      </c>
      <c r="O14" s="22" t="n">
        <f aca="false">J14+K14</f>
        <v>25.696</v>
      </c>
      <c r="P14" s="22" t="n">
        <f aca="false">L14+M14</f>
        <v>27.157</v>
      </c>
      <c r="Q14" s="22" t="n">
        <f aca="false">J14+K14+L14+M14</f>
        <v>52.853</v>
      </c>
      <c r="R14" s="8" t="s">
        <v>510</v>
      </c>
      <c r="S14" s="8" t="s">
        <v>511</v>
      </c>
    </row>
    <row r="15" customFormat="false" ht="17.15" hidden="false" customHeight="false" outlineLevel="0" collapsed="false">
      <c r="A15" s="0" t="s">
        <v>521</v>
      </c>
      <c r="B15" s="0" t="s">
        <v>86</v>
      </c>
      <c r="C15" s="21" t="n">
        <v>4.958</v>
      </c>
      <c r="D15" s="21" t="n">
        <v>5.425</v>
      </c>
      <c r="E15" s="21" t="n">
        <v>5.935</v>
      </c>
      <c r="F15" s="21" t="n">
        <v>1.313</v>
      </c>
      <c r="G15" s="21" t="n">
        <v>1.59</v>
      </c>
      <c r="H15" s="21" t="n">
        <v>1.312</v>
      </c>
      <c r="I15" s="21" t="n">
        <v>1.499</v>
      </c>
      <c r="J15" s="21" t="n">
        <v>1.415</v>
      </c>
      <c r="K15" s="21" t="n">
        <v>1.709</v>
      </c>
      <c r="L15" s="21" t="n">
        <v>1.645</v>
      </c>
      <c r="M15" s="21" t="n">
        <v>1.829</v>
      </c>
      <c r="N15" s="22" t="n">
        <f aca="false">H15+I15</f>
        <v>2.811</v>
      </c>
      <c r="O15" s="22" t="n">
        <f aca="false">J15+K15</f>
        <v>3.124</v>
      </c>
      <c r="P15" s="22" t="n">
        <f aca="false">L15+M15</f>
        <v>3.474</v>
      </c>
      <c r="Q15" s="22" t="n">
        <f aca="false">J15+K15+L15+M15</f>
        <v>6.598</v>
      </c>
      <c r="R15" s="8" t="s">
        <v>510</v>
      </c>
      <c r="S15" s="8" t="s">
        <v>511</v>
      </c>
    </row>
    <row r="16" customFormat="false" ht="17.15" hidden="false" customHeight="false" outlineLevel="0" collapsed="false">
      <c r="A16" s="5" t="s">
        <v>522</v>
      </c>
      <c r="B16" s="0" t="s">
        <v>86</v>
      </c>
      <c r="C16" s="23" t="n">
        <f aca="false">C10+C11+C12+C13+C14+C15</f>
        <v>484.028</v>
      </c>
      <c r="D16" s="23" t="n">
        <f aca="false">D10+D11+D12+D13+D14+D15</f>
        <v>530.403</v>
      </c>
      <c r="E16" s="23" t="n">
        <f aca="false">E10+E11+E12+E13+E14+E15</f>
        <v>588.199</v>
      </c>
      <c r="F16" s="23" t="n">
        <f aca="false">F10+F11+F12+F13+F14+F15</f>
        <v>131.425</v>
      </c>
      <c r="G16" s="23" t="n">
        <f aca="false">G10+G11+G12+G13+G14+G15</f>
        <v>159.006</v>
      </c>
      <c r="H16" s="23" t="n">
        <f aca="false">H10+H11+H12+H13+H14+H15</f>
        <v>126.4</v>
      </c>
      <c r="I16" s="23" t="n">
        <f aca="false">I10+I11+I12+I13+I14+I15</f>
        <v>136.829</v>
      </c>
      <c r="J16" s="23" t="n">
        <f aca="false">J10+J11+J12+J13+J14+J15</f>
        <v>147.163</v>
      </c>
      <c r="K16" s="23" t="n">
        <f aca="false">K10+K11+K12+K13+K14+K15</f>
        <v>177.807</v>
      </c>
      <c r="L16" s="23" t="n">
        <f aca="false">L10+L11+L12+L13+L14+L15</f>
        <v>143.932</v>
      </c>
      <c r="M16" s="23" t="n">
        <f aca="false">M10+M11+M12+M13+M14+M15</f>
        <v>158.374</v>
      </c>
      <c r="N16" s="23" t="n">
        <f aca="false">N10+N11+N12+N13+N14+N15</f>
        <v>263.229</v>
      </c>
      <c r="O16" s="23" t="n">
        <f aca="false">O10+O11+O12+O13+O14+O15</f>
        <v>324.97</v>
      </c>
      <c r="P16" s="23" t="n">
        <f aca="false">P10+P11+P12+P13+P14+P15</f>
        <v>302.306</v>
      </c>
      <c r="Q16" s="23" t="n">
        <f aca="false">Q10+Q11+Q12+Q13+Q14+Q15</f>
        <v>627.276</v>
      </c>
      <c r="R16" s="8" t="s">
        <v>41</v>
      </c>
    </row>
    <row r="17" customFormat="false" ht="17.15" hidden="false" customHeight="false" outlineLevel="0" collapsed="false">
      <c r="A17" s="0" t="s">
        <v>523</v>
      </c>
      <c r="B17" s="0" t="s">
        <v>86</v>
      </c>
      <c r="C17" s="23" t="n">
        <f aca="false">C7</f>
        <v>90.757</v>
      </c>
      <c r="D17" s="23" t="n">
        <f aca="false">D7</f>
        <v>107.556</v>
      </c>
      <c r="E17" s="23" t="n">
        <f aca="false">E7</f>
        <v>128.725</v>
      </c>
      <c r="F17" s="23" t="n">
        <f aca="false">F7</f>
        <v>27.452</v>
      </c>
      <c r="G17" s="23" t="n">
        <f aca="false">G7</f>
        <v>28.786</v>
      </c>
      <c r="H17" s="23" t="n">
        <f aca="false">H7</f>
        <v>29.267</v>
      </c>
      <c r="I17" s="23" t="n">
        <f aca="false">I7</f>
        <v>30.873</v>
      </c>
      <c r="J17" s="23" t="n">
        <f aca="false">J7</f>
        <v>33.006</v>
      </c>
      <c r="K17" s="23" t="n">
        <f aca="false">K7</f>
        <v>35.579</v>
      </c>
      <c r="L17" s="23" t="n">
        <f aca="false">L7</f>
        <v>37.587</v>
      </c>
      <c r="M17" s="23" t="n">
        <f aca="false">M7</f>
        <v>42.232</v>
      </c>
      <c r="N17" s="23" t="n">
        <f aca="false">N7</f>
        <v>60.14</v>
      </c>
      <c r="O17" s="23" t="n">
        <f aca="false">O7</f>
        <v>68.585</v>
      </c>
      <c r="P17" s="23" t="n">
        <f aca="false">P7</f>
        <v>79.819</v>
      </c>
      <c r="Q17" s="23" t="n">
        <f aca="false">Q7</f>
        <v>148.404</v>
      </c>
      <c r="R17" s="8" t="s">
        <v>41</v>
      </c>
    </row>
    <row r="18" customFormat="false" ht="17.15" hidden="false" customHeight="false" outlineLevel="0" collapsed="false">
      <c r="A18" s="24" t="s">
        <v>524</v>
      </c>
      <c r="B18" s="25" t="s">
        <v>86</v>
      </c>
      <c r="C18" s="26" t="n">
        <f aca="false">C16-(C5+C6)</f>
        <v>0</v>
      </c>
      <c r="D18" s="26" t="n">
        <f aca="false">D16-(D5+D6)</f>
        <v>0</v>
      </c>
      <c r="E18" s="26" t="n">
        <f aca="false">E16-(E5+E6)</f>
        <v>0</v>
      </c>
      <c r="F18" s="26" t="n">
        <f aca="false">F16-(F5+F6)</f>
        <v>0</v>
      </c>
      <c r="G18" s="26" t="n">
        <f aca="false">G16-(G5+G6)</f>
        <v>0</v>
      </c>
      <c r="H18" s="26" t="n">
        <f aca="false">H16-(H5+H6)</f>
        <v>0</v>
      </c>
      <c r="I18" s="26" t="n">
        <f aca="false">I16-(I5+I6)</f>
        <v>0</v>
      </c>
      <c r="J18" s="26" t="n">
        <f aca="false">J16-(J5+J6)</f>
        <v>0</v>
      </c>
      <c r="K18" s="26" t="n">
        <f aca="false">K16-(K5+K6)</f>
        <v>0</v>
      </c>
      <c r="L18" s="26" t="n">
        <f aca="false">L16-(L5+L6)</f>
        <v>0</v>
      </c>
      <c r="M18" s="26" t="n">
        <f aca="false">M16-(M5+M6)</f>
        <v>0</v>
      </c>
      <c r="N18" s="26" t="n">
        <f aca="false">N16-(N5+N6)</f>
        <v>0</v>
      </c>
      <c r="O18" s="26" t="n">
        <f aca="false">O16-(O5+O6)</f>
        <v>0</v>
      </c>
      <c r="P18" s="26" t="n">
        <f aca="false">P16-(P5+P6)</f>
        <v>0</v>
      </c>
      <c r="Q18" s="26" t="n">
        <f aca="false">Q16-(Q5+Q6)</f>
        <v>0</v>
      </c>
      <c r="R18" s="8" t="s">
        <v>41</v>
      </c>
    </row>
    <row r="19" customFormat="false" ht="17.15" hidden="false" customHeight="false" outlineLevel="0" collapsed="false">
      <c r="A19" s="24" t="s">
        <v>525</v>
      </c>
      <c r="B19" s="25" t="s">
        <v>86</v>
      </c>
      <c r="C19" s="26" t="n">
        <f aca="false">C16+C17-C8</f>
        <v>0</v>
      </c>
      <c r="D19" s="26" t="n">
        <f aca="false">D16+D17-D8</f>
        <v>0</v>
      </c>
      <c r="E19" s="26" t="n">
        <f aca="false">E16+E17-E8</f>
        <v>0</v>
      </c>
      <c r="F19" s="26" t="n">
        <f aca="false">F16+F17-F8</f>
        <v>0</v>
      </c>
      <c r="G19" s="26" t="n">
        <f aca="false">G16+G17-G8</f>
        <v>0</v>
      </c>
      <c r="H19" s="26" t="n">
        <f aca="false">H16+H17-H8</f>
        <v>0</v>
      </c>
      <c r="I19" s="26" t="n">
        <f aca="false">I16+I17-I8</f>
        <v>0</v>
      </c>
      <c r="J19" s="26" t="n">
        <f aca="false">J16+J17-J8</f>
        <v>0</v>
      </c>
      <c r="K19" s="26" t="n">
        <f aca="false">K16+K17-K8</f>
        <v>0</v>
      </c>
      <c r="L19" s="26" t="n">
        <f aca="false">L16+L17-L8</f>
        <v>0</v>
      </c>
      <c r="M19" s="26" t="n">
        <f aca="false">M16+M17-M8</f>
        <v>0</v>
      </c>
      <c r="N19" s="26" t="n">
        <f aca="false">N16+N17-N8</f>
        <v>0</v>
      </c>
      <c r="O19" s="26" t="n">
        <f aca="false">O16+O17-O8</f>
        <v>0</v>
      </c>
      <c r="P19" s="26" t="n">
        <f aca="false">P16+P17-P8</f>
        <v>0</v>
      </c>
      <c r="Q19" s="26" t="n">
        <f aca="false">Q16+Q17-Q8</f>
        <v>0</v>
      </c>
      <c r="R19" s="8" t="s">
        <v>41</v>
      </c>
    </row>
    <row r="20" customFormat="false" ht="15" hidden="false" customHeight="false" outlineLevel="0" collapsed="false">
      <c r="A20" s="24" t="s">
        <v>526</v>
      </c>
      <c r="B20" s="25" t="s">
        <v>86</v>
      </c>
      <c r="C20" s="26" t="n">
        <f aca="false">C5+C6+C7-C8</f>
        <v>0</v>
      </c>
      <c r="D20" s="26" t="n">
        <f aca="false">D5+D6+D7-D8</f>
        <v>0</v>
      </c>
      <c r="E20" s="26" t="n">
        <f aca="false">E5+E6+E7-E8</f>
        <v>0</v>
      </c>
      <c r="F20" s="26" t="n">
        <f aca="false">F5+F6+F7-F8</f>
        <v>0</v>
      </c>
      <c r="G20" s="26" t="n">
        <f aca="false">G5+G6+G7-G8</f>
        <v>0</v>
      </c>
      <c r="H20" s="26" t="n">
        <f aca="false">H5+H6+H7-H8</f>
        <v>0</v>
      </c>
      <c r="I20" s="26" t="n">
        <f aca="false">I5+I6+I7-I8</f>
        <v>0</v>
      </c>
      <c r="J20" s="26" t="n">
        <f aca="false">J5+J6+J7-J8</f>
        <v>0</v>
      </c>
      <c r="K20" s="26" t="n">
        <f aca="false">K5+K6+K7-K8</f>
        <v>0</v>
      </c>
      <c r="L20" s="26" t="n">
        <f aca="false">L5+L6+L7-L8</f>
        <v>0</v>
      </c>
      <c r="M20" s="26" t="n">
        <f aca="false">M5+M6+M7-M8</f>
        <v>0</v>
      </c>
      <c r="N20" s="26" t="n">
        <f aca="false">N5+N6+N7-N8</f>
        <v>0</v>
      </c>
      <c r="O20" s="26" t="n">
        <f aca="false">O5+O6+O7-O8</f>
        <v>0</v>
      </c>
      <c r="P20" s="26" t="n">
        <f aca="false">P5+P6+P7-P8</f>
        <v>0</v>
      </c>
      <c r="Q20" s="26" t="n">
        <f aca="false">Q5+Q6+Q7-Q8</f>
        <v>0</v>
      </c>
      <c r="R20" s="8" t="s">
        <v>41</v>
      </c>
    </row>
    <row r="21" customFormat="false" ht="17.15" hidden="false" customHeight="false" outlineLevel="0" collapsed="false">
      <c r="A21" s="1" t="s">
        <v>527</v>
      </c>
    </row>
    <row r="22" customFormat="false" ht="17.15" hidden="false" customHeight="false" outlineLevel="0" collapsed="false">
      <c r="A22" s="0" t="s">
        <v>528</v>
      </c>
      <c r="B22" s="0" t="s">
        <v>86</v>
      </c>
      <c r="C22" s="21" t="n">
        <v>14.877</v>
      </c>
      <c r="D22" s="21" t="n">
        <v>24.967</v>
      </c>
      <c r="E22" s="21" t="n">
        <v>29.619</v>
      </c>
      <c r="F22" s="21" t="n">
        <v>5.663</v>
      </c>
      <c r="G22" s="21" t="n">
        <v>9.256</v>
      </c>
      <c r="H22" s="21" t="n">
        <v>5.841</v>
      </c>
      <c r="I22" s="21" t="n">
        <v>7.517</v>
      </c>
      <c r="J22" s="21" t="n">
        <v>4.789</v>
      </c>
      <c r="K22" s="21" t="n">
        <v>11.472</v>
      </c>
      <c r="L22" s="21" t="n">
        <v>8.267</v>
      </c>
      <c r="M22" s="21" t="n">
        <v>9.123</v>
      </c>
      <c r="N22" s="22" t="n">
        <f aca="false">H22+I22</f>
        <v>13.358</v>
      </c>
      <c r="O22" s="22" t="n">
        <f aca="false">J22+K22</f>
        <v>16.261</v>
      </c>
      <c r="P22" s="22" t="n">
        <f aca="false">L22+M22</f>
        <v>17.39</v>
      </c>
      <c r="Q22" s="22" t="n">
        <f aca="false">J22+K22+L22+M22</f>
        <v>33.651</v>
      </c>
      <c r="R22" s="8" t="s">
        <v>510</v>
      </c>
      <c r="S22" s="8" t="s">
        <v>511</v>
      </c>
    </row>
    <row r="23" customFormat="false" ht="17.15" hidden="false" customHeight="false" outlineLevel="0" collapsed="false">
      <c r="A23" s="0" t="s">
        <v>529</v>
      </c>
      <c r="B23" s="0" t="s">
        <v>86</v>
      </c>
      <c r="C23" s="21" t="n">
        <v>-2.656</v>
      </c>
      <c r="D23" s="21" t="n">
        <v>3.792</v>
      </c>
      <c r="E23" s="21" t="n">
        <v>4.75</v>
      </c>
      <c r="F23" s="21" t="n">
        <v>1.301</v>
      </c>
      <c r="G23" s="21" t="n">
        <v>1.315</v>
      </c>
      <c r="H23" s="21" t="n">
        <v>1.017</v>
      </c>
      <c r="I23" s="21" t="n">
        <v>1.494</v>
      </c>
      <c r="J23" s="21" t="n">
        <v>1.199</v>
      </c>
      <c r="K23" s="21" t="n">
        <v>1.04</v>
      </c>
      <c r="L23" s="21" t="n">
        <v>1.424</v>
      </c>
      <c r="M23" s="21" t="n">
        <v>1.717</v>
      </c>
      <c r="N23" s="22" t="n">
        <f aca="false">H23+I23</f>
        <v>2.511</v>
      </c>
      <c r="O23" s="22" t="n">
        <f aca="false">J23+K23</f>
        <v>2.239</v>
      </c>
      <c r="P23" s="22" t="n">
        <f aca="false">L23+M23</f>
        <v>3.141</v>
      </c>
      <c r="Q23" s="22" t="n">
        <f aca="false">J23+K23+L23+M23</f>
        <v>5.38</v>
      </c>
      <c r="R23" s="8" t="s">
        <v>510</v>
      </c>
      <c r="S23" s="8" t="s">
        <v>511</v>
      </c>
    </row>
    <row r="24" customFormat="false" ht="17.15" hidden="false" customHeight="false" outlineLevel="0" collapsed="false">
      <c r="A24" s="0" t="s">
        <v>530</v>
      </c>
      <c r="B24" s="0" t="s">
        <v>86</v>
      </c>
      <c r="C24" s="21" t="n">
        <v>24.631</v>
      </c>
      <c r="D24" s="21" t="n">
        <v>39.834</v>
      </c>
      <c r="E24" s="21" t="n">
        <v>45.606</v>
      </c>
      <c r="F24" s="21" t="n">
        <v>10.447</v>
      </c>
      <c r="G24" s="21" t="n">
        <v>10.632</v>
      </c>
      <c r="H24" s="21" t="n">
        <v>11.547</v>
      </c>
      <c r="I24" s="21" t="n">
        <v>10.16</v>
      </c>
      <c r="J24" s="21" t="n">
        <v>11.434</v>
      </c>
      <c r="K24" s="21" t="n">
        <v>12.465</v>
      </c>
      <c r="L24" s="21" t="n">
        <v>14.161</v>
      </c>
      <c r="M24" s="21" t="n">
        <v>16.621</v>
      </c>
      <c r="N24" s="22" t="n">
        <f aca="false">H24+I24</f>
        <v>21.707</v>
      </c>
      <c r="O24" s="22" t="n">
        <f aca="false">J24+K24</f>
        <v>23.899</v>
      </c>
      <c r="P24" s="22" t="n">
        <f aca="false">L24+M24</f>
        <v>30.782</v>
      </c>
      <c r="Q24" s="22" t="n">
        <f aca="false">J24+K24+L24+M24</f>
        <v>54.681</v>
      </c>
      <c r="R24" s="8" t="s">
        <v>510</v>
      </c>
      <c r="S24" s="8" t="s">
        <v>511</v>
      </c>
    </row>
    <row r="25" customFormat="false" ht="17.15" hidden="false" customHeight="false" outlineLevel="0" collapsed="false">
      <c r="A25" s="5" t="s">
        <v>531</v>
      </c>
      <c r="B25" s="0" t="s">
        <v>86</v>
      </c>
      <c r="C25" s="21" t="n">
        <v>36.852</v>
      </c>
      <c r="D25" s="21" t="n">
        <v>68.593</v>
      </c>
      <c r="E25" s="21" t="n">
        <v>79.975</v>
      </c>
      <c r="F25" s="21" t="n">
        <v>17.411</v>
      </c>
      <c r="G25" s="21" t="n">
        <v>21.203</v>
      </c>
      <c r="H25" s="21" t="n">
        <v>18.405</v>
      </c>
      <c r="I25" s="21" t="n">
        <v>19.171</v>
      </c>
      <c r="J25" s="21" t="n">
        <v>17.422</v>
      </c>
      <c r="K25" s="21" t="n">
        <v>24.977</v>
      </c>
      <c r="L25" s="21" t="n">
        <v>23.852</v>
      </c>
      <c r="M25" s="21" t="n">
        <v>27.461</v>
      </c>
      <c r="N25" s="22" t="n">
        <f aca="false">H25+I25</f>
        <v>37.576</v>
      </c>
      <c r="O25" s="22" t="n">
        <f aca="false">J25+K25</f>
        <v>42.399</v>
      </c>
      <c r="P25" s="22" t="n">
        <f aca="false">L25+M25</f>
        <v>51.313</v>
      </c>
      <c r="Q25" s="22" t="n">
        <f aca="false">J25+K25+L25+M25</f>
        <v>93.712</v>
      </c>
      <c r="R25" s="8" t="s">
        <v>510</v>
      </c>
      <c r="S25" s="8" t="s">
        <v>511</v>
      </c>
    </row>
    <row r="26" customFormat="false" ht="17.15" hidden="false" customHeight="false" outlineLevel="0" collapsed="false">
      <c r="A26" s="5" t="s">
        <v>532</v>
      </c>
      <c r="B26" s="0" t="s">
        <v>86</v>
      </c>
      <c r="C26" s="23" t="n">
        <f aca="false">C25-(C22+C23+C24)</f>
        <v>0</v>
      </c>
      <c r="D26" s="23" t="n">
        <f aca="false">D25-(D22+D23+D24)</f>
        <v>0</v>
      </c>
      <c r="E26" s="23" t="n">
        <f aca="false">E25-(E22+E23+E24)</f>
        <v>0</v>
      </c>
      <c r="F26" s="23" t="n">
        <f aca="false">F25-(F22+F23+F24)</f>
        <v>0</v>
      </c>
      <c r="G26" s="23" t="n">
        <f aca="false">G25-(G22+G23+G24)</f>
        <v>0</v>
      </c>
      <c r="H26" s="23" t="n">
        <f aca="false">H25-(H22+H23+H24)</f>
        <v>0</v>
      </c>
      <c r="I26" s="23" t="n">
        <f aca="false">I25-(I22+I23+I24)</f>
        <v>0</v>
      </c>
      <c r="J26" s="23" t="n">
        <f aca="false">J25-(J22+J23+J24)</f>
        <v>0</v>
      </c>
      <c r="K26" s="23" t="n">
        <f aca="false">K25-(K22+K23+K24)</f>
        <v>0</v>
      </c>
      <c r="L26" s="23" t="n">
        <f aca="false">L25-(L22+L23+L24)</f>
        <v>0</v>
      </c>
      <c r="M26" s="23" t="n">
        <f aca="false">M25-(M22+M23+M24)</f>
        <v>0</v>
      </c>
      <c r="N26" s="23" t="n">
        <f aca="false">N25-(N22+N23+N24)</f>
        <v>0</v>
      </c>
      <c r="O26" s="23" t="n">
        <f aca="false">O25-(O22+O23+O24)</f>
        <v>0</v>
      </c>
      <c r="P26" s="23" t="n">
        <f aca="false">P25-(P22+P23+P24)</f>
        <v>0</v>
      </c>
      <c r="Q26" s="23" t="n">
        <f aca="false">Q25-(Q22+Q23+Q24)</f>
        <v>0</v>
      </c>
      <c r="R26" s="8" t="s">
        <v>41</v>
      </c>
    </row>
    <row r="27" customFormat="false" ht="15" hidden="false" customHeight="false" outlineLevel="0" collapsed="false">
      <c r="A27" s="24" t="s">
        <v>533</v>
      </c>
      <c r="B27" s="25" t="s">
        <v>86</v>
      </c>
      <c r="C27" s="26" t="n">
        <f aca="false">C22+C23+C24+C26-C25</f>
        <v>0</v>
      </c>
      <c r="D27" s="26" t="n">
        <f aca="false">D22+D23+D24+D26-D25</f>
        <v>0</v>
      </c>
      <c r="E27" s="26" t="n">
        <f aca="false">E22+E23+E24+E26-E25</f>
        <v>0</v>
      </c>
      <c r="F27" s="26" t="n">
        <f aca="false">F22+F23+F24+F26-F25</f>
        <v>0</v>
      </c>
      <c r="G27" s="26" t="n">
        <f aca="false">G22+G23+G24+G26-G25</f>
        <v>0</v>
      </c>
      <c r="H27" s="26" t="n">
        <f aca="false">H22+H23+H24+H26-H25</f>
        <v>0</v>
      </c>
      <c r="I27" s="26" t="n">
        <f aca="false">I22+I23+I24+I26-I25</f>
        <v>0</v>
      </c>
      <c r="J27" s="26" t="n">
        <f aca="false">J22+J23+J24+J26-J25</f>
        <v>0</v>
      </c>
      <c r="K27" s="26" t="n">
        <f aca="false">K22+K23+K24+K26-K25</f>
        <v>0</v>
      </c>
      <c r="L27" s="26" t="n">
        <f aca="false">L22+L23+L24+L26-L25</f>
        <v>0</v>
      </c>
      <c r="M27" s="26" t="n">
        <f aca="false">M22+M23+M24+M26-M25</f>
        <v>0</v>
      </c>
      <c r="N27" s="26" t="n">
        <f aca="false">N22+N23+N24+N26-N25</f>
        <v>0</v>
      </c>
      <c r="O27" s="26" t="n">
        <f aca="false">O22+O23+O24+O26-O25</f>
        <v>0</v>
      </c>
      <c r="P27" s="26" t="n">
        <f aca="false">P22+P23+P24+P26-P25</f>
        <v>0</v>
      </c>
      <c r="Q27" s="26" t="n">
        <f aca="false">Q22+Q23+Q24+Q26-Q25</f>
        <v>0</v>
      </c>
      <c r="R27" s="8" t="s">
        <v>41</v>
      </c>
    </row>
    <row r="28" customFormat="false" ht="17.15" hidden="false" customHeight="false" outlineLevel="0" collapsed="false">
      <c r="A28" s="1" t="s">
        <v>534</v>
      </c>
    </row>
    <row r="29" customFormat="false" ht="17.15" hidden="false" customHeight="false" outlineLevel="0" collapsed="false">
      <c r="A29" s="0" t="s">
        <v>535</v>
      </c>
      <c r="B29" s="0" t="s">
        <v>86</v>
      </c>
      <c r="C29" s="21" t="n">
        <v>13.678</v>
      </c>
      <c r="D29" s="21" t="n">
        <v>14.285</v>
      </c>
      <c r="E29" s="21" t="n">
        <v>15.503</v>
      </c>
      <c r="F29" s="22"/>
      <c r="G29" s="22"/>
      <c r="H29" s="21" t="n">
        <v>3.53</v>
      </c>
      <c r="I29" s="21" t="n">
        <v>3.742</v>
      </c>
      <c r="J29" s="21" t="n">
        <v>4.001</v>
      </c>
      <c r="K29" s="23" t="n">
        <f aca="false">E29-H29-I29-J29</f>
        <v>4.23</v>
      </c>
      <c r="L29" s="21" t="n">
        <v>4.28</v>
      </c>
      <c r="M29" s="21" t="n">
        <v>4.5</v>
      </c>
      <c r="N29" s="22" t="n">
        <f aca="false">H29+I29</f>
        <v>7.272</v>
      </c>
      <c r="O29" s="22" t="n">
        <f aca="false">J29+K29</f>
        <v>8.231</v>
      </c>
      <c r="P29" s="22" t="n">
        <f aca="false">L29+M29</f>
        <v>8.78</v>
      </c>
      <c r="Q29" s="22" t="n">
        <f aca="false">J29+K29+L29+M29</f>
        <v>17.011</v>
      </c>
      <c r="R29" s="8" t="s">
        <v>28</v>
      </c>
      <c r="S29" s="8" t="s">
        <v>536</v>
      </c>
    </row>
    <row r="30" customFormat="false" ht="17.15" hidden="false" customHeight="false" outlineLevel="0" collapsed="false">
      <c r="A30" s="0" t="s">
        <v>537</v>
      </c>
      <c r="B30" s="0" t="s">
        <v>86</v>
      </c>
      <c r="C30" s="21" t="n">
        <v>4.016</v>
      </c>
      <c r="D30" s="21" t="n">
        <v>4.462</v>
      </c>
      <c r="E30" s="21" t="n">
        <v>4.907</v>
      </c>
      <c r="F30" s="22"/>
      <c r="G30" s="22"/>
      <c r="H30" s="21" t="n">
        <v>1.136</v>
      </c>
      <c r="I30" s="21" t="n">
        <v>1.18</v>
      </c>
      <c r="J30" s="21" t="n">
        <v>1.276</v>
      </c>
      <c r="K30" s="23" t="n">
        <f aca="false">E30-H30-I30-J30</f>
        <v>1.315</v>
      </c>
      <c r="L30" s="21" t="n">
        <v>1.277</v>
      </c>
      <c r="M30" s="21" t="n">
        <v>1.293</v>
      </c>
      <c r="N30" s="22" t="n">
        <f aca="false">H30+I30</f>
        <v>2.316</v>
      </c>
      <c r="O30" s="22" t="n">
        <f aca="false">J30+K30</f>
        <v>2.591</v>
      </c>
      <c r="P30" s="22" t="n">
        <f aca="false">L30+M30</f>
        <v>2.57</v>
      </c>
      <c r="Q30" s="22" t="n">
        <f aca="false">J30+K30+L30+M30</f>
        <v>5.161</v>
      </c>
      <c r="R30" s="8" t="s">
        <v>28</v>
      </c>
      <c r="S30" s="8" t="s">
        <v>536</v>
      </c>
    </row>
    <row r="31" customFormat="false" ht="17.15" hidden="false" customHeight="false" outlineLevel="0" collapsed="false">
      <c r="A31" s="0" t="s">
        <v>538</v>
      </c>
      <c r="B31" s="0" t="s">
        <v>86</v>
      </c>
      <c r="C31" s="21" t="n">
        <v>12.531</v>
      </c>
      <c r="D31" s="21" t="n">
        <v>13.32</v>
      </c>
      <c r="E31" s="21" t="n">
        <v>21.45</v>
      </c>
      <c r="F31" s="22"/>
      <c r="G31" s="22"/>
      <c r="H31" s="21" t="n">
        <v>4.39</v>
      </c>
      <c r="I31" s="21" t="n">
        <v>4.844</v>
      </c>
      <c r="J31" s="21" t="n">
        <v>5.648</v>
      </c>
      <c r="K31" s="23" t="n">
        <f aca="false">E31-H31-I31-J31</f>
        <v>6.568</v>
      </c>
      <c r="L31" s="21" t="n">
        <v>7.277</v>
      </c>
      <c r="M31" s="21" t="n">
        <v>8.076</v>
      </c>
      <c r="N31" s="22" t="n">
        <f aca="false">H31+I31</f>
        <v>9.234</v>
      </c>
      <c r="O31" s="22" t="n">
        <f aca="false">J31+K31</f>
        <v>12.216</v>
      </c>
      <c r="P31" s="22" t="n">
        <f aca="false">L31+M31</f>
        <v>15.353</v>
      </c>
      <c r="Q31" s="22" t="n">
        <f aca="false">J31+K31+L31+M31</f>
        <v>27.569</v>
      </c>
      <c r="R31" s="8" t="s">
        <v>28</v>
      </c>
      <c r="S31" s="8" t="s">
        <v>536</v>
      </c>
    </row>
    <row r="32" customFormat="false" ht="15" hidden="false" customHeight="false" outlineLevel="0" collapsed="false">
      <c r="A32" s="5" t="s">
        <v>539</v>
      </c>
      <c r="B32" s="0" t="s">
        <v>86</v>
      </c>
      <c r="C32" s="23" t="n">
        <f aca="false">IF(COUNT(C29:C31)=3,C29+C30+C31,"")</f>
        <v>30.225</v>
      </c>
      <c r="D32" s="23" t="n">
        <f aca="false">IF(COUNT(D29:D31)=3,D29+D30+D31,"")</f>
        <v>32.067</v>
      </c>
      <c r="E32" s="23" t="n">
        <f aca="false">IF(COUNT(E29:E31)=3,E29+E30+E31,"")</f>
        <v>41.86</v>
      </c>
      <c r="F32" s="23" t="str">
        <f aca="false">IF(COUNT(F29:F31)=3,F29+F30+F31,"")</f>
        <v/>
      </c>
      <c r="G32" s="23" t="str">
        <f aca="false">IF(COUNT(G29:G31)=3,G29+G30+G31,"")</f>
        <v/>
      </c>
      <c r="H32" s="23" t="n">
        <f aca="false">IF(COUNT(H29:H31)=3,H29+H30+H31,"")</f>
        <v>9.056</v>
      </c>
      <c r="I32" s="23" t="n">
        <f aca="false">IF(COUNT(I29:I31)=3,I29+I30+I31,"")</f>
        <v>9.766</v>
      </c>
      <c r="J32" s="23" t="n">
        <f aca="false">IF(COUNT(J29:J31)=3,J29+J30+J31,"")</f>
        <v>10.925</v>
      </c>
      <c r="K32" s="23" t="n">
        <f aca="false">IF(COUNT(K29:K31)=3,K29+K30+K31,"")</f>
        <v>12.113</v>
      </c>
      <c r="L32" s="23" t="n">
        <f aca="false">IF(COUNT(L29:L31)=3,L29+L30+L31,"")</f>
        <v>12.834</v>
      </c>
      <c r="M32" s="23" t="n">
        <f aca="false">IF(COUNT(M29:M31)=3,M29+M30+M31,"")</f>
        <v>13.869</v>
      </c>
      <c r="N32" s="23" t="n">
        <f aca="false">IF(COUNT(N29:N31)=3,N29+N30+N31,"")</f>
        <v>18.822</v>
      </c>
      <c r="O32" s="23" t="n">
        <f aca="false">IF(COUNT(O29:O31)=3,O29+O30+O31,"")</f>
        <v>23.038</v>
      </c>
      <c r="P32" s="23" t="n">
        <f aca="false">IF(COUNT(P29:P31)=3,P29+P30+P31,"")</f>
        <v>26.703</v>
      </c>
      <c r="Q32" s="23" t="n">
        <f aca="false">IF(COUNT(Q29:Q31)=3,Q29+Q30+Q31,"")</f>
        <v>49.741</v>
      </c>
      <c r="R32" s="8" t="s">
        <v>41</v>
      </c>
    </row>
    <row r="33" customFormat="false" ht="17.15" hidden="false" customHeight="false" outlineLevel="0" collapsed="false">
      <c r="A33" s="1" t="s">
        <v>540</v>
      </c>
    </row>
    <row r="34" customFormat="false" ht="17.15" hidden="false" customHeight="false" outlineLevel="0" collapsed="false">
      <c r="A34" s="5" t="s">
        <v>541</v>
      </c>
      <c r="B34" s="0" t="s">
        <v>86</v>
      </c>
      <c r="C34" s="21" t="n">
        <v>3.182</v>
      </c>
      <c r="D34" s="21" t="n">
        <v>2.406</v>
      </c>
      <c r="E34" s="21" t="n">
        <v>2.274</v>
      </c>
      <c r="F34" s="21" t="n">
        <v>0.603</v>
      </c>
      <c r="G34" s="21" t="n">
        <v>0.57</v>
      </c>
      <c r="H34" s="21" t="n">
        <v>0.541</v>
      </c>
      <c r="I34" s="21" t="n">
        <v>0.516</v>
      </c>
      <c r="J34" s="21" t="n">
        <v>0.538</v>
      </c>
      <c r="K34" s="21" t="n">
        <v>0.679</v>
      </c>
      <c r="L34" s="21" t="n">
        <v>0.8</v>
      </c>
      <c r="M34" s="21" t="n">
        <v>1.314</v>
      </c>
      <c r="N34" s="22" t="n">
        <f aca="false">H34+I34</f>
        <v>1.057</v>
      </c>
      <c r="O34" s="22" t="n">
        <f aca="false">J34+K34</f>
        <v>1.217</v>
      </c>
      <c r="P34" s="22" t="n">
        <f aca="false">L34+M34</f>
        <v>2.114</v>
      </c>
      <c r="Q34" s="22" t="n">
        <f aca="false">J34+K34+L34+M34</f>
        <v>3.331</v>
      </c>
      <c r="R34" s="8" t="s">
        <v>28</v>
      </c>
      <c r="S34" s="8" t="s">
        <v>542</v>
      </c>
    </row>
    <row r="35" customFormat="false" ht="17.15" hidden="false" customHeight="false" outlineLevel="0" collapsed="false">
      <c r="A35" s="5" t="s">
        <v>543</v>
      </c>
      <c r="B35" s="0" t="s">
        <v>86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1" t="n">
        <v>1.295</v>
      </c>
      <c r="N35" s="22"/>
      <c r="O35" s="22"/>
      <c r="P35" s="22"/>
      <c r="Q35" s="22"/>
      <c r="R35" s="8" t="s">
        <v>28</v>
      </c>
      <c r="S35" s="8" t="s">
        <v>34</v>
      </c>
    </row>
    <row r="36" customFormat="false" ht="17.15" hidden="false" customHeight="false" outlineLevel="0" collapsed="false">
      <c r="A36" s="5" t="s">
        <v>544</v>
      </c>
      <c r="B36" s="0" t="s">
        <v>86</v>
      </c>
      <c r="C36" s="21" t="n">
        <v>37.557</v>
      </c>
      <c r="D36" s="21" t="n">
        <v>68.614</v>
      </c>
      <c r="E36" s="21" t="n">
        <v>97.311</v>
      </c>
      <c r="F36" s="21" t="n">
        <v>18.037</v>
      </c>
      <c r="G36" s="21" t="n">
        <v>22.349</v>
      </c>
      <c r="H36" s="21" t="n">
        <v>21.679</v>
      </c>
      <c r="I36" s="21" t="n">
        <v>20.857</v>
      </c>
      <c r="J36" s="21" t="n">
        <v>28.17</v>
      </c>
      <c r="K36" s="21" t="n">
        <v>26.605</v>
      </c>
      <c r="L36" s="21" t="n">
        <v>39.834</v>
      </c>
      <c r="M36" s="21" t="n">
        <v>80.857</v>
      </c>
      <c r="N36" s="22" t="n">
        <f aca="false">H36+I36</f>
        <v>42.536</v>
      </c>
      <c r="O36" s="22" t="n">
        <f aca="false">J36+K36</f>
        <v>54.775</v>
      </c>
      <c r="P36" s="22" t="n">
        <f aca="false">L36+M36</f>
        <v>120.691</v>
      </c>
      <c r="Q36" s="22" t="n">
        <f aca="false">J36+K36+L36+M36</f>
        <v>175.466</v>
      </c>
      <c r="R36" s="8" t="s">
        <v>28</v>
      </c>
      <c r="S36" s="8" t="s">
        <v>542</v>
      </c>
    </row>
    <row r="37" customFormat="false" ht="17.15" hidden="false" customHeight="false" outlineLevel="0" collapsed="false">
      <c r="A37" s="5" t="s">
        <v>545</v>
      </c>
      <c r="B37" s="0" t="s">
        <v>86</v>
      </c>
      <c r="C37" s="21" t="n">
        <v>7.12</v>
      </c>
      <c r="D37" s="21" t="n">
        <v>9.265</v>
      </c>
      <c r="E37" s="21" t="n">
        <v>19.087</v>
      </c>
      <c r="F37" s="21" t="n">
        <v>2.706</v>
      </c>
      <c r="G37" s="21" t="n">
        <v>2.325</v>
      </c>
      <c r="H37" s="21" t="n">
        <v>4.553</v>
      </c>
      <c r="I37" s="21" t="n">
        <v>2.678</v>
      </c>
      <c r="J37" s="21" t="n">
        <v>6.91</v>
      </c>
      <c r="K37" s="21" t="n">
        <v>4.946</v>
      </c>
      <c r="L37" s="21" t="n">
        <v>9.56</v>
      </c>
      <c r="M37" s="21" t="n">
        <v>18.199</v>
      </c>
      <c r="N37" s="22" t="n">
        <f aca="false">H37+I37</f>
        <v>7.231</v>
      </c>
      <c r="O37" s="22" t="n">
        <f aca="false">J37+K37</f>
        <v>11.856</v>
      </c>
      <c r="P37" s="22" t="n">
        <f aca="false">L37+M37</f>
        <v>27.759</v>
      </c>
      <c r="Q37" s="22" t="n">
        <f aca="false">J37+K37+L37+M37</f>
        <v>39.615</v>
      </c>
      <c r="R37" s="8" t="s">
        <v>28</v>
      </c>
      <c r="S37" s="8" t="s">
        <v>542</v>
      </c>
    </row>
    <row r="38" customFormat="false" ht="17.15" hidden="false" customHeight="false" outlineLevel="0" collapsed="false">
      <c r="A38" s="5" t="s">
        <v>546</v>
      </c>
      <c r="B38" s="0" t="s">
        <v>86</v>
      </c>
      <c r="C38" s="21" t="n">
        <v>30.425</v>
      </c>
      <c r="D38" s="21" t="n">
        <v>59.248</v>
      </c>
      <c r="E38" s="21" t="n">
        <v>77.67</v>
      </c>
      <c r="F38" s="21" t="n">
        <v>15.328</v>
      </c>
      <c r="G38" s="21" t="n">
        <v>20.004</v>
      </c>
      <c r="H38" s="21" t="n">
        <v>17.127</v>
      </c>
      <c r="I38" s="21" t="n">
        <v>18.164</v>
      </c>
      <c r="J38" s="21" t="n">
        <v>21.187</v>
      </c>
      <c r="K38" s="21" t="n">
        <v>21.192</v>
      </c>
      <c r="L38" s="21" t="n">
        <v>30.255</v>
      </c>
      <c r="M38" s="21" t="n">
        <v>62.647</v>
      </c>
      <c r="N38" s="22" t="n">
        <f aca="false">H38+I38</f>
        <v>35.291</v>
      </c>
      <c r="O38" s="22" t="n">
        <f aca="false">J38+K38</f>
        <v>42.379</v>
      </c>
      <c r="P38" s="22" t="n">
        <f aca="false">L38+M38</f>
        <v>92.902</v>
      </c>
      <c r="Q38" s="22" t="n">
        <f aca="false">J38+K38+L38+M38</f>
        <v>135.281</v>
      </c>
      <c r="R38" s="8" t="s">
        <v>28</v>
      </c>
      <c r="S38" s="8" t="s">
        <v>542</v>
      </c>
    </row>
    <row r="39" customFormat="false" ht="17.15" hidden="false" customHeight="false" outlineLevel="0" collapsed="false">
      <c r="A39" s="5" t="s">
        <v>547</v>
      </c>
      <c r="B39" s="0" t="s">
        <v>86</v>
      </c>
      <c r="C39" s="23" t="n">
        <f aca="false">IF(AND(ISNUMBER(C36),ISNUMBER(C34)),C36-C25+C34,"")</f>
        <v>3.88700000000001</v>
      </c>
      <c r="D39" s="23" t="n">
        <f aca="false">IF(AND(ISNUMBER(D36),ISNUMBER(D34)),D36-D25+D34,"")</f>
        <v>2.427</v>
      </c>
      <c r="E39" s="23" t="n">
        <f aca="false">IF(AND(ISNUMBER(E36),ISNUMBER(E34)),E36-E25+E34,"")</f>
        <v>19.61</v>
      </c>
      <c r="F39" s="23" t="n">
        <f aca="false">IF(AND(ISNUMBER(F36),ISNUMBER(F34)),F36-F25+F34,"")</f>
        <v>1.229</v>
      </c>
      <c r="G39" s="23" t="n">
        <f aca="false">IF(AND(ISNUMBER(G36),ISNUMBER(G34)),G36-G25+G34,"")</f>
        <v>1.716</v>
      </c>
      <c r="H39" s="23" t="n">
        <f aca="false">IF(AND(ISNUMBER(H36),ISNUMBER(H34)),H36-H25+H34,"")</f>
        <v>3.815</v>
      </c>
      <c r="I39" s="23" t="n">
        <f aca="false">IF(AND(ISNUMBER(I36),ISNUMBER(I34)),I36-I25+I34,"")</f>
        <v>2.202</v>
      </c>
      <c r="J39" s="23" t="n">
        <f aca="false">IF(AND(ISNUMBER(J36),ISNUMBER(J34)),J36-J25+J34,"")</f>
        <v>11.286</v>
      </c>
      <c r="K39" s="23" t="n">
        <f aca="false">IF(AND(ISNUMBER(K36),ISNUMBER(K34)),K36-K25+K34,"")</f>
        <v>2.307</v>
      </c>
      <c r="L39" s="23" t="n">
        <f aca="false">IF(AND(ISNUMBER(L36),ISNUMBER(L34)),L36-L25+L34,"")</f>
        <v>16.782</v>
      </c>
      <c r="M39" s="23" t="n">
        <f aca="false">IF(AND(ISNUMBER(M36),ISNUMBER(M34)),M36-M25+M34,"")</f>
        <v>54.71</v>
      </c>
      <c r="N39" s="23" t="n">
        <f aca="false">IF(AND(ISNUMBER(N36),ISNUMBER(N34)),N36-N25+N34,"")</f>
        <v>6.017</v>
      </c>
      <c r="O39" s="23" t="n">
        <f aca="false">IF(AND(ISNUMBER(O36),ISNUMBER(O34)),O36-O25+O34,"")</f>
        <v>13.593</v>
      </c>
      <c r="P39" s="23" t="n">
        <f aca="false">IF(AND(ISNUMBER(P36),ISNUMBER(P34)),P36-P25+P34,"")</f>
        <v>71.492</v>
      </c>
      <c r="Q39" s="23" t="n">
        <f aca="false">IF(AND(ISNUMBER(Q36),ISNUMBER(Q34)),Q36-Q25+Q34,"")</f>
        <v>85.085</v>
      </c>
      <c r="R39" s="8" t="s">
        <v>41</v>
      </c>
    </row>
    <row r="40" customFormat="false" ht="15" hidden="false" customHeight="false" outlineLevel="0" collapsed="false">
      <c r="A40" s="5" t="s">
        <v>548</v>
      </c>
      <c r="B40" s="0" t="s">
        <v>86</v>
      </c>
      <c r="C40" s="27" t="n">
        <f aca="false">C37/C36</f>
        <v>0.189578507335517</v>
      </c>
      <c r="D40" s="27" t="n">
        <f aca="false">D37/D36</f>
        <v>0.135030751741627</v>
      </c>
      <c r="E40" s="27" t="n">
        <f aca="false">E37/E36</f>
        <v>0.196144320785934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8" t="s">
        <v>41</v>
      </c>
    </row>
    <row r="41" customFormat="false" ht="15" hidden="false" customHeight="false" outlineLevel="0" collapsed="false">
      <c r="A41" s="5" t="s">
        <v>549</v>
      </c>
      <c r="B41" s="5" t="s">
        <v>33</v>
      </c>
      <c r="C41" s="21" t="n">
        <v>10.492</v>
      </c>
      <c r="D41" s="21" t="n">
        <v>10.721</v>
      </c>
      <c r="E41" s="21" t="n">
        <v>10.827</v>
      </c>
      <c r="F41" s="21" t="n">
        <v>10.735</v>
      </c>
      <c r="G41" s="22"/>
      <c r="H41" s="21" t="n">
        <v>10.793</v>
      </c>
      <c r="I41" s="21" t="n">
        <v>10.806</v>
      </c>
      <c r="J41" s="21" t="n">
        <v>10.845</v>
      </c>
      <c r="K41" s="22"/>
      <c r="L41" s="21" t="n">
        <v>10.874</v>
      </c>
      <c r="M41" s="21" t="n">
        <v>10.903</v>
      </c>
      <c r="N41" s="22"/>
      <c r="O41" s="22"/>
      <c r="P41" s="22"/>
      <c r="Q41" s="22"/>
      <c r="R41" s="8" t="s">
        <v>28</v>
      </c>
      <c r="S41" s="8" t="s">
        <v>349</v>
      </c>
    </row>
    <row r="42" customFormat="false" ht="17.15" hidden="false" customHeight="false" outlineLevel="0" collapsed="false">
      <c r="A42" s="5" t="s">
        <v>550</v>
      </c>
      <c r="B42" s="0" t="s">
        <v>27</v>
      </c>
      <c r="C42" s="29" t="n">
        <f aca="false">IF(ISNUMBER(C41),C38/C41,"")</f>
        <v>2.89982844071674</v>
      </c>
      <c r="D42" s="29" t="n">
        <f aca="false">IF(ISNUMBER(D41),D38/D41,"")</f>
        <v>5.52635015390355</v>
      </c>
      <c r="E42" s="29" t="n">
        <f aca="false">IF(ISNUMBER(E41),E38/E41,"")</f>
        <v>7.1737323358271</v>
      </c>
      <c r="F42" s="29" t="n">
        <f aca="false">IF(ISNUMBER(F41),F38/F41,"")</f>
        <v>1.42785281788542</v>
      </c>
      <c r="G42" s="29" t="str">
        <f aca="false">IF(ISNUMBER(G41),G38/G41,"")</f>
        <v/>
      </c>
      <c r="H42" s="29" t="n">
        <f aca="false">IF(ISNUMBER(H41),H38/H41,"")</f>
        <v>1.58686185490596</v>
      </c>
      <c r="I42" s="29" t="n">
        <f aca="false">IF(ISNUMBER(I41),I38/I41,"")</f>
        <v>1.68091800851379</v>
      </c>
      <c r="J42" s="29" t="n">
        <f aca="false">IF(ISNUMBER(J41),J38/J41,"")</f>
        <v>1.95361917934532</v>
      </c>
      <c r="K42" s="29" t="str">
        <f aca="false">IF(ISNUMBER(K41),K38/K41,"")</f>
        <v/>
      </c>
      <c r="L42" s="29" t="n">
        <f aca="false">IF(ISNUMBER(L41),L38/L41,"")</f>
        <v>2.78232481147692</v>
      </c>
      <c r="M42" s="29" t="n">
        <f aca="false">IF(ISNUMBER(M41),M38/M41,"")</f>
        <v>5.74584976611942</v>
      </c>
      <c r="N42" s="30"/>
      <c r="O42" s="30"/>
      <c r="P42" s="30"/>
      <c r="Q42" s="30"/>
      <c r="R42" s="8" t="s">
        <v>41</v>
      </c>
    </row>
    <row r="43" customFormat="false" ht="17.15" hidden="false" customHeight="false" outlineLevel="0" collapsed="false">
      <c r="A43" s="1" t="s">
        <v>551</v>
      </c>
    </row>
    <row r="44" customFormat="false" ht="17.15" hidden="false" customHeight="false" outlineLevel="0" collapsed="false">
      <c r="A44" s="5" t="s">
        <v>552</v>
      </c>
      <c r="B44" s="0" t="s">
        <v>86</v>
      </c>
      <c r="C44" s="21" t="n">
        <v>84.946</v>
      </c>
      <c r="D44" s="21" t="n">
        <v>115.877</v>
      </c>
      <c r="E44" s="21" t="n">
        <v>139.514</v>
      </c>
      <c r="F44" s="21" t="n">
        <v>25.971</v>
      </c>
      <c r="G44" s="21" t="n">
        <v>45.636</v>
      </c>
      <c r="H44" s="21" t="n">
        <v>17.015</v>
      </c>
      <c r="I44" s="21" t="n">
        <v>32.515</v>
      </c>
      <c r="J44" s="21" t="n">
        <v>35.525</v>
      </c>
      <c r="K44" s="21" t="n">
        <v>54.459</v>
      </c>
      <c r="L44" s="21" t="n">
        <v>26.032</v>
      </c>
      <c r="M44" s="21" t="n">
        <v>45.387</v>
      </c>
      <c r="N44" s="22" t="n">
        <f aca="false">H44+I44</f>
        <v>49.53</v>
      </c>
      <c r="O44" s="22" t="n">
        <f aca="false">J44+K44</f>
        <v>89.984</v>
      </c>
      <c r="P44" s="22" t="n">
        <f aca="false">L44+M44</f>
        <v>71.419</v>
      </c>
      <c r="Q44" s="22" t="n">
        <f aca="false">J44+K44+L44+M44</f>
        <v>161.403</v>
      </c>
      <c r="R44" s="8" t="s">
        <v>28</v>
      </c>
      <c r="S44" s="8" t="s">
        <v>553</v>
      </c>
    </row>
    <row r="45" customFormat="false" ht="17.15" hidden="false" customHeight="false" outlineLevel="0" collapsed="false">
      <c r="A45" s="5" t="s">
        <v>554</v>
      </c>
      <c r="B45" s="0" t="s">
        <v>86</v>
      </c>
      <c r="C45" s="21" t="n">
        <v>52.729</v>
      </c>
      <c r="D45" s="21" t="n">
        <v>82.999</v>
      </c>
      <c r="E45" s="21" t="n">
        <v>131.819</v>
      </c>
      <c r="F45" s="21" t="n">
        <v>22.62</v>
      </c>
      <c r="G45" s="21" t="n">
        <v>27.834</v>
      </c>
      <c r="H45" s="21" t="n">
        <v>25.019</v>
      </c>
      <c r="I45" s="21" t="n">
        <v>32.183</v>
      </c>
      <c r="J45" s="21" t="n">
        <v>35.095</v>
      </c>
      <c r="K45" s="21" t="n">
        <v>39.522</v>
      </c>
      <c r="L45" s="21" t="n">
        <v>44.203</v>
      </c>
      <c r="M45" s="21" t="n">
        <v>54.208</v>
      </c>
      <c r="N45" s="22" t="n">
        <f aca="false">H45+I45</f>
        <v>57.202</v>
      </c>
      <c r="O45" s="22" t="n">
        <f aca="false">J45+K45</f>
        <v>74.617</v>
      </c>
      <c r="P45" s="22" t="n">
        <f aca="false">L45+M45</f>
        <v>98.411</v>
      </c>
      <c r="Q45" s="22" t="n">
        <f aca="false">J45+K45+L45+M45</f>
        <v>173.028</v>
      </c>
      <c r="R45" s="8" t="s">
        <v>28</v>
      </c>
      <c r="S45" s="8" t="s">
        <v>542</v>
      </c>
    </row>
    <row r="46" customFormat="false" ht="15" hidden="false" customHeight="false" outlineLevel="0" collapsed="false">
      <c r="A46" s="5" t="s">
        <v>555</v>
      </c>
      <c r="B46" s="0" t="s">
        <v>86</v>
      </c>
      <c r="C46" s="21" t="n">
        <v>48.133</v>
      </c>
      <c r="D46" s="21" t="n">
        <v>77.658</v>
      </c>
      <c r="E46" s="21" t="n">
        <v>128.32</v>
      </c>
      <c r="F46" s="21" t="n">
        <v>21.278</v>
      </c>
      <c r="G46" s="21" t="n">
        <v>26.052</v>
      </c>
      <c r="H46" s="21" t="n">
        <v>24.255</v>
      </c>
      <c r="I46" s="21" t="n">
        <v>31.368</v>
      </c>
      <c r="J46" s="21" t="n">
        <v>34.228</v>
      </c>
      <c r="K46" s="21" t="n">
        <v>38.469</v>
      </c>
      <c r="L46" s="21" t="n">
        <v>43.234</v>
      </c>
      <c r="M46" s="21" t="n">
        <v>53.076</v>
      </c>
      <c r="N46" s="22" t="n">
        <f aca="false">H46+I46</f>
        <v>55.623</v>
      </c>
      <c r="O46" s="22" t="n">
        <f aca="false">J46+K46</f>
        <v>72.697</v>
      </c>
      <c r="P46" s="22" t="n">
        <f aca="false">L46+M46</f>
        <v>96.31</v>
      </c>
      <c r="Q46" s="22" t="n">
        <f aca="false">J46+K46+L46+M46</f>
        <v>169.007</v>
      </c>
      <c r="R46" s="8" t="s">
        <v>41</v>
      </c>
      <c r="S46" s="5" t="s">
        <v>556</v>
      </c>
    </row>
    <row r="47" customFormat="false" ht="17.15" hidden="false" customHeight="false" outlineLevel="0" collapsed="false">
      <c r="A47" s="5" t="s">
        <v>557</v>
      </c>
      <c r="B47" s="0" t="s">
        <v>86</v>
      </c>
      <c r="C47" s="21" t="n">
        <v>48.663</v>
      </c>
      <c r="D47" s="21" t="n">
        <v>52.795</v>
      </c>
      <c r="E47" s="21" t="n">
        <v>65.756</v>
      </c>
      <c r="F47" s="21" t="n">
        <v>13.442</v>
      </c>
      <c r="G47" s="21" t="n">
        <v>15.631</v>
      </c>
      <c r="H47" s="21" t="n">
        <v>14.262</v>
      </c>
      <c r="I47" s="21" t="n">
        <v>15.227</v>
      </c>
      <c r="J47" s="21" t="n">
        <v>16.796</v>
      </c>
      <c r="K47" s="21" t="n">
        <v>19.471</v>
      </c>
      <c r="L47" s="21" t="n">
        <v>18.945</v>
      </c>
      <c r="M47" s="21" t="n">
        <v>19.988</v>
      </c>
      <c r="N47" s="22" t="n">
        <f aca="false">H47+I47</f>
        <v>29.489</v>
      </c>
      <c r="O47" s="22" t="n">
        <f aca="false">J47+K47</f>
        <v>36.267</v>
      </c>
      <c r="P47" s="22" t="n">
        <f aca="false">L47+M47</f>
        <v>38.933</v>
      </c>
      <c r="Q47" s="22" t="n">
        <f aca="false">J47+K47+L47+M47</f>
        <v>75.2</v>
      </c>
      <c r="R47" s="8" t="s">
        <v>28</v>
      </c>
      <c r="S47" s="8" t="s">
        <v>542</v>
      </c>
    </row>
    <row r="48" customFormat="false" ht="17.15" hidden="false" customHeight="false" outlineLevel="0" collapsed="false">
      <c r="A48" s="5" t="s">
        <v>558</v>
      </c>
      <c r="B48" s="0" t="s">
        <v>86</v>
      </c>
      <c r="C48" s="21" t="n">
        <v>24.023</v>
      </c>
      <c r="D48" s="21" t="n">
        <v>22.011</v>
      </c>
      <c r="E48" s="21" t="n">
        <v>19.467</v>
      </c>
      <c r="F48" s="21" t="n">
        <v>5.333</v>
      </c>
      <c r="G48" s="21" t="n">
        <v>4.995</v>
      </c>
      <c r="H48" s="21" t="n">
        <v>3.689</v>
      </c>
      <c r="I48" s="21" t="n">
        <v>6.534</v>
      </c>
      <c r="J48" s="21" t="n">
        <v>4.847</v>
      </c>
      <c r="K48" s="21" t="n">
        <v>4.397</v>
      </c>
      <c r="L48" s="21" t="n">
        <v>4.032</v>
      </c>
      <c r="M48" s="21" t="n">
        <v>6.038</v>
      </c>
      <c r="N48" s="22" t="n">
        <f aca="false">H48+I48</f>
        <v>10.223</v>
      </c>
      <c r="O48" s="22" t="n">
        <f aca="false">J48+K48</f>
        <v>9.244</v>
      </c>
      <c r="P48" s="22" t="n">
        <f aca="false">L48+M48</f>
        <v>10.07</v>
      </c>
      <c r="Q48" s="22" t="n">
        <f aca="false">J48+K48+L48+M48</f>
        <v>19.314</v>
      </c>
      <c r="R48" s="8" t="s">
        <v>28</v>
      </c>
      <c r="S48" s="8" t="s">
        <v>542</v>
      </c>
    </row>
    <row r="49" customFormat="false" ht="15" hidden="false" customHeight="false" outlineLevel="0" collapsed="false">
      <c r="A49" s="5" t="s">
        <v>559</v>
      </c>
      <c r="B49" s="0" t="s">
        <v>86</v>
      </c>
      <c r="C49" s="23" t="n">
        <f aca="false">C44-C46</f>
        <v>36.813</v>
      </c>
      <c r="D49" s="23" t="n">
        <f aca="false">D44-D46</f>
        <v>38.219</v>
      </c>
      <c r="E49" s="23" t="n">
        <f aca="false">E44-E46</f>
        <v>11.194</v>
      </c>
      <c r="F49" s="23" t="n">
        <f aca="false">F44-F46</f>
        <v>4.693</v>
      </c>
      <c r="G49" s="23" t="n">
        <f aca="false">G44-G46</f>
        <v>19.584</v>
      </c>
      <c r="H49" s="23" t="n">
        <f aca="false">H44-H46</f>
        <v>-7.24</v>
      </c>
      <c r="I49" s="23" t="n">
        <f aca="false">I44-I46</f>
        <v>1.147</v>
      </c>
      <c r="J49" s="23" t="n">
        <f aca="false">J44-J46</f>
        <v>1.297</v>
      </c>
      <c r="K49" s="23" t="n">
        <f aca="false">K44-K46</f>
        <v>15.99</v>
      </c>
      <c r="L49" s="23" t="n">
        <f aca="false">L44-L46</f>
        <v>-17.202</v>
      </c>
      <c r="M49" s="23" t="n">
        <f aca="false">M44-M46</f>
        <v>-7.689</v>
      </c>
      <c r="N49" s="23" t="n">
        <f aca="false">N44-N46</f>
        <v>-6.093</v>
      </c>
      <c r="O49" s="23" t="n">
        <f aca="false">O44-O46</f>
        <v>17.287</v>
      </c>
      <c r="P49" s="23" t="n">
        <f aca="false">P44-P46</f>
        <v>-24.891</v>
      </c>
      <c r="Q49" s="23" t="n">
        <f aca="false">Q44-Q46</f>
        <v>-7.60399999999999</v>
      </c>
      <c r="R49" s="8" t="s">
        <v>41</v>
      </c>
    </row>
    <row r="50" customFormat="false" ht="15" hidden="false" customHeight="false" outlineLevel="0" collapsed="false">
      <c r="A50" s="5" t="s">
        <v>560</v>
      </c>
      <c r="B50" s="0" t="s">
        <v>86</v>
      </c>
      <c r="C50" s="21" t="n">
        <v>4.384</v>
      </c>
      <c r="D50" s="21" t="n">
        <v>2.043</v>
      </c>
      <c r="E50" s="21" t="n">
        <v>1.557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8" t="s">
        <v>28</v>
      </c>
      <c r="S50" s="8" t="s">
        <v>82</v>
      </c>
    </row>
    <row r="51" customFormat="false" ht="15" hidden="false" customHeight="false" outlineLevel="0" collapsed="false">
      <c r="A51" s="5" t="s">
        <v>561</v>
      </c>
      <c r="B51" s="0" t="s">
        <v>86</v>
      </c>
      <c r="C51" s="21" t="n">
        <v>0</v>
      </c>
      <c r="D51" s="21" t="n">
        <v>0</v>
      </c>
      <c r="E51" s="21" t="n">
        <v>0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1" t="n">
        <v>0</v>
      </c>
      <c r="Q51" s="22"/>
      <c r="R51" s="8" t="s">
        <v>28</v>
      </c>
      <c r="S51" s="8" t="s">
        <v>82</v>
      </c>
    </row>
    <row r="52" customFormat="false" ht="15" hidden="false" customHeight="false" outlineLevel="0" collapsed="false">
      <c r="A52" s="5" t="s">
        <v>562</v>
      </c>
      <c r="B52" s="0" t="s">
        <v>86</v>
      </c>
      <c r="C52" s="21" t="n">
        <v>0</v>
      </c>
      <c r="D52" s="21" t="n">
        <v>0</v>
      </c>
      <c r="E52" s="21" t="n">
        <v>0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1" t="n">
        <v>0</v>
      </c>
      <c r="Q52" s="22"/>
      <c r="R52" s="8" t="s">
        <v>28</v>
      </c>
      <c r="S52" s="8" t="s">
        <v>82</v>
      </c>
    </row>
    <row r="53" customFormat="false" ht="17.15" hidden="false" customHeight="false" outlineLevel="0" collapsed="false">
      <c r="A53" s="5" t="s">
        <v>563</v>
      </c>
      <c r="B53" s="0" t="s">
        <v>86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1" t="n">
        <v>39.767</v>
      </c>
      <c r="Q53" s="22"/>
      <c r="R53" s="8" t="s">
        <v>28</v>
      </c>
      <c r="S53" s="8" t="s">
        <v>34</v>
      </c>
    </row>
    <row r="54" customFormat="false" ht="17.15" hidden="false" customHeight="false" outlineLevel="0" collapsed="false">
      <c r="A54" s="1" t="s">
        <v>564</v>
      </c>
    </row>
    <row r="55" customFormat="false" ht="17.15" hidden="false" customHeight="false" outlineLevel="0" collapsed="false">
      <c r="A55" s="0" t="s">
        <v>565</v>
      </c>
      <c r="B55" s="0" t="s">
        <v>86</v>
      </c>
      <c r="C55" s="21" t="n">
        <v>17.529</v>
      </c>
      <c r="D55" s="21" t="n">
        <v>24.348</v>
      </c>
      <c r="E55" s="21" t="n">
        <v>35.919</v>
      </c>
      <c r="F55" s="22"/>
      <c r="G55" s="22"/>
      <c r="H55" s="22"/>
      <c r="I55" s="22"/>
      <c r="J55" s="22"/>
      <c r="K55" s="22"/>
      <c r="L55" s="22"/>
      <c r="M55" s="21"/>
      <c r="N55" s="22"/>
      <c r="O55" s="22"/>
      <c r="P55" s="21" t="n">
        <v>23.265</v>
      </c>
      <c r="Q55" s="22"/>
      <c r="R55" s="8" t="s">
        <v>28</v>
      </c>
      <c r="S55" s="8" t="s">
        <v>566</v>
      </c>
    </row>
    <row r="56" customFormat="false" ht="17.15" hidden="false" customHeight="false" outlineLevel="0" collapsed="false">
      <c r="A56" s="0" t="s">
        <v>567</v>
      </c>
      <c r="B56" s="0" t="s">
        <v>86</v>
      </c>
      <c r="C56" s="21" t="n">
        <v>4.144</v>
      </c>
      <c r="D56" s="21" t="n">
        <v>6.643</v>
      </c>
      <c r="E56" s="21" t="n">
        <v>7.617</v>
      </c>
      <c r="F56" s="22"/>
      <c r="G56" s="22"/>
      <c r="H56" s="22"/>
      <c r="I56" s="22"/>
      <c r="J56" s="22"/>
      <c r="K56" s="22"/>
      <c r="L56" s="22"/>
      <c r="M56" s="21"/>
      <c r="N56" s="22"/>
      <c r="O56" s="22"/>
      <c r="P56" s="21" t="n">
        <v>4.267</v>
      </c>
      <c r="Q56" s="22"/>
      <c r="R56" s="8" t="s">
        <v>28</v>
      </c>
      <c r="S56" s="8" t="s">
        <v>566</v>
      </c>
    </row>
    <row r="57" customFormat="false" ht="17.15" hidden="false" customHeight="false" outlineLevel="0" collapsed="false">
      <c r="A57" s="0" t="s">
        <v>568</v>
      </c>
      <c r="B57" s="0" t="s">
        <v>86</v>
      </c>
      <c r="C57" s="21" t="n">
        <v>24.843</v>
      </c>
      <c r="D57" s="21" t="n">
        <v>53.267</v>
      </c>
      <c r="E57" s="21" t="n">
        <v>96.496</v>
      </c>
      <c r="F57" s="22"/>
      <c r="G57" s="22"/>
      <c r="H57" s="22"/>
      <c r="I57" s="22"/>
      <c r="J57" s="22"/>
      <c r="K57" s="22"/>
      <c r="L57" s="22"/>
      <c r="M57" s="21"/>
      <c r="N57" s="22"/>
      <c r="O57" s="22"/>
      <c r="P57" s="21" t="n">
        <v>90.12</v>
      </c>
      <c r="Q57" s="22"/>
      <c r="R57" s="8" t="s">
        <v>28</v>
      </c>
      <c r="S57" s="8" t="s">
        <v>566</v>
      </c>
    </row>
    <row r="58" customFormat="false" ht="17.15" hidden="false" customHeight="false" outlineLevel="0" collapsed="false">
      <c r="A58" s="5" t="s">
        <v>569</v>
      </c>
      <c r="B58" s="0" t="s">
        <v>86</v>
      </c>
      <c r="C58" s="21" t="n">
        <v>1.828</v>
      </c>
      <c r="D58" s="21" t="n">
        <v>1.494</v>
      </c>
      <c r="E58" s="21" t="n">
        <v>2.32</v>
      </c>
      <c r="F58" s="22"/>
      <c r="G58" s="22"/>
      <c r="H58" s="22"/>
      <c r="I58" s="22"/>
      <c r="J58" s="22"/>
      <c r="K58" s="22"/>
      <c r="L58" s="22"/>
      <c r="M58" s="21"/>
      <c r="N58" s="22"/>
      <c r="O58" s="22"/>
      <c r="P58" s="21" t="n">
        <v>0.996</v>
      </c>
      <c r="Q58" s="22"/>
      <c r="R58" s="8" t="s">
        <v>28</v>
      </c>
      <c r="S58" s="8" t="s">
        <v>566</v>
      </c>
    </row>
    <row r="59" customFormat="false" ht="17.15" hidden="false" customHeight="false" outlineLevel="0" collapsed="false">
      <c r="A59" s="0" t="s">
        <v>570</v>
      </c>
      <c r="B59" s="0" t="s">
        <v>86</v>
      </c>
      <c r="C59" s="21" t="n">
        <v>48.344</v>
      </c>
      <c r="D59" s="21" t="n">
        <v>85.752</v>
      </c>
      <c r="E59" s="21" t="n">
        <v>142.352</v>
      </c>
      <c r="F59" s="22"/>
      <c r="G59" s="22"/>
      <c r="H59" s="22"/>
      <c r="I59" s="22"/>
      <c r="J59" s="22"/>
      <c r="K59" s="22"/>
      <c r="L59" s="22"/>
      <c r="M59" s="21"/>
      <c r="N59" s="22"/>
      <c r="O59" s="22"/>
      <c r="P59" s="21" t="n">
        <v>118.648</v>
      </c>
      <c r="Q59" s="22"/>
      <c r="R59" s="8" t="s">
        <v>28</v>
      </c>
      <c r="S59" s="8" t="s">
        <v>566</v>
      </c>
    </row>
    <row r="60" customFormat="false" ht="17.15" hidden="false" customHeight="false" outlineLevel="0" collapsed="false">
      <c r="A60" s="1" t="s">
        <v>571</v>
      </c>
    </row>
    <row r="61" customFormat="false" ht="17.15" hidden="false" customHeight="false" outlineLevel="0" collapsed="false">
      <c r="A61" s="5" t="s">
        <v>572</v>
      </c>
      <c r="B61" s="0" t="s">
        <v>86</v>
      </c>
      <c r="C61" s="22"/>
      <c r="D61" s="22"/>
      <c r="E61" s="21" t="n">
        <v>123.029</v>
      </c>
      <c r="F61" s="22"/>
      <c r="G61" s="22"/>
      <c r="H61" s="22"/>
      <c r="I61" s="22"/>
      <c r="J61" s="22"/>
      <c r="K61" s="22"/>
      <c r="L61" s="22"/>
      <c r="M61" s="21" t="n">
        <v>122.988</v>
      </c>
      <c r="N61" s="22"/>
      <c r="O61" s="22"/>
      <c r="P61" s="22"/>
      <c r="Q61" s="22"/>
      <c r="R61" s="8" t="s">
        <v>28</v>
      </c>
      <c r="S61" s="8" t="s">
        <v>566</v>
      </c>
    </row>
    <row r="62" customFormat="false" ht="17.15" hidden="false" customHeight="false" outlineLevel="0" collapsed="false">
      <c r="A62" s="5" t="s">
        <v>573</v>
      </c>
      <c r="B62" s="0" t="s">
        <v>86</v>
      </c>
      <c r="C62" s="22"/>
      <c r="D62" s="22"/>
      <c r="E62" s="21" t="n">
        <v>68.836</v>
      </c>
      <c r="F62" s="22"/>
      <c r="G62" s="22"/>
      <c r="H62" s="22"/>
      <c r="I62" s="22"/>
      <c r="J62" s="22"/>
      <c r="K62" s="22"/>
      <c r="L62" s="22"/>
      <c r="M62" s="21" t="n">
        <v>132.995</v>
      </c>
      <c r="N62" s="22"/>
      <c r="O62" s="22"/>
      <c r="P62" s="22"/>
      <c r="Q62" s="22"/>
      <c r="R62" s="8" t="s">
        <v>28</v>
      </c>
      <c r="S62" s="8" t="s">
        <v>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3" style="0" width="11"/>
    <col collapsed="false" customWidth="true" hidden="false" outlineLevel="0" max="16" min="16" style="0" width="60"/>
  </cols>
  <sheetData>
    <row r="1" customFormat="false" ht="17.15" hidden="false" customHeight="false" outlineLevel="0" collapsed="false">
      <c r="A1" s="0" t="s">
        <v>574</v>
      </c>
    </row>
    <row r="2" customFormat="false" ht="17.15" hidden="false" customHeight="false" outlineLevel="0" collapsed="false">
      <c r="A2" s="5" t="s">
        <v>575</v>
      </c>
    </row>
    <row r="4" customFormat="false" ht="19.4" hidden="false" customHeight="false" outlineLevel="0" collapsed="false">
      <c r="A4" s="31" t="s">
        <v>576</v>
      </c>
    </row>
    <row r="5" customFormat="false" ht="17.15" hidden="false" customHeight="false" outlineLevel="0" collapsed="false">
      <c r="A5" s="6" t="s">
        <v>16</v>
      </c>
      <c r="B5" s="6" t="s">
        <v>17</v>
      </c>
      <c r="C5" s="20" t="s">
        <v>494</v>
      </c>
      <c r="D5" s="20" t="s">
        <v>495</v>
      </c>
      <c r="E5" s="20" t="s">
        <v>577</v>
      </c>
      <c r="F5" s="20" t="s">
        <v>578</v>
      </c>
      <c r="G5" s="20" t="s">
        <v>579</v>
      </c>
      <c r="H5" s="20" t="s">
        <v>580</v>
      </c>
      <c r="I5" s="20" t="s">
        <v>581</v>
      </c>
      <c r="J5" s="20" t="s">
        <v>582</v>
      </c>
      <c r="K5" s="20" t="s">
        <v>583</v>
      </c>
      <c r="L5" s="20" t="s">
        <v>584</v>
      </c>
      <c r="M5" s="20" t="s">
        <v>585</v>
      </c>
      <c r="N5" s="20" t="s">
        <v>586</v>
      </c>
      <c r="O5" s="20" t="s">
        <v>587</v>
      </c>
      <c r="P5" s="6" t="s">
        <v>23</v>
      </c>
      <c r="R5" s="20" t="n">
        <v>2023</v>
      </c>
      <c r="S5" s="20" t="n">
        <v>2024</v>
      </c>
      <c r="T5" s="20" t="n">
        <v>2025</v>
      </c>
      <c r="U5" s="20" t="n">
        <v>2026</v>
      </c>
      <c r="V5" s="20" t="n">
        <v>2027</v>
      </c>
      <c r="W5" s="20" t="n">
        <v>2028</v>
      </c>
      <c r="X5" s="20" t="n">
        <v>2029</v>
      </c>
      <c r="Y5" s="20" t="n">
        <v>2030</v>
      </c>
      <c r="Z5" s="20" t="n">
        <v>2031</v>
      </c>
      <c r="AA5" s="20" t="n">
        <v>2032</v>
      </c>
    </row>
    <row r="6" customFormat="false" ht="17.15" hidden="false" customHeight="false" outlineLevel="0" collapsed="false">
      <c r="A6" s="1" t="s">
        <v>588</v>
      </c>
    </row>
    <row r="7" customFormat="false" ht="17.15" hidden="false" customHeight="false" outlineLevel="0" collapsed="false">
      <c r="A7" s="5" t="s">
        <v>589</v>
      </c>
      <c r="B7" s="0" t="s">
        <v>144</v>
      </c>
      <c r="H7" s="32" t="n">
        <f aca="false">pace_A</f>
        <v>3733</v>
      </c>
      <c r="I7" s="32" t="n">
        <f aca="false">pace_A</f>
        <v>3733</v>
      </c>
      <c r="J7" s="32" t="n">
        <f aca="false">pace_A</f>
        <v>3733</v>
      </c>
      <c r="K7" s="32" t="n">
        <f aca="false">pace_A+(Thesis!$J$8*tg-pace_A)*1/3</f>
        <v>2640.12166666667</v>
      </c>
      <c r="L7" s="32" t="n">
        <f aca="false">pace_A+(Thesis!$J$8*tg-pace_A)*2/3</f>
        <v>1547.24333333333</v>
      </c>
      <c r="M7" s="32" t="n">
        <f aca="false">pace_A+(Thesis!$J$8*tg-pace_A)*3/3</f>
        <v>454.365</v>
      </c>
      <c r="P7" s="5" t="s">
        <v>590</v>
      </c>
    </row>
    <row r="8" customFormat="false" ht="17.15" hidden="false" customHeight="false" outlineLevel="0" collapsed="false">
      <c r="A8" s="15" t="s">
        <v>591</v>
      </c>
      <c r="B8" s="14" t="s">
        <v>129</v>
      </c>
      <c r="C8" s="33" t="n">
        <f aca="false">mw_ye24</f>
        <v>360</v>
      </c>
      <c r="D8" s="33" t="n">
        <f aca="false">mw_ye25</f>
        <v>1440</v>
      </c>
      <c r="E8" s="33" t="n">
        <f aca="false">mw_open</f>
        <v>2080</v>
      </c>
      <c r="F8" s="33" t="n">
        <f aca="false">Thesis!$E$8+pace_A*0.5</f>
        <v>3946.5</v>
      </c>
      <c r="G8" s="33" t="n">
        <f aca="false">Thesis!$F$8</f>
        <v>3946.5</v>
      </c>
      <c r="H8" s="33" t="n">
        <f aca="false">Thesis!$G$8+Thesis!$H$7</f>
        <v>7679.5</v>
      </c>
      <c r="I8" s="33" t="n">
        <f aca="false">Thesis!$H$8+Thesis!$I$7</f>
        <v>11412.5</v>
      </c>
      <c r="J8" s="33" t="n">
        <f aca="false">Thesis!$I$8+Thesis!$J$7</f>
        <v>15145.5</v>
      </c>
      <c r="K8" s="33" t="n">
        <f aca="false">Thesis!$J$8+Thesis!$K$7</f>
        <v>17785.6216666667</v>
      </c>
      <c r="L8" s="33" t="n">
        <f aca="false">Thesis!$K$8+Thesis!$L$7</f>
        <v>19332.865</v>
      </c>
      <c r="M8" s="33" t="n">
        <f aca="false">Thesis!$L$8+Thesis!$M$7</f>
        <v>19787.23</v>
      </c>
      <c r="N8" s="33" t="n">
        <f aca="false">(mw_ye24+mw_ye25)/2</f>
        <v>900</v>
      </c>
      <c r="O8" s="33" t="n">
        <f aca="false">mw_ye25</f>
        <v>1440</v>
      </c>
      <c r="P8" s="5" t="s">
        <v>592</v>
      </c>
    </row>
    <row r="9" customFormat="false" ht="17.15" hidden="false" customHeight="false" outlineLevel="0" collapsed="false">
      <c r="A9" s="5" t="s">
        <v>593</v>
      </c>
      <c r="B9" s="0" t="s">
        <v>129</v>
      </c>
      <c r="C9" s="32" t="n">
        <f aca="false">(mw_ye23+mw_ye24)/2</f>
        <v>240</v>
      </c>
      <c r="D9" s="32" t="n">
        <f aca="false">(Thesis!$C$8+Thesis!$D$8)/2</f>
        <v>900</v>
      </c>
      <c r="E9" s="32" t="n">
        <f aca="false">(Thesis!$D$8+Thesis!$E$8)/2</f>
        <v>1760</v>
      </c>
      <c r="F9" s="32" t="n">
        <f aca="false">(Thesis!$E$8+Thesis!$F$8)/2</f>
        <v>3013.25</v>
      </c>
      <c r="G9" s="32" t="n">
        <f aca="false">(Thesis!$E$9+Thesis!$F$9)/2</f>
        <v>2386.625</v>
      </c>
      <c r="H9" s="32" t="n">
        <f aca="false">(Thesis!$G$8+Thesis!$H$8)/2</f>
        <v>5813</v>
      </c>
      <c r="I9" s="32" t="n">
        <f aca="false">(Thesis!$H$8+Thesis!$I$8)/2</f>
        <v>9546</v>
      </c>
      <c r="J9" s="32" t="n">
        <f aca="false">(Thesis!$I$8+Thesis!$J$8)/2</f>
        <v>13279</v>
      </c>
      <c r="K9" s="32" t="n">
        <f aca="false">(Thesis!$J$8+Thesis!$K$8)/2</f>
        <v>16465.5608333333</v>
      </c>
      <c r="L9" s="32" t="n">
        <f aca="false">(Thesis!$K$8+Thesis!$L$8)/2</f>
        <v>18559.2433333333</v>
      </c>
      <c r="M9" s="32" t="n">
        <f aca="false">(Thesis!$L$8+Thesis!$M$8)/2</f>
        <v>19560.0475</v>
      </c>
      <c r="N9" s="32" t="n">
        <f aca="false">(Thesis!$C$8+Thesis!$N$8)/2</f>
        <v>630</v>
      </c>
      <c r="O9" s="32" t="n">
        <f aca="false">(Thesis!$N$8+Thesis!$O$8)/2</f>
        <v>1170</v>
      </c>
    </row>
    <row r="10" customFormat="false" ht="15" hidden="false" customHeight="false" outlineLevel="0" collapsed="false">
      <c r="A10" s="5" t="s">
        <v>594</v>
      </c>
      <c r="B10" s="5" t="s">
        <v>123</v>
      </c>
      <c r="C10" s="34" t="n">
        <v>1</v>
      </c>
      <c r="D10" s="34" t="n">
        <v>1</v>
      </c>
      <c r="E10" s="34" t="n">
        <v>0.5</v>
      </c>
      <c r="F10" s="34" t="n">
        <v>0.5</v>
      </c>
      <c r="G10" s="34" t="n">
        <v>1</v>
      </c>
      <c r="H10" s="34" t="n">
        <v>1</v>
      </c>
      <c r="I10" s="34" t="n">
        <v>1</v>
      </c>
      <c r="J10" s="34" t="n">
        <v>1</v>
      </c>
      <c r="K10" s="34" t="n">
        <v>1</v>
      </c>
      <c r="L10" s="34" t="n">
        <v>1</v>
      </c>
      <c r="M10" s="34" t="n">
        <v>1</v>
      </c>
      <c r="N10" s="34" t="n">
        <v>0.5</v>
      </c>
      <c r="O10" s="34" t="n">
        <v>0.5</v>
      </c>
    </row>
    <row r="11" customFormat="false" ht="17.15" hidden="false" customHeight="false" outlineLevel="0" collapsed="false">
      <c r="A11" s="5" t="s">
        <v>595</v>
      </c>
      <c r="B11" s="0" t="s">
        <v>129</v>
      </c>
      <c r="C11" s="32" t="n">
        <f aca="false">Thesis!$C$8-mw_ye23</f>
        <v>240</v>
      </c>
      <c r="D11" s="32" t="n">
        <f aca="false">Thesis!$D$8-Thesis!$C$8</f>
        <v>1080</v>
      </c>
      <c r="E11" s="32" t="n">
        <f aca="false">Thesis!$E$8-Thesis!$D$8</f>
        <v>640</v>
      </c>
      <c r="F11" s="32" t="n">
        <f aca="false">Thesis!$F$8-Thesis!$E$8</f>
        <v>1866.5</v>
      </c>
      <c r="G11" s="32" t="n">
        <f aca="false">Thesis!$E$11+Thesis!$F$11</f>
        <v>2506.5</v>
      </c>
      <c r="H11" s="32" t="n">
        <f aca="false">Thesis!$H$8-Thesis!$G$8</f>
        <v>3733</v>
      </c>
      <c r="I11" s="32" t="n">
        <f aca="false">Thesis!$I$8-Thesis!$H$8</f>
        <v>3733</v>
      </c>
      <c r="J11" s="32" t="n">
        <f aca="false">Thesis!$J$8-Thesis!$I$8</f>
        <v>3733</v>
      </c>
      <c r="K11" s="32" t="n">
        <f aca="false">Thesis!$K$8-Thesis!$J$8</f>
        <v>2640.12166666667</v>
      </c>
      <c r="L11" s="32" t="n">
        <f aca="false">Thesis!$L$8-Thesis!$K$8</f>
        <v>1547.24333333333</v>
      </c>
      <c r="M11" s="32" t="n">
        <f aca="false">Thesis!$M$8-Thesis!$L$8</f>
        <v>454.364999999998</v>
      </c>
      <c r="N11" s="32" t="n">
        <f aca="false">Thesis!$N$8-Thesis!$C$8</f>
        <v>540</v>
      </c>
      <c r="O11" s="32" t="n">
        <f aca="false">Thesis!$O$8-Thesis!$N$8</f>
        <v>540</v>
      </c>
    </row>
    <row r="12" customFormat="false" ht="17.15" hidden="false" customHeight="false" outlineLevel="0" collapsed="false">
      <c r="A12" s="5" t="s">
        <v>596</v>
      </c>
      <c r="B12" s="0" t="s">
        <v>129</v>
      </c>
      <c r="C12" s="32" t="n">
        <f aca="false">Thesis!$C$11/ext_sh</f>
        <v>300</v>
      </c>
      <c r="D12" s="32" t="n">
        <f aca="false">Thesis!$D$11/ext_sh</f>
        <v>1350</v>
      </c>
      <c r="E12" s="32" t="n">
        <f aca="false">Thesis!$E$11/ext_sh</f>
        <v>800</v>
      </c>
      <c r="F12" s="32" t="n">
        <f aca="false">Thesis!$F$11/ext_sh</f>
        <v>2333.125</v>
      </c>
      <c r="G12" s="32" t="n">
        <f aca="false">Thesis!$G$11/ext_sh</f>
        <v>3133.125</v>
      </c>
      <c r="H12" s="32" t="n">
        <f aca="false">Thesis!$H$11/ext_sh</f>
        <v>4666.25</v>
      </c>
      <c r="I12" s="32" t="n">
        <f aca="false">Thesis!$I$11/ext_sh</f>
        <v>4666.25</v>
      </c>
      <c r="J12" s="32" t="n">
        <f aca="false">Thesis!$J$11/ext_sh</f>
        <v>4666.25</v>
      </c>
      <c r="K12" s="32" t="n">
        <f aca="false">Thesis!$K$11/ext_sh</f>
        <v>3300.15208333333</v>
      </c>
      <c r="L12" s="32" t="n">
        <f aca="false">Thesis!$L$11/ext_sh</f>
        <v>1934.05416666667</v>
      </c>
      <c r="M12" s="32" t="n">
        <f aca="false">Thesis!$M$11/ext_sh</f>
        <v>567.956249999998</v>
      </c>
      <c r="N12" s="32" t="n">
        <f aca="false">Thesis!$N$11/ext_sh</f>
        <v>675</v>
      </c>
      <c r="O12" s="32" t="n">
        <f aca="false">Thesis!$O$11/ext_sh</f>
        <v>675</v>
      </c>
      <c r="P12" s="8" t="s">
        <v>597</v>
      </c>
      <c r="R12" s="32" t="n">
        <f aca="false">mw_ye23/ext_sh</f>
        <v>150</v>
      </c>
      <c r="S12" s="32" t="n">
        <f aca="false">Thesis!$C$12</f>
        <v>300</v>
      </c>
      <c r="T12" s="32" t="n">
        <f aca="false">Thesis!$D$12</f>
        <v>1350</v>
      </c>
      <c r="U12" s="32" t="n">
        <f aca="false">Thesis!$G$12</f>
        <v>3133.125</v>
      </c>
      <c r="V12" s="32" t="n">
        <f aca="false">Thesis!$H$12</f>
        <v>4666.25</v>
      </c>
      <c r="W12" s="32" t="n">
        <f aca="false">Thesis!$I$12</f>
        <v>4666.25</v>
      </c>
      <c r="X12" s="32" t="n">
        <f aca="false">Thesis!$J$12</f>
        <v>4666.25</v>
      </c>
      <c r="Y12" s="32" t="n">
        <f aca="false">Thesis!$K$12</f>
        <v>3300.15208333333</v>
      </c>
      <c r="Z12" s="32" t="n">
        <f aca="false">Thesis!$L$12</f>
        <v>1934.05416666667</v>
      </c>
      <c r="AA12" s="32" t="n">
        <f aca="false">Thesis!$M$12</f>
        <v>567.956249999998</v>
      </c>
    </row>
    <row r="13" customFormat="false" ht="17.15" hidden="false" customHeight="false" outlineLevel="0" collapsed="false">
      <c r="A13" s="1" t="s">
        <v>598</v>
      </c>
    </row>
    <row r="14" customFormat="false" ht="17.15" hidden="false" customHeight="false" outlineLevel="0" collapsed="false">
      <c r="A14" s="0" t="s">
        <v>599</v>
      </c>
      <c r="B14" s="0" t="s">
        <v>52</v>
      </c>
      <c r="F14" s="35" t="n">
        <f aca="false">na_vr26</f>
        <v>0</v>
      </c>
      <c r="G14" s="35" t="n">
        <f aca="false">na_vr26</f>
        <v>0</v>
      </c>
      <c r="H14" s="35" t="n">
        <f aca="false">na_vr27</f>
        <v>0.5</v>
      </c>
      <c r="I14" s="35" t="n">
        <f aca="false">na_vr28</f>
        <v>1</v>
      </c>
      <c r="J14" s="35" t="n">
        <f aca="false">na_vr28</f>
        <v>1</v>
      </c>
      <c r="K14" s="35" t="n">
        <f aca="false">na_vr28</f>
        <v>1</v>
      </c>
      <c r="L14" s="35" t="n">
        <f aca="false">na_vr28</f>
        <v>1</v>
      </c>
      <c r="M14" s="35" t="n">
        <f aca="false">na_vr28</f>
        <v>1</v>
      </c>
    </row>
    <row r="15" customFormat="false" ht="17.15" hidden="false" customHeight="false" outlineLevel="0" collapsed="false">
      <c r="A15" s="5" t="s">
        <v>600</v>
      </c>
      <c r="B15" s="0" t="s">
        <v>173</v>
      </c>
      <c r="F15" s="36" t="n">
        <f aca="false">cust_sh*tk_he_gb300*cf_chip+(1-cust_sh)*((1-Thesis!$F$14)*tk_he_gb300+Thesis!$F$14*tk_he_vr200)</f>
        <v>10.8864110021101</v>
      </c>
      <c r="G15" s="36" t="n">
        <f aca="false">cust_sh*tk_he_gb300*cf_chip+(1-cust_sh)*((1-Thesis!$G$14)*tk_he_gb300+Thesis!$G$14*tk_he_vr200)</f>
        <v>10.8864110021101</v>
      </c>
      <c r="H15" s="36" t="n">
        <f aca="false">cust_sh*tk_he_gb300*cf_chip+(1-cust_sh)*((1-Thesis!$H$14)*tk_he_gb300+Thesis!$H$14*tk_he_vr200)</f>
        <v>11.2211760027286</v>
      </c>
      <c r="I15" s="36" t="n">
        <f aca="false">cust_sh*tk_he_gb300*cf_chip+(1-cust_sh)*((1-Thesis!$I$14)*tk_he_gb300+Thesis!$I$14*tk_he_vr200)</f>
        <v>11.5559410033471</v>
      </c>
      <c r="J15" s="36" t="n">
        <f aca="false">cust_sh*tk_he_gb300*cf_chip+(1-cust_sh)*((1-Thesis!$J$14)*tk_he_gb300+Thesis!$J$14*tk_he_vr200)</f>
        <v>11.5559410033471</v>
      </c>
      <c r="K15" s="36" t="n">
        <f aca="false">cust_sh*tk_he_gb300*cf_chip+(1-cust_sh)*((1-Thesis!$K$14)*tk_he_gb300+Thesis!$K$14*tk_he_vr200)</f>
        <v>11.5559410033471</v>
      </c>
      <c r="L15" s="36" t="n">
        <f aca="false">cust_sh*tk_he_gb300*cf_chip+(1-cust_sh)*((1-Thesis!$L$14)*tk_he_gb300+Thesis!$L$14*tk_he_vr200)</f>
        <v>11.5559410033471</v>
      </c>
      <c r="M15" s="36" t="n">
        <f aca="false">cust_sh*tk_he_gb300*cf_chip+(1-cust_sh)*((1-Thesis!$M$14)*tk_he_gb300+Thesis!$M$14*tk_he_vr200)</f>
        <v>11.5559410033471</v>
      </c>
    </row>
    <row r="16" customFormat="false" ht="17.15" hidden="false" customHeight="false" outlineLevel="0" collapsed="false">
      <c r="A16" s="5" t="s">
        <v>601</v>
      </c>
      <c r="B16" s="0" t="s">
        <v>173</v>
      </c>
      <c r="F16" s="36" t="n">
        <f aca="false">cust_sh*tk_ox_gb300+(1-cust_sh)*((1-Thesis!$F$14)*tk_ox_gb300+Thesis!$F$14*tk_ox_vr200)</f>
        <v>1.98263481314457</v>
      </c>
      <c r="G16" s="36" t="n">
        <f aca="false">cust_sh*tk_ox_gb300+(1-cust_sh)*((1-Thesis!$G$14)*tk_ox_gb300+Thesis!$G$14*tk_ox_vr200)</f>
        <v>1.98263481314457</v>
      </c>
      <c r="H16" s="36" t="n">
        <f aca="false">cust_sh*tk_ox_gb300+(1-cust_sh)*((1-Thesis!$H$14)*tk_ox_gb300+Thesis!$H$14*tk_ox_vr200)</f>
        <v>2.01034999693694</v>
      </c>
      <c r="I16" s="36" t="n">
        <f aca="false">cust_sh*tk_ox_gb300+(1-cust_sh)*((1-Thesis!$I$14)*tk_ox_gb300+Thesis!$I$14*tk_ox_vr200)</f>
        <v>2.0380651807293</v>
      </c>
      <c r="J16" s="36" t="n">
        <f aca="false">cust_sh*tk_ox_gb300+(1-cust_sh)*((1-Thesis!$J$14)*tk_ox_gb300+Thesis!$J$14*tk_ox_vr200)</f>
        <v>2.0380651807293</v>
      </c>
      <c r="K16" s="36" t="n">
        <f aca="false">cust_sh*tk_ox_gb300+(1-cust_sh)*((1-Thesis!$K$14)*tk_ox_gb300+Thesis!$K$14*tk_ox_vr200)</f>
        <v>2.0380651807293</v>
      </c>
      <c r="L16" s="36" t="n">
        <f aca="false">cust_sh*tk_ox_gb300+(1-cust_sh)*((1-Thesis!$L$14)*tk_ox_gb300+Thesis!$L$14*tk_ox_vr200)</f>
        <v>2.0380651807293</v>
      </c>
      <c r="M16" s="36" t="n">
        <f aca="false">cust_sh*tk_ox_gb300+(1-cust_sh)*((1-Thesis!$M$14)*tk_ox_gb300+Thesis!$M$14*tk_ox_vr200)</f>
        <v>2.0380651807293</v>
      </c>
    </row>
    <row r="17" customFormat="false" ht="17.15" hidden="false" customHeight="false" outlineLevel="0" collapsed="false">
      <c r="A17" s="5" t="s">
        <v>602</v>
      </c>
      <c r="B17" s="0" t="s">
        <v>192</v>
      </c>
      <c r="F17" s="36" t="n">
        <f aca="false">cust_sh*tk_cx_gb300*cf_cx+(1-cust_sh)*((1-Thesis!$F$14)*tk_cx_gb300+Thesis!$F$14*tk_cx_vr200)</f>
        <v>32.237224</v>
      </c>
      <c r="G17" s="36" t="n">
        <f aca="false">cust_sh*tk_cx_gb300*cf_cx+(1-cust_sh)*((1-Thesis!$G$14)*tk_cx_gb300+Thesis!$G$14*tk_cx_vr200)</f>
        <v>32.237224</v>
      </c>
      <c r="H17" s="36" t="n">
        <f aca="false">cust_sh*tk_cx_gb300*cf_cx+(1-cust_sh)*((1-Thesis!$H$14)*tk_cx_gb300+Thesis!$H$14*tk_cx_vr200)</f>
        <v>33.574506</v>
      </c>
      <c r="I17" s="36" t="n">
        <f aca="false">cust_sh*tk_cx_gb300*cf_cx+(1-cust_sh)*((1-Thesis!$I$14)*tk_cx_gb300+Thesis!$I$14*tk_cx_vr200)</f>
        <v>34.911788</v>
      </c>
      <c r="J17" s="36" t="n">
        <f aca="false">cust_sh*tk_cx_gb300*cf_cx+(1-cust_sh)*((1-Thesis!$J$14)*tk_cx_gb300+Thesis!$J$14*tk_cx_vr200)</f>
        <v>34.911788</v>
      </c>
      <c r="K17" s="36" t="n">
        <f aca="false">cust_sh*tk_cx_gb300*cf_cx+(1-cust_sh)*((1-Thesis!$K$14)*tk_cx_gb300+Thesis!$K$14*tk_cx_vr200)</f>
        <v>34.911788</v>
      </c>
      <c r="L17" s="36" t="n">
        <f aca="false">cust_sh*tk_cx_gb300*cf_cx+(1-cust_sh)*((1-Thesis!$L$14)*tk_cx_gb300+Thesis!$L$14*tk_cx_vr200)</f>
        <v>34.911788</v>
      </c>
      <c r="M17" s="36" t="n">
        <f aca="false">cust_sh*tk_cx_gb300*cf_cx+(1-cust_sh)*((1-Thesis!$M$14)*tk_cx_gb300+Thesis!$M$14*tk_cx_vr200)</f>
        <v>34.911788</v>
      </c>
    </row>
    <row r="18" customFormat="false" ht="17.15" hidden="false" customHeight="false" outlineLevel="0" collapsed="false">
      <c r="A18" s="5" t="s">
        <v>603</v>
      </c>
      <c r="B18" s="0" t="s">
        <v>129</v>
      </c>
      <c r="F18" s="32" t="n">
        <f aca="false">Thesis!$F$8-mw_open</f>
        <v>1866.5</v>
      </c>
      <c r="G18" s="32" t="n">
        <f aca="false">Thesis!$F$18</f>
        <v>1866.5</v>
      </c>
      <c r="H18" s="32" t="n">
        <f aca="false">Thesis!$H$8-mw_open</f>
        <v>5599.5</v>
      </c>
      <c r="I18" s="32" t="n">
        <f aca="false">Thesis!$I$8-mw_open</f>
        <v>9332.5</v>
      </c>
      <c r="J18" s="32" t="n">
        <f aca="false">Thesis!$J$8-mw_open</f>
        <v>13065.5</v>
      </c>
      <c r="K18" s="32" t="n">
        <f aca="false">Thesis!$K$8-mw_open</f>
        <v>15705.6216666667</v>
      </c>
      <c r="L18" s="32" t="n">
        <f aca="false">Thesis!$L$8-mw_open</f>
        <v>17252.865</v>
      </c>
      <c r="M18" s="32" t="n">
        <f aca="false">Thesis!$M$8-mw_open</f>
        <v>17707.23</v>
      </c>
    </row>
    <row r="19" customFormat="false" ht="17.15" hidden="false" customHeight="false" outlineLevel="0" collapsed="false">
      <c r="A19" s="0" t="s">
        <v>604</v>
      </c>
      <c r="B19" s="0" t="s">
        <v>605</v>
      </c>
      <c r="F19" s="32" t="n">
        <f aca="false">Thesis!$F$11*Thesis!$F$15</f>
        <v>20319.4861354385</v>
      </c>
      <c r="G19" s="32" t="n">
        <f aca="false">Thesis!$F$19</f>
        <v>20319.4861354385</v>
      </c>
      <c r="H19" s="32" t="n">
        <f aca="false">Thesis!$G$19+Thesis!$H$11*Thesis!$H$15</f>
        <v>62208.1361536244</v>
      </c>
      <c r="I19" s="32" t="n">
        <f aca="false">Thesis!$H$19+Thesis!$I$11*Thesis!$I$15</f>
        <v>105346.463919119</v>
      </c>
      <c r="J19" s="32" t="n">
        <f aca="false">Thesis!$I$19+Thesis!$J$11*Thesis!$J$15</f>
        <v>148484.791684614</v>
      </c>
      <c r="K19" s="32" t="n">
        <f aca="false">Thesis!$J$19+Thesis!$K$11*Thesis!$K$15</f>
        <v>178993.881906272</v>
      </c>
      <c r="L19" s="32" t="n">
        <f aca="false">Thesis!$K$19+Thesis!$L$11*Thesis!$L$15</f>
        <v>196873.734584094</v>
      </c>
      <c r="M19" s="32" t="n">
        <f aca="false">Thesis!$L$19+Thesis!$M$11*Thesis!$M$15</f>
        <v>202124.34971808</v>
      </c>
    </row>
    <row r="20" customFormat="false" ht="17.15" hidden="false" customHeight="false" outlineLevel="0" collapsed="false">
      <c r="A20" s="0" t="s">
        <v>606</v>
      </c>
      <c r="B20" s="0" t="s">
        <v>605</v>
      </c>
      <c r="F20" s="32" t="n">
        <f aca="false">Thesis!$F$11*Thesis!$F$16</f>
        <v>3700.58787873434</v>
      </c>
      <c r="G20" s="32" t="n">
        <f aca="false">Thesis!$F$20</f>
        <v>3700.58787873434</v>
      </c>
      <c r="H20" s="32" t="n">
        <f aca="false">Thesis!$G$20+Thesis!$H$11*Thesis!$H$16</f>
        <v>11205.2244172999</v>
      </c>
      <c r="I20" s="32" t="n">
        <f aca="false">Thesis!$H$20+Thesis!$I$11*Thesis!$I$16</f>
        <v>18813.3217369624</v>
      </c>
      <c r="J20" s="32" t="n">
        <f aca="false">Thesis!$I$20+Thesis!$J$11*Thesis!$J$16</f>
        <v>26421.4190566249</v>
      </c>
      <c r="K20" s="32" t="n">
        <f aca="false">Thesis!$J$20+Thesis!$K$11*Thesis!$K$16</f>
        <v>31802.1590983472</v>
      </c>
      <c r="L20" s="32" t="n">
        <f aca="false">Thesis!$K$20+Thesis!$L$11*Thesis!$L$16</f>
        <v>34955.5418621294</v>
      </c>
      <c r="M20" s="32" t="n">
        <f aca="false">Thesis!$L$20+Thesis!$M$11*Thesis!$M$16</f>
        <v>35881.5673479715</v>
      </c>
    </row>
    <row r="21" customFormat="false" ht="17.15" hidden="false" customHeight="false" outlineLevel="0" collapsed="false">
      <c r="A21" s="5" t="s">
        <v>607</v>
      </c>
      <c r="B21" s="0" t="s">
        <v>173</v>
      </c>
      <c r="F21" s="36" t="n">
        <f aca="false">IF(Thesis!$F$18&gt;0,Thesis!$F$19/Thesis!$F$18,Thesis!$F$15)</f>
        <v>10.8864110021101</v>
      </c>
      <c r="G21" s="36" t="n">
        <f aca="false">IF(Thesis!$G$18&gt;0,Thesis!$G$19/Thesis!$G$18,Thesis!$G$15)</f>
        <v>10.8864110021101</v>
      </c>
      <c r="H21" s="36" t="n">
        <f aca="false">IF(Thesis!$H$18&gt;0,Thesis!$H$19/Thesis!$H$18,Thesis!$H$15)</f>
        <v>11.1095876691891</v>
      </c>
      <c r="I21" s="36" t="n">
        <f aca="false">IF(Thesis!$I$18&gt;0,Thesis!$I$19/Thesis!$I$18,Thesis!$I$15)</f>
        <v>11.2881290028523</v>
      </c>
      <c r="J21" s="36" t="n">
        <f aca="false">IF(Thesis!$J$18&gt;0,Thesis!$J$19/Thesis!$J$18,Thesis!$J$15)</f>
        <v>11.3646467172794</v>
      </c>
      <c r="K21" s="36" t="n">
        <f aca="false">IF(Thesis!$K$18&gt;0,Thesis!$K$19/Thesis!$K$18,Thesis!$K$15)</f>
        <v>11.3968033679409</v>
      </c>
      <c r="L21" s="36" t="n">
        <f aca="false">IF(Thesis!$L$18&gt;0,Thesis!$L$19/Thesis!$L$18,Thesis!$L$15)</f>
        <v>11.4110748901179</v>
      </c>
      <c r="M21" s="36" t="n">
        <f aca="false">IF(Thesis!$M$18&gt;0,Thesis!$M$19/Thesis!$M$18,Thesis!$M$15)</f>
        <v>11.4147921339521</v>
      </c>
    </row>
    <row r="22" customFormat="false" ht="17.15" hidden="false" customHeight="false" outlineLevel="0" collapsed="false">
      <c r="A22" s="5" t="s">
        <v>608</v>
      </c>
      <c r="B22" s="0" t="s">
        <v>173</v>
      </c>
      <c r="F22" s="36" t="n">
        <f aca="false">IF(Thesis!$F$18&gt;0,Thesis!$F$20/Thesis!$F$18,Thesis!$F$16)</f>
        <v>1.98263481314457</v>
      </c>
      <c r="G22" s="36" t="n">
        <f aca="false">IF(Thesis!$G$18&gt;0,Thesis!$G$20/Thesis!$G$18,Thesis!$G$16)</f>
        <v>1.98263481314457</v>
      </c>
      <c r="H22" s="36" t="n">
        <f aca="false">IF(Thesis!$H$18&gt;0,Thesis!$H$20/Thesis!$H$18,Thesis!$H$16)</f>
        <v>2.00111160233948</v>
      </c>
      <c r="I22" s="36" t="n">
        <f aca="false">IF(Thesis!$I$18&gt;0,Thesis!$I$20/Thesis!$I$18,Thesis!$I$16)</f>
        <v>2.01589303369541</v>
      </c>
      <c r="J22" s="36" t="n">
        <f aca="false">IF(Thesis!$J$18&gt;0,Thesis!$J$20/Thesis!$J$18,Thesis!$J$16)</f>
        <v>2.02222793284795</v>
      </c>
      <c r="K22" s="36" t="n">
        <f aca="false">IF(Thesis!$K$18&gt;0,Thesis!$K$20/Thesis!$K$18,Thesis!$K$16)</f>
        <v>2.02489018093716</v>
      </c>
      <c r="L22" s="36" t="n">
        <f aca="false">IF(Thesis!$L$18&gt;0,Thesis!$L$20/Thesis!$L$18,Thesis!$L$16)</f>
        <v>2.02607171980592</v>
      </c>
      <c r="M22" s="36" t="n">
        <f aca="false">IF(Thesis!$M$18&gt;0,Thesis!$M$20/Thesis!$M$18,Thesis!$M$16)</f>
        <v>2.02637947030515</v>
      </c>
    </row>
    <row r="23" customFormat="false" ht="17.15" hidden="false" customHeight="false" outlineLevel="0" collapsed="false">
      <c r="A23" s="15" t="s">
        <v>609</v>
      </c>
      <c r="B23" s="14" t="s">
        <v>173</v>
      </c>
      <c r="C23" s="14"/>
      <c r="D23" s="14"/>
      <c r="E23" s="14"/>
      <c r="F23" s="37" t="n">
        <f aca="false">Thesis!$F$21*k_A</f>
        <v>16.5292102673303</v>
      </c>
      <c r="G23" s="37" t="n">
        <f aca="false">Thesis!$G$21*k_A</f>
        <v>16.5292102673303</v>
      </c>
      <c r="H23" s="37" t="n">
        <f aca="false">Thesis!$H$21*k_A</f>
        <v>16.8680670362136</v>
      </c>
      <c r="I23" s="37" t="n">
        <f aca="false">Thesis!$I$21*k_A</f>
        <v>17.1391524513203</v>
      </c>
      <c r="J23" s="37" t="n">
        <f aca="false">Thesis!$J$21*k_A</f>
        <v>17.2553319149374</v>
      </c>
      <c r="K23" s="37" t="n">
        <f aca="false">Thesis!$K$21*k_A</f>
        <v>17.304156457771</v>
      </c>
      <c r="L23" s="37" t="n">
        <f aca="false">Thesis!$L$21*k_A</f>
        <v>17.3258253981457</v>
      </c>
      <c r="M23" s="37" t="n">
        <f aca="false">Thesis!$M$21*k_A</f>
        <v>17.3314694166324</v>
      </c>
      <c r="N23" s="14"/>
      <c r="O23" s="14"/>
      <c r="P23" s="5" t="s">
        <v>610</v>
      </c>
    </row>
    <row r="24" customFormat="false" ht="17.15" hidden="false" customHeight="false" outlineLevel="0" collapsed="false">
      <c r="A24" s="5" t="s">
        <v>611</v>
      </c>
      <c r="B24" s="0" t="s">
        <v>129</v>
      </c>
      <c r="F24" s="32" t="n">
        <f aca="false">Thesis!$F$18/2</f>
        <v>933.25</v>
      </c>
      <c r="H24" s="32" t="n">
        <f aca="false">(Thesis!$G$18+Thesis!$H$18)/2</f>
        <v>3733</v>
      </c>
      <c r="I24" s="32" t="n">
        <f aca="false">(Thesis!$H$18+Thesis!$I$18)/2</f>
        <v>7466</v>
      </c>
      <c r="J24" s="32" t="n">
        <f aca="false">(Thesis!$I$18+Thesis!$J$18)/2</f>
        <v>11199</v>
      </c>
      <c r="K24" s="32" t="n">
        <f aca="false">(Thesis!$J$18+Thesis!$K$18)/2</f>
        <v>14385.5608333333</v>
      </c>
      <c r="L24" s="32" t="n">
        <f aca="false">(Thesis!$K$18+Thesis!$L$18)/2</f>
        <v>16479.2433333333</v>
      </c>
      <c r="M24" s="32" t="n">
        <f aca="false">(Thesis!$L$18+Thesis!$M$18)/2</f>
        <v>17480.0475</v>
      </c>
    </row>
    <row r="25" customFormat="false" ht="17.15" hidden="false" customHeight="false" outlineLevel="0" collapsed="false">
      <c r="A25" s="1" t="s">
        <v>612</v>
      </c>
    </row>
    <row r="26" customFormat="false" ht="17.15" hidden="false" customHeight="false" outlineLevel="0" collapsed="false">
      <c r="A26" s="1" t="s">
        <v>613</v>
      </c>
      <c r="B26" s="8" t="s">
        <v>86</v>
      </c>
      <c r="C26" s="38" t="n">
        <f aca="false">Thesis!$C$9*rpm_open*Thesis!$C$10/1000</f>
        <v>2.32100535697364</v>
      </c>
      <c r="D26" s="38" t="n">
        <f aca="false">Thesis!$D$9*rpm_open*Thesis!$D$10/1000</f>
        <v>8.70377008865116</v>
      </c>
      <c r="E26" s="38" t="n">
        <f aca="false">Thesis!$E$9*rpm_open*Thesis!$E$10/1000</f>
        <v>8.51035297557002</v>
      </c>
      <c r="F26" s="38" t="n">
        <f aca="false">(mw_open*rpm_open+Thesis!$F$24*Thesis!$F$23)*Thesis!$F$10/1000</f>
        <v>17.7706326212121</v>
      </c>
      <c r="G26" s="38" t="n">
        <f aca="false">Thesis!$E$26+Thesis!$F$26</f>
        <v>26.2809855967821</v>
      </c>
      <c r="H26" s="38" t="n">
        <f aca="false">(mw_open*rpm_open+Thesis!$H$24*Thesis!$H$23)/1000</f>
        <v>83.0838740066237</v>
      </c>
      <c r="I26" s="38" t="n">
        <f aca="false">(mw_open*rpm_open+Thesis!$I$24*Thesis!$I$23)/1000</f>
        <v>148.076291961995</v>
      </c>
      <c r="J26" s="38" t="n">
        <f aca="false">(mw_open*rpm_open+Thesis!$J$24*Thesis!$J$23)/1000</f>
        <v>213.357841875822</v>
      </c>
      <c r="K26" s="38" t="n">
        <f aca="false">(mw_open*rpm_open+Thesis!$K$24*Thesis!$K$23)/1000</f>
        <v>269.045375153221</v>
      </c>
      <c r="L26" s="38" t="n">
        <f aca="false">(mw_open*rpm_open+Thesis!$L$24*Thesis!$L$23)/1000</f>
        <v>305.631872447328</v>
      </c>
      <c r="M26" s="38" t="n">
        <f aca="false">(mw_open*rpm_open+Thesis!$M$24*Thesis!$M$23)/1000</f>
        <v>323.07028840797</v>
      </c>
      <c r="N26" s="38" t="n">
        <f aca="false">Thesis!$N$9*rpm_open*Thesis!$N$10/1000</f>
        <v>3.04631953102791</v>
      </c>
      <c r="O26" s="38" t="n">
        <f aca="false">Thesis!$O$9*rpm_open*Thesis!$O$10/1000</f>
        <v>5.65745055762326</v>
      </c>
      <c r="P26" s="5" t="s">
        <v>614</v>
      </c>
    </row>
    <row r="27" customFormat="false" ht="17.15" hidden="false" customHeight="false" outlineLevel="0" collapsed="false">
      <c r="A27" s="5" t="s">
        <v>615</v>
      </c>
      <c r="B27" s="0" t="s">
        <v>173</v>
      </c>
      <c r="C27" s="36" t="n">
        <f aca="false">Thesis!$C$26*1000/(Thesis!$C$9*Thesis!$C$10)</f>
        <v>9.67085565405685</v>
      </c>
      <c r="D27" s="36" t="n">
        <f aca="false">Thesis!$D$26*1000/(Thesis!$D$9*Thesis!$D$10)</f>
        <v>9.67085565405685</v>
      </c>
      <c r="E27" s="36" t="n">
        <f aca="false">Thesis!$E$26*1000/(Thesis!$E$9*Thesis!$E$10)</f>
        <v>9.67085565405685</v>
      </c>
      <c r="F27" s="36" t="n">
        <f aca="false">Thesis!$F$26*1000/(Thesis!$F$9*Thesis!$F$10)</f>
        <v>11.7949938579355</v>
      </c>
      <c r="G27" s="36" t="n">
        <f aca="false">Thesis!$G$26*1000/(Thesis!$G$9*Thesis!$G$10)</f>
        <v>11.0117783886376</v>
      </c>
      <c r="H27" s="36" t="n">
        <f aca="false">Thesis!$H$26*1000/(Thesis!$H$9*Thesis!$H$10)</f>
        <v>14.2927703434756</v>
      </c>
      <c r="I27" s="36" t="n">
        <f aca="false">Thesis!$I$26*1000/(Thesis!$I$9*Thesis!$I$10)</f>
        <v>15.5118680035612</v>
      </c>
      <c r="J27" s="36" t="n">
        <f aca="false">Thesis!$J$26*1000/(Thesis!$J$9*Thesis!$J$10)</f>
        <v>16.0673124388751</v>
      </c>
      <c r="K27" s="36" t="n">
        <f aca="false">Thesis!$K$26*1000/(Thesis!$K$9*Thesis!$K$10)</f>
        <v>16.3398852839898</v>
      </c>
      <c r="L27" s="36" t="n">
        <f aca="false">Thesis!$L$26*1000/(Thesis!$L$9*Thesis!$L$10)</f>
        <v>16.4679058816152</v>
      </c>
      <c r="M27" s="36" t="n">
        <f aca="false">Thesis!$M$26*1000/(Thesis!$M$9*Thesis!$M$10)</f>
        <v>16.5168458005007</v>
      </c>
      <c r="N27" s="36" t="n">
        <f aca="false">Thesis!$N$26*1000/(Thesis!$N$9*Thesis!$N$10)</f>
        <v>9.67085565405685</v>
      </c>
      <c r="O27" s="36" t="n">
        <f aca="false">Thesis!$O$26*1000/(Thesis!$O$9*Thesis!$O$10)</f>
        <v>9.67085565405685</v>
      </c>
    </row>
    <row r="28" customFormat="false" ht="17.15" hidden="false" customHeight="false" outlineLevel="0" collapsed="false">
      <c r="A28" s="0" t="s">
        <v>616</v>
      </c>
      <c r="B28" s="0" t="s">
        <v>86</v>
      </c>
      <c r="C28" s="38" t="n">
        <f aca="false">Thesis!$C$9/ext_sh*(ox_open+rent_mw)*Thesis!$C$10/1000</f>
        <v>0.642569210675032</v>
      </c>
      <c r="D28" s="38" t="n">
        <f aca="false">Thesis!$D$9/ext_sh*(ox_open+rent_mw)*Thesis!$D$10/1000</f>
        <v>2.40963454003137</v>
      </c>
      <c r="E28" s="38" t="n">
        <f aca="false">Thesis!$E$9/ext_sh*(ox_open+rent_mw)*Thesis!$E$10/1000</f>
        <v>2.35608710580845</v>
      </c>
      <c r="F28" s="38" t="n">
        <f aca="false">((mw_open*ox_open+Thesis!$F$24*Thesis!$F$22)/ext_sh+Thesis!$F$9/ext_sh*rent_mw)*Thesis!$F$10/1000</f>
        <v>4.08870376044629</v>
      </c>
      <c r="G28" s="38" t="n">
        <f aca="false">Thesis!$E$28+Thesis!$F$28</f>
        <v>6.44479086625474</v>
      </c>
      <c r="H28" s="38" t="n">
        <f aca="false">((mw_open*ox_open+Thesis!$H$24*Thesis!$H$22)/ext_sh+Thesis!$H$9/ext_sh*rent_mw)*Thesis!$H$10/1000</f>
        <v>16.0890479236002</v>
      </c>
      <c r="I28" s="38" t="n">
        <f aca="false">((mw_open*ox_open+Thesis!$I$24*Thesis!$I$22)/ext_sh+Thesis!$I$9/ext_sh*rent_mw)*Thesis!$I$10/1000</f>
        <v>26.747110396146</v>
      </c>
      <c r="J28" s="38" t="n">
        <f aca="false">((mw_open*ox_open+Thesis!$J$24*Thesis!$J$22)/ext_sh+Thesis!$J$9/ext_sh*rent_mw)*Thesis!$J$10/1000</f>
        <v>37.4248796841388</v>
      </c>
      <c r="K28" s="38" t="n">
        <f aca="false">((mw_open*ox_open+Thesis!$K$24*Thesis!$K$22)/ext_sh+Thesis!$K$9/ext_sh*rent_mw)*Thesis!$K$10/1000</f>
        <v>46.5370356515055</v>
      </c>
      <c r="L28" s="38" t="n">
        <f aca="false">((mw_open*ox_open+Thesis!$L$24*Thesis!$L$22)/ext_sh+Thesis!$L$9/ext_sh*rent_mw)*Thesis!$L$10/1000</f>
        <v>52.5238945868506</v>
      </c>
      <c r="M28" s="38" t="n">
        <f aca="false">((mw_open*ox_open+Thesis!$M$24*Thesis!$M$22)/ext_sh+Thesis!$M$9/ext_sh*rent_mw)*Thesis!$M$10/1000</f>
        <v>55.3822499472572</v>
      </c>
      <c r="N28" s="38" t="n">
        <f aca="false">Thesis!$N$9/ext_sh*(ox_open+rent_mw)*Thesis!$N$10/1000</f>
        <v>0.84337208901098</v>
      </c>
      <c r="O28" s="38" t="n">
        <f aca="false">Thesis!$O$9/ext_sh*(ox_open+rent_mw)*Thesis!$O$10/1000</f>
        <v>1.56626245102039</v>
      </c>
    </row>
    <row r="29" customFormat="false" ht="17.15" hidden="false" customHeight="false" outlineLevel="0" collapsed="false">
      <c r="A29" s="0" t="s">
        <v>617</v>
      </c>
      <c r="B29" s="0" t="s">
        <v>86</v>
      </c>
      <c r="C29" s="38" t="n">
        <f aca="false">Q!$D$7</f>
        <v>107.556</v>
      </c>
      <c r="D29" s="38" t="n">
        <f aca="false">Q!$E$7</f>
        <v>128.725</v>
      </c>
      <c r="E29" s="38" t="n">
        <f aca="false">Q!$P$7</f>
        <v>79.819</v>
      </c>
      <c r="N29" s="38" t="n">
        <f aca="false">Q!$N$7</f>
        <v>60.14</v>
      </c>
      <c r="O29" s="38" t="n">
        <f aca="false">Q!$O$7</f>
        <v>68.585</v>
      </c>
    </row>
    <row r="30" customFormat="false" ht="17.15" hidden="false" customHeight="false" outlineLevel="0" collapsed="false">
      <c r="A30" s="1" t="s">
        <v>618</v>
      </c>
      <c r="B30" s="8" t="s">
        <v>86</v>
      </c>
      <c r="C30" s="38" t="n">
        <f aca="false">Thesis!$C$29-Thesis!$C$26</f>
        <v>105.234994643026</v>
      </c>
      <c r="D30" s="38" t="n">
        <f aca="false">Thesis!$D$29-Thesis!$D$26</f>
        <v>120.021229911349</v>
      </c>
      <c r="E30" s="38" t="n">
        <f aca="false">Thesis!$E$29-Thesis!$E$26</f>
        <v>71.30864702443</v>
      </c>
      <c r="F30" s="38" t="n">
        <f aca="false">Thesis!$O$30*(1+Thesis!$F$31)</f>
        <v>71.7692997942464</v>
      </c>
      <c r="G30" s="38" t="n">
        <f aca="false">Thesis!$E$30+Thesis!$F$30</f>
        <v>143.077946818676</v>
      </c>
      <c r="H30" s="38" t="n">
        <f aca="false">Thesis!$G$30*(1+Thesis!$H$31)</f>
        <v>161.017077079203</v>
      </c>
      <c r="I30" s="38" t="n">
        <f aca="false">Thesis!$H$30*(1+Thesis!$I$31)</f>
        <v>178.769759521457</v>
      </c>
      <c r="J30" s="38" t="n">
        <f aca="false">Thesis!$I$30*(1+Thesis!$J$31)</f>
        <v>195.775538045907</v>
      </c>
      <c r="K30" s="38" t="n">
        <f aca="false">Thesis!$J$30*(1+Thesis!$K$31)</f>
        <v>211.43758108958</v>
      </c>
      <c r="L30" s="38" t="n">
        <f aca="false">Thesis!$K$30*(1+Thesis!$L$31)</f>
        <v>228.352587576746</v>
      </c>
      <c r="M30" s="38" t="n">
        <f aca="false">Thesis!$L$30*(1+Thesis!$M$31)</f>
        <v>246.620794582886</v>
      </c>
      <c r="N30" s="38" t="n">
        <f aca="false">Thesis!$N$29-Thesis!$N$26</f>
        <v>57.0936804689721</v>
      </c>
      <c r="O30" s="38" t="n">
        <f aca="false">Thesis!$O$29-Thesis!$O$26</f>
        <v>62.9275494423768</v>
      </c>
      <c r="P30" s="5" t="s">
        <v>619</v>
      </c>
    </row>
    <row r="31" customFormat="false" ht="17.15" hidden="false" customHeight="false" outlineLevel="0" collapsed="false">
      <c r="A31" s="0" t="s">
        <v>620</v>
      </c>
      <c r="B31" s="0" t="s">
        <v>52</v>
      </c>
      <c r="D31" s="13" t="n">
        <f aca="false">Thesis!$D$30/Thesis!$C$30-1</f>
        <v>0.140506827776062</v>
      </c>
      <c r="E31" s="13" t="n">
        <f aca="false">Thesis!$E$30/Thesis!$N$30-1</f>
        <v>0.248976181579029</v>
      </c>
      <c r="F31" s="13" t="n">
        <f aca="false">Thesis!$D$31</f>
        <v>0.140506827776062</v>
      </c>
      <c r="G31" s="13" t="n">
        <f aca="false">Thesis!$G$30/Thesis!$D$30-1</f>
        <v>0.19210532106993</v>
      </c>
      <c r="H31" s="13" t="n">
        <f aca="false">Thesis!$F$31+(g_awso_lt-Thesis!$F$31)*1/4</f>
        <v>0.125380120832046</v>
      </c>
      <c r="I31" s="13" t="n">
        <f aca="false">Thesis!$F$31+(g_awso_lt-Thesis!$F$31)*2/4</f>
        <v>0.110253413888031</v>
      </c>
      <c r="J31" s="13" t="n">
        <f aca="false">Thesis!$F$31+(g_awso_lt-Thesis!$F$31)*3/4</f>
        <v>0.0951267069440154</v>
      </c>
      <c r="K31" s="13" t="n">
        <f aca="false">Thesis!$F$31+(g_awso_lt-Thesis!$F$31)*4/4</f>
        <v>0.08</v>
      </c>
      <c r="L31" s="13" t="n">
        <f aca="false">g_awso_lt</f>
        <v>0.08</v>
      </c>
      <c r="M31" s="13" t="n">
        <f aca="false">g_awso_lt</f>
        <v>0.08</v>
      </c>
      <c r="P31" s="5" t="s">
        <v>621</v>
      </c>
    </row>
    <row r="32" customFormat="false" ht="17.15" hidden="false" customHeight="false" outlineLevel="0" collapsed="false">
      <c r="A32" s="1" t="s">
        <v>622</v>
      </c>
    </row>
    <row r="33" customFormat="false" ht="17.15" hidden="false" customHeight="false" outlineLevel="0" collapsed="false">
      <c r="A33" s="0" t="s">
        <v>623</v>
      </c>
      <c r="B33" s="0" t="s">
        <v>86</v>
      </c>
      <c r="F33" s="38" t="n">
        <f aca="false">cx_rt*Seg!$F$20+cx_awso*Thesis!$F$30</f>
        <v>34.8076177600858</v>
      </c>
    </row>
    <row r="34" customFormat="false" ht="17.15" hidden="false" customHeight="false" outlineLevel="0" collapsed="false">
      <c r="A34" s="0" t="s">
        <v>624</v>
      </c>
      <c r="B34" s="0" t="s">
        <v>52</v>
      </c>
      <c r="C34" s="13" t="n">
        <f aca="false">tk_cx_h100/(tk_cx_h100+tk_fac*(1-colo_sh))</f>
        <v>0.730756458006641</v>
      </c>
      <c r="D34" s="13" t="n">
        <f aca="false">tk_cx_h100/(tk_cx_h100+tk_fac*(1-colo_sh))</f>
        <v>0.730756458006641</v>
      </c>
      <c r="E34" s="13" t="n">
        <f aca="false">Thesis!$F$34</f>
        <v>0.760792334328868</v>
      </c>
      <c r="F34" s="13" t="n">
        <f aca="false">Thesis!$F$17/(Thesis!$F$17+tk_fac*(1-colo_sh))</f>
        <v>0.760792334328868</v>
      </c>
      <c r="G34" s="13" t="n">
        <f aca="false">Thesis!$G$17/(Thesis!$G$17+tk_fac*(1-colo_sh))</f>
        <v>0.760792334328868</v>
      </c>
      <c r="H34" s="13" t="n">
        <f aca="false">Thesis!$H$17/(Thesis!$H$17+tk_fac*(1-colo_sh))</f>
        <v>0.768110668862996</v>
      </c>
      <c r="I34" s="13" t="n">
        <f aca="false">Thesis!$I$17/(Thesis!$I$17+tk_fac*(1-colo_sh))</f>
        <v>0.77499450139483</v>
      </c>
      <c r="J34" s="13" t="n">
        <f aca="false">Thesis!$J$17/(Thesis!$J$17+tk_fac*(1-colo_sh))</f>
        <v>0.77499450139483</v>
      </c>
      <c r="K34" s="13" t="n">
        <f aca="false">Thesis!$K$17/(Thesis!$K$17+tk_fac*(1-colo_sh))</f>
        <v>0.77499450139483</v>
      </c>
      <c r="L34" s="13" t="n">
        <f aca="false">Thesis!$L$17/(Thesis!$L$17+tk_fac*(1-colo_sh))</f>
        <v>0.77499450139483</v>
      </c>
      <c r="M34" s="13" t="n">
        <f aca="false">Thesis!$M$17/(Thesis!$M$17+tk_fac*(1-colo_sh))</f>
        <v>0.77499450139483</v>
      </c>
    </row>
    <row r="35" customFormat="false" ht="17.15" hidden="false" customHeight="false" outlineLevel="0" collapsed="false">
      <c r="A35" s="1" t="s">
        <v>625</v>
      </c>
      <c r="B35" s="8" t="s">
        <v>86</v>
      </c>
      <c r="C35" s="38" t="n">
        <f aca="false">Q!$D$46-cx_rt*Q!$D$16-cx_awso*Thesis!$C$30</f>
        <v>25.2781053077374</v>
      </c>
      <c r="D35" s="38" t="n">
        <f aca="false">Q!$E$46-cx_rt*Q!$E$16-cx_awso*Thesis!$D$30</f>
        <v>69.5686316310026</v>
      </c>
      <c r="E35" s="38" t="n">
        <f aca="false">Q!$P$46-cx_rt*Q!$P$16-cx_awso*Thesis!$E$30</f>
        <v>64.1899206485108</v>
      </c>
      <c r="F35" s="38" t="n">
        <f aca="false">MAX(Thesis!$F$12*(Thesis!$F$17+tk_fac*(1-colo_sh))/1000,capex_g26-Q!$P$46-Thesis!$F$33)</f>
        <v>98.862028245</v>
      </c>
      <c r="G35" s="38" t="n">
        <f aca="false">Thesis!$E$35+Thesis!$F$35</f>
        <v>163.051948893511</v>
      </c>
      <c r="H35" s="38" t="n">
        <f aca="false">Thesis!$H$12*(Thesis!$H$17+tk_fac*(1-colo_sh))/1000+Thesis!$H$36</f>
        <v>203.9641486225</v>
      </c>
      <c r="I35" s="38" t="n">
        <f aca="false">Thesis!$I$12*(Thesis!$I$17+tk_fac*(1-colo_sh))/1000+Thesis!$I$36</f>
        <v>210.204240755</v>
      </c>
      <c r="J35" s="38" t="n">
        <f aca="false">Thesis!$J$12*(Thesis!$J$17+tk_fac*(1-colo_sh))/1000+Thesis!$J$36</f>
        <v>215.441008955</v>
      </c>
      <c r="K35" s="38" t="n">
        <f aca="false">Thesis!$K$12*(Thesis!$K$17+tk_fac*(1-colo_sh))/1000+Thesis!$K$36</f>
        <v>159.138087817758</v>
      </c>
      <c r="L35" s="38" t="n">
        <f aca="false">Thesis!$L$12*(Thesis!$L$17+tk_fac*(1-colo_sh))/1000+Thesis!$L$36</f>
        <v>134.255775880517</v>
      </c>
      <c r="M35" s="38" t="n">
        <f aca="false">Thesis!$M$12*(Thesis!$M$17+tk_fac*(1-colo_sh))/1000+Thesis!$M$36</f>
        <v>134.968168520775</v>
      </c>
      <c r="P35" s="5" t="s">
        <v>626</v>
      </c>
      <c r="R35" s="38" t="n">
        <f aca="false">Q!$C$46-cx_rt*Q!$C$16-cx_awso*(Q!$C$7-mw_ye23/2*rpm_open/1000)</f>
        <v>1.50429979529945</v>
      </c>
      <c r="S35" s="38" t="n">
        <f aca="false">Thesis!$C$35</f>
        <v>25.2781053077374</v>
      </c>
      <c r="T35" s="38" t="n">
        <f aca="false">Thesis!$D$35</f>
        <v>69.5686316310026</v>
      </c>
      <c r="U35" s="38" t="n">
        <f aca="false">Thesis!$G$35</f>
        <v>163.051948893511</v>
      </c>
      <c r="V35" s="38" t="n">
        <f aca="false">Thesis!$H$35</f>
        <v>203.9641486225</v>
      </c>
      <c r="W35" s="38" t="n">
        <f aca="false">Thesis!$I$35</f>
        <v>210.204240755</v>
      </c>
      <c r="X35" s="38" t="n">
        <f aca="false">Thesis!$J$35</f>
        <v>215.441008955</v>
      </c>
      <c r="Y35" s="38" t="n">
        <f aca="false">Thesis!$K$35</f>
        <v>159.138087817758</v>
      </c>
      <c r="Z35" s="38" t="n">
        <f aca="false">Thesis!$L$35</f>
        <v>134.255775880517</v>
      </c>
      <c r="AA35" s="38" t="n">
        <f aca="false">Thesis!$M$35</f>
        <v>134.968168520775</v>
      </c>
    </row>
    <row r="36" customFormat="false" ht="17.15" hidden="false" customHeight="false" outlineLevel="0" collapsed="false">
      <c r="A36" s="0" t="s">
        <v>627</v>
      </c>
      <c r="B36" s="0" t="s">
        <v>86</v>
      </c>
      <c r="H36" s="38" t="n">
        <f aca="false">SUMPRODUCT(--(Thesis!$R$5:$AA$5=2027-tk_life),Thesis!$R$12:$AA$12)*Thesis!$H$17/1000</f>
        <v>0</v>
      </c>
      <c r="I36" s="38" t="n">
        <f aca="false">SUMPRODUCT(--(Thesis!$R$5:$AA$5=2028-tk_life),Thesis!$R$12:$AA$12)*Thesis!$I$17/1000</f>
        <v>0</v>
      </c>
      <c r="J36" s="38" t="n">
        <f aca="false">SUMPRODUCT(--(Thesis!$R$5:$AA$5=2029-tk_life),Thesis!$R$12:$AA$12)*Thesis!$J$17/1000</f>
        <v>5.2367682</v>
      </c>
      <c r="K36" s="38" t="n">
        <f aca="false">SUMPRODUCT(--(Thesis!$R$5:$AA$5=2030-tk_life),Thesis!$R$12:$AA$12)*Thesis!$K$17/1000</f>
        <v>10.4735364</v>
      </c>
      <c r="L36" s="38" t="n">
        <f aca="false">SUMPRODUCT(--(Thesis!$R$5:$AA$5=2031-tk_life),Thesis!$R$12:$AA$12)*Thesis!$L$17/1000</f>
        <v>47.1309138</v>
      </c>
      <c r="M36" s="38" t="n">
        <f aca="false">SUMPRODUCT(--(Thesis!$R$5:$AA$5=2032-tk_life),Thesis!$R$12:$AA$12)*Thesis!$M$17/1000</f>
        <v>109.3829957775</v>
      </c>
    </row>
    <row r="37" customFormat="false" ht="17.15" hidden="false" customHeight="false" outlineLevel="0" collapsed="false">
      <c r="A37" s="5" t="s">
        <v>628</v>
      </c>
      <c r="B37" s="0" t="s">
        <v>86</v>
      </c>
      <c r="C37" s="38" t="n">
        <f aca="false">Thesis!$C$35*Thesis!$C$34</f>
        <v>18.472138699801</v>
      </c>
      <c r="D37" s="38" t="n">
        <f aca="false">Thesis!$D$35*Thesis!$D$34</f>
        <v>50.8377268390402</v>
      </c>
      <c r="E37" s="38" t="n">
        <f aca="false">Thesis!$E$35*Thesis!$E$34</f>
        <v>48.8351995705653</v>
      </c>
      <c r="F37" s="38" t="n">
        <f aca="false">Thesis!$F$35*Thesis!$F$34</f>
        <v>75.213473245</v>
      </c>
      <c r="G37" s="38" t="n">
        <f aca="false">Thesis!$E$37+Thesis!$F$37</f>
        <v>124.048672815565</v>
      </c>
      <c r="H37" s="38" t="n">
        <f aca="false">(Thesis!$H$35-Thesis!$H$36)*Thesis!$H$34+Thesis!$H$36</f>
        <v>156.6670386225</v>
      </c>
      <c r="I37" s="38" t="n">
        <f aca="false">(Thesis!$I$35-Thesis!$I$36)*Thesis!$I$34+Thesis!$I$36</f>
        <v>162.907130755</v>
      </c>
      <c r="J37" s="38" t="n">
        <f aca="false">(Thesis!$J$35-Thesis!$J$36)*Thesis!$J$34+Thesis!$J$36</f>
        <v>168.143898955</v>
      </c>
      <c r="K37" s="38" t="n">
        <f aca="false">(Thesis!$K$35-Thesis!$K$36)*Thesis!$K$34+Thesis!$K$36</f>
        <v>125.687746301092</v>
      </c>
      <c r="L37" s="38" t="n">
        <f aca="false">(Thesis!$L$35-Thesis!$L$36)*Thesis!$L$34+Thesis!$L$36</f>
        <v>114.652202847183</v>
      </c>
      <c r="M37" s="38" t="n">
        <f aca="false">(Thesis!$M$35-Thesis!$M$36)*Thesis!$M$34+Thesis!$M$36</f>
        <v>129.211363970775</v>
      </c>
      <c r="R37" s="38" t="n">
        <f aca="false">Thesis!$R$35*Thesis!$C$34</f>
        <v>1.09927679019314</v>
      </c>
      <c r="S37" s="38" t="n">
        <f aca="false">Thesis!$C$37</f>
        <v>18.472138699801</v>
      </c>
      <c r="T37" s="38" t="n">
        <f aca="false">Thesis!$D$37</f>
        <v>50.8377268390402</v>
      </c>
      <c r="U37" s="38" t="n">
        <f aca="false">Thesis!$G$37</f>
        <v>124.048672815565</v>
      </c>
      <c r="V37" s="38" t="n">
        <f aca="false">Thesis!$H$37</f>
        <v>156.6670386225</v>
      </c>
      <c r="W37" s="38" t="n">
        <f aca="false">Thesis!$I$37</f>
        <v>162.907130755</v>
      </c>
      <c r="X37" s="38" t="n">
        <f aca="false">Thesis!$J$37</f>
        <v>168.143898955</v>
      </c>
      <c r="Y37" s="38" t="n">
        <f aca="false">Thesis!$K$37</f>
        <v>125.687746301092</v>
      </c>
      <c r="Z37" s="38" t="n">
        <f aca="false">Thesis!$L$37</f>
        <v>114.652202847183</v>
      </c>
      <c r="AA37" s="38" t="n">
        <f aca="false">Thesis!$M$37</f>
        <v>129.211363970775</v>
      </c>
    </row>
    <row r="38" customFormat="false" ht="15" hidden="false" customHeight="false" outlineLevel="0" collapsed="false">
      <c r="A38" s="5" t="s">
        <v>629</v>
      </c>
      <c r="B38" s="0" t="s">
        <v>86</v>
      </c>
      <c r="C38" s="38" t="n">
        <f aca="false">Thesis!$C$35-Thesis!$C$37</f>
        <v>6.80596660793636</v>
      </c>
      <c r="D38" s="38" t="n">
        <f aca="false">Thesis!$D$35-Thesis!$D$37</f>
        <v>18.7309047919624</v>
      </c>
      <c r="E38" s="38" t="n">
        <f aca="false">Thesis!$E$35-Thesis!$E$37</f>
        <v>15.3547210779455</v>
      </c>
      <c r="F38" s="38" t="n">
        <f aca="false">Thesis!$F$35-Thesis!$F$37</f>
        <v>23.648555</v>
      </c>
      <c r="G38" s="38" t="n">
        <f aca="false">Thesis!$G$35-Thesis!$G$37</f>
        <v>39.0032760779455</v>
      </c>
      <c r="H38" s="38" t="n">
        <f aca="false">Thesis!$H$35-Thesis!$H$37</f>
        <v>47.29711</v>
      </c>
      <c r="I38" s="38" t="n">
        <f aca="false">Thesis!$I$35-Thesis!$I$37</f>
        <v>47.29711</v>
      </c>
      <c r="J38" s="38" t="n">
        <f aca="false">Thesis!$J$35-Thesis!$J$37</f>
        <v>47.29711</v>
      </c>
      <c r="K38" s="38" t="n">
        <f aca="false">Thesis!$K$35-Thesis!$K$37</f>
        <v>33.4503415166667</v>
      </c>
      <c r="L38" s="38" t="n">
        <f aca="false">Thesis!$L$35-Thesis!$L$37</f>
        <v>19.6035730333333</v>
      </c>
      <c r="M38" s="38" t="n">
        <f aca="false">Thesis!$M$35-Thesis!$M$37</f>
        <v>5.75680454999997</v>
      </c>
      <c r="R38" s="38" t="n">
        <f aca="false">Thesis!$R$35-Thesis!$R$37</f>
        <v>0.405023005106309</v>
      </c>
      <c r="S38" s="38" t="n">
        <f aca="false">Thesis!$S$35-Thesis!$S$37</f>
        <v>6.80596660793636</v>
      </c>
      <c r="T38" s="38" t="n">
        <f aca="false">Thesis!$T$35-Thesis!$T$37</f>
        <v>18.7309047919624</v>
      </c>
      <c r="U38" s="38" t="n">
        <f aca="false">Thesis!$U$35-Thesis!$U$37</f>
        <v>39.0032760779455</v>
      </c>
      <c r="V38" s="38" t="n">
        <f aca="false">Thesis!$V$35-Thesis!$V$37</f>
        <v>47.29711</v>
      </c>
      <c r="W38" s="38" t="n">
        <f aca="false">Thesis!$W$35-Thesis!$W$37</f>
        <v>47.29711</v>
      </c>
      <c r="X38" s="38" t="n">
        <f aca="false">Thesis!$X$35-Thesis!$X$37</f>
        <v>47.29711</v>
      </c>
      <c r="Y38" s="38" t="n">
        <f aca="false">Thesis!$Y$35-Thesis!$Y$37</f>
        <v>33.4503415166667</v>
      </c>
      <c r="Z38" s="38" t="n">
        <f aca="false">Thesis!$Z$35-Thesis!$Z$37</f>
        <v>19.6035730333333</v>
      </c>
      <c r="AA38" s="38" t="n">
        <f aca="false">Thesis!$AA$35-Thesis!$AA$37</f>
        <v>5.75680454999997</v>
      </c>
    </row>
    <row r="39" customFormat="false" ht="17.15" hidden="false" customHeight="false" outlineLevel="0" collapsed="false">
      <c r="A39" s="0" t="s">
        <v>630</v>
      </c>
      <c r="B39" s="0" t="s">
        <v>52</v>
      </c>
      <c r="C39" s="13" t="n">
        <f aca="false">Thesis!$C$35/CF!$C$24</f>
        <v>0.325505489553393</v>
      </c>
      <c r="D39" s="13" t="n">
        <f aca="false">Thesis!$D$35/CF!$D$24</f>
        <v>0.54214956071542</v>
      </c>
      <c r="E39" s="13" t="n">
        <f aca="false">Thesis!$E$35/CF!$E$24</f>
        <v>0.666492790452817</v>
      </c>
      <c r="F39" s="13" t="n">
        <f aca="false">Thesis!$F$35/CF!$F$24</f>
        <v>0.739599686238704</v>
      </c>
      <c r="G39" s="13" t="n">
        <f aca="false">Thesis!$G$35/CF!$G$24</f>
        <v>0.708984258937006</v>
      </c>
      <c r="H39" s="13" t="n">
        <f aca="false">Thesis!$H$35/CF!$H$24</f>
        <v>0.732151748829852</v>
      </c>
      <c r="I39" s="13" t="n">
        <f aca="false">Thesis!$I$35/CF!$I$24</f>
        <v>0.719043581038944</v>
      </c>
      <c r="J39" s="13" t="n">
        <f aca="false">Thesis!$J$35/CF!$J$24</f>
        <v>0.707158393952675</v>
      </c>
      <c r="K39" s="13" t="n">
        <f aca="false">Thesis!$K$35/CF!$K$24</f>
        <v>0.624742606126618</v>
      </c>
      <c r="L39" s="13" t="n">
        <f aca="false">Thesis!$L$35/CF!$L$24</f>
        <v>0.567217461743668</v>
      </c>
      <c r="M39" s="13" t="n">
        <f aca="false">Thesis!$M$35/CF!$M$24</f>
        <v>0.55141560175432</v>
      </c>
    </row>
    <row r="40" customFormat="false" ht="17.15" hidden="false" customHeight="false" outlineLevel="0" collapsed="false">
      <c r="A40" s="0" t="s">
        <v>631</v>
      </c>
      <c r="B40" s="0" t="s">
        <v>86</v>
      </c>
      <c r="C40" s="38" t="n">
        <f aca="false">Thesis!$S$40</f>
        <v>0.183212798365523</v>
      </c>
      <c r="D40" s="38" t="n">
        <f aca="false">Thesis!$T$40</f>
        <v>3.2619025816657</v>
      </c>
      <c r="E40" s="38" t="n">
        <f aca="false">Thesis!$G$40/2</f>
        <v>5.86742852741953</v>
      </c>
      <c r="F40" s="38" t="n">
        <f aca="false">Thesis!$G$40/2</f>
        <v>5.86742852741953</v>
      </c>
      <c r="G40" s="38" t="n">
        <f aca="false">Thesis!$U$40</f>
        <v>11.7348570548391</v>
      </c>
      <c r="H40" s="38" t="n">
        <f aca="false">Thesis!$V$40</f>
        <v>32.4096358574333</v>
      </c>
      <c r="I40" s="38" t="n">
        <f aca="false">Thesis!$W$40</f>
        <v>58.5208089611833</v>
      </c>
      <c r="J40" s="38" t="n">
        <f aca="false">Thesis!$X$40</f>
        <v>85.67199742035</v>
      </c>
      <c r="K40" s="38" t="n">
        <f aca="false">Thesis!$Y$40</f>
        <v>113.512767781151</v>
      </c>
      <c r="L40" s="38" t="n">
        <f aca="false">Thesis!$Z$40</f>
        <v>131.3820357147</v>
      </c>
      <c r="M40" s="38" t="n">
        <f aca="false">Thesis!$AA$40</f>
        <v>142.017781716057</v>
      </c>
      <c r="N40" s="38" t="n">
        <f aca="false">Thesis!$D$40/2</f>
        <v>1.63095129083285</v>
      </c>
      <c r="O40" s="38" t="n">
        <f aca="false">Thesis!$D$40/2</f>
        <v>1.63095129083285</v>
      </c>
      <c r="R40" s="38" t="n">
        <f aca="false">SUMPRODUCT(--(Thesis!$R$5:$AA$5&lt;Thesis!R$5),--(Thesis!$R$5:$AA$5&gt;=Thesis!R$5-tk_life),Thesis!$R$37:$AA$37)/tk_life</f>
        <v>0</v>
      </c>
      <c r="S40" s="38" t="n">
        <f aca="false">SUMPRODUCT(--(Thesis!$R$5:$AA$5&lt;Thesis!S$5),--(Thesis!$R$5:$AA$5&gt;=Thesis!S$5-tk_life),Thesis!$R$37:$AA$37)/tk_life</f>
        <v>0.183212798365523</v>
      </c>
      <c r="T40" s="38" t="n">
        <f aca="false">SUMPRODUCT(--(Thesis!$R$5:$AA$5&lt;Thesis!T$5),--(Thesis!$R$5:$AA$5&gt;=Thesis!T$5-tk_life),Thesis!$R$37:$AA$37)/tk_life</f>
        <v>3.2619025816657</v>
      </c>
      <c r="U40" s="38" t="n">
        <f aca="false">SUMPRODUCT(--(Thesis!$R$5:$AA$5&lt;Thesis!U$5),--(Thesis!$R$5:$AA$5&gt;=Thesis!U$5-tk_life),Thesis!$R$37:$AA$37)/tk_life</f>
        <v>11.7348570548391</v>
      </c>
      <c r="V40" s="38" t="n">
        <f aca="false">SUMPRODUCT(--(Thesis!$R$5:$AA$5&lt;Thesis!V$5),--(Thesis!$R$5:$AA$5&gt;=Thesis!V$5-tk_life),Thesis!$R$37:$AA$37)/tk_life</f>
        <v>32.4096358574333</v>
      </c>
      <c r="W40" s="38" t="n">
        <f aca="false">SUMPRODUCT(--(Thesis!$R$5:$AA$5&lt;Thesis!W$5),--(Thesis!$R$5:$AA$5&gt;=Thesis!W$5-tk_life),Thesis!$R$37:$AA$37)/tk_life</f>
        <v>58.5208089611833</v>
      </c>
      <c r="X40" s="38" t="n">
        <f aca="false">SUMPRODUCT(--(Thesis!$R$5:$AA$5&lt;Thesis!X$5),--(Thesis!$R$5:$AA$5&gt;=Thesis!X$5-tk_life),Thesis!$R$37:$AA$37)/tk_life</f>
        <v>85.67199742035</v>
      </c>
      <c r="Y40" s="38" t="n">
        <f aca="false">SUMPRODUCT(--(Thesis!$R$5:$AA$5&lt;Thesis!Y$5),--(Thesis!$R$5:$AA$5&gt;=Thesis!Y$5-tk_life),Thesis!$R$37:$AA$37)/tk_life</f>
        <v>113.512767781151</v>
      </c>
      <c r="Z40" s="38" t="n">
        <f aca="false">SUMPRODUCT(--(Thesis!$R$5:$AA$5&lt;Thesis!Z$5),--(Thesis!$R$5:$AA$5&gt;=Thesis!Z$5-tk_life),Thesis!$R$37:$AA$37)/tk_life</f>
        <v>131.3820357147</v>
      </c>
      <c r="AA40" s="38" t="n">
        <f aca="false">SUMPRODUCT(--(Thesis!$R$5:$AA$5&lt;Thesis!AA$5),--(Thesis!$R$5:$AA$5&gt;=Thesis!AA$5-tk_life),Thesis!$R$37:$AA$37)/tk_life</f>
        <v>142.017781716057</v>
      </c>
    </row>
    <row r="41" customFormat="false" ht="17.15" hidden="false" customHeight="false" outlineLevel="0" collapsed="false">
      <c r="A41" s="0" t="s">
        <v>632</v>
      </c>
      <c r="B41" s="0" t="s">
        <v>86</v>
      </c>
      <c r="C41" s="38" t="n">
        <f aca="false">Thesis!$S$41</f>
        <v>0.0202511502553155</v>
      </c>
      <c r="D41" s="38" t="n">
        <f aca="false">Thesis!$T$41</f>
        <v>0.360549480652134</v>
      </c>
      <c r="E41" s="38" t="n">
        <f aca="false">Thesis!$G$41/2</f>
        <v>0.648547360125127</v>
      </c>
      <c r="F41" s="38" t="n">
        <f aca="false">Thesis!$G$41/2</f>
        <v>0.648547360125127</v>
      </c>
      <c r="G41" s="38" t="n">
        <f aca="false">Thesis!$U$41</f>
        <v>1.29709472025025</v>
      </c>
      <c r="H41" s="38" t="n">
        <f aca="false">Thesis!$V$41</f>
        <v>3.24725852414753</v>
      </c>
      <c r="I41" s="38" t="n">
        <f aca="false">Thesis!$W$41</f>
        <v>5.61211402414753</v>
      </c>
      <c r="J41" s="38" t="n">
        <f aca="false">Thesis!$X$41</f>
        <v>7.97696952414753</v>
      </c>
      <c r="K41" s="38" t="n">
        <f aca="false">Thesis!$Y$41</f>
        <v>10.3418250241475</v>
      </c>
      <c r="L41" s="38" t="n">
        <f aca="false">Thesis!$Z$41</f>
        <v>12.0143420999809</v>
      </c>
      <c r="M41" s="38" t="n">
        <f aca="false">Thesis!$AA$41</f>
        <v>12.9945207516475</v>
      </c>
      <c r="N41" s="38" t="n">
        <f aca="false">Thesis!$D$41/2</f>
        <v>0.180274740326067</v>
      </c>
      <c r="O41" s="38" t="n">
        <f aca="false">Thesis!$D$41/2</f>
        <v>0.180274740326067</v>
      </c>
      <c r="R41" s="38" t="n">
        <f aca="false">SUMPRODUCT(--(Thesis!$R$5:$AA$5&lt;Thesis!R$5),Thesis!$R$38:$AA$38)/fac_life</f>
        <v>0</v>
      </c>
      <c r="S41" s="38" t="n">
        <f aca="false">SUMPRODUCT(--(Thesis!$R$5:$AA$5&lt;Thesis!S$5),Thesis!$R$38:$AA$38)/fac_life</f>
        <v>0.0202511502553155</v>
      </c>
      <c r="T41" s="38" t="n">
        <f aca="false">SUMPRODUCT(--(Thesis!$R$5:$AA$5&lt;Thesis!T$5),Thesis!$R$38:$AA$38)/fac_life</f>
        <v>0.360549480652134</v>
      </c>
      <c r="U41" s="38" t="n">
        <f aca="false">SUMPRODUCT(--(Thesis!$R$5:$AA$5&lt;Thesis!U$5),Thesis!$R$38:$AA$38)/fac_life</f>
        <v>1.29709472025025</v>
      </c>
      <c r="V41" s="38" t="n">
        <f aca="false">SUMPRODUCT(--(Thesis!$R$5:$AA$5&lt;Thesis!V$5),Thesis!$R$38:$AA$38)/fac_life</f>
        <v>3.24725852414753</v>
      </c>
      <c r="W41" s="38" t="n">
        <f aca="false">SUMPRODUCT(--(Thesis!$R$5:$AA$5&lt;Thesis!W$5),Thesis!$R$38:$AA$38)/fac_life</f>
        <v>5.61211402414753</v>
      </c>
      <c r="X41" s="38" t="n">
        <f aca="false">SUMPRODUCT(--(Thesis!$R$5:$AA$5&lt;Thesis!X$5),Thesis!$R$38:$AA$38)/fac_life</f>
        <v>7.97696952414753</v>
      </c>
      <c r="Y41" s="38" t="n">
        <f aca="false">SUMPRODUCT(--(Thesis!$R$5:$AA$5&lt;Thesis!Y$5),Thesis!$R$38:$AA$38)/fac_life</f>
        <v>10.3418250241475</v>
      </c>
      <c r="Z41" s="38" t="n">
        <f aca="false">SUMPRODUCT(--(Thesis!$R$5:$AA$5&lt;Thesis!Z$5),Thesis!$R$38:$AA$38)/fac_life</f>
        <v>12.0143420999809</v>
      </c>
      <c r="AA41" s="38" t="n">
        <f aca="false">SUMPRODUCT(--(Thesis!$R$5:$AA$5&lt;Thesis!AA$5),Thesis!$R$38:$AA$38)/fac_life</f>
        <v>12.9945207516475</v>
      </c>
    </row>
    <row r="42" customFormat="false" ht="17.15" hidden="false" customHeight="false" outlineLevel="0" collapsed="false">
      <c r="A42" s="1" t="s">
        <v>633</v>
      </c>
      <c r="B42" s="8" t="s">
        <v>86</v>
      </c>
      <c r="C42" s="38" t="n">
        <f aca="false">Thesis!$C$40+Thesis!$C$41</f>
        <v>0.203463948620839</v>
      </c>
      <c r="D42" s="38" t="n">
        <f aca="false">Thesis!$D$40+Thesis!$D$41</f>
        <v>3.62245206231783</v>
      </c>
      <c r="E42" s="38" t="n">
        <f aca="false">Thesis!$E$40+Thesis!$E$41</f>
        <v>6.51597588754466</v>
      </c>
      <c r="F42" s="38" t="n">
        <f aca="false">Thesis!$F$40+Thesis!$F$41</f>
        <v>6.51597588754466</v>
      </c>
      <c r="G42" s="38" t="n">
        <f aca="false">Thesis!$G$40+Thesis!$G$41</f>
        <v>13.0319517750893</v>
      </c>
      <c r="H42" s="38" t="n">
        <f aca="false">Thesis!$H$40+Thesis!$H$41</f>
        <v>35.6568943815808</v>
      </c>
      <c r="I42" s="38" t="n">
        <f aca="false">Thesis!$I$40+Thesis!$I$41</f>
        <v>64.1329229853308</v>
      </c>
      <c r="J42" s="38" t="n">
        <f aca="false">Thesis!$J$40+Thesis!$J$41</f>
        <v>93.6489669444975</v>
      </c>
      <c r="K42" s="38" t="n">
        <f aca="false">Thesis!$K$40+Thesis!$K$41</f>
        <v>123.854592805299</v>
      </c>
      <c r="L42" s="38" t="n">
        <f aca="false">Thesis!$L$40+Thesis!$L$41</f>
        <v>143.39637781468</v>
      </c>
      <c r="M42" s="38" t="n">
        <f aca="false">Thesis!$M$40+Thesis!$M$41</f>
        <v>155.012302467704</v>
      </c>
      <c r="N42" s="38" t="n">
        <f aca="false">Thesis!$N$40+Thesis!$N$41</f>
        <v>1.81122603115892</v>
      </c>
      <c r="O42" s="38" t="n">
        <f aca="false">Thesis!$O$40+Thesis!$O$41</f>
        <v>1.81122603115892</v>
      </c>
      <c r="R42" s="38" t="n">
        <f aca="false">Thesis!$R$40+Thesis!$R$41</f>
        <v>0</v>
      </c>
      <c r="S42" s="38" t="n">
        <f aca="false">Thesis!$S$40+Thesis!$S$41</f>
        <v>0.203463948620839</v>
      </c>
      <c r="T42" s="38" t="n">
        <f aca="false">Thesis!$T$40+Thesis!$T$41</f>
        <v>3.62245206231783</v>
      </c>
      <c r="U42" s="38" t="n">
        <f aca="false">Thesis!$U$40+Thesis!$U$41</f>
        <v>13.0319517750893</v>
      </c>
      <c r="V42" s="38" t="n">
        <f aca="false">Thesis!$V$40+Thesis!$V$41</f>
        <v>35.6568943815808</v>
      </c>
      <c r="W42" s="38" t="n">
        <f aca="false">Thesis!$W$40+Thesis!$W$41</f>
        <v>64.1329229853308</v>
      </c>
      <c r="X42" s="38" t="n">
        <f aca="false">Thesis!$X$40+Thesis!$X$41</f>
        <v>93.6489669444975</v>
      </c>
      <c r="Y42" s="38" t="n">
        <f aca="false">Thesis!$Y$40+Thesis!$Y$41</f>
        <v>123.854592805299</v>
      </c>
      <c r="Z42" s="38" t="n">
        <f aca="false">Thesis!$Z$40+Thesis!$Z$41</f>
        <v>143.39637781468</v>
      </c>
      <c r="AA42" s="38" t="n">
        <f aca="false">Thesis!$AA$40+Thesis!$AA$41</f>
        <v>155.012302467704</v>
      </c>
    </row>
    <row r="43" customFormat="false" ht="17.15" hidden="false" customHeight="false" outlineLevel="0" collapsed="false">
      <c r="A43" s="0" t="s">
        <v>634</v>
      </c>
      <c r="B43" s="0" t="s">
        <v>86</v>
      </c>
      <c r="C43" s="38" t="n">
        <f aca="false">Thesis!$S$43</f>
        <v>26.578941154416</v>
      </c>
      <c r="D43" s="38" t="n">
        <f aca="false">Thesis!$T$43</f>
        <v>92.5251207231008</v>
      </c>
      <c r="G43" s="38" t="n">
        <f aca="false">Thesis!$U$43</f>
        <v>242.545117841522</v>
      </c>
      <c r="H43" s="38" t="n">
        <f aca="false">Thesis!$V$43</f>
        <v>410.852372082442</v>
      </c>
      <c r="I43" s="38" t="n">
        <f aca="false">Thesis!$W$43</f>
        <v>556.923689852111</v>
      </c>
      <c r="J43" s="38" t="n">
        <f aca="false">Thesis!$X$43</f>
        <v>678.715731862613</v>
      </c>
      <c r="K43" s="38" t="n">
        <f aca="false">Thesis!$Y$43</f>
        <v>713.999226875073</v>
      </c>
      <c r="L43" s="38" t="n">
        <f aca="false">Thesis!$Z$43</f>
        <v>704.858624940909</v>
      </c>
      <c r="M43" s="38" t="n">
        <f aca="false">Thesis!$AA$43</f>
        <v>684.81449099398</v>
      </c>
      <c r="R43" s="38" t="n">
        <f aca="false">SUM(Thesis!$R$35:$R$35)-SUM(Thesis!$R$42:$R$42)</f>
        <v>1.50429979529945</v>
      </c>
      <c r="S43" s="38" t="n">
        <f aca="false">SUM(Thesis!$R$35:$S$35)-SUM(Thesis!$R$42:$S$42)</f>
        <v>26.578941154416</v>
      </c>
      <c r="T43" s="38" t="n">
        <f aca="false">SUM(Thesis!$R$35:$T$35)-SUM(Thesis!$R$42:$T$42)</f>
        <v>92.5251207231008</v>
      </c>
      <c r="U43" s="38" t="n">
        <f aca="false">SUM(Thesis!$R$35:$U$35)-SUM(Thesis!$R$42:$U$42)</f>
        <v>242.545117841522</v>
      </c>
      <c r="V43" s="38" t="n">
        <f aca="false">SUM(Thesis!$R$35:$V$35)-SUM(Thesis!$R$42:$V$42)</f>
        <v>410.852372082442</v>
      </c>
      <c r="W43" s="38" t="n">
        <f aca="false">SUM(Thesis!$R$35:$W$35)-SUM(Thesis!$R$42:$W$42)</f>
        <v>556.923689852111</v>
      </c>
      <c r="X43" s="38" t="n">
        <f aca="false">SUM(Thesis!$R$35:$X$35)-SUM(Thesis!$R$42:$X$42)</f>
        <v>678.715731862613</v>
      </c>
      <c r="Y43" s="38" t="n">
        <f aca="false">SUM(Thesis!$R$35:$Y$35)-SUM(Thesis!$R$42:$Y$42)</f>
        <v>713.999226875073</v>
      </c>
      <c r="Z43" s="38" t="n">
        <f aca="false">SUM(Thesis!$R$35:$Z$35)-SUM(Thesis!$R$42:$Z$42)</f>
        <v>704.858624940909</v>
      </c>
      <c r="AA43" s="38" t="n">
        <f aca="false">SUM(Thesis!$R$35:$AA$35)-SUM(Thesis!$R$42:$AA$42)</f>
        <v>684.81449099398</v>
      </c>
    </row>
    <row r="44" customFormat="false" ht="17.15" hidden="false" customHeight="false" outlineLevel="0" collapsed="false">
      <c r="A44" s="1" t="s">
        <v>635</v>
      </c>
    </row>
    <row r="45" customFormat="false" ht="17.15" hidden="false" customHeight="false" outlineLevel="0" collapsed="false">
      <c r="A45" s="0" t="s">
        <v>636</v>
      </c>
      <c r="B45" s="0" t="s">
        <v>86</v>
      </c>
      <c r="C45" s="38" t="n">
        <f aca="false">Thesis!$C$26-ext_sh*Thesis!$C$28</f>
        <v>1.80694998843362</v>
      </c>
      <c r="D45" s="38" t="n">
        <f aca="false">Thesis!$D$26-ext_sh*Thesis!$D$28</f>
        <v>6.77606245662607</v>
      </c>
      <c r="E45" s="38" t="n">
        <f aca="false">Thesis!$E$26-ext_sh*Thesis!$E$28</f>
        <v>6.62548329092326</v>
      </c>
      <c r="F45" s="38" t="n">
        <f aca="false">Thesis!$F$26-ext_sh*Thesis!$F$28</f>
        <v>14.4996696128551</v>
      </c>
      <c r="G45" s="38" t="n">
        <f aca="false">Thesis!$G$26-ext_sh*Thesis!$G$28</f>
        <v>21.1251529037784</v>
      </c>
      <c r="H45" s="38" t="n">
        <f aca="false">Thesis!$H$26-ext_sh*Thesis!$H$28</f>
        <v>70.2126356677435</v>
      </c>
      <c r="I45" s="38" t="n">
        <f aca="false">Thesis!$I$26-ext_sh*Thesis!$I$28</f>
        <v>126.678603645079</v>
      </c>
      <c r="J45" s="38" t="n">
        <f aca="false">Thesis!$J$26-ext_sh*Thesis!$J$28</f>
        <v>183.417938128511</v>
      </c>
      <c r="K45" s="38" t="n">
        <f aca="false">Thesis!$K$26-ext_sh*Thesis!$K$28</f>
        <v>231.815746632017</v>
      </c>
      <c r="L45" s="38" t="n">
        <f aca="false">Thesis!$L$26-ext_sh*Thesis!$L$28</f>
        <v>263.612756777848</v>
      </c>
      <c r="M45" s="38" t="n">
        <f aca="false">Thesis!$M$26-ext_sh*Thesis!$M$28</f>
        <v>278.764488450164</v>
      </c>
      <c r="N45" s="38" t="n">
        <f aca="false">Thesis!$N$26-ext_sh*Thesis!$N$28</f>
        <v>2.37162185981912</v>
      </c>
      <c r="O45" s="38" t="n">
        <f aca="false">Thesis!$O$26-ext_sh*Thesis!$O$28</f>
        <v>4.40444059680694</v>
      </c>
    </row>
    <row r="46" customFormat="false" ht="17.15" hidden="false" customHeight="false" outlineLevel="0" collapsed="false">
      <c r="A46" s="1" t="s">
        <v>637</v>
      </c>
      <c r="B46" s="8" t="s">
        <v>86</v>
      </c>
      <c r="C46" s="38" t="n">
        <f aca="false">Thesis!$C$45-ext_sh*Thesis!$C$42</f>
        <v>1.64417882953695</v>
      </c>
      <c r="D46" s="38" t="n">
        <f aca="false">Thesis!$D$45-ext_sh*Thesis!$D$42</f>
        <v>3.8781008067718</v>
      </c>
      <c r="E46" s="38" t="n">
        <f aca="false">Thesis!$E$45-ext_sh*Thesis!$E$42</f>
        <v>1.41270258088753</v>
      </c>
      <c r="F46" s="38" t="n">
        <f aca="false">Thesis!$F$45-ext_sh*Thesis!$F$42</f>
        <v>9.28688890281936</v>
      </c>
      <c r="G46" s="38" t="n">
        <f aca="false">Thesis!$G$45-ext_sh*Thesis!$G$42</f>
        <v>10.6995914837069</v>
      </c>
      <c r="H46" s="38" t="n">
        <f aca="false">Thesis!$H$45-ext_sh*Thesis!$H$42</f>
        <v>41.6871201624788</v>
      </c>
      <c r="I46" s="38" t="n">
        <f aca="false">Thesis!$I$45-ext_sh*Thesis!$I$42</f>
        <v>75.3722652568139</v>
      </c>
      <c r="J46" s="38" t="n">
        <f aca="false">Thesis!$J$45-ext_sh*Thesis!$J$42</f>
        <v>108.498764572913</v>
      </c>
      <c r="K46" s="38" t="n">
        <f aca="false">Thesis!$K$45-ext_sh*Thesis!$K$42</f>
        <v>132.732072387778</v>
      </c>
      <c r="L46" s="38" t="n">
        <f aca="false">Thesis!$L$45-ext_sh*Thesis!$L$42</f>
        <v>148.895654526103</v>
      </c>
      <c r="M46" s="38" t="n">
        <f aca="false">Thesis!$M$45-ext_sh*Thesis!$M$42</f>
        <v>154.754646476001</v>
      </c>
      <c r="N46" s="38" t="n">
        <f aca="false">Thesis!$N$45-ext_sh*Thesis!$N$42</f>
        <v>0.92264103489199</v>
      </c>
      <c r="O46" s="38" t="n">
        <f aca="false">Thesis!$O$45-ext_sh*Thesis!$O$42</f>
        <v>2.95545977187981</v>
      </c>
    </row>
    <row r="47" customFormat="false" ht="17.15" hidden="false" customHeight="false" outlineLevel="0" collapsed="false">
      <c r="A47" s="0" t="s">
        <v>638</v>
      </c>
      <c r="B47" s="0" t="s">
        <v>52</v>
      </c>
      <c r="C47" s="13" t="n">
        <f aca="false">Thesis!$C$46/Thesis!$C$26</f>
        <v>0.708390794789371</v>
      </c>
      <c r="D47" s="13" t="n">
        <f aca="false">Thesis!$D$46/Thesis!$D$26</f>
        <v>0.445565630441968</v>
      </c>
      <c r="E47" s="13" t="n">
        <f aca="false">Thesis!$E$46/Thesis!$E$26</f>
        <v>0.165998118402711</v>
      </c>
      <c r="F47" s="13" t="n">
        <f aca="false">Thesis!$F$46/Thesis!$F$26</f>
        <v>0.522597540603814</v>
      </c>
      <c r="G47" s="13" t="n">
        <f aca="false">Thesis!$G$46/Thesis!$G$26</f>
        <v>0.407122915702863</v>
      </c>
      <c r="H47" s="13" t="n">
        <f aca="false">Thesis!$H$46/Thesis!$H$26</f>
        <v>0.501747428859124</v>
      </c>
      <c r="I47" s="13" t="n">
        <f aca="false">Thesis!$I$46/Thesis!$I$26</f>
        <v>0.509009675067759</v>
      </c>
      <c r="J47" s="13" t="n">
        <f aca="false">Thesis!$J$46/Thesis!$J$26</f>
        <v>0.508529537133494</v>
      </c>
      <c r="K47" s="13" t="n">
        <f aca="false">Thesis!$K$46/Thesis!$K$26</f>
        <v>0.493344560605018</v>
      </c>
      <c r="L47" s="13" t="n">
        <f aca="false">Thesis!$L$46/Thesis!$L$26</f>
        <v>0.487173190851565</v>
      </c>
      <c r="M47" s="13" t="n">
        <f aca="false">Thesis!$M$46/Thesis!$M$26</f>
        <v>0.479012314127067</v>
      </c>
      <c r="N47" s="13" t="n">
        <f aca="false">Thesis!$N$46/Thesis!$N$26</f>
        <v>0.302870734830849</v>
      </c>
      <c r="O47" s="13" t="n">
        <f aca="false">Thesis!$O$46/Thesis!$O$26</f>
        <v>0.52240134346334</v>
      </c>
    </row>
    <row r="48" customFormat="false" ht="17.15" hidden="false" customHeight="false" outlineLevel="0" collapsed="false">
      <c r="A48" s="5" t="s">
        <v>639</v>
      </c>
      <c r="B48" s="0" t="s">
        <v>86</v>
      </c>
      <c r="C48" s="39" t="n">
        <v>0</v>
      </c>
      <c r="D48" s="39" t="n">
        <v>0</v>
      </c>
      <c r="E48" s="39" t="n">
        <v>0</v>
      </c>
      <c r="F48" s="38" t="n">
        <f aca="false">IF(internal_ai_reading=2,1,0)*(1-ext_sh)/ext_sh*(mw_open*he_open+Thesis!$F$24*Thesis!$F$21)*Thesis!$F$10/1000</f>
        <v>3.80479825569281</v>
      </c>
      <c r="G48" s="38" t="n">
        <f aca="false">Thesis!$E$48+Thesis!$F$48</f>
        <v>3.80479825569281</v>
      </c>
      <c r="H48" s="38" t="n">
        <f aca="false">IF(internal_ai_reading=2,1,0)*(1-ext_sh)/ext_sh*(mw_open*he_open+Thesis!$H$24*Thesis!$H$21)*Thesis!$H$10/1000</f>
        <v>15.4376834367265</v>
      </c>
      <c r="I48" s="38" t="n">
        <f aca="false">IF(internal_ai_reading=2,1,0)*(1-ext_sh)/ext_sh*(mw_open*he_open+Thesis!$I$24*Thesis!$I$21)*Thesis!$I$10/1000</f>
        <v>26.1389535282796</v>
      </c>
      <c r="J48" s="38" t="n">
        <f aca="false">IF(internal_ai_reading=2,1,0)*(1-ext_sh)/ext_sh*(mw_open*he_open+Thesis!$J$24*Thesis!$J$21)*Thesis!$J$10/1000</f>
        <v>36.8878303911588</v>
      </c>
      <c r="K48" s="38" t="n">
        <f aca="false">IF(internal_ai_reading=2,1,0)*(1-ext_sh)/ext_sh*(mw_open*he_open+Thesis!$K$24*Thesis!$K$21)*Thesis!$K$10/1000</f>
        <v>46.0570127832188</v>
      </c>
      <c r="L48" s="38" t="n">
        <f aca="false">IF(internal_ai_reading=2,1,0)*(1-ext_sh)/ext_sh*(mw_open*he_open+Thesis!$L$24*Thesis!$L$21)*Thesis!$L$10/1000</f>
        <v>52.0811306967416</v>
      </c>
      <c r="M48" s="38" t="n">
        <f aca="false">IF(internal_ai_reading=2,1,0)*(1-ext_sh)/ext_sh*(mw_open*he_open+Thesis!$M$24*Thesis!$M$21)*Thesis!$M$10/1000</f>
        <v>54.9524379204829</v>
      </c>
      <c r="N48" s="39" t="n">
        <v>0</v>
      </c>
      <c r="O48" s="39" t="n">
        <v>0</v>
      </c>
      <c r="P48" s="8" t="s">
        <v>640</v>
      </c>
    </row>
    <row r="49" customFormat="false" ht="17.15" hidden="false" customHeight="false" outlineLevel="0" collapsed="false">
      <c r="A49" s="5" t="s">
        <v>641</v>
      </c>
      <c r="B49" s="0" t="s">
        <v>86</v>
      </c>
      <c r="C49" s="38" t="n">
        <f aca="false">(1-ext_sh)*(Thesis!$C$28+Thesis!$C$42)</f>
        <v>0.169206631859174</v>
      </c>
      <c r="D49" s="38" t="n">
        <f aca="false">(1-ext_sh)*(Thesis!$D$28+Thesis!$D$42)</f>
        <v>1.20641732046984</v>
      </c>
      <c r="E49" s="38" t="n">
        <f aca="false">(1-ext_sh)*(Thesis!$E$28+Thesis!$E$42)</f>
        <v>1.77441259867062</v>
      </c>
      <c r="F49" s="38" t="n">
        <f aca="false">(1-ext_sh)*(Thesis!$F$28+Thesis!$F$42)</f>
        <v>2.12093592959819</v>
      </c>
      <c r="G49" s="38" t="n">
        <f aca="false">(1-ext_sh)*(Thesis!$G$28+Thesis!$G$42)</f>
        <v>3.89534852826881</v>
      </c>
      <c r="H49" s="38" t="n">
        <f aca="false">(1-ext_sh)*(Thesis!$H$28+Thesis!$H$42)</f>
        <v>10.3491884610362</v>
      </c>
      <c r="I49" s="38" t="n">
        <f aca="false">(1-ext_sh)*(Thesis!$I$28+Thesis!$I$42)</f>
        <v>18.1760066762954</v>
      </c>
      <c r="J49" s="38" t="n">
        <f aca="false">(1-ext_sh)*(Thesis!$J$28+Thesis!$J$42)</f>
        <v>26.2147693257273</v>
      </c>
      <c r="K49" s="38" t="n">
        <f aca="false">(1-ext_sh)*(Thesis!$K$28+Thesis!$K$42)</f>
        <v>34.0783256913608</v>
      </c>
      <c r="L49" s="38" t="n">
        <f aca="false">(1-ext_sh)*(Thesis!$L$28+Thesis!$L$42)</f>
        <v>39.1840544803062</v>
      </c>
      <c r="M49" s="38" t="n">
        <f aca="false">(1-ext_sh)*(Thesis!$M$28+Thesis!$M$42)</f>
        <v>42.0789104829923</v>
      </c>
      <c r="N49" s="38" t="n">
        <f aca="false">(1-ext_sh)*(Thesis!$N$28+Thesis!$N$42)</f>
        <v>0.530919624033979</v>
      </c>
      <c r="O49" s="38" t="n">
        <f aca="false">(1-ext_sh)*(Thesis!$O$28+Thesis!$O$42)</f>
        <v>0.675497696435861</v>
      </c>
    </row>
    <row r="50" customFormat="false" ht="17.15" hidden="false" customHeight="false" outlineLevel="0" collapsed="false">
      <c r="A50" s="0" t="s">
        <v>642</v>
      </c>
      <c r="B50" s="0" t="s">
        <v>86</v>
      </c>
      <c r="C50" s="38" t="n">
        <f aca="false">Q!$D$24</f>
        <v>39.834</v>
      </c>
      <c r="D50" s="38" t="n">
        <f aca="false">Q!$E$24</f>
        <v>45.606</v>
      </c>
      <c r="E50" s="38" t="n">
        <f aca="false">Q!$P$24</f>
        <v>30.782</v>
      </c>
      <c r="N50" s="38" t="n">
        <f aca="false">Q!$N$24</f>
        <v>21.707</v>
      </c>
      <c r="O50" s="38" t="n">
        <f aca="false">Q!$O$24</f>
        <v>23.899</v>
      </c>
    </row>
    <row r="51" customFormat="false" ht="17.15" hidden="false" customHeight="false" outlineLevel="0" collapsed="false">
      <c r="A51" s="0" t="s">
        <v>643</v>
      </c>
      <c r="B51" s="0" t="s">
        <v>86</v>
      </c>
      <c r="C51" s="38" t="n">
        <f aca="false">Thesis!$C$50-Thesis!$C$46</f>
        <v>38.1898211704631</v>
      </c>
      <c r="D51" s="38" t="n">
        <f aca="false">Thesis!$D$50-Thesis!$D$46</f>
        <v>41.7278991932282</v>
      </c>
      <c r="E51" s="38" t="n">
        <f aca="false">Thesis!$E$50-Thesis!$E$46</f>
        <v>29.3692974191125</v>
      </c>
      <c r="F51" s="38" t="n">
        <f aca="false">Thesis!$F$30*Thesis!$F$52</f>
        <v>26.8997276714137</v>
      </c>
      <c r="G51" s="38" t="n">
        <f aca="false">Thesis!$E$51+Thesis!$F$51</f>
        <v>56.2690250905262</v>
      </c>
      <c r="H51" s="38" t="n">
        <f aca="false">Thesis!$H$30*Thesis!$H$52</f>
        <v>60.3505333937343</v>
      </c>
      <c r="I51" s="38" t="n">
        <f aca="false">Thesis!$I$30*Thesis!$I$52</f>
        <v>67.0043857303571</v>
      </c>
      <c r="J51" s="38" t="n">
        <f aca="false">Thesis!$J$30*Thesis!$J$52</f>
        <v>73.3782922956925</v>
      </c>
      <c r="K51" s="38" t="n">
        <f aca="false">Thesis!$K$30*Thesis!$K$52</f>
        <v>79.2485556793479</v>
      </c>
      <c r="L51" s="38" t="n">
        <f aca="false">Thesis!$L$30*Thesis!$L$52</f>
        <v>85.5884401336958</v>
      </c>
      <c r="M51" s="38" t="n">
        <f aca="false">Thesis!$M$30*Thesis!$M$52</f>
        <v>92.4355153443914</v>
      </c>
      <c r="N51" s="38" t="n">
        <f aca="false">Thesis!$N$50-Thesis!$N$46</f>
        <v>20.784358965108</v>
      </c>
      <c r="O51" s="38" t="n">
        <f aca="false">Thesis!$O$50-Thesis!$O$46</f>
        <v>20.9435402281202</v>
      </c>
      <c r="P51" s="5" t="s">
        <v>644</v>
      </c>
    </row>
    <row r="52" customFormat="false" ht="17.15" hidden="false" customHeight="false" outlineLevel="0" collapsed="false">
      <c r="A52" s="0" t="s">
        <v>645</v>
      </c>
      <c r="B52" s="0" t="s">
        <v>52</v>
      </c>
      <c r="C52" s="13" t="n">
        <f aca="false">Thesis!$C$51/Thesis!$C$30</f>
        <v>0.362900395443635</v>
      </c>
      <c r="D52" s="13" t="n">
        <f aca="false">Thesis!$D$51/Thesis!$D$30</f>
        <v>0.34767098474203</v>
      </c>
      <c r="E52" s="13" t="n">
        <f aca="false">Thesis!$E$51/Thesis!$E$30</f>
        <v>0.411861655558416</v>
      </c>
      <c r="F52" s="13" t="n">
        <f aca="false">(Thesis!$O$51+Thesis!$E$51)/(Thesis!$O$30+Thesis!$E$30)</f>
        <v>0.37480827803158</v>
      </c>
      <c r="G52" s="13" t="n">
        <f aca="false">Thesis!$G$51/Thesis!$G$30</f>
        <v>0.393275318395757</v>
      </c>
      <c r="H52" s="13" t="n">
        <f aca="false">Thesis!$F$52</f>
        <v>0.37480827803158</v>
      </c>
      <c r="I52" s="13" t="n">
        <f aca="false">Thesis!$F$52</f>
        <v>0.37480827803158</v>
      </c>
      <c r="J52" s="13" t="n">
        <f aca="false">Thesis!$F$52</f>
        <v>0.37480827803158</v>
      </c>
      <c r="K52" s="13" t="n">
        <f aca="false">Thesis!$F$52</f>
        <v>0.37480827803158</v>
      </c>
      <c r="L52" s="13" t="n">
        <f aca="false">Thesis!$F$52</f>
        <v>0.37480827803158</v>
      </c>
      <c r="M52" s="13" t="n">
        <f aca="false">Thesis!$F$52</f>
        <v>0.37480827803158</v>
      </c>
      <c r="N52" s="13" t="n">
        <f aca="false">Thesis!$N$51/Thesis!$N$30</f>
        <v>0.364039571356823</v>
      </c>
      <c r="O52" s="13" t="n">
        <f aca="false">Thesis!$O$51/Thesis!$O$30</f>
        <v>0.332819892300086</v>
      </c>
      <c r="P52" s="8" t="s">
        <v>646</v>
      </c>
    </row>
    <row r="53" customFormat="false" ht="17.15" hidden="false" customHeight="false" outlineLevel="0" collapsed="false">
      <c r="A53" s="0" t="s">
        <v>647</v>
      </c>
      <c r="B53" s="0" t="s">
        <v>52</v>
      </c>
      <c r="D53" s="13" t="n">
        <f aca="false">(Q!$E$31-ext_sh*Thesis!$D$42)/Thesis!$D$30</f>
        <v>0.154572973163571</v>
      </c>
    </row>
    <row r="54" customFormat="false" ht="17.15" hidden="false" customHeight="false" outlineLevel="0" collapsed="false">
      <c r="A54" s="0" t="s">
        <v>648</v>
      </c>
      <c r="B54" s="0" t="s">
        <v>86</v>
      </c>
      <c r="C54" s="38" t="n">
        <f aca="false">Q!$D$31</f>
        <v>13.32</v>
      </c>
      <c r="D54" s="38" t="n">
        <f aca="false">Q!$E$31</f>
        <v>21.45</v>
      </c>
      <c r="E54" s="38" t="n">
        <f aca="false">Q!$P$31</f>
        <v>15.353</v>
      </c>
      <c r="F54" s="38" t="n">
        <f aca="false">ext_sh*Thesis!$F$42+Thesis!$D$53*Thesis!$F$30</f>
        <v>16.3063747611001</v>
      </c>
      <c r="G54" s="38" t="n">
        <f aca="false">Thesis!$E$54+Thesis!$F$54</f>
        <v>31.6593747611001</v>
      </c>
      <c r="H54" s="38" t="n">
        <f aca="false">ext_sh*Thesis!$H$42+Thesis!$D$53*Thesis!$H$30</f>
        <v>53.414403839505</v>
      </c>
      <c r="I54" s="38" t="n">
        <f aca="false">ext_sh*Thesis!$I$42+Thesis!$D$53*Thesis!$I$30</f>
        <v>78.939311629233</v>
      </c>
      <c r="J54" s="38" t="n">
        <f aca="false">ext_sh*Thesis!$J$42+Thesis!$D$53*Thesis!$J$30</f>
        <v>105.180780544052</v>
      </c>
      <c r="K54" s="38" t="n">
        <f aca="false">ext_sh*Thesis!$K$42+Thesis!$D$53*Thesis!$K$30</f>
        <v>131.766209791769</v>
      </c>
      <c r="L54" s="38" t="n">
        <f aca="false">ext_sh*Thesis!$L$42+Thesis!$D$53*Thesis!$L$30</f>
        <v>150.014240643077</v>
      </c>
      <c r="M54" s="38" t="n">
        <f aca="false">ext_sh*Thesis!$M$42+Thesis!$D$53*Thesis!$M$30</f>
        <v>162.130751436802</v>
      </c>
      <c r="N54" s="38" t="n">
        <f aca="false">Q!$N$31</f>
        <v>9.234</v>
      </c>
      <c r="O54" s="38" t="n">
        <f aca="false">Q!$O$31</f>
        <v>12.216</v>
      </c>
    </row>
    <row r="55" customFormat="false" ht="17.15" hidden="false" customHeight="false" outlineLevel="0" collapsed="false">
      <c r="A55" s="1" t="s">
        <v>649</v>
      </c>
    </row>
    <row r="56" customFormat="false" ht="17.15" hidden="false" customHeight="false" outlineLevel="0" collapsed="false">
      <c r="A56" s="15" t="s">
        <v>650</v>
      </c>
      <c r="B56" s="14" t="s">
        <v>52</v>
      </c>
      <c r="C56" s="14"/>
      <c r="D56" s="14"/>
      <c r="E56" s="14"/>
      <c r="F56" s="14"/>
      <c r="G56" s="17" t="n">
        <f aca="false">Thesis!$G$46*(1-tax)/(ext_sh*(Thesis!$D$43+Thesis!$G$43)/2)</f>
        <v>0.0659735403452127</v>
      </c>
      <c r="H56" s="17" t="n">
        <f aca="false">Thesis!$H$46*(1-tax)/(ext_sh*(Thesis!$G$43+Thesis!$H$43)/2)</f>
        <v>0.131814407287095</v>
      </c>
      <c r="I56" s="17" t="n">
        <f aca="false">Thesis!$I$46*(1-tax)/(ext_sh*(Thesis!$H$43+Thesis!$I$43)/2)</f>
        <v>0.160907075308678</v>
      </c>
      <c r="J56" s="17" t="n">
        <f aca="false">Thesis!$J$46*(1-tax)/(ext_sh*(Thesis!$I$43+Thesis!$J$43)/2)</f>
        <v>0.181414287027861</v>
      </c>
      <c r="K56" s="17" t="n">
        <f aca="false">Thesis!$K$46*(1-tax)/(ext_sh*(Thesis!$J$43+Thesis!$K$43)/2)</f>
        <v>0.196902886959618</v>
      </c>
      <c r="L56" s="17" t="n">
        <f aca="false">Thesis!$L$46*(1-tax)/(ext_sh*(Thesis!$K$43+Thesis!$L$43)/2)</f>
        <v>0.216811135558386</v>
      </c>
      <c r="M56" s="17" t="n">
        <f aca="false">Thesis!$M$46*(1-tax)/(ext_sh*(Thesis!$L$43+Thesis!$M$43)/2)</f>
        <v>0.230075031600187</v>
      </c>
      <c r="N56" s="14"/>
      <c r="O56" s="14"/>
      <c r="P56" s="8" t="s">
        <v>651</v>
      </c>
    </row>
    <row r="57" customFormat="false" ht="17.15" hidden="false" customHeight="false" outlineLevel="0" collapsed="false">
      <c r="A57" s="5" t="s">
        <v>652</v>
      </c>
      <c r="B57" s="0" t="s">
        <v>57</v>
      </c>
      <c r="H57" s="36" t="n">
        <f aca="false">Thesis!$H$26*1000/(mw_open*he_open+Thesis!$H$24*Thesis!$H$21)</f>
        <v>1.34547185053953</v>
      </c>
      <c r="I57" s="36" t="n">
        <f aca="false">Thesis!$I$26*1000/(mw_open*he_open+Thesis!$I$24*Thesis!$I$21)</f>
        <v>1.41624158558789</v>
      </c>
      <c r="J57" s="36" t="n">
        <f aca="false">Thesis!$J$26*1000/(mw_open*he_open+Thesis!$J$24*Thesis!$J$21)</f>
        <v>1.44599072114959</v>
      </c>
      <c r="K57" s="36" t="n">
        <f aca="false">Thesis!$K$26*1000/(mw_open*he_open+Thesis!$K$24*Thesis!$K$21)</f>
        <v>1.46039310245524</v>
      </c>
      <c r="L57" s="36" t="n">
        <f aca="false">Thesis!$L$26*1000/(mw_open*he_open+Thesis!$L$24*Thesis!$L$21)</f>
        <v>1.46709503210944</v>
      </c>
      <c r="M57" s="36" t="n">
        <f aca="false">Thesis!$M$26*1000/(mw_open*he_open+Thesis!$M$24*Thesis!$M$21)</f>
        <v>1.46977231872523</v>
      </c>
    </row>
    <row r="58" customFormat="false" ht="17.15" hidden="false" customHeight="false" outlineLevel="0" collapsed="false">
      <c r="A58" s="5" t="s">
        <v>653</v>
      </c>
      <c r="B58" s="0" t="s">
        <v>57</v>
      </c>
      <c r="H58" s="36" t="n">
        <f aca="false">Thesis!$H$57*(Thesis!$H$26+wacc*ext_sh*(Thesis!$G$43+Thesis!$H$43)/2/(1-tax)-Thesis!$H$46)/Thesis!$H$26</f>
        <v>1.25063717702218</v>
      </c>
      <c r="I58" s="36" t="n">
        <f aca="false">Thesis!$I$57*(Thesis!$I$26+wacc*ext_sh*(Thesis!$H$43+Thesis!$I$43)/2/(1-tax)-Thesis!$I$46)/Thesis!$I$26</f>
        <v>1.20294532062963</v>
      </c>
      <c r="J58" s="36" t="n">
        <f aca="false">Thesis!$J$57*(Thesis!$J$26+wacc*ext_sh*(Thesis!$I$43+Thesis!$J$43)/2/(1-tax)-Thesis!$J$46)/Thesis!$J$26</f>
        <v>1.16989171073916</v>
      </c>
      <c r="K58" s="36" t="n">
        <f aca="false">Thesis!$K$57*(Thesis!$K$26+wacc*ext_sh*(Thesis!$J$43+Thesis!$K$43)/2/(1-tax)-Thesis!$K$46)/Thesis!$K$26</f>
        <v>1.15447674751341</v>
      </c>
      <c r="L58" s="36" t="n">
        <f aca="false">Thesis!$L$57*(Thesis!$L$26+wacc*ext_sh*(Thesis!$K$43+Thesis!$L$43)/2/(1-tax)-Thesis!$L$46)/Thesis!$L$26</f>
        <v>1.12585660669568</v>
      </c>
      <c r="M58" s="36" t="n">
        <f aca="false">Thesis!$M$57*(Thesis!$M$26+wacc*ext_sh*(Thesis!$L$43+Thesis!$M$43)/2/(1-tax)-Thesis!$M$46)/Thesis!$M$26</f>
        <v>1.11242804289666</v>
      </c>
    </row>
    <row r="59" customFormat="false" ht="17.15" hidden="false" customHeight="false" outlineLevel="0" collapsed="false">
      <c r="A59" s="5" t="s">
        <v>654</v>
      </c>
      <c r="B59" s="0" t="s">
        <v>52</v>
      </c>
      <c r="C59" s="13" t="n">
        <f aca="false">Thesis!$C$27/tk_pq</f>
        <v>0.195316432429398</v>
      </c>
      <c r="D59" s="13" t="n">
        <f aca="false">Thesis!$D$27/tk_pq</f>
        <v>0.195316432429398</v>
      </c>
      <c r="E59" s="13" t="n">
        <f aca="false">Thesis!$E$27/tk_pq</f>
        <v>0.195316432429398</v>
      </c>
      <c r="F59" s="13" t="n">
        <f aca="false">Thesis!$F$27/tk_pq</f>
        <v>0.238216369188823</v>
      </c>
      <c r="G59" s="13" t="n">
        <f aca="false">Thesis!$G$27/tk_pq</f>
        <v>0.222398239257102</v>
      </c>
      <c r="H59" s="13" t="n">
        <f aca="false">Thesis!$H$27/tk_pq</f>
        <v>0.288662452721988</v>
      </c>
      <c r="I59" s="13" t="n">
        <f aca="false">Thesis!$I$27/tk_pq</f>
        <v>0.313283832077501</v>
      </c>
      <c r="J59" s="13" t="n">
        <f aca="false">Thesis!$J$27/tk_pq</f>
        <v>0.324501807962888</v>
      </c>
      <c r="K59" s="13" t="n">
        <f aca="false">Thesis!$K$27/tk_pq</f>
        <v>0.330006797137512</v>
      </c>
      <c r="L59" s="13" t="n">
        <f aca="false">Thesis!$L$27/tk_pq</f>
        <v>0.332592351849539</v>
      </c>
      <c r="M59" s="13" t="n">
        <f aca="false">Thesis!$M$27/tk_pq</f>
        <v>0.333580761841585</v>
      </c>
      <c r="N59" s="13" t="n">
        <f aca="false">Thesis!$N$27/tk_pq</f>
        <v>0.195316432429398</v>
      </c>
      <c r="O59" s="13" t="n">
        <f aca="false">Thesis!$O$27/tk_pq</f>
        <v>0.195316432429398</v>
      </c>
      <c r="P59" s="5" t="s">
        <v>655</v>
      </c>
    </row>
    <row r="62" customFormat="false" ht="19.4" hidden="false" customHeight="false" outlineLevel="0" collapsed="false">
      <c r="A62" s="31" t="s">
        <v>656</v>
      </c>
    </row>
    <row r="63" customFormat="false" ht="17.15" hidden="false" customHeight="false" outlineLevel="0" collapsed="false">
      <c r="A63" s="6" t="s">
        <v>16</v>
      </c>
      <c r="B63" s="6" t="s">
        <v>17</v>
      </c>
      <c r="C63" s="20" t="s">
        <v>494</v>
      </c>
      <c r="D63" s="20" t="s">
        <v>495</v>
      </c>
      <c r="E63" s="20" t="s">
        <v>577</v>
      </c>
      <c r="F63" s="20" t="s">
        <v>578</v>
      </c>
      <c r="G63" s="20" t="s">
        <v>579</v>
      </c>
      <c r="H63" s="20" t="s">
        <v>580</v>
      </c>
      <c r="I63" s="20" t="s">
        <v>581</v>
      </c>
      <c r="J63" s="20" t="s">
        <v>582</v>
      </c>
      <c r="K63" s="20" t="s">
        <v>583</v>
      </c>
      <c r="L63" s="20" t="s">
        <v>584</v>
      </c>
      <c r="M63" s="20" t="s">
        <v>585</v>
      </c>
      <c r="N63" s="20" t="s">
        <v>586</v>
      </c>
      <c r="O63" s="20" t="s">
        <v>587</v>
      </c>
      <c r="P63" s="6" t="s">
        <v>23</v>
      </c>
      <c r="R63" s="20" t="n">
        <v>2023</v>
      </c>
      <c r="S63" s="20" t="n">
        <v>2024</v>
      </c>
      <c r="T63" s="20" t="n">
        <v>2025</v>
      </c>
      <c r="U63" s="20" t="n">
        <v>2026</v>
      </c>
      <c r="V63" s="20" t="n">
        <v>2027</v>
      </c>
      <c r="W63" s="20" t="n">
        <v>2028</v>
      </c>
      <c r="X63" s="20" t="n">
        <v>2029</v>
      </c>
      <c r="Y63" s="20" t="n">
        <v>2030</v>
      </c>
      <c r="Z63" s="20" t="n">
        <v>2031</v>
      </c>
      <c r="AA63" s="20" t="n">
        <v>2032</v>
      </c>
    </row>
    <row r="64" customFormat="false" ht="17.15" hidden="false" customHeight="false" outlineLevel="0" collapsed="false">
      <c r="A64" s="1" t="s">
        <v>588</v>
      </c>
    </row>
    <row r="65" customFormat="false" ht="17.15" hidden="false" customHeight="false" outlineLevel="0" collapsed="false">
      <c r="A65" s="5" t="s">
        <v>589</v>
      </c>
      <c r="B65" s="0" t="s">
        <v>144</v>
      </c>
      <c r="H65" s="32" t="n">
        <f aca="false">pace_B</f>
        <v>3634.3</v>
      </c>
      <c r="I65" s="32" t="n">
        <f aca="false">pace_B</f>
        <v>3634.3</v>
      </c>
      <c r="J65" s="32" t="n">
        <f aca="false">pace_B</f>
        <v>3634.3</v>
      </c>
      <c r="K65" s="32" t="n">
        <f aca="false">pace_B+(Thesis!$J$66*tg-pace_B)*1/3</f>
        <v>2570.86716666667</v>
      </c>
      <c r="L65" s="32" t="n">
        <f aca="false">pace_B+(Thesis!$J$66*tg-pace_B)*2/3</f>
        <v>1507.43433333333</v>
      </c>
      <c r="M65" s="32" t="n">
        <f aca="false">pace_B+(Thesis!$J$66*tg-pace_B)*3/3</f>
        <v>444.0015</v>
      </c>
      <c r="P65" s="5" t="s">
        <v>590</v>
      </c>
    </row>
    <row r="66" customFormat="false" ht="17.15" hidden="false" customHeight="false" outlineLevel="0" collapsed="false">
      <c r="A66" s="15" t="s">
        <v>591</v>
      </c>
      <c r="B66" s="14" t="s">
        <v>129</v>
      </c>
      <c r="C66" s="33" t="n">
        <f aca="false">mw_ye24</f>
        <v>360</v>
      </c>
      <c r="D66" s="33" t="n">
        <f aca="false">mw_ye25</f>
        <v>1440</v>
      </c>
      <c r="E66" s="33" t="n">
        <f aca="false">mw_open</f>
        <v>2080</v>
      </c>
      <c r="F66" s="33" t="n">
        <f aca="false">Thesis!$E$66+pace_B*0.5</f>
        <v>3897.15</v>
      </c>
      <c r="G66" s="33" t="n">
        <f aca="false">Thesis!$F$66</f>
        <v>3897.15</v>
      </c>
      <c r="H66" s="33" t="n">
        <f aca="false">Thesis!$G$66+Thesis!$H$65</f>
        <v>7531.45</v>
      </c>
      <c r="I66" s="33" t="n">
        <f aca="false">Thesis!$H$66+Thesis!$I$65</f>
        <v>11165.75</v>
      </c>
      <c r="J66" s="33" t="n">
        <f aca="false">Thesis!$I$66+Thesis!$J$65</f>
        <v>14800.05</v>
      </c>
      <c r="K66" s="33" t="n">
        <f aca="false">Thesis!$J$66+Thesis!$K$65</f>
        <v>17370.9171666667</v>
      </c>
      <c r="L66" s="33" t="n">
        <f aca="false">Thesis!$K$66+Thesis!$L$65</f>
        <v>18878.3515</v>
      </c>
      <c r="M66" s="33" t="n">
        <f aca="false">Thesis!$L$66+Thesis!$M$65</f>
        <v>19322.353</v>
      </c>
      <c r="N66" s="33" t="n">
        <f aca="false">(mw_ye24+mw_ye25)/2</f>
        <v>900</v>
      </c>
      <c r="O66" s="33" t="n">
        <f aca="false">mw_ye25</f>
        <v>1440</v>
      </c>
      <c r="P66" s="5" t="s">
        <v>592</v>
      </c>
    </row>
    <row r="67" customFormat="false" ht="17.15" hidden="false" customHeight="false" outlineLevel="0" collapsed="false">
      <c r="A67" s="5" t="s">
        <v>593</v>
      </c>
      <c r="B67" s="0" t="s">
        <v>129</v>
      </c>
      <c r="C67" s="32" t="n">
        <f aca="false">(mw_ye23+mw_ye24)/2</f>
        <v>240</v>
      </c>
      <c r="D67" s="32" t="n">
        <f aca="false">(Thesis!$C$66+Thesis!$D$66)/2</f>
        <v>900</v>
      </c>
      <c r="E67" s="32" t="n">
        <f aca="false">(Thesis!$D$66+Thesis!$E$66)/2</f>
        <v>1760</v>
      </c>
      <c r="F67" s="32" t="n">
        <f aca="false">(Thesis!$E$66+Thesis!$F$66)/2</f>
        <v>2988.575</v>
      </c>
      <c r="G67" s="32" t="n">
        <f aca="false">(Thesis!$E$67+Thesis!$F$67)/2</f>
        <v>2374.2875</v>
      </c>
      <c r="H67" s="32" t="n">
        <f aca="false">(Thesis!$G$66+Thesis!$H$66)/2</f>
        <v>5714.3</v>
      </c>
      <c r="I67" s="32" t="n">
        <f aca="false">(Thesis!$H$66+Thesis!$I$66)/2</f>
        <v>9348.6</v>
      </c>
      <c r="J67" s="32" t="n">
        <f aca="false">(Thesis!$I$66+Thesis!$J$66)/2</f>
        <v>12982.9</v>
      </c>
      <c r="K67" s="32" t="n">
        <f aca="false">(Thesis!$J$66+Thesis!$K$66)/2</f>
        <v>16085.4835833333</v>
      </c>
      <c r="L67" s="32" t="n">
        <f aca="false">(Thesis!$K$66+Thesis!$L$66)/2</f>
        <v>18124.6343333333</v>
      </c>
      <c r="M67" s="32" t="n">
        <f aca="false">(Thesis!$L$66+Thesis!$M$66)/2</f>
        <v>19100.35225</v>
      </c>
      <c r="N67" s="32" t="n">
        <f aca="false">(Thesis!$C$66+Thesis!$N$66)/2</f>
        <v>630</v>
      </c>
      <c r="O67" s="32" t="n">
        <f aca="false">(Thesis!$N$66+Thesis!$O$66)/2</f>
        <v>1170</v>
      </c>
    </row>
    <row r="68" customFormat="false" ht="15" hidden="false" customHeight="false" outlineLevel="0" collapsed="false">
      <c r="A68" s="5" t="s">
        <v>594</v>
      </c>
      <c r="B68" s="5" t="s">
        <v>123</v>
      </c>
      <c r="C68" s="34" t="n">
        <v>1</v>
      </c>
      <c r="D68" s="34" t="n">
        <v>1</v>
      </c>
      <c r="E68" s="34" t="n">
        <v>0.5</v>
      </c>
      <c r="F68" s="34" t="n">
        <v>0.5</v>
      </c>
      <c r="G68" s="34" t="n">
        <v>1</v>
      </c>
      <c r="H68" s="34" t="n">
        <v>1</v>
      </c>
      <c r="I68" s="34" t="n">
        <v>1</v>
      </c>
      <c r="J68" s="34" t="n">
        <v>1</v>
      </c>
      <c r="K68" s="34" t="n">
        <v>1</v>
      </c>
      <c r="L68" s="34" t="n">
        <v>1</v>
      </c>
      <c r="M68" s="34" t="n">
        <v>1</v>
      </c>
      <c r="N68" s="34" t="n">
        <v>0.5</v>
      </c>
      <c r="O68" s="34" t="n">
        <v>0.5</v>
      </c>
    </row>
    <row r="69" customFormat="false" ht="17.15" hidden="false" customHeight="false" outlineLevel="0" collapsed="false">
      <c r="A69" s="5" t="s">
        <v>595</v>
      </c>
      <c r="B69" s="0" t="s">
        <v>129</v>
      </c>
      <c r="C69" s="32" t="n">
        <f aca="false">Thesis!$C$66-mw_ye23</f>
        <v>240</v>
      </c>
      <c r="D69" s="32" t="n">
        <f aca="false">Thesis!$D$66-Thesis!$C$66</f>
        <v>1080</v>
      </c>
      <c r="E69" s="32" t="n">
        <f aca="false">Thesis!$E$66-Thesis!$D$66</f>
        <v>640</v>
      </c>
      <c r="F69" s="32" t="n">
        <f aca="false">Thesis!$F$66-Thesis!$E$66</f>
        <v>1817.15</v>
      </c>
      <c r="G69" s="32" t="n">
        <f aca="false">Thesis!$E$69+Thesis!$F$69</f>
        <v>2457.15</v>
      </c>
      <c r="H69" s="32" t="n">
        <f aca="false">Thesis!$H$66-Thesis!$G$66</f>
        <v>3634.3</v>
      </c>
      <c r="I69" s="32" t="n">
        <f aca="false">Thesis!$I$66-Thesis!$H$66</f>
        <v>3634.3</v>
      </c>
      <c r="J69" s="32" t="n">
        <f aca="false">Thesis!$J$66-Thesis!$I$66</f>
        <v>3634.3</v>
      </c>
      <c r="K69" s="32" t="n">
        <f aca="false">Thesis!$K$66-Thesis!$J$66</f>
        <v>2570.86716666667</v>
      </c>
      <c r="L69" s="32" t="n">
        <f aca="false">Thesis!$L$66-Thesis!$K$66</f>
        <v>1507.43433333333</v>
      </c>
      <c r="M69" s="32" t="n">
        <f aca="false">Thesis!$M$66-Thesis!$L$66</f>
        <v>444.001499999999</v>
      </c>
      <c r="N69" s="32" t="n">
        <f aca="false">Thesis!$N$66-Thesis!$C$66</f>
        <v>540</v>
      </c>
      <c r="O69" s="32" t="n">
        <f aca="false">Thesis!$O$66-Thesis!$N$66</f>
        <v>540</v>
      </c>
    </row>
    <row r="70" customFormat="false" ht="17.15" hidden="false" customHeight="false" outlineLevel="0" collapsed="false">
      <c r="A70" s="5" t="s">
        <v>596</v>
      </c>
      <c r="B70" s="0" t="s">
        <v>129</v>
      </c>
      <c r="C70" s="32" t="n">
        <f aca="false">Thesis!$C$69/ext_sh</f>
        <v>300</v>
      </c>
      <c r="D70" s="32" t="n">
        <f aca="false">Thesis!$D$69/ext_sh</f>
        <v>1350</v>
      </c>
      <c r="E70" s="32" t="n">
        <f aca="false">Thesis!$E$69/ext_sh</f>
        <v>800</v>
      </c>
      <c r="F70" s="32" t="n">
        <f aca="false">Thesis!$F$69/ext_sh</f>
        <v>2271.4375</v>
      </c>
      <c r="G70" s="32" t="n">
        <f aca="false">Thesis!$G$69/ext_sh</f>
        <v>3071.4375</v>
      </c>
      <c r="H70" s="32" t="n">
        <f aca="false">Thesis!$H$69/ext_sh</f>
        <v>4542.875</v>
      </c>
      <c r="I70" s="32" t="n">
        <f aca="false">Thesis!$I$69/ext_sh</f>
        <v>4542.875</v>
      </c>
      <c r="J70" s="32" t="n">
        <f aca="false">Thesis!$J$69/ext_sh</f>
        <v>4542.875</v>
      </c>
      <c r="K70" s="32" t="n">
        <f aca="false">Thesis!$K$69/ext_sh</f>
        <v>3213.58395833333</v>
      </c>
      <c r="L70" s="32" t="n">
        <f aca="false">Thesis!$L$69/ext_sh</f>
        <v>1884.29291666667</v>
      </c>
      <c r="M70" s="32" t="n">
        <f aca="false">Thesis!$M$69/ext_sh</f>
        <v>555.001874999998</v>
      </c>
      <c r="N70" s="32" t="n">
        <f aca="false">Thesis!$N$69/ext_sh</f>
        <v>675</v>
      </c>
      <c r="O70" s="32" t="n">
        <f aca="false">Thesis!$O$69/ext_sh</f>
        <v>675</v>
      </c>
      <c r="P70" s="8" t="s">
        <v>597</v>
      </c>
      <c r="R70" s="32" t="n">
        <f aca="false">mw_ye23/ext_sh</f>
        <v>150</v>
      </c>
      <c r="S70" s="32" t="n">
        <f aca="false">Thesis!$C$70</f>
        <v>300</v>
      </c>
      <c r="T70" s="32" t="n">
        <f aca="false">Thesis!$D$70</f>
        <v>1350</v>
      </c>
      <c r="U70" s="32" t="n">
        <f aca="false">Thesis!$G$70</f>
        <v>3071.4375</v>
      </c>
      <c r="V70" s="32" t="n">
        <f aca="false">Thesis!$H$70</f>
        <v>4542.875</v>
      </c>
      <c r="W70" s="32" t="n">
        <f aca="false">Thesis!$I$70</f>
        <v>4542.875</v>
      </c>
      <c r="X70" s="32" t="n">
        <f aca="false">Thesis!$J$70</f>
        <v>4542.875</v>
      </c>
      <c r="Y70" s="32" t="n">
        <f aca="false">Thesis!$K$70</f>
        <v>3213.58395833333</v>
      </c>
      <c r="Z70" s="32" t="n">
        <f aca="false">Thesis!$L$70</f>
        <v>1884.29291666667</v>
      </c>
      <c r="AA70" s="32" t="n">
        <f aca="false">Thesis!$M$70</f>
        <v>555.001874999998</v>
      </c>
    </row>
    <row r="71" customFormat="false" ht="17.15" hidden="false" customHeight="false" outlineLevel="0" collapsed="false">
      <c r="A71" s="1" t="s">
        <v>598</v>
      </c>
    </row>
    <row r="72" customFormat="false" ht="17.15" hidden="false" customHeight="false" outlineLevel="0" collapsed="false">
      <c r="A72" s="0" t="s">
        <v>599</v>
      </c>
      <c r="B72" s="0" t="s">
        <v>52</v>
      </c>
      <c r="F72" s="35" t="n">
        <f aca="false">na_vr26</f>
        <v>0</v>
      </c>
      <c r="G72" s="35" t="n">
        <f aca="false">na_vr26</f>
        <v>0</v>
      </c>
      <c r="H72" s="35" t="n">
        <f aca="false">na_vr27</f>
        <v>0.5</v>
      </c>
      <c r="I72" s="35" t="n">
        <f aca="false">na_vr28</f>
        <v>1</v>
      </c>
      <c r="J72" s="35" t="n">
        <f aca="false">na_vr28</f>
        <v>1</v>
      </c>
      <c r="K72" s="35" t="n">
        <f aca="false">na_vr28</f>
        <v>1</v>
      </c>
      <c r="L72" s="35" t="n">
        <f aca="false">na_vr28</f>
        <v>1</v>
      </c>
      <c r="M72" s="35" t="n">
        <f aca="false">na_vr28</f>
        <v>1</v>
      </c>
    </row>
    <row r="73" customFormat="false" ht="17.15" hidden="false" customHeight="false" outlineLevel="0" collapsed="false">
      <c r="A73" s="5" t="s">
        <v>600</v>
      </c>
      <c r="B73" s="0" t="s">
        <v>173</v>
      </c>
      <c r="F73" s="36" t="n">
        <f aca="false">cust_sh*tk_he_gb300*cf_chip+(1-cust_sh)*((1-Thesis!$F$72)*tk_he_gb300+Thesis!$F$72*tk_he_vr200)</f>
        <v>10.8864110021101</v>
      </c>
      <c r="G73" s="36" t="n">
        <f aca="false">cust_sh*tk_he_gb300*cf_chip+(1-cust_sh)*((1-Thesis!$G$72)*tk_he_gb300+Thesis!$G$72*tk_he_vr200)</f>
        <v>10.8864110021101</v>
      </c>
      <c r="H73" s="36" t="n">
        <f aca="false">cust_sh*tk_he_gb300*cf_chip+(1-cust_sh)*((1-Thesis!$H$72)*tk_he_gb300+Thesis!$H$72*tk_he_vr200)</f>
        <v>11.2211760027286</v>
      </c>
      <c r="I73" s="36" t="n">
        <f aca="false">cust_sh*tk_he_gb300*cf_chip+(1-cust_sh)*((1-Thesis!$I$72)*tk_he_gb300+Thesis!$I$72*tk_he_vr200)</f>
        <v>11.5559410033471</v>
      </c>
      <c r="J73" s="36" t="n">
        <f aca="false">cust_sh*tk_he_gb300*cf_chip+(1-cust_sh)*((1-Thesis!$J$72)*tk_he_gb300+Thesis!$J$72*tk_he_vr200)</f>
        <v>11.5559410033471</v>
      </c>
      <c r="K73" s="36" t="n">
        <f aca="false">cust_sh*tk_he_gb300*cf_chip+(1-cust_sh)*((1-Thesis!$K$72)*tk_he_gb300+Thesis!$K$72*tk_he_vr200)</f>
        <v>11.5559410033471</v>
      </c>
      <c r="L73" s="36" t="n">
        <f aca="false">cust_sh*tk_he_gb300*cf_chip+(1-cust_sh)*((1-Thesis!$L$72)*tk_he_gb300+Thesis!$L$72*tk_he_vr200)</f>
        <v>11.5559410033471</v>
      </c>
      <c r="M73" s="36" t="n">
        <f aca="false">cust_sh*tk_he_gb300*cf_chip+(1-cust_sh)*((1-Thesis!$M$72)*tk_he_gb300+Thesis!$M$72*tk_he_vr200)</f>
        <v>11.5559410033471</v>
      </c>
    </row>
    <row r="74" customFormat="false" ht="17.15" hidden="false" customHeight="false" outlineLevel="0" collapsed="false">
      <c r="A74" s="5" t="s">
        <v>601</v>
      </c>
      <c r="B74" s="0" t="s">
        <v>173</v>
      </c>
      <c r="F74" s="36" t="n">
        <f aca="false">cust_sh*tk_ox_gb300+(1-cust_sh)*((1-Thesis!$F$72)*tk_ox_gb300+Thesis!$F$72*tk_ox_vr200)</f>
        <v>1.98263481314457</v>
      </c>
      <c r="G74" s="36" t="n">
        <f aca="false">cust_sh*tk_ox_gb300+(1-cust_sh)*((1-Thesis!$G$72)*tk_ox_gb300+Thesis!$G$72*tk_ox_vr200)</f>
        <v>1.98263481314457</v>
      </c>
      <c r="H74" s="36" t="n">
        <f aca="false">cust_sh*tk_ox_gb300+(1-cust_sh)*((1-Thesis!$H$72)*tk_ox_gb300+Thesis!$H$72*tk_ox_vr200)</f>
        <v>2.01034999693694</v>
      </c>
      <c r="I74" s="36" t="n">
        <f aca="false">cust_sh*tk_ox_gb300+(1-cust_sh)*((1-Thesis!$I$72)*tk_ox_gb300+Thesis!$I$72*tk_ox_vr200)</f>
        <v>2.0380651807293</v>
      </c>
      <c r="J74" s="36" t="n">
        <f aca="false">cust_sh*tk_ox_gb300+(1-cust_sh)*((1-Thesis!$J$72)*tk_ox_gb300+Thesis!$J$72*tk_ox_vr200)</f>
        <v>2.0380651807293</v>
      </c>
      <c r="K74" s="36" t="n">
        <f aca="false">cust_sh*tk_ox_gb300+(1-cust_sh)*((1-Thesis!$K$72)*tk_ox_gb300+Thesis!$K$72*tk_ox_vr200)</f>
        <v>2.0380651807293</v>
      </c>
      <c r="L74" s="36" t="n">
        <f aca="false">cust_sh*tk_ox_gb300+(1-cust_sh)*((1-Thesis!$L$72)*tk_ox_gb300+Thesis!$L$72*tk_ox_vr200)</f>
        <v>2.0380651807293</v>
      </c>
      <c r="M74" s="36" t="n">
        <f aca="false">cust_sh*tk_ox_gb300+(1-cust_sh)*((1-Thesis!$M$72)*tk_ox_gb300+Thesis!$M$72*tk_ox_vr200)</f>
        <v>2.0380651807293</v>
      </c>
    </row>
    <row r="75" customFormat="false" ht="17.15" hidden="false" customHeight="false" outlineLevel="0" collapsed="false">
      <c r="A75" s="5" t="s">
        <v>602</v>
      </c>
      <c r="B75" s="0" t="s">
        <v>192</v>
      </c>
      <c r="F75" s="36" t="n">
        <f aca="false">cust_sh*tk_cx_gb300*cf_cx+(1-cust_sh)*((1-Thesis!$F$72)*tk_cx_gb300+Thesis!$F$72*tk_cx_vr200)</f>
        <v>32.237224</v>
      </c>
      <c r="G75" s="36" t="n">
        <f aca="false">cust_sh*tk_cx_gb300*cf_cx+(1-cust_sh)*((1-Thesis!$G$72)*tk_cx_gb300+Thesis!$G$72*tk_cx_vr200)</f>
        <v>32.237224</v>
      </c>
      <c r="H75" s="36" t="n">
        <f aca="false">cust_sh*tk_cx_gb300*cf_cx+(1-cust_sh)*((1-Thesis!$H$72)*tk_cx_gb300+Thesis!$H$72*tk_cx_vr200)</f>
        <v>33.574506</v>
      </c>
      <c r="I75" s="36" t="n">
        <f aca="false">cust_sh*tk_cx_gb300*cf_cx+(1-cust_sh)*((1-Thesis!$I$72)*tk_cx_gb300+Thesis!$I$72*tk_cx_vr200)</f>
        <v>34.911788</v>
      </c>
      <c r="J75" s="36" t="n">
        <f aca="false">cust_sh*tk_cx_gb300*cf_cx+(1-cust_sh)*((1-Thesis!$J$72)*tk_cx_gb300+Thesis!$J$72*tk_cx_vr200)</f>
        <v>34.911788</v>
      </c>
      <c r="K75" s="36" t="n">
        <f aca="false">cust_sh*tk_cx_gb300*cf_cx+(1-cust_sh)*((1-Thesis!$K$72)*tk_cx_gb300+Thesis!$K$72*tk_cx_vr200)</f>
        <v>34.911788</v>
      </c>
      <c r="L75" s="36" t="n">
        <f aca="false">cust_sh*tk_cx_gb300*cf_cx+(1-cust_sh)*((1-Thesis!$L$72)*tk_cx_gb300+Thesis!$L$72*tk_cx_vr200)</f>
        <v>34.911788</v>
      </c>
      <c r="M75" s="36" t="n">
        <f aca="false">cust_sh*tk_cx_gb300*cf_cx+(1-cust_sh)*((1-Thesis!$M$72)*tk_cx_gb300+Thesis!$M$72*tk_cx_vr200)</f>
        <v>34.911788</v>
      </c>
    </row>
    <row r="76" customFormat="false" ht="17.15" hidden="false" customHeight="false" outlineLevel="0" collapsed="false">
      <c r="A76" s="5" t="s">
        <v>603</v>
      </c>
      <c r="B76" s="0" t="s">
        <v>129</v>
      </c>
      <c r="F76" s="32" t="n">
        <f aca="false">Thesis!$F$66-mw_open</f>
        <v>1817.15</v>
      </c>
      <c r="G76" s="32" t="n">
        <f aca="false">Thesis!$F$76</f>
        <v>1817.15</v>
      </c>
      <c r="H76" s="32" t="n">
        <f aca="false">Thesis!$H$66-mw_open</f>
        <v>5451.45</v>
      </c>
      <c r="I76" s="32" t="n">
        <f aca="false">Thesis!$I$66-mw_open</f>
        <v>9085.75</v>
      </c>
      <c r="J76" s="32" t="n">
        <f aca="false">Thesis!$J$66-mw_open</f>
        <v>12720.05</v>
      </c>
      <c r="K76" s="32" t="n">
        <f aca="false">Thesis!$K$66-mw_open</f>
        <v>15290.9171666667</v>
      </c>
      <c r="L76" s="32" t="n">
        <f aca="false">Thesis!$L$66-mw_open</f>
        <v>16798.3515</v>
      </c>
      <c r="M76" s="32" t="n">
        <f aca="false">Thesis!$M$66-mw_open</f>
        <v>17242.353</v>
      </c>
    </row>
    <row r="77" customFormat="false" ht="17.15" hidden="false" customHeight="false" outlineLevel="0" collapsed="false">
      <c r="A77" s="0" t="s">
        <v>604</v>
      </c>
      <c r="B77" s="0" t="s">
        <v>605</v>
      </c>
      <c r="F77" s="32" t="n">
        <f aca="false">Thesis!$F$69*Thesis!$F$73</f>
        <v>19782.2417524844</v>
      </c>
      <c r="G77" s="32" t="n">
        <f aca="false">Thesis!$F$77</f>
        <v>19782.2417524844</v>
      </c>
      <c r="H77" s="32" t="n">
        <f aca="false">Thesis!$G$77+Thesis!$H$69*Thesis!$H$73</f>
        <v>60563.3616992009</v>
      </c>
      <c r="I77" s="32" t="n">
        <f aca="false">Thesis!$H$77+Thesis!$I$69*Thesis!$I$73</f>
        <v>102561.118087665</v>
      </c>
      <c r="J77" s="32" t="n">
        <f aca="false">Thesis!$I$77+Thesis!$J$69*Thesis!$J$73</f>
        <v>144558.87447613</v>
      </c>
      <c r="K77" s="32" t="n">
        <f aca="false">Thesis!$J$77+Thesis!$K$69*Thesis!$K$73</f>
        <v>174267.663781572</v>
      </c>
      <c r="L77" s="32" t="n">
        <f aca="false">Thesis!$K$77+Thesis!$L$69*Thesis!$L$73</f>
        <v>191687.486003992</v>
      </c>
      <c r="M77" s="32" t="n">
        <f aca="false">Thesis!$L$77+Thesis!$M$69*Thesis!$M$73</f>
        <v>196818.341143389</v>
      </c>
    </row>
    <row r="78" customFormat="false" ht="17.15" hidden="false" customHeight="false" outlineLevel="0" collapsed="false">
      <c r="A78" s="0" t="s">
        <v>606</v>
      </c>
      <c r="B78" s="0" t="s">
        <v>605</v>
      </c>
      <c r="F78" s="32" t="n">
        <f aca="false">Thesis!$F$69*Thesis!$F$74</f>
        <v>3602.74485070566</v>
      </c>
      <c r="G78" s="32" t="n">
        <f aca="false">Thesis!$F$78</f>
        <v>3602.74485070566</v>
      </c>
      <c r="H78" s="32" t="n">
        <f aca="false">Thesis!$G$78+Thesis!$H$69*Thesis!$H$74</f>
        <v>10908.9598445736</v>
      </c>
      <c r="I78" s="32" t="n">
        <f aca="false">Thesis!$H$78+Thesis!$I$69*Thesis!$I$74</f>
        <v>18315.9001308981</v>
      </c>
      <c r="J78" s="32" t="n">
        <f aca="false">Thesis!$I$78+Thesis!$J$69*Thesis!$J$74</f>
        <v>25722.8404172225</v>
      </c>
      <c r="K78" s="32" t="n">
        <f aca="false">Thesis!$J$78+Thesis!$K$69*Thesis!$K$74</f>
        <v>30962.4352738861</v>
      </c>
      <c r="L78" s="32" t="n">
        <f aca="false">Thesis!$K$78+Thesis!$L$69*Thesis!$L$74</f>
        <v>34034.6847008886</v>
      </c>
      <c r="M78" s="32" t="n">
        <f aca="false">Thesis!$L$78+Thesis!$M$69*Thesis!$M$74</f>
        <v>34939.5886982302</v>
      </c>
    </row>
    <row r="79" customFormat="false" ht="17.15" hidden="false" customHeight="false" outlineLevel="0" collapsed="false">
      <c r="A79" s="5" t="s">
        <v>607</v>
      </c>
      <c r="B79" s="0" t="s">
        <v>173</v>
      </c>
      <c r="F79" s="36" t="n">
        <f aca="false">IF(Thesis!$F$76&gt;0,Thesis!$F$77/Thesis!$F$76,Thesis!$F$73)</f>
        <v>10.8864110021101</v>
      </c>
      <c r="G79" s="36" t="n">
        <f aca="false">IF(Thesis!$G$76&gt;0,Thesis!$G$77/Thesis!$G$76,Thesis!$G$73)</f>
        <v>10.8864110021101</v>
      </c>
      <c r="H79" s="36" t="n">
        <f aca="false">IF(Thesis!$H$76&gt;0,Thesis!$H$77/Thesis!$H$76,Thesis!$H$73)</f>
        <v>11.1095876691891</v>
      </c>
      <c r="I79" s="36" t="n">
        <f aca="false">IF(Thesis!$I$76&gt;0,Thesis!$I$77/Thesis!$I$76,Thesis!$I$73)</f>
        <v>11.2881290028523</v>
      </c>
      <c r="J79" s="36" t="n">
        <f aca="false">IF(Thesis!$J$76&gt;0,Thesis!$J$77/Thesis!$J$76,Thesis!$J$73)</f>
        <v>11.3646467172794</v>
      </c>
      <c r="K79" s="36" t="n">
        <f aca="false">IF(Thesis!$K$76&gt;0,Thesis!$K$77/Thesis!$K$76,Thesis!$K$73)</f>
        <v>11.3968090914432</v>
      </c>
      <c r="L79" s="36" t="n">
        <f aca="false">IF(Thesis!$L$76&gt;0,Thesis!$L$77/Thesis!$L$76,Thesis!$L$73)</f>
        <v>11.4110891181192</v>
      </c>
      <c r="M79" s="36" t="n">
        <f aca="false">IF(Thesis!$M$76&gt;0,Thesis!$M$77/Thesis!$M$76,Thesis!$M$73)</f>
        <v>11.4148191458201</v>
      </c>
    </row>
    <row r="80" customFormat="false" ht="17.15" hidden="false" customHeight="false" outlineLevel="0" collapsed="false">
      <c r="A80" s="5" t="s">
        <v>608</v>
      </c>
      <c r="B80" s="0" t="s">
        <v>173</v>
      </c>
      <c r="F80" s="36" t="n">
        <f aca="false">IF(Thesis!$F$76&gt;0,Thesis!$F$78/Thesis!$F$76,Thesis!$F$74)</f>
        <v>1.98263481314457</v>
      </c>
      <c r="G80" s="36" t="n">
        <f aca="false">IF(Thesis!$G$76&gt;0,Thesis!$G$78/Thesis!$G$76,Thesis!$G$74)</f>
        <v>1.98263481314457</v>
      </c>
      <c r="H80" s="36" t="n">
        <f aca="false">IF(Thesis!$H$76&gt;0,Thesis!$H$78/Thesis!$H$76,Thesis!$H$74)</f>
        <v>2.00111160233948</v>
      </c>
      <c r="I80" s="36" t="n">
        <f aca="false">IF(Thesis!$I$76&gt;0,Thesis!$I$78/Thesis!$I$76,Thesis!$I$74)</f>
        <v>2.01589303369541</v>
      </c>
      <c r="J80" s="36" t="n">
        <f aca="false">IF(Thesis!$J$76&gt;0,Thesis!$J$78/Thesis!$J$76,Thesis!$J$74)</f>
        <v>2.02222793284795</v>
      </c>
      <c r="K80" s="36" t="n">
        <f aca="false">IF(Thesis!$K$76&gt;0,Thesis!$K$78/Thesis!$K$76,Thesis!$K$74)</f>
        <v>2.02489065478573</v>
      </c>
      <c r="L80" s="36" t="n">
        <f aca="false">IF(Thesis!$L$76&gt;0,Thesis!$L$78/Thesis!$L$76,Thesis!$L$74)</f>
        <v>2.0260728977417</v>
      </c>
      <c r="M80" s="36" t="n">
        <f aca="false">IF(Thesis!$M$76&gt;0,Thesis!$M$78/Thesis!$M$76,Thesis!$M$74)</f>
        <v>2.02638170661685</v>
      </c>
    </row>
    <row r="81" customFormat="false" ht="17.15" hidden="false" customHeight="false" outlineLevel="0" collapsed="false">
      <c r="A81" s="15" t="s">
        <v>609</v>
      </c>
      <c r="B81" s="14" t="s">
        <v>173</v>
      </c>
      <c r="C81" s="14"/>
      <c r="D81" s="14"/>
      <c r="E81" s="14"/>
      <c r="F81" s="37" t="n">
        <f aca="false">Thesis!$F$79*k_B</f>
        <v>10.7987645808025</v>
      </c>
      <c r="G81" s="37" t="n">
        <f aca="false">Thesis!$G$79*k_B</f>
        <v>10.7987645808025</v>
      </c>
      <c r="H81" s="37" t="n">
        <f aca="false">Thesis!$H$79*k_B</f>
        <v>11.0201444540452</v>
      </c>
      <c r="I81" s="37" t="n">
        <f aca="false">Thesis!$I$79*k_B</f>
        <v>11.1972483526393</v>
      </c>
      <c r="J81" s="37" t="n">
        <f aca="false">Thesis!$J$79*k_B</f>
        <v>11.2731500234653</v>
      </c>
      <c r="K81" s="37" t="n">
        <f aca="false">Thesis!$K$79*k_B</f>
        <v>11.3050534585724</v>
      </c>
      <c r="L81" s="37" t="n">
        <f aca="false">Thesis!$L$79*k_B</f>
        <v>11.3192185168503</v>
      </c>
      <c r="M81" s="37" t="n">
        <f aca="false">Thesis!$M$79*k_B</f>
        <v>11.3229185141234</v>
      </c>
      <c r="N81" s="14"/>
      <c r="O81" s="14"/>
      <c r="P81" s="5" t="s">
        <v>610</v>
      </c>
    </row>
    <row r="82" customFormat="false" ht="17.15" hidden="false" customHeight="false" outlineLevel="0" collapsed="false">
      <c r="A82" s="5" t="s">
        <v>611</v>
      </c>
      <c r="B82" s="0" t="s">
        <v>129</v>
      </c>
      <c r="F82" s="32" t="n">
        <f aca="false">Thesis!$F$76/2</f>
        <v>908.575</v>
      </c>
      <c r="H82" s="32" t="n">
        <f aca="false">(Thesis!$G$76+Thesis!$H$76)/2</f>
        <v>3634.3</v>
      </c>
      <c r="I82" s="32" t="n">
        <f aca="false">(Thesis!$H$76+Thesis!$I$76)/2</f>
        <v>7268.6</v>
      </c>
      <c r="J82" s="32" t="n">
        <f aca="false">(Thesis!$I$76+Thesis!$J$76)/2</f>
        <v>10902.9</v>
      </c>
      <c r="K82" s="32" t="n">
        <f aca="false">(Thesis!$J$76+Thesis!$K$76)/2</f>
        <v>14005.4835833333</v>
      </c>
      <c r="L82" s="32" t="n">
        <f aca="false">(Thesis!$K$76+Thesis!$L$76)/2</f>
        <v>16044.6343333333</v>
      </c>
      <c r="M82" s="32" t="n">
        <f aca="false">(Thesis!$L$76+Thesis!$M$76)/2</f>
        <v>17020.35225</v>
      </c>
    </row>
    <row r="83" customFormat="false" ht="17.15" hidden="false" customHeight="false" outlineLevel="0" collapsed="false">
      <c r="A83" s="1" t="s">
        <v>612</v>
      </c>
    </row>
    <row r="84" customFormat="false" ht="17.15" hidden="false" customHeight="false" outlineLevel="0" collapsed="false">
      <c r="A84" s="1" t="s">
        <v>613</v>
      </c>
      <c r="B84" s="8" t="s">
        <v>86</v>
      </c>
      <c r="C84" s="38" t="n">
        <f aca="false">Thesis!$C$67*rpm_open*Thesis!$C$68/1000</f>
        <v>2.32100535697364</v>
      </c>
      <c r="D84" s="38" t="n">
        <f aca="false">Thesis!$D$67*rpm_open*Thesis!$D$68/1000</f>
        <v>8.70377008865116</v>
      </c>
      <c r="E84" s="38" t="n">
        <f aca="false">Thesis!$E$67*rpm_open*Thesis!$E$68/1000</f>
        <v>8.51035297557002</v>
      </c>
      <c r="F84" s="38" t="n">
        <f aca="false">(mw_open*rpm_open+Thesis!$F$82*Thesis!$F$81)*Thesis!$F$68/1000</f>
        <v>14.9634336447205</v>
      </c>
      <c r="G84" s="38" t="n">
        <f aca="false">Thesis!$E$84+Thesis!$F$84</f>
        <v>23.4737866202905</v>
      </c>
      <c r="H84" s="38" t="n">
        <f aca="false">(mw_open*rpm_open+Thesis!$H$82*Thesis!$H$81)/1000</f>
        <v>60.1658907497746</v>
      </c>
      <c r="I84" s="38" t="n">
        <f aca="false">(mw_open*rpm_open+Thesis!$I$82*Thesis!$I$81)/1000</f>
        <v>101.503699136432</v>
      </c>
      <c r="J84" s="38" t="n">
        <f aca="false">(mw_open*rpm_open+Thesis!$J$82*Thesis!$J$81)/1000</f>
        <v>143.025407151278</v>
      </c>
      <c r="K84" s="38" t="n">
        <f aca="false">(mw_open*rpm_open+Thesis!$K$82*Thesis!$K$81)/1000</f>
        <v>178.44812038318</v>
      </c>
      <c r="L84" s="38" t="n">
        <f aca="false">(mw_open*rpm_open+Thesis!$L$82*Thesis!$L$81)/1000</f>
        <v>201.728101802396</v>
      </c>
      <c r="M84" s="38" t="n">
        <f aca="false">(mw_open*rpm_open+Thesis!$M$82*Thesis!$M$81)/1000</f>
        <v>212.835441368865</v>
      </c>
      <c r="N84" s="38" t="n">
        <f aca="false">Thesis!$N$67*rpm_open*Thesis!$N$68/1000</f>
        <v>3.04631953102791</v>
      </c>
      <c r="O84" s="38" t="n">
        <f aca="false">Thesis!$O$67*rpm_open*Thesis!$O$68/1000</f>
        <v>5.65745055762326</v>
      </c>
      <c r="P84" s="5" t="s">
        <v>614</v>
      </c>
    </row>
    <row r="85" customFormat="false" ht="17.15" hidden="false" customHeight="false" outlineLevel="0" collapsed="false">
      <c r="A85" s="5" t="s">
        <v>615</v>
      </c>
      <c r="B85" s="0" t="s">
        <v>173</v>
      </c>
      <c r="C85" s="36" t="n">
        <f aca="false">Thesis!$C$84*1000/(Thesis!$C$67*Thesis!$C$68)</f>
        <v>9.67085565405685</v>
      </c>
      <c r="D85" s="36" t="n">
        <f aca="false">Thesis!$D$84*1000/(Thesis!$D$67*Thesis!$D$68)</f>
        <v>9.67085565405685</v>
      </c>
      <c r="E85" s="36" t="n">
        <f aca="false">Thesis!$E$84*1000/(Thesis!$E$67*Thesis!$E$68)</f>
        <v>9.67085565405685</v>
      </c>
      <c r="F85" s="36" t="n">
        <f aca="false">Thesis!$F$84*1000/(Thesis!$F$67*Thesis!$F$68)</f>
        <v>10.0137581588017</v>
      </c>
      <c r="G85" s="36" t="n">
        <f aca="false">Thesis!$G$84*1000/(Thesis!$G$67*Thesis!$G$68)</f>
        <v>9.88666562928478</v>
      </c>
      <c r="H85" s="36" t="n">
        <f aca="false">Thesis!$H$84*1000/(Thesis!$H$67*Thesis!$H$68)</f>
        <v>10.5290045586992</v>
      </c>
      <c r="I85" s="36" t="n">
        <f aca="false">Thesis!$I$84*1000/(Thesis!$I$67*Thesis!$I$68)</f>
        <v>10.8576363451674</v>
      </c>
      <c r="J85" s="36" t="n">
        <f aca="false">Thesis!$J$84*1000/(Thesis!$J$67*Thesis!$J$68)</f>
        <v>11.0164452588619</v>
      </c>
      <c r="K85" s="36" t="n">
        <f aca="false">Thesis!$K$84*1000/(Thesis!$K$67*Thesis!$K$68)</f>
        <v>11.0937367508227</v>
      </c>
      <c r="L85" s="36" t="n">
        <f aca="false">Thesis!$L$84*1000/(Thesis!$L$67*Thesis!$L$68)</f>
        <v>11.1300508519168</v>
      </c>
      <c r="M85" s="36" t="n">
        <f aca="false">Thesis!$M$84*1000/(Thesis!$M$67*Thesis!$M$68)</f>
        <v>11.1430113216297</v>
      </c>
      <c r="N85" s="36" t="n">
        <f aca="false">Thesis!$N$84*1000/(Thesis!$N$67*Thesis!$N$68)</f>
        <v>9.67085565405685</v>
      </c>
      <c r="O85" s="36" t="n">
        <f aca="false">Thesis!$O$84*1000/(Thesis!$O$67*Thesis!$O$68)</f>
        <v>9.67085565405685</v>
      </c>
    </row>
    <row r="86" customFormat="false" ht="17.15" hidden="false" customHeight="false" outlineLevel="0" collapsed="false">
      <c r="A86" s="0" t="s">
        <v>616</v>
      </c>
      <c r="B86" s="0" t="s">
        <v>86</v>
      </c>
      <c r="C86" s="38" t="n">
        <f aca="false">Thesis!$C$67/ext_sh*(ox_open+rent_mw)*Thesis!$C$68/1000</f>
        <v>0.642569210675032</v>
      </c>
      <c r="D86" s="38" t="n">
        <f aca="false">Thesis!$D$67/ext_sh*(ox_open+rent_mw)*Thesis!$D$68/1000</f>
        <v>2.40963454003137</v>
      </c>
      <c r="E86" s="38" t="n">
        <f aca="false">Thesis!$E$67/ext_sh*(ox_open+rent_mw)*Thesis!$E$68/1000</f>
        <v>2.35608710580845</v>
      </c>
      <c r="F86" s="38" t="n">
        <f aca="false">((mw_open*ox_open+Thesis!$F$82*Thesis!$F$80)/ext_sh+Thesis!$F$67/ext_sh*rent_mw)*Thesis!$F$68/1000</f>
        <v>4.05421991106232</v>
      </c>
      <c r="G86" s="38" t="n">
        <f aca="false">Thesis!$E$86+Thesis!$F$86</f>
        <v>6.41030701687077</v>
      </c>
      <c r="H86" s="38" t="n">
        <f aca="false">((mw_open*ox_open+Thesis!$H$82*Thesis!$H$80)/ext_sh+Thesis!$H$67/ext_sh*rent_mw)*Thesis!$H$68/1000</f>
        <v>15.8108975546616</v>
      </c>
      <c r="I86" s="38" t="n">
        <f aca="false">((mw_open*ox_open+Thesis!$I$82*Thesis!$I$80)/ext_sh+Thesis!$I$67/ext_sh*rent_mw)*Thesis!$I$68/1000</f>
        <v>26.1871623400817</v>
      </c>
      <c r="J86" s="38" t="n">
        <f aca="false">((mw_open*ox_open+Thesis!$J$82*Thesis!$J$80)/ext_sh+Thesis!$J$67/ext_sh*rent_mw)*Thesis!$J$68/1000</f>
        <v>36.5826128954935</v>
      </c>
      <c r="K86" s="38" t="n">
        <f aca="false">((mw_open*ox_open+Thesis!$K$82*Thesis!$K$80)/ext_sh+Thesis!$K$67/ext_sh*rent_mw)*Thesis!$K$68/1000</f>
        <v>45.4546361137628</v>
      </c>
      <c r="L86" s="38" t="n">
        <f aca="false">((mw_open*ox_open+Thesis!$L$82*Thesis!$L$80)/ext_sh+Thesis!$L$67/ext_sh*rent_mw)*Thesis!$L$68/1000</f>
        <v>51.2855695554452</v>
      </c>
      <c r="M86" s="38" t="n">
        <f aca="false">((mw_open*ox_open+Thesis!$M$82*Thesis!$M$80)/ext_sh+Thesis!$M$67/ext_sh*rent_mw)*Thesis!$M$68/1000</f>
        <v>54.0722927838398</v>
      </c>
      <c r="N86" s="38" t="n">
        <f aca="false">Thesis!$N$67/ext_sh*(ox_open+rent_mw)*Thesis!$N$68/1000</f>
        <v>0.84337208901098</v>
      </c>
      <c r="O86" s="38" t="n">
        <f aca="false">Thesis!$O$67/ext_sh*(ox_open+rent_mw)*Thesis!$O$68/1000</f>
        <v>1.56626245102039</v>
      </c>
    </row>
    <row r="87" customFormat="false" ht="17.15" hidden="false" customHeight="false" outlineLevel="0" collapsed="false">
      <c r="A87" s="0" t="s">
        <v>617</v>
      </c>
      <c r="B87" s="0" t="s">
        <v>86</v>
      </c>
      <c r="C87" s="38" t="n">
        <f aca="false">Q!$D$7</f>
        <v>107.556</v>
      </c>
      <c r="D87" s="38" t="n">
        <f aca="false">Q!$E$7</f>
        <v>128.725</v>
      </c>
      <c r="E87" s="38" t="n">
        <f aca="false">Q!$P$7</f>
        <v>79.819</v>
      </c>
      <c r="N87" s="38" t="n">
        <f aca="false">Q!$N$7</f>
        <v>60.14</v>
      </c>
      <c r="O87" s="38" t="n">
        <f aca="false">Q!$O$7</f>
        <v>68.585</v>
      </c>
    </row>
    <row r="88" customFormat="false" ht="17.15" hidden="false" customHeight="false" outlineLevel="0" collapsed="false">
      <c r="A88" s="1" t="s">
        <v>618</v>
      </c>
      <c r="B88" s="8" t="s">
        <v>86</v>
      </c>
      <c r="C88" s="38" t="n">
        <f aca="false">Thesis!$C$87-Thesis!$C$84</f>
        <v>105.234994643026</v>
      </c>
      <c r="D88" s="38" t="n">
        <f aca="false">Thesis!$D$87-Thesis!$D$84</f>
        <v>120.021229911349</v>
      </c>
      <c r="E88" s="38" t="n">
        <f aca="false">Thesis!$E$87-Thesis!$E$84</f>
        <v>71.30864702443</v>
      </c>
      <c r="F88" s="38" t="n">
        <f aca="false">Thesis!$O$88*(1+Thesis!$F$89)</f>
        <v>71.7692997942464</v>
      </c>
      <c r="G88" s="38" t="n">
        <f aca="false">Thesis!$E$88+Thesis!$F$88</f>
        <v>143.077946818676</v>
      </c>
      <c r="H88" s="38" t="n">
        <f aca="false">Thesis!$G$88*(1+Thesis!$H$89)</f>
        <v>161.017077079203</v>
      </c>
      <c r="I88" s="38" t="n">
        <f aca="false">Thesis!$H$88*(1+Thesis!$I$89)</f>
        <v>178.769759521457</v>
      </c>
      <c r="J88" s="38" t="n">
        <f aca="false">Thesis!$I$88*(1+Thesis!$J$89)</f>
        <v>195.775538045907</v>
      </c>
      <c r="K88" s="38" t="n">
        <f aca="false">Thesis!$J$88*(1+Thesis!$K$89)</f>
        <v>211.43758108958</v>
      </c>
      <c r="L88" s="38" t="n">
        <f aca="false">Thesis!$K$88*(1+Thesis!$L$89)</f>
        <v>228.352587576746</v>
      </c>
      <c r="M88" s="38" t="n">
        <f aca="false">Thesis!$L$88*(1+Thesis!$M$89)</f>
        <v>246.620794582886</v>
      </c>
      <c r="N88" s="38" t="n">
        <f aca="false">Thesis!$N$87-Thesis!$N$84</f>
        <v>57.0936804689721</v>
      </c>
      <c r="O88" s="38" t="n">
        <f aca="false">Thesis!$O$87-Thesis!$O$84</f>
        <v>62.9275494423768</v>
      </c>
      <c r="P88" s="5" t="s">
        <v>619</v>
      </c>
    </row>
    <row r="89" customFormat="false" ht="17.15" hidden="false" customHeight="false" outlineLevel="0" collapsed="false">
      <c r="A89" s="0" t="s">
        <v>620</v>
      </c>
      <c r="B89" s="0" t="s">
        <v>52</v>
      </c>
      <c r="D89" s="13" t="n">
        <f aca="false">Thesis!$D$88/Thesis!$C$88-1</f>
        <v>0.140506827776062</v>
      </c>
      <c r="E89" s="13" t="n">
        <f aca="false">Thesis!$E$88/Thesis!$N$88-1</f>
        <v>0.248976181579029</v>
      </c>
      <c r="F89" s="13" t="n">
        <f aca="false">Thesis!$D$89</f>
        <v>0.140506827776062</v>
      </c>
      <c r="G89" s="13" t="n">
        <f aca="false">Thesis!$G$88/Thesis!$D$88-1</f>
        <v>0.19210532106993</v>
      </c>
      <c r="H89" s="13" t="n">
        <f aca="false">Thesis!$F$89+(g_awso_lt-Thesis!$F$89)*1/4</f>
        <v>0.125380120832046</v>
      </c>
      <c r="I89" s="13" t="n">
        <f aca="false">Thesis!$F$89+(g_awso_lt-Thesis!$F$89)*2/4</f>
        <v>0.110253413888031</v>
      </c>
      <c r="J89" s="13" t="n">
        <f aca="false">Thesis!$F$89+(g_awso_lt-Thesis!$F$89)*3/4</f>
        <v>0.0951267069440154</v>
      </c>
      <c r="K89" s="13" t="n">
        <f aca="false">Thesis!$F$89+(g_awso_lt-Thesis!$F$89)*4/4</f>
        <v>0.08</v>
      </c>
      <c r="L89" s="13" t="n">
        <f aca="false">g_awso_lt</f>
        <v>0.08</v>
      </c>
      <c r="M89" s="13" t="n">
        <f aca="false">g_awso_lt</f>
        <v>0.08</v>
      </c>
      <c r="P89" s="5" t="s">
        <v>621</v>
      </c>
    </row>
    <row r="90" customFormat="false" ht="17.15" hidden="false" customHeight="false" outlineLevel="0" collapsed="false">
      <c r="A90" s="1" t="s">
        <v>622</v>
      </c>
    </row>
    <row r="91" customFormat="false" ht="17.15" hidden="false" customHeight="false" outlineLevel="0" collapsed="false">
      <c r="A91" s="0" t="s">
        <v>623</v>
      </c>
      <c r="B91" s="0" t="s">
        <v>86</v>
      </c>
      <c r="F91" s="38" t="n">
        <f aca="false">cx_rt*Seg!$F$55+cx_awso*Thesis!$F$88</f>
        <v>34.9734495387866</v>
      </c>
    </row>
    <row r="92" customFormat="false" ht="17.15" hidden="false" customHeight="false" outlineLevel="0" collapsed="false">
      <c r="A92" s="0" t="s">
        <v>624</v>
      </c>
      <c r="B92" s="0" t="s">
        <v>52</v>
      </c>
      <c r="C92" s="13" t="n">
        <f aca="false">tk_cx_h100/(tk_cx_h100+tk_fac*(1-colo_sh))</f>
        <v>0.730756458006641</v>
      </c>
      <c r="D92" s="13" t="n">
        <f aca="false">tk_cx_h100/(tk_cx_h100+tk_fac*(1-colo_sh))</f>
        <v>0.730756458006641</v>
      </c>
      <c r="E92" s="13" t="n">
        <f aca="false">Thesis!$F$92</f>
        <v>0.760792334328868</v>
      </c>
      <c r="F92" s="13" t="n">
        <f aca="false">Thesis!$F$75/(Thesis!$F$75+tk_fac*(1-colo_sh))</f>
        <v>0.760792334328868</v>
      </c>
      <c r="G92" s="13" t="n">
        <f aca="false">Thesis!$G$75/(Thesis!$G$75+tk_fac*(1-colo_sh))</f>
        <v>0.760792334328868</v>
      </c>
      <c r="H92" s="13" t="n">
        <f aca="false">Thesis!$H$75/(Thesis!$H$75+tk_fac*(1-colo_sh))</f>
        <v>0.768110668862996</v>
      </c>
      <c r="I92" s="13" t="n">
        <f aca="false">Thesis!$I$75/(Thesis!$I$75+tk_fac*(1-colo_sh))</f>
        <v>0.77499450139483</v>
      </c>
      <c r="J92" s="13" t="n">
        <f aca="false">Thesis!$J$75/(Thesis!$J$75+tk_fac*(1-colo_sh))</f>
        <v>0.77499450139483</v>
      </c>
      <c r="K92" s="13" t="n">
        <f aca="false">Thesis!$K$75/(Thesis!$K$75+tk_fac*(1-colo_sh))</f>
        <v>0.77499450139483</v>
      </c>
      <c r="L92" s="13" t="n">
        <f aca="false">Thesis!$L$75/(Thesis!$L$75+tk_fac*(1-colo_sh))</f>
        <v>0.77499450139483</v>
      </c>
      <c r="M92" s="13" t="n">
        <f aca="false">Thesis!$M$75/(Thesis!$M$75+tk_fac*(1-colo_sh))</f>
        <v>0.77499450139483</v>
      </c>
    </row>
    <row r="93" customFormat="false" ht="17.15" hidden="false" customHeight="false" outlineLevel="0" collapsed="false">
      <c r="A93" s="1" t="s">
        <v>625</v>
      </c>
      <c r="B93" s="8" t="s">
        <v>86</v>
      </c>
      <c r="C93" s="38" t="n">
        <f aca="false">Q!$D$46-cx_rt*Q!$D$16-cx_awso*Thesis!$C$88</f>
        <v>25.2781053077374</v>
      </c>
      <c r="D93" s="38" t="n">
        <f aca="false">Q!$E$46-cx_rt*Q!$E$16-cx_awso*Thesis!$D$88</f>
        <v>69.5686316310026</v>
      </c>
      <c r="E93" s="38" t="n">
        <f aca="false">Q!$P$46-cx_rt*Q!$P$16-cx_awso*Thesis!$E$88</f>
        <v>64.1899206485108</v>
      </c>
      <c r="F93" s="38" t="n">
        <f aca="false">MAX(Thesis!$F$70*(Thesis!$F$75+tk_fac*(1-colo_sh))/1000,capex_g26-Q!$P$46-Thesis!$F$91)</f>
        <v>96.2481299895</v>
      </c>
      <c r="G93" s="38" t="n">
        <f aca="false">Thesis!$E$93+Thesis!$F$93</f>
        <v>160.438050638011</v>
      </c>
      <c r="H93" s="38" t="n">
        <f aca="false">Thesis!$H$70*(Thesis!$H$75+tk_fac*(1-colo_sh))/1000+Thesis!$H$94</f>
        <v>198.57136494475</v>
      </c>
      <c r="I93" s="38" t="n">
        <f aca="false">Thesis!$I$70*(Thesis!$I$75+tk_fac*(1-colo_sh))/1000+Thesis!$I$94</f>
        <v>204.6464699105</v>
      </c>
      <c r="J93" s="38" t="n">
        <f aca="false">Thesis!$J$70*(Thesis!$J$75+tk_fac*(1-colo_sh))/1000+Thesis!$J$94</f>
        <v>209.8832381105</v>
      </c>
      <c r="K93" s="38" t="n">
        <f aca="false">Thesis!$K$70*(Thesis!$K$75+tk_fac*(1-colo_sh))/1000+Thesis!$K$94</f>
        <v>155.238385275201</v>
      </c>
      <c r="L93" s="38" t="n">
        <f aca="false">Thesis!$L$70*(Thesis!$L$75+tk_fac*(1-colo_sh))/1000+Thesis!$L$94</f>
        <v>132.014141639902</v>
      </c>
      <c r="M93" s="38" t="n">
        <f aca="false">Thesis!$M$70*(Thesis!$M$75+tk_fac*(1-colo_sh))/1000+Thesis!$M$94</f>
        <v>132.230981659852</v>
      </c>
      <c r="P93" s="5" t="s">
        <v>626</v>
      </c>
      <c r="R93" s="38" t="n">
        <f aca="false">Q!$C$46-cx_rt*Q!$C$16-cx_awso*(Q!$C$7-mw_ye23/2*rpm_open/1000)</f>
        <v>1.50429979529945</v>
      </c>
      <c r="S93" s="38" t="n">
        <f aca="false">Thesis!$C$93</f>
        <v>25.2781053077374</v>
      </c>
      <c r="T93" s="38" t="n">
        <f aca="false">Thesis!$D$93</f>
        <v>69.5686316310026</v>
      </c>
      <c r="U93" s="38" t="n">
        <f aca="false">Thesis!$G$93</f>
        <v>160.438050638011</v>
      </c>
      <c r="V93" s="38" t="n">
        <f aca="false">Thesis!$H$93</f>
        <v>198.57136494475</v>
      </c>
      <c r="W93" s="38" t="n">
        <f aca="false">Thesis!$I$93</f>
        <v>204.6464699105</v>
      </c>
      <c r="X93" s="38" t="n">
        <f aca="false">Thesis!$J$93</f>
        <v>209.8832381105</v>
      </c>
      <c r="Y93" s="38" t="n">
        <f aca="false">Thesis!$K$93</f>
        <v>155.238385275201</v>
      </c>
      <c r="Z93" s="38" t="n">
        <f aca="false">Thesis!$L$93</f>
        <v>132.014141639902</v>
      </c>
      <c r="AA93" s="38" t="n">
        <f aca="false">Thesis!$M$93</f>
        <v>132.230981659852</v>
      </c>
    </row>
    <row r="94" customFormat="false" ht="17.15" hidden="false" customHeight="false" outlineLevel="0" collapsed="false">
      <c r="A94" s="0" t="s">
        <v>627</v>
      </c>
      <c r="B94" s="0" t="s">
        <v>86</v>
      </c>
      <c r="H94" s="38" t="n">
        <f aca="false">SUMPRODUCT(--(Thesis!$R$63:$AA$63=2027-tk_life),Thesis!$R$70:$AA$70)*Thesis!$H$75/1000</f>
        <v>0</v>
      </c>
      <c r="I94" s="38" t="n">
        <f aca="false">SUMPRODUCT(--(Thesis!$R$63:$AA$63=2028-tk_life),Thesis!$R$70:$AA$70)*Thesis!$I$75/1000</f>
        <v>0</v>
      </c>
      <c r="J94" s="38" t="n">
        <f aca="false">SUMPRODUCT(--(Thesis!$R$63:$AA$63=2029-tk_life),Thesis!$R$70:$AA$70)*Thesis!$J$75/1000</f>
        <v>5.2367682</v>
      </c>
      <c r="K94" s="38" t="n">
        <f aca="false">SUMPRODUCT(--(Thesis!$R$63:$AA$63=2030-tk_life),Thesis!$R$70:$AA$70)*Thesis!$K$75/1000</f>
        <v>10.4735364</v>
      </c>
      <c r="L94" s="38" t="n">
        <f aca="false">SUMPRODUCT(--(Thesis!$R$63:$AA$63=2031-tk_life),Thesis!$R$70:$AA$70)*Thesis!$L$75/1000</f>
        <v>47.1309138</v>
      </c>
      <c r="M94" s="38" t="n">
        <f aca="false">SUMPRODUCT(--(Thesis!$R$63:$AA$63=2032-tk_life),Thesis!$R$70:$AA$70)*Thesis!$M$75/1000</f>
        <v>107.22937485525</v>
      </c>
    </row>
    <row r="95" customFormat="false" ht="17.15" hidden="false" customHeight="false" outlineLevel="0" collapsed="false">
      <c r="A95" s="5" t="s">
        <v>628</v>
      </c>
      <c r="B95" s="0" t="s">
        <v>86</v>
      </c>
      <c r="C95" s="38" t="n">
        <f aca="false">Thesis!$C$93*Thesis!$C$92</f>
        <v>18.472138699801</v>
      </c>
      <c r="D95" s="38" t="n">
        <f aca="false">Thesis!$D$93*Thesis!$D$92</f>
        <v>50.8377268390402</v>
      </c>
      <c r="E95" s="38" t="n">
        <f aca="false">Thesis!$E$93*Thesis!$E$92</f>
        <v>48.8351995705653</v>
      </c>
      <c r="F95" s="38" t="n">
        <f aca="false">Thesis!$F$93*Thesis!$F$92</f>
        <v>73.2248394895</v>
      </c>
      <c r="G95" s="38" t="n">
        <f aca="false">Thesis!$E$95+Thesis!$F$95</f>
        <v>122.060039060065</v>
      </c>
      <c r="H95" s="38" t="n">
        <f aca="false">(Thesis!$H$93-Thesis!$H$94)*Thesis!$H$92+Thesis!$H$94</f>
        <v>152.52478394475</v>
      </c>
      <c r="I95" s="38" t="n">
        <f aca="false">(Thesis!$I$93-Thesis!$I$94)*Thesis!$I$92+Thesis!$I$94</f>
        <v>158.5998889105</v>
      </c>
      <c r="J95" s="38" t="n">
        <f aca="false">(Thesis!$J$93-Thesis!$J$94)*Thesis!$J$92+Thesis!$J$94</f>
        <v>163.8366571105</v>
      </c>
      <c r="K95" s="38" t="n">
        <f aca="false">(Thesis!$K$93-Thesis!$K$94)*Thesis!$K$92+Thesis!$K$94</f>
        <v>122.665498273534</v>
      </c>
      <c r="L95" s="38" t="n">
        <f aca="false">(Thesis!$L$93-Thesis!$L$94)*Thesis!$L$92+Thesis!$L$94</f>
        <v>112.914948636568</v>
      </c>
      <c r="M95" s="38" t="n">
        <f aca="false">(Thesis!$M$93-Thesis!$M$94)*Thesis!$M$92+Thesis!$M$94</f>
        <v>126.605482654852</v>
      </c>
      <c r="R95" s="38" t="n">
        <f aca="false">Thesis!$R$93*Thesis!$C$92</f>
        <v>1.09927679019314</v>
      </c>
      <c r="S95" s="38" t="n">
        <f aca="false">Thesis!$C$95</f>
        <v>18.472138699801</v>
      </c>
      <c r="T95" s="38" t="n">
        <f aca="false">Thesis!$D$95</f>
        <v>50.8377268390402</v>
      </c>
      <c r="U95" s="38" t="n">
        <f aca="false">Thesis!$G$95</f>
        <v>122.060039060065</v>
      </c>
      <c r="V95" s="38" t="n">
        <f aca="false">Thesis!$H$95</f>
        <v>152.52478394475</v>
      </c>
      <c r="W95" s="38" t="n">
        <f aca="false">Thesis!$I$95</f>
        <v>158.5998889105</v>
      </c>
      <c r="X95" s="38" t="n">
        <f aca="false">Thesis!$J$95</f>
        <v>163.8366571105</v>
      </c>
      <c r="Y95" s="38" t="n">
        <f aca="false">Thesis!$K$95</f>
        <v>122.665498273534</v>
      </c>
      <c r="Z95" s="38" t="n">
        <f aca="false">Thesis!$L$95</f>
        <v>112.914948636568</v>
      </c>
      <c r="AA95" s="38" t="n">
        <f aca="false">Thesis!$M$95</f>
        <v>126.605482654852</v>
      </c>
    </row>
    <row r="96" customFormat="false" ht="15" hidden="false" customHeight="false" outlineLevel="0" collapsed="false">
      <c r="A96" s="5" t="s">
        <v>629</v>
      </c>
      <c r="B96" s="0" t="s">
        <v>86</v>
      </c>
      <c r="C96" s="38" t="n">
        <f aca="false">Thesis!$C$93-Thesis!$C$95</f>
        <v>6.80596660793636</v>
      </c>
      <c r="D96" s="38" t="n">
        <f aca="false">Thesis!$D$93-Thesis!$D$95</f>
        <v>18.7309047919624</v>
      </c>
      <c r="E96" s="38" t="n">
        <f aca="false">Thesis!$E$93-Thesis!$E$95</f>
        <v>15.3547210779455</v>
      </c>
      <c r="F96" s="38" t="n">
        <f aca="false">Thesis!$F$93-Thesis!$F$95</f>
        <v>23.0232905</v>
      </c>
      <c r="G96" s="38" t="n">
        <f aca="false">Thesis!$G$93-Thesis!$G$95</f>
        <v>38.3780115779455</v>
      </c>
      <c r="H96" s="38" t="n">
        <f aca="false">Thesis!$H$93-Thesis!$H$95</f>
        <v>46.046581</v>
      </c>
      <c r="I96" s="38" t="n">
        <f aca="false">Thesis!$I$93-Thesis!$I$95</f>
        <v>46.046581</v>
      </c>
      <c r="J96" s="38" t="n">
        <f aca="false">Thesis!$J$93-Thesis!$J$95</f>
        <v>46.046581</v>
      </c>
      <c r="K96" s="38" t="n">
        <f aca="false">Thesis!$K$93-Thesis!$K$95</f>
        <v>32.5728870016667</v>
      </c>
      <c r="L96" s="38" t="n">
        <f aca="false">Thesis!$L$93-Thesis!$L$95</f>
        <v>19.0991930033334</v>
      </c>
      <c r="M96" s="38" t="n">
        <f aca="false">Thesis!$M$93-Thesis!$M$95</f>
        <v>5.62549900499998</v>
      </c>
      <c r="R96" s="38" t="n">
        <f aca="false">Thesis!$R$93-Thesis!$R$95</f>
        <v>0.405023005106309</v>
      </c>
      <c r="S96" s="38" t="n">
        <f aca="false">Thesis!$S$93-Thesis!$S$95</f>
        <v>6.80596660793636</v>
      </c>
      <c r="T96" s="38" t="n">
        <f aca="false">Thesis!$T$93-Thesis!$T$95</f>
        <v>18.7309047919624</v>
      </c>
      <c r="U96" s="38" t="n">
        <f aca="false">Thesis!$U$93-Thesis!$U$95</f>
        <v>38.3780115779455</v>
      </c>
      <c r="V96" s="38" t="n">
        <f aca="false">Thesis!$V$93-Thesis!$V$95</f>
        <v>46.046581</v>
      </c>
      <c r="W96" s="38" t="n">
        <f aca="false">Thesis!$W$93-Thesis!$W$95</f>
        <v>46.046581</v>
      </c>
      <c r="X96" s="38" t="n">
        <f aca="false">Thesis!$X$93-Thesis!$X$95</f>
        <v>46.046581</v>
      </c>
      <c r="Y96" s="38" t="n">
        <f aca="false">Thesis!$Y$93-Thesis!$Y$95</f>
        <v>32.5728870016667</v>
      </c>
      <c r="Z96" s="38" t="n">
        <f aca="false">Thesis!$Z$93-Thesis!$Z$95</f>
        <v>19.0991930033334</v>
      </c>
      <c r="AA96" s="38" t="n">
        <f aca="false">Thesis!$AA$93-Thesis!$AA$95</f>
        <v>5.62549900499998</v>
      </c>
    </row>
    <row r="97" customFormat="false" ht="17.15" hidden="false" customHeight="false" outlineLevel="0" collapsed="false">
      <c r="A97" s="0" t="s">
        <v>630</v>
      </c>
      <c r="B97" s="0" t="s">
        <v>52</v>
      </c>
      <c r="C97" s="13" t="n">
        <f aca="false">Thesis!$C$93/CF!$C$55</f>
        <v>0.325505489553393</v>
      </c>
      <c r="D97" s="13" t="n">
        <f aca="false">Thesis!$D$93/CF!$D$55</f>
        <v>0.54214956071542</v>
      </c>
      <c r="E97" s="13" t="n">
        <f aca="false">Thesis!$E$93/CF!$E$55</f>
        <v>0.666492790452817</v>
      </c>
      <c r="F97" s="13" t="n">
        <f aca="false">Thesis!$F$93/CF!$F$55</f>
        <v>0.733477910687338</v>
      </c>
      <c r="G97" s="13" t="n">
        <f aca="false">Thesis!$G$93/CF!$G$55</f>
        <v>0.705124321514523</v>
      </c>
      <c r="H97" s="13" t="n">
        <f aca="false">Thesis!$H$93/CF!$H$55</f>
        <v>0.726376041178204</v>
      </c>
      <c r="I97" s="13" t="n">
        <f aca="false">Thesis!$I$93/CF!$I$55</f>
        <v>0.713099092661699</v>
      </c>
      <c r="J97" s="13" t="n">
        <f aca="false">Thesis!$J$93/CF!$J$55</f>
        <v>0.701208348786245</v>
      </c>
      <c r="K97" s="13" t="n">
        <f aca="false">Thesis!$K$93/CF!$K$55</f>
        <v>0.618338844562383</v>
      </c>
      <c r="L97" s="13" t="n">
        <f aca="false">Thesis!$L$93/CF!$L$55</f>
        <v>0.562489158462506</v>
      </c>
      <c r="M97" s="13" t="n">
        <f aca="false">Thesis!$M$93/CF!$M$55</f>
        <v>0.545751190895923</v>
      </c>
    </row>
    <row r="98" customFormat="false" ht="17.15" hidden="false" customHeight="false" outlineLevel="0" collapsed="false">
      <c r="A98" s="0" t="s">
        <v>631</v>
      </c>
      <c r="B98" s="0" t="s">
        <v>86</v>
      </c>
      <c r="C98" s="38" t="n">
        <f aca="false">Thesis!$S$98</f>
        <v>0.183212798365523</v>
      </c>
      <c r="D98" s="38" t="n">
        <f aca="false">Thesis!$T$98</f>
        <v>3.2619025816657</v>
      </c>
      <c r="E98" s="38" t="n">
        <f aca="false">Thesis!$G$98/2</f>
        <v>5.86742852741953</v>
      </c>
      <c r="F98" s="38" t="n">
        <f aca="false">Thesis!$G$98/2</f>
        <v>5.86742852741953</v>
      </c>
      <c r="G98" s="38" t="n">
        <f aca="false">Thesis!$U$98</f>
        <v>11.7348570548391</v>
      </c>
      <c r="H98" s="38" t="n">
        <f aca="false">Thesis!$V$98</f>
        <v>32.0781968981833</v>
      </c>
      <c r="I98" s="38" t="n">
        <f aca="false">Thesis!$W$98</f>
        <v>57.4989942223083</v>
      </c>
      <c r="J98" s="38" t="n">
        <f aca="false">Thesis!$X$98</f>
        <v>83.932309040725</v>
      </c>
      <c r="K98" s="38" t="n">
        <f aca="false">Thesis!$Y$98</f>
        <v>111.055205760776</v>
      </c>
      <c r="L98" s="38" t="n">
        <f aca="false">Thesis!$Z$98</f>
        <v>128.420765689732</v>
      </c>
      <c r="M98" s="38" t="n">
        <f aca="false">Thesis!$AA$98</f>
        <v>138.766969322653</v>
      </c>
      <c r="N98" s="38" t="n">
        <f aca="false">Thesis!$D$98/2</f>
        <v>1.63095129083285</v>
      </c>
      <c r="O98" s="38" t="n">
        <f aca="false">Thesis!$D$98/2</f>
        <v>1.63095129083285</v>
      </c>
      <c r="R98" s="38" t="n">
        <f aca="false">SUMPRODUCT(--(Thesis!$R$63:$AA$63&lt;Thesis!R$63),--(Thesis!$R$63:$AA$63&gt;=Thesis!R$63-tk_life),Thesis!$R$95:$AA$95)/tk_life</f>
        <v>0</v>
      </c>
      <c r="S98" s="38" t="n">
        <f aca="false">SUMPRODUCT(--(Thesis!$R$63:$AA$63&lt;Thesis!S$63),--(Thesis!$R$63:$AA$63&gt;=Thesis!S$63-tk_life),Thesis!$R$95:$AA$95)/tk_life</f>
        <v>0.183212798365523</v>
      </c>
      <c r="T98" s="38" t="n">
        <f aca="false">SUMPRODUCT(--(Thesis!$R$63:$AA$63&lt;Thesis!T$63),--(Thesis!$R$63:$AA$63&gt;=Thesis!T$63-tk_life),Thesis!$R$95:$AA$95)/tk_life</f>
        <v>3.2619025816657</v>
      </c>
      <c r="U98" s="38" t="n">
        <f aca="false">SUMPRODUCT(--(Thesis!$R$63:$AA$63&lt;Thesis!U$63),--(Thesis!$R$63:$AA$63&gt;=Thesis!U$63-tk_life),Thesis!$R$95:$AA$95)/tk_life</f>
        <v>11.7348570548391</v>
      </c>
      <c r="V98" s="38" t="n">
        <f aca="false">SUMPRODUCT(--(Thesis!$R$63:$AA$63&lt;Thesis!V$63),--(Thesis!$R$63:$AA$63&gt;=Thesis!V$63-tk_life),Thesis!$R$95:$AA$95)/tk_life</f>
        <v>32.0781968981833</v>
      </c>
      <c r="W98" s="38" t="n">
        <f aca="false">SUMPRODUCT(--(Thesis!$R$63:$AA$63&lt;Thesis!W$63),--(Thesis!$R$63:$AA$63&gt;=Thesis!W$63-tk_life),Thesis!$R$95:$AA$95)/tk_life</f>
        <v>57.4989942223083</v>
      </c>
      <c r="X98" s="38" t="n">
        <f aca="false">SUMPRODUCT(--(Thesis!$R$63:$AA$63&lt;Thesis!X$63),--(Thesis!$R$63:$AA$63&gt;=Thesis!X$63-tk_life),Thesis!$R$95:$AA$95)/tk_life</f>
        <v>83.932309040725</v>
      </c>
      <c r="Y98" s="38" t="n">
        <f aca="false">SUMPRODUCT(--(Thesis!$R$63:$AA$63&lt;Thesis!Y$63),--(Thesis!$R$63:$AA$63&gt;=Thesis!Y$63-tk_life),Thesis!$R$95:$AA$95)/tk_life</f>
        <v>111.055205760776</v>
      </c>
      <c r="Z98" s="38" t="n">
        <f aca="false">SUMPRODUCT(--(Thesis!$R$63:$AA$63&lt;Thesis!Z$63),--(Thesis!$R$63:$AA$63&gt;=Thesis!Z$63-tk_life),Thesis!$R$95:$AA$95)/tk_life</f>
        <v>128.420765689732</v>
      </c>
      <c r="AA98" s="38" t="n">
        <f aca="false">SUMPRODUCT(--(Thesis!$R$63:$AA$63&lt;Thesis!AA$63),--(Thesis!$R$63:$AA$63&gt;=Thesis!AA$63-tk_life),Thesis!$R$95:$AA$95)/tk_life</f>
        <v>138.766969322653</v>
      </c>
    </row>
    <row r="99" customFormat="false" ht="17.15" hidden="false" customHeight="false" outlineLevel="0" collapsed="false">
      <c r="A99" s="0" t="s">
        <v>632</v>
      </c>
      <c r="B99" s="0" t="s">
        <v>86</v>
      </c>
      <c r="C99" s="38" t="n">
        <f aca="false">Thesis!$S$99</f>
        <v>0.0202511502553155</v>
      </c>
      <c r="D99" s="38" t="n">
        <f aca="false">Thesis!$T$99</f>
        <v>0.360549480652134</v>
      </c>
      <c r="E99" s="38" t="n">
        <f aca="false">Thesis!$G$99/2</f>
        <v>0.648547360125127</v>
      </c>
      <c r="F99" s="38" t="n">
        <f aca="false">Thesis!$G$99/2</f>
        <v>0.648547360125127</v>
      </c>
      <c r="G99" s="38" t="n">
        <f aca="false">Thesis!$U$99</f>
        <v>1.29709472025025</v>
      </c>
      <c r="H99" s="38" t="n">
        <f aca="false">Thesis!$V$99</f>
        <v>3.21599529914753</v>
      </c>
      <c r="I99" s="38" t="n">
        <f aca="false">Thesis!$W$99</f>
        <v>5.51832434914753</v>
      </c>
      <c r="J99" s="38" t="n">
        <f aca="false">Thesis!$X$99</f>
        <v>7.82065339914753</v>
      </c>
      <c r="K99" s="38" t="n">
        <f aca="false">Thesis!$Y$99</f>
        <v>10.1229824491475</v>
      </c>
      <c r="L99" s="38" t="n">
        <f aca="false">Thesis!$Z$99</f>
        <v>11.7516267992309</v>
      </c>
      <c r="M99" s="38" t="n">
        <f aca="false">Thesis!$AA$99</f>
        <v>12.7065864493975</v>
      </c>
      <c r="N99" s="38" t="n">
        <f aca="false">Thesis!$D$99/2</f>
        <v>0.180274740326067</v>
      </c>
      <c r="O99" s="38" t="n">
        <f aca="false">Thesis!$D$99/2</f>
        <v>0.180274740326067</v>
      </c>
      <c r="R99" s="38" t="n">
        <f aca="false">SUMPRODUCT(--(Thesis!$R$63:$AA$63&lt;Thesis!R$63),Thesis!$R$96:$AA$96)/fac_life</f>
        <v>0</v>
      </c>
      <c r="S99" s="38" t="n">
        <f aca="false">SUMPRODUCT(--(Thesis!$R$63:$AA$63&lt;Thesis!S$63),Thesis!$R$96:$AA$96)/fac_life</f>
        <v>0.0202511502553155</v>
      </c>
      <c r="T99" s="38" t="n">
        <f aca="false">SUMPRODUCT(--(Thesis!$R$63:$AA$63&lt;Thesis!T$63),Thesis!$R$96:$AA$96)/fac_life</f>
        <v>0.360549480652134</v>
      </c>
      <c r="U99" s="38" t="n">
        <f aca="false">SUMPRODUCT(--(Thesis!$R$63:$AA$63&lt;Thesis!U$63),Thesis!$R$96:$AA$96)/fac_life</f>
        <v>1.29709472025025</v>
      </c>
      <c r="V99" s="38" t="n">
        <f aca="false">SUMPRODUCT(--(Thesis!$R$63:$AA$63&lt;Thesis!V$63),Thesis!$R$96:$AA$96)/fac_life</f>
        <v>3.21599529914753</v>
      </c>
      <c r="W99" s="38" t="n">
        <f aca="false">SUMPRODUCT(--(Thesis!$R$63:$AA$63&lt;Thesis!W$63),Thesis!$R$96:$AA$96)/fac_life</f>
        <v>5.51832434914753</v>
      </c>
      <c r="X99" s="38" t="n">
        <f aca="false">SUMPRODUCT(--(Thesis!$R$63:$AA$63&lt;Thesis!X$63),Thesis!$R$96:$AA$96)/fac_life</f>
        <v>7.82065339914753</v>
      </c>
      <c r="Y99" s="38" t="n">
        <f aca="false">SUMPRODUCT(--(Thesis!$R$63:$AA$63&lt;Thesis!Y$63),Thesis!$R$96:$AA$96)/fac_life</f>
        <v>10.1229824491475</v>
      </c>
      <c r="Z99" s="38" t="n">
        <f aca="false">SUMPRODUCT(--(Thesis!$R$63:$AA$63&lt;Thesis!Z$63),Thesis!$R$96:$AA$96)/fac_life</f>
        <v>11.7516267992309</v>
      </c>
      <c r="AA99" s="38" t="n">
        <f aca="false">SUMPRODUCT(--(Thesis!$R$63:$AA$63&lt;Thesis!AA$63),Thesis!$R$96:$AA$96)/fac_life</f>
        <v>12.7065864493975</v>
      </c>
    </row>
    <row r="100" customFormat="false" ht="17.15" hidden="false" customHeight="false" outlineLevel="0" collapsed="false">
      <c r="A100" s="1" t="s">
        <v>633</v>
      </c>
      <c r="B100" s="8" t="s">
        <v>86</v>
      </c>
      <c r="C100" s="38" t="n">
        <f aca="false">Thesis!$C$98+Thesis!$C$99</f>
        <v>0.203463948620839</v>
      </c>
      <c r="D100" s="38" t="n">
        <f aca="false">Thesis!$D$98+Thesis!$D$99</f>
        <v>3.62245206231783</v>
      </c>
      <c r="E100" s="38" t="n">
        <f aca="false">Thesis!$E$98+Thesis!$E$99</f>
        <v>6.51597588754466</v>
      </c>
      <c r="F100" s="38" t="n">
        <f aca="false">Thesis!$F$98+Thesis!$F$99</f>
        <v>6.51597588754466</v>
      </c>
      <c r="G100" s="38" t="n">
        <f aca="false">Thesis!$G$98+Thesis!$G$99</f>
        <v>13.0319517750893</v>
      </c>
      <c r="H100" s="38" t="n">
        <f aca="false">Thesis!$H$98+Thesis!$H$99</f>
        <v>35.2941921973308</v>
      </c>
      <c r="I100" s="38" t="n">
        <f aca="false">Thesis!$I$98+Thesis!$I$99</f>
        <v>63.0173185714558</v>
      </c>
      <c r="J100" s="38" t="n">
        <f aca="false">Thesis!$J$98+Thesis!$J$99</f>
        <v>91.7529624398725</v>
      </c>
      <c r="K100" s="38" t="n">
        <f aca="false">Thesis!$K$98+Thesis!$K$99</f>
        <v>121.178188209924</v>
      </c>
      <c r="L100" s="38" t="n">
        <f aca="false">Thesis!$L$98+Thesis!$L$99</f>
        <v>140.172392488963</v>
      </c>
      <c r="M100" s="38" t="n">
        <f aca="false">Thesis!$M$98+Thesis!$M$99</f>
        <v>151.473555772051</v>
      </c>
      <c r="N100" s="38" t="n">
        <f aca="false">Thesis!$N$98+Thesis!$N$99</f>
        <v>1.81122603115892</v>
      </c>
      <c r="O100" s="38" t="n">
        <f aca="false">Thesis!$O$98+Thesis!$O$99</f>
        <v>1.81122603115892</v>
      </c>
      <c r="R100" s="38" t="n">
        <f aca="false">Thesis!$R$98+Thesis!$R$99</f>
        <v>0</v>
      </c>
      <c r="S100" s="38" t="n">
        <f aca="false">Thesis!$S$98+Thesis!$S$99</f>
        <v>0.203463948620839</v>
      </c>
      <c r="T100" s="38" t="n">
        <f aca="false">Thesis!$T$98+Thesis!$T$99</f>
        <v>3.62245206231783</v>
      </c>
      <c r="U100" s="38" t="n">
        <f aca="false">Thesis!$U$98+Thesis!$U$99</f>
        <v>13.0319517750893</v>
      </c>
      <c r="V100" s="38" t="n">
        <f aca="false">Thesis!$V$98+Thesis!$V$99</f>
        <v>35.2941921973308</v>
      </c>
      <c r="W100" s="38" t="n">
        <f aca="false">Thesis!$W$98+Thesis!$W$99</f>
        <v>63.0173185714558</v>
      </c>
      <c r="X100" s="38" t="n">
        <f aca="false">Thesis!$X$98+Thesis!$X$99</f>
        <v>91.7529624398725</v>
      </c>
      <c r="Y100" s="38" t="n">
        <f aca="false">Thesis!$Y$98+Thesis!$Y$99</f>
        <v>121.178188209924</v>
      </c>
      <c r="Z100" s="38" t="n">
        <f aca="false">Thesis!$Z$98+Thesis!$Z$99</f>
        <v>140.172392488963</v>
      </c>
      <c r="AA100" s="38" t="n">
        <f aca="false">Thesis!$AA$98+Thesis!$AA$99</f>
        <v>151.473555772051</v>
      </c>
    </row>
    <row r="101" customFormat="false" ht="17.15" hidden="false" customHeight="false" outlineLevel="0" collapsed="false">
      <c r="A101" s="0" t="s">
        <v>634</v>
      </c>
      <c r="B101" s="0" t="s">
        <v>86</v>
      </c>
      <c r="C101" s="38" t="n">
        <f aca="false">Thesis!$S$101</f>
        <v>26.578941154416</v>
      </c>
      <c r="D101" s="38" t="n">
        <f aca="false">Thesis!$T$101</f>
        <v>92.5251207231008</v>
      </c>
      <c r="G101" s="38" t="n">
        <f aca="false">Thesis!$U$101</f>
        <v>239.931219586022</v>
      </c>
      <c r="H101" s="38" t="n">
        <f aca="false">Thesis!$V$101</f>
        <v>403.208392333442</v>
      </c>
      <c r="I101" s="38" t="n">
        <f aca="false">Thesis!$W$101</f>
        <v>544.837543672486</v>
      </c>
      <c r="J101" s="38" t="n">
        <f aca="false">Thesis!$X$101</f>
        <v>662.967819343113</v>
      </c>
      <c r="K101" s="38" t="n">
        <f aca="false">Thesis!$Y$101</f>
        <v>697.028016408391</v>
      </c>
      <c r="L101" s="38" t="n">
        <f aca="false">Thesis!$Z$101</f>
        <v>688.86976555933</v>
      </c>
      <c r="M101" s="38" t="n">
        <f aca="false">Thesis!$AA$101</f>
        <v>669.627191447132</v>
      </c>
      <c r="R101" s="38" t="n">
        <f aca="false">SUM(Thesis!$R$93:$R$93)-SUM(Thesis!$R$100:$R$100)</f>
        <v>1.50429979529945</v>
      </c>
      <c r="S101" s="38" t="n">
        <f aca="false">SUM(Thesis!$R$93:$S$93)-SUM(Thesis!$R$100:$S$100)</f>
        <v>26.578941154416</v>
      </c>
      <c r="T101" s="38" t="n">
        <f aca="false">SUM(Thesis!$R$93:$T$93)-SUM(Thesis!$R$100:$T$100)</f>
        <v>92.5251207231008</v>
      </c>
      <c r="U101" s="38" t="n">
        <f aca="false">SUM(Thesis!$R$93:$U$93)-SUM(Thesis!$R$100:$U$100)</f>
        <v>239.931219586022</v>
      </c>
      <c r="V101" s="38" t="n">
        <f aca="false">SUM(Thesis!$R$93:$V$93)-SUM(Thesis!$R$100:$V$100)</f>
        <v>403.208392333442</v>
      </c>
      <c r="W101" s="38" t="n">
        <f aca="false">SUM(Thesis!$R$93:$W$93)-SUM(Thesis!$R$100:$W$100)</f>
        <v>544.837543672486</v>
      </c>
      <c r="X101" s="38" t="n">
        <f aca="false">SUM(Thesis!$R$93:$X$93)-SUM(Thesis!$R$100:$X$100)</f>
        <v>662.967819343113</v>
      </c>
      <c r="Y101" s="38" t="n">
        <f aca="false">SUM(Thesis!$R$93:$Y$93)-SUM(Thesis!$R$100:$Y$100)</f>
        <v>697.028016408391</v>
      </c>
      <c r="Z101" s="38" t="n">
        <f aca="false">SUM(Thesis!$R$93:$Z$93)-SUM(Thesis!$R$100:$Z$100)</f>
        <v>688.86976555933</v>
      </c>
      <c r="AA101" s="38" t="n">
        <f aca="false">SUM(Thesis!$R$93:$AA$93)-SUM(Thesis!$R$100:$AA$100)</f>
        <v>669.627191447132</v>
      </c>
    </row>
    <row r="102" customFormat="false" ht="17.15" hidden="false" customHeight="false" outlineLevel="0" collapsed="false">
      <c r="A102" s="1" t="s">
        <v>635</v>
      </c>
    </row>
    <row r="103" customFormat="false" ht="17.15" hidden="false" customHeight="false" outlineLevel="0" collapsed="false">
      <c r="A103" s="0" t="s">
        <v>636</v>
      </c>
      <c r="B103" s="0" t="s">
        <v>86</v>
      </c>
      <c r="C103" s="38" t="n">
        <f aca="false">Thesis!$C$84-ext_sh*Thesis!$C$86</f>
        <v>1.80694998843362</v>
      </c>
      <c r="D103" s="38" t="n">
        <f aca="false">Thesis!$D$84-ext_sh*Thesis!$D$86</f>
        <v>6.77606245662607</v>
      </c>
      <c r="E103" s="38" t="n">
        <f aca="false">Thesis!$E$84-ext_sh*Thesis!$E$86</f>
        <v>6.62548329092326</v>
      </c>
      <c r="F103" s="38" t="n">
        <f aca="false">Thesis!$F$84-ext_sh*Thesis!$F$86</f>
        <v>11.7200577158706</v>
      </c>
      <c r="G103" s="38" t="n">
        <f aca="false">Thesis!$G$84-ext_sh*Thesis!$G$86</f>
        <v>18.3455410067939</v>
      </c>
      <c r="H103" s="38" t="n">
        <f aca="false">Thesis!$H$84-ext_sh*Thesis!$H$86</f>
        <v>47.5171727060453</v>
      </c>
      <c r="I103" s="38" t="n">
        <f aca="false">Thesis!$I$84-ext_sh*Thesis!$I$86</f>
        <v>80.5539692643667</v>
      </c>
      <c r="J103" s="38" t="n">
        <f aca="false">Thesis!$J$84-ext_sh*Thesis!$J$86</f>
        <v>113.759316834883</v>
      </c>
      <c r="K103" s="38" t="n">
        <f aca="false">Thesis!$K$84-ext_sh*Thesis!$K$86</f>
        <v>142.084411492169</v>
      </c>
      <c r="L103" s="38" t="n">
        <f aca="false">Thesis!$L$84-ext_sh*Thesis!$L$86</f>
        <v>160.69964615804</v>
      </c>
      <c r="M103" s="38" t="n">
        <f aca="false">Thesis!$M$84-ext_sh*Thesis!$M$86</f>
        <v>169.577607141793</v>
      </c>
      <c r="N103" s="38" t="n">
        <f aca="false">Thesis!$N$84-ext_sh*Thesis!$N$86</f>
        <v>2.37162185981912</v>
      </c>
      <c r="O103" s="38" t="n">
        <f aca="false">Thesis!$O$84-ext_sh*Thesis!$O$86</f>
        <v>4.40444059680694</v>
      </c>
    </row>
    <row r="104" customFormat="false" ht="17.15" hidden="false" customHeight="false" outlineLevel="0" collapsed="false">
      <c r="A104" s="1" t="s">
        <v>637</v>
      </c>
      <c r="B104" s="8" t="s">
        <v>86</v>
      </c>
      <c r="C104" s="38" t="n">
        <f aca="false">Thesis!$C$103-ext_sh*Thesis!$C$100</f>
        <v>1.64417882953695</v>
      </c>
      <c r="D104" s="38" t="n">
        <f aca="false">Thesis!$D$103-ext_sh*Thesis!$D$100</f>
        <v>3.8781008067718</v>
      </c>
      <c r="E104" s="38" t="n">
        <f aca="false">Thesis!$E$103-ext_sh*Thesis!$E$100</f>
        <v>1.41270258088753</v>
      </c>
      <c r="F104" s="38" t="n">
        <f aca="false">Thesis!$F$103-ext_sh*Thesis!$F$100</f>
        <v>6.50727700583486</v>
      </c>
      <c r="G104" s="38" t="n">
        <f aca="false">Thesis!$G$103-ext_sh*Thesis!$G$100</f>
        <v>7.9199795867224</v>
      </c>
      <c r="H104" s="38" t="n">
        <f aca="false">Thesis!$H$103-ext_sh*Thesis!$H$100</f>
        <v>19.2818189481807</v>
      </c>
      <c r="I104" s="38" t="n">
        <f aca="false">Thesis!$I$103-ext_sh*Thesis!$I$100</f>
        <v>30.140114407202</v>
      </c>
      <c r="J104" s="38" t="n">
        <f aca="false">Thesis!$J$103-ext_sh*Thesis!$J$100</f>
        <v>40.3569468829854</v>
      </c>
      <c r="K104" s="38" t="n">
        <f aca="false">Thesis!$K$103-ext_sh*Thesis!$K$100</f>
        <v>45.1418609242305</v>
      </c>
      <c r="L104" s="38" t="n">
        <f aca="false">Thesis!$L$103-ext_sh*Thesis!$L$100</f>
        <v>48.5617321668703</v>
      </c>
      <c r="M104" s="38" t="n">
        <f aca="false">Thesis!$M$103-ext_sh*Thesis!$M$100</f>
        <v>48.3987625241529</v>
      </c>
      <c r="N104" s="38" t="n">
        <f aca="false">Thesis!$N$103-ext_sh*Thesis!$N$100</f>
        <v>0.92264103489199</v>
      </c>
      <c r="O104" s="38" t="n">
        <f aca="false">Thesis!$O$103-ext_sh*Thesis!$O$100</f>
        <v>2.95545977187981</v>
      </c>
    </row>
    <row r="105" customFormat="false" ht="17.15" hidden="false" customHeight="false" outlineLevel="0" collapsed="false">
      <c r="A105" s="0" t="s">
        <v>638</v>
      </c>
      <c r="B105" s="0" t="s">
        <v>52</v>
      </c>
      <c r="C105" s="13" t="n">
        <f aca="false">Thesis!$C$104/Thesis!$C$84</f>
        <v>0.708390794789371</v>
      </c>
      <c r="D105" s="13" t="n">
        <f aca="false">Thesis!$D$104/Thesis!$D$84</f>
        <v>0.445565630441968</v>
      </c>
      <c r="E105" s="13" t="n">
        <f aca="false">Thesis!$E$104/Thesis!$E$84</f>
        <v>0.165998118402711</v>
      </c>
      <c r="F105" s="13" t="n">
        <f aca="false">Thesis!$F$104/Thesis!$F$84</f>
        <v>0.434878595403858</v>
      </c>
      <c r="G105" s="13" t="n">
        <f aca="false">Thesis!$G$104/Thesis!$G$84</f>
        <v>0.3373967615381</v>
      </c>
      <c r="H105" s="13" t="n">
        <f aca="false">Thesis!$H$104/Thesis!$H$84</f>
        <v>0.320477578041224</v>
      </c>
      <c r="I105" s="13" t="n">
        <f aca="false">Thesis!$I$104/Thesis!$I$84</f>
        <v>0.296936118226494</v>
      </c>
      <c r="J105" s="13" t="n">
        <f aca="false">Thesis!$J$104/Thesis!$J$84</f>
        <v>0.282166278613001</v>
      </c>
      <c r="K105" s="13" t="n">
        <f aca="false">Thesis!$K$104/Thesis!$K$84</f>
        <v>0.252969102881543</v>
      </c>
      <c r="L105" s="13" t="n">
        <f aca="false">Thesis!$L$104/Thesis!$L$84</f>
        <v>0.240728642826566</v>
      </c>
      <c r="M105" s="13" t="n">
        <f aca="false">Thesis!$M$104/Thesis!$M$84</f>
        <v>0.227399920863147</v>
      </c>
      <c r="N105" s="13" t="n">
        <f aca="false">Thesis!$N$104/Thesis!$N$84</f>
        <v>0.302870734830849</v>
      </c>
      <c r="O105" s="13" t="n">
        <f aca="false">Thesis!$O$104/Thesis!$O$84</f>
        <v>0.52240134346334</v>
      </c>
    </row>
    <row r="106" customFormat="false" ht="17.15" hidden="false" customHeight="false" outlineLevel="0" collapsed="false">
      <c r="A106" s="5" t="s">
        <v>639</v>
      </c>
      <c r="B106" s="0" t="s">
        <v>86</v>
      </c>
      <c r="C106" s="39" t="n">
        <v>0</v>
      </c>
      <c r="D106" s="39" t="n">
        <v>0</v>
      </c>
      <c r="E106" s="39" t="n">
        <v>0</v>
      </c>
      <c r="F106" s="38" t="n">
        <f aca="false">IF(internal_ai_reading=2,1,0)*(1-ext_sh)/ext_sh*(mw_open*he_open+Thesis!$F$82*Thesis!$F$79)*Thesis!$F$68/1000</f>
        <v>3.77122048175818</v>
      </c>
      <c r="G106" s="38" t="n">
        <f aca="false">Thesis!$E$106+Thesis!$F$106</f>
        <v>3.77122048175818</v>
      </c>
      <c r="H106" s="38" t="n">
        <f aca="false">IF(internal_ai_reading=2,1,0)*(1-ext_sh)/ext_sh*(mw_open*he_open+Thesis!$H$82*Thesis!$H$79)*Thesis!$H$68/1000</f>
        <v>15.1635543609893</v>
      </c>
      <c r="I106" s="38" t="n">
        <f aca="false">IF(internal_ai_reading=2,1,0)*(1-ext_sh)/ext_sh*(mw_open*he_open+Thesis!$I$82*Thesis!$I$79)*Thesis!$I$68/1000</f>
        <v>25.5818843619889</v>
      </c>
      <c r="J106" s="38" t="n">
        <f aca="false">IF(internal_ai_reading=2,1,0)*(1-ext_sh)/ext_sh*(mw_open*he_open+Thesis!$J$82*Thesis!$J$79)*Thesis!$J$68/1000</f>
        <v>36.0465624179122</v>
      </c>
      <c r="K106" s="38" t="n">
        <f aca="false">IF(internal_ai_reading=2,1,0)*(1-ext_sh)/ext_sh*(mw_open*he_open+Thesis!$K$82*Thesis!$K$79)*Thesis!$K$68/1000</f>
        <v>44.9741164026038</v>
      </c>
      <c r="L106" s="38" t="n">
        <f aca="false">IF(internal_ai_reading=2,1,0)*(1-ext_sh)/ext_sh*(mw_open*he_open+Thesis!$L$82*Thesis!$L$79)*Thesis!$L$68/1000</f>
        <v>50.8413488057813</v>
      </c>
      <c r="M106" s="38" t="n">
        <f aca="false">IF(internal_ai_reading=2,1,0)*(1-ext_sh)/ext_sh*(mw_open*he_open+Thesis!$M$82*Thesis!$M$79)*Thesis!$M$68/1000</f>
        <v>53.6407214274315</v>
      </c>
      <c r="N106" s="39" t="n">
        <v>0</v>
      </c>
      <c r="O106" s="39" t="n">
        <v>0</v>
      </c>
      <c r="P106" s="8" t="s">
        <v>640</v>
      </c>
    </row>
    <row r="107" customFormat="false" ht="17.15" hidden="false" customHeight="false" outlineLevel="0" collapsed="false">
      <c r="A107" s="5" t="s">
        <v>641</v>
      </c>
      <c r="B107" s="0" t="s">
        <v>86</v>
      </c>
      <c r="C107" s="38" t="n">
        <f aca="false">(1-ext_sh)*(Thesis!$C$86+Thesis!$C$100)</f>
        <v>0.169206631859174</v>
      </c>
      <c r="D107" s="38" t="n">
        <f aca="false">(1-ext_sh)*(Thesis!$D$86+Thesis!$D$100)</f>
        <v>1.20641732046984</v>
      </c>
      <c r="E107" s="38" t="n">
        <f aca="false">(1-ext_sh)*(Thesis!$E$86+Thesis!$E$100)</f>
        <v>1.77441259867062</v>
      </c>
      <c r="F107" s="38" t="n">
        <f aca="false">(1-ext_sh)*(Thesis!$F$86+Thesis!$F$100)</f>
        <v>2.1140391597214</v>
      </c>
      <c r="G107" s="38" t="n">
        <f aca="false">(1-ext_sh)*(Thesis!$G$86+Thesis!$G$100)</f>
        <v>3.88845175839202</v>
      </c>
      <c r="H107" s="38" t="n">
        <f aca="false">(1-ext_sh)*(Thesis!$H$86+Thesis!$H$100)</f>
        <v>10.2210179503985</v>
      </c>
      <c r="I107" s="38" t="n">
        <f aca="false">(1-ext_sh)*(Thesis!$I$86+Thesis!$I$100)</f>
        <v>17.8408961823075</v>
      </c>
      <c r="J107" s="38" t="n">
        <f aca="false">(1-ext_sh)*(Thesis!$J$86+Thesis!$J$100)</f>
        <v>25.6671150670732</v>
      </c>
      <c r="K107" s="38" t="n">
        <f aca="false">(1-ext_sh)*(Thesis!$K$86+Thesis!$K$100)</f>
        <v>33.3265648647373</v>
      </c>
      <c r="L107" s="38" t="n">
        <f aca="false">(1-ext_sh)*(Thesis!$L$86+Thesis!$L$100)</f>
        <v>38.2915924088815</v>
      </c>
      <c r="M107" s="38" t="n">
        <f aca="false">(1-ext_sh)*(Thesis!$M$86+Thesis!$M$100)</f>
        <v>41.1091697111781</v>
      </c>
      <c r="N107" s="38" t="n">
        <f aca="false">(1-ext_sh)*(Thesis!$N$86+Thesis!$N$100)</f>
        <v>0.530919624033979</v>
      </c>
      <c r="O107" s="38" t="n">
        <f aca="false">(1-ext_sh)*(Thesis!$O$86+Thesis!$O$100)</f>
        <v>0.675497696435861</v>
      </c>
    </row>
    <row r="108" customFormat="false" ht="17.15" hidden="false" customHeight="false" outlineLevel="0" collapsed="false">
      <c r="A108" s="0" t="s">
        <v>642</v>
      </c>
      <c r="B108" s="0" t="s">
        <v>86</v>
      </c>
      <c r="C108" s="38" t="n">
        <f aca="false">Q!$D$24</f>
        <v>39.834</v>
      </c>
      <c r="D108" s="38" t="n">
        <f aca="false">Q!$E$24</f>
        <v>45.606</v>
      </c>
      <c r="E108" s="38" t="n">
        <f aca="false">Q!$P$24</f>
        <v>30.782</v>
      </c>
      <c r="N108" s="38" t="n">
        <f aca="false">Q!$N$24</f>
        <v>21.707</v>
      </c>
      <c r="O108" s="38" t="n">
        <f aca="false">Q!$O$24</f>
        <v>23.899</v>
      </c>
    </row>
    <row r="109" customFormat="false" ht="17.15" hidden="false" customHeight="false" outlineLevel="0" collapsed="false">
      <c r="A109" s="0" t="s">
        <v>643</v>
      </c>
      <c r="B109" s="0" t="s">
        <v>86</v>
      </c>
      <c r="C109" s="38" t="n">
        <f aca="false">Thesis!$C$108-Thesis!$C$104</f>
        <v>38.1898211704631</v>
      </c>
      <c r="D109" s="38" t="n">
        <f aca="false">Thesis!$D$108-Thesis!$D$104</f>
        <v>41.7278991932282</v>
      </c>
      <c r="E109" s="38" t="n">
        <f aca="false">Thesis!$E$108-Thesis!$E$104</f>
        <v>29.3692974191125</v>
      </c>
      <c r="F109" s="38" t="n">
        <f aca="false">Thesis!$F$88*Thesis!$F$110</f>
        <v>26.8997276714137</v>
      </c>
      <c r="G109" s="38" t="n">
        <f aca="false">Thesis!$E$109+Thesis!$F$109</f>
        <v>56.2690250905262</v>
      </c>
      <c r="H109" s="38" t="n">
        <f aca="false">Thesis!$H$88*Thesis!$H$110</f>
        <v>60.3505333937343</v>
      </c>
      <c r="I109" s="38" t="n">
        <f aca="false">Thesis!$I$88*Thesis!$I$110</f>
        <v>67.0043857303571</v>
      </c>
      <c r="J109" s="38" t="n">
        <f aca="false">Thesis!$J$88*Thesis!$J$110</f>
        <v>73.3782922956925</v>
      </c>
      <c r="K109" s="38" t="n">
        <f aca="false">Thesis!$K$88*Thesis!$K$110</f>
        <v>79.2485556793479</v>
      </c>
      <c r="L109" s="38" t="n">
        <f aca="false">Thesis!$L$88*Thesis!$L$110</f>
        <v>85.5884401336958</v>
      </c>
      <c r="M109" s="38" t="n">
        <f aca="false">Thesis!$M$88*Thesis!$M$110</f>
        <v>92.4355153443914</v>
      </c>
      <c r="N109" s="38" t="n">
        <f aca="false">Thesis!$N$108-Thesis!$N$104</f>
        <v>20.784358965108</v>
      </c>
      <c r="O109" s="38" t="n">
        <f aca="false">Thesis!$O$108-Thesis!$O$104</f>
        <v>20.9435402281202</v>
      </c>
      <c r="P109" s="5" t="s">
        <v>644</v>
      </c>
    </row>
    <row r="110" customFormat="false" ht="17.15" hidden="false" customHeight="false" outlineLevel="0" collapsed="false">
      <c r="A110" s="0" t="s">
        <v>645</v>
      </c>
      <c r="B110" s="0" t="s">
        <v>52</v>
      </c>
      <c r="C110" s="13" t="n">
        <f aca="false">Thesis!$C$109/Thesis!$C$88</f>
        <v>0.362900395443635</v>
      </c>
      <c r="D110" s="13" t="n">
        <f aca="false">Thesis!$D$109/Thesis!$D$88</f>
        <v>0.34767098474203</v>
      </c>
      <c r="E110" s="13" t="n">
        <f aca="false">Thesis!$E$109/Thesis!$E$88</f>
        <v>0.411861655558416</v>
      </c>
      <c r="F110" s="13" t="n">
        <f aca="false">(Thesis!$O$109+Thesis!$E$109)/(Thesis!$O$88+Thesis!$E$88)</f>
        <v>0.37480827803158</v>
      </c>
      <c r="G110" s="13" t="n">
        <f aca="false">Thesis!$G$109/Thesis!$G$88</f>
        <v>0.393275318395757</v>
      </c>
      <c r="H110" s="13" t="n">
        <f aca="false">Thesis!$F$110</f>
        <v>0.37480827803158</v>
      </c>
      <c r="I110" s="13" t="n">
        <f aca="false">Thesis!$F$110</f>
        <v>0.37480827803158</v>
      </c>
      <c r="J110" s="13" t="n">
        <f aca="false">Thesis!$F$110</f>
        <v>0.37480827803158</v>
      </c>
      <c r="K110" s="13" t="n">
        <f aca="false">Thesis!$F$110</f>
        <v>0.37480827803158</v>
      </c>
      <c r="L110" s="13" t="n">
        <f aca="false">Thesis!$F$110</f>
        <v>0.37480827803158</v>
      </c>
      <c r="M110" s="13" t="n">
        <f aca="false">Thesis!$F$110</f>
        <v>0.37480827803158</v>
      </c>
      <c r="N110" s="13" t="n">
        <f aca="false">Thesis!$N$109/Thesis!$N$88</f>
        <v>0.364039571356823</v>
      </c>
      <c r="O110" s="13" t="n">
        <f aca="false">Thesis!$O$109/Thesis!$O$88</f>
        <v>0.332819892300086</v>
      </c>
      <c r="P110" s="8" t="s">
        <v>646</v>
      </c>
    </row>
    <row r="111" customFormat="false" ht="17.15" hidden="false" customHeight="false" outlineLevel="0" collapsed="false">
      <c r="A111" s="0" t="s">
        <v>647</v>
      </c>
      <c r="B111" s="0" t="s">
        <v>52</v>
      </c>
      <c r="D111" s="13" t="n">
        <f aca="false">(Q!$E$31-ext_sh*Thesis!$D$100)/Thesis!$D$88</f>
        <v>0.154572973163571</v>
      </c>
    </row>
    <row r="112" customFormat="false" ht="17.15" hidden="false" customHeight="false" outlineLevel="0" collapsed="false">
      <c r="A112" s="0" t="s">
        <v>648</v>
      </c>
      <c r="B112" s="0" t="s">
        <v>86</v>
      </c>
      <c r="C112" s="38" t="n">
        <f aca="false">Q!$D$31</f>
        <v>13.32</v>
      </c>
      <c r="D112" s="38" t="n">
        <f aca="false">Q!$E$31</f>
        <v>21.45</v>
      </c>
      <c r="E112" s="38" t="n">
        <f aca="false">Q!$P$31</f>
        <v>15.353</v>
      </c>
      <c r="F112" s="38" t="n">
        <f aca="false">ext_sh*Thesis!$F$100+Thesis!$D$111*Thesis!$F$88</f>
        <v>16.3063747611001</v>
      </c>
      <c r="G112" s="38" t="n">
        <f aca="false">Thesis!$E$112+Thesis!$F$112</f>
        <v>31.6593747611001</v>
      </c>
      <c r="H112" s="38" t="n">
        <f aca="false">ext_sh*Thesis!$H$100+Thesis!$D$111*Thesis!$H$88</f>
        <v>53.124242092105</v>
      </c>
      <c r="I112" s="38" t="n">
        <f aca="false">ext_sh*Thesis!$I$100+Thesis!$D$111*Thesis!$I$88</f>
        <v>78.046828098133</v>
      </c>
      <c r="J112" s="38" t="n">
        <f aca="false">ext_sh*Thesis!$J$100+Thesis!$D$111*Thesis!$J$88</f>
        <v>103.663976940352</v>
      </c>
      <c r="K112" s="38" t="n">
        <f aca="false">ext_sh*Thesis!$K$100+Thesis!$D$111*Thesis!$K$88</f>
        <v>129.625086115469</v>
      </c>
      <c r="L112" s="38" t="n">
        <f aca="false">ext_sh*Thesis!$L$100+Thesis!$D$111*Thesis!$L$88</f>
        <v>147.435052382502</v>
      </c>
      <c r="M112" s="38" t="n">
        <f aca="false">ext_sh*Thesis!$M$100+Thesis!$D$111*Thesis!$M$88</f>
        <v>159.299754080279</v>
      </c>
      <c r="N112" s="38" t="n">
        <f aca="false">Q!$N$31</f>
        <v>9.234</v>
      </c>
      <c r="O112" s="38" t="n">
        <f aca="false">Q!$O$31</f>
        <v>12.216</v>
      </c>
    </row>
    <row r="113" customFormat="false" ht="17.15" hidden="false" customHeight="false" outlineLevel="0" collapsed="false">
      <c r="A113" s="1" t="s">
        <v>649</v>
      </c>
    </row>
    <row r="114" customFormat="false" ht="17.15" hidden="false" customHeight="false" outlineLevel="0" collapsed="false">
      <c r="A114" s="15" t="s">
        <v>650</v>
      </c>
      <c r="B114" s="14" t="s">
        <v>52</v>
      </c>
      <c r="C114" s="14"/>
      <c r="D114" s="14"/>
      <c r="E114" s="14"/>
      <c r="F114" s="14"/>
      <c r="G114" s="17" t="n">
        <f aca="false">Thesis!$G$104*(1-tax)/(ext_sh*(Thesis!$D$101+Thesis!$G$101)/2)</f>
        <v>0.0492184452944045</v>
      </c>
      <c r="H114" s="17" t="n">
        <f aca="false">Thesis!$H$104*(1-tax)/(ext_sh*(Thesis!$G$101+Thesis!$H$101)/2)</f>
        <v>0.0619414246858107</v>
      </c>
      <c r="I114" s="17" t="n">
        <f aca="false">Thesis!$I$104*(1-tax)/(ext_sh*(Thesis!$H$101+Thesis!$I$101)/2)</f>
        <v>0.0656831488051666</v>
      </c>
      <c r="J114" s="17" t="n">
        <f aca="false">Thesis!$J$104*(1-tax)/(ext_sh*(Thesis!$I$101+Thesis!$J$101)/2)</f>
        <v>0.0690334849962116</v>
      </c>
      <c r="K114" s="17" t="n">
        <f aca="false">Thesis!$K$104*(1-tax)/(ext_sh*(Thesis!$J$101+Thesis!$K$101)/2)</f>
        <v>0.0685772915331967</v>
      </c>
      <c r="L114" s="17" t="n">
        <f aca="false">Thesis!$L$104*(1-tax)/(ext_sh*(Thesis!$K$101+Thesis!$L$101)/2)</f>
        <v>0.0723938074635756</v>
      </c>
      <c r="M114" s="17" t="n">
        <f aca="false">Thesis!$M$104*(1-tax)/(ext_sh*(Thesis!$L$101+Thesis!$M$101)/2)</f>
        <v>0.0736061388214139</v>
      </c>
      <c r="N114" s="14"/>
      <c r="O114" s="14"/>
      <c r="P114" s="8" t="s">
        <v>651</v>
      </c>
    </row>
    <row r="115" customFormat="false" ht="17.15" hidden="false" customHeight="false" outlineLevel="0" collapsed="false">
      <c r="A115" s="5" t="s">
        <v>652</v>
      </c>
      <c r="B115" s="0" t="s">
        <v>57</v>
      </c>
      <c r="H115" s="36" t="n">
        <f aca="false">Thesis!$H$84*1000/(mw_open*he_open+Thesis!$H$82*Thesis!$H$79)</f>
        <v>0.991949006767191</v>
      </c>
      <c r="I115" s="36" t="n">
        <f aca="false">Thesis!$I$84*1000/(mw_open*he_open+Thesis!$I$82*Thesis!$I$79)</f>
        <v>0.991949006767191</v>
      </c>
      <c r="J115" s="36" t="n">
        <f aca="false">Thesis!$J$84*1000/(mw_open*he_open+Thesis!$J$82*Thesis!$J$79)</f>
        <v>0.991949006767191</v>
      </c>
      <c r="K115" s="36" t="n">
        <f aca="false">Thesis!$K$84*1000/(mw_open*he_open+Thesis!$K$82*Thesis!$K$79)</f>
        <v>0.991949006767191</v>
      </c>
      <c r="L115" s="36" t="n">
        <f aca="false">Thesis!$L$84*1000/(mw_open*he_open+Thesis!$L$82*Thesis!$L$79)</f>
        <v>0.991949006767191</v>
      </c>
      <c r="M115" s="36" t="n">
        <f aca="false">Thesis!$M$84*1000/(mw_open*he_open+Thesis!$M$82*Thesis!$M$79)</f>
        <v>0.991949006767191</v>
      </c>
    </row>
    <row r="116" customFormat="false" ht="17.15" hidden="false" customHeight="false" outlineLevel="0" collapsed="false">
      <c r="A116" s="5" t="s">
        <v>653</v>
      </c>
      <c r="B116" s="0" t="s">
        <v>57</v>
      </c>
      <c r="H116" s="36" t="n">
        <f aca="false">Thesis!$H$115*(Thesis!$H$84+wacc*ext_sh*(Thesis!$G$101+Thesis!$H$101)/2/(1-tax)-Thesis!$H$104)/Thesis!$H$84</f>
        <v>1.25551961623259</v>
      </c>
      <c r="I116" s="36" t="n">
        <f aca="false">Thesis!$I$115*(Thesis!$I$84+wacc*ext_sh*(Thesis!$H$101+Thesis!$I$101)/2/(1-tax)-Thesis!$I$104)/Thesis!$I$84</f>
        <v>1.2054675393263</v>
      </c>
      <c r="J116" s="36" t="n">
        <f aca="false">Thesis!$J$115*(Thesis!$J$84+wacc*ext_sh*(Thesis!$I$101+Thesis!$J$101)/2/(1-tax)-Thesis!$J$104)/Thesis!$J$84</f>
        <v>1.17141604927023</v>
      </c>
      <c r="K116" s="36" t="n">
        <f aca="false">Thesis!$K$115*(Thesis!$K$84+wacc*ext_sh*(Thesis!$J$101+Thesis!$K$101)/2/(1-tax)-Thesis!$K$104)/Thesis!$K$84</f>
        <v>1.15558527566281</v>
      </c>
      <c r="L116" s="36" t="n">
        <f aca="false">Thesis!$L$115*(Thesis!$L$84+wacc*ext_sh*(Thesis!$K$101+Thesis!$L$101)/2/(1-tax)-Thesis!$L$104)/Thesis!$L$84</f>
        <v>1.12686933572495</v>
      </c>
      <c r="M116" s="36" t="n">
        <f aca="false">Thesis!$M$115*(Thesis!$M$84+wacc*ext_sh*(Thesis!$L$101+Thesis!$M$101)/2/(1-tax)-Thesis!$M$104)/Thesis!$M$84</f>
        <v>1.11358462527531</v>
      </c>
    </row>
    <row r="117" customFormat="false" ht="17.15" hidden="false" customHeight="false" outlineLevel="0" collapsed="false">
      <c r="A117" s="5" t="s">
        <v>654</v>
      </c>
      <c r="B117" s="0" t="s">
        <v>52</v>
      </c>
      <c r="C117" s="13" t="n">
        <f aca="false">Thesis!$C$85/tk_pq</f>
        <v>0.195316432429398</v>
      </c>
      <c r="D117" s="13" t="n">
        <f aca="false">Thesis!$D$85/tk_pq</f>
        <v>0.195316432429398</v>
      </c>
      <c r="E117" s="13" t="n">
        <f aca="false">Thesis!$E$85/tk_pq</f>
        <v>0.195316432429398</v>
      </c>
      <c r="F117" s="13" t="n">
        <f aca="false">Thesis!$F$85/tk_pq</f>
        <v>0.202241827274866</v>
      </c>
      <c r="G117" s="13" t="n">
        <f aca="false">Thesis!$G$85/tk_pq</f>
        <v>0.199675016194063</v>
      </c>
      <c r="H117" s="13" t="n">
        <f aca="false">Thesis!$H$85/tk_pq</f>
        <v>0.212647947710325</v>
      </c>
      <c r="I117" s="13" t="n">
        <f aca="false">Thesis!$I$85/tk_pq</f>
        <v>0.219285125475351</v>
      </c>
      <c r="J117" s="13" t="n">
        <f aca="false">Thesis!$J$85/tk_pq</f>
        <v>0.222492493217189</v>
      </c>
      <c r="K117" s="13" t="n">
        <f aca="false">Thesis!$K$85/tk_pq</f>
        <v>0.224053502812094</v>
      </c>
      <c r="L117" s="13" t="n">
        <f aca="false">Thesis!$L$85/tk_pq</f>
        <v>0.224786916785614</v>
      </c>
      <c r="M117" s="13" t="n">
        <f aca="false">Thesis!$M$85/tk_pq</f>
        <v>0.225048671566937</v>
      </c>
      <c r="N117" s="13" t="n">
        <f aca="false">Thesis!$N$85/tk_pq</f>
        <v>0.195316432429398</v>
      </c>
      <c r="O117" s="13" t="n">
        <f aca="false">Thesis!$O$85/tk_pq</f>
        <v>0.195316432429398</v>
      </c>
      <c r="P117" s="5" t="s">
        <v>655</v>
      </c>
    </row>
    <row r="120" customFormat="false" ht="19.4" hidden="false" customHeight="false" outlineLevel="0" collapsed="false">
      <c r="A120" s="31" t="s">
        <v>657</v>
      </c>
    </row>
    <row r="121" customFormat="false" ht="17.15" hidden="false" customHeight="false" outlineLevel="0" collapsed="false">
      <c r="A121" s="6" t="s">
        <v>16</v>
      </c>
      <c r="B121" s="6" t="s">
        <v>17</v>
      </c>
      <c r="C121" s="20" t="s">
        <v>494</v>
      </c>
      <c r="D121" s="20" t="s">
        <v>495</v>
      </c>
      <c r="E121" s="20" t="s">
        <v>577</v>
      </c>
      <c r="F121" s="20" t="s">
        <v>578</v>
      </c>
      <c r="G121" s="20" t="s">
        <v>579</v>
      </c>
      <c r="H121" s="20" t="s">
        <v>580</v>
      </c>
      <c r="I121" s="20" t="s">
        <v>581</v>
      </c>
      <c r="J121" s="20" t="s">
        <v>582</v>
      </c>
      <c r="K121" s="20" t="s">
        <v>583</v>
      </c>
      <c r="L121" s="20" t="s">
        <v>584</v>
      </c>
      <c r="M121" s="20" t="s">
        <v>585</v>
      </c>
      <c r="N121" s="20" t="s">
        <v>586</v>
      </c>
      <c r="O121" s="20" t="s">
        <v>587</v>
      </c>
      <c r="P121" s="6" t="s">
        <v>23</v>
      </c>
      <c r="R121" s="20" t="n">
        <v>2023</v>
      </c>
      <c r="S121" s="20" t="n">
        <v>2024</v>
      </c>
      <c r="T121" s="20" t="n">
        <v>2025</v>
      </c>
      <c r="U121" s="20" t="n">
        <v>2026</v>
      </c>
      <c r="V121" s="20" t="n">
        <v>2027</v>
      </c>
      <c r="W121" s="20" t="n">
        <v>2028</v>
      </c>
      <c r="X121" s="20" t="n">
        <v>2029</v>
      </c>
      <c r="Y121" s="20" t="n">
        <v>2030</v>
      </c>
      <c r="Z121" s="20" t="n">
        <v>2031</v>
      </c>
      <c r="AA121" s="20" t="n">
        <v>2032</v>
      </c>
    </row>
    <row r="122" customFormat="false" ht="17.15" hidden="false" customHeight="false" outlineLevel="0" collapsed="false">
      <c r="A122" s="1" t="s">
        <v>588</v>
      </c>
    </row>
    <row r="123" customFormat="false" ht="17.15" hidden="false" customHeight="false" outlineLevel="0" collapsed="false">
      <c r="A123" s="5" t="s">
        <v>589</v>
      </c>
      <c r="B123" s="0" t="s">
        <v>144</v>
      </c>
      <c r="H123" s="32" t="n">
        <f aca="false">pace_C</f>
        <v>3634.3</v>
      </c>
      <c r="I123" s="32" t="n">
        <f aca="false">pace_C</f>
        <v>3634.3</v>
      </c>
      <c r="J123" s="32" t="n">
        <f aca="false">pace_C</f>
        <v>3634.3</v>
      </c>
      <c r="K123" s="32" t="n">
        <f aca="false">pace_C+(Thesis!$J$124*tg-pace_C)*1/3</f>
        <v>2570.86716666667</v>
      </c>
      <c r="L123" s="32" t="n">
        <f aca="false">pace_C+(Thesis!$J$124*tg-pace_C)*2/3</f>
        <v>1507.43433333333</v>
      </c>
      <c r="M123" s="32" t="n">
        <f aca="false">pace_C+(Thesis!$J$124*tg-pace_C)*3/3</f>
        <v>444.0015</v>
      </c>
      <c r="P123" s="5" t="s">
        <v>590</v>
      </c>
    </row>
    <row r="124" customFormat="false" ht="17.15" hidden="false" customHeight="false" outlineLevel="0" collapsed="false">
      <c r="A124" s="15" t="s">
        <v>591</v>
      </c>
      <c r="B124" s="14" t="s">
        <v>129</v>
      </c>
      <c r="C124" s="33" t="n">
        <f aca="false">mw_ye24</f>
        <v>360</v>
      </c>
      <c r="D124" s="33" t="n">
        <f aca="false">mw_ye25</f>
        <v>1440</v>
      </c>
      <c r="E124" s="33" t="n">
        <f aca="false">mw_open</f>
        <v>2080</v>
      </c>
      <c r="F124" s="33" t="n">
        <f aca="false">Thesis!$E$124+pace_C*0.5</f>
        <v>3897.15</v>
      </c>
      <c r="G124" s="33" t="n">
        <f aca="false">Thesis!$F$124</f>
        <v>3897.15</v>
      </c>
      <c r="H124" s="33" t="n">
        <f aca="false">Thesis!$G$124+Thesis!$H$123</f>
        <v>7531.45</v>
      </c>
      <c r="I124" s="33" t="n">
        <f aca="false">Thesis!$H$124+Thesis!$I$123</f>
        <v>11165.75</v>
      </c>
      <c r="J124" s="33" t="n">
        <f aca="false">Thesis!$I$124+Thesis!$J$123</f>
        <v>14800.05</v>
      </c>
      <c r="K124" s="33" t="n">
        <f aca="false">Thesis!$J$124+Thesis!$K$123</f>
        <v>17370.9171666667</v>
      </c>
      <c r="L124" s="33" t="n">
        <f aca="false">Thesis!$K$124+Thesis!$L$123</f>
        <v>18878.3515</v>
      </c>
      <c r="M124" s="33" t="n">
        <f aca="false">Thesis!$L$124+Thesis!$M$123</f>
        <v>19322.353</v>
      </c>
      <c r="N124" s="33" t="n">
        <f aca="false">(mw_ye24+mw_ye25)/2</f>
        <v>900</v>
      </c>
      <c r="O124" s="33" t="n">
        <f aca="false">mw_ye25</f>
        <v>1440</v>
      </c>
      <c r="P124" s="5" t="s">
        <v>592</v>
      </c>
    </row>
    <row r="125" customFormat="false" ht="17.15" hidden="false" customHeight="false" outlineLevel="0" collapsed="false">
      <c r="A125" s="5" t="s">
        <v>593</v>
      </c>
      <c r="B125" s="0" t="s">
        <v>129</v>
      </c>
      <c r="C125" s="32" t="n">
        <f aca="false">(mw_ye23+mw_ye24)/2</f>
        <v>240</v>
      </c>
      <c r="D125" s="32" t="n">
        <f aca="false">(Thesis!$C$124+Thesis!$D$124)/2</f>
        <v>900</v>
      </c>
      <c r="E125" s="32" t="n">
        <f aca="false">(Thesis!$D$124+Thesis!$E$124)/2</f>
        <v>1760</v>
      </c>
      <c r="F125" s="32" t="n">
        <f aca="false">(Thesis!$E$124+Thesis!$F$124)/2</f>
        <v>2988.575</v>
      </c>
      <c r="G125" s="32" t="n">
        <f aca="false">(Thesis!$E$125+Thesis!$F$125)/2</f>
        <v>2374.2875</v>
      </c>
      <c r="H125" s="32" t="n">
        <f aca="false">(Thesis!$G$124+Thesis!$H$124)/2</f>
        <v>5714.3</v>
      </c>
      <c r="I125" s="32" t="n">
        <f aca="false">(Thesis!$H$124+Thesis!$I$124)/2</f>
        <v>9348.6</v>
      </c>
      <c r="J125" s="32" t="n">
        <f aca="false">(Thesis!$I$124+Thesis!$J$124)/2</f>
        <v>12982.9</v>
      </c>
      <c r="K125" s="32" t="n">
        <f aca="false">(Thesis!$J$124+Thesis!$K$124)/2</f>
        <v>16085.4835833333</v>
      </c>
      <c r="L125" s="32" t="n">
        <f aca="false">(Thesis!$K$124+Thesis!$L$124)/2</f>
        <v>18124.6343333333</v>
      </c>
      <c r="M125" s="32" t="n">
        <f aca="false">(Thesis!$L$124+Thesis!$M$124)/2</f>
        <v>19100.35225</v>
      </c>
      <c r="N125" s="32" t="n">
        <f aca="false">(Thesis!$C$124+Thesis!$N$124)/2</f>
        <v>630</v>
      </c>
      <c r="O125" s="32" t="n">
        <f aca="false">(Thesis!$N$124+Thesis!$O$124)/2</f>
        <v>1170</v>
      </c>
    </row>
    <row r="126" customFormat="false" ht="15" hidden="false" customHeight="false" outlineLevel="0" collapsed="false">
      <c r="A126" s="5" t="s">
        <v>594</v>
      </c>
      <c r="B126" s="5" t="s">
        <v>123</v>
      </c>
      <c r="C126" s="34" t="n">
        <v>1</v>
      </c>
      <c r="D126" s="34" t="n">
        <v>1</v>
      </c>
      <c r="E126" s="34" t="n">
        <v>0.5</v>
      </c>
      <c r="F126" s="34" t="n">
        <v>0.5</v>
      </c>
      <c r="G126" s="34" t="n">
        <v>1</v>
      </c>
      <c r="H126" s="34" t="n">
        <v>1</v>
      </c>
      <c r="I126" s="34" t="n">
        <v>1</v>
      </c>
      <c r="J126" s="34" t="n">
        <v>1</v>
      </c>
      <c r="K126" s="34" t="n">
        <v>1</v>
      </c>
      <c r="L126" s="34" t="n">
        <v>1</v>
      </c>
      <c r="M126" s="34" t="n">
        <v>1</v>
      </c>
      <c r="N126" s="34" t="n">
        <v>0.5</v>
      </c>
      <c r="O126" s="34" t="n">
        <v>0.5</v>
      </c>
    </row>
    <row r="127" customFormat="false" ht="17.15" hidden="false" customHeight="false" outlineLevel="0" collapsed="false">
      <c r="A127" s="5" t="s">
        <v>595</v>
      </c>
      <c r="B127" s="0" t="s">
        <v>129</v>
      </c>
      <c r="C127" s="32" t="n">
        <f aca="false">Thesis!$C$124-mw_ye23</f>
        <v>240</v>
      </c>
      <c r="D127" s="32" t="n">
        <f aca="false">Thesis!$D$124-Thesis!$C$124</f>
        <v>1080</v>
      </c>
      <c r="E127" s="32" t="n">
        <f aca="false">Thesis!$E$124-Thesis!$D$124</f>
        <v>640</v>
      </c>
      <c r="F127" s="32" t="n">
        <f aca="false">Thesis!$F$124-Thesis!$E$124</f>
        <v>1817.15</v>
      </c>
      <c r="G127" s="32" t="n">
        <f aca="false">Thesis!$E$127+Thesis!$F$127</f>
        <v>2457.15</v>
      </c>
      <c r="H127" s="32" t="n">
        <f aca="false">Thesis!$H$124-Thesis!$G$124</f>
        <v>3634.3</v>
      </c>
      <c r="I127" s="32" t="n">
        <f aca="false">Thesis!$I$124-Thesis!$H$124</f>
        <v>3634.3</v>
      </c>
      <c r="J127" s="32" t="n">
        <f aca="false">Thesis!$J$124-Thesis!$I$124</f>
        <v>3634.3</v>
      </c>
      <c r="K127" s="32" t="n">
        <f aca="false">Thesis!$K$124-Thesis!$J$124</f>
        <v>2570.86716666667</v>
      </c>
      <c r="L127" s="32" t="n">
        <f aca="false">Thesis!$L$124-Thesis!$K$124</f>
        <v>1507.43433333333</v>
      </c>
      <c r="M127" s="32" t="n">
        <f aca="false">Thesis!$M$124-Thesis!$L$124</f>
        <v>444.001499999999</v>
      </c>
      <c r="N127" s="32" t="n">
        <f aca="false">Thesis!$N$124-Thesis!$C$124</f>
        <v>540</v>
      </c>
      <c r="O127" s="32" t="n">
        <f aca="false">Thesis!$O$124-Thesis!$N$124</f>
        <v>540</v>
      </c>
    </row>
    <row r="128" customFormat="false" ht="17.15" hidden="false" customHeight="false" outlineLevel="0" collapsed="false">
      <c r="A128" s="5" t="s">
        <v>596</v>
      </c>
      <c r="B128" s="0" t="s">
        <v>129</v>
      </c>
      <c r="C128" s="32" t="n">
        <f aca="false">Thesis!$C$127/ext_sh</f>
        <v>300</v>
      </c>
      <c r="D128" s="32" t="n">
        <f aca="false">Thesis!$D$127/ext_sh</f>
        <v>1350</v>
      </c>
      <c r="E128" s="32" t="n">
        <f aca="false">Thesis!$E$127/ext_sh</f>
        <v>800</v>
      </c>
      <c r="F128" s="32" t="n">
        <f aca="false">Thesis!$F$127/ext_sh</f>
        <v>2271.4375</v>
      </c>
      <c r="G128" s="32" t="n">
        <f aca="false">Thesis!$G$127/ext_sh</f>
        <v>3071.4375</v>
      </c>
      <c r="H128" s="32" t="n">
        <f aca="false">Thesis!$H$127/ext_sh</f>
        <v>4542.875</v>
      </c>
      <c r="I128" s="32" t="n">
        <f aca="false">Thesis!$I$127/ext_sh</f>
        <v>4542.875</v>
      </c>
      <c r="J128" s="32" t="n">
        <f aca="false">Thesis!$J$127/ext_sh</f>
        <v>4542.875</v>
      </c>
      <c r="K128" s="32" t="n">
        <f aca="false">Thesis!$K$127/ext_sh</f>
        <v>3213.58395833333</v>
      </c>
      <c r="L128" s="32" t="n">
        <f aca="false">Thesis!$L$127/ext_sh</f>
        <v>1884.29291666667</v>
      </c>
      <c r="M128" s="32" t="n">
        <f aca="false">Thesis!$M$127/ext_sh</f>
        <v>555.001874999998</v>
      </c>
      <c r="N128" s="32" t="n">
        <f aca="false">Thesis!$N$127/ext_sh</f>
        <v>675</v>
      </c>
      <c r="O128" s="32" t="n">
        <f aca="false">Thesis!$O$127/ext_sh</f>
        <v>675</v>
      </c>
      <c r="P128" s="8" t="s">
        <v>597</v>
      </c>
      <c r="R128" s="32" t="n">
        <f aca="false">mw_ye23/ext_sh</f>
        <v>150</v>
      </c>
      <c r="S128" s="32" t="n">
        <f aca="false">Thesis!$C$128</f>
        <v>300</v>
      </c>
      <c r="T128" s="32" t="n">
        <f aca="false">Thesis!$D$128</f>
        <v>1350</v>
      </c>
      <c r="U128" s="32" t="n">
        <f aca="false">Thesis!$G$128</f>
        <v>3071.4375</v>
      </c>
      <c r="V128" s="32" t="n">
        <f aca="false">Thesis!$H$128</f>
        <v>4542.875</v>
      </c>
      <c r="W128" s="32" t="n">
        <f aca="false">Thesis!$I$128</f>
        <v>4542.875</v>
      </c>
      <c r="X128" s="32" t="n">
        <f aca="false">Thesis!$J$128</f>
        <v>4542.875</v>
      </c>
      <c r="Y128" s="32" t="n">
        <f aca="false">Thesis!$K$128</f>
        <v>3213.58395833333</v>
      </c>
      <c r="Z128" s="32" t="n">
        <f aca="false">Thesis!$L$128</f>
        <v>1884.29291666667</v>
      </c>
      <c r="AA128" s="32" t="n">
        <f aca="false">Thesis!$M$128</f>
        <v>555.001874999998</v>
      </c>
    </row>
    <row r="129" customFormat="false" ht="17.15" hidden="false" customHeight="false" outlineLevel="0" collapsed="false">
      <c r="A129" s="1" t="s">
        <v>598</v>
      </c>
    </row>
    <row r="130" customFormat="false" ht="17.15" hidden="false" customHeight="false" outlineLevel="0" collapsed="false">
      <c r="A130" s="0" t="s">
        <v>599</v>
      </c>
      <c r="B130" s="0" t="s">
        <v>52</v>
      </c>
      <c r="F130" s="35" t="n">
        <f aca="false">na_vr26</f>
        <v>0</v>
      </c>
      <c r="G130" s="35" t="n">
        <f aca="false">na_vr26</f>
        <v>0</v>
      </c>
      <c r="H130" s="35" t="n">
        <f aca="false">na_vr27</f>
        <v>0.5</v>
      </c>
      <c r="I130" s="35" t="n">
        <f aca="false">na_vr28</f>
        <v>1</v>
      </c>
      <c r="J130" s="35" t="n">
        <f aca="false">na_vr28</f>
        <v>1</v>
      </c>
      <c r="K130" s="35" t="n">
        <f aca="false">na_vr28</f>
        <v>1</v>
      </c>
      <c r="L130" s="35" t="n">
        <f aca="false">na_vr28</f>
        <v>1</v>
      </c>
      <c r="M130" s="35" t="n">
        <f aca="false">na_vr28</f>
        <v>1</v>
      </c>
    </row>
    <row r="131" customFormat="false" ht="17.15" hidden="false" customHeight="false" outlineLevel="0" collapsed="false">
      <c r="A131" s="5" t="s">
        <v>600</v>
      </c>
      <c r="B131" s="0" t="s">
        <v>173</v>
      </c>
      <c r="F131" s="36" t="n">
        <f aca="false">cust_sh*tk_he_gb300*cf_chip+(1-cust_sh)*((1-Thesis!$F$130)*tk_he_gb300+Thesis!$F$130*tk_he_vr200)</f>
        <v>10.8864110021101</v>
      </c>
      <c r="G131" s="36" t="n">
        <f aca="false">cust_sh*tk_he_gb300*cf_chip+(1-cust_sh)*((1-Thesis!$G$130)*tk_he_gb300+Thesis!$G$130*tk_he_vr200)</f>
        <v>10.8864110021101</v>
      </c>
      <c r="H131" s="36" t="n">
        <f aca="false">cust_sh*tk_he_gb300*cf_chip+(1-cust_sh)*((1-Thesis!$H$130)*tk_he_gb300+Thesis!$H$130*tk_he_vr200)</f>
        <v>11.2211760027286</v>
      </c>
      <c r="I131" s="36" t="n">
        <f aca="false">cust_sh*tk_he_gb300*cf_chip+(1-cust_sh)*((1-Thesis!$I$130)*tk_he_gb300+Thesis!$I$130*tk_he_vr200)</f>
        <v>11.5559410033471</v>
      </c>
      <c r="J131" s="36" t="n">
        <f aca="false">cust_sh*tk_he_gb300*cf_chip+(1-cust_sh)*((1-Thesis!$J$130)*tk_he_gb300+Thesis!$J$130*tk_he_vr200)</f>
        <v>11.5559410033471</v>
      </c>
      <c r="K131" s="36" t="n">
        <f aca="false">cust_sh*tk_he_gb300*cf_chip+(1-cust_sh)*((1-Thesis!$K$130)*tk_he_gb300+Thesis!$K$130*tk_he_vr200)</f>
        <v>11.5559410033471</v>
      </c>
      <c r="L131" s="36" t="n">
        <f aca="false">cust_sh*tk_he_gb300*cf_chip+(1-cust_sh)*((1-Thesis!$L$130)*tk_he_gb300+Thesis!$L$130*tk_he_vr200)</f>
        <v>11.5559410033471</v>
      </c>
      <c r="M131" s="36" t="n">
        <f aca="false">cust_sh*tk_he_gb300*cf_chip+(1-cust_sh)*((1-Thesis!$M$130)*tk_he_gb300+Thesis!$M$130*tk_he_vr200)</f>
        <v>11.5559410033471</v>
      </c>
    </row>
    <row r="132" customFormat="false" ht="17.15" hidden="false" customHeight="false" outlineLevel="0" collapsed="false">
      <c r="A132" s="5" t="s">
        <v>601</v>
      </c>
      <c r="B132" s="0" t="s">
        <v>173</v>
      </c>
      <c r="F132" s="36" t="n">
        <f aca="false">cust_sh*tk_ox_gb300+(1-cust_sh)*((1-Thesis!$F$130)*tk_ox_gb300+Thesis!$F$130*tk_ox_vr200)</f>
        <v>1.98263481314457</v>
      </c>
      <c r="G132" s="36" t="n">
        <f aca="false">cust_sh*tk_ox_gb300+(1-cust_sh)*((1-Thesis!$G$130)*tk_ox_gb300+Thesis!$G$130*tk_ox_vr200)</f>
        <v>1.98263481314457</v>
      </c>
      <c r="H132" s="36" t="n">
        <f aca="false">cust_sh*tk_ox_gb300+(1-cust_sh)*((1-Thesis!$H$130)*tk_ox_gb300+Thesis!$H$130*tk_ox_vr200)</f>
        <v>2.01034999693694</v>
      </c>
      <c r="I132" s="36" t="n">
        <f aca="false">cust_sh*tk_ox_gb300+(1-cust_sh)*((1-Thesis!$I$130)*tk_ox_gb300+Thesis!$I$130*tk_ox_vr200)</f>
        <v>2.0380651807293</v>
      </c>
      <c r="J132" s="36" t="n">
        <f aca="false">cust_sh*tk_ox_gb300+(1-cust_sh)*((1-Thesis!$J$130)*tk_ox_gb300+Thesis!$J$130*tk_ox_vr200)</f>
        <v>2.0380651807293</v>
      </c>
      <c r="K132" s="36" t="n">
        <f aca="false">cust_sh*tk_ox_gb300+(1-cust_sh)*((1-Thesis!$K$130)*tk_ox_gb300+Thesis!$K$130*tk_ox_vr200)</f>
        <v>2.0380651807293</v>
      </c>
      <c r="L132" s="36" t="n">
        <f aca="false">cust_sh*tk_ox_gb300+(1-cust_sh)*((1-Thesis!$L$130)*tk_ox_gb300+Thesis!$L$130*tk_ox_vr200)</f>
        <v>2.0380651807293</v>
      </c>
      <c r="M132" s="36" t="n">
        <f aca="false">cust_sh*tk_ox_gb300+(1-cust_sh)*((1-Thesis!$M$130)*tk_ox_gb300+Thesis!$M$130*tk_ox_vr200)</f>
        <v>2.0380651807293</v>
      </c>
    </row>
    <row r="133" customFormat="false" ht="17.15" hidden="false" customHeight="false" outlineLevel="0" collapsed="false">
      <c r="A133" s="5" t="s">
        <v>602</v>
      </c>
      <c r="B133" s="0" t="s">
        <v>192</v>
      </c>
      <c r="F133" s="36" t="n">
        <f aca="false">cust_sh*tk_cx_gb300*cf_cx+(1-cust_sh)*((1-Thesis!$F$130)*tk_cx_gb300+Thesis!$F$130*tk_cx_vr200)</f>
        <v>32.237224</v>
      </c>
      <c r="G133" s="36" t="n">
        <f aca="false">cust_sh*tk_cx_gb300*cf_cx+(1-cust_sh)*((1-Thesis!$G$130)*tk_cx_gb300+Thesis!$G$130*tk_cx_vr200)</f>
        <v>32.237224</v>
      </c>
      <c r="H133" s="36" t="n">
        <f aca="false">cust_sh*tk_cx_gb300*cf_cx+(1-cust_sh)*((1-Thesis!$H$130)*tk_cx_gb300+Thesis!$H$130*tk_cx_vr200)</f>
        <v>33.574506</v>
      </c>
      <c r="I133" s="36" t="n">
        <f aca="false">cust_sh*tk_cx_gb300*cf_cx+(1-cust_sh)*((1-Thesis!$I$130)*tk_cx_gb300+Thesis!$I$130*tk_cx_vr200)</f>
        <v>34.911788</v>
      </c>
      <c r="J133" s="36" t="n">
        <f aca="false">cust_sh*tk_cx_gb300*cf_cx+(1-cust_sh)*((1-Thesis!$J$130)*tk_cx_gb300+Thesis!$J$130*tk_cx_vr200)</f>
        <v>34.911788</v>
      </c>
      <c r="K133" s="36" t="n">
        <f aca="false">cust_sh*tk_cx_gb300*cf_cx+(1-cust_sh)*((1-Thesis!$K$130)*tk_cx_gb300+Thesis!$K$130*tk_cx_vr200)</f>
        <v>34.911788</v>
      </c>
      <c r="L133" s="36" t="n">
        <f aca="false">cust_sh*tk_cx_gb300*cf_cx+(1-cust_sh)*((1-Thesis!$L$130)*tk_cx_gb300+Thesis!$L$130*tk_cx_vr200)</f>
        <v>34.911788</v>
      </c>
      <c r="M133" s="36" t="n">
        <f aca="false">cust_sh*tk_cx_gb300*cf_cx+(1-cust_sh)*((1-Thesis!$M$130)*tk_cx_gb300+Thesis!$M$130*tk_cx_vr200)</f>
        <v>34.911788</v>
      </c>
    </row>
    <row r="134" customFormat="false" ht="17.15" hidden="false" customHeight="false" outlineLevel="0" collapsed="false">
      <c r="A134" s="5" t="s">
        <v>603</v>
      </c>
      <c r="B134" s="0" t="s">
        <v>129</v>
      </c>
      <c r="F134" s="32" t="n">
        <f aca="false">Thesis!$F$124-mw_open</f>
        <v>1817.15</v>
      </c>
      <c r="G134" s="32" t="n">
        <f aca="false">Thesis!$F$134</f>
        <v>1817.15</v>
      </c>
      <c r="H134" s="32" t="n">
        <f aca="false">Thesis!$H$124-mw_open</f>
        <v>5451.45</v>
      </c>
      <c r="I134" s="32" t="n">
        <f aca="false">Thesis!$I$124-mw_open</f>
        <v>9085.75</v>
      </c>
      <c r="J134" s="32" t="n">
        <f aca="false">Thesis!$J$124-mw_open</f>
        <v>12720.05</v>
      </c>
      <c r="K134" s="32" t="n">
        <f aca="false">Thesis!$K$124-mw_open</f>
        <v>15290.9171666667</v>
      </c>
      <c r="L134" s="32" t="n">
        <f aca="false">Thesis!$L$124-mw_open</f>
        <v>16798.3515</v>
      </c>
      <c r="M134" s="32" t="n">
        <f aca="false">Thesis!$M$124-mw_open</f>
        <v>17242.353</v>
      </c>
    </row>
    <row r="135" customFormat="false" ht="17.15" hidden="false" customHeight="false" outlineLevel="0" collapsed="false">
      <c r="A135" s="0" t="s">
        <v>604</v>
      </c>
      <c r="B135" s="0" t="s">
        <v>605</v>
      </c>
      <c r="F135" s="32" t="n">
        <f aca="false">Thesis!$F$127*Thesis!$F$131</f>
        <v>19782.2417524844</v>
      </c>
      <c r="G135" s="32" t="n">
        <f aca="false">Thesis!$F$135</f>
        <v>19782.2417524844</v>
      </c>
      <c r="H135" s="32" t="n">
        <f aca="false">Thesis!$G$135+Thesis!$H$127*Thesis!$H$131</f>
        <v>60563.3616992009</v>
      </c>
      <c r="I135" s="32" t="n">
        <f aca="false">Thesis!$H$135+Thesis!$I$127*Thesis!$I$131</f>
        <v>102561.118087665</v>
      </c>
      <c r="J135" s="32" t="n">
        <f aca="false">Thesis!$I$135+Thesis!$J$127*Thesis!$J$131</f>
        <v>144558.87447613</v>
      </c>
      <c r="K135" s="32" t="n">
        <f aca="false">Thesis!$J$135+Thesis!$K$127*Thesis!$K$131</f>
        <v>174267.663781572</v>
      </c>
      <c r="L135" s="32" t="n">
        <f aca="false">Thesis!$K$135+Thesis!$L$127*Thesis!$L$131</f>
        <v>191687.486003992</v>
      </c>
      <c r="M135" s="32" t="n">
        <f aca="false">Thesis!$L$135+Thesis!$M$127*Thesis!$M$131</f>
        <v>196818.341143389</v>
      </c>
    </row>
    <row r="136" customFormat="false" ht="17.15" hidden="false" customHeight="false" outlineLevel="0" collapsed="false">
      <c r="A136" s="0" t="s">
        <v>606</v>
      </c>
      <c r="B136" s="0" t="s">
        <v>605</v>
      </c>
      <c r="F136" s="32" t="n">
        <f aca="false">Thesis!$F$127*Thesis!$F$132</f>
        <v>3602.74485070566</v>
      </c>
      <c r="G136" s="32" t="n">
        <f aca="false">Thesis!$F$136</f>
        <v>3602.74485070566</v>
      </c>
      <c r="H136" s="32" t="n">
        <f aca="false">Thesis!$G$136+Thesis!$H$127*Thesis!$H$132</f>
        <v>10908.9598445736</v>
      </c>
      <c r="I136" s="32" t="n">
        <f aca="false">Thesis!$H$136+Thesis!$I$127*Thesis!$I$132</f>
        <v>18315.9001308981</v>
      </c>
      <c r="J136" s="32" t="n">
        <f aca="false">Thesis!$I$136+Thesis!$J$127*Thesis!$J$132</f>
        <v>25722.8404172225</v>
      </c>
      <c r="K136" s="32" t="n">
        <f aca="false">Thesis!$J$136+Thesis!$K$127*Thesis!$K$132</f>
        <v>30962.4352738861</v>
      </c>
      <c r="L136" s="32" t="n">
        <f aca="false">Thesis!$K$136+Thesis!$L$127*Thesis!$L$132</f>
        <v>34034.6847008886</v>
      </c>
      <c r="M136" s="32" t="n">
        <f aca="false">Thesis!$L$136+Thesis!$M$127*Thesis!$M$132</f>
        <v>34939.5886982302</v>
      </c>
    </row>
    <row r="137" customFormat="false" ht="17.15" hidden="false" customHeight="false" outlineLevel="0" collapsed="false">
      <c r="A137" s="5" t="s">
        <v>607</v>
      </c>
      <c r="B137" s="0" t="s">
        <v>173</v>
      </c>
      <c r="F137" s="36" t="n">
        <f aca="false">IF(Thesis!$F$134&gt;0,Thesis!$F$135/Thesis!$F$134,Thesis!$F$131)</f>
        <v>10.8864110021101</v>
      </c>
      <c r="G137" s="36" t="n">
        <f aca="false">IF(Thesis!$G$134&gt;0,Thesis!$G$135/Thesis!$G$134,Thesis!$G$131)</f>
        <v>10.8864110021101</v>
      </c>
      <c r="H137" s="36" t="n">
        <f aca="false">IF(Thesis!$H$134&gt;0,Thesis!$H$135/Thesis!$H$134,Thesis!$H$131)</f>
        <v>11.1095876691891</v>
      </c>
      <c r="I137" s="36" t="n">
        <f aca="false">IF(Thesis!$I$134&gt;0,Thesis!$I$135/Thesis!$I$134,Thesis!$I$131)</f>
        <v>11.2881290028523</v>
      </c>
      <c r="J137" s="36" t="n">
        <f aca="false">IF(Thesis!$J$134&gt;0,Thesis!$J$135/Thesis!$J$134,Thesis!$J$131)</f>
        <v>11.3646467172794</v>
      </c>
      <c r="K137" s="36" t="n">
        <f aca="false">IF(Thesis!$K$134&gt;0,Thesis!$K$135/Thesis!$K$134,Thesis!$K$131)</f>
        <v>11.3968090914432</v>
      </c>
      <c r="L137" s="36" t="n">
        <f aca="false">IF(Thesis!$L$134&gt;0,Thesis!$L$135/Thesis!$L$134,Thesis!$L$131)</f>
        <v>11.4110891181192</v>
      </c>
      <c r="M137" s="36" t="n">
        <f aca="false">IF(Thesis!$M$134&gt;0,Thesis!$M$135/Thesis!$M$134,Thesis!$M$131)</f>
        <v>11.4148191458201</v>
      </c>
    </row>
    <row r="138" customFormat="false" ht="17.15" hidden="false" customHeight="false" outlineLevel="0" collapsed="false">
      <c r="A138" s="5" t="s">
        <v>608</v>
      </c>
      <c r="B138" s="0" t="s">
        <v>173</v>
      </c>
      <c r="F138" s="36" t="n">
        <f aca="false">IF(Thesis!$F$134&gt;0,Thesis!$F$136/Thesis!$F$134,Thesis!$F$132)</f>
        <v>1.98263481314457</v>
      </c>
      <c r="G138" s="36" t="n">
        <f aca="false">IF(Thesis!$G$134&gt;0,Thesis!$G$136/Thesis!$G$134,Thesis!$G$132)</f>
        <v>1.98263481314457</v>
      </c>
      <c r="H138" s="36" t="n">
        <f aca="false">IF(Thesis!$H$134&gt;0,Thesis!$H$136/Thesis!$H$134,Thesis!$H$132)</f>
        <v>2.00111160233948</v>
      </c>
      <c r="I138" s="36" t="n">
        <f aca="false">IF(Thesis!$I$134&gt;0,Thesis!$I$136/Thesis!$I$134,Thesis!$I$132)</f>
        <v>2.01589303369541</v>
      </c>
      <c r="J138" s="36" t="n">
        <f aca="false">IF(Thesis!$J$134&gt;0,Thesis!$J$136/Thesis!$J$134,Thesis!$J$132)</f>
        <v>2.02222793284795</v>
      </c>
      <c r="K138" s="36" t="n">
        <f aca="false">IF(Thesis!$K$134&gt;0,Thesis!$K$136/Thesis!$K$134,Thesis!$K$132)</f>
        <v>2.02489065478573</v>
      </c>
      <c r="L138" s="36" t="n">
        <f aca="false">IF(Thesis!$L$134&gt;0,Thesis!$L$136/Thesis!$L$134,Thesis!$L$132)</f>
        <v>2.0260728977417</v>
      </c>
      <c r="M138" s="36" t="n">
        <f aca="false">IF(Thesis!$M$134&gt;0,Thesis!$M$136/Thesis!$M$134,Thesis!$M$132)</f>
        <v>2.02638170661685</v>
      </c>
    </row>
    <row r="139" customFormat="false" ht="17.15" hidden="false" customHeight="false" outlineLevel="0" collapsed="false">
      <c r="A139" s="15" t="s">
        <v>609</v>
      </c>
      <c r="B139" s="14" t="s">
        <v>173</v>
      </c>
      <c r="C139" s="14"/>
      <c r="D139" s="14"/>
      <c r="E139" s="14"/>
      <c r="F139" s="37" t="n">
        <f aca="false">Thesis!$F$137*k_C</f>
        <v>8.98049677377134</v>
      </c>
      <c r="G139" s="37" t="n">
        <f aca="false">Thesis!$G$137*k_C</f>
        <v>8.98049677377134</v>
      </c>
      <c r="H139" s="37" t="n">
        <f aca="false">Thesis!$H$137*k_C</f>
        <v>9.16460128151917</v>
      </c>
      <c r="I139" s="37" t="n">
        <f aca="false">Thesis!$I$137*k_C</f>
        <v>9.31188488771743</v>
      </c>
      <c r="J139" s="37" t="n">
        <f aca="false">Thesis!$J$137*k_C</f>
        <v>9.37500643323097</v>
      </c>
      <c r="K139" s="37" t="n">
        <f aca="false">Thesis!$K$137*k_C</f>
        <v>9.40153805116815</v>
      </c>
      <c r="L139" s="37" t="n">
        <f aca="false">Thesis!$L$137*k_C</f>
        <v>9.41331803388866</v>
      </c>
      <c r="M139" s="37" t="n">
        <f aca="false">Thesis!$M$137*k_C</f>
        <v>9.41639503527393</v>
      </c>
      <c r="N139" s="14"/>
      <c r="O139" s="14"/>
      <c r="P139" s="5" t="s">
        <v>610</v>
      </c>
    </row>
    <row r="140" customFormat="false" ht="17.15" hidden="false" customHeight="false" outlineLevel="0" collapsed="false">
      <c r="A140" s="5" t="s">
        <v>611</v>
      </c>
      <c r="B140" s="0" t="s">
        <v>129</v>
      </c>
      <c r="F140" s="32" t="n">
        <f aca="false">Thesis!$F$134/2</f>
        <v>908.575</v>
      </c>
      <c r="H140" s="32" t="n">
        <f aca="false">(Thesis!$G$134+Thesis!$H$134)/2</f>
        <v>3634.3</v>
      </c>
      <c r="I140" s="32" t="n">
        <f aca="false">(Thesis!$H$134+Thesis!$I$134)/2</f>
        <v>7268.6</v>
      </c>
      <c r="J140" s="32" t="n">
        <f aca="false">(Thesis!$I$134+Thesis!$J$134)/2</f>
        <v>10902.9</v>
      </c>
      <c r="K140" s="32" t="n">
        <f aca="false">(Thesis!$J$134+Thesis!$K$134)/2</f>
        <v>14005.4835833333</v>
      </c>
      <c r="L140" s="32" t="n">
        <f aca="false">(Thesis!$K$134+Thesis!$L$134)/2</f>
        <v>16044.6343333333</v>
      </c>
      <c r="M140" s="32" t="n">
        <f aca="false">(Thesis!$L$134+Thesis!$M$134)/2</f>
        <v>17020.35225</v>
      </c>
    </row>
    <row r="141" customFormat="false" ht="17.15" hidden="false" customHeight="false" outlineLevel="0" collapsed="false">
      <c r="A141" s="1" t="s">
        <v>612</v>
      </c>
    </row>
    <row r="142" customFormat="false" ht="17.15" hidden="false" customHeight="false" outlineLevel="0" collapsed="false">
      <c r="A142" s="1" t="s">
        <v>613</v>
      </c>
      <c r="B142" s="8" t="s">
        <v>86</v>
      </c>
      <c r="C142" s="38" t="n">
        <f aca="false">Thesis!$C$125*rpm_open*Thesis!$C$126/1000</f>
        <v>2.32100535697364</v>
      </c>
      <c r="D142" s="38" t="n">
        <f aca="false">Thesis!$D$125*rpm_open*Thesis!$D$126/1000</f>
        <v>8.70377008865116</v>
      </c>
      <c r="E142" s="38" t="n">
        <f aca="false">Thesis!$E$125*rpm_open*Thesis!$E$126/1000</f>
        <v>8.51035297557002</v>
      </c>
      <c r="F142" s="38" t="n">
        <f aca="false">(mw_open*rpm_open+Thesis!$F$140*Thesis!$F$139)*Thesis!$F$126/1000</f>
        <v>14.1374173083338</v>
      </c>
      <c r="G142" s="38" t="n">
        <f aca="false">Thesis!$E$142+Thesis!$F$142</f>
        <v>22.6477702839038</v>
      </c>
      <c r="H142" s="38" t="n">
        <f aca="false">(mw_open*rpm_open+Thesis!$H$140*Thesis!$H$139)/1000</f>
        <v>53.4222901978634</v>
      </c>
      <c r="I142" s="38" t="n">
        <f aca="false">(mw_open*rpm_open+Thesis!$I$140*Thesis!$I$139)/1000</f>
        <v>87.7997462553011</v>
      </c>
      <c r="J142" s="38" t="n">
        <f aca="false">(mw_open*rpm_open+Thesis!$J$140*Thesis!$J$139)/1000</f>
        <v>122.330137401312</v>
      </c>
      <c r="K142" s="38" t="n">
        <f aca="false">(mw_open*rpm_open+Thesis!$K$140*Thesis!$K$139)/1000</f>
        <v>151.788466594157</v>
      </c>
      <c r="L142" s="38" t="n">
        <f aca="false">(mw_open*rpm_open+Thesis!$L$140*Thesis!$L$139)/1000</f>
        <v>171.148625477554</v>
      </c>
      <c r="M142" s="38" t="n">
        <f aca="false">(mw_open*rpm_open+Thesis!$M$140*Thesis!$M$139)/1000</f>
        <v>180.385740185952</v>
      </c>
      <c r="N142" s="38" t="n">
        <f aca="false">Thesis!$N$125*rpm_open*Thesis!$N$126/1000</f>
        <v>3.04631953102791</v>
      </c>
      <c r="O142" s="38" t="n">
        <f aca="false">Thesis!$O$125*rpm_open*Thesis!$O$126/1000</f>
        <v>5.65745055762326</v>
      </c>
      <c r="P142" s="5" t="s">
        <v>614</v>
      </c>
    </row>
    <row r="143" customFormat="false" ht="17.15" hidden="false" customHeight="false" outlineLevel="0" collapsed="false">
      <c r="A143" s="5" t="s">
        <v>615</v>
      </c>
      <c r="B143" s="0" t="s">
        <v>173</v>
      </c>
      <c r="C143" s="36" t="n">
        <f aca="false">Thesis!$C$142*1000/(Thesis!$C$125*Thesis!$C$126)</f>
        <v>9.67085565405685</v>
      </c>
      <c r="D143" s="36" t="n">
        <f aca="false">Thesis!$D$142*1000/(Thesis!$D$125*Thesis!$D$126)</f>
        <v>9.67085565405685</v>
      </c>
      <c r="E143" s="36" t="n">
        <f aca="false">Thesis!$E$142*1000/(Thesis!$E$125*Thesis!$E$126)</f>
        <v>9.67085565405685</v>
      </c>
      <c r="F143" s="36" t="n">
        <f aca="false">Thesis!$F$142*1000/(Thesis!$F$125*Thesis!$F$126)</f>
        <v>9.46097542028142</v>
      </c>
      <c r="G143" s="36" t="n">
        <f aca="false">Thesis!$G$142*1000/(Thesis!$G$125*Thesis!$G$126)</f>
        <v>9.53876490690525</v>
      </c>
      <c r="H143" s="36" t="n">
        <f aca="false">Thesis!$H$142*1000/(Thesis!$H$125*Thesis!$H$126)</f>
        <v>9.34887741243255</v>
      </c>
      <c r="I143" s="36" t="n">
        <f aca="false">Thesis!$I$142*1000/(Thesis!$I$125*Thesis!$I$126)</f>
        <v>9.39175344493305</v>
      </c>
      <c r="J143" s="36" t="n">
        <f aca="false">Thesis!$J$142*1000/(Thesis!$J$125*Thesis!$J$126)</f>
        <v>9.42240465545542</v>
      </c>
      <c r="K143" s="36" t="n">
        <f aca="false">Thesis!$K$142*1000/(Thesis!$K$125*Thesis!$K$126)</f>
        <v>9.43636327797009</v>
      </c>
      <c r="L143" s="36" t="n">
        <f aca="false">Thesis!$L$142*1000/(Thesis!$L$125*Thesis!$L$126)</f>
        <v>9.4428732922237</v>
      </c>
      <c r="M143" s="36" t="n">
        <f aca="false">Thesis!$M$142*1000/(Thesis!$M$125*Thesis!$M$126)</f>
        <v>9.44410541883864</v>
      </c>
      <c r="N143" s="36" t="n">
        <f aca="false">Thesis!$N$142*1000/(Thesis!$N$125*Thesis!$N$126)</f>
        <v>9.67085565405685</v>
      </c>
      <c r="O143" s="36" t="n">
        <f aca="false">Thesis!$O$142*1000/(Thesis!$O$125*Thesis!$O$126)</f>
        <v>9.67085565405685</v>
      </c>
    </row>
    <row r="144" customFormat="false" ht="17.15" hidden="false" customHeight="false" outlineLevel="0" collapsed="false">
      <c r="A144" s="0" t="s">
        <v>616</v>
      </c>
      <c r="B144" s="0" t="s">
        <v>86</v>
      </c>
      <c r="C144" s="38" t="n">
        <f aca="false">Thesis!$C$125/ext_sh*(ox_open+rent_mw)*Thesis!$C$126/1000</f>
        <v>0.642569210675032</v>
      </c>
      <c r="D144" s="38" t="n">
        <f aca="false">Thesis!$D$125/ext_sh*(ox_open+rent_mw)*Thesis!$D$126/1000</f>
        <v>2.40963454003137</v>
      </c>
      <c r="E144" s="38" t="n">
        <f aca="false">Thesis!$E$125/ext_sh*(ox_open+rent_mw)*Thesis!$E$126/1000</f>
        <v>2.35608710580845</v>
      </c>
      <c r="F144" s="38" t="n">
        <f aca="false">((mw_open*ox_open+Thesis!$F$140*Thesis!$F$138)/ext_sh+Thesis!$F$125/ext_sh*rent_mw)*Thesis!$F$126/1000</f>
        <v>4.05421991106232</v>
      </c>
      <c r="G144" s="38" t="n">
        <f aca="false">Thesis!$E$144+Thesis!$F$144</f>
        <v>6.41030701687077</v>
      </c>
      <c r="H144" s="38" t="n">
        <f aca="false">((mw_open*ox_open+Thesis!$H$140*Thesis!$H$138)/ext_sh+Thesis!$H$125/ext_sh*rent_mw)*Thesis!$H$126/1000</f>
        <v>15.8108975546616</v>
      </c>
      <c r="I144" s="38" t="n">
        <f aca="false">((mw_open*ox_open+Thesis!$I$140*Thesis!$I$138)/ext_sh+Thesis!$I$125/ext_sh*rent_mw)*Thesis!$I$126/1000</f>
        <v>26.1871623400817</v>
      </c>
      <c r="J144" s="38" t="n">
        <f aca="false">((mw_open*ox_open+Thesis!$J$140*Thesis!$J$138)/ext_sh+Thesis!$J$125/ext_sh*rent_mw)*Thesis!$J$126/1000</f>
        <v>36.5826128954935</v>
      </c>
      <c r="K144" s="38" t="n">
        <f aca="false">((mw_open*ox_open+Thesis!$K$140*Thesis!$K$138)/ext_sh+Thesis!$K$125/ext_sh*rent_mw)*Thesis!$K$126/1000</f>
        <v>45.4546361137628</v>
      </c>
      <c r="L144" s="38" t="n">
        <f aca="false">((mw_open*ox_open+Thesis!$L$140*Thesis!$L$138)/ext_sh+Thesis!$L$125/ext_sh*rent_mw)*Thesis!$L$126/1000</f>
        <v>51.2855695554452</v>
      </c>
      <c r="M144" s="38" t="n">
        <f aca="false">((mw_open*ox_open+Thesis!$M$140*Thesis!$M$138)/ext_sh+Thesis!$M$125/ext_sh*rent_mw)*Thesis!$M$126/1000</f>
        <v>54.0722927838398</v>
      </c>
      <c r="N144" s="38" t="n">
        <f aca="false">Thesis!$N$125/ext_sh*(ox_open+rent_mw)*Thesis!$N$126/1000</f>
        <v>0.84337208901098</v>
      </c>
      <c r="O144" s="38" t="n">
        <f aca="false">Thesis!$O$125/ext_sh*(ox_open+rent_mw)*Thesis!$O$126/1000</f>
        <v>1.56626245102039</v>
      </c>
    </row>
    <row r="145" customFormat="false" ht="17.15" hidden="false" customHeight="false" outlineLevel="0" collapsed="false">
      <c r="A145" s="0" t="s">
        <v>617</v>
      </c>
      <c r="B145" s="0" t="s">
        <v>86</v>
      </c>
      <c r="C145" s="38" t="n">
        <f aca="false">Q!$D$7</f>
        <v>107.556</v>
      </c>
      <c r="D145" s="38" t="n">
        <f aca="false">Q!$E$7</f>
        <v>128.725</v>
      </c>
      <c r="E145" s="38" t="n">
        <f aca="false">Q!$P$7</f>
        <v>79.819</v>
      </c>
      <c r="N145" s="38" t="n">
        <f aca="false">Q!$N$7</f>
        <v>60.14</v>
      </c>
      <c r="O145" s="38" t="n">
        <f aca="false">Q!$O$7</f>
        <v>68.585</v>
      </c>
    </row>
    <row r="146" customFormat="false" ht="17.15" hidden="false" customHeight="false" outlineLevel="0" collapsed="false">
      <c r="A146" s="1" t="s">
        <v>618</v>
      </c>
      <c r="B146" s="8" t="s">
        <v>86</v>
      </c>
      <c r="C146" s="38" t="n">
        <f aca="false">Thesis!$C$145-Thesis!$C$142</f>
        <v>105.234994643026</v>
      </c>
      <c r="D146" s="38" t="n">
        <f aca="false">Thesis!$D$145-Thesis!$D$142</f>
        <v>120.021229911349</v>
      </c>
      <c r="E146" s="38" t="n">
        <f aca="false">Thesis!$E$145-Thesis!$E$142</f>
        <v>71.30864702443</v>
      </c>
      <c r="F146" s="38" t="n">
        <f aca="false">Thesis!$O$146*(1+Thesis!$F$147)</f>
        <v>71.7692997942464</v>
      </c>
      <c r="G146" s="38" t="n">
        <f aca="false">Thesis!$E$146+Thesis!$F$146</f>
        <v>143.077946818676</v>
      </c>
      <c r="H146" s="38" t="n">
        <f aca="false">Thesis!$G$146*(1+Thesis!$H$147)</f>
        <v>161.017077079203</v>
      </c>
      <c r="I146" s="38" t="n">
        <f aca="false">Thesis!$H$146*(1+Thesis!$I$147)</f>
        <v>178.769759521457</v>
      </c>
      <c r="J146" s="38" t="n">
        <f aca="false">Thesis!$I$146*(1+Thesis!$J$147)</f>
        <v>195.775538045907</v>
      </c>
      <c r="K146" s="38" t="n">
        <f aca="false">Thesis!$J$146*(1+Thesis!$K$147)</f>
        <v>211.43758108958</v>
      </c>
      <c r="L146" s="38" t="n">
        <f aca="false">Thesis!$K$146*(1+Thesis!$L$147)</f>
        <v>228.352587576746</v>
      </c>
      <c r="M146" s="38" t="n">
        <f aca="false">Thesis!$L$146*(1+Thesis!$M$147)</f>
        <v>246.620794582886</v>
      </c>
      <c r="N146" s="38" t="n">
        <f aca="false">Thesis!$N$145-Thesis!$N$142</f>
        <v>57.0936804689721</v>
      </c>
      <c r="O146" s="38" t="n">
        <f aca="false">Thesis!$O$145-Thesis!$O$142</f>
        <v>62.9275494423768</v>
      </c>
      <c r="P146" s="5" t="s">
        <v>619</v>
      </c>
    </row>
    <row r="147" customFormat="false" ht="17.15" hidden="false" customHeight="false" outlineLevel="0" collapsed="false">
      <c r="A147" s="0" t="s">
        <v>620</v>
      </c>
      <c r="B147" s="0" t="s">
        <v>52</v>
      </c>
      <c r="D147" s="13" t="n">
        <f aca="false">Thesis!$D$146/Thesis!$C$146-1</f>
        <v>0.140506827776062</v>
      </c>
      <c r="E147" s="13" t="n">
        <f aca="false">Thesis!$E$146/Thesis!$N$146-1</f>
        <v>0.248976181579029</v>
      </c>
      <c r="F147" s="13" t="n">
        <f aca="false">Thesis!$D$147</f>
        <v>0.140506827776062</v>
      </c>
      <c r="G147" s="13" t="n">
        <f aca="false">Thesis!$G$146/Thesis!$D$146-1</f>
        <v>0.19210532106993</v>
      </c>
      <c r="H147" s="13" t="n">
        <f aca="false">Thesis!$F$147+(g_awso_lt-Thesis!$F$147)*1/4</f>
        <v>0.125380120832046</v>
      </c>
      <c r="I147" s="13" t="n">
        <f aca="false">Thesis!$F$147+(g_awso_lt-Thesis!$F$147)*2/4</f>
        <v>0.110253413888031</v>
      </c>
      <c r="J147" s="13" t="n">
        <f aca="false">Thesis!$F$147+(g_awso_lt-Thesis!$F$147)*3/4</f>
        <v>0.0951267069440154</v>
      </c>
      <c r="K147" s="13" t="n">
        <f aca="false">Thesis!$F$147+(g_awso_lt-Thesis!$F$147)*4/4</f>
        <v>0.08</v>
      </c>
      <c r="L147" s="13" t="n">
        <f aca="false">g_awso_lt</f>
        <v>0.08</v>
      </c>
      <c r="M147" s="13" t="n">
        <f aca="false">g_awso_lt</f>
        <v>0.08</v>
      </c>
      <c r="P147" s="5" t="s">
        <v>621</v>
      </c>
    </row>
    <row r="148" customFormat="false" ht="17.15" hidden="false" customHeight="false" outlineLevel="0" collapsed="false">
      <c r="A148" s="1" t="s">
        <v>622</v>
      </c>
    </row>
    <row r="149" customFormat="false" ht="17.15" hidden="false" customHeight="false" outlineLevel="0" collapsed="false">
      <c r="A149" s="0" t="s">
        <v>623</v>
      </c>
      <c r="B149" s="0" t="s">
        <v>86</v>
      </c>
      <c r="F149" s="38" t="n">
        <f aca="false">cx_rt*Seg!$F$90+cx_awso*Thesis!$F$146</f>
        <v>35.0222454237403</v>
      </c>
    </row>
    <row r="150" customFormat="false" ht="17.15" hidden="false" customHeight="false" outlineLevel="0" collapsed="false">
      <c r="A150" s="0" t="s">
        <v>624</v>
      </c>
      <c r="B150" s="0" t="s">
        <v>52</v>
      </c>
      <c r="C150" s="13" t="n">
        <f aca="false">tk_cx_h100/(tk_cx_h100+tk_fac*(1-colo_sh))</f>
        <v>0.730756458006641</v>
      </c>
      <c r="D150" s="13" t="n">
        <f aca="false">tk_cx_h100/(tk_cx_h100+tk_fac*(1-colo_sh))</f>
        <v>0.730756458006641</v>
      </c>
      <c r="E150" s="13" t="n">
        <f aca="false">Thesis!$F$150</f>
        <v>0.760792334328868</v>
      </c>
      <c r="F150" s="13" t="n">
        <f aca="false">Thesis!$F$133/(Thesis!$F$133+tk_fac*(1-colo_sh))</f>
        <v>0.760792334328868</v>
      </c>
      <c r="G150" s="13" t="n">
        <f aca="false">Thesis!$G$133/(Thesis!$G$133+tk_fac*(1-colo_sh))</f>
        <v>0.760792334328868</v>
      </c>
      <c r="H150" s="13" t="n">
        <f aca="false">Thesis!$H$133/(Thesis!$H$133+tk_fac*(1-colo_sh))</f>
        <v>0.768110668862996</v>
      </c>
      <c r="I150" s="13" t="n">
        <f aca="false">Thesis!$I$133/(Thesis!$I$133+tk_fac*(1-colo_sh))</f>
        <v>0.77499450139483</v>
      </c>
      <c r="J150" s="13" t="n">
        <f aca="false">Thesis!$J$133/(Thesis!$J$133+tk_fac*(1-colo_sh))</f>
        <v>0.77499450139483</v>
      </c>
      <c r="K150" s="13" t="n">
        <f aca="false">Thesis!$K$133/(Thesis!$K$133+tk_fac*(1-colo_sh))</f>
        <v>0.77499450139483</v>
      </c>
      <c r="L150" s="13" t="n">
        <f aca="false">Thesis!$L$133/(Thesis!$L$133+tk_fac*(1-colo_sh))</f>
        <v>0.77499450139483</v>
      </c>
      <c r="M150" s="13" t="n">
        <f aca="false">Thesis!$M$133/(Thesis!$M$133+tk_fac*(1-colo_sh))</f>
        <v>0.77499450139483</v>
      </c>
    </row>
    <row r="151" customFormat="false" ht="17.15" hidden="false" customHeight="false" outlineLevel="0" collapsed="false">
      <c r="A151" s="1" t="s">
        <v>625</v>
      </c>
      <c r="B151" s="8" t="s">
        <v>86</v>
      </c>
      <c r="C151" s="38" t="n">
        <f aca="false">Q!$D$46-cx_rt*Q!$D$16-cx_awso*Thesis!$C$146</f>
        <v>25.2781053077374</v>
      </c>
      <c r="D151" s="38" t="n">
        <f aca="false">Q!$E$46-cx_rt*Q!$E$16-cx_awso*Thesis!$D$146</f>
        <v>69.5686316310026</v>
      </c>
      <c r="E151" s="38" t="n">
        <f aca="false">Q!$P$46-cx_rt*Q!$P$16-cx_awso*Thesis!$E$146</f>
        <v>64.1899206485108</v>
      </c>
      <c r="F151" s="38" t="n">
        <f aca="false">MAX(Thesis!$F$128*(Thesis!$F$133+tk_fac*(1-colo_sh))/1000,capex_g26-Q!$P$46-Thesis!$F$149)</f>
        <v>96.2481299895</v>
      </c>
      <c r="G151" s="38" t="n">
        <f aca="false">Thesis!$E$151+Thesis!$F$151</f>
        <v>160.438050638011</v>
      </c>
      <c r="H151" s="38" t="n">
        <f aca="false">Thesis!$H$128*(Thesis!$H$133+tk_fac*(1-colo_sh))/1000+Thesis!$H$152</f>
        <v>198.57136494475</v>
      </c>
      <c r="I151" s="38" t="n">
        <f aca="false">Thesis!$I$128*(Thesis!$I$133+tk_fac*(1-colo_sh))/1000+Thesis!$I$152</f>
        <v>204.6464699105</v>
      </c>
      <c r="J151" s="38" t="n">
        <f aca="false">Thesis!$J$128*(Thesis!$J$133+tk_fac*(1-colo_sh))/1000+Thesis!$J$152</f>
        <v>209.8832381105</v>
      </c>
      <c r="K151" s="38" t="n">
        <f aca="false">Thesis!$K$128*(Thesis!$K$133+tk_fac*(1-colo_sh))/1000+Thesis!$K$152</f>
        <v>155.238385275201</v>
      </c>
      <c r="L151" s="38" t="n">
        <f aca="false">Thesis!$L$128*(Thesis!$L$133+tk_fac*(1-colo_sh))/1000+Thesis!$L$152</f>
        <v>132.014141639902</v>
      </c>
      <c r="M151" s="38" t="n">
        <f aca="false">Thesis!$M$128*(Thesis!$M$133+tk_fac*(1-colo_sh))/1000+Thesis!$M$152</f>
        <v>132.230981659852</v>
      </c>
      <c r="P151" s="5" t="s">
        <v>626</v>
      </c>
      <c r="R151" s="38" t="n">
        <f aca="false">Q!$C$46-cx_rt*Q!$C$16-cx_awso*(Q!$C$7-mw_ye23/2*rpm_open/1000)</f>
        <v>1.50429979529945</v>
      </c>
      <c r="S151" s="38" t="n">
        <f aca="false">Thesis!$C$151</f>
        <v>25.2781053077374</v>
      </c>
      <c r="T151" s="38" t="n">
        <f aca="false">Thesis!$D$151</f>
        <v>69.5686316310026</v>
      </c>
      <c r="U151" s="38" t="n">
        <f aca="false">Thesis!$G$151</f>
        <v>160.438050638011</v>
      </c>
      <c r="V151" s="38" t="n">
        <f aca="false">Thesis!$H$151</f>
        <v>198.57136494475</v>
      </c>
      <c r="W151" s="38" t="n">
        <f aca="false">Thesis!$I$151</f>
        <v>204.6464699105</v>
      </c>
      <c r="X151" s="38" t="n">
        <f aca="false">Thesis!$J$151</f>
        <v>209.8832381105</v>
      </c>
      <c r="Y151" s="38" t="n">
        <f aca="false">Thesis!$K$151</f>
        <v>155.238385275201</v>
      </c>
      <c r="Z151" s="38" t="n">
        <f aca="false">Thesis!$L$151</f>
        <v>132.014141639902</v>
      </c>
      <c r="AA151" s="38" t="n">
        <f aca="false">Thesis!$M$151</f>
        <v>132.230981659852</v>
      </c>
    </row>
    <row r="152" customFormat="false" ht="17.15" hidden="false" customHeight="false" outlineLevel="0" collapsed="false">
      <c r="A152" s="0" t="s">
        <v>627</v>
      </c>
      <c r="B152" s="0" t="s">
        <v>86</v>
      </c>
      <c r="H152" s="38" t="n">
        <f aca="false">SUMPRODUCT(--(Thesis!$R$121:$AA$121=2027-tk_life),Thesis!$R$128:$AA$128)*Thesis!$H$133/1000</f>
        <v>0</v>
      </c>
      <c r="I152" s="38" t="n">
        <f aca="false">SUMPRODUCT(--(Thesis!$R$121:$AA$121=2028-tk_life),Thesis!$R$128:$AA$128)*Thesis!$I$133/1000</f>
        <v>0</v>
      </c>
      <c r="J152" s="38" t="n">
        <f aca="false">SUMPRODUCT(--(Thesis!$R$121:$AA$121=2029-tk_life),Thesis!$R$128:$AA$128)*Thesis!$J$133/1000</f>
        <v>5.2367682</v>
      </c>
      <c r="K152" s="38" t="n">
        <f aca="false">SUMPRODUCT(--(Thesis!$R$121:$AA$121=2030-tk_life),Thesis!$R$128:$AA$128)*Thesis!$K$133/1000</f>
        <v>10.4735364</v>
      </c>
      <c r="L152" s="38" t="n">
        <f aca="false">SUMPRODUCT(--(Thesis!$R$121:$AA$121=2031-tk_life),Thesis!$R$128:$AA$128)*Thesis!$L$133/1000</f>
        <v>47.1309138</v>
      </c>
      <c r="M152" s="38" t="n">
        <f aca="false">SUMPRODUCT(--(Thesis!$R$121:$AA$121=2032-tk_life),Thesis!$R$128:$AA$128)*Thesis!$M$133/1000</f>
        <v>107.22937485525</v>
      </c>
    </row>
    <row r="153" customFormat="false" ht="17.15" hidden="false" customHeight="false" outlineLevel="0" collapsed="false">
      <c r="A153" s="5" t="s">
        <v>628</v>
      </c>
      <c r="B153" s="0" t="s">
        <v>86</v>
      </c>
      <c r="C153" s="38" t="n">
        <f aca="false">Thesis!$C$151*Thesis!$C$150</f>
        <v>18.472138699801</v>
      </c>
      <c r="D153" s="38" t="n">
        <f aca="false">Thesis!$D$151*Thesis!$D$150</f>
        <v>50.8377268390402</v>
      </c>
      <c r="E153" s="38" t="n">
        <f aca="false">Thesis!$E$151*Thesis!$E$150</f>
        <v>48.8351995705653</v>
      </c>
      <c r="F153" s="38" t="n">
        <f aca="false">Thesis!$F$151*Thesis!$F$150</f>
        <v>73.2248394895</v>
      </c>
      <c r="G153" s="38" t="n">
        <f aca="false">Thesis!$E$153+Thesis!$F$153</f>
        <v>122.060039060065</v>
      </c>
      <c r="H153" s="38" t="n">
        <f aca="false">(Thesis!$H$151-Thesis!$H$152)*Thesis!$H$150+Thesis!$H$152</f>
        <v>152.52478394475</v>
      </c>
      <c r="I153" s="38" t="n">
        <f aca="false">(Thesis!$I$151-Thesis!$I$152)*Thesis!$I$150+Thesis!$I$152</f>
        <v>158.5998889105</v>
      </c>
      <c r="J153" s="38" t="n">
        <f aca="false">(Thesis!$J$151-Thesis!$J$152)*Thesis!$J$150+Thesis!$J$152</f>
        <v>163.8366571105</v>
      </c>
      <c r="K153" s="38" t="n">
        <f aca="false">(Thesis!$K$151-Thesis!$K$152)*Thesis!$K$150+Thesis!$K$152</f>
        <v>122.665498273534</v>
      </c>
      <c r="L153" s="38" t="n">
        <f aca="false">(Thesis!$L$151-Thesis!$L$152)*Thesis!$L$150+Thesis!$L$152</f>
        <v>112.914948636568</v>
      </c>
      <c r="M153" s="38" t="n">
        <f aca="false">(Thesis!$M$151-Thesis!$M$152)*Thesis!$M$150+Thesis!$M$152</f>
        <v>126.605482654852</v>
      </c>
      <c r="R153" s="38" t="n">
        <f aca="false">Thesis!$R$151*Thesis!$C$150</f>
        <v>1.09927679019314</v>
      </c>
      <c r="S153" s="38" t="n">
        <f aca="false">Thesis!$C$153</f>
        <v>18.472138699801</v>
      </c>
      <c r="T153" s="38" t="n">
        <f aca="false">Thesis!$D$153</f>
        <v>50.8377268390402</v>
      </c>
      <c r="U153" s="38" t="n">
        <f aca="false">Thesis!$G$153</f>
        <v>122.060039060065</v>
      </c>
      <c r="V153" s="38" t="n">
        <f aca="false">Thesis!$H$153</f>
        <v>152.52478394475</v>
      </c>
      <c r="W153" s="38" t="n">
        <f aca="false">Thesis!$I$153</f>
        <v>158.5998889105</v>
      </c>
      <c r="X153" s="38" t="n">
        <f aca="false">Thesis!$J$153</f>
        <v>163.8366571105</v>
      </c>
      <c r="Y153" s="38" t="n">
        <f aca="false">Thesis!$K$153</f>
        <v>122.665498273534</v>
      </c>
      <c r="Z153" s="38" t="n">
        <f aca="false">Thesis!$L$153</f>
        <v>112.914948636568</v>
      </c>
      <c r="AA153" s="38" t="n">
        <f aca="false">Thesis!$M$153</f>
        <v>126.605482654852</v>
      </c>
    </row>
    <row r="154" customFormat="false" ht="15" hidden="false" customHeight="false" outlineLevel="0" collapsed="false">
      <c r="A154" s="5" t="s">
        <v>629</v>
      </c>
      <c r="B154" s="0" t="s">
        <v>86</v>
      </c>
      <c r="C154" s="38" t="n">
        <f aca="false">Thesis!$C$151-Thesis!$C$153</f>
        <v>6.80596660793636</v>
      </c>
      <c r="D154" s="38" t="n">
        <f aca="false">Thesis!$D$151-Thesis!$D$153</f>
        <v>18.7309047919624</v>
      </c>
      <c r="E154" s="38" t="n">
        <f aca="false">Thesis!$E$151-Thesis!$E$153</f>
        <v>15.3547210779455</v>
      </c>
      <c r="F154" s="38" t="n">
        <f aca="false">Thesis!$F$151-Thesis!$F$153</f>
        <v>23.0232905</v>
      </c>
      <c r="G154" s="38" t="n">
        <f aca="false">Thesis!$G$151-Thesis!$G$153</f>
        <v>38.3780115779455</v>
      </c>
      <c r="H154" s="38" t="n">
        <f aca="false">Thesis!$H$151-Thesis!$H$153</f>
        <v>46.046581</v>
      </c>
      <c r="I154" s="38" t="n">
        <f aca="false">Thesis!$I$151-Thesis!$I$153</f>
        <v>46.046581</v>
      </c>
      <c r="J154" s="38" t="n">
        <f aca="false">Thesis!$J$151-Thesis!$J$153</f>
        <v>46.046581</v>
      </c>
      <c r="K154" s="38" t="n">
        <f aca="false">Thesis!$K$151-Thesis!$K$153</f>
        <v>32.5728870016667</v>
      </c>
      <c r="L154" s="38" t="n">
        <f aca="false">Thesis!$L$151-Thesis!$L$153</f>
        <v>19.0991930033334</v>
      </c>
      <c r="M154" s="38" t="n">
        <f aca="false">Thesis!$M$151-Thesis!$M$153</f>
        <v>5.62549900499998</v>
      </c>
      <c r="R154" s="38" t="n">
        <f aca="false">Thesis!$R$151-Thesis!$R$153</f>
        <v>0.405023005106309</v>
      </c>
      <c r="S154" s="38" t="n">
        <f aca="false">Thesis!$S$151-Thesis!$S$153</f>
        <v>6.80596660793636</v>
      </c>
      <c r="T154" s="38" t="n">
        <f aca="false">Thesis!$T$151-Thesis!$T$153</f>
        <v>18.7309047919624</v>
      </c>
      <c r="U154" s="38" t="n">
        <f aca="false">Thesis!$U$151-Thesis!$U$153</f>
        <v>38.3780115779455</v>
      </c>
      <c r="V154" s="38" t="n">
        <f aca="false">Thesis!$V$151-Thesis!$V$153</f>
        <v>46.046581</v>
      </c>
      <c r="W154" s="38" t="n">
        <f aca="false">Thesis!$W$151-Thesis!$W$153</f>
        <v>46.046581</v>
      </c>
      <c r="X154" s="38" t="n">
        <f aca="false">Thesis!$X$151-Thesis!$X$153</f>
        <v>46.046581</v>
      </c>
      <c r="Y154" s="38" t="n">
        <f aca="false">Thesis!$Y$151-Thesis!$Y$153</f>
        <v>32.5728870016667</v>
      </c>
      <c r="Z154" s="38" t="n">
        <f aca="false">Thesis!$Z$151-Thesis!$Z$153</f>
        <v>19.0991930033334</v>
      </c>
      <c r="AA154" s="38" t="n">
        <f aca="false">Thesis!$AA$151-Thesis!$AA$153</f>
        <v>5.62549900499998</v>
      </c>
    </row>
    <row r="155" customFormat="false" ht="17.15" hidden="false" customHeight="false" outlineLevel="0" collapsed="false">
      <c r="A155" s="0" t="s">
        <v>630</v>
      </c>
      <c r="B155" s="0" t="s">
        <v>52</v>
      </c>
      <c r="C155" s="13" t="n">
        <f aca="false">Thesis!$C$151/CF!$C$86</f>
        <v>0.325505489553393</v>
      </c>
      <c r="D155" s="13" t="n">
        <f aca="false">Thesis!$D$151/CF!$D$86</f>
        <v>0.54214956071542</v>
      </c>
      <c r="E155" s="13" t="n">
        <f aca="false">Thesis!$E$151/CF!$E$86</f>
        <v>0.666492790452817</v>
      </c>
      <c r="F155" s="13" t="n">
        <f aca="false">Thesis!$F$151/CF!$F$86</f>
        <v>0.733205261937509</v>
      </c>
      <c r="G155" s="13" t="n">
        <f aca="false">Thesis!$G$151/CF!$G$86</f>
        <v>0.704973134641717</v>
      </c>
      <c r="H155" s="13" t="n">
        <f aca="false">Thesis!$H$151/CF!$H$86</f>
        <v>0.726232469100108</v>
      </c>
      <c r="I155" s="13" t="n">
        <f aca="false">Thesis!$I$151/CF!$I$86</f>
        <v>0.71295222035933</v>
      </c>
      <c r="J155" s="13" t="n">
        <f aca="false">Thesis!$J$151/CF!$J$86</f>
        <v>0.701058846251574</v>
      </c>
      <c r="K155" s="13" t="n">
        <f aca="false">Thesis!$K$151/CF!$K$86</f>
        <v>0.618171477170346</v>
      </c>
      <c r="L155" s="13" t="n">
        <f aca="false">Thesis!$L$151/CF!$L$86</f>
        <v>0.562315678934408</v>
      </c>
      <c r="M155" s="13" t="n">
        <f aca="false">Thesis!$M$151/CF!$M$86</f>
        <v>0.545577465350118</v>
      </c>
    </row>
    <row r="156" customFormat="false" ht="17.15" hidden="false" customHeight="false" outlineLevel="0" collapsed="false">
      <c r="A156" s="0" t="s">
        <v>631</v>
      </c>
      <c r="B156" s="0" t="s">
        <v>86</v>
      </c>
      <c r="C156" s="38" t="n">
        <f aca="false">Thesis!$S$156</f>
        <v>0.183212798365523</v>
      </c>
      <c r="D156" s="38" t="n">
        <f aca="false">Thesis!$T$156</f>
        <v>3.2619025816657</v>
      </c>
      <c r="E156" s="38" t="n">
        <f aca="false">Thesis!$G$156/2</f>
        <v>5.86742852741953</v>
      </c>
      <c r="F156" s="38" t="n">
        <f aca="false">Thesis!$G$156/2</f>
        <v>5.86742852741953</v>
      </c>
      <c r="G156" s="38" t="n">
        <f aca="false">Thesis!$U$156</f>
        <v>11.7348570548391</v>
      </c>
      <c r="H156" s="38" t="n">
        <f aca="false">Thesis!$V$156</f>
        <v>32.0781968981833</v>
      </c>
      <c r="I156" s="38" t="n">
        <f aca="false">Thesis!$W$156</f>
        <v>57.4989942223083</v>
      </c>
      <c r="J156" s="38" t="n">
        <f aca="false">Thesis!$X$156</f>
        <v>83.932309040725</v>
      </c>
      <c r="K156" s="38" t="n">
        <f aca="false">Thesis!$Y$156</f>
        <v>111.055205760776</v>
      </c>
      <c r="L156" s="38" t="n">
        <f aca="false">Thesis!$Z$156</f>
        <v>128.420765689732</v>
      </c>
      <c r="M156" s="38" t="n">
        <f aca="false">Thesis!$AA$156</f>
        <v>138.766969322653</v>
      </c>
      <c r="N156" s="38" t="n">
        <f aca="false">Thesis!$D$156/2</f>
        <v>1.63095129083285</v>
      </c>
      <c r="O156" s="38" t="n">
        <f aca="false">Thesis!$D$156/2</f>
        <v>1.63095129083285</v>
      </c>
      <c r="R156" s="38" t="n">
        <f aca="false">SUMPRODUCT(--(Thesis!$R$121:$AA$121&lt;Thesis!R$121),--(Thesis!$R$121:$AA$121&gt;=Thesis!R$121-tk_life),Thesis!$R$153:$AA$153)/tk_life</f>
        <v>0</v>
      </c>
      <c r="S156" s="38" t="n">
        <f aca="false">SUMPRODUCT(--(Thesis!$R$121:$AA$121&lt;Thesis!S$121),--(Thesis!$R$121:$AA$121&gt;=Thesis!S$121-tk_life),Thesis!$R$153:$AA$153)/tk_life</f>
        <v>0.183212798365523</v>
      </c>
      <c r="T156" s="38" t="n">
        <f aca="false">SUMPRODUCT(--(Thesis!$R$121:$AA$121&lt;Thesis!T$121),--(Thesis!$R$121:$AA$121&gt;=Thesis!T$121-tk_life),Thesis!$R$153:$AA$153)/tk_life</f>
        <v>3.2619025816657</v>
      </c>
      <c r="U156" s="38" t="n">
        <f aca="false">SUMPRODUCT(--(Thesis!$R$121:$AA$121&lt;Thesis!U$121),--(Thesis!$R$121:$AA$121&gt;=Thesis!U$121-tk_life),Thesis!$R$153:$AA$153)/tk_life</f>
        <v>11.7348570548391</v>
      </c>
      <c r="V156" s="38" t="n">
        <f aca="false">SUMPRODUCT(--(Thesis!$R$121:$AA$121&lt;Thesis!V$121),--(Thesis!$R$121:$AA$121&gt;=Thesis!V$121-tk_life),Thesis!$R$153:$AA$153)/tk_life</f>
        <v>32.0781968981833</v>
      </c>
      <c r="W156" s="38" t="n">
        <f aca="false">SUMPRODUCT(--(Thesis!$R$121:$AA$121&lt;Thesis!W$121),--(Thesis!$R$121:$AA$121&gt;=Thesis!W$121-tk_life),Thesis!$R$153:$AA$153)/tk_life</f>
        <v>57.4989942223083</v>
      </c>
      <c r="X156" s="38" t="n">
        <f aca="false">SUMPRODUCT(--(Thesis!$R$121:$AA$121&lt;Thesis!X$121),--(Thesis!$R$121:$AA$121&gt;=Thesis!X$121-tk_life),Thesis!$R$153:$AA$153)/tk_life</f>
        <v>83.932309040725</v>
      </c>
      <c r="Y156" s="38" t="n">
        <f aca="false">SUMPRODUCT(--(Thesis!$R$121:$AA$121&lt;Thesis!Y$121),--(Thesis!$R$121:$AA$121&gt;=Thesis!Y$121-tk_life),Thesis!$R$153:$AA$153)/tk_life</f>
        <v>111.055205760776</v>
      </c>
      <c r="Z156" s="38" t="n">
        <f aca="false">SUMPRODUCT(--(Thesis!$R$121:$AA$121&lt;Thesis!Z$121),--(Thesis!$R$121:$AA$121&gt;=Thesis!Z$121-tk_life),Thesis!$R$153:$AA$153)/tk_life</f>
        <v>128.420765689732</v>
      </c>
      <c r="AA156" s="38" t="n">
        <f aca="false">SUMPRODUCT(--(Thesis!$R$121:$AA$121&lt;Thesis!AA$121),--(Thesis!$R$121:$AA$121&gt;=Thesis!AA$121-tk_life),Thesis!$R$153:$AA$153)/tk_life</f>
        <v>138.766969322653</v>
      </c>
    </row>
    <row r="157" customFormat="false" ht="17.15" hidden="false" customHeight="false" outlineLevel="0" collapsed="false">
      <c r="A157" s="0" t="s">
        <v>632</v>
      </c>
      <c r="B157" s="0" t="s">
        <v>86</v>
      </c>
      <c r="C157" s="38" t="n">
        <f aca="false">Thesis!$S$157</f>
        <v>0.0202511502553155</v>
      </c>
      <c r="D157" s="38" t="n">
        <f aca="false">Thesis!$T$157</f>
        <v>0.360549480652134</v>
      </c>
      <c r="E157" s="38" t="n">
        <f aca="false">Thesis!$G$157/2</f>
        <v>0.648547360125127</v>
      </c>
      <c r="F157" s="38" t="n">
        <f aca="false">Thesis!$G$157/2</f>
        <v>0.648547360125127</v>
      </c>
      <c r="G157" s="38" t="n">
        <f aca="false">Thesis!$U$157</f>
        <v>1.29709472025025</v>
      </c>
      <c r="H157" s="38" t="n">
        <f aca="false">Thesis!$V$157</f>
        <v>3.21599529914753</v>
      </c>
      <c r="I157" s="38" t="n">
        <f aca="false">Thesis!$W$157</f>
        <v>5.51832434914753</v>
      </c>
      <c r="J157" s="38" t="n">
        <f aca="false">Thesis!$X$157</f>
        <v>7.82065339914753</v>
      </c>
      <c r="K157" s="38" t="n">
        <f aca="false">Thesis!$Y$157</f>
        <v>10.1229824491475</v>
      </c>
      <c r="L157" s="38" t="n">
        <f aca="false">Thesis!$Z$157</f>
        <v>11.7516267992309</v>
      </c>
      <c r="M157" s="38" t="n">
        <f aca="false">Thesis!$AA$157</f>
        <v>12.7065864493975</v>
      </c>
      <c r="N157" s="38" t="n">
        <f aca="false">Thesis!$D$157/2</f>
        <v>0.180274740326067</v>
      </c>
      <c r="O157" s="38" t="n">
        <f aca="false">Thesis!$D$157/2</f>
        <v>0.180274740326067</v>
      </c>
      <c r="R157" s="38" t="n">
        <f aca="false">SUMPRODUCT(--(Thesis!$R$121:$AA$121&lt;Thesis!R$121),Thesis!$R$154:$AA$154)/fac_life</f>
        <v>0</v>
      </c>
      <c r="S157" s="38" t="n">
        <f aca="false">SUMPRODUCT(--(Thesis!$R$121:$AA$121&lt;Thesis!S$121),Thesis!$R$154:$AA$154)/fac_life</f>
        <v>0.0202511502553155</v>
      </c>
      <c r="T157" s="38" t="n">
        <f aca="false">SUMPRODUCT(--(Thesis!$R$121:$AA$121&lt;Thesis!T$121),Thesis!$R$154:$AA$154)/fac_life</f>
        <v>0.360549480652134</v>
      </c>
      <c r="U157" s="38" t="n">
        <f aca="false">SUMPRODUCT(--(Thesis!$R$121:$AA$121&lt;Thesis!U$121),Thesis!$R$154:$AA$154)/fac_life</f>
        <v>1.29709472025025</v>
      </c>
      <c r="V157" s="38" t="n">
        <f aca="false">SUMPRODUCT(--(Thesis!$R$121:$AA$121&lt;Thesis!V$121),Thesis!$R$154:$AA$154)/fac_life</f>
        <v>3.21599529914753</v>
      </c>
      <c r="W157" s="38" t="n">
        <f aca="false">SUMPRODUCT(--(Thesis!$R$121:$AA$121&lt;Thesis!W$121),Thesis!$R$154:$AA$154)/fac_life</f>
        <v>5.51832434914753</v>
      </c>
      <c r="X157" s="38" t="n">
        <f aca="false">SUMPRODUCT(--(Thesis!$R$121:$AA$121&lt;Thesis!X$121),Thesis!$R$154:$AA$154)/fac_life</f>
        <v>7.82065339914753</v>
      </c>
      <c r="Y157" s="38" t="n">
        <f aca="false">SUMPRODUCT(--(Thesis!$R$121:$AA$121&lt;Thesis!Y$121),Thesis!$R$154:$AA$154)/fac_life</f>
        <v>10.1229824491475</v>
      </c>
      <c r="Z157" s="38" t="n">
        <f aca="false">SUMPRODUCT(--(Thesis!$R$121:$AA$121&lt;Thesis!Z$121),Thesis!$R$154:$AA$154)/fac_life</f>
        <v>11.7516267992309</v>
      </c>
      <c r="AA157" s="38" t="n">
        <f aca="false">SUMPRODUCT(--(Thesis!$R$121:$AA$121&lt;Thesis!AA$121),Thesis!$R$154:$AA$154)/fac_life</f>
        <v>12.7065864493975</v>
      </c>
    </row>
    <row r="158" customFormat="false" ht="17.15" hidden="false" customHeight="false" outlineLevel="0" collapsed="false">
      <c r="A158" s="1" t="s">
        <v>633</v>
      </c>
      <c r="B158" s="8" t="s">
        <v>86</v>
      </c>
      <c r="C158" s="38" t="n">
        <f aca="false">Thesis!$C$156+Thesis!$C$157</f>
        <v>0.203463948620839</v>
      </c>
      <c r="D158" s="38" t="n">
        <f aca="false">Thesis!$D$156+Thesis!$D$157</f>
        <v>3.62245206231783</v>
      </c>
      <c r="E158" s="38" t="n">
        <f aca="false">Thesis!$E$156+Thesis!$E$157</f>
        <v>6.51597588754466</v>
      </c>
      <c r="F158" s="38" t="n">
        <f aca="false">Thesis!$F$156+Thesis!$F$157</f>
        <v>6.51597588754466</v>
      </c>
      <c r="G158" s="38" t="n">
        <f aca="false">Thesis!$G$156+Thesis!$G$157</f>
        <v>13.0319517750893</v>
      </c>
      <c r="H158" s="38" t="n">
        <f aca="false">Thesis!$H$156+Thesis!$H$157</f>
        <v>35.2941921973308</v>
      </c>
      <c r="I158" s="38" t="n">
        <f aca="false">Thesis!$I$156+Thesis!$I$157</f>
        <v>63.0173185714558</v>
      </c>
      <c r="J158" s="38" t="n">
        <f aca="false">Thesis!$J$156+Thesis!$J$157</f>
        <v>91.7529624398725</v>
      </c>
      <c r="K158" s="38" t="n">
        <f aca="false">Thesis!$K$156+Thesis!$K$157</f>
        <v>121.178188209924</v>
      </c>
      <c r="L158" s="38" t="n">
        <f aca="false">Thesis!$L$156+Thesis!$L$157</f>
        <v>140.172392488963</v>
      </c>
      <c r="M158" s="38" t="n">
        <f aca="false">Thesis!$M$156+Thesis!$M$157</f>
        <v>151.473555772051</v>
      </c>
      <c r="N158" s="38" t="n">
        <f aca="false">Thesis!$N$156+Thesis!$N$157</f>
        <v>1.81122603115892</v>
      </c>
      <c r="O158" s="38" t="n">
        <f aca="false">Thesis!$O$156+Thesis!$O$157</f>
        <v>1.81122603115892</v>
      </c>
      <c r="R158" s="38" t="n">
        <f aca="false">Thesis!$R$156+Thesis!$R$157</f>
        <v>0</v>
      </c>
      <c r="S158" s="38" t="n">
        <f aca="false">Thesis!$S$156+Thesis!$S$157</f>
        <v>0.203463948620839</v>
      </c>
      <c r="T158" s="38" t="n">
        <f aca="false">Thesis!$T$156+Thesis!$T$157</f>
        <v>3.62245206231783</v>
      </c>
      <c r="U158" s="38" t="n">
        <f aca="false">Thesis!$U$156+Thesis!$U$157</f>
        <v>13.0319517750893</v>
      </c>
      <c r="V158" s="38" t="n">
        <f aca="false">Thesis!$V$156+Thesis!$V$157</f>
        <v>35.2941921973308</v>
      </c>
      <c r="W158" s="38" t="n">
        <f aca="false">Thesis!$W$156+Thesis!$W$157</f>
        <v>63.0173185714558</v>
      </c>
      <c r="X158" s="38" t="n">
        <f aca="false">Thesis!$X$156+Thesis!$X$157</f>
        <v>91.7529624398725</v>
      </c>
      <c r="Y158" s="38" t="n">
        <f aca="false">Thesis!$Y$156+Thesis!$Y$157</f>
        <v>121.178188209924</v>
      </c>
      <c r="Z158" s="38" t="n">
        <f aca="false">Thesis!$Z$156+Thesis!$Z$157</f>
        <v>140.172392488963</v>
      </c>
      <c r="AA158" s="38" t="n">
        <f aca="false">Thesis!$AA$156+Thesis!$AA$157</f>
        <v>151.473555772051</v>
      </c>
    </row>
    <row r="159" customFormat="false" ht="17.15" hidden="false" customHeight="false" outlineLevel="0" collapsed="false">
      <c r="A159" s="0" t="s">
        <v>634</v>
      </c>
      <c r="B159" s="0" t="s">
        <v>86</v>
      </c>
      <c r="C159" s="38" t="n">
        <f aca="false">Thesis!$S$159</f>
        <v>26.578941154416</v>
      </c>
      <c r="D159" s="38" t="n">
        <f aca="false">Thesis!$T$159</f>
        <v>92.5251207231008</v>
      </c>
      <c r="G159" s="38" t="n">
        <f aca="false">Thesis!$U$159</f>
        <v>239.931219586022</v>
      </c>
      <c r="H159" s="38" t="n">
        <f aca="false">Thesis!$V$159</f>
        <v>403.208392333442</v>
      </c>
      <c r="I159" s="38" t="n">
        <f aca="false">Thesis!$W$159</f>
        <v>544.837543672486</v>
      </c>
      <c r="J159" s="38" t="n">
        <f aca="false">Thesis!$X$159</f>
        <v>662.967819343113</v>
      </c>
      <c r="K159" s="38" t="n">
        <f aca="false">Thesis!$Y$159</f>
        <v>697.028016408391</v>
      </c>
      <c r="L159" s="38" t="n">
        <f aca="false">Thesis!$Z$159</f>
        <v>688.86976555933</v>
      </c>
      <c r="M159" s="38" t="n">
        <f aca="false">Thesis!$AA$159</f>
        <v>669.627191447132</v>
      </c>
      <c r="R159" s="38" t="n">
        <f aca="false">SUM(Thesis!$R$151:$R$151)-SUM(Thesis!$R$158:$R$158)</f>
        <v>1.50429979529945</v>
      </c>
      <c r="S159" s="38" t="n">
        <f aca="false">SUM(Thesis!$R$151:$S$151)-SUM(Thesis!$R$158:$S$158)</f>
        <v>26.578941154416</v>
      </c>
      <c r="T159" s="38" t="n">
        <f aca="false">SUM(Thesis!$R$151:$T$151)-SUM(Thesis!$R$158:$T$158)</f>
        <v>92.5251207231008</v>
      </c>
      <c r="U159" s="38" t="n">
        <f aca="false">SUM(Thesis!$R$151:$U$151)-SUM(Thesis!$R$158:$U$158)</f>
        <v>239.931219586022</v>
      </c>
      <c r="V159" s="38" t="n">
        <f aca="false">SUM(Thesis!$R$151:$V$151)-SUM(Thesis!$R$158:$V$158)</f>
        <v>403.208392333442</v>
      </c>
      <c r="W159" s="38" t="n">
        <f aca="false">SUM(Thesis!$R$151:$W$151)-SUM(Thesis!$R$158:$W$158)</f>
        <v>544.837543672486</v>
      </c>
      <c r="X159" s="38" t="n">
        <f aca="false">SUM(Thesis!$R$151:$X$151)-SUM(Thesis!$R$158:$X$158)</f>
        <v>662.967819343113</v>
      </c>
      <c r="Y159" s="38" t="n">
        <f aca="false">SUM(Thesis!$R$151:$Y$151)-SUM(Thesis!$R$158:$Y$158)</f>
        <v>697.028016408391</v>
      </c>
      <c r="Z159" s="38" t="n">
        <f aca="false">SUM(Thesis!$R$151:$Z$151)-SUM(Thesis!$R$158:$Z$158)</f>
        <v>688.86976555933</v>
      </c>
      <c r="AA159" s="38" t="n">
        <f aca="false">SUM(Thesis!$R$151:$AA$151)-SUM(Thesis!$R$158:$AA$158)</f>
        <v>669.627191447132</v>
      </c>
    </row>
    <row r="160" customFormat="false" ht="17.15" hidden="false" customHeight="false" outlineLevel="0" collapsed="false">
      <c r="A160" s="1" t="s">
        <v>635</v>
      </c>
    </row>
    <row r="161" customFormat="false" ht="17.15" hidden="false" customHeight="false" outlineLevel="0" collapsed="false">
      <c r="A161" s="0" t="s">
        <v>636</v>
      </c>
      <c r="B161" s="0" t="s">
        <v>86</v>
      </c>
      <c r="C161" s="38" t="n">
        <f aca="false">Thesis!$C$142-ext_sh*Thesis!$C$144</f>
        <v>1.80694998843362</v>
      </c>
      <c r="D161" s="38" t="n">
        <f aca="false">Thesis!$D$142-ext_sh*Thesis!$D$144</f>
        <v>6.77606245662607</v>
      </c>
      <c r="E161" s="38" t="n">
        <f aca="false">Thesis!$E$142-ext_sh*Thesis!$E$144</f>
        <v>6.62548329092326</v>
      </c>
      <c r="F161" s="38" t="n">
        <f aca="false">Thesis!$F$142-ext_sh*Thesis!$F$144</f>
        <v>10.8940413794839</v>
      </c>
      <c r="G161" s="38" t="n">
        <f aca="false">Thesis!$G$142-ext_sh*Thesis!$G$144</f>
        <v>17.5195246704072</v>
      </c>
      <c r="H161" s="38" t="n">
        <f aca="false">Thesis!$H$142-ext_sh*Thesis!$H$144</f>
        <v>40.7735721541341</v>
      </c>
      <c r="I161" s="38" t="n">
        <f aca="false">Thesis!$I$142-ext_sh*Thesis!$I$144</f>
        <v>66.8500163832358</v>
      </c>
      <c r="J161" s="38" t="n">
        <f aca="false">Thesis!$J$142-ext_sh*Thesis!$J$144</f>
        <v>93.0640470849174</v>
      </c>
      <c r="K161" s="38" t="n">
        <f aca="false">Thesis!$K$142-ext_sh*Thesis!$K$144</f>
        <v>115.424757703147</v>
      </c>
      <c r="L161" s="38" t="n">
        <f aca="false">Thesis!$L$142-ext_sh*Thesis!$L$144</f>
        <v>130.120169833198</v>
      </c>
      <c r="M161" s="38" t="n">
        <f aca="false">Thesis!$M$142-ext_sh*Thesis!$M$144</f>
        <v>137.12790595888</v>
      </c>
      <c r="N161" s="38" t="n">
        <f aca="false">Thesis!$N$142-ext_sh*Thesis!$N$144</f>
        <v>2.37162185981912</v>
      </c>
      <c r="O161" s="38" t="n">
        <f aca="false">Thesis!$O$142-ext_sh*Thesis!$O$144</f>
        <v>4.40444059680694</v>
      </c>
    </row>
    <row r="162" customFormat="false" ht="17.15" hidden="false" customHeight="false" outlineLevel="0" collapsed="false">
      <c r="A162" s="1" t="s">
        <v>637</v>
      </c>
      <c r="B162" s="8" t="s">
        <v>86</v>
      </c>
      <c r="C162" s="38" t="n">
        <f aca="false">Thesis!$C$161-ext_sh*Thesis!$C$158</f>
        <v>1.64417882953695</v>
      </c>
      <c r="D162" s="38" t="n">
        <f aca="false">Thesis!$D$161-ext_sh*Thesis!$D$158</f>
        <v>3.8781008067718</v>
      </c>
      <c r="E162" s="38" t="n">
        <f aca="false">Thesis!$E$161-ext_sh*Thesis!$E$158</f>
        <v>1.41270258088753</v>
      </c>
      <c r="F162" s="38" t="n">
        <f aca="false">Thesis!$F$161-ext_sh*Thesis!$F$158</f>
        <v>5.68126066944818</v>
      </c>
      <c r="G162" s="38" t="n">
        <f aca="false">Thesis!$G$161-ext_sh*Thesis!$G$158</f>
        <v>7.09396325033571</v>
      </c>
      <c r="H162" s="38" t="n">
        <f aca="false">Thesis!$H$161-ext_sh*Thesis!$H$158</f>
        <v>12.5382183962694</v>
      </c>
      <c r="I162" s="38" t="n">
        <f aca="false">Thesis!$I$161-ext_sh*Thesis!$I$158</f>
        <v>16.4361615260712</v>
      </c>
      <c r="J162" s="38" t="n">
        <f aca="false">Thesis!$J$161-ext_sh*Thesis!$J$158</f>
        <v>19.6616771330194</v>
      </c>
      <c r="K162" s="38" t="n">
        <f aca="false">Thesis!$K$161-ext_sh*Thesis!$K$158</f>
        <v>18.4822071352082</v>
      </c>
      <c r="L162" s="38" t="n">
        <f aca="false">Thesis!$L$161-ext_sh*Thesis!$L$158</f>
        <v>17.9822558420278</v>
      </c>
      <c r="M162" s="38" t="n">
        <f aca="false">Thesis!$M$161-ext_sh*Thesis!$M$158</f>
        <v>15.9490613412395</v>
      </c>
      <c r="N162" s="38" t="n">
        <f aca="false">Thesis!$N$161-ext_sh*Thesis!$N$158</f>
        <v>0.92264103489199</v>
      </c>
      <c r="O162" s="38" t="n">
        <f aca="false">Thesis!$O$161-ext_sh*Thesis!$O$158</f>
        <v>2.95545977187981</v>
      </c>
    </row>
    <row r="163" customFormat="false" ht="17.15" hidden="false" customHeight="false" outlineLevel="0" collapsed="false">
      <c r="A163" s="0" t="s">
        <v>638</v>
      </c>
      <c r="B163" s="0" t="s">
        <v>52</v>
      </c>
      <c r="C163" s="13" t="n">
        <f aca="false">Thesis!$C$162/Thesis!$C$142</f>
        <v>0.708390794789371</v>
      </c>
      <c r="D163" s="13" t="n">
        <f aca="false">Thesis!$D$162/Thesis!$D$142</f>
        <v>0.445565630441968</v>
      </c>
      <c r="E163" s="13" t="n">
        <f aca="false">Thesis!$E$162/Thesis!$E$142</f>
        <v>0.165998118402711</v>
      </c>
      <c r="F163" s="13" t="n">
        <f aca="false">Thesis!$F$162/Thesis!$F$142</f>
        <v>0.401859869136011</v>
      </c>
      <c r="G163" s="13" t="n">
        <f aca="false">Thesis!$G$162/Thesis!$G$142</f>
        <v>0.313230095563868</v>
      </c>
      <c r="H163" s="13" t="n">
        <f aca="false">Thesis!$H$162/Thesis!$H$142</f>
        <v>0.23470012891306</v>
      </c>
      <c r="I163" s="13" t="n">
        <f aca="false">Thesis!$I$162/Thesis!$I$142</f>
        <v>0.187200558396588</v>
      </c>
      <c r="J163" s="13" t="n">
        <f aca="false">Thesis!$J$162/Thesis!$J$142</f>
        <v>0.160726355342167</v>
      </c>
      <c r="K163" s="13" t="n">
        <f aca="false">Thesis!$K$162/Thesis!$K$142</f>
        <v>0.121762921451897</v>
      </c>
      <c r="L163" s="13" t="n">
        <f aca="false">Thesis!$L$162/Thesis!$L$142</f>
        <v>0.105068070467128</v>
      </c>
      <c r="M163" s="13" t="n">
        <f aca="false">Thesis!$M$162/Thesis!$M$142</f>
        <v>0.0884164198611169</v>
      </c>
      <c r="N163" s="13" t="n">
        <f aca="false">Thesis!$N$162/Thesis!$N$142</f>
        <v>0.302870734830849</v>
      </c>
      <c r="O163" s="13" t="n">
        <f aca="false">Thesis!$O$162/Thesis!$O$142</f>
        <v>0.52240134346334</v>
      </c>
    </row>
    <row r="164" customFormat="false" ht="17.15" hidden="false" customHeight="false" outlineLevel="0" collapsed="false">
      <c r="A164" s="5" t="s">
        <v>639</v>
      </c>
      <c r="B164" s="0" t="s">
        <v>86</v>
      </c>
      <c r="C164" s="39" t="n">
        <v>0</v>
      </c>
      <c r="D164" s="39" t="n">
        <v>0</v>
      </c>
      <c r="E164" s="39" t="n">
        <v>0</v>
      </c>
      <c r="F164" s="38" t="n">
        <f aca="false">IF(internal_ai_reading=2,1,0)*(1-ext_sh)/ext_sh*(mw_open*he_open+Thesis!$F$140*Thesis!$F$137)*Thesis!$F$126/1000</f>
        <v>3.77122048175818</v>
      </c>
      <c r="G164" s="38" t="n">
        <f aca="false">Thesis!$E$164+Thesis!$F$164</f>
        <v>3.77122048175818</v>
      </c>
      <c r="H164" s="38" t="n">
        <f aca="false">IF(internal_ai_reading=2,1,0)*(1-ext_sh)/ext_sh*(mw_open*he_open+Thesis!$H$140*Thesis!$H$137)*Thesis!$H$126/1000</f>
        <v>15.1635543609893</v>
      </c>
      <c r="I164" s="38" t="n">
        <f aca="false">IF(internal_ai_reading=2,1,0)*(1-ext_sh)/ext_sh*(mw_open*he_open+Thesis!$I$140*Thesis!$I$137)*Thesis!$I$126/1000</f>
        <v>25.5818843619889</v>
      </c>
      <c r="J164" s="38" t="n">
        <f aca="false">IF(internal_ai_reading=2,1,0)*(1-ext_sh)/ext_sh*(mw_open*he_open+Thesis!$J$140*Thesis!$J$137)*Thesis!$J$126/1000</f>
        <v>36.0465624179122</v>
      </c>
      <c r="K164" s="38" t="n">
        <f aca="false">IF(internal_ai_reading=2,1,0)*(1-ext_sh)/ext_sh*(mw_open*he_open+Thesis!$K$140*Thesis!$K$137)*Thesis!$K$126/1000</f>
        <v>44.9741164026038</v>
      </c>
      <c r="L164" s="38" t="n">
        <f aca="false">IF(internal_ai_reading=2,1,0)*(1-ext_sh)/ext_sh*(mw_open*he_open+Thesis!$L$140*Thesis!$L$137)*Thesis!$L$126/1000</f>
        <v>50.8413488057813</v>
      </c>
      <c r="M164" s="38" t="n">
        <f aca="false">IF(internal_ai_reading=2,1,0)*(1-ext_sh)/ext_sh*(mw_open*he_open+Thesis!$M$140*Thesis!$M$137)*Thesis!$M$126/1000</f>
        <v>53.6407214274315</v>
      </c>
      <c r="N164" s="39" t="n">
        <v>0</v>
      </c>
      <c r="O164" s="39" t="n">
        <v>0</v>
      </c>
      <c r="P164" s="8" t="s">
        <v>640</v>
      </c>
    </row>
    <row r="165" customFormat="false" ht="17.15" hidden="false" customHeight="false" outlineLevel="0" collapsed="false">
      <c r="A165" s="5" t="s">
        <v>641</v>
      </c>
      <c r="B165" s="0" t="s">
        <v>86</v>
      </c>
      <c r="C165" s="38" t="n">
        <f aca="false">(1-ext_sh)*(Thesis!$C$144+Thesis!$C$158)</f>
        <v>0.169206631859174</v>
      </c>
      <c r="D165" s="38" t="n">
        <f aca="false">(1-ext_sh)*(Thesis!$D$144+Thesis!$D$158)</f>
        <v>1.20641732046984</v>
      </c>
      <c r="E165" s="38" t="n">
        <f aca="false">(1-ext_sh)*(Thesis!$E$144+Thesis!$E$158)</f>
        <v>1.77441259867062</v>
      </c>
      <c r="F165" s="38" t="n">
        <f aca="false">(1-ext_sh)*(Thesis!$F$144+Thesis!$F$158)</f>
        <v>2.1140391597214</v>
      </c>
      <c r="G165" s="38" t="n">
        <f aca="false">(1-ext_sh)*(Thesis!$G$144+Thesis!$G$158)</f>
        <v>3.88845175839202</v>
      </c>
      <c r="H165" s="38" t="n">
        <f aca="false">(1-ext_sh)*(Thesis!$H$144+Thesis!$H$158)</f>
        <v>10.2210179503985</v>
      </c>
      <c r="I165" s="38" t="n">
        <f aca="false">(1-ext_sh)*(Thesis!$I$144+Thesis!$I$158)</f>
        <v>17.8408961823075</v>
      </c>
      <c r="J165" s="38" t="n">
        <f aca="false">(1-ext_sh)*(Thesis!$J$144+Thesis!$J$158)</f>
        <v>25.6671150670732</v>
      </c>
      <c r="K165" s="38" t="n">
        <f aca="false">(1-ext_sh)*(Thesis!$K$144+Thesis!$K$158)</f>
        <v>33.3265648647373</v>
      </c>
      <c r="L165" s="38" t="n">
        <f aca="false">(1-ext_sh)*(Thesis!$L$144+Thesis!$L$158)</f>
        <v>38.2915924088815</v>
      </c>
      <c r="M165" s="38" t="n">
        <f aca="false">(1-ext_sh)*(Thesis!$M$144+Thesis!$M$158)</f>
        <v>41.1091697111781</v>
      </c>
      <c r="N165" s="38" t="n">
        <f aca="false">(1-ext_sh)*(Thesis!$N$144+Thesis!$N$158)</f>
        <v>0.530919624033979</v>
      </c>
      <c r="O165" s="38" t="n">
        <f aca="false">(1-ext_sh)*(Thesis!$O$144+Thesis!$O$158)</f>
        <v>0.675497696435861</v>
      </c>
    </row>
    <row r="166" customFormat="false" ht="17.15" hidden="false" customHeight="false" outlineLevel="0" collapsed="false">
      <c r="A166" s="0" t="s">
        <v>642</v>
      </c>
      <c r="B166" s="0" t="s">
        <v>86</v>
      </c>
      <c r="C166" s="38" t="n">
        <f aca="false">Q!$D$24</f>
        <v>39.834</v>
      </c>
      <c r="D166" s="38" t="n">
        <f aca="false">Q!$E$24</f>
        <v>45.606</v>
      </c>
      <c r="E166" s="38" t="n">
        <f aca="false">Q!$P$24</f>
        <v>30.782</v>
      </c>
      <c r="N166" s="38" t="n">
        <f aca="false">Q!$N$24</f>
        <v>21.707</v>
      </c>
      <c r="O166" s="38" t="n">
        <f aca="false">Q!$O$24</f>
        <v>23.899</v>
      </c>
    </row>
    <row r="167" customFormat="false" ht="17.15" hidden="false" customHeight="false" outlineLevel="0" collapsed="false">
      <c r="A167" s="0" t="s">
        <v>643</v>
      </c>
      <c r="B167" s="0" t="s">
        <v>86</v>
      </c>
      <c r="C167" s="38" t="n">
        <f aca="false">Thesis!$C$166-Thesis!$C$162</f>
        <v>38.1898211704631</v>
      </c>
      <c r="D167" s="38" t="n">
        <f aca="false">Thesis!$D$166-Thesis!$D$162</f>
        <v>41.7278991932282</v>
      </c>
      <c r="E167" s="38" t="n">
        <f aca="false">Thesis!$E$166-Thesis!$E$162</f>
        <v>29.3692974191125</v>
      </c>
      <c r="F167" s="38" t="n">
        <f aca="false">Thesis!$F$146*Thesis!$F$168</f>
        <v>26.8997276714137</v>
      </c>
      <c r="G167" s="38" t="n">
        <f aca="false">Thesis!$E$167+Thesis!$F$167</f>
        <v>56.2690250905262</v>
      </c>
      <c r="H167" s="38" t="n">
        <f aca="false">Thesis!$H$146*Thesis!$H$168</f>
        <v>60.3505333937343</v>
      </c>
      <c r="I167" s="38" t="n">
        <f aca="false">Thesis!$I$146*Thesis!$I$168</f>
        <v>67.0043857303571</v>
      </c>
      <c r="J167" s="38" t="n">
        <f aca="false">Thesis!$J$146*Thesis!$J$168</f>
        <v>73.3782922956925</v>
      </c>
      <c r="K167" s="38" t="n">
        <f aca="false">Thesis!$K$146*Thesis!$K$168</f>
        <v>79.2485556793479</v>
      </c>
      <c r="L167" s="38" t="n">
        <f aca="false">Thesis!$L$146*Thesis!$L$168</f>
        <v>85.5884401336958</v>
      </c>
      <c r="M167" s="38" t="n">
        <f aca="false">Thesis!$M$146*Thesis!$M$168</f>
        <v>92.4355153443914</v>
      </c>
      <c r="N167" s="38" t="n">
        <f aca="false">Thesis!$N$166-Thesis!$N$162</f>
        <v>20.784358965108</v>
      </c>
      <c r="O167" s="38" t="n">
        <f aca="false">Thesis!$O$166-Thesis!$O$162</f>
        <v>20.9435402281202</v>
      </c>
      <c r="P167" s="5" t="s">
        <v>644</v>
      </c>
    </row>
    <row r="168" customFormat="false" ht="17.15" hidden="false" customHeight="false" outlineLevel="0" collapsed="false">
      <c r="A168" s="0" t="s">
        <v>645</v>
      </c>
      <c r="B168" s="0" t="s">
        <v>52</v>
      </c>
      <c r="C168" s="13" t="n">
        <f aca="false">Thesis!$C$167/Thesis!$C$146</f>
        <v>0.362900395443635</v>
      </c>
      <c r="D168" s="13" t="n">
        <f aca="false">Thesis!$D$167/Thesis!$D$146</f>
        <v>0.34767098474203</v>
      </c>
      <c r="E168" s="13" t="n">
        <f aca="false">Thesis!$E$167/Thesis!$E$146</f>
        <v>0.411861655558416</v>
      </c>
      <c r="F168" s="13" t="n">
        <f aca="false">(Thesis!$O$167+Thesis!$E$167)/(Thesis!$O$146+Thesis!$E$146)</f>
        <v>0.37480827803158</v>
      </c>
      <c r="G168" s="13" t="n">
        <f aca="false">Thesis!$G$167/Thesis!$G$146</f>
        <v>0.393275318395757</v>
      </c>
      <c r="H168" s="13" t="n">
        <f aca="false">Thesis!$F$168</f>
        <v>0.37480827803158</v>
      </c>
      <c r="I168" s="13" t="n">
        <f aca="false">Thesis!$F$168</f>
        <v>0.37480827803158</v>
      </c>
      <c r="J168" s="13" t="n">
        <f aca="false">Thesis!$F$168</f>
        <v>0.37480827803158</v>
      </c>
      <c r="K168" s="13" t="n">
        <f aca="false">Thesis!$F$168</f>
        <v>0.37480827803158</v>
      </c>
      <c r="L168" s="13" t="n">
        <f aca="false">Thesis!$F$168</f>
        <v>0.37480827803158</v>
      </c>
      <c r="M168" s="13" t="n">
        <f aca="false">Thesis!$F$168</f>
        <v>0.37480827803158</v>
      </c>
      <c r="N168" s="13" t="n">
        <f aca="false">Thesis!$N$167/Thesis!$N$146</f>
        <v>0.364039571356823</v>
      </c>
      <c r="O168" s="13" t="n">
        <f aca="false">Thesis!$O$167/Thesis!$O$146</f>
        <v>0.332819892300086</v>
      </c>
      <c r="P168" s="8" t="s">
        <v>646</v>
      </c>
    </row>
    <row r="169" customFormat="false" ht="17.15" hidden="false" customHeight="false" outlineLevel="0" collapsed="false">
      <c r="A169" s="0" t="s">
        <v>647</v>
      </c>
      <c r="B169" s="0" t="s">
        <v>52</v>
      </c>
      <c r="D169" s="13" t="n">
        <f aca="false">(Q!$E$31-ext_sh*Thesis!$D$158)/Thesis!$D$146</f>
        <v>0.154572973163571</v>
      </c>
    </row>
    <row r="170" customFormat="false" ht="17.15" hidden="false" customHeight="false" outlineLevel="0" collapsed="false">
      <c r="A170" s="0" t="s">
        <v>648</v>
      </c>
      <c r="B170" s="0" t="s">
        <v>86</v>
      </c>
      <c r="C170" s="38" t="n">
        <f aca="false">Q!$D$31</f>
        <v>13.32</v>
      </c>
      <c r="D170" s="38" t="n">
        <f aca="false">Q!$E$31</f>
        <v>21.45</v>
      </c>
      <c r="E170" s="38" t="n">
        <f aca="false">Q!$P$31</f>
        <v>15.353</v>
      </c>
      <c r="F170" s="38" t="n">
        <f aca="false">ext_sh*Thesis!$F$158+Thesis!$D$169*Thesis!$F$146</f>
        <v>16.3063747611001</v>
      </c>
      <c r="G170" s="38" t="n">
        <f aca="false">Thesis!$E$170+Thesis!$F$170</f>
        <v>31.6593747611001</v>
      </c>
      <c r="H170" s="38" t="n">
        <f aca="false">ext_sh*Thesis!$H$158+Thesis!$D$169*Thesis!$H$146</f>
        <v>53.124242092105</v>
      </c>
      <c r="I170" s="38" t="n">
        <f aca="false">ext_sh*Thesis!$I$158+Thesis!$D$169*Thesis!$I$146</f>
        <v>78.046828098133</v>
      </c>
      <c r="J170" s="38" t="n">
        <f aca="false">ext_sh*Thesis!$J$158+Thesis!$D$169*Thesis!$J$146</f>
        <v>103.663976940352</v>
      </c>
      <c r="K170" s="38" t="n">
        <f aca="false">ext_sh*Thesis!$K$158+Thesis!$D$169*Thesis!$K$146</f>
        <v>129.625086115469</v>
      </c>
      <c r="L170" s="38" t="n">
        <f aca="false">ext_sh*Thesis!$L$158+Thesis!$D$169*Thesis!$L$146</f>
        <v>147.435052382502</v>
      </c>
      <c r="M170" s="38" t="n">
        <f aca="false">ext_sh*Thesis!$M$158+Thesis!$D$169*Thesis!$M$146</f>
        <v>159.299754080279</v>
      </c>
      <c r="N170" s="38" t="n">
        <f aca="false">Q!$N$31</f>
        <v>9.234</v>
      </c>
      <c r="O170" s="38" t="n">
        <f aca="false">Q!$O$31</f>
        <v>12.216</v>
      </c>
    </row>
    <row r="171" customFormat="false" ht="17.15" hidden="false" customHeight="false" outlineLevel="0" collapsed="false">
      <c r="A171" s="1" t="s">
        <v>649</v>
      </c>
    </row>
    <row r="172" customFormat="false" ht="17.15" hidden="false" customHeight="false" outlineLevel="0" collapsed="false">
      <c r="A172" s="15" t="s">
        <v>650</v>
      </c>
      <c r="B172" s="14" t="s">
        <v>52</v>
      </c>
      <c r="C172" s="14"/>
      <c r="D172" s="14"/>
      <c r="E172" s="14"/>
      <c r="F172" s="14"/>
      <c r="G172" s="17" t="n">
        <f aca="false">Thesis!$G$162*(1-tax)/(ext_sh*(Thesis!$D$159+Thesis!$G$159)/2)</f>
        <v>0.0440851947071316</v>
      </c>
      <c r="H172" s="17" t="n">
        <f aca="false">Thesis!$H$162*(1-tax)/(ext_sh*(Thesis!$G$159+Thesis!$H$159)/2)</f>
        <v>0.0402781040820865</v>
      </c>
      <c r="I172" s="17" t="n">
        <f aca="false">Thesis!$I$162*(1-tax)/(ext_sh*(Thesis!$H$159+Thesis!$I$159)/2)</f>
        <v>0.0358186710480674</v>
      </c>
      <c r="J172" s="17" t="n">
        <f aca="false">Thesis!$J$162*(1-tax)/(ext_sh*(Thesis!$I$159+Thesis!$J$159)/2)</f>
        <v>0.0336327249258515</v>
      </c>
      <c r="K172" s="17" t="n">
        <f aca="false">Thesis!$K$162*(1-tax)/(ext_sh*(Thesis!$J$159+Thesis!$K$159)/2)</f>
        <v>0.0280772586893461</v>
      </c>
      <c r="L172" s="17" t="n">
        <f aca="false">Thesis!$L$162*(1-tax)/(ext_sh*(Thesis!$K$159+Thesis!$L$159)/2)</f>
        <v>0.0268071979540432</v>
      </c>
      <c r="M172" s="17" t="n">
        <f aca="false">Thesis!$M$162*(1-tax)/(ext_sh*(Thesis!$L$159+Thesis!$M$159)/2)</f>
        <v>0.0242557611378735</v>
      </c>
      <c r="N172" s="14"/>
      <c r="O172" s="14"/>
      <c r="P172" s="8" t="s">
        <v>651</v>
      </c>
    </row>
    <row r="173" customFormat="false" ht="17.15" hidden="false" customHeight="false" outlineLevel="0" collapsed="false">
      <c r="A173" s="5" t="s">
        <v>652</v>
      </c>
      <c r="B173" s="0" t="s">
        <v>57</v>
      </c>
      <c r="H173" s="36" t="n">
        <f aca="false">Thesis!$H$142*1000/(mw_open*he_open+Thesis!$H$140*Thesis!$H$137)</f>
        <v>0.880767940782091</v>
      </c>
      <c r="I173" s="36" t="n">
        <f aca="false">Thesis!$I$142*1000/(mw_open*he_open+Thesis!$I$140*Thesis!$I$137)</f>
        <v>0.858026572758645</v>
      </c>
      <c r="J173" s="36" t="n">
        <f aca="false">Thesis!$J$142*1000/(mw_open*he_open+Thesis!$J$140*Thesis!$J$137)</f>
        <v>0.848417499448742</v>
      </c>
      <c r="K173" s="36" t="n">
        <f aca="false">Thesis!$K$142*1000/(mw_open*he_open+Thesis!$K$140*Thesis!$K$137)</f>
        <v>0.843754578941374</v>
      </c>
      <c r="L173" s="36" t="n">
        <f aca="false">Thesis!$L$142*1000/(mw_open*he_open+Thesis!$L$140*Thesis!$L$137)</f>
        <v>0.841581849703465</v>
      </c>
      <c r="M173" s="36" t="n">
        <f aca="false">Thesis!$M$142*1000/(mw_open*he_open+Thesis!$M$140*Thesis!$M$137)</f>
        <v>0.840712687048722</v>
      </c>
    </row>
    <row r="174" customFormat="false" ht="17.15" hidden="false" customHeight="false" outlineLevel="0" collapsed="false">
      <c r="A174" s="5" t="s">
        <v>653</v>
      </c>
      <c r="B174" s="0" t="s">
        <v>57</v>
      </c>
      <c r="H174" s="36" t="n">
        <f aca="false">Thesis!$H$173*(Thesis!$H$142+wacc*ext_sh*(Thesis!$G$159+Thesis!$H$159)/2/(1-tax)-Thesis!$H$162)/Thesis!$H$142</f>
        <v>1.25551961623259</v>
      </c>
      <c r="I174" s="36" t="n">
        <f aca="false">Thesis!$I$173*(Thesis!$I$142+wacc*ext_sh*(Thesis!$H$159+Thesis!$I$159)/2/(1-tax)-Thesis!$I$162)/Thesis!$I$142</f>
        <v>1.2054675393263</v>
      </c>
      <c r="J174" s="36" t="n">
        <f aca="false">Thesis!$J$173*(Thesis!$J$142+wacc*ext_sh*(Thesis!$I$159+Thesis!$J$159)/2/(1-tax)-Thesis!$J$162)/Thesis!$J$142</f>
        <v>1.17141604927023</v>
      </c>
      <c r="K174" s="36" t="n">
        <f aca="false">Thesis!$K$173*(Thesis!$K$142+wacc*ext_sh*(Thesis!$J$159+Thesis!$K$159)/2/(1-tax)-Thesis!$K$162)/Thesis!$K$142</f>
        <v>1.15558527566281</v>
      </c>
      <c r="L174" s="36" t="n">
        <f aca="false">Thesis!$L$173*(Thesis!$L$142+wacc*ext_sh*(Thesis!$K$159+Thesis!$L$159)/2/(1-tax)-Thesis!$L$162)/Thesis!$L$142</f>
        <v>1.12686933572495</v>
      </c>
      <c r="M174" s="36" t="n">
        <f aca="false">Thesis!$M$173*(Thesis!$M$142+wacc*ext_sh*(Thesis!$L$159+Thesis!$M$159)/2/(1-tax)-Thesis!$M$162)/Thesis!$M$142</f>
        <v>1.11358462527531</v>
      </c>
    </row>
    <row r="175" customFormat="false" ht="17.15" hidden="false" customHeight="false" outlineLevel="0" collapsed="false">
      <c r="A175" s="5" t="s">
        <v>654</v>
      </c>
      <c r="B175" s="0" t="s">
        <v>52</v>
      </c>
      <c r="C175" s="13" t="n">
        <f aca="false">Thesis!$C$143/tk_pq</f>
        <v>0.195316432429398</v>
      </c>
      <c r="D175" s="13" t="n">
        <f aca="false">Thesis!$D$143/tk_pq</f>
        <v>0.195316432429398</v>
      </c>
      <c r="E175" s="13" t="n">
        <f aca="false">Thesis!$E$143/tk_pq</f>
        <v>0.195316432429398</v>
      </c>
      <c r="F175" s="13" t="n">
        <f aca="false">Thesis!$F$143/tk_pq</f>
        <v>0.191077608072499</v>
      </c>
      <c r="G175" s="13" t="n">
        <f aca="false">Thesis!$G$143/tk_pq</f>
        <v>0.192648675364927</v>
      </c>
      <c r="H175" s="13" t="n">
        <f aca="false">Thesis!$H$143/tk_pq</f>
        <v>0.188813632292207</v>
      </c>
      <c r="I175" s="13" t="n">
        <f aca="false">Thesis!$I$143/tk_pq</f>
        <v>0.18967957363228</v>
      </c>
      <c r="J175" s="13" t="n">
        <f aca="false">Thesis!$J$143/tk_pq</f>
        <v>0.190298617624149</v>
      </c>
      <c r="K175" s="13" t="n">
        <f aca="false">Thesis!$K$143/tk_pq</f>
        <v>0.190580531494929</v>
      </c>
      <c r="L175" s="13" t="n">
        <f aca="false">Thesis!$L$143/tk_pq</f>
        <v>0.190712010322094</v>
      </c>
      <c r="M175" s="13" t="n">
        <f aca="false">Thesis!$M$143/tk_pq</f>
        <v>0.190736894839384</v>
      </c>
      <c r="N175" s="13" t="n">
        <f aca="false">Thesis!$N$143/tk_pq</f>
        <v>0.195316432429398</v>
      </c>
      <c r="O175" s="13" t="n">
        <f aca="false">Thesis!$O$143/tk_pq</f>
        <v>0.195316432429398</v>
      </c>
      <c r="P175" s="5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3" style="0" width="11"/>
    <col collapsed="false" customWidth="true" hidden="false" outlineLevel="0" max="16" min="16" style="0" width="60"/>
  </cols>
  <sheetData>
    <row r="1" customFormat="false" ht="17.15" hidden="false" customHeight="false" outlineLevel="0" collapsed="false">
      <c r="A1" s="0" t="s">
        <v>658</v>
      </c>
    </row>
    <row r="4" customFormat="false" ht="19.4" hidden="false" customHeight="false" outlineLevel="0" collapsed="false">
      <c r="A4" s="31" t="s">
        <v>659</v>
      </c>
    </row>
    <row r="5" customFormat="false" ht="17.15" hidden="false" customHeight="false" outlineLevel="0" collapsed="false">
      <c r="A5" s="6" t="s">
        <v>16</v>
      </c>
      <c r="B5" s="6" t="s">
        <v>17</v>
      </c>
      <c r="C5" s="20" t="s">
        <v>494</v>
      </c>
      <c r="D5" s="20" t="s">
        <v>495</v>
      </c>
      <c r="E5" s="20" t="s">
        <v>577</v>
      </c>
      <c r="F5" s="20" t="s">
        <v>578</v>
      </c>
      <c r="G5" s="20" t="s">
        <v>579</v>
      </c>
      <c r="H5" s="20" t="s">
        <v>580</v>
      </c>
      <c r="I5" s="20" t="s">
        <v>581</v>
      </c>
      <c r="J5" s="20" t="s">
        <v>582</v>
      </c>
      <c r="K5" s="20" t="s">
        <v>583</v>
      </c>
      <c r="L5" s="20" t="s">
        <v>584</v>
      </c>
      <c r="M5" s="20" t="s">
        <v>585</v>
      </c>
      <c r="N5" s="20" t="s">
        <v>586</v>
      </c>
      <c r="O5" s="20" t="s">
        <v>587</v>
      </c>
      <c r="P5" s="6" t="s">
        <v>23</v>
      </c>
      <c r="R5" s="20" t="n">
        <v>2023</v>
      </c>
      <c r="S5" s="20" t="n">
        <v>2024</v>
      </c>
      <c r="T5" s="20" t="n">
        <v>2025</v>
      </c>
      <c r="U5" s="20" t="n">
        <v>2026</v>
      </c>
      <c r="V5" s="20" t="n">
        <v>2027</v>
      </c>
      <c r="W5" s="20" t="n">
        <v>2028</v>
      </c>
      <c r="X5" s="20" t="n">
        <v>2029</v>
      </c>
      <c r="Y5" s="20" t="n">
        <v>2030</v>
      </c>
      <c r="Z5" s="20" t="n">
        <v>2031</v>
      </c>
      <c r="AA5" s="20" t="n">
        <v>2032</v>
      </c>
    </row>
    <row r="6" customFormat="false" ht="17.15" hidden="false" customHeight="false" outlineLevel="0" collapsed="false">
      <c r="A6" s="1" t="s">
        <v>660</v>
      </c>
    </row>
    <row r="7" customFormat="false" ht="17.15" hidden="false" customHeight="false" outlineLevel="0" collapsed="false">
      <c r="A7" s="0" t="s">
        <v>516</v>
      </c>
      <c r="B7" s="0" t="s">
        <v>86</v>
      </c>
      <c r="C7" s="38" t="n">
        <f aca="false">Q!$D$10</f>
        <v>247.029</v>
      </c>
      <c r="D7" s="38" t="n">
        <f aca="false">Q!$E$10</f>
        <v>269.287</v>
      </c>
      <c r="E7" s="38" t="n">
        <f aca="false">Q!$P$10</f>
        <v>134.686</v>
      </c>
      <c r="F7" s="38" t="n">
        <f aca="false">Seg!$O$7*(1+Seg!$F$8)*Seg!$F$19</f>
        <v>157.020808071353</v>
      </c>
      <c r="G7" s="38" t="n">
        <f aca="false">Seg!$E$7+Seg!$F$7</f>
        <v>291.706808071353</v>
      </c>
      <c r="H7" s="38" t="n">
        <f aca="false">Seg!$G$7*(1+Seg!$H$8)</f>
        <v>316.801953937514</v>
      </c>
      <c r="I7" s="38" t="n">
        <f aca="false">Seg!$H$7*(1+Seg!$I$8)</f>
        <v>340.251351597976</v>
      </c>
      <c r="J7" s="38" t="n">
        <f aca="false">Seg!$I$7*(1+Seg!$J$8)</f>
        <v>361.350185952976</v>
      </c>
      <c r="K7" s="38" t="n">
        <f aca="false">Seg!$J$7*(1+Seg!$K$8)</f>
        <v>379.417695250625</v>
      </c>
      <c r="L7" s="38" t="n">
        <f aca="false">Seg!$K$7*(1+Seg!$L$8)</f>
        <v>398.388580013156</v>
      </c>
      <c r="M7" s="38" t="n">
        <f aca="false">Seg!$L$7*(1+Seg!$M$8)</f>
        <v>418.308009013814</v>
      </c>
      <c r="N7" s="38" t="n">
        <f aca="false">Q!$N$10</f>
        <v>118.892</v>
      </c>
      <c r="O7" s="38" t="n">
        <f aca="false">Q!$O$10</f>
        <v>150.395</v>
      </c>
      <c r="P7" s="8" t="s">
        <v>661</v>
      </c>
    </row>
    <row r="8" customFormat="false" ht="17.15" hidden="false" customHeight="false" outlineLevel="0" collapsed="false">
      <c r="A8" s="0" t="s">
        <v>662</v>
      </c>
      <c r="B8" s="0" t="s">
        <v>52</v>
      </c>
      <c r="E8" s="13" t="n">
        <f aca="false">Seg!$E$7/Seg!$N$7-1</f>
        <v>0.132843252699929</v>
      </c>
      <c r="F8" s="13" t="n">
        <f aca="false">Seg!$O$7/(Q!$F$10+Q!$G$10)-1</f>
        <v>0.0980382135842941</v>
      </c>
      <c r="G8" s="13" t="n">
        <f aca="false">Seg!$G$7/Seg!$D$7-1</f>
        <v>0.0832561841876993</v>
      </c>
      <c r="H8" s="13" t="n">
        <f aca="false">Seg!$F$8+(g_os-Seg!$F$8)*1/4</f>
        <v>0.0860286601882206</v>
      </c>
      <c r="I8" s="13" t="n">
        <f aca="false">Seg!$F$8+(g_os-Seg!$F$8)*2/4</f>
        <v>0.074019106792147</v>
      </c>
      <c r="J8" s="13" t="n">
        <f aca="false">Seg!$F$8+(g_os-Seg!$F$8)*3/4</f>
        <v>0.0620095533960735</v>
      </c>
      <c r="K8" s="13" t="n">
        <f aca="false">Seg!$F$8+(g_os-Seg!$F$8)*4/4</f>
        <v>0.05</v>
      </c>
      <c r="L8" s="13" t="n">
        <f aca="false">g_os</f>
        <v>0.05</v>
      </c>
      <c r="M8" s="13" t="n">
        <f aca="false">g_os</f>
        <v>0.05</v>
      </c>
      <c r="P8" s="8" t="s">
        <v>663</v>
      </c>
    </row>
    <row r="9" customFormat="false" ht="17.15" hidden="false" customHeight="false" outlineLevel="0" collapsed="false">
      <c r="A9" s="0" t="s">
        <v>517</v>
      </c>
      <c r="B9" s="0" t="s">
        <v>86</v>
      </c>
      <c r="C9" s="38" t="n">
        <f aca="false">Q!$D$11</f>
        <v>21.215</v>
      </c>
      <c r="D9" s="38" t="n">
        <f aca="false">Q!$E$11</f>
        <v>22.561</v>
      </c>
      <c r="E9" s="38" t="n">
        <f aca="false">Q!$P$11</f>
        <v>11.579</v>
      </c>
      <c r="F9" s="38" t="n">
        <f aca="false">Seg!$O$9*(1+Seg!$F$10)*Seg!$F$19</f>
        <v>11.5006294561322</v>
      </c>
      <c r="G9" s="38" t="n">
        <f aca="false">Seg!$E$9+Seg!$F$9</f>
        <v>23.0796294561322</v>
      </c>
      <c r="H9" s="38" t="n">
        <f aca="false">Seg!$G$9*(1+Seg!$H$10)</f>
        <v>24.2553995769935</v>
      </c>
      <c r="I9" s="38" t="n">
        <f aca="false">Seg!$H$9*(1+Seg!$I$10)</f>
        <v>25.3217326588874</v>
      </c>
      <c r="J9" s="38" t="n">
        <f aca="false">Seg!$I$9*(1+Seg!$J$10)</f>
        <v>26.2581646353951</v>
      </c>
      <c r="K9" s="38" t="n">
        <f aca="false">Seg!$J$9*(1+Seg!$K$10)</f>
        <v>27.045909574457</v>
      </c>
      <c r="L9" s="38" t="n">
        <f aca="false">Seg!$K$9*(1+Seg!$L$10)</f>
        <v>27.8572868616907</v>
      </c>
      <c r="M9" s="38" t="n">
        <f aca="false">Seg!$L$9*(1+Seg!$M$10)</f>
        <v>28.6930054675414</v>
      </c>
      <c r="N9" s="38" t="n">
        <f aca="false">Q!$N$11</f>
        <v>11.128</v>
      </c>
      <c r="O9" s="38" t="n">
        <f aca="false">Q!$O$11</f>
        <v>11.433</v>
      </c>
      <c r="P9" s="8" t="s">
        <v>661</v>
      </c>
    </row>
    <row r="10" customFormat="false" ht="17.15" hidden="false" customHeight="false" outlineLevel="0" collapsed="false">
      <c r="A10" s="0" t="s">
        <v>664</v>
      </c>
      <c r="B10" s="0" t="s">
        <v>52</v>
      </c>
      <c r="E10" s="13" t="n">
        <f aca="false">Seg!$E$9/Seg!$N$9-1</f>
        <v>0.0405283968368082</v>
      </c>
      <c r="F10" s="13" t="n">
        <f aca="false">Seg!$O$9/(Q!$F$11+Q!$G$11)-1</f>
        <v>0.0579254187100955</v>
      </c>
      <c r="G10" s="13" t="n">
        <f aca="false">Seg!$G$9/Seg!$D$9-1</f>
        <v>0.0229878753659964</v>
      </c>
      <c r="H10" s="13" t="n">
        <f aca="false">Seg!$F$10+(g_ps-Seg!$F$10)*1/4</f>
        <v>0.0509440640325716</v>
      </c>
      <c r="I10" s="13" t="n">
        <f aca="false">Seg!$F$10+(g_ps-Seg!$F$10)*2/4</f>
        <v>0.0439627093550477</v>
      </c>
      <c r="J10" s="13" t="n">
        <f aca="false">Seg!$F$10+(g_ps-Seg!$F$10)*3/4</f>
        <v>0.0369813546775239</v>
      </c>
      <c r="K10" s="13" t="n">
        <f aca="false">Seg!$F$10+(g_ps-Seg!$F$10)*4/4</f>
        <v>0.03</v>
      </c>
      <c r="L10" s="13" t="n">
        <f aca="false">g_ps</f>
        <v>0.03</v>
      </c>
      <c r="M10" s="13" t="n">
        <f aca="false">g_ps</f>
        <v>0.03</v>
      </c>
      <c r="P10" s="8" t="s">
        <v>665</v>
      </c>
    </row>
    <row r="11" customFormat="false" ht="17.15" hidden="false" customHeight="false" outlineLevel="0" collapsed="false">
      <c r="A11" s="0" t="s">
        <v>518</v>
      </c>
      <c r="B11" s="0" t="s">
        <v>86</v>
      </c>
      <c r="C11" s="38" t="n">
        <f aca="false">Q!$D$12</f>
        <v>156.146</v>
      </c>
      <c r="D11" s="38" t="n">
        <f aca="false">Q!$E$12</f>
        <v>172.162</v>
      </c>
      <c r="E11" s="38" t="n">
        <f aca="false">Q!$P$12</f>
        <v>88.358</v>
      </c>
      <c r="F11" s="38" t="n">
        <f aca="false">Seg!$O$11*(1+Seg!$F$12)*Seg!$F$19</f>
        <v>101.184024252687</v>
      </c>
      <c r="G11" s="38" t="n">
        <f aca="false">Seg!$E$11+Seg!$F$11</f>
        <v>189.542024252687</v>
      </c>
      <c r="H11" s="38" t="n">
        <f aca="false">Seg!$G$11*(1+Seg!$H$12)</f>
        <v>209.436635959084</v>
      </c>
      <c r="I11" s="38" t="n">
        <f aca="false">Seg!$H$11*(1+Seg!$I$12)</f>
        <v>228.978677217176</v>
      </c>
      <c r="J11" s="38" t="n">
        <f aca="false">Seg!$I$11*(1+Seg!$J$12)</f>
        <v>247.675662565342</v>
      </c>
      <c r="K11" s="38" t="n">
        <f aca="false">Seg!$J$11*(1+Seg!$K$12)</f>
        <v>265.012958944916</v>
      </c>
      <c r="L11" s="38" t="n">
        <f aca="false">Seg!$K$11*(1+Seg!$L$12)</f>
        <v>283.56386607106</v>
      </c>
      <c r="M11" s="38" t="n">
        <f aca="false">Seg!$L$11*(1+Seg!$M$12)</f>
        <v>303.413336696034</v>
      </c>
      <c r="N11" s="38" t="n">
        <f aca="false">Q!$N$12</f>
        <v>76.86</v>
      </c>
      <c r="O11" s="38" t="n">
        <f aca="false">Q!$O$12</f>
        <v>95.302</v>
      </c>
      <c r="P11" s="8" t="s">
        <v>661</v>
      </c>
    </row>
    <row r="12" customFormat="false" ht="17.15" hidden="false" customHeight="false" outlineLevel="0" collapsed="false">
      <c r="A12" s="0" t="s">
        <v>666</v>
      </c>
      <c r="B12" s="0" t="s">
        <v>52</v>
      </c>
      <c r="E12" s="13" t="n">
        <f aca="false">Seg!$E$11/Seg!$N$11-1</f>
        <v>0.1495966692688</v>
      </c>
      <c r="F12" s="13" t="n">
        <f aca="false">Seg!$O$11/(Q!$F$12+Q!$G$12)-1</f>
        <v>0.11661530890813</v>
      </c>
      <c r="G12" s="13" t="n">
        <f aca="false">Seg!$G$11/Seg!$D$11-1</f>
        <v>0.100951570338909</v>
      </c>
      <c r="H12" s="13" t="n">
        <f aca="false">Seg!$F$12+(g_sp-Seg!$F$12)*1/4</f>
        <v>0.104961481681098</v>
      </c>
      <c r="I12" s="13" t="n">
        <f aca="false">Seg!$F$12+(g_sp-Seg!$F$12)*2/4</f>
        <v>0.0933076544540651</v>
      </c>
      <c r="J12" s="13" t="n">
        <f aca="false">Seg!$F$12+(g_sp-Seg!$F$12)*3/4</f>
        <v>0.0816538272270325</v>
      </c>
      <c r="K12" s="13" t="n">
        <f aca="false">Seg!$F$12+(g_sp-Seg!$F$12)*4/4</f>
        <v>0.07</v>
      </c>
      <c r="L12" s="13" t="n">
        <f aca="false">g_sp</f>
        <v>0.07</v>
      </c>
      <c r="M12" s="13" t="n">
        <f aca="false">g_sp</f>
        <v>0.07</v>
      </c>
      <c r="P12" s="8" t="s">
        <v>667</v>
      </c>
    </row>
    <row r="13" customFormat="false" ht="17.15" hidden="false" customHeight="false" outlineLevel="0" collapsed="false">
      <c r="A13" s="0" t="s">
        <v>519</v>
      </c>
      <c r="B13" s="0" t="s">
        <v>86</v>
      </c>
      <c r="C13" s="38" t="n">
        <f aca="false">Q!$D$13</f>
        <v>56.214</v>
      </c>
      <c r="D13" s="38" t="n">
        <f aca="false">Q!$E$13</f>
        <v>68.635</v>
      </c>
      <c r="E13" s="38" t="n">
        <f aca="false">Q!$P$13</f>
        <v>37.052</v>
      </c>
      <c r="F13" s="38" t="n">
        <f aca="false">Seg!$O$13*(1+Seg!$F$14)*Seg!$F$19</f>
        <v>45.7860053805462</v>
      </c>
      <c r="G13" s="38" t="n">
        <f aca="false">Seg!$E$13+Seg!$F$13</f>
        <v>82.8380053805462</v>
      </c>
      <c r="H13" s="38" t="n">
        <f aca="false">Seg!$G$13*(1+Seg!$H$14)</f>
        <v>99.4512578764903</v>
      </c>
      <c r="I13" s="38" t="n">
        <f aca="false">Seg!$H$13*(1+Seg!$I$14)</f>
        <v>116.063005430549</v>
      </c>
      <c r="J13" s="38" t="n">
        <f aca="false">Seg!$I$13*(1+Seg!$J$14)</f>
        <v>131.559393312867</v>
      </c>
      <c r="K13" s="38" t="n">
        <f aca="false">Seg!$J$13*(1+Seg!$K$14)</f>
        <v>144.715332644154</v>
      </c>
      <c r="L13" s="38" t="n">
        <f aca="false">Seg!$K$13*(1+Seg!$L$14)</f>
        <v>159.186865908569</v>
      </c>
      <c r="M13" s="38" t="n">
        <f aca="false">Seg!$L$13*(1+Seg!$M$14)</f>
        <v>175.105552499426</v>
      </c>
      <c r="N13" s="38" t="n">
        <f aca="false">Q!$N$13</f>
        <v>29.615</v>
      </c>
      <c r="O13" s="38" t="n">
        <f aca="false">Q!$O$13</f>
        <v>39.02</v>
      </c>
      <c r="P13" s="8" t="s">
        <v>661</v>
      </c>
    </row>
    <row r="14" customFormat="false" ht="17.15" hidden="false" customHeight="false" outlineLevel="0" collapsed="false">
      <c r="A14" s="0" t="s">
        <v>668</v>
      </c>
      <c r="B14" s="0" t="s">
        <v>52</v>
      </c>
      <c r="E14" s="13" t="n">
        <f aca="false">Seg!$E$13/Seg!$N$13-1</f>
        <v>0.25112274185379</v>
      </c>
      <c r="F14" s="13" t="n">
        <f aca="false">Seg!$O$13/(Q!$F$13+Q!$G$13)-1</f>
        <v>0.234068123596572</v>
      </c>
      <c r="G14" s="13" t="n">
        <f aca="false">Seg!$G$13/Seg!$D$13-1</f>
        <v>0.206935315517538</v>
      </c>
      <c r="H14" s="13" t="n">
        <f aca="false">Seg!$F$14+(g_ad-Seg!$F$14)*1/4</f>
        <v>0.200551092697429</v>
      </c>
      <c r="I14" s="13" t="n">
        <f aca="false">Seg!$F$14+(g_ad-Seg!$F$14)*2/4</f>
        <v>0.167034061798286</v>
      </c>
      <c r="J14" s="13" t="n">
        <f aca="false">Seg!$F$14+(g_ad-Seg!$F$14)*3/4</f>
        <v>0.133517030899143</v>
      </c>
      <c r="K14" s="13" t="n">
        <f aca="false">Seg!$F$14+(g_ad-Seg!$F$14)*4/4</f>
        <v>0.1</v>
      </c>
      <c r="L14" s="13" t="n">
        <f aca="false">g_ad</f>
        <v>0.1</v>
      </c>
      <c r="M14" s="13" t="n">
        <f aca="false">g_ad</f>
        <v>0.1</v>
      </c>
      <c r="P14" s="8" t="s">
        <v>669</v>
      </c>
    </row>
    <row r="15" customFormat="false" ht="17.15" hidden="false" customHeight="false" outlineLevel="0" collapsed="false">
      <c r="A15" s="0" t="s">
        <v>520</v>
      </c>
      <c r="B15" s="0" t="s">
        <v>86</v>
      </c>
      <c r="C15" s="38" t="n">
        <f aca="false">Q!$D$14</f>
        <v>44.374</v>
      </c>
      <c r="D15" s="38" t="n">
        <f aca="false">Q!$E$14</f>
        <v>49.619</v>
      </c>
      <c r="E15" s="38" t="n">
        <f aca="false">Q!$P$14</f>
        <v>27.157</v>
      </c>
      <c r="F15" s="38" t="n">
        <f aca="false">Seg!$O$15*(1+Seg!$F$16)*Seg!$F$19</f>
        <v>27.55302647979</v>
      </c>
      <c r="G15" s="38" t="n">
        <f aca="false">Seg!$E$15+Seg!$F$15</f>
        <v>54.71002647979</v>
      </c>
      <c r="H15" s="38" t="n">
        <f aca="false">Seg!$G$15*(1+Seg!$H$16)</f>
        <v>60.9077149464402</v>
      </c>
      <c r="I15" s="38" t="n">
        <f aca="false">Seg!$H$15*(1+Seg!$I$16)</f>
        <v>66.9287470272796</v>
      </c>
      <c r="J15" s="38" t="n">
        <f aca="false">Seg!$I$15*(1+Seg!$J$16)</f>
        <v>72.5793737728661</v>
      </c>
      <c r="K15" s="38" t="n">
        <f aca="false">Seg!$J$15*(1+Seg!$K$16)</f>
        <v>77.6599299369667</v>
      </c>
      <c r="L15" s="38" t="n">
        <f aca="false">Seg!$K$15*(1+Seg!$L$16)</f>
        <v>83.0961250325544</v>
      </c>
      <c r="M15" s="38" t="n">
        <f aca="false">Seg!$L$15*(1+Seg!$M$16)</f>
        <v>88.9128537848332</v>
      </c>
      <c r="N15" s="38" t="n">
        <f aca="false">Q!$N$14</f>
        <v>23.923</v>
      </c>
      <c r="O15" s="38" t="n">
        <f aca="false">Q!$O$14</f>
        <v>25.696</v>
      </c>
      <c r="P15" s="8" t="s">
        <v>661</v>
      </c>
    </row>
    <row r="16" customFormat="false" ht="17.15" hidden="false" customHeight="false" outlineLevel="0" collapsed="false">
      <c r="A16" s="0" t="s">
        <v>670</v>
      </c>
      <c r="B16" s="0" t="s">
        <v>52</v>
      </c>
      <c r="E16" s="13" t="n">
        <f aca="false">Seg!$E$15/Seg!$N$15-1</f>
        <v>0.135183714417088</v>
      </c>
      <c r="F16" s="13" t="n">
        <f aca="false">Seg!$O$15/(Q!$F$14+Q!$G$14)-1</f>
        <v>0.127709997366804</v>
      </c>
      <c r="G16" s="13" t="n">
        <f aca="false">Seg!$G$15/Seg!$D$15-1</f>
        <v>0.102602359575768</v>
      </c>
      <c r="H16" s="13" t="n">
        <f aca="false">Seg!$F$16+(g_sub-Seg!$F$16)*1/4</f>
        <v>0.113282498025103</v>
      </c>
      <c r="I16" s="13" t="n">
        <f aca="false">Seg!$F$16+(g_sub-Seg!$F$16)*2/4</f>
        <v>0.0988549986834021</v>
      </c>
      <c r="J16" s="13" t="n">
        <f aca="false">Seg!$F$16+(g_sub-Seg!$F$16)*3/4</f>
        <v>0.084427499341701</v>
      </c>
      <c r="K16" s="13" t="n">
        <f aca="false">Seg!$F$16+(g_sub-Seg!$F$16)*4/4</f>
        <v>0.07</v>
      </c>
      <c r="L16" s="13" t="n">
        <f aca="false">g_sub</f>
        <v>0.07</v>
      </c>
      <c r="M16" s="13" t="n">
        <f aca="false">g_sub</f>
        <v>0.07</v>
      </c>
      <c r="P16" s="8" t="s">
        <v>671</v>
      </c>
    </row>
    <row r="17" customFormat="false" ht="17.15" hidden="false" customHeight="false" outlineLevel="0" collapsed="false">
      <c r="A17" s="0" t="s">
        <v>521</v>
      </c>
      <c r="B17" s="0" t="s">
        <v>86</v>
      </c>
      <c r="C17" s="38" t="n">
        <f aca="false">Q!$D$15</f>
        <v>5.425</v>
      </c>
      <c r="D17" s="38" t="n">
        <f aca="false">Q!$E$15</f>
        <v>5.935</v>
      </c>
      <c r="E17" s="38" t="n">
        <f aca="false">Q!$P$15</f>
        <v>3.474</v>
      </c>
      <c r="F17" s="38" t="n">
        <f aca="false">Seg!$O$17*(1+Seg!$F$18)*Seg!$F$19</f>
        <v>3.19654902853668</v>
      </c>
      <c r="G17" s="38" t="n">
        <f aca="false">Seg!$E$17+Seg!$F$17</f>
        <v>6.67054902853668</v>
      </c>
      <c r="H17" s="38" t="n">
        <f aca="false">Seg!$G$17*(1+Seg!$H$18)</f>
        <v>7.13479327564415</v>
      </c>
      <c r="I17" s="38" t="n">
        <f aca="false">Seg!$H$17*(1+Seg!$I$18)</f>
        <v>7.58474238998743</v>
      </c>
      <c r="J17" s="38" t="n">
        <f aca="false">Seg!$I$17*(1+Seg!$J$18)</f>
        <v>8.01352331850166</v>
      </c>
      <c r="K17" s="38" t="n">
        <f aca="false">Seg!$J$17*(1+Seg!$K$18)</f>
        <v>8.41419948442675</v>
      </c>
      <c r="L17" s="38" t="n">
        <f aca="false">Seg!$K$17*(1+Seg!$L$18)</f>
        <v>8.83490945864809</v>
      </c>
      <c r="M17" s="38" t="n">
        <f aca="false">Seg!$L$17*(1+Seg!$M$18)</f>
        <v>9.27665493158049</v>
      </c>
      <c r="N17" s="38" t="n">
        <f aca="false">Q!$N$15</f>
        <v>2.811</v>
      </c>
      <c r="O17" s="38" t="n">
        <f aca="false">Q!$O$15</f>
        <v>3.124</v>
      </c>
      <c r="P17" s="8" t="s">
        <v>661</v>
      </c>
    </row>
    <row r="18" customFormat="false" ht="17.15" hidden="false" customHeight="false" outlineLevel="0" collapsed="false">
      <c r="A18" s="0" t="s">
        <v>672</v>
      </c>
      <c r="B18" s="0" t="s">
        <v>52</v>
      </c>
      <c r="E18" s="13" t="n">
        <f aca="false">Seg!$E$17/Seg!$N$17-1</f>
        <v>0.235859124866596</v>
      </c>
      <c r="F18" s="13" t="n">
        <f aca="false">Seg!$O$17/(Q!$F$15+Q!$G$15)-1</f>
        <v>0.0761281433000345</v>
      </c>
      <c r="G18" s="13" t="n">
        <f aca="false">Seg!$G$17/Seg!$D$17-1</f>
        <v>0.12393412443752</v>
      </c>
      <c r="H18" s="13" t="n">
        <f aca="false">Seg!$F$18+(g_ot-Seg!$F$18)*1/4</f>
        <v>0.0695961074750259</v>
      </c>
      <c r="I18" s="13" t="n">
        <f aca="false">Seg!$F$18+(g_ot-Seg!$F$18)*2/4</f>
        <v>0.0630640716500172</v>
      </c>
      <c r="J18" s="13" t="n">
        <f aca="false">Seg!$F$18+(g_ot-Seg!$F$18)*3/4</f>
        <v>0.0565320358250086</v>
      </c>
      <c r="K18" s="13" t="n">
        <f aca="false">Seg!$F$18+(g_ot-Seg!$F$18)*4/4</f>
        <v>0.05</v>
      </c>
      <c r="L18" s="13" t="n">
        <f aca="false">g_ot</f>
        <v>0.05</v>
      </c>
      <c r="M18" s="13" t="n">
        <f aca="false">g_ot</f>
        <v>0.05</v>
      </c>
      <c r="P18" s="8" t="s">
        <v>673</v>
      </c>
    </row>
    <row r="19" customFormat="false" ht="17.15" hidden="false" customHeight="false" outlineLevel="0" collapsed="false">
      <c r="A19" s="0" t="s">
        <v>674</v>
      </c>
      <c r="B19" s="0" t="s">
        <v>57</v>
      </c>
      <c r="F19" s="40" t="n">
        <f aca="false">(g26q3_mid*Q!$O$8/Q!$J$8-Thesis!$F$26-Thesis!$F$30)/(Seg!$O$7*(1+Seg!$F$8)+Seg!$O$9*(1+Seg!$F$10)+Seg!$O$11*(1+Seg!$F$12)+Seg!$O$13*(1+Seg!$F$14)+Seg!$O$15*(1+Seg!$F$16)+Seg!$O$17*(1+Seg!$F$18))</f>
        <v>0.950837618085622</v>
      </c>
      <c r="P19" s="8" t="s">
        <v>675</v>
      </c>
    </row>
    <row r="20" customFormat="false" ht="17.15" hidden="false" customHeight="false" outlineLevel="0" collapsed="false">
      <c r="A20" s="3" t="s">
        <v>676</v>
      </c>
      <c r="B20" s="8" t="s">
        <v>86</v>
      </c>
      <c r="C20" s="38" t="n">
        <f aca="false">Seg!$C$7+Seg!$C$9+Seg!$C$11+Seg!$C$13+Seg!$C$15+Seg!$C$17</f>
        <v>530.403</v>
      </c>
      <c r="D20" s="38" t="n">
        <f aca="false">Seg!$D$7+Seg!$D$9+Seg!$D$11+Seg!$D$13+Seg!$D$15+Seg!$D$17</f>
        <v>588.199</v>
      </c>
      <c r="E20" s="38" t="n">
        <f aca="false">Seg!$E$7+Seg!$E$9+Seg!$E$11+Seg!$E$13+Seg!$E$15+Seg!$E$17</f>
        <v>302.306</v>
      </c>
      <c r="F20" s="38" t="n">
        <f aca="false">Seg!$F$7+Seg!$F$9+Seg!$F$11+Seg!$F$13+Seg!$F$15+Seg!$F$17</f>
        <v>346.241042669046</v>
      </c>
      <c r="G20" s="38" t="n">
        <f aca="false">Seg!$G$7+Seg!$G$9+Seg!$G$11+Seg!$G$13+Seg!$G$15+Seg!$G$17</f>
        <v>648.547042669046</v>
      </c>
      <c r="H20" s="38" t="n">
        <f aca="false">Seg!$H$7+Seg!$H$9+Seg!$H$11+Seg!$H$13+Seg!$H$15+Seg!$H$17</f>
        <v>717.987755572166</v>
      </c>
      <c r="I20" s="38" t="n">
        <f aca="false">Seg!$I$7+Seg!$I$9+Seg!$I$11+Seg!$I$13+Seg!$I$15+Seg!$I$17</f>
        <v>785.128256321855</v>
      </c>
      <c r="J20" s="38" t="n">
        <f aca="false">Seg!$J$7+Seg!$J$9+Seg!$J$11+Seg!$J$13+Seg!$J$15+Seg!$J$17</f>
        <v>847.436303557948</v>
      </c>
      <c r="K20" s="38" t="n">
        <f aca="false">Seg!$K$7+Seg!$K$9+Seg!$K$11+Seg!$K$13+Seg!$K$15+Seg!$K$17</f>
        <v>902.266025835545</v>
      </c>
      <c r="L20" s="38" t="n">
        <f aca="false">Seg!$L$7+Seg!$L$9+Seg!$L$11+Seg!$L$13+Seg!$L$15+Seg!$L$17</f>
        <v>960.927633345679</v>
      </c>
      <c r="M20" s="38" t="n">
        <f aca="false">Seg!$M$7+Seg!$M$9+Seg!$M$11+Seg!$M$13+Seg!$M$15+Seg!$M$17</f>
        <v>1023.70941239323</v>
      </c>
      <c r="N20" s="38" t="n">
        <f aca="false">Seg!$N$7+Seg!$N$9+Seg!$N$11+Seg!$N$13+Seg!$N$15+Seg!$N$17</f>
        <v>263.229</v>
      </c>
      <c r="O20" s="38" t="n">
        <f aca="false">Seg!$O$7+Seg!$O$9+Seg!$O$11+Seg!$O$13+Seg!$O$15+Seg!$O$17</f>
        <v>324.97</v>
      </c>
    </row>
    <row r="21" customFormat="false" ht="17.15" hidden="false" customHeight="false" outlineLevel="0" collapsed="false">
      <c r="A21" s="5" t="s">
        <v>677</v>
      </c>
      <c r="B21" s="0" t="s">
        <v>52</v>
      </c>
      <c r="C21" s="13" t="n">
        <f aca="false">Q!$D$5/(Q!$D$5+Q!$D$6)</f>
        <v>0.730570905519011</v>
      </c>
      <c r="D21" s="13" t="n">
        <f aca="false">Q!$E$5/(Q!$E$5+Q!$E$6)</f>
        <v>0.724763217890544</v>
      </c>
      <c r="E21" s="13" t="n">
        <f aca="false">Q!$P$5/(Q!$P$5+Q!$P$6)</f>
        <v>0.728797972914861</v>
      </c>
      <c r="F21" s="13" t="n">
        <f aca="false">Seg!$O$21</f>
        <v>0.718066283041511</v>
      </c>
      <c r="G21" s="13" t="n">
        <f aca="false">Seg!$G$22/Seg!$G$20</f>
        <v>0.72306862523939</v>
      </c>
      <c r="H21" s="13" t="n">
        <f aca="false">Seg!$G$21</f>
        <v>0.72306862523939</v>
      </c>
      <c r="I21" s="13" t="n">
        <f aca="false">Seg!$G$21</f>
        <v>0.72306862523939</v>
      </c>
      <c r="J21" s="13" t="n">
        <f aca="false">Seg!$G$21</f>
        <v>0.72306862523939</v>
      </c>
      <c r="K21" s="13" t="n">
        <f aca="false">Seg!$G$21</f>
        <v>0.72306862523939</v>
      </c>
      <c r="L21" s="13" t="n">
        <f aca="false">Seg!$G$21</f>
        <v>0.72306862523939</v>
      </c>
      <c r="M21" s="13" t="n">
        <f aca="false">Seg!$G$21</f>
        <v>0.72306862523939</v>
      </c>
      <c r="N21" s="13" t="n">
        <f aca="false">Q!$N$5/(Q!$N$5+Q!$N$6)</f>
        <v>0.733030935041352</v>
      </c>
      <c r="O21" s="13" t="n">
        <f aca="false">Q!$O$5/(Q!$O$5+Q!$O$6)</f>
        <v>0.718066283041511</v>
      </c>
      <c r="P21" s="8" t="s">
        <v>678</v>
      </c>
    </row>
    <row r="22" customFormat="false" ht="17.15" hidden="false" customHeight="false" outlineLevel="0" collapsed="false">
      <c r="A22" s="1" t="s">
        <v>509</v>
      </c>
      <c r="B22" s="8" t="s">
        <v>86</v>
      </c>
      <c r="C22" s="38" t="n">
        <f aca="false">Q!$D$5</f>
        <v>387.497</v>
      </c>
      <c r="D22" s="38" t="n">
        <f aca="false">Q!$E$5</f>
        <v>426.305</v>
      </c>
      <c r="E22" s="38" t="n">
        <f aca="false">Q!$P$5</f>
        <v>220.32</v>
      </c>
      <c r="F22" s="38" t="n">
        <f aca="false">Seg!$F$20*Seg!$F$21</f>
        <v>248.624018545779</v>
      </c>
      <c r="G22" s="38" t="n">
        <f aca="false">Seg!$E$22+Seg!$F$22</f>
        <v>468.944018545779</v>
      </c>
      <c r="H22" s="38" t="n">
        <f aca="false">Seg!$H$20*Seg!$H$21</f>
        <v>519.154419360281</v>
      </c>
      <c r="I22" s="38" t="n">
        <f aca="false">Seg!$I$20*Seg!$I$21</f>
        <v>567.701608935243</v>
      </c>
      <c r="J22" s="38" t="n">
        <f aca="false">Seg!$J$20*Seg!$J$21</f>
        <v>612.754602991596</v>
      </c>
      <c r="K22" s="38" t="n">
        <f aca="false">Seg!$K$20*Seg!$K$21</f>
        <v>652.400254901116</v>
      </c>
      <c r="L22" s="38" t="n">
        <f aca="false">Seg!$L$20*Seg!$L$21</f>
        <v>694.816622797801</v>
      </c>
      <c r="M22" s="38" t="n">
        <f aca="false">Seg!$M$20*Seg!$M$21</f>
        <v>740.212157463797</v>
      </c>
      <c r="N22" s="38" t="n">
        <f aca="false">Q!$N$5</f>
        <v>192.955</v>
      </c>
      <c r="O22" s="38" t="n">
        <f aca="false">Q!$O$5</f>
        <v>233.35</v>
      </c>
      <c r="P22" s="5" t="s">
        <v>679</v>
      </c>
    </row>
    <row r="23" customFormat="false" ht="17.15" hidden="false" customHeight="false" outlineLevel="0" collapsed="false">
      <c r="A23" s="1" t="s">
        <v>512</v>
      </c>
      <c r="B23" s="8" t="s">
        <v>86</v>
      </c>
      <c r="C23" s="38" t="n">
        <f aca="false">Q!$D$6</f>
        <v>142.906</v>
      </c>
      <c r="D23" s="38" t="n">
        <f aca="false">Q!$E$6</f>
        <v>161.894</v>
      </c>
      <c r="E23" s="38" t="n">
        <f aca="false">Q!$P$6</f>
        <v>81.986</v>
      </c>
      <c r="F23" s="38" t="n">
        <f aca="false">Seg!$F$20*(1-Seg!$F$21)</f>
        <v>97.6170241232667</v>
      </c>
      <c r="G23" s="38" t="n">
        <f aca="false">Seg!$E$23+Seg!$F$23</f>
        <v>179.603024123267</v>
      </c>
      <c r="H23" s="38" t="n">
        <f aca="false">Seg!$H$20*(1-Seg!$H$21)</f>
        <v>198.833336211884</v>
      </c>
      <c r="I23" s="38" t="n">
        <f aca="false">Seg!$I$20*(1-Seg!$I$21)</f>
        <v>217.426647386612</v>
      </c>
      <c r="J23" s="38" t="n">
        <f aca="false">Seg!$J$20*(1-Seg!$J$21)</f>
        <v>234.681700566352</v>
      </c>
      <c r="K23" s="38" t="n">
        <f aca="false">Seg!$K$20*(1-Seg!$K$21)</f>
        <v>249.865770934429</v>
      </c>
      <c r="L23" s="38" t="n">
        <f aca="false">Seg!$L$20*(1-Seg!$L$21)</f>
        <v>266.111010547878</v>
      </c>
      <c r="M23" s="38" t="n">
        <f aca="false">Seg!$M$20*(1-Seg!$M$21)</f>
        <v>283.497254929433</v>
      </c>
      <c r="N23" s="38" t="n">
        <f aca="false">Q!$N$6</f>
        <v>70.274</v>
      </c>
      <c r="O23" s="38" t="n">
        <f aca="false">Q!$O$6</f>
        <v>91.62</v>
      </c>
      <c r="P23" s="5" t="s">
        <v>680</v>
      </c>
    </row>
    <row r="24" customFormat="false" ht="17.15" hidden="false" customHeight="false" outlineLevel="0" collapsed="false">
      <c r="A24" s="5" t="s">
        <v>681</v>
      </c>
      <c r="B24" s="0" t="s">
        <v>86</v>
      </c>
      <c r="C24" s="38" t="n">
        <f aca="false">Seg!$C$13*Seg!$C$21</f>
        <v>41.0683128828457</v>
      </c>
      <c r="D24" s="38" t="n">
        <f aca="false">Seg!$D$13*Seg!$D$21</f>
        <v>49.7441234599175</v>
      </c>
      <c r="E24" s="38" t="n">
        <f aca="false">Seg!$E$13*Seg!$E$21</f>
        <v>27.0034224924414</v>
      </c>
      <c r="F24" s="38" t="n">
        <f aca="false">Seg!$F$13*Seg!$F$21</f>
        <v>32.8773866989275</v>
      </c>
      <c r="G24" s="38" t="n">
        <f aca="false">Seg!$G$13*Seg!$G$21</f>
        <v>59.8975626680848</v>
      </c>
      <c r="H24" s="38" t="n">
        <f aca="false">Seg!$H$13*Seg!$H$21</f>
        <v>71.9100843110819</v>
      </c>
      <c r="I24" s="38" t="n">
        <f aca="false">Seg!$I$13*Seg!$I$21</f>
        <v>83.9215177778191</v>
      </c>
      <c r="J24" s="38" t="n">
        <f aca="false">Seg!$J$13*Seg!$J$21</f>
        <v>95.1264696600631</v>
      </c>
      <c r="K24" s="38" t="n">
        <f aca="false">Seg!$K$13*Seg!$K$21</f>
        <v>104.639116626069</v>
      </c>
      <c r="L24" s="38" t="n">
        <f aca="false">Seg!$L$13*Seg!$L$21</f>
        <v>115.103028288676</v>
      </c>
      <c r="M24" s="38" t="n">
        <f aca="false">Seg!$M$13*Seg!$M$21</f>
        <v>126.613331117544</v>
      </c>
      <c r="N24" s="38" t="n">
        <f aca="false">Seg!$N$13*Seg!$N$21</f>
        <v>21.7087111412496</v>
      </c>
      <c r="O24" s="38" t="n">
        <f aca="false">Seg!$O$13*Seg!$O$21</f>
        <v>28.0189463642798</v>
      </c>
      <c r="P24" s="5" t="s">
        <v>682</v>
      </c>
    </row>
    <row r="25" customFormat="false" ht="15" hidden="false" customHeight="false" outlineLevel="0" collapsed="false">
      <c r="A25" s="5" t="s">
        <v>683</v>
      </c>
      <c r="B25" s="0" t="s">
        <v>86</v>
      </c>
      <c r="C25" s="38" t="n">
        <f aca="false">Seg!$C$13-Seg!$C$24</f>
        <v>15.1456871171543</v>
      </c>
      <c r="D25" s="38" t="n">
        <f aca="false">Seg!$D$13-Seg!$D$24</f>
        <v>18.8908765400825</v>
      </c>
      <c r="E25" s="38" t="n">
        <f aca="false">Seg!$E$13-Seg!$E$24</f>
        <v>10.0485775075586</v>
      </c>
      <c r="F25" s="38" t="n">
        <f aca="false">Seg!$F$13-Seg!$F$24</f>
        <v>12.9086186816188</v>
      </c>
      <c r="G25" s="38" t="n">
        <f aca="false">Seg!$G$13-Seg!$G$24</f>
        <v>22.9404427124615</v>
      </c>
      <c r="H25" s="38" t="n">
        <f aca="false">Seg!$H$13-Seg!$H$24</f>
        <v>27.5411735654084</v>
      </c>
      <c r="I25" s="38" t="n">
        <f aca="false">Seg!$I$13-Seg!$I$24</f>
        <v>32.1414876527301</v>
      </c>
      <c r="J25" s="38" t="n">
        <f aca="false">Seg!$J$13-Seg!$J$24</f>
        <v>36.4329236528041</v>
      </c>
      <c r="K25" s="38" t="n">
        <f aca="false">Seg!$K$13-Seg!$K$24</f>
        <v>40.0762160180845</v>
      </c>
      <c r="L25" s="38" t="n">
        <f aca="false">Seg!$L$13-Seg!$L$24</f>
        <v>44.0838376198929</v>
      </c>
      <c r="M25" s="38" t="n">
        <f aca="false">Seg!$M$13-Seg!$M$24</f>
        <v>48.4922213818822</v>
      </c>
      <c r="N25" s="38" t="n">
        <f aca="false">Seg!$N$13-Seg!$N$24</f>
        <v>7.90628885875037</v>
      </c>
      <c r="O25" s="38" t="n">
        <f aca="false">Seg!$O$13-Seg!$O$24</f>
        <v>11.0010536357202</v>
      </c>
    </row>
    <row r="26" customFormat="false" ht="17.15" hidden="false" customHeight="false" outlineLevel="0" collapsed="false">
      <c r="A26" s="1" t="s">
        <v>684</v>
      </c>
    </row>
    <row r="27" customFormat="false" ht="17.15" hidden="false" customHeight="false" outlineLevel="0" collapsed="false">
      <c r="A27" s="0" t="s">
        <v>685</v>
      </c>
      <c r="B27" s="0" t="s">
        <v>86</v>
      </c>
      <c r="C27" s="38" t="n">
        <f aca="false">Thesis!$C$26</f>
        <v>2.32100535697364</v>
      </c>
      <c r="D27" s="38" t="n">
        <f aca="false">Thesis!$D$26</f>
        <v>8.70377008865116</v>
      </c>
      <c r="E27" s="38" t="n">
        <f aca="false">Thesis!$E$26</f>
        <v>8.51035297557002</v>
      </c>
      <c r="F27" s="38" t="n">
        <f aca="false">Thesis!$F$26</f>
        <v>17.7706326212121</v>
      </c>
      <c r="G27" s="38" t="n">
        <f aca="false">Thesis!$G$26</f>
        <v>26.2809855967821</v>
      </c>
      <c r="H27" s="38" t="n">
        <f aca="false">Thesis!$H$26</f>
        <v>83.0838740066237</v>
      </c>
      <c r="I27" s="38" t="n">
        <f aca="false">Thesis!$I$26</f>
        <v>148.076291961995</v>
      </c>
      <c r="J27" s="38" t="n">
        <f aca="false">Thesis!$J$26</f>
        <v>213.357841875822</v>
      </c>
      <c r="K27" s="38" t="n">
        <f aca="false">Thesis!$K$26</f>
        <v>269.045375153221</v>
      </c>
      <c r="L27" s="38" t="n">
        <f aca="false">Thesis!$L$26</f>
        <v>305.631872447328</v>
      </c>
      <c r="M27" s="38" t="n">
        <f aca="false">Thesis!$M$26</f>
        <v>323.07028840797</v>
      </c>
      <c r="N27" s="38" t="n">
        <f aca="false">Thesis!$N$26</f>
        <v>3.04631953102791</v>
      </c>
      <c r="O27" s="38" t="n">
        <f aca="false">Thesis!$O$26</f>
        <v>5.65745055762326</v>
      </c>
      <c r="P27" s="8" t="s">
        <v>686</v>
      </c>
    </row>
    <row r="28" customFormat="false" ht="17.15" hidden="false" customHeight="false" outlineLevel="0" collapsed="false">
      <c r="A28" s="0" t="s">
        <v>687</v>
      </c>
      <c r="B28" s="0" t="s">
        <v>86</v>
      </c>
      <c r="C28" s="38" t="n">
        <f aca="false">Thesis!$C$30</f>
        <v>105.234994643026</v>
      </c>
      <c r="D28" s="38" t="n">
        <f aca="false">Thesis!$D$30</f>
        <v>120.021229911349</v>
      </c>
      <c r="E28" s="38" t="n">
        <f aca="false">Thesis!$E$30</f>
        <v>71.30864702443</v>
      </c>
      <c r="F28" s="38" t="n">
        <f aca="false">Thesis!$F$30</f>
        <v>71.7692997942464</v>
      </c>
      <c r="G28" s="38" t="n">
        <f aca="false">Thesis!$G$30</f>
        <v>143.077946818676</v>
      </c>
      <c r="H28" s="38" t="n">
        <f aca="false">Thesis!$H$30</f>
        <v>161.017077079203</v>
      </c>
      <c r="I28" s="38" t="n">
        <f aca="false">Thesis!$I$30</f>
        <v>178.769759521457</v>
      </c>
      <c r="J28" s="38" t="n">
        <f aca="false">Thesis!$J$30</f>
        <v>195.775538045907</v>
      </c>
      <c r="K28" s="38" t="n">
        <f aca="false">Thesis!$K$30</f>
        <v>211.43758108958</v>
      </c>
      <c r="L28" s="38" t="n">
        <f aca="false">Thesis!$L$30</f>
        <v>228.352587576746</v>
      </c>
      <c r="M28" s="38" t="n">
        <f aca="false">Thesis!$M$30</f>
        <v>246.620794582886</v>
      </c>
      <c r="N28" s="38" t="n">
        <f aca="false">Thesis!$N$30</f>
        <v>57.0936804689721</v>
      </c>
      <c r="O28" s="38" t="n">
        <f aca="false">Thesis!$O$30</f>
        <v>62.9275494423768</v>
      </c>
      <c r="P28" s="8" t="s">
        <v>686</v>
      </c>
    </row>
    <row r="29" customFormat="false" ht="17.15" hidden="false" customHeight="false" outlineLevel="0" collapsed="false">
      <c r="A29" s="1" t="s">
        <v>513</v>
      </c>
      <c r="B29" s="8" t="s">
        <v>86</v>
      </c>
      <c r="C29" s="38" t="n">
        <f aca="false">Q!$D$7</f>
        <v>107.556</v>
      </c>
      <c r="D29" s="38" t="n">
        <f aca="false">Q!$E$7</f>
        <v>128.725</v>
      </c>
      <c r="E29" s="38" t="n">
        <f aca="false">Q!$P$7</f>
        <v>79.819</v>
      </c>
      <c r="F29" s="38" t="n">
        <f aca="false">Seg!$F$27+Seg!$F$28</f>
        <v>89.5399324154585</v>
      </c>
      <c r="G29" s="38" t="n">
        <f aca="false">Seg!$G$27+Seg!$G$28</f>
        <v>169.358932415459</v>
      </c>
      <c r="H29" s="38" t="n">
        <f aca="false">Seg!$H$27+Seg!$H$28</f>
        <v>244.100951085827</v>
      </c>
      <c r="I29" s="38" t="n">
        <f aca="false">Seg!$I$27+Seg!$I$28</f>
        <v>326.846051483453</v>
      </c>
      <c r="J29" s="38" t="n">
        <f aca="false">Seg!$J$27+Seg!$J$28</f>
        <v>409.133379921729</v>
      </c>
      <c r="K29" s="38" t="n">
        <f aca="false">Seg!$K$27+Seg!$K$28</f>
        <v>480.482956242801</v>
      </c>
      <c r="L29" s="38" t="n">
        <f aca="false">Seg!$L$27+Seg!$L$28</f>
        <v>533.984460024075</v>
      </c>
      <c r="M29" s="38" t="n">
        <f aca="false">Seg!$M$27+Seg!$M$28</f>
        <v>569.691082990856</v>
      </c>
      <c r="N29" s="38" t="n">
        <f aca="false">Q!$N$7</f>
        <v>60.14</v>
      </c>
      <c r="O29" s="38" t="n">
        <f aca="false">Q!$O$7</f>
        <v>68.585</v>
      </c>
      <c r="P29" s="5" t="s">
        <v>688</v>
      </c>
    </row>
    <row r="30" customFormat="false" ht="15" hidden="false" customHeight="false" outlineLevel="0" collapsed="false">
      <c r="A30" s="3" t="s">
        <v>689</v>
      </c>
      <c r="B30" s="8" t="s">
        <v>86</v>
      </c>
      <c r="C30" s="38" t="n">
        <f aca="false">Q!$D$8</f>
        <v>637.959</v>
      </c>
      <c r="D30" s="38" t="n">
        <f aca="false">Q!$E$8</f>
        <v>716.924</v>
      </c>
      <c r="E30" s="38" t="n">
        <f aca="false">Q!$P$8</f>
        <v>382.125</v>
      </c>
      <c r="F30" s="38" t="n">
        <f aca="false">Seg!$F$20+Seg!$F$29</f>
        <v>435.780975084504</v>
      </c>
      <c r="G30" s="38" t="n">
        <f aca="false">Seg!$G$20+Seg!$G$29</f>
        <v>817.905975084504</v>
      </c>
      <c r="H30" s="38" t="n">
        <f aca="false">Seg!$H$20+Seg!$H$29</f>
        <v>962.088706657993</v>
      </c>
      <c r="I30" s="38" t="n">
        <f aca="false">Seg!$I$20+Seg!$I$29</f>
        <v>1111.97430780531</v>
      </c>
      <c r="J30" s="38" t="n">
        <f aca="false">Seg!$J$20+Seg!$J$29</f>
        <v>1256.56968347968</v>
      </c>
      <c r="K30" s="38" t="n">
        <f aca="false">Seg!$K$20+Seg!$K$29</f>
        <v>1382.74898207835</v>
      </c>
      <c r="L30" s="38" t="n">
        <f aca="false">Seg!$L$20+Seg!$L$29</f>
        <v>1494.91209336975</v>
      </c>
      <c r="M30" s="38" t="n">
        <f aca="false">Seg!$M$20+Seg!$M$29</f>
        <v>1593.40049538409</v>
      </c>
      <c r="N30" s="38" t="n">
        <f aca="false">Q!$N$8</f>
        <v>323.369</v>
      </c>
      <c r="O30" s="38" t="n">
        <f aca="false">Q!$O$8</f>
        <v>393.555</v>
      </c>
    </row>
    <row r="31" customFormat="false" ht="17.15" hidden="false" customHeight="false" outlineLevel="0" collapsed="false">
      <c r="A31" s="24" t="s">
        <v>690</v>
      </c>
      <c r="B31" s="25" t="s">
        <v>86</v>
      </c>
      <c r="C31" s="41" t="n">
        <f aca="false">Seg!$C$20-(Seg!$C$22+Seg!$C$23)</f>
        <v>0</v>
      </c>
      <c r="D31" s="41" t="n">
        <f aca="false">Seg!$D$20-(Seg!$D$22+Seg!$D$23)</f>
        <v>0</v>
      </c>
      <c r="E31" s="41" t="n">
        <f aca="false">Seg!$E$20-(Seg!$E$22+Seg!$E$23)</f>
        <v>0</v>
      </c>
      <c r="F31" s="41" t="n">
        <f aca="false">Seg!$F$20-(Seg!$F$22+Seg!$F$23)</f>
        <v>0</v>
      </c>
      <c r="G31" s="41" t="n">
        <f aca="false">Seg!$G$20-(Seg!$G$22+Seg!$G$23)</f>
        <v>0</v>
      </c>
      <c r="H31" s="41" t="n">
        <f aca="false">Seg!$H$20-(Seg!$H$22+Seg!$H$23)</f>
        <v>0</v>
      </c>
      <c r="I31" s="41" t="n">
        <f aca="false">Seg!$I$20-(Seg!$I$22+Seg!$I$23)</f>
        <v>0</v>
      </c>
      <c r="J31" s="41" t="n">
        <f aca="false">Seg!$J$20-(Seg!$J$22+Seg!$J$23)</f>
        <v>0</v>
      </c>
      <c r="K31" s="41" t="n">
        <f aca="false">Seg!$K$20-(Seg!$K$22+Seg!$K$23)</f>
        <v>0</v>
      </c>
      <c r="L31" s="41" t="n">
        <f aca="false">Seg!$L$20-(Seg!$L$22+Seg!$L$23)</f>
        <v>0</v>
      </c>
      <c r="M31" s="41" t="n">
        <f aca="false">Seg!$M$20-(Seg!$M$22+Seg!$M$23)</f>
        <v>0</v>
      </c>
      <c r="N31" s="41" t="n">
        <f aca="false">Seg!$N$20-(Seg!$N$22+Seg!$N$23)</f>
        <v>0</v>
      </c>
      <c r="O31" s="41" t="n">
        <f aca="false">Seg!$O$20-(Seg!$O$22+Seg!$O$23)</f>
        <v>0</v>
      </c>
    </row>
    <row r="32" customFormat="false" ht="17.15" hidden="false" customHeight="false" outlineLevel="0" collapsed="false">
      <c r="A32" s="24" t="s">
        <v>691</v>
      </c>
      <c r="B32" s="25" t="s">
        <v>86</v>
      </c>
      <c r="C32" s="41" t="n">
        <f aca="false">Seg!$C$27+Seg!$C$28-Seg!$C$29</f>
        <v>0</v>
      </c>
      <c r="D32" s="41" t="n">
        <f aca="false">Seg!$D$27+Seg!$D$28-Seg!$D$29</f>
        <v>0</v>
      </c>
      <c r="E32" s="41" t="n">
        <f aca="false">Seg!$E$27+Seg!$E$28-Seg!$E$29</f>
        <v>0</v>
      </c>
      <c r="F32" s="41" t="n">
        <f aca="false">Seg!$F$27+Seg!$F$28-Seg!$F$29</f>
        <v>0</v>
      </c>
      <c r="G32" s="41" t="n">
        <f aca="false">Seg!$G$27+Seg!$G$28-Seg!$G$29</f>
        <v>0</v>
      </c>
      <c r="H32" s="41" t="n">
        <f aca="false">Seg!$H$27+Seg!$H$28-Seg!$H$29</f>
        <v>0</v>
      </c>
      <c r="I32" s="41" t="n">
        <f aca="false">Seg!$I$27+Seg!$I$28-Seg!$I$29</f>
        <v>0</v>
      </c>
      <c r="J32" s="41" t="n">
        <f aca="false">Seg!$J$27+Seg!$J$28-Seg!$J$29</f>
        <v>0</v>
      </c>
      <c r="K32" s="41" t="n">
        <f aca="false">Seg!$K$27+Seg!$K$28-Seg!$K$29</f>
        <v>0</v>
      </c>
      <c r="L32" s="41" t="n">
        <f aca="false">Seg!$L$27+Seg!$L$28-Seg!$L$29</f>
        <v>0</v>
      </c>
      <c r="M32" s="41" t="n">
        <f aca="false">Seg!$M$27+Seg!$M$28-Seg!$M$29</f>
        <v>0</v>
      </c>
      <c r="N32" s="41" t="n">
        <f aca="false">Seg!$N$27+Seg!$N$28-Seg!$N$29</f>
        <v>0</v>
      </c>
      <c r="O32" s="41" t="n">
        <f aca="false">Seg!$O$27+Seg!$O$28-Seg!$O$29</f>
        <v>0</v>
      </c>
    </row>
    <row r="33" customFormat="false" ht="17.15" hidden="false" customHeight="false" outlineLevel="0" collapsed="false">
      <c r="A33" s="24" t="s">
        <v>692</v>
      </c>
      <c r="B33" s="25" t="s">
        <v>86</v>
      </c>
      <c r="C33" s="41" t="n">
        <f aca="false">Seg!$C$22+Seg!$C$23+Seg!$C$29-Seg!$C$30</f>
        <v>0</v>
      </c>
      <c r="D33" s="41" t="n">
        <f aca="false">Seg!$D$22+Seg!$D$23+Seg!$D$29-Seg!$D$30</f>
        <v>0</v>
      </c>
      <c r="E33" s="41" t="n">
        <f aca="false">Seg!$E$22+Seg!$E$23+Seg!$E$29-Seg!$E$30</f>
        <v>0</v>
      </c>
      <c r="F33" s="41" t="n">
        <f aca="false">Seg!$F$22+Seg!$F$23+Seg!$F$29-Seg!$F$30</f>
        <v>0</v>
      </c>
      <c r="G33" s="41" t="n">
        <f aca="false">Seg!$G$22+Seg!$G$23+Seg!$G$29-Seg!$G$30</f>
        <v>0</v>
      </c>
      <c r="H33" s="41" t="n">
        <f aca="false">Seg!$H$22+Seg!$H$23+Seg!$H$29-Seg!$H$30</f>
        <v>0</v>
      </c>
      <c r="I33" s="41" t="n">
        <f aca="false">Seg!$I$22+Seg!$I$23+Seg!$I$29-Seg!$I$30</f>
        <v>0</v>
      </c>
      <c r="J33" s="41" t="n">
        <f aca="false">Seg!$J$22+Seg!$J$23+Seg!$J$29-Seg!$J$30</f>
        <v>0</v>
      </c>
      <c r="K33" s="41" t="n">
        <f aca="false">Seg!$K$22+Seg!$K$23+Seg!$K$29-Seg!$K$30</f>
        <v>0</v>
      </c>
      <c r="L33" s="41" t="n">
        <f aca="false">Seg!$L$22+Seg!$L$23+Seg!$L$29-Seg!$L$30</f>
        <v>0</v>
      </c>
      <c r="M33" s="41" t="n">
        <f aca="false">Seg!$M$22+Seg!$M$23+Seg!$M$29-Seg!$M$30</f>
        <v>0</v>
      </c>
      <c r="N33" s="41" t="n">
        <f aca="false">Seg!$N$22+Seg!$N$23+Seg!$N$29-Seg!$N$30</f>
        <v>0</v>
      </c>
      <c r="O33" s="41" t="n">
        <f aca="false">Seg!$O$22+Seg!$O$23+Seg!$O$29-Seg!$O$30</f>
        <v>0</v>
      </c>
    </row>
    <row r="34" customFormat="false" ht="15" hidden="false" customHeight="false" outlineLevel="0" collapsed="false">
      <c r="A34" s="5" t="s">
        <v>693</v>
      </c>
      <c r="B34" s="0" t="s">
        <v>52</v>
      </c>
      <c r="G34" s="13" t="n">
        <f aca="false">Seg!$G$30/Seg!$D$30-1</f>
        <v>0.140854504918937</v>
      </c>
      <c r="H34" s="13" t="n">
        <f aca="false">Seg!$H$30/Seg!$G$30-1</f>
        <v>0.176282770838778</v>
      </c>
      <c r="I34" s="13" t="n">
        <f aca="false">Seg!$I$30/Seg!$H$30-1</f>
        <v>0.155791872526986</v>
      </c>
      <c r="J34" s="13" t="n">
        <f aca="false">Seg!$J$30/Seg!$I$30-1</f>
        <v>0.130034817045149</v>
      </c>
      <c r="K34" s="13" t="n">
        <f aca="false">Seg!$K$30/Seg!$J$30-1</f>
        <v>0.100415679494395</v>
      </c>
      <c r="L34" s="13" t="n">
        <f aca="false">Seg!$L$30/Seg!$K$30-1</f>
        <v>0.0811160324434446</v>
      </c>
      <c r="M34" s="13" t="n">
        <f aca="false">Seg!$M$30/Seg!$L$30-1</f>
        <v>0.0658824036885839</v>
      </c>
    </row>
    <row r="35" customFormat="false" ht="17.15" hidden="false" customHeight="false" outlineLevel="0" collapsed="false">
      <c r="A35" s="0" t="s">
        <v>694</v>
      </c>
      <c r="B35" s="0" t="s">
        <v>52</v>
      </c>
      <c r="C35" s="13" t="n">
        <f aca="false">Seg!$C$29/Seg!$C$30</f>
        <v>0.168593906504964</v>
      </c>
      <c r="D35" s="13" t="n">
        <f aca="false">Seg!$D$29/Seg!$D$30</f>
        <v>0.179551807444025</v>
      </c>
      <c r="E35" s="13" t="n">
        <f aca="false">Seg!$E$29/Seg!$E$30</f>
        <v>0.208881910369643</v>
      </c>
      <c r="F35" s="13" t="n">
        <f aca="false">Seg!$F$29/Seg!$F$30</f>
        <v>0.205470035487656</v>
      </c>
      <c r="G35" s="13" t="n">
        <f aca="false">Seg!$G$29/Seg!$G$30</f>
        <v>0.207064060631127</v>
      </c>
      <c r="H35" s="13" t="n">
        <f aca="false">Seg!$H$29/Seg!$H$30</f>
        <v>0.253719796726188</v>
      </c>
      <c r="I35" s="13" t="n">
        <f aca="false">Seg!$I$29/Seg!$I$30</f>
        <v>0.293933096465642</v>
      </c>
      <c r="J35" s="13" t="n">
        <f aca="false">Seg!$J$29/Seg!$J$30</f>
        <v>0.325595456663225</v>
      </c>
      <c r="K35" s="13" t="n">
        <f aca="false">Seg!$K$29/Seg!$K$30</f>
        <v>0.347483861836303</v>
      </c>
      <c r="L35" s="13" t="n">
        <f aca="false">Seg!$L$29/Seg!$L$30</f>
        <v>0.357201244402535</v>
      </c>
      <c r="M35" s="13" t="n">
        <f aca="false">Seg!$M$29/Seg!$M$30</f>
        <v>0.357531634163031</v>
      </c>
      <c r="N35" s="13" t="n">
        <f aca="false">Seg!$N$29/Seg!$N$30</f>
        <v>0.185979484737251</v>
      </c>
      <c r="O35" s="13" t="n">
        <f aca="false">Seg!$O$29/Seg!$O$30</f>
        <v>0.174270432341096</v>
      </c>
    </row>
    <row r="36" customFormat="false" ht="17.15" hidden="false" customHeight="false" outlineLevel="0" collapsed="false">
      <c r="A36" s="0" t="s">
        <v>695</v>
      </c>
      <c r="B36" s="0" t="s">
        <v>52</v>
      </c>
      <c r="C36" s="13" t="n">
        <f aca="false">Seg!$C$27/Seg!$C$29</f>
        <v>0.0215795060896058</v>
      </c>
      <c r="D36" s="13" t="n">
        <f aca="false">Seg!$D$27/Seg!$D$29</f>
        <v>0.0676152269462122</v>
      </c>
      <c r="E36" s="13" t="n">
        <f aca="false">Seg!$E$27/Seg!$E$29</f>
        <v>0.106620641395783</v>
      </c>
      <c r="F36" s="13" t="n">
        <f aca="false">Seg!$F$27/Seg!$F$29</f>
        <v>0.198466004405249</v>
      </c>
      <c r="G36" s="13" t="n">
        <f aca="false">Seg!$G$27/Seg!$G$29</f>
        <v>0.155179211524029</v>
      </c>
      <c r="H36" s="13" t="n">
        <f aca="false">Seg!$H$27/Seg!$H$29</f>
        <v>0.340366859027153</v>
      </c>
      <c r="I36" s="13" t="n">
        <f aca="false">Seg!$I$27/Seg!$I$29</f>
        <v>0.453045986910116</v>
      </c>
      <c r="J36" s="13" t="n">
        <f aca="false">Seg!$J$27/Seg!$J$29</f>
        <v>0.521487251704174</v>
      </c>
      <c r="K36" s="13" t="n">
        <f aca="false">Seg!$K$27/Seg!$K$29</f>
        <v>0.559947801805618</v>
      </c>
      <c r="L36" s="13" t="n">
        <f aca="false">Seg!$L$27/Seg!$L$29</f>
        <v>0.572360986747721</v>
      </c>
      <c r="M36" s="13" t="n">
        <f aca="false">Seg!$M$27/Seg!$M$29</f>
        <v>0.567097323538686</v>
      </c>
      <c r="N36" s="13" t="n">
        <f aca="false">Seg!$N$27/Seg!$N$29</f>
        <v>0.0506537999838362</v>
      </c>
      <c r="O36" s="13" t="n">
        <f aca="false">Seg!$O$27/Seg!$O$29</f>
        <v>0.0824881615167056</v>
      </c>
    </row>
    <row r="39" customFormat="false" ht="19.4" hidden="false" customHeight="false" outlineLevel="0" collapsed="false">
      <c r="A39" s="31" t="s">
        <v>696</v>
      </c>
    </row>
    <row r="40" customFormat="false" ht="17.15" hidden="false" customHeight="false" outlineLevel="0" collapsed="false">
      <c r="A40" s="6" t="s">
        <v>16</v>
      </c>
      <c r="B40" s="6" t="s">
        <v>17</v>
      </c>
      <c r="C40" s="20" t="s">
        <v>494</v>
      </c>
      <c r="D40" s="20" t="s">
        <v>495</v>
      </c>
      <c r="E40" s="20" t="s">
        <v>577</v>
      </c>
      <c r="F40" s="20" t="s">
        <v>578</v>
      </c>
      <c r="G40" s="20" t="s">
        <v>579</v>
      </c>
      <c r="H40" s="20" t="s">
        <v>580</v>
      </c>
      <c r="I40" s="20" t="s">
        <v>581</v>
      </c>
      <c r="J40" s="20" t="s">
        <v>582</v>
      </c>
      <c r="K40" s="20" t="s">
        <v>583</v>
      </c>
      <c r="L40" s="20" t="s">
        <v>584</v>
      </c>
      <c r="M40" s="20" t="s">
        <v>585</v>
      </c>
      <c r="N40" s="20" t="s">
        <v>586</v>
      </c>
      <c r="O40" s="20" t="s">
        <v>587</v>
      </c>
      <c r="P40" s="6" t="s">
        <v>23</v>
      </c>
      <c r="R40" s="20" t="n">
        <v>2023</v>
      </c>
      <c r="S40" s="20" t="n">
        <v>2024</v>
      </c>
      <c r="T40" s="20" t="n">
        <v>2025</v>
      </c>
      <c r="U40" s="20" t="n">
        <v>2026</v>
      </c>
      <c r="V40" s="20" t="n">
        <v>2027</v>
      </c>
      <c r="W40" s="20" t="n">
        <v>2028</v>
      </c>
      <c r="X40" s="20" t="n">
        <v>2029</v>
      </c>
      <c r="Y40" s="20" t="n">
        <v>2030</v>
      </c>
      <c r="Z40" s="20" t="n">
        <v>2031</v>
      </c>
      <c r="AA40" s="20" t="n">
        <v>2032</v>
      </c>
    </row>
    <row r="41" customFormat="false" ht="17.15" hidden="false" customHeight="false" outlineLevel="0" collapsed="false">
      <c r="A41" s="1" t="s">
        <v>660</v>
      </c>
    </row>
    <row r="42" customFormat="false" ht="17.15" hidden="false" customHeight="false" outlineLevel="0" collapsed="false">
      <c r="A42" s="0" t="s">
        <v>516</v>
      </c>
      <c r="B42" s="0" t="s">
        <v>86</v>
      </c>
      <c r="C42" s="38" t="n">
        <f aca="false">Q!$D$10</f>
        <v>247.029</v>
      </c>
      <c r="D42" s="38" t="n">
        <f aca="false">Q!$E$10</f>
        <v>269.287</v>
      </c>
      <c r="E42" s="38" t="n">
        <f aca="false">Q!$P$10</f>
        <v>134.686</v>
      </c>
      <c r="F42" s="38" t="n">
        <f aca="false">Seg!$O$42*(1+Seg!$F$43)*Seg!$F$54</f>
        <v>158.293876822267</v>
      </c>
      <c r="G42" s="38" t="n">
        <f aca="false">Seg!$E$42+Seg!$F$42</f>
        <v>292.979876822267</v>
      </c>
      <c r="H42" s="38" t="n">
        <f aca="false">Seg!$G$42*(1+Seg!$H$43)</f>
        <v>318.184543087396</v>
      </c>
      <c r="I42" s="38" t="n">
        <f aca="false">Seg!$H$42*(1+Seg!$I$43)</f>
        <v>341.736278761793</v>
      </c>
      <c r="J42" s="38" t="n">
        <f aca="false">Seg!$I$42*(1+Seg!$J$43)</f>
        <v>362.927192787048</v>
      </c>
      <c r="K42" s="38" t="n">
        <f aca="false">Seg!$J$42*(1+Seg!$K$43)</f>
        <v>381.0735524264</v>
      </c>
      <c r="L42" s="38" t="n">
        <f aca="false">Seg!$K$42*(1+Seg!$L$43)</f>
        <v>400.12723004772</v>
      </c>
      <c r="M42" s="38" t="n">
        <f aca="false">Seg!$L$42*(1+Seg!$M$43)</f>
        <v>420.133591550106</v>
      </c>
      <c r="N42" s="38" t="n">
        <f aca="false">Q!$N$10</f>
        <v>118.892</v>
      </c>
      <c r="O42" s="38" t="n">
        <f aca="false">Q!$O$10</f>
        <v>150.395</v>
      </c>
      <c r="P42" s="8" t="s">
        <v>661</v>
      </c>
    </row>
    <row r="43" customFormat="false" ht="17.15" hidden="false" customHeight="false" outlineLevel="0" collapsed="false">
      <c r="A43" s="0" t="s">
        <v>662</v>
      </c>
      <c r="B43" s="0" t="s">
        <v>52</v>
      </c>
      <c r="E43" s="13" t="n">
        <f aca="false">Seg!$E$42/Seg!$N$42-1</f>
        <v>0.132843252699929</v>
      </c>
      <c r="F43" s="13" t="n">
        <f aca="false">Seg!$O$42/(Q!$F$10+Q!$G$10)-1</f>
        <v>0.0980382135842941</v>
      </c>
      <c r="G43" s="13" t="n">
        <f aca="false">Seg!$G$42/Seg!$D$42-1</f>
        <v>0.0879837378791657</v>
      </c>
      <c r="H43" s="13" t="n">
        <f aca="false">Seg!$F$43+(g_os-Seg!$F$43)*1/4</f>
        <v>0.0860286601882206</v>
      </c>
      <c r="I43" s="13" t="n">
        <f aca="false">Seg!$F$43+(g_os-Seg!$F$43)*2/4</f>
        <v>0.074019106792147</v>
      </c>
      <c r="J43" s="13" t="n">
        <f aca="false">Seg!$F$43+(g_os-Seg!$F$43)*3/4</f>
        <v>0.0620095533960735</v>
      </c>
      <c r="K43" s="13" t="n">
        <f aca="false">Seg!$F$43+(g_os-Seg!$F$43)*4/4</f>
        <v>0.05</v>
      </c>
      <c r="L43" s="13" t="n">
        <f aca="false">g_os</f>
        <v>0.05</v>
      </c>
      <c r="M43" s="13" t="n">
        <f aca="false">g_os</f>
        <v>0.05</v>
      </c>
      <c r="P43" s="8" t="s">
        <v>663</v>
      </c>
    </row>
    <row r="44" customFormat="false" ht="17.15" hidden="false" customHeight="false" outlineLevel="0" collapsed="false">
      <c r="A44" s="0" t="s">
        <v>517</v>
      </c>
      <c r="B44" s="0" t="s">
        <v>86</v>
      </c>
      <c r="C44" s="38" t="n">
        <f aca="false">Q!$D$11</f>
        <v>21.215</v>
      </c>
      <c r="D44" s="38" t="n">
        <f aca="false">Q!$E$11</f>
        <v>22.561</v>
      </c>
      <c r="E44" s="38" t="n">
        <f aca="false">Q!$P$11</f>
        <v>11.579</v>
      </c>
      <c r="F44" s="38" t="n">
        <f aca="false">Seg!$O$44*(1+Seg!$F$45)*Seg!$F$54</f>
        <v>11.5938724610325</v>
      </c>
      <c r="G44" s="38" t="n">
        <f aca="false">Seg!$E$44+Seg!$F$44</f>
        <v>23.1728724610325</v>
      </c>
      <c r="H44" s="38" t="n">
        <f aca="false">Seg!$G$44*(1+Seg!$H$45)</f>
        <v>24.353392759506</v>
      </c>
      <c r="I44" s="38" t="n">
        <f aca="false">Seg!$H$44*(1+Seg!$I$45)</f>
        <v>25.4240338872015</v>
      </c>
      <c r="J44" s="38" t="n">
        <f aca="false">Seg!$I$44*(1+Seg!$J$45)</f>
        <v>26.3642491017174</v>
      </c>
      <c r="K44" s="38" t="n">
        <f aca="false">Seg!$J$44*(1+Seg!$K$45)</f>
        <v>27.155176574769</v>
      </c>
      <c r="L44" s="38" t="n">
        <f aca="false">Seg!$K$44*(1+Seg!$L$45)</f>
        <v>27.969831872012</v>
      </c>
      <c r="M44" s="38" t="n">
        <f aca="false">Seg!$L$44*(1+Seg!$M$45)</f>
        <v>28.8089268281724</v>
      </c>
      <c r="N44" s="38" t="n">
        <f aca="false">Q!$N$11</f>
        <v>11.128</v>
      </c>
      <c r="O44" s="38" t="n">
        <f aca="false">Q!$O$11</f>
        <v>11.433</v>
      </c>
      <c r="P44" s="8" t="s">
        <v>661</v>
      </c>
    </row>
    <row r="45" customFormat="false" ht="17.15" hidden="false" customHeight="false" outlineLevel="0" collapsed="false">
      <c r="A45" s="0" t="s">
        <v>664</v>
      </c>
      <c r="B45" s="0" t="s">
        <v>52</v>
      </c>
      <c r="E45" s="13" t="n">
        <f aca="false">Seg!$E$44/Seg!$N$44-1</f>
        <v>0.0405283968368082</v>
      </c>
      <c r="F45" s="13" t="n">
        <f aca="false">Seg!$O$44/(Q!$F$11+Q!$G$11)-1</f>
        <v>0.0579254187100955</v>
      </c>
      <c r="G45" s="13" t="n">
        <f aca="false">Seg!$G$44/Seg!$D$44-1</f>
        <v>0.0271208040881397</v>
      </c>
      <c r="H45" s="13" t="n">
        <f aca="false">Seg!$F$45+(g_ps-Seg!$F$45)*1/4</f>
        <v>0.0509440640325716</v>
      </c>
      <c r="I45" s="13" t="n">
        <f aca="false">Seg!$F$45+(g_ps-Seg!$F$45)*2/4</f>
        <v>0.0439627093550477</v>
      </c>
      <c r="J45" s="13" t="n">
        <f aca="false">Seg!$F$45+(g_ps-Seg!$F$45)*3/4</f>
        <v>0.0369813546775239</v>
      </c>
      <c r="K45" s="13" t="n">
        <f aca="false">Seg!$F$45+(g_ps-Seg!$F$45)*4/4</f>
        <v>0.03</v>
      </c>
      <c r="L45" s="13" t="n">
        <f aca="false">g_ps</f>
        <v>0.03</v>
      </c>
      <c r="M45" s="13" t="n">
        <f aca="false">g_ps</f>
        <v>0.03</v>
      </c>
      <c r="P45" s="8" t="s">
        <v>665</v>
      </c>
    </row>
    <row r="46" customFormat="false" ht="17.15" hidden="false" customHeight="false" outlineLevel="0" collapsed="false">
      <c r="A46" s="0" t="s">
        <v>518</v>
      </c>
      <c r="B46" s="0" t="s">
        <v>86</v>
      </c>
      <c r="C46" s="38" t="n">
        <f aca="false">Q!$D$12</f>
        <v>156.146</v>
      </c>
      <c r="D46" s="38" t="n">
        <f aca="false">Q!$E$12</f>
        <v>172.162</v>
      </c>
      <c r="E46" s="38" t="n">
        <f aca="false">Q!$P$12</f>
        <v>88.358</v>
      </c>
      <c r="F46" s="38" t="n">
        <f aca="false">Seg!$O$46*(1+Seg!$F$47)*Seg!$F$54</f>
        <v>102.004388260171</v>
      </c>
      <c r="G46" s="38" t="n">
        <f aca="false">Seg!$E$46+Seg!$F$46</f>
        <v>190.362388260171</v>
      </c>
      <c r="H46" s="38" t="n">
        <f aca="false">Seg!$G$46*(1+Seg!$H$47)</f>
        <v>210.343106588311</v>
      </c>
      <c r="I46" s="38" t="n">
        <f aca="false">Seg!$H$46*(1+Seg!$I$47)</f>
        <v>229.969728494648</v>
      </c>
      <c r="J46" s="38" t="n">
        <f aca="false">Seg!$I$46*(1+Seg!$J$47)</f>
        <v>248.747636972598</v>
      </c>
      <c r="K46" s="38" t="n">
        <f aca="false">Seg!$J$46*(1+Seg!$K$47)</f>
        <v>266.15997156068</v>
      </c>
      <c r="L46" s="38" t="n">
        <f aca="false">Seg!$K$46*(1+Seg!$L$47)</f>
        <v>284.791169569927</v>
      </c>
      <c r="M46" s="38" t="n">
        <f aca="false">Seg!$L$46*(1+Seg!$M$47)</f>
        <v>304.726551439822</v>
      </c>
      <c r="N46" s="38" t="n">
        <f aca="false">Q!$N$12</f>
        <v>76.86</v>
      </c>
      <c r="O46" s="38" t="n">
        <f aca="false">Q!$O$12</f>
        <v>95.302</v>
      </c>
      <c r="P46" s="8" t="s">
        <v>661</v>
      </c>
    </row>
    <row r="47" customFormat="false" ht="17.15" hidden="false" customHeight="false" outlineLevel="0" collapsed="false">
      <c r="A47" s="0" t="s">
        <v>666</v>
      </c>
      <c r="B47" s="0" t="s">
        <v>52</v>
      </c>
      <c r="E47" s="13" t="n">
        <f aca="false">Seg!$E$46/Seg!$N$46-1</f>
        <v>0.1495966692688</v>
      </c>
      <c r="F47" s="13" t="n">
        <f aca="false">Seg!$O$46/(Q!$F$12+Q!$G$12)-1</f>
        <v>0.11661530890813</v>
      </c>
      <c r="G47" s="13" t="n">
        <f aca="false">Seg!$G$46/Seg!$D$46-1</f>
        <v>0.105716640490767</v>
      </c>
      <c r="H47" s="13" t="n">
        <f aca="false">Seg!$F$47+(g_sp-Seg!$F$47)*1/4</f>
        <v>0.104961481681098</v>
      </c>
      <c r="I47" s="13" t="n">
        <f aca="false">Seg!$F$47+(g_sp-Seg!$F$47)*2/4</f>
        <v>0.0933076544540651</v>
      </c>
      <c r="J47" s="13" t="n">
        <f aca="false">Seg!$F$47+(g_sp-Seg!$F$47)*3/4</f>
        <v>0.0816538272270325</v>
      </c>
      <c r="K47" s="13" t="n">
        <f aca="false">Seg!$F$47+(g_sp-Seg!$F$47)*4/4</f>
        <v>0.07</v>
      </c>
      <c r="L47" s="13" t="n">
        <f aca="false">g_sp</f>
        <v>0.07</v>
      </c>
      <c r="M47" s="13" t="n">
        <f aca="false">g_sp</f>
        <v>0.07</v>
      </c>
      <c r="P47" s="8" t="s">
        <v>667</v>
      </c>
    </row>
    <row r="48" customFormat="false" ht="17.15" hidden="false" customHeight="false" outlineLevel="0" collapsed="false">
      <c r="A48" s="0" t="s">
        <v>519</v>
      </c>
      <c r="B48" s="0" t="s">
        <v>86</v>
      </c>
      <c r="C48" s="38" t="n">
        <f aca="false">Q!$D$13</f>
        <v>56.214</v>
      </c>
      <c r="D48" s="38" t="n">
        <f aca="false">Q!$E$13</f>
        <v>68.635</v>
      </c>
      <c r="E48" s="38" t="n">
        <f aca="false">Q!$P$13</f>
        <v>37.052</v>
      </c>
      <c r="F48" s="38" t="n">
        <f aca="false">Seg!$O$48*(1+Seg!$F$49)*Seg!$F$54</f>
        <v>46.1572219944148</v>
      </c>
      <c r="G48" s="38" t="n">
        <f aca="false">Seg!$E$48+Seg!$F$48</f>
        <v>83.2092219944148</v>
      </c>
      <c r="H48" s="38" t="n">
        <f aca="false">Seg!$G$48*(1+Seg!$H$49)</f>
        <v>99.8969223878976</v>
      </c>
      <c r="I48" s="38" t="n">
        <f aca="false">Seg!$H$48*(1+Seg!$I$49)</f>
        <v>116.583111095496</v>
      </c>
      <c r="J48" s="38" t="n">
        <f aca="false">Seg!$I$48*(1+Seg!$J$49)</f>
        <v>132.148941941952</v>
      </c>
      <c r="K48" s="38" t="n">
        <f aca="false">Seg!$J$48*(1+Seg!$K$49)</f>
        <v>145.363836136147</v>
      </c>
      <c r="L48" s="38" t="n">
        <f aca="false">Seg!$K$48*(1+Seg!$L$49)</f>
        <v>159.900219749762</v>
      </c>
      <c r="M48" s="38" t="n">
        <f aca="false">Seg!$L$48*(1+Seg!$M$49)</f>
        <v>175.890241724738</v>
      </c>
      <c r="N48" s="38" t="n">
        <f aca="false">Q!$N$13</f>
        <v>29.615</v>
      </c>
      <c r="O48" s="38" t="n">
        <f aca="false">Q!$O$13</f>
        <v>39.02</v>
      </c>
      <c r="P48" s="8" t="s">
        <v>661</v>
      </c>
    </row>
    <row r="49" customFormat="false" ht="17.15" hidden="false" customHeight="false" outlineLevel="0" collapsed="false">
      <c r="A49" s="0" t="s">
        <v>668</v>
      </c>
      <c r="B49" s="0" t="s">
        <v>52</v>
      </c>
      <c r="E49" s="13" t="n">
        <f aca="false">Seg!$E$48/Seg!$N$48-1</f>
        <v>0.25112274185379</v>
      </c>
      <c r="F49" s="13" t="n">
        <f aca="false">Seg!$O$48/(Q!$F$13+Q!$G$13)-1</f>
        <v>0.234068123596572</v>
      </c>
      <c r="G49" s="13" t="n">
        <f aca="false">Seg!$G$48/Seg!$D$48-1</f>
        <v>0.212343876949294</v>
      </c>
      <c r="H49" s="13" t="n">
        <f aca="false">Seg!$F$49+(g_ad-Seg!$F$49)*1/4</f>
        <v>0.200551092697429</v>
      </c>
      <c r="I49" s="13" t="n">
        <f aca="false">Seg!$F$49+(g_ad-Seg!$F$49)*2/4</f>
        <v>0.167034061798286</v>
      </c>
      <c r="J49" s="13" t="n">
        <f aca="false">Seg!$F$49+(g_ad-Seg!$F$49)*3/4</f>
        <v>0.133517030899143</v>
      </c>
      <c r="K49" s="13" t="n">
        <f aca="false">Seg!$F$49+(g_ad-Seg!$F$49)*4/4</f>
        <v>0.1</v>
      </c>
      <c r="L49" s="13" t="n">
        <f aca="false">g_ad</f>
        <v>0.1</v>
      </c>
      <c r="M49" s="13" t="n">
        <f aca="false">g_ad</f>
        <v>0.1</v>
      </c>
      <c r="P49" s="8" t="s">
        <v>669</v>
      </c>
    </row>
    <row r="50" customFormat="false" ht="17.15" hidden="false" customHeight="false" outlineLevel="0" collapsed="false">
      <c r="A50" s="0" t="s">
        <v>520</v>
      </c>
      <c r="B50" s="0" t="s">
        <v>86</v>
      </c>
      <c r="C50" s="38" t="n">
        <f aca="false">Q!$D$14</f>
        <v>44.374</v>
      </c>
      <c r="D50" s="38" t="n">
        <f aca="false">Q!$E$14</f>
        <v>49.619</v>
      </c>
      <c r="E50" s="38" t="n">
        <f aca="false">Q!$P$14</f>
        <v>27.157</v>
      </c>
      <c r="F50" s="38" t="n">
        <f aca="false">Seg!$O$50*(1+Seg!$F$51)*Seg!$F$54</f>
        <v>27.7764165988154</v>
      </c>
      <c r="G50" s="38" t="n">
        <f aca="false">Seg!$E$50+Seg!$F$50</f>
        <v>54.9334165988154</v>
      </c>
      <c r="H50" s="38" t="n">
        <f aca="false">Seg!$G$50*(1+Seg!$H$51)</f>
        <v>61.1564112561829</v>
      </c>
      <c r="I50" s="38" t="n">
        <f aca="false">Seg!$H$50*(1+Seg!$I$51)</f>
        <v>67.2020282103945</v>
      </c>
      <c r="J50" s="38" t="n">
        <f aca="false">Seg!$I$50*(1+Seg!$J$51)</f>
        <v>72.8757274028885</v>
      </c>
      <c r="K50" s="38" t="n">
        <f aca="false">Seg!$J$50*(1+Seg!$K$51)</f>
        <v>77.9770283210907</v>
      </c>
      <c r="L50" s="38" t="n">
        <f aca="false">Seg!$K$50*(1+Seg!$L$51)</f>
        <v>83.4354203035671</v>
      </c>
      <c r="M50" s="38" t="n">
        <f aca="false">Seg!$L$50*(1+Seg!$M$51)</f>
        <v>89.2758997248168</v>
      </c>
      <c r="N50" s="38" t="n">
        <f aca="false">Q!$N$14</f>
        <v>23.923</v>
      </c>
      <c r="O50" s="38" t="n">
        <f aca="false">Q!$O$14</f>
        <v>25.696</v>
      </c>
      <c r="P50" s="8" t="s">
        <v>661</v>
      </c>
    </row>
    <row r="51" customFormat="false" ht="17.15" hidden="false" customHeight="false" outlineLevel="0" collapsed="false">
      <c r="A51" s="0" t="s">
        <v>670</v>
      </c>
      <c r="B51" s="0" t="s">
        <v>52</v>
      </c>
      <c r="E51" s="13" t="n">
        <f aca="false">Seg!$E$50/Seg!$N$50-1</f>
        <v>0.135183714417088</v>
      </c>
      <c r="F51" s="13" t="n">
        <f aca="false">Seg!$O$50/(Q!$F$14+Q!$G$14)-1</f>
        <v>0.127709997366804</v>
      </c>
      <c r="G51" s="13" t="n">
        <f aca="false">Seg!$G$50/Seg!$D$50-1</f>
        <v>0.107104468022641</v>
      </c>
      <c r="H51" s="13" t="n">
        <f aca="false">Seg!$F$51+(g_sub-Seg!$F$51)*1/4</f>
        <v>0.113282498025103</v>
      </c>
      <c r="I51" s="13" t="n">
        <f aca="false">Seg!$F$51+(g_sub-Seg!$F$51)*2/4</f>
        <v>0.0988549986834021</v>
      </c>
      <c r="J51" s="13" t="n">
        <f aca="false">Seg!$F$51+(g_sub-Seg!$F$51)*3/4</f>
        <v>0.084427499341701</v>
      </c>
      <c r="K51" s="13" t="n">
        <f aca="false">Seg!$F$51+(g_sub-Seg!$F$51)*4/4</f>
        <v>0.07</v>
      </c>
      <c r="L51" s="13" t="n">
        <f aca="false">g_sub</f>
        <v>0.07</v>
      </c>
      <c r="M51" s="13" t="n">
        <f aca="false">g_sub</f>
        <v>0.07</v>
      </c>
      <c r="P51" s="8" t="s">
        <v>671</v>
      </c>
    </row>
    <row r="52" customFormat="false" ht="17.15" hidden="false" customHeight="false" outlineLevel="0" collapsed="false">
      <c r="A52" s="0" t="s">
        <v>521</v>
      </c>
      <c r="B52" s="0" t="s">
        <v>86</v>
      </c>
      <c r="C52" s="38" t="n">
        <f aca="false">Q!$D$15</f>
        <v>5.425</v>
      </c>
      <c r="D52" s="38" t="n">
        <f aca="false">Q!$E$15</f>
        <v>5.935</v>
      </c>
      <c r="E52" s="38" t="n">
        <f aca="false">Q!$P$15</f>
        <v>3.474</v>
      </c>
      <c r="F52" s="38" t="n">
        <f aca="false">Seg!$O$52*(1+Seg!$F$53)*Seg!$F$54</f>
        <v>3.22246550883619</v>
      </c>
      <c r="G52" s="38" t="n">
        <f aca="false">Seg!$E$52+Seg!$F$52</f>
        <v>6.69646550883619</v>
      </c>
      <c r="H52" s="38" t="n">
        <f aca="false">Seg!$G$52*(1+Seg!$H$53)</f>
        <v>7.16251344209196</v>
      </c>
      <c r="I52" s="38" t="n">
        <f aca="false">Seg!$H$52*(1+Seg!$I$53)</f>
        <v>7.61421070299826</v>
      </c>
      <c r="J52" s="38" t="n">
        <f aca="false">Seg!$I$52*(1+Seg!$J$53)</f>
        <v>8.04465753523932</v>
      </c>
      <c r="K52" s="38" t="n">
        <f aca="false">Seg!$J$52*(1+Seg!$K$53)</f>
        <v>8.44689041200128</v>
      </c>
      <c r="L52" s="38" t="n">
        <f aca="false">Seg!$K$52*(1+Seg!$L$53)</f>
        <v>8.86923493260135</v>
      </c>
      <c r="M52" s="38" t="n">
        <f aca="false">Seg!$L$52*(1+Seg!$M$53)</f>
        <v>9.31269667923142</v>
      </c>
      <c r="N52" s="38" t="n">
        <f aca="false">Q!$N$15</f>
        <v>2.811</v>
      </c>
      <c r="O52" s="38" t="n">
        <f aca="false">Q!$O$15</f>
        <v>3.124</v>
      </c>
      <c r="P52" s="8" t="s">
        <v>661</v>
      </c>
    </row>
    <row r="53" customFormat="false" ht="17.15" hidden="false" customHeight="false" outlineLevel="0" collapsed="false">
      <c r="A53" s="0" t="s">
        <v>672</v>
      </c>
      <c r="B53" s="0" t="s">
        <v>52</v>
      </c>
      <c r="E53" s="13" t="n">
        <f aca="false">Seg!$E$52/Seg!$N$52-1</f>
        <v>0.235859124866596</v>
      </c>
      <c r="F53" s="13" t="n">
        <f aca="false">Seg!$O$52/(Q!$F$15+Q!$G$15)-1</f>
        <v>0.0761281433000345</v>
      </c>
      <c r="G53" s="13" t="n">
        <f aca="false">Seg!$G$52/Seg!$D$52-1</f>
        <v>0.128300843948811</v>
      </c>
      <c r="H53" s="13" t="n">
        <f aca="false">Seg!$F$53+(g_ot-Seg!$F$53)*1/4</f>
        <v>0.0695961074750259</v>
      </c>
      <c r="I53" s="13" t="n">
        <f aca="false">Seg!$F$53+(g_ot-Seg!$F$53)*2/4</f>
        <v>0.0630640716500172</v>
      </c>
      <c r="J53" s="13" t="n">
        <f aca="false">Seg!$F$53+(g_ot-Seg!$F$53)*3/4</f>
        <v>0.0565320358250086</v>
      </c>
      <c r="K53" s="13" t="n">
        <f aca="false">Seg!$F$53+(g_ot-Seg!$F$53)*4/4</f>
        <v>0.05</v>
      </c>
      <c r="L53" s="13" t="n">
        <f aca="false">g_ot</f>
        <v>0.05</v>
      </c>
      <c r="M53" s="13" t="n">
        <f aca="false">g_ot</f>
        <v>0.05</v>
      </c>
      <c r="P53" s="8" t="s">
        <v>673</v>
      </c>
    </row>
    <row r="54" customFormat="false" ht="17.15" hidden="false" customHeight="false" outlineLevel="0" collapsed="false">
      <c r="A54" s="0" t="s">
        <v>674</v>
      </c>
      <c r="B54" s="0" t="s">
        <v>57</v>
      </c>
      <c r="F54" s="40" t="n">
        <f aca="false">(g26q3_mid*Q!$O$8/Q!$J$8-Thesis!$F$84-Thesis!$F$88)/(Seg!$O$42*(1+Seg!$F$43)+Seg!$O$44*(1+Seg!$F$45)+Seg!$O$46*(1+Seg!$F$47)+Seg!$O$48*(1+Seg!$F$49)+Seg!$O$50*(1+Seg!$F$51)+Seg!$O$52*(1+Seg!$F$53))</f>
        <v>0.958546670622329</v>
      </c>
      <c r="P54" s="8" t="s">
        <v>675</v>
      </c>
    </row>
    <row r="55" customFormat="false" ht="17.15" hidden="false" customHeight="false" outlineLevel="0" collapsed="false">
      <c r="A55" s="3" t="s">
        <v>676</v>
      </c>
      <c r="B55" s="8" t="s">
        <v>86</v>
      </c>
      <c r="C55" s="38" t="n">
        <f aca="false">Seg!$C$42+Seg!$C$44+Seg!$C$46+Seg!$C$48+Seg!$C$50+Seg!$C$52</f>
        <v>530.403</v>
      </c>
      <c r="D55" s="38" t="n">
        <f aca="false">Seg!$D$42+Seg!$D$44+Seg!$D$46+Seg!$D$48+Seg!$D$50+Seg!$D$52</f>
        <v>588.199</v>
      </c>
      <c r="E55" s="38" t="n">
        <f aca="false">Seg!$E$42+Seg!$E$44+Seg!$E$46+Seg!$E$48+Seg!$E$50+Seg!$E$52</f>
        <v>302.306</v>
      </c>
      <c r="F55" s="38" t="n">
        <f aca="false">Seg!$F$42+Seg!$F$44+Seg!$F$46+Seg!$F$48+Seg!$F$50+Seg!$F$52</f>
        <v>349.048241645537</v>
      </c>
      <c r="G55" s="38" t="n">
        <f aca="false">Seg!$G$42+Seg!$G$44+Seg!$G$46+Seg!$G$48+Seg!$G$50+Seg!$G$52</f>
        <v>651.354241645537</v>
      </c>
      <c r="H55" s="38" t="n">
        <f aca="false">Seg!$H$42+Seg!$H$44+Seg!$H$46+Seg!$H$48+Seg!$H$50+Seg!$H$52</f>
        <v>721.096889521386</v>
      </c>
      <c r="I55" s="38" t="n">
        <f aca="false">Seg!$I$42+Seg!$I$44+Seg!$I$46+Seg!$I$48+Seg!$I$50+Seg!$I$52</f>
        <v>788.529391152531</v>
      </c>
      <c r="J55" s="38" t="n">
        <f aca="false">Seg!$J$42+Seg!$J$44+Seg!$J$46+Seg!$J$48+Seg!$J$50+Seg!$J$52</f>
        <v>851.108405741443</v>
      </c>
      <c r="K55" s="38" t="n">
        <f aca="false">Seg!$K$42+Seg!$K$44+Seg!$K$46+Seg!$K$48+Seg!$K$50+Seg!$K$52</f>
        <v>906.176455431088</v>
      </c>
      <c r="L55" s="38" t="n">
        <f aca="false">Seg!$L$42+Seg!$L$44+Seg!$L$46+Seg!$L$48+Seg!$L$50+Seg!$L$52</f>
        <v>965.093106475589</v>
      </c>
      <c r="M55" s="38" t="n">
        <f aca="false">Seg!$M$42+Seg!$M$44+Seg!$M$46+Seg!$M$48+Seg!$M$50+Seg!$M$52</f>
        <v>1028.14790794689</v>
      </c>
      <c r="N55" s="38" t="n">
        <f aca="false">Seg!$N$42+Seg!$N$44+Seg!$N$46+Seg!$N$48+Seg!$N$50+Seg!$N$52</f>
        <v>263.229</v>
      </c>
      <c r="O55" s="38" t="n">
        <f aca="false">Seg!$O$42+Seg!$O$44+Seg!$O$46+Seg!$O$48+Seg!$O$50+Seg!$O$52</f>
        <v>324.97</v>
      </c>
    </row>
    <row r="56" customFormat="false" ht="17.15" hidden="false" customHeight="false" outlineLevel="0" collapsed="false">
      <c r="A56" s="5" t="s">
        <v>677</v>
      </c>
      <c r="B56" s="0" t="s">
        <v>52</v>
      </c>
      <c r="C56" s="13" t="n">
        <f aca="false">Q!$D$5/(Q!$D$5+Q!$D$6)</f>
        <v>0.730570905519011</v>
      </c>
      <c r="D56" s="13" t="n">
        <f aca="false">Q!$E$5/(Q!$E$5+Q!$E$6)</f>
        <v>0.724763217890544</v>
      </c>
      <c r="E56" s="13" t="n">
        <f aca="false">Q!$P$5/(Q!$P$5+Q!$P$6)</f>
        <v>0.728797972914861</v>
      </c>
      <c r="F56" s="13" t="n">
        <f aca="false">Seg!$O$56</f>
        <v>0.718066283041511</v>
      </c>
      <c r="G56" s="13" t="n">
        <f aca="false">Seg!$G$57/Seg!$G$55</f>
        <v>0.723047066202847</v>
      </c>
      <c r="H56" s="13" t="n">
        <f aca="false">Seg!$G$56</f>
        <v>0.723047066202847</v>
      </c>
      <c r="I56" s="13" t="n">
        <f aca="false">Seg!$G$56</f>
        <v>0.723047066202847</v>
      </c>
      <c r="J56" s="13" t="n">
        <f aca="false">Seg!$G$56</f>
        <v>0.723047066202847</v>
      </c>
      <c r="K56" s="13" t="n">
        <f aca="false">Seg!$G$56</f>
        <v>0.723047066202847</v>
      </c>
      <c r="L56" s="13" t="n">
        <f aca="false">Seg!$G$56</f>
        <v>0.723047066202847</v>
      </c>
      <c r="M56" s="13" t="n">
        <f aca="false">Seg!$G$56</f>
        <v>0.723047066202847</v>
      </c>
      <c r="N56" s="13" t="n">
        <f aca="false">Q!$N$5/(Q!$N$5+Q!$N$6)</f>
        <v>0.733030935041352</v>
      </c>
      <c r="O56" s="13" t="n">
        <f aca="false">Q!$O$5/(Q!$O$5+Q!$O$6)</f>
        <v>0.718066283041511</v>
      </c>
      <c r="P56" s="8" t="s">
        <v>678</v>
      </c>
    </row>
    <row r="57" customFormat="false" ht="17.15" hidden="false" customHeight="false" outlineLevel="0" collapsed="false">
      <c r="A57" s="1" t="s">
        <v>509</v>
      </c>
      <c r="B57" s="8" t="s">
        <v>86</v>
      </c>
      <c r="C57" s="38" t="n">
        <f aca="false">Q!$D$5</f>
        <v>387.497</v>
      </c>
      <c r="D57" s="38" t="n">
        <f aca="false">Q!$E$5</f>
        <v>426.305</v>
      </c>
      <c r="E57" s="38" t="n">
        <f aca="false">Q!$P$5</f>
        <v>220.32</v>
      </c>
      <c r="F57" s="38" t="n">
        <f aca="false">Seg!$F$55*Seg!$F$56</f>
        <v>250.639773480586</v>
      </c>
      <c r="G57" s="38" t="n">
        <f aca="false">Seg!$E$57+Seg!$F$57</f>
        <v>470.959773480586</v>
      </c>
      <c r="H57" s="38" t="n">
        <f aca="false">Seg!$H$55*Seg!$H$56</f>
        <v>521.386990416437</v>
      </c>
      <c r="I57" s="38" t="n">
        <f aca="false">Seg!$I$55*Seg!$I$56</f>
        <v>570.143862887555</v>
      </c>
      <c r="J57" s="38" t="n">
        <f aca="false">Seg!$J$55*Seg!$J$56</f>
        <v>615.391435791933</v>
      </c>
      <c r="K57" s="38" t="n">
        <f aca="false">Seg!$K$55*Seg!$K$56</f>
        <v>655.208227561543</v>
      </c>
      <c r="L57" s="38" t="n">
        <f aca="false">Seg!$L$55*Seg!$L$56</f>
        <v>697.807739249767</v>
      </c>
      <c r="M57" s="38" t="n">
        <f aca="false">Seg!$M$55*Seg!$M$56</f>
        <v>743.399328463592</v>
      </c>
      <c r="N57" s="38" t="n">
        <f aca="false">Q!$N$5</f>
        <v>192.955</v>
      </c>
      <c r="O57" s="38" t="n">
        <f aca="false">Q!$O$5</f>
        <v>233.35</v>
      </c>
      <c r="P57" s="5" t="s">
        <v>679</v>
      </c>
    </row>
    <row r="58" customFormat="false" ht="17.15" hidden="false" customHeight="false" outlineLevel="0" collapsed="false">
      <c r="A58" s="1" t="s">
        <v>512</v>
      </c>
      <c r="B58" s="8" t="s">
        <v>86</v>
      </c>
      <c r="C58" s="38" t="n">
        <f aca="false">Q!$D$6</f>
        <v>142.906</v>
      </c>
      <c r="D58" s="38" t="n">
        <f aca="false">Q!$E$6</f>
        <v>161.894</v>
      </c>
      <c r="E58" s="38" t="n">
        <f aca="false">Q!$P$6</f>
        <v>81.986</v>
      </c>
      <c r="F58" s="38" t="n">
        <f aca="false">Seg!$F$55*(1-Seg!$F$56)</f>
        <v>98.408468164951</v>
      </c>
      <c r="G58" s="38" t="n">
        <f aca="false">Seg!$E$58+Seg!$F$58</f>
        <v>180.394468164951</v>
      </c>
      <c r="H58" s="38" t="n">
        <f aca="false">Seg!$H$55*(1-Seg!$H$56)</f>
        <v>199.709899104949</v>
      </c>
      <c r="I58" s="38" t="n">
        <f aca="false">Seg!$I$55*(1-Seg!$I$56)</f>
        <v>218.385528264976</v>
      </c>
      <c r="J58" s="38" t="n">
        <f aca="false">Seg!$J$55*(1-Seg!$J$56)</f>
        <v>235.71696994951</v>
      </c>
      <c r="K58" s="38" t="n">
        <f aca="false">Seg!$K$55*(1-Seg!$K$56)</f>
        <v>250.968227869545</v>
      </c>
      <c r="L58" s="38" t="n">
        <f aca="false">Seg!$L$55*(1-Seg!$L$56)</f>
        <v>267.285367225822</v>
      </c>
      <c r="M58" s="38" t="n">
        <f aca="false">Seg!$M$55*(1-Seg!$M$56)</f>
        <v>284.748579483295</v>
      </c>
      <c r="N58" s="38" t="n">
        <f aca="false">Q!$N$6</f>
        <v>70.274</v>
      </c>
      <c r="O58" s="38" t="n">
        <f aca="false">Q!$O$6</f>
        <v>91.62</v>
      </c>
      <c r="P58" s="5" t="s">
        <v>680</v>
      </c>
    </row>
    <row r="59" customFormat="false" ht="17.15" hidden="false" customHeight="false" outlineLevel="0" collapsed="false">
      <c r="A59" s="5" t="s">
        <v>681</v>
      </c>
      <c r="B59" s="0" t="s">
        <v>86</v>
      </c>
      <c r="C59" s="38" t="n">
        <f aca="false">Seg!$C$48*Seg!$C$56</f>
        <v>41.0683128828457</v>
      </c>
      <c r="D59" s="38" t="n">
        <f aca="false">Seg!$D$48*Seg!$D$56</f>
        <v>49.7441234599175</v>
      </c>
      <c r="E59" s="38" t="n">
        <f aca="false">Seg!$E$48*Seg!$E$56</f>
        <v>27.0034224924414</v>
      </c>
      <c r="F59" s="38" t="n">
        <f aca="false">Seg!$F$48*Seg!$F$56</f>
        <v>33.1439448330513</v>
      </c>
      <c r="G59" s="38" t="n">
        <f aca="false">Seg!$G$48*Seg!$G$56</f>
        <v>60.164183844083</v>
      </c>
      <c r="H59" s="38" t="n">
        <f aca="false">Seg!$H$48*Seg!$H$56</f>
        <v>72.2301766552629</v>
      </c>
      <c r="I59" s="38" t="n">
        <f aca="false">Seg!$I$48*Seg!$I$56</f>
        <v>84.2950764463991</v>
      </c>
      <c r="J59" s="38" t="n">
        <f aca="false">Seg!$J$48*Seg!$J$56</f>
        <v>95.5499047729386</v>
      </c>
      <c r="K59" s="38" t="n">
        <f aca="false">Seg!$K$48*Seg!$K$56</f>
        <v>105.104895250232</v>
      </c>
      <c r="L59" s="38" t="n">
        <f aca="false">Seg!$L$48*Seg!$L$56</f>
        <v>115.615384775256</v>
      </c>
      <c r="M59" s="38" t="n">
        <f aca="false">Seg!$M$48*Seg!$M$56</f>
        <v>127.176923252781</v>
      </c>
      <c r="N59" s="38" t="n">
        <f aca="false">Seg!$N$48*Seg!$N$56</f>
        <v>21.7087111412496</v>
      </c>
      <c r="O59" s="38" t="n">
        <f aca="false">Seg!$O$48*Seg!$O$56</f>
        <v>28.0189463642798</v>
      </c>
      <c r="P59" s="5" t="s">
        <v>682</v>
      </c>
    </row>
    <row r="60" customFormat="false" ht="15" hidden="false" customHeight="false" outlineLevel="0" collapsed="false">
      <c r="A60" s="5" t="s">
        <v>683</v>
      </c>
      <c r="B60" s="0" t="s">
        <v>86</v>
      </c>
      <c r="C60" s="38" t="n">
        <f aca="false">Seg!$C$48-Seg!$C$59</f>
        <v>15.1456871171543</v>
      </c>
      <c r="D60" s="38" t="n">
        <f aca="false">Seg!$D$48-Seg!$D$59</f>
        <v>18.8908765400825</v>
      </c>
      <c r="E60" s="38" t="n">
        <f aca="false">Seg!$E$48-Seg!$E$59</f>
        <v>10.0485775075586</v>
      </c>
      <c r="F60" s="38" t="n">
        <f aca="false">Seg!$F$48-Seg!$F$59</f>
        <v>13.0132771613635</v>
      </c>
      <c r="G60" s="38" t="n">
        <f aca="false">Seg!$G$48-Seg!$G$59</f>
        <v>23.0450381503318</v>
      </c>
      <c r="H60" s="38" t="n">
        <f aca="false">Seg!$H$48-Seg!$H$59</f>
        <v>27.6667457326347</v>
      </c>
      <c r="I60" s="38" t="n">
        <f aca="false">Seg!$I$48-Seg!$I$59</f>
        <v>32.2880346490971</v>
      </c>
      <c r="J60" s="38" t="n">
        <f aca="false">Seg!$J$48-Seg!$J$59</f>
        <v>36.5990371690132</v>
      </c>
      <c r="K60" s="38" t="n">
        <f aca="false">Seg!$K$48-Seg!$K$59</f>
        <v>40.2589408859145</v>
      </c>
      <c r="L60" s="38" t="n">
        <f aca="false">Seg!$L$48-Seg!$L$59</f>
        <v>44.2848349745059</v>
      </c>
      <c r="M60" s="38" t="n">
        <f aca="false">Seg!$M$48-Seg!$M$59</f>
        <v>48.7133184719565</v>
      </c>
      <c r="N60" s="38" t="n">
        <f aca="false">Seg!$N$48-Seg!$N$59</f>
        <v>7.90628885875037</v>
      </c>
      <c r="O60" s="38" t="n">
        <f aca="false">Seg!$O$48-Seg!$O$59</f>
        <v>11.0010536357202</v>
      </c>
    </row>
    <row r="61" customFormat="false" ht="17.15" hidden="false" customHeight="false" outlineLevel="0" collapsed="false">
      <c r="A61" s="1" t="s">
        <v>684</v>
      </c>
    </row>
    <row r="62" customFormat="false" ht="17.15" hidden="false" customHeight="false" outlineLevel="0" collapsed="false">
      <c r="A62" s="0" t="s">
        <v>685</v>
      </c>
      <c r="B62" s="0" t="s">
        <v>86</v>
      </c>
      <c r="C62" s="38" t="n">
        <f aca="false">Thesis!$C$84</f>
        <v>2.32100535697364</v>
      </c>
      <c r="D62" s="38" t="n">
        <f aca="false">Thesis!$D$84</f>
        <v>8.70377008865116</v>
      </c>
      <c r="E62" s="38" t="n">
        <f aca="false">Thesis!$E$84</f>
        <v>8.51035297557002</v>
      </c>
      <c r="F62" s="38" t="n">
        <f aca="false">Thesis!$F$84</f>
        <v>14.9634336447205</v>
      </c>
      <c r="G62" s="38" t="n">
        <f aca="false">Thesis!$G$84</f>
        <v>23.4737866202905</v>
      </c>
      <c r="H62" s="38" t="n">
        <f aca="false">Thesis!$H$84</f>
        <v>60.1658907497746</v>
      </c>
      <c r="I62" s="38" t="n">
        <f aca="false">Thesis!$I$84</f>
        <v>101.503699136432</v>
      </c>
      <c r="J62" s="38" t="n">
        <f aca="false">Thesis!$J$84</f>
        <v>143.025407151278</v>
      </c>
      <c r="K62" s="38" t="n">
        <f aca="false">Thesis!$K$84</f>
        <v>178.44812038318</v>
      </c>
      <c r="L62" s="38" t="n">
        <f aca="false">Thesis!$L$84</f>
        <v>201.728101802396</v>
      </c>
      <c r="M62" s="38" t="n">
        <f aca="false">Thesis!$M$84</f>
        <v>212.835441368865</v>
      </c>
      <c r="N62" s="38" t="n">
        <f aca="false">Thesis!$N$84</f>
        <v>3.04631953102791</v>
      </c>
      <c r="O62" s="38" t="n">
        <f aca="false">Thesis!$O$84</f>
        <v>5.65745055762326</v>
      </c>
      <c r="P62" s="8" t="s">
        <v>686</v>
      </c>
    </row>
    <row r="63" customFormat="false" ht="17.15" hidden="false" customHeight="false" outlineLevel="0" collapsed="false">
      <c r="A63" s="0" t="s">
        <v>687</v>
      </c>
      <c r="B63" s="0" t="s">
        <v>86</v>
      </c>
      <c r="C63" s="38" t="n">
        <f aca="false">Thesis!$C$88</f>
        <v>105.234994643026</v>
      </c>
      <c r="D63" s="38" t="n">
        <f aca="false">Thesis!$D$88</f>
        <v>120.021229911349</v>
      </c>
      <c r="E63" s="38" t="n">
        <f aca="false">Thesis!$E$88</f>
        <v>71.30864702443</v>
      </c>
      <c r="F63" s="38" t="n">
        <f aca="false">Thesis!$F$88</f>
        <v>71.7692997942464</v>
      </c>
      <c r="G63" s="38" t="n">
        <f aca="false">Thesis!$G$88</f>
        <v>143.077946818676</v>
      </c>
      <c r="H63" s="38" t="n">
        <f aca="false">Thesis!$H$88</f>
        <v>161.017077079203</v>
      </c>
      <c r="I63" s="38" t="n">
        <f aca="false">Thesis!$I$88</f>
        <v>178.769759521457</v>
      </c>
      <c r="J63" s="38" t="n">
        <f aca="false">Thesis!$J$88</f>
        <v>195.775538045907</v>
      </c>
      <c r="K63" s="38" t="n">
        <f aca="false">Thesis!$K$88</f>
        <v>211.43758108958</v>
      </c>
      <c r="L63" s="38" t="n">
        <f aca="false">Thesis!$L$88</f>
        <v>228.352587576746</v>
      </c>
      <c r="M63" s="38" t="n">
        <f aca="false">Thesis!$M$88</f>
        <v>246.620794582886</v>
      </c>
      <c r="N63" s="38" t="n">
        <f aca="false">Thesis!$N$88</f>
        <v>57.0936804689721</v>
      </c>
      <c r="O63" s="38" t="n">
        <f aca="false">Thesis!$O$88</f>
        <v>62.9275494423768</v>
      </c>
      <c r="P63" s="8" t="s">
        <v>686</v>
      </c>
    </row>
    <row r="64" customFormat="false" ht="17.15" hidden="false" customHeight="false" outlineLevel="0" collapsed="false">
      <c r="A64" s="1" t="s">
        <v>513</v>
      </c>
      <c r="B64" s="8" t="s">
        <v>86</v>
      </c>
      <c r="C64" s="38" t="n">
        <f aca="false">Q!$D$7</f>
        <v>107.556</v>
      </c>
      <c r="D64" s="38" t="n">
        <f aca="false">Q!$E$7</f>
        <v>128.725</v>
      </c>
      <c r="E64" s="38" t="n">
        <f aca="false">Q!$P$7</f>
        <v>79.819</v>
      </c>
      <c r="F64" s="38" t="n">
        <f aca="false">Seg!$F$62+Seg!$F$63</f>
        <v>86.7327334389669</v>
      </c>
      <c r="G64" s="38" t="n">
        <f aca="false">Seg!$G$62+Seg!$G$63</f>
        <v>166.551733438967</v>
      </c>
      <c r="H64" s="38" t="n">
        <f aca="false">Seg!$H$62+Seg!$H$63</f>
        <v>221.182967828978</v>
      </c>
      <c r="I64" s="38" t="n">
        <f aca="false">Seg!$I$62+Seg!$I$63</f>
        <v>280.27345865789</v>
      </c>
      <c r="J64" s="38" t="n">
        <f aca="false">Seg!$J$62+Seg!$J$63</f>
        <v>338.800945197185</v>
      </c>
      <c r="K64" s="38" t="n">
        <f aca="false">Seg!$K$62+Seg!$K$63</f>
        <v>389.88570147276</v>
      </c>
      <c r="L64" s="38" t="n">
        <f aca="false">Seg!$L$62+Seg!$L$63</f>
        <v>430.080689379143</v>
      </c>
      <c r="M64" s="38" t="n">
        <f aca="false">Seg!$M$62+Seg!$M$63</f>
        <v>459.456235951751</v>
      </c>
      <c r="N64" s="38" t="n">
        <f aca="false">Q!$N$7</f>
        <v>60.14</v>
      </c>
      <c r="O64" s="38" t="n">
        <f aca="false">Q!$O$7</f>
        <v>68.585</v>
      </c>
      <c r="P64" s="5" t="s">
        <v>688</v>
      </c>
    </row>
    <row r="65" customFormat="false" ht="15" hidden="false" customHeight="false" outlineLevel="0" collapsed="false">
      <c r="A65" s="3" t="s">
        <v>689</v>
      </c>
      <c r="B65" s="8" t="s">
        <v>86</v>
      </c>
      <c r="C65" s="38" t="n">
        <f aca="false">Q!$D$8</f>
        <v>637.959</v>
      </c>
      <c r="D65" s="38" t="n">
        <f aca="false">Q!$E$8</f>
        <v>716.924</v>
      </c>
      <c r="E65" s="38" t="n">
        <f aca="false">Q!$P$8</f>
        <v>382.125</v>
      </c>
      <c r="F65" s="38" t="n">
        <f aca="false">Seg!$F$55+Seg!$F$64</f>
        <v>435.780975084504</v>
      </c>
      <c r="G65" s="38" t="n">
        <f aca="false">Seg!$G$55+Seg!$G$64</f>
        <v>817.905975084504</v>
      </c>
      <c r="H65" s="38" t="n">
        <f aca="false">Seg!$H$55+Seg!$H$64</f>
        <v>942.279857350364</v>
      </c>
      <c r="I65" s="38" t="n">
        <f aca="false">Seg!$I$55+Seg!$I$64</f>
        <v>1068.80284981042</v>
      </c>
      <c r="J65" s="38" t="n">
        <f aca="false">Seg!$J$55+Seg!$J$64</f>
        <v>1189.90935093863</v>
      </c>
      <c r="K65" s="38" t="n">
        <f aca="false">Seg!$K$55+Seg!$K$64</f>
        <v>1296.06215690385</v>
      </c>
      <c r="L65" s="38" t="n">
        <f aca="false">Seg!$L$55+Seg!$L$64</f>
        <v>1395.17379585473</v>
      </c>
      <c r="M65" s="38" t="n">
        <f aca="false">Seg!$M$55+Seg!$M$64</f>
        <v>1487.60414389864</v>
      </c>
      <c r="N65" s="38" t="n">
        <f aca="false">Q!$N$8</f>
        <v>323.369</v>
      </c>
      <c r="O65" s="38" t="n">
        <f aca="false">Q!$O$8</f>
        <v>393.555</v>
      </c>
    </row>
    <row r="66" customFormat="false" ht="17.15" hidden="false" customHeight="false" outlineLevel="0" collapsed="false">
      <c r="A66" s="24" t="s">
        <v>697</v>
      </c>
      <c r="B66" s="25" t="s">
        <v>86</v>
      </c>
      <c r="C66" s="41" t="n">
        <f aca="false">Seg!$C$55-(Seg!$C$57+Seg!$C$58)</f>
        <v>0</v>
      </c>
      <c r="D66" s="41" t="n">
        <f aca="false">Seg!$D$55-(Seg!$D$57+Seg!$D$58)</f>
        <v>0</v>
      </c>
      <c r="E66" s="41" t="n">
        <f aca="false">Seg!$E$55-(Seg!$E$57+Seg!$E$58)</f>
        <v>0</v>
      </c>
      <c r="F66" s="41" t="n">
        <f aca="false">Seg!$F$55-(Seg!$F$57+Seg!$F$58)</f>
        <v>0</v>
      </c>
      <c r="G66" s="41" t="n">
        <f aca="false">Seg!$G$55-(Seg!$G$57+Seg!$G$58)</f>
        <v>0</v>
      </c>
      <c r="H66" s="41" t="n">
        <f aca="false">Seg!$H$55-(Seg!$H$57+Seg!$H$58)</f>
        <v>0</v>
      </c>
      <c r="I66" s="41" t="n">
        <f aca="false">Seg!$I$55-(Seg!$I$57+Seg!$I$58)</f>
        <v>0</v>
      </c>
      <c r="J66" s="41" t="n">
        <f aca="false">Seg!$J$55-(Seg!$J$57+Seg!$J$58)</f>
        <v>0</v>
      </c>
      <c r="K66" s="41" t="n">
        <f aca="false">Seg!$K$55-(Seg!$K$57+Seg!$K$58)</f>
        <v>0</v>
      </c>
      <c r="L66" s="41" t="n">
        <f aca="false">Seg!$L$55-(Seg!$L$57+Seg!$L$58)</f>
        <v>0</v>
      </c>
      <c r="M66" s="41" t="n">
        <f aca="false">Seg!$M$55-(Seg!$M$57+Seg!$M$58)</f>
        <v>0</v>
      </c>
      <c r="N66" s="41" t="n">
        <f aca="false">Seg!$N$55-(Seg!$N$57+Seg!$N$58)</f>
        <v>0</v>
      </c>
      <c r="O66" s="41" t="n">
        <f aca="false">Seg!$O$55-(Seg!$O$57+Seg!$O$58)</f>
        <v>0</v>
      </c>
    </row>
    <row r="67" customFormat="false" ht="17.15" hidden="false" customHeight="false" outlineLevel="0" collapsed="false">
      <c r="A67" s="24" t="s">
        <v>698</v>
      </c>
      <c r="B67" s="25" t="s">
        <v>86</v>
      </c>
      <c r="C67" s="41" t="n">
        <f aca="false">Seg!$C$62+Seg!$C$63-Seg!$C$64</f>
        <v>0</v>
      </c>
      <c r="D67" s="41" t="n">
        <f aca="false">Seg!$D$62+Seg!$D$63-Seg!$D$64</f>
        <v>0</v>
      </c>
      <c r="E67" s="41" t="n">
        <f aca="false">Seg!$E$62+Seg!$E$63-Seg!$E$64</f>
        <v>0</v>
      </c>
      <c r="F67" s="41" t="n">
        <f aca="false">Seg!$F$62+Seg!$F$63-Seg!$F$64</f>
        <v>0</v>
      </c>
      <c r="G67" s="41" t="n">
        <f aca="false">Seg!$G$62+Seg!$G$63-Seg!$G$64</f>
        <v>0</v>
      </c>
      <c r="H67" s="41" t="n">
        <f aca="false">Seg!$H$62+Seg!$H$63-Seg!$H$64</f>
        <v>0</v>
      </c>
      <c r="I67" s="41" t="n">
        <f aca="false">Seg!$I$62+Seg!$I$63-Seg!$I$64</f>
        <v>0</v>
      </c>
      <c r="J67" s="41" t="n">
        <f aca="false">Seg!$J$62+Seg!$J$63-Seg!$J$64</f>
        <v>0</v>
      </c>
      <c r="K67" s="41" t="n">
        <f aca="false">Seg!$K$62+Seg!$K$63-Seg!$K$64</f>
        <v>0</v>
      </c>
      <c r="L67" s="41" t="n">
        <f aca="false">Seg!$L$62+Seg!$L$63-Seg!$L$64</f>
        <v>0</v>
      </c>
      <c r="M67" s="41" t="n">
        <f aca="false">Seg!$M$62+Seg!$M$63-Seg!$M$64</f>
        <v>0</v>
      </c>
      <c r="N67" s="41" t="n">
        <f aca="false">Seg!$N$62+Seg!$N$63-Seg!$N$64</f>
        <v>0</v>
      </c>
      <c r="O67" s="41" t="n">
        <f aca="false">Seg!$O$62+Seg!$O$63-Seg!$O$64</f>
        <v>0</v>
      </c>
    </row>
    <row r="68" customFormat="false" ht="17.15" hidden="false" customHeight="false" outlineLevel="0" collapsed="false">
      <c r="A68" s="24" t="s">
        <v>699</v>
      </c>
      <c r="B68" s="25" t="s">
        <v>86</v>
      </c>
      <c r="C68" s="41" t="n">
        <f aca="false">Seg!$C$57+Seg!$C$58+Seg!$C$64-Seg!$C$65</f>
        <v>0</v>
      </c>
      <c r="D68" s="41" t="n">
        <f aca="false">Seg!$D$57+Seg!$D$58+Seg!$D$64-Seg!$D$65</f>
        <v>0</v>
      </c>
      <c r="E68" s="41" t="n">
        <f aca="false">Seg!$E$57+Seg!$E$58+Seg!$E$64-Seg!$E$65</f>
        <v>0</v>
      </c>
      <c r="F68" s="41" t="n">
        <f aca="false">Seg!$F$57+Seg!$F$58+Seg!$F$64-Seg!$F$65</f>
        <v>0</v>
      </c>
      <c r="G68" s="41" t="n">
        <f aca="false">Seg!$G$57+Seg!$G$58+Seg!$G$64-Seg!$G$65</f>
        <v>0</v>
      </c>
      <c r="H68" s="41" t="n">
        <f aca="false">Seg!$H$57+Seg!$H$58+Seg!$H$64-Seg!$H$65</f>
        <v>0</v>
      </c>
      <c r="I68" s="41" t="n">
        <f aca="false">Seg!$I$57+Seg!$I$58+Seg!$I$64-Seg!$I$65</f>
        <v>0</v>
      </c>
      <c r="J68" s="41" t="n">
        <f aca="false">Seg!$J$57+Seg!$J$58+Seg!$J$64-Seg!$J$65</f>
        <v>0</v>
      </c>
      <c r="K68" s="41" t="n">
        <f aca="false">Seg!$K$57+Seg!$K$58+Seg!$K$64-Seg!$K$65</f>
        <v>0</v>
      </c>
      <c r="L68" s="41" t="n">
        <f aca="false">Seg!$L$57+Seg!$L$58+Seg!$L$64-Seg!$L$65</f>
        <v>0</v>
      </c>
      <c r="M68" s="41" t="n">
        <f aca="false">Seg!$M$57+Seg!$M$58+Seg!$M$64-Seg!$M$65</f>
        <v>0</v>
      </c>
      <c r="N68" s="41" t="n">
        <f aca="false">Seg!$N$57+Seg!$N$58+Seg!$N$64-Seg!$N$65</f>
        <v>0</v>
      </c>
      <c r="O68" s="41" t="n">
        <f aca="false">Seg!$O$57+Seg!$O$58+Seg!$O$64-Seg!$O$65</f>
        <v>0</v>
      </c>
    </row>
    <row r="69" customFormat="false" ht="15" hidden="false" customHeight="false" outlineLevel="0" collapsed="false">
      <c r="A69" s="5" t="s">
        <v>693</v>
      </c>
      <c r="B69" s="0" t="s">
        <v>52</v>
      </c>
      <c r="G69" s="13" t="n">
        <f aca="false">Seg!$G$65/Seg!$D$65-1</f>
        <v>0.140854504918937</v>
      </c>
      <c r="H69" s="13" t="n">
        <f aca="false">Seg!$H$65/Seg!$G$65-1</f>
        <v>0.152063789793209</v>
      </c>
      <c r="I69" s="13" t="n">
        <f aca="false">Seg!$I$65/Seg!$H$65-1</f>
        <v>0.134273264437417</v>
      </c>
      <c r="J69" s="13" t="n">
        <f aca="false">Seg!$J$65/Seg!$I$65-1</f>
        <v>0.113310421234083</v>
      </c>
      <c r="K69" s="13" t="n">
        <f aca="false">Seg!$K$65/Seg!$J$65-1</f>
        <v>0.0892108343223652</v>
      </c>
      <c r="L69" s="13" t="n">
        <f aca="false">Seg!$L$65/Seg!$K$65-1</f>
        <v>0.076471362444261</v>
      </c>
      <c r="M69" s="13" t="n">
        <f aca="false">Seg!$M$65/Seg!$L$65-1</f>
        <v>0.066250060256672</v>
      </c>
    </row>
    <row r="70" customFormat="false" ht="17.15" hidden="false" customHeight="false" outlineLevel="0" collapsed="false">
      <c r="A70" s="0" t="s">
        <v>694</v>
      </c>
      <c r="B70" s="0" t="s">
        <v>52</v>
      </c>
      <c r="C70" s="13" t="n">
        <f aca="false">Seg!$C$64/Seg!$C$65</f>
        <v>0.168593906504964</v>
      </c>
      <c r="D70" s="13" t="n">
        <f aca="false">Seg!$D$64/Seg!$D$65</f>
        <v>0.179551807444025</v>
      </c>
      <c r="E70" s="13" t="n">
        <f aca="false">Seg!$E$64/Seg!$E$65</f>
        <v>0.208881910369643</v>
      </c>
      <c r="F70" s="13" t="n">
        <f aca="false">Seg!$F$64/Seg!$F$65</f>
        <v>0.199028269699356</v>
      </c>
      <c r="G70" s="13" t="n">
        <f aca="false">Seg!$G$64/Seg!$G$65</f>
        <v>0.203631882529968</v>
      </c>
      <c r="H70" s="13" t="n">
        <f aca="false">Seg!$H$64/Seg!$H$65</f>
        <v>0.234731715958496</v>
      </c>
      <c r="I70" s="13" t="n">
        <f aca="false">Seg!$I$64/Seg!$I$65</f>
        <v>0.262231204480418</v>
      </c>
      <c r="J70" s="13" t="n">
        <f aca="false">Seg!$J$64/Seg!$J$65</f>
        <v>0.284728366013706</v>
      </c>
      <c r="K70" s="13" t="n">
        <f aca="false">Seg!$K$64/Seg!$K$65</f>
        <v>0.300823304959505</v>
      </c>
      <c r="L70" s="13" t="n">
        <f aca="false">Seg!$L$64/Seg!$L$65</f>
        <v>0.308263164529735</v>
      </c>
      <c r="M70" s="13" t="n">
        <f aca="false">Seg!$M$64/Seg!$M$65</f>
        <v>0.308856517936036</v>
      </c>
      <c r="N70" s="13" t="n">
        <f aca="false">Seg!$N$64/Seg!$N$65</f>
        <v>0.185979484737251</v>
      </c>
      <c r="O70" s="13" t="n">
        <f aca="false">Seg!$O$64/Seg!$O$65</f>
        <v>0.174270432341096</v>
      </c>
    </row>
    <row r="71" customFormat="false" ht="17.15" hidden="false" customHeight="false" outlineLevel="0" collapsed="false">
      <c r="A71" s="0" t="s">
        <v>695</v>
      </c>
      <c r="B71" s="0" t="s">
        <v>52</v>
      </c>
      <c r="C71" s="13" t="n">
        <f aca="false">Seg!$C$62/Seg!$C$64</f>
        <v>0.0215795060896058</v>
      </c>
      <c r="D71" s="13" t="n">
        <f aca="false">Seg!$D$62/Seg!$D$64</f>
        <v>0.0676152269462122</v>
      </c>
      <c r="E71" s="13" t="n">
        <f aca="false">Seg!$E$62/Seg!$E$64</f>
        <v>0.106620641395783</v>
      </c>
      <c r="F71" s="13" t="n">
        <f aca="false">Seg!$F$62/Seg!$F$64</f>
        <v>0.172523487401099</v>
      </c>
      <c r="G71" s="13" t="n">
        <f aca="false">Seg!$G$62/Seg!$G$64</f>
        <v>0.140939911795589</v>
      </c>
      <c r="H71" s="13" t="n">
        <f aca="false">Seg!$H$62/Seg!$H$64</f>
        <v>0.272018642937714</v>
      </c>
      <c r="I71" s="13" t="n">
        <f aca="false">Seg!$I$62/Seg!$I$64</f>
        <v>0.362159512436497</v>
      </c>
      <c r="J71" s="13" t="n">
        <f aca="false">Seg!$J$62/Seg!$J$64</f>
        <v>0.422151735934609</v>
      </c>
      <c r="K71" s="13" t="n">
        <f aca="false">Seg!$K$62/Seg!$K$64</f>
        <v>0.45769342068485</v>
      </c>
      <c r="L71" s="13" t="n">
        <f aca="false">Seg!$L$62/Seg!$L$64</f>
        <v>0.469047103913472</v>
      </c>
      <c r="M71" s="13" t="n">
        <f aca="false">Seg!$M$62/Seg!$M$64</f>
        <v>0.463233328258093</v>
      </c>
      <c r="N71" s="13" t="n">
        <f aca="false">Seg!$N$62/Seg!$N$64</f>
        <v>0.0506537999838362</v>
      </c>
      <c r="O71" s="13" t="n">
        <f aca="false">Seg!$O$62/Seg!$O$64</f>
        <v>0.0824881615167056</v>
      </c>
    </row>
    <row r="74" customFormat="false" ht="19.4" hidden="false" customHeight="false" outlineLevel="0" collapsed="false">
      <c r="A74" s="31" t="s">
        <v>700</v>
      </c>
    </row>
    <row r="75" customFormat="false" ht="17.15" hidden="false" customHeight="false" outlineLevel="0" collapsed="false">
      <c r="A75" s="6" t="s">
        <v>16</v>
      </c>
      <c r="B75" s="6" t="s">
        <v>17</v>
      </c>
      <c r="C75" s="20" t="s">
        <v>494</v>
      </c>
      <c r="D75" s="20" t="s">
        <v>495</v>
      </c>
      <c r="E75" s="20" t="s">
        <v>577</v>
      </c>
      <c r="F75" s="20" t="s">
        <v>578</v>
      </c>
      <c r="G75" s="20" t="s">
        <v>579</v>
      </c>
      <c r="H75" s="20" t="s">
        <v>580</v>
      </c>
      <c r="I75" s="20" t="s">
        <v>581</v>
      </c>
      <c r="J75" s="20" t="s">
        <v>582</v>
      </c>
      <c r="K75" s="20" t="s">
        <v>583</v>
      </c>
      <c r="L75" s="20" t="s">
        <v>584</v>
      </c>
      <c r="M75" s="20" t="s">
        <v>585</v>
      </c>
      <c r="N75" s="20" t="s">
        <v>586</v>
      </c>
      <c r="O75" s="20" t="s">
        <v>587</v>
      </c>
      <c r="P75" s="6" t="s">
        <v>23</v>
      </c>
      <c r="R75" s="20" t="n">
        <v>2023</v>
      </c>
      <c r="S75" s="20" t="n">
        <v>2024</v>
      </c>
      <c r="T75" s="20" t="n">
        <v>2025</v>
      </c>
      <c r="U75" s="20" t="n">
        <v>2026</v>
      </c>
      <c r="V75" s="20" t="n">
        <v>2027</v>
      </c>
      <c r="W75" s="20" t="n">
        <v>2028</v>
      </c>
      <c r="X75" s="20" t="n">
        <v>2029</v>
      </c>
      <c r="Y75" s="20" t="n">
        <v>2030</v>
      </c>
      <c r="Z75" s="20" t="n">
        <v>2031</v>
      </c>
      <c r="AA75" s="20" t="n">
        <v>2032</v>
      </c>
    </row>
    <row r="76" customFormat="false" ht="17.15" hidden="false" customHeight="false" outlineLevel="0" collapsed="false">
      <c r="A76" s="1" t="s">
        <v>660</v>
      </c>
    </row>
    <row r="77" customFormat="false" ht="17.15" hidden="false" customHeight="false" outlineLevel="0" collapsed="false">
      <c r="A77" s="0" t="s">
        <v>516</v>
      </c>
      <c r="B77" s="0" t="s">
        <v>86</v>
      </c>
      <c r="C77" s="38" t="n">
        <f aca="false">Q!$D$10</f>
        <v>247.029</v>
      </c>
      <c r="D77" s="38" t="n">
        <f aca="false">Q!$E$10</f>
        <v>269.287</v>
      </c>
      <c r="E77" s="38" t="n">
        <f aca="false">Q!$P$10</f>
        <v>134.686</v>
      </c>
      <c r="F77" s="38" t="n">
        <f aca="false">Seg!$O$77*(1+Seg!$F$78)*Seg!$F$89</f>
        <v>158.668476412251</v>
      </c>
      <c r="G77" s="38" t="n">
        <f aca="false">Seg!$E$77+Seg!$F$77</f>
        <v>293.354476412251</v>
      </c>
      <c r="H77" s="38" t="n">
        <f aca="false">Seg!$G$77*(1+Seg!$H$78)</f>
        <v>318.591368978214</v>
      </c>
      <c r="I77" s="38" t="n">
        <f aca="false">Seg!$H$77*(1+Seg!$I$78)</f>
        <v>342.173217541669</v>
      </c>
      <c r="J77" s="38" t="n">
        <f aca="false">Seg!$I$77*(1+Seg!$J$78)</f>
        <v>363.391225945525</v>
      </c>
      <c r="K77" s="38" t="n">
        <f aca="false">Seg!$J$77*(1+Seg!$K$78)</f>
        <v>381.560787242802</v>
      </c>
      <c r="L77" s="38" t="n">
        <f aca="false">Seg!$K$77*(1+Seg!$L$78)</f>
        <v>400.638826604942</v>
      </c>
      <c r="M77" s="38" t="n">
        <f aca="false">Seg!$L$77*(1+Seg!$M$78)</f>
        <v>420.670767935189</v>
      </c>
      <c r="N77" s="38" t="n">
        <f aca="false">Q!$N$10</f>
        <v>118.892</v>
      </c>
      <c r="O77" s="38" t="n">
        <f aca="false">Q!$O$10</f>
        <v>150.395</v>
      </c>
      <c r="P77" s="8" t="s">
        <v>661</v>
      </c>
    </row>
    <row r="78" customFormat="false" ht="17.15" hidden="false" customHeight="false" outlineLevel="0" collapsed="false">
      <c r="A78" s="0" t="s">
        <v>662</v>
      </c>
      <c r="B78" s="0" t="s">
        <v>52</v>
      </c>
      <c r="E78" s="13" t="n">
        <f aca="false">Seg!$E$77/Seg!$N$77-1</f>
        <v>0.132843252699929</v>
      </c>
      <c r="F78" s="13" t="n">
        <f aca="false">Seg!$O$77/(Q!$F$10+Q!$G$10)-1</f>
        <v>0.0980382135842941</v>
      </c>
      <c r="G78" s="13" t="n">
        <f aca="false">Seg!$G$77/Seg!$D$77-1</f>
        <v>0.0893748172479594</v>
      </c>
      <c r="H78" s="13" t="n">
        <f aca="false">Seg!$F$78+(g_os-Seg!$F$78)*1/4</f>
        <v>0.0860286601882206</v>
      </c>
      <c r="I78" s="13" t="n">
        <f aca="false">Seg!$F$78+(g_os-Seg!$F$78)*2/4</f>
        <v>0.074019106792147</v>
      </c>
      <c r="J78" s="13" t="n">
        <f aca="false">Seg!$F$78+(g_os-Seg!$F$78)*3/4</f>
        <v>0.0620095533960735</v>
      </c>
      <c r="K78" s="13" t="n">
        <f aca="false">Seg!$F$78+(g_os-Seg!$F$78)*4/4</f>
        <v>0.05</v>
      </c>
      <c r="L78" s="13" t="n">
        <f aca="false">g_os</f>
        <v>0.05</v>
      </c>
      <c r="M78" s="13" t="n">
        <f aca="false">g_os</f>
        <v>0.05</v>
      </c>
      <c r="P78" s="8" t="s">
        <v>663</v>
      </c>
    </row>
    <row r="79" customFormat="false" ht="17.15" hidden="false" customHeight="false" outlineLevel="0" collapsed="false">
      <c r="A79" s="0" t="s">
        <v>517</v>
      </c>
      <c r="B79" s="0" t="s">
        <v>86</v>
      </c>
      <c r="C79" s="38" t="n">
        <f aca="false">Q!$D$11</f>
        <v>21.215</v>
      </c>
      <c r="D79" s="38" t="n">
        <f aca="false">Q!$E$11</f>
        <v>22.561</v>
      </c>
      <c r="E79" s="38" t="n">
        <f aca="false">Q!$P$11</f>
        <v>11.579</v>
      </c>
      <c r="F79" s="38" t="n">
        <f aca="false">Seg!$O$79*(1+Seg!$F$80)*Seg!$F$89</f>
        <v>11.6213091500405</v>
      </c>
      <c r="G79" s="38" t="n">
        <f aca="false">Seg!$E$79+Seg!$F$79</f>
        <v>23.2003091500405</v>
      </c>
      <c r="H79" s="38" t="n">
        <f aca="false">Seg!$G$79*(1+Seg!$H$80)</f>
        <v>24.3822271849556</v>
      </c>
      <c r="I79" s="38" t="n">
        <f aca="false">Seg!$H$79*(1+Seg!$I$80)</f>
        <v>25.4541359521165</v>
      </c>
      <c r="J79" s="38" t="n">
        <f aca="false">Seg!$I$79*(1+Seg!$J$80)</f>
        <v>26.3954643817717</v>
      </c>
      <c r="K79" s="38" t="n">
        <f aca="false">Seg!$J$79*(1+Seg!$K$80)</f>
        <v>27.1873283132248</v>
      </c>
      <c r="L79" s="38" t="n">
        <f aca="false">Seg!$K$79*(1+Seg!$L$80)</f>
        <v>28.0029481626215</v>
      </c>
      <c r="M79" s="38" t="n">
        <f aca="false">Seg!$L$79*(1+Seg!$M$80)</f>
        <v>28.8430366075002</v>
      </c>
      <c r="N79" s="38" t="n">
        <f aca="false">Q!$N$11</f>
        <v>11.128</v>
      </c>
      <c r="O79" s="38" t="n">
        <f aca="false">Q!$O$11</f>
        <v>11.433</v>
      </c>
      <c r="P79" s="8" t="s">
        <v>661</v>
      </c>
    </row>
    <row r="80" customFormat="false" ht="17.15" hidden="false" customHeight="false" outlineLevel="0" collapsed="false">
      <c r="A80" s="0" t="s">
        <v>664</v>
      </c>
      <c r="B80" s="0" t="s">
        <v>52</v>
      </c>
      <c r="E80" s="13" t="n">
        <f aca="false">Seg!$E$79/Seg!$N$79-1</f>
        <v>0.0405283968368082</v>
      </c>
      <c r="F80" s="13" t="n">
        <f aca="false">Seg!$O$79/(Q!$F$11+Q!$G$11)-1</f>
        <v>0.0579254187100955</v>
      </c>
      <c r="G80" s="13" t="n">
        <f aca="false">Seg!$G$79/Seg!$D$79-1</f>
        <v>0.0283369154753981</v>
      </c>
      <c r="H80" s="13" t="n">
        <f aca="false">Seg!$F$80+(g_ps-Seg!$F$80)*1/4</f>
        <v>0.0509440640325716</v>
      </c>
      <c r="I80" s="13" t="n">
        <f aca="false">Seg!$F$80+(g_ps-Seg!$F$80)*2/4</f>
        <v>0.0439627093550477</v>
      </c>
      <c r="J80" s="13" t="n">
        <f aca="false">Seg!$F$80+(g_ps-Seg!$F$80)*3/4</f>
        <v>0.0369813546775239</v>
      </c>
      <c r="K80" s="13" t="n">
        <f aca="false">Seg!$F$80+(g_ps-Seg!$F$80)*4/4</f>
        <v>0.03</v>
      </c>
      <c r="L80" s="13" t="n">
        <f aca="false">g_ps</f>
        <v>0.03</v>
      </c>
      <c r="M80" s="13" t="n">
        <f aca="false">g_ps</f>
        <v>0.03</v>
      </c>
      <c r="P80" s="8" t="s">
        <v>665</v>
      </c>
    </row>
    <row r="81" customFormat="false" ht="17.15" hidden="false" customHeight="false" outlineLevel="0" collapsed="false">
      <c r="A81" s="0" t="s">
        <v>518</v>
      </c>
      <c r="B81" s="0" t="s">
        <v>86</v>
      </c>
      <c r="C81" s="38" t="n">
        <f aca="false">Q!$D$12</f>
        <v>156.146</v>
      </c>
      <c r="D81" s="38" t="n">
        <f aca="false">Q!$E$12</f>
        <v>172.162</v>
      </c>
      <c r="E81" s="38" t="n">
        <f aca="false">Q!$P$12</f>
        <v>88.358</v>
      </c>
      <c r="F81" s="38" t="n">
        <f aca="false">Seg!$O$81*(1+Seg!$F$82)*Seg!$F$89</f>
        <v>102.245779795877</v>
      </c>
      <c r="G81" s="38" t="n">
        <f aca="false">Seg!$E$81+Seg!$F$81</f>
        <v>190.603779795877</v>
      </c>
      <c r="H81" s="38" t="n">
        <f aca="false">Seg!$G$81*(1+Seg!$H$82)</f>
        <v>210.60983493727</v>
      </c>
      <c r="I81" s="38" t="n">
        <f aca="false">Seg!$H$81*(1+Seg!$I$82)</f>
        <v>230.261344640224</v>
      </c>
      <c r="J81" s="38" t="n">
        <f aca="false">Seg!$I$81*(1+Seg!$J$82)</f>
        <v>249.063064692541</v>
      </c>
      <c r="K81" s="38" t="n">
        <f aca="false">Seg!$J$81*(1+Seg!$K$82)</f>
        <v>266.497479221019</v>
      </c>
      <c r="L81" s="38" t="n">
        <f aca="false">Seg!$K$81*(1+Seg!$L$82)</f>
        <v>285.15230276649</v>
      </c>
      <c r="M81" s="38" t="n">
        <f aca="false">Seg!$L$81*(1+Seg!$M$82)</f>
        <v>305.112963960145</v>
      </c>
      <c r="N81" s="38" t="n">
        <f aca="false">Q!$N$12</f>
        <v>76.86</v>
      </c>
      <c r="O81" s="38" t="n">
        <f aca="false">Q!$O$12</f>
        <v>95.302</v>
      </c>
      <c r="P81" s="8" t="s">
        <v>661</v>
      </c>
    </row>
    <row r="82" customFormat="false" ht="17.15" hidden="false" customHeight="false" outlineLevel="0" collapsed="false">
      <c r="A82" s="0" t="s">
        <v>666</v>
      </c>
      <c r="B82" s="0" t="s">
        <v>52</v>
      </c>
      <c r="E82" s="13" t="n">
        <f aca="false">Seg!$E$81/Seg!$N$81-1</f>
        <v>0.1495966692688</v>
      </c>
      <c r="F82" s="13" t="n">
        <f aca="false">Seg!$O$81/(Q!$F$12+Q!$G$12)-1</f>
        <v>0.11661530890813</v>
      </c>
      <c r="G82" s="13" t="n">
        <f aca="false">Seg!$G$81/Seg!$D$81-1</f>
        <v>0.107118759051804</v>
      </c>
      <c r="H82" s="13" t="n">
        <f aca="false">Seg!$F$82+(g_sp-Seg!$F$82)*1/4</f>
        <v>0.104961481681098</v>
      </c>
      <c r="I82" s="13" t="n">
        <f aca="false">Seg!$F$82+(g_sp-Seg!$F$82)*2/4</f>
        <v>0.0933076544540651</v>
      </c>
      <c r="J82" s="13" t="n">
        <f aca="false">Seg!$F$82+(g_sp-Seg!$F$82)*3/4</f>
        <v>0.0816538272270325</v>
      </c>
      <c r="K82" s="13" t="n">
        <f aca="false">Seg!$F$82+(g_sp-Seg!$F$82)*4/4</f>
        <v>0.07</v>
      </c>
      <c r="L82" s="13" t="n">
        <f aca="false">g_sp</f>
        <v>0.07</v>
      </c>
      <c r="M82" s="13" t="n">
        <f aca="false">g_sp</f>
        <v>0.07</v>
      </c>
      <c r="P82" s="8" t="s">
        <v>667</v>
      </c>
    </row>
    <row r="83" customFormat="false" ht="17.15" hidden="false" customHeight="false" outlineLevel="0" collapsed="false">
      <c r="A83" s="0" t="s">
        <v>519</v>
      </c>
      <c r="B83" s="0" t="s">
        <v>86</v>
      </c>
      <c r="C83" s="38" t="n">
        <f aca="false">Q!$D$13</f>
        <v>56.214</v>
      </c>
      <c r="D83" s="38" t="n">
        <f aca="false">Q!$E$13</f>
        <v>68.635</v>
      </c>
      <c r="E83" s="38" t="n">
        <f aca="false">Q!$P$13</f>
        <v>37.052</v>
      </c>
      <c r="F83" s="38" t="n">
        <f aca="false">Seg!$O$83*(1+Seg!$F$84)*Seg!$F$89</f>
        <v>46.2664522235369</v>
      </c>
      <c r="G83" s="38" t="n">
        <f aca="false">Seg!$E$83+Seg!$F$83</f>
        <v>83.3184522235369</v>
      </c>
      <c r="H83" s="38" t="n">
        <f aca="false">Seg!$G$83*(1+Seg!$H$84)</f>
        <v>100.028058858826</v>
      </c>
      <c r="I83" s="38" t="n">
        <f aca="false">Seg!$H$83*(1+Seg!$I$84)</f>
        <v>116.736151823813</v>
      </c>
      <c r="J83" s="38" t="n">
        <f aca="false">Seg!$I$83*(1+Seg!$J$84)</f>
        <v>132.322416213921</v>
      </c>
      <c r="K83" s="38" t="n">
        <f aca="false">Seg!$J$83*(1+Seg!$K$84)</f>
        <v>145.554657835313</v>
      </c>
      <c r="L83" s="38" t="n">
        <f aca="false">Seg!$K$83*(1+Seg!$L$84)</f>
        <v>160.110123618844</v>
      </c>
      <c r="M83" s="38" t="n">
        <f aca="false">Seg!$L$83*(1+Seg!$M$84)</f>
        <v>176.121135980728</v>
      </c>
      <c r="N83" s="38" t="n">
        <f aca="false">Q!$N$13</f>
        <v>29.615</v>
      </c>
      <c r="O83" s="38" t="n">
        <f aca="false">Q!$O$13</f>
        <v>39.02</v>
      </c>
      <c r="P83" s="8" t="s">
        <v>661</v>
      </c>
    </row>
    <row r="84" customFormat="false" ht="17.15" hidden="false" customHeight="false" outlineLevel="0" collapsed="false">
      <c r="A84" s="0" t="s">
        <v>668</v>
      </c>
      <c r="B84" s="0" t="s">
        <v>52</v>
      </c>
      <c r="E84" s="13" t="n">
        <f aca="false">Seg!$E$83/Seg!$N$83-1</f>
        <v>0.25112274185379</v>
      </c>
      <c r="F84" s="13" t="n">
        <f aca="false">Seg!$O$83/(Q!$F$13+Q!$G$13)-1</f>
        <v>0.234068123596572</v>
      </c>
      <c r="G84" s="13" t="n">
        <f aca="false">Seg!$G$83/Seg!$D$83-1</f>
        <v>0.213935342369591</v>
      </c>
      <c r="H84" s="13" t="n">
        <f aca="false">Seg!$F$84+(g_ad-Seg!$F$84)*1/4</f>
        <v>0.200551092697429</v>
      </c>
      <c r="I84" s="13" t="n">
        <f aca="false">Seg!$F$84+(g_ad-Seg!$F$84)*2/4</f>
        <v>0.167034061798286</v>
      </c>
      <c r="J84" s="13" t="n">
        <f aca="false">Seg!$F$84+(g_ad-Seg!$F$84)*3/4</f>
        <v>0.133517030899143</v>
      </c>
      <c r="K84" s="13" t="n">
        <f aca="false">Seg!$F$84+(g_ad-Seg!$F$84)*4/4</f>
        <v>0.1</v>
      </c>
      <c r="L84" s="13" t="n">
        <f aca="false">g_ad</f>
        <v>0.1</v>
      </c>
      <c r="M84" s="13" t="n">
        <f aca="false">g_ad</f>
        <v>0.1</v>
      </c>
      <c r="P84" s="8" t="s">
        <v>669</v>
      </c>
    </row>
    <row r="85" customFormat="false" ht="17.15" hidden="false" customHeight="false" outlineLevel="0" collapsed="false">
      <c r="A85" s="0" t="s">
        <v>520</v>
      </c>
      <c r="B85" s="0" t="s">
        <v>86</v>
      </c>
      <c r="C85" s="38" t="n">
        <f aca="false">Q!$D$14</f>
        <v>44.374</v>
      </c>
      <c r="D85" s="38" t="n">
        <f aca="false">Q!$E$14</f>
        <v>49.619</v>
      </c>
      <c r="E85" s="38" t="n">
        <f aca="false">Q!$P$14</f>
        <v>27.157</v>
      </c>
      <c r="F85" s="38" t="n">
        <f aca="false">Seg!$O$85*(1+Seg!$F$86)*Seg!$F$89</f>
        <v>27.8421489851719</v>
      </c>
      <c r="G85" s="38" t="n">
        <f aca="false">Seg!$E$85+Seg!$F$85</f>
        <v>54.9991489851719</v>
      </c>
      <c r="H85" s="38" t="n">
        <f aca="false">Seg!$G$85*(1+Seg!$H$86)</f>
        <v>61.229589971467</v>
      </c>
      <c r="I85" s="38" t="n">
        <f aca="false">Seg!$H$85*(1+Seg!$I$86)</f>
        <v>67.2824410074817</v>
      </c>
      <c r="J85" s="38" t="n">
        <f aca="false">Seg!$I$85*(1+Seg!$J$86)</f>
        <v>72.9629292513489</v>
      </c>
      <c r="K85" s="38" t="n">
        <f aca="false">Seg!$J$85*(1+Seg!$K$86)</f>
        <v>78.0703342989433</v>
      </c>
      <c r="L85" s="38" t="n">
        <f aca="false">Seg!$K$85*(1+Seg!$L$86)</f>
        <v>83.5352576998693</v>
      </c>
      <c r="M85" s="38" t="n">
        <f aca="false">Seg!$L$85*(1+Seg!$M$86)</f>
        <v>89.3827257388602</v>
      </c>
      <c r="N85" s="38" t="n">
        <f aca="false">Q!$N$14</f>
        <v>23.923</v>
      </c>
      <c r="O85" s="38" t="n">
        <f aca="false">Q!$O$14</f>
        <v>25.696</v>
      </c>
      <c r="P85" s="8" t="s">
        <v>661</v>
      </c>
    </row>
    <row r="86" customFormat="false" ht="17.15" hidden="false" customHeight="false" outlineLevel="0" collapsed="false">
      <c r="A86" s="0" t="s">
        <v>670</v>
      </c>
      <c r="B86" s="0" t="s">
        <v>52</v>
      </c>
      <c r="E86" s="13" t="n">
        <f aca="false">Seg!$E$85/Seg!$N$85-1</f>
        <v>0.135183714417088</v>
      </c>
      <c r="F86" s="13" t="n">
        <f aca="false">Seg!$O$85/(Q!$F$14+Q!$G$14)-1</f>
        <v>0.127709997366804</v>
      </c>
      <c r="G86" s="13" t="n">
        <f aca="false">Seg!$G$85/Seg!$D$85-1</f>
        <v>0.108429210285817</v>
      </c>
      <c r="H86" s="13" t="n">
        <f aca="false">Seg!$F$86+(g_sub-Seg!$F$86)*1/4</f>
        <v>0.113282498025103</v>
      </c>
      <c r="I86" s="13" t="n">
        <f aca="false">Seg!$F$86+(g_sub-Seg!$F$86)*2/4</f>
        <v>0.0988549986834021</v>
      </c>
      <c r="J86" s="13" t="n">
        <f aca="false">Seg!$F$86+(g_sub-Seg!$F$86)*3/4</f>
        <v>0.084427499341701</v>
      </c>
      <c r="K86" s="13" t="n">
        <f aca="false">Seg!$F$86+(g_sub-Seg!$F$86)*4/4</f>
        <v>0.07</v>
      </c>
      <c r="L86" s="13" t="n">
        <f aca="false">g_sub</f>
        <v>0.07</v>
      </c>
      <c r="M86" s="13" t="n">
        <f aca="false">g_sub</f>
        <v>0.07</v>
      </c>
      <c r="P86" s="8" t="s">
        <v>671</v>
      </c>
    </row>
    <row r="87" customFormat="false" ht="17.15" hidden="false" customHeight="false" outlineLevel="0" collapsed="false">
      <c r="A87" s="0" t="s">
        <v>521</v>
      </c>
      <c r="B87" s="0" t="s">
        <v>86</v>
      </c>
      <c r="C87" s="38" t="n">
        <f aca="false">Q!$D$15</f>
        <v>5.425</v>
      </c>
      <c r="D87" s="38" t="n">
        <f aca="false">Q!$E$15</f>
        <v>5.935</v>
      </c>
      <c r="E87" s="38" t="n">
        <f aca="false">Q!$P$15</f>
        <v>3.474</v>
      </c>
      <c r="F87" s="38" t="n">
        <f aca="false">Seg!$O$87*(1+Seg!$F$88)*Seg!$F$89</f>
        <v>3.23009141504673</v>
      </c>
      <c r="G87" s="38" t="n">
        <f aca="false">Seg!$E$87+Seg!$F$87</f>
        <v>6.70409141504673</v>
      </c>
      <c r="H87" s="38" t="n">
        <f aca="false">Seg!$G$87*(1+Seg!$H$88)</f>
        <v>7.17067008169072</v>
      </c>
      <c r="I87" s="38" t="n">
        <f aca="false">Seg!$H$87*(1+Seg!$I$88)</f>
        <v>7.62288173350109</v>
      </c>
      <c r="J87" s="38" t="n">
        <f aca="false">Seg!$I$87*(1+Seg!$J$88)</f>
        <v>8.05381875674918</v>
      </c>
      <c r="K87" s="38" t="n">
        <f aca="false">Seg!$J$87*(1+Seg!$K$88)</f>
        <v>8.45650969458664</v>
      </c>
      <c r="L87" s="38" t="n">
        <f aca="false">Seg!$K$87*(1+Seg!$L$88)</f>
        <v>8.87933517931597</v>
      </c>
      <c r="M87" s="38" t="n">
        <f aca="false">Seg!$L$87*(1+Seg!$M$88)</f>
        <v>9.32330193828177</v>
      </c>
      <c r="N87" s="38" t="n">
        <f aca="false">Q!$N$15</f>
        <v>2.811</v>
      </c>
      <c r="O87" s="38" t="n">
        <f aca="false">Q!$O$15</f>
        <v>3.124</v>
      </c>
      <c r="P87" s="8" t="s">
        <v>661</v>
      </c>
    </row>
    <row r="88" customFormat="false" ht="17.15" hidden="false" customHeight="false" outlineLevel="0" collapsed="false">
      <c r="A88" s="0" t="s">
        <v>672</v>
      </c>
      <c r="B88" s="0" t="s">
        <v>52</v>
      </c>
      <c r="E88" s="13" t="n">
        <f aca="false">Seg!$E$87/Seg!$N$87-1</f>
        <v>0.235859124866596</v>
      </c>
      <c r="F88" s="13" t="n">
        <f aca="false">Seg!$O$87/(Q!$F$15+Q!$G$15)-1</f>
        <v>0.0761281433000345</v>
      </c>
      <c r="G88" s="13" t="n">
        <f aca="false">Seg!$G$87/Seg!$D$87-1</f>
        <v>0.129585748112338</v>
      </c>
      <c r="H88" s="13" t="n">
        <f aca="false">Seg!$F$88+(g_ot-Seg!$F$88)*1/4</f>
        <v>0.0695961074750259</v>
      </c>
      <c r="I88" s="13" t="n">
        <f aca="false">Seg!$F$88+(g_ot-Seg!$F$88)*2/4</f>
        <v>0.0630640716500172</v>
      </c>
      <c r="J88" s="13" t="n">
        <f aca="false">Seg!$F$88+(g_ot-Seg!$F$88)*3/4</f>
        <v>0.0565320358250086</v>
      </c>
      <c r="K88" s="13" t="n">
        <f aca="false">Seg!$F$88+(g_ot-Seg!$F$88)*4/4</f>
        <v>0.05</v>
      </c>
      <c r="L88" s="13" t="n">
        <f aca="false">g_ot</f>
        <v>0.05</v>
      </c>
      <c r="M88" s="13" t="n">
        <f aca="false">g_ot</f>
        <v>0.05</v>
      </c>
      <c r="P88" s="8" t="s">
        <v>673</v>
      </c>
    </row>
    <row r="89" customFormat="false" ht="17.15" hidden="false" customHeight="false" outlineLevel="0" collapsed="false">
      <c r="A89" s="0" t="s">
        <v>674</v>
      </c>
      <c r="B89" s="0" t="s">
        <v>57</v>
      </c>
      <c r="F89" s="40" t="n">
        <f aca="false">(g26q3_mid*Q!$O$8/Q!$J$8-Thesis!$F$142-Thesis!$F$146)/(Seg!$O$77*(1+Seg!$F$78)+Seg!$O$79*(1+Seg!$F$80)+Seg!$O$81*(1+Seg!$F$82)+Seg!$O$83*(1+Seg!$F$84)+Seg!$O$85*(1+Seg!$F$86)+Seg!$O$87*(1+Seg!$F$88))</f>
        <v>0.96081505394204</v>
      </c>
      <c r="P89" s="8" t="s">
        <v>675</v>
      </c>
    </row>
    <row r="90" customFormat="false" ht="17.15" hidden="false" customHeight="false" outlineLevel="0" collapsed="false">
      <c r="A90" s="3" t="s">
        <v>676</v>
      </c>
      <c r="B90" s="8" t="s">
        <v>86</v>
      </c>
      <c r="C90" s="38" t="n">
        <f aca="false">Seg!$C$77+Seg!$C$79+Seg!$C$81+Seg!$C$83+Seg!$C$85+Seg!$C$87</f>
        <v>530.403</v>
      </c>
      <c r="D90" s="38" t="n">
        <f aca="false">Seg!$D$77+Seg!$D$79+Seg!$D$81+Seg!$D$83+Seg!$D$85+Seg!$D$87</f>
        <v>588.199</v>
      </c>
      <c r="E90" s="38" t="n">
        <f aca="false">Seg!$E$77+Seg!$E$79+Seg!$E$81+Seg!$E$83+Seg!$E$85+Seg!$E$87</f>
        <v>302.306</v>
      </c>
      <c r="F90" s="38" t="n">
        <f aca="false">Seg!$F$77+Seg!$F$79+Seg!$F$81+Seg!$F$83+Seg!$F$85+Seg!$F$87</f>
        <v>349.874257981924</v>
      </c>
      <c r="G90" s="38" t="n">
        <f aca="false">Seg!$G$77+Seg!$G$79+Seg!$G$81+Seg!$G$83+Seg!$G$85+Seg!$G$87</f>
        <v>652.180257981924</v>
      </c>
      <c r="H90" s="38" t="n">
        <f aca="false">Seg!$H$77+Seg!$H$79+Seg!$H$81+Seg!$H$83+Seg!$H$85+Seg!$H$87</f>
        <v>722.011750012423</v>
      </c>
      <c r="I90" s="38" t="n">
        <f aca="false">Seg!$I$77+Seg!$I$79+Seg!$I$81+Seg!$I$83+Seg!$I$85+Seg!$I$87</f>
        <v>789.530172698806</v>
      </c>
      <c r="J90" s="38" t="n">
        <f aca="false">Seg!$J$77+Seg!$J$79+Seg!$J$81+Seg!$J$83+Seg!$J$85+Seg!$J$87</f>
        <v>852.188919241856</v>
      </c>
      <c r="K90" s="38" t="n">
        <f aca="false">Seg!$K$77+Seg!$K$79+Seg!$K$81+Seg!$K$83+Seg!$K$85+Seg!$K$87</f>
        <v>907.327096605888</v>
      </c>
      <c r="L90" s="38" t="n">
        <f aca="false">Seg!$L$77+Seg!$L$79+Seg!$L$81+Seg!$L$83+Seg!$L$85+Seg!$L$87</f>
        <v>966.318794032083</v>
      </c>
      <c r="M90" s="38" t="n">
        <f aca="false">Seg!$M$77+Seg!$M$79+Seg!$M$81+Seg!$M$83+Seg!$M$85+Seg!$M$87</f>
        <v>1029.4539321607</v>
      </c>
      <c r="N90" s="38" t="n">
        <f aca="false">Seg!$N$77+Seg!$N$79+Seg!$N$81+Seg!$N$83+Seg!$N$85+Seg!$N$87</f>
        <v>263.229</v>
      </c>
      <c r="O90" s="38" t="n">
        <f aca="false">Seg!$O$77+Seg!$O$79+Seg!$O$81+Seg!$O$83+Seg!$O$85+Seg!$O$87</f>
        <v>324.97</v>
      </c>
    </row>
    <row r="91" customFormat="false" ht="17.15" hidden="false" customHeight="false" outlineLevel="0" collapsed="false">
      <c r="A91" s="5" t="s">
        <v>677</v>
      </c>
      <c r="B91" s="0" t="s">
        <v>52</v>
      </c>
      <c r="C91" s="13" t="n">
        <f aca="false">Q!$D$5/(Q!$D$5+Q!$D$6)</f>
        <v>0.730570905519011</v>
      </c>
      <c r="D91" s="13" t="n">
        <f aca="false">Q!$E$5/(Q!$E$5+Q!$E$6)</f>
        <v>0.724763217890544</v>
      </c>
      <c r="E91" s="13" t="n">
        <f aca="false">Q!$P$5/(Q!$P$5+Q!$P$6)</f>
        <v>0.728797972914861</v>
      </c>
      <c r="F91" s="13" t="n">
        <f aca="false">Seg!$O$91</f>
        <v>0.718066283041511</v>
      </c>
      <c r="G91" s="13" t="n">
        <f aca="false">Seg!$G$92/Seg!$G$90</f>
        <v>0.723040757811557</v>
      </c>
      <c r="H91" s="13" t="n">
        <f aca="false">Seg!$G$91</f>
        <v>0.723040757811557</v>
      </c>
      <c r="I91" s="13" t="n">
        <f aca="false">Seg!$G$91</f>
        <v>0.723040757811557</v>
      </c>
      <c r="J91" s="13" t="n">
        <f aca="false">Seg!$G$91</f>
        <v>0.723040757811557</v>
      </c>
      <c r="K91" s="13" t="n">
        <f aca="false">Seg!$G$91</f>
        <v>0.723040757811557</v>
      </c>
      <c r="L91" s="13" t="n">
        <f aca="false">Seg!$G$91</f>
        <v>0.723040757811557</v>
      </c>
      <c r="M91" s="13" t="n">
        <f aca="false">Seg!$G$91</f>
        <v>0.723040757811557</v>
      </c>
      <c r="N91" s="13" t="n">
        <f aca="false">Q!$N$5/(Q!$N$5+Q!$N$6)</f>
        <v>0.733030935041352</v>
      </c>
      <c r="O91" s="13" t="n">
        <f aca="false">Q!$O$5/(Q!$O$5+Q!$O$6)</f>
        <v>0.718066283041511</v>
      </c>
      <c r="P91" s="8" t="s">
        <v>678</v>
      </c>
    </row>
    <row r="92" customFormat="false" ht="17.15" hidden="false" customHeight="false" outlineLevel="0" collapsed="false">
      <c r="A92" s="1" t="s">
        <v>509</v>
      </c>
      <c r="B92" s="8" t="s">
        <v>86</v>
      </c>
      <c r="C92" s="38" t="n">
        <f aca="false">Q!$D$5</f>
        <v>387.497</v>
      </c>
      <c r="D92" s="38" t="n">
        <f aca="false">Q!$E$5</f>
        <v>426.305</v>
      </c>
      <c r="E92" s="38" t="n">
        <f aca="false">Q!$P$5</f>
        <v>220.32</v>
      </c>
      <c r="F92" s="38" t="n">
        <f aca="false">Seg!$F$90*Seg!$F$91</f>
        <v>251.232907960987</v>
      </c>
      <c r="G92" s="38" t="n">
        <f aca="false">Seg!$E$92+Seg!$F$92</f>
        <v>471.552907960987</v>
      </c>
      <c r="H92" s="38" t="n">
        <f aca="false">Seg!$H$90*Seg!$H$91</f>
        <v>522.043922877831</v>
      </c>
      <c r="I92" s="38" t="n">
        <f aca="false">Seg!$I$90*Seg!$I$91</f>
        <v>570.862494383234</v>
      </c>
      <c r="J92" s="38" t="n">
        <f aca="false">Seg!$J$90*Seg!$J$91</f>
        <v>616.167321967244</v>
      </c>
      <c r="K92" s="38" t="n">
        <f aca="false">Seg!$K$90*Seg!$K$91</f>
        <v>656.034471512881</v>
      </c>
      <c r="L92" s="38" t="n">
        <f aca="false">Seg!$L$90*Seg!$L$91</f>
        <v>698.687873124507</v>
      </c>
      <c r="M92" s="38" t="n">
        <f aca="false">Seg!$M$90*Seg!$M$91</f>
        <v>744.337151241562</v>
      </c>
      <c r="N92" s="38" t="n">
        <f aca="false">Q!$N$5</f>
        <v>192.955</v>
      </c>
      <c r="O92" s="38" t="n">
        <f aca="false">Q!$O$5</f>
        <v>233.35</v>
      </c>
      <c r="P92" s="5" t="s">
        <v>679</v>
      </c>
    </row>
    <row r="93" customFormat="false" ht="17.15" hidden="false" customHeight="false" outlineLevel="0" collapsed="false">
      <c r="A93" s="1" t="s">
        <v>512</v>
      </c>
      <c r="B93" s="8" t="s">
        <v>86</v>
      </c>
      <c r="C93" s="38" t="n">
        <f aca="false">Q!$D$6</f>
        <v>142.906</v>
      </c>
      <c r="D93" s="38" t="n">
        <f aca="false">Q!$E$6</f>
        <v>161.894</v>
      </c>
      <c r="E93" s="38" t="n">
        <f aca="false">Q!$P$6</f>
        <v>81.986</v>
      </c>
      <c r="F93" s="38" t="n">
        <f aca="false">Seg!$F$90*(1-Seg!$F$91)</f>
        <v>98.6413500209369</v>
      </c>
      <c r="G93" s="38" t="n">
        <f aca="false">Seg!$E$93+Seg!$F$93</f>
        <v>180.627350020937</v>
      </c>
      <c r="H93" s="38" t="n">
        <f aca="false">Seg!$H$90*(1-Seg!$H$91)</f>
        <v>199.967827134592</v>
      </c>
      <c r="I93" s="38" t="n">
        <f aca="false">Seg!$I$90*(1-Seg!$I$91)</f>
        <v>218.667678315572</v>
      </c>
      <c r="J93" s="38" t="n">
        <f aca="false">Seg!$J$90*(1-Seg!$J$91)</f>
        <v>236.021597274613</v>
      </c>
      <c r="K93" s="38" t="n">
        <f aca="false">Seg!$K$90*(1-Seg!$K$91)</f>
        <v>251.292625093007</v>
      </c>
      <c r="L93" s="38" t="n">
        <f aca="false">Seg!$L$90*(1-Seg!$L$91)</f>
        <v>267.630920907576</v>
      </c>
      <c r="M93" s="38" t="n">
        <f aca="false">Seg!$M$90*(1-Seg!$M$91)</f>
        <v>285.116780919142</v>
      </c>
      <c r="N93" s="38" t="n">
        <f aca="false">Q!$N$6</f>
        <v>70.274</v>
      </c>
      <c r="O93" s="38" t="n">
        <f aca="false">Q!$O$6</f>
        <v>91.62</v>
      </c>
      <c r="P93" s="5" t="s">
        <v>680</v>
      </c>
    </row>
    <row r="94" customFormat="false" ht="17.15" hidden="false" customHeight="false" outlineLevel="0" collapsed="false">
      <c r="A94" s="5" t="s">
        <v>681</v>
      </c>
      <c r="B94" s="0" t="s">
        <v>86</v>
      </c>
      <c r="C94" s="38" t="n">
        <f aca="false">Seg!$C$83*Seg!$C$91</f>
        <v>41.0683128828457</v>
      </c>
      <c r="D94" s="38" t="n">
        <f aca="false">Seg!$D$83*Seg!$D$91</f>
        <v>49.7441234599175</v>
      </c>
      <c r="E94" s="38" t="n">
        <f aca="false">Seg!$E$83*Seg!$E$91</f>
        <v>27.0034224924414</v>
      </c>
      <c r="F94" s="38" t="n">
        <f aca="false">Seg!$F$83*Seg!$F$91</f>
        <v>33.2223793776728</v>
      </c>
      <c r="G94" s="38" t="n">
        <f aca="false">Seg!$G$83*Seg!$G$91</f>
        <v>60.2426368353921</v>
      </c>
      <c r="H94" s="38" t="n">
        <f aca="false">Seg!$H$83*Seg!$H$91</f>
        <v>72.3243634797044</v>
      </c>
      <c r="I94" s="38" t="n">
        <f aca="false">Seg!$I$83*Seg!$I$91</f>
        <v>84.404995678695</v>
      </c>
      <c r="J94" s="38" t="n">
        <f aca="false">Seg!$J$83*Seg!$J$91</f>
        <v>95.6745000947693</v>
      </c>
      <c r="K94" s="38" t="n">
        <f aca="false">Seg!$K$83*Seg!$K$91</f>
        <v>105.241950104246</v>
      </c>
      <c r="L94" s="38" t="n">
        <f aca="false">Seg!$L$83*Seg!$L$91</f>
        <v>115.766145114671</v>
      </c>
      <c r="M94" s="38" t="n">
        <f aca="false">Seg!$M$83*Seg!$M$91</f>
        <v>127.342759626138</v>
      </c>
      <c r="N94" s="38" t="n">
        <f aca="false">Seg!$N$83*Seg!$N$91</f>
        <v>21.7087111412496</v>
      </c>
      <c r="O94" s="38" t="n">
        <f aca="false">Seg!$O$83*Seg!$O$91</f>
        <v>28.0189463642798</v>
      </c>
      <c r="P94" s="5" t="s">
        <v>682</v>
      </c>
    </row>
    <row r="95" customFormat="false" ht="15" hidden="false" customHeight="false" outlineLevel="0" collapsed="false">
      <c r="A95" s="5" t="s">
        <v>683</v>
      </c>
      <c r="B95" s="0" t="s">
        <v>86</v>
      </c>
      <c r="C95" s="38" t="n">
        <f aca="false">Seg!$C$83-Seg!$C$94</f>
        <v>15.1456871171543</v>
      </c>
      <c r="D95" s="38" t="n">
        <f aca="false">Seg!$D$83-Seg!$D$94</f>
        <v>18.8908765400825</v>
      </c>
      <c r="E95" s="38" t="n">
        <f aca="false">Seg!$E$83-Seg!$E$94</f>
        <v>10.0485775075586</v>
      </c>
      <c r="F95" s="38" t="n">
        <f aca="false">Seg!$F$83-Seg!$F$94</f>
        <v>13.0440728458641</v>
      </c>
      <c r="G95" s="38" t="n">
        <f aca="false">Seg!$G$83-Seg!$G$94</f>
        <v>23.0758153881448</v>
      </c>
      <c r="H95" s="38" t="n">
        <f aca="false">Seg!$H$83-Seg!$H$94</f>
        <v>27.7036953791214</v>
      </c>
      <c r="I95" s="38" t="n">
        <f aca="false">Seg!$I$83-Seg!$I$94</f>
        <v>32.3311561451184</v>
      </c>
      <c r="J95" s="38" t="n">
        <f aca="false">Seg!$J$83-Seg!$J$94</f>
        <v>36.6479161191512</v>
      </c>
      <c r="K95" s="38" t="n">
        <f aca="false">Seg!$K$83-Seg!$K$94</f>
        <v>40.3127077310663</v>
      </c>
      <c r="L95" s="38" t="n">
        <f aca="false">Seg!$L$83-Seg!$L$94</f>
        <v>44.343978504173</v>
      </c>
      <c r="M95" s="38" t="n">
        <f aca="false">Seg!$M$83-Seg!$M$94</f>
        <v>48.7783763545903</v>
      </c>
      <c r="N95" s="38" t="n">
        <f aca="false">Seg!$N$83-Seg!$N$94</f>
        <v>7.90628885875037</v>
      </c>
      <c r="O95" s="38" t="n">
        <f aca="false">Seg!$O$83-Seg!$O$94</f>
        <v>11.0010536357202</v>
      </c>
    </row>
    <row r="96" customFormat="false" ht="17.15" hidden="false" customHeight="false" outlineLevel="0" collapsed="false">
      <c r="A96" s="1" t="s">
        <v>684</v>
      </c>
    </row>
    <row r="97" customFormat="false" ht="17.15" hidden="false" customHeight="false" outlineLevel="0" collapsed="false">
      <c r="A97" s="0" t="s">
        <v>685</v>
      </c>
      <c r="B97" s="0" t="s">
        <v>86</v>
      </c>
      <c r="C97" s="38" t="n">
        <f aca="false">Thesis!$C$142</f>
        <v>2.32100535697364</v>
      </c>
      <c r="D97" s="38" t="n">
        <f aca="false">Thesis!$D$142</f>
        <v>8.70377008865116</v>
      </c>
      <c r="E97" s="38" t="n">
        <f aca="false">Thesis!$E$142</f>
        <v>8.51035297557002</v>
      </c>
      <c r="F97" s="38" t="n">
        <f aca="false">Thesis!$F$142</f>
        <v>14.1374173083338</v>
      </c>
      <c r="G97" s="38" t="n">
        <f aca="false">Thesis!$G$142</f>
        <v>22.6477702839038</v>
      </c>
      <c r="H97" s="38" t="n">
        <f aca="false">Thesis!$H$142</f>
        <v>53.4222901978634</v>
      </c>
      <c r="I97" s="38" t="n">
        <f aca="false">Thesis!$I$142</f>
        <v>87.7997462553011</v>
      </c>
      <c r="J97" s="38" t="n">
        <f aca="false">Thesis!$J$142</f>
        <v>122.330137401312</v>
      </c>
      <c r="K97" s="38" t="n">
        <f aca="false">Thesis!$K$142</f>
        <v>151.788466594157</v>
      </c>
      <c r="L97" s="38" t="n">
        <f aca="false">Thesis!$L$142</f>
        <v>171.148625477554</v>
      </c>
      <c r="M97" s="38" t="n">
        <f aca="false">Thesis!$M$142</f>
        <v>180.385740185952</v>
      </c>
      <c r="N97" s="38" t="n">
        <f aca="false">Thesis!$N$142</f>
        <v>3.04631953102791</v>
      </c>
      <c r="O97" s="38" t="n">
        <f aca="false">Thesis!$O$142</f>
        <v>5.65745055762326</v>
      </c>
      <c r="P97" s="8" t="s">
        <v>686</v>
      </c>
    </row>
    <row r="98" customFormat="false" ht="17.15" hidden="false" customHeight="false" outlineLevel="0" collapsed="false">
      <c r="A98" s="0" t="s">
        <v>687</v>
      </c>
      <c r="B98" s="0" t="s">
        <v>86</v>
      </c>
      <c r="C98" s="38" t="n">
        <f aca="false">Thesis!$C$146</f>
        <v>105.234994643026</v>
      </c>
      <c r="D98" s="38" t="n">
        <f aca="false">Thesis!$D$146</f>
        <v>120.021229911349</v>
      </c>
      <c r="E98" s="38" t="n">
        <f aca="false">Thesis!$E$146</f>
        <v>71.30864702443</v>
      </c>
      <c r="F98" s="38" t="n">
        <f aca="false">Thesis!$F$146</f>
        <v>71.7692997942464</v>
      </c>
      <c r="G98" s="38" t="n">
        <f aca="false">Thesis!$G$146</f>
        <v>143.077946818676</v>
      </c>
      <c r="H98" s="38" t="n">
        <f aca="false">Thesis!$H$146</f>
        <v>161.017077079203</v>
      </c>
      <c r="I98" s="38" t="n">
        <f aca="false">Thesis!$I$146</f>
        <v>178.769759521457</v>
      </c>
      <c r="J98" s="38" t="n">
        <f aca="false">Thesis!$J$146</f>
        <v>195.775538045907</v>
      </c>
      <c r="K98" s="38" t="n">
        <f aca="false">Thesis!$K$146</f>
        <v>211.43758108958</v>
      </c>
      <c r="L98" s="38" t="n">
        <f aca="false">Thesis!$L$146</f>
        <v>228.352587576746</v>
      </c>
      <c r="M98" s="38" t="n">
        <f aca="false">Thesis!$M$146</f>
        <v>246.620794582886</v>
      </c>
      <c r="N98" s="38" t="n">
        <f aca="false">Thesis!$N$146</f>
        <v>57.0936804689721</v>
      </c>
      <c r="O98" s="38" t="n">
        <f aca="false">Thesis!$O$146</f>
        <v>62.9275494423768</v>
      </c>
      <c r="P98" s="8" t="s">
        <v>686</v>
      </c>
    </row>
    <row r="99" customFormat="false" ht="17.15" hidden="false" customHeight="false" outlineLevel="0" collapsed="false">
      <c r="A99" s="1" t="s">
        <v>513</v>
      </c>
      <c r="B99" s="8" t="s">
        <v>86</v>
      </c>
      <c r="C99" s="38" t="n">
        <f aca="false">Q!$D$7</f>
        <v>107.556</v>
      </c>
      <c r="D99" s="38" t="n">
        <f aca="false">Q!$E$7</f>
        <v>128.725</v>
      </c>
      <c r="E99" s="38" t="n">
        <f aca="false">Q!$P$7</f>
        <v>79.819</v>
      </c>
      <c r="F99" s="38" t="n">
        <f aca="false">Seg!$F$97+Seg!$F$98</f>
        <v>85.9067171025802</v>
      </c>
      <c r="G99" s="38" t="n">
        <f aca="false">Seg!$G$97+Seg!$G$98</f>
        <v>165.72571710258</v>
      </c>
      <c r="H99" s="38" t="n">
        <f aca="false">Seg!$H$97+Seg!$H$98</f>
        <v>214.439367277066</v>
      </c>
      <c r="I99" s="38" t="n">
        <f aca="false">Seg!$I$97+Seg!$I$98</f>
        <v>266.569505776759</v>
      </c>
      <c r="J99" s="38" t="n">
        <f aca="false">Seg!$J$97+Seg!$J$98</f>
        <v>318.105675447219</v>
      </c>
      <c r="K99" s="38" t="n">
        <f aca="false">Seg!$K$97+Seg!$K$98</f>
        <v>363.226047683737</v>
      </c>
      <c r="L99" s="38" t="n">
        <f aca="false">Seg!$L$97+Seg!$L$98</f>
        <v>399.5012130543</v>
      </c>
      <c r="M99" s="38" t="n">
        <f aca="false">Seg!$M$97+Seg!$M$98</f>
        <v>427.006534768838</v>
      </c>
      <c r="N99" s="38" t="n">
        <f aca="false">Q!$N$7</f>
        <v>60.14</v>
      </c>
      <c r="O99" s="38" t="n">
        <f aca="false">Q!$O$7</f>
        <v>68.585</v>
      </c>
      <c r="P99" s="5" t="s">
        <v>688</v>
      </c>
    </row>
    <row r="100" customFormat="false" ht="15" hidden="false" customHeight="false" outlineLevel="0" collapsed="false">
      <c r="A100" s="3" t="s">
        <v>689</v>
      </c>
      <c r="B100" s="8" t="s">
        <v>86</v>
      </c>
      <c r="C100" s="38" t="n">
        <f aca="false">Q!$D$8</f>
        <v>637.959</v>
      </c>
      <c r="D100" s="38" t="n">
        <f aca="false">Q!$E$8</f>
        <v>716.924</v>
      </c>
      <c r="E100" s="38" t="n">
        <f aca="false">Q!$P$8</f>
        <v>382.125</v>
      </c>
      <c r="F100" s="38" t="n">
        <f aca="false">Seg!$F$90+Seg!$F$99</f>
        <v>435.780975084504</v>
      </c>
      <c r="G100" s="38" t="n">
        <f aca="false">Seg!$G$90+Seg!$G$99</f>
        <v>817.905975084504</v>
      </c>
      <c r="H100" s="38" t="n">
        <f aca="false">Seg!$H$90+Seg!$H$99</f>
        <v>936.451117289489</v>
      </c>
      <c r="I100" s="38" t="n">
        <f aca="false">Seg!$I$90+Seg!$I$99</f>
        <v>1056.09967847556</v>
      </c>
      <c r="J100" s="38" t="n">
        <f aca="false">Seg!$J$90+Seg!$J$99</f>
        <v>1170.29459468908</v>
      </c>
      <c r="K100" s="38" t="n">
        <f aca="false">Seg!$K$90+Seg!$K$99</f>
        <v>1270.55314428963</v>
      </c>
      <c r="L100" s="38" t="n">
        <f aca="false">Seg!$L$90+Seg!$L$99</f>
        <v>1365.82000708638</v>
      </c>
      <c r="M100" s="38" t="n">
        <f aca="false">Seg!$M$90+Seg!$M$99</f>
        <v>1456.46046692954</v>
      </c>
      <c r="N100" s="38" t="n">
        <f aca="false">Q!$N$8</f>
        <v>323.369</v>
      </c>
      <c r="O100" s="38" t="n">
        <f aca="false">Q!$O$8</f>
        <v>393.555</v>
      </c>
    </row>
    <row r="101" customFormat="false" ht="17.15" hidden="false" customHeight="false" outlineLevel="0" collapsed="false">
      <c r="A101" s="24" t="s">
        <v>701</v>
      </c>
      <c r="B101" s="25" t="s">
        <v>86</v>
      </c>
      <c r="C101" s="41" t="n">
        <f aca="false">Seg!$C$90-(Seg!$C$92+Seg!$C$93)</f>
        <v>0</v>
      </c>
      <c r="D101" s="41" t="n">
        <f aca="false">Seg!$D$90-(Seg!$D$92+Seg!$D$93)</f>
        <v>0</v>
      </c>
      <c r="E101" s="41" t="n">
        <f aca="false">Seg!$E$90-(Seg!$E$92+Seg!$E$93)</f>
        <v>0</v>
      </c>
      <c r="F101" s="41" t="n">
        <f aca="false">Seg!$F$90-(Seg!$F$92+Seg!$F$93)</f>
        <v>0</v>
      </c>
      <c r="G101" s="41" t="n">
        <f aca="false">Seg!$G$90-(Seg!$G$92+Seg!$G$93)</f>
        <v>0</v>
      </c>
      <c r="H101" s="41" t="n">
        <f aca="false">Seg!$H$90-(Seg!$H$92+Seg!$H$93)</f>
        <v>0</v>
      </c>
      <c r="I101" s="41" t="n">
        <f aca="false">Seg!$I$90-(Seg!$I$92+Seg!$I$93)</f>
        <v>0</v>
      </c>
      <c r="J101" s="41" t="n">
        <f aca="false">Seg!$J$90-(Seg!$J$92+Seg!$J$93)</f>
        <v>0</v>
      </c>
      <c r="K101" s="41" t="n">
        <f aca="false">Seg!$K$90-(Seg!$K$92+Seg!$K$93)</f>
        <v>0</v>
      </c>
      <c r="L101" s="41" t="n">
        <f aca="false">Seg!$L$90-(Seg!$L$92+Seg!$L$93)</f>
        <v>0</v>
      </c>
      <c r="M101" s="41" t="n">
        <f aca="false">Seg!$M$90-(Seg!$M$92+Seg!$M$93)</f>
        <v>0</v>
      </c>
      <c r="N101" s="41" t="n">
        <f aca="false">Seg!$N$90-(Seg!$N$92+Seg!$N$93)</f>
        <v>0</v>
      </c>
      <c r="O101" s="41" t="n">
        <f aca="false">Seg!$O$90-(Seg!$O$92+Seg!$O$93)</f>
        <v>0</v>
      </c>
    </row>
    <row r="102" customFormat="false" ht="17.15" hidden="false" customHeight="false" outlineLevel="0" collapsed="false">
      <c r="A102" s="24" t="s">
        <v>702</v>
      </c>
      <c r="B102" s="25" t="s">
        <v>86</v>
      </c>
      <c r="C102" s="41" t="n">
        <f aca="false">Seg!$C$97+Seg!$C$98-Seg!$C$99</f>
        <v>0</v>
      </c>
      <c r="D102" s="41" t="n">
        <f aca="false">Seg!$D$97+Seg!$D$98-Seg!$D$99</f>
        <v>0</v>
      </c>
      <c r="E102" s="41" t="n">
        <f aca="false">Seg!$E$97+Seg!$E$98-Seg!$E$99</f>
        <v>0</v>
      </c>
      <c r="F102" s="41" t="n">
        <f aca="false">Seg!$F$97+Seg!$F$98-Seg!$F$99</f>
        <v>0</v>
      </c>
      <c r="G102" s="41" t="n">
        <f aca="false">Seg!$G$97+Seg!$G$98-Seg!$G$99</f>
        <v>0</v>
      </c>
      <c r="H102" s="41" t="n">
        <f aca="false">Seg!$H$97+Seg!$H$98-Seg!$H$99</f>
        <v>0</v>
      </c>
      <c r="I102" s="41" t="n">
        <f aca="false">Seg!$I$97+Seg!$I$98-Seg!$I$99</f>
        <v>0</v>
      </c>
      <c r="J102" s="41" t="n">
        <f aca="false">Seg!$J$97+Seg!$J$98-Seg!$J$99</f>
        <v>0</v>
      </c>
      <c r="K102" s="41" t="n">
        <f aca="false">Seg!$K$97+Seg!$K$98-Seg!$K$99</f>
        <v>0</v>
      </c>
      <c r="L102" s="41" t="n">
        <f aca="false">Seg!$L$97+Seg!$L$98-Seg!$L$99</f>
        <v>0</v>
      </c>
      <c r="M102" s="41" t="n">
        <f aca="false">Seg!$M$97+Seg!$M$98-Seg!$M$99</f>
        <v>0</v>
      </c>
      <c r="N102" s="41" t="n">
        <f aca="false">Seg!$N$97+Seg!$N$98-Seg!$N$99</f>
        <v>0</v>
      </c>
      <c r="O102" s="41" t="n">
        <f aca="false">Seg!$O$97+Seg!$O$98-Seg!$O$99</f>
        <v>0</v>
      </c>
    </row>
    <row r="103" customFormat="false" ht="17.15" hidden="false" customHeight="false" outlineLevel="0" collapsed="false">
      <c r="A103" s="24" t="s">
        <v>703</v>
      </c>
      <c r="B103" s="25" t="s">
        <v>86</v>
      </c>
      <c r="C103" s="41" t="n">
        <f aca="false">Seg!$C$92+Seg!$C$93+Seg!$C$99-Seg!$C$100</f>
        <v>0</v>
      </c>
      <c r="D103" s="41" t="n">
        <f aca="false">Seg!$D$92+Seg!$D$93+Seg!$D$99-Seg!$D$100</f>
        <v>0</v>
      </c>
      <c r="E103" s="41" t="n">
        <f aca="false">Seg!$E$92+Seg!$E$93+Seg!$E$99-Seg!$E$100</f>
        <v>0</v>
      </c>
      <c r="F103" s="41" t="n">
        <f aca="false">Seg!$F$92+Seg!$F$93+Seg!$F$99-Seg!$F$100</f>
        <v>0</v>
      </c>
      <c r="G103" s="41" t="n">
        <f aca="false">Seg!$G$92+Seg!$G$93+Seg!$G$99-Seg!$G$100</f>
        <v>0</v>
      </c>
      <c r="H103" s="41" t="n">
        <f aca="false">Seg!$H$92+Seg!$H$93+Seg!$H$99-Seg!$H$100</f>
        <v>0</v>
      </c>
      <c r="I103" s="41" t="n">
        <f aca="false">Seg!$I$92+Seg!$I$93+Seg!$I$99-Seg!$I$100</f>
        <v>0</v>
      </c>
      <c r="J103" s="41" t="n">
        <f aca="false">Seg!$J$92+Seg!$J$93+Seg!$J$99-Seg!$J$100</f>
        <v>0</v>
      </c>
      <c r="K103" s="41" t="n">
        <f aca="false">Seg!$K$92+Seg!$K$93+Seg!$K$99-Seg!$K$100</f>
        <v>0</v>
      </c>
      <c r="L103" s="41" t="n">
        <f aca="false">Seg!$L$92+Seg!$L$93+Seg!$L$99-Seg!$L$100</f>
        <v>0</v>
      </c>
      <c r="M103" s="41" t="n">
        <f aca="false">Seg!$M$92+Seg!$M$93+Seg!$M$99-Seg!$M$100</f>
        <v>0</v>
      </c>
      <c r="N103" s="41" t="n">
        <f aca="false">Seg!$N$92+Seg!$N$93+Seg!$N$99-Seg!$N$100</f>
        <v>0</v>
      </c>
      <c r="O103" s="41" t="n">
        <f aca="false">Seg!$O$92+Seg!$O$93+Seg!$O$99-Seg!$O$100</f>
        <v>0</v>
      </c>
    </row>
    <row r="104" customFormat="false" ht="15" hidden="false" customHeight="false" outlineLevel="0" collapsed="false">
      <c r="A104" s="5" t="s">
        <v>693</v>
      </c>
      <c r="B104" s="0" t="s">
        <v>52</v>
      </c>
      <c r="G104" s="13" t="n">
        <f aca="false">Seg!$G$100/Seg!$D$100-1</f>
        <v>0.140854504918937</v>
      </c>
      <c r="H104" s="13" t="n">
        <f aca="false">Seg!$H$100/Seg!$G$100-1</f>
        <v>0.144937371551464</v>
      </c>
      <c r="I104" s="13" t="n">
        <f aca="false">Seg!$I$100/Seg!$H$100-1</f>
        <v>0.127768079910451</v>
      </c>
      <c r="J104" s="13" t="n">
        <f aca="false">Seg!$J$100/Seg!$I$100-1</f>
        <v>0.10812891864369</v>
      </c>
      <c r="K104" s="13" t="n">
        <f aca="false">Seg!$K$100/Seg!$J$100-1</f>
        <v>0.0856694972834475</v>
      </c>
      <c r="L104" s="13" t="n">
        <f aca="false">Seg!$L$100/Seg!$K$100-1</f>
        <v>0.0749806202321606</v>
      </c>
      <c r="M104" s="13" t="n">
        <f aca="false">Seg!$M$100/Seg!$L$100-1</f>
        <v>0.0663634002817957</v>
      </c>
    </row>
    <row r="105" customFormat="false" ht="17.15" hidden="false" customHeight="false" outlineLevel="0" collapsed="false">
      <c r="A105" s="0" t="s">
        <v>694</v>
      </c>
      <c r="B105" s="0" t="s">
        <v>52</v>
      </c>
      <c r="C105" s="13" t="n">
        <f aca="false">Seg!$C$99/Seg!$C$100</f>
        <v>0.168593906504964</v>
      </c>
      <c r="D105" s="13" t="n">
        <f aca="false">Seg!$D$99/Seg!$D$100</f>
        <v>0.179551807444025</v>
      </c>
      <c r="E105" s="13" t="n">
        <f aca="false">Seg!$E$99/Seg!$E$100</f>
        <v>0.208881910369643</v>
      </c>
      <c r="F105" s="13" t="n">
        <f aca="false">Seg!$F$99/Seg!$F$100</f>
        <v>0.197132784619433</v>
      </c>
      <c r="G105" s="13" t="n">
        <f aca="false">Seg!$G$99/Seg!$G$100</f>
        <v>0.202621966523056</v>
      </c>
      <c r="H105" s="13" t="n">
        <f aca="false">Seg!$H$99/Seg!$H$100</f>
        <v>0.228991522694479</v>
      </c>
      <c r="I105" s="13" t="n">
        <f aca="false">Seg!$I$99/Seg!$I$100</f>
        <v>0.252409418551799</v>
      </c>
      <c r="J105" s="13" t="n">
        <f aca="false">Seg!$J$99/Seg!$J$100</f>
        <v>0.27181675185959</v>
      </c>
      <c r="K105" s="13" t="n">
        <f aca="false">Seg!$K$99/Seg!$K$100</f>
        <v>0.285880247761552</v>
      </c>
      <c r="L105" s="13" t="n">
        <f aca="false">Seg!$L$99/Seg!$L$100</f>
        <v>0.292499166055219</v>
      </c>
      <c r="M105" s="13" t="n">
        <f aca="false">Seg!$M$99/Seg!$M$100</f>
        <v>0.293180999048356</v>
      </c>
      <c r="N105" s="13" t="n">
        <f aca="false">Seg!$N$99/Seg!$N$100</f>
        <v>0.185979484737251</v>
      </c>
      <c r="O105" s="13" t="n">
        <f aca="false">Seg!$O$99/Seg!$O$100</f>
        <v>0.174270432341096</v>
      </c>
    </row>
    <row r="106" customFormat="false" ht="17.15" hidden="false" customHeight="false" outlineLevel="0" collapsed="false">
      <c r="A106" s="0" t="s">
        <v>695</v>
      </c>
      <c r="B106" s="0" t="s">
        <v>52</v>
      </c>
      <c r="C106" s="13" t="n">
        <f aca="false">Seg!$C$97/Seg!$C$99</f>
        <v>0.0215795060896058</v>
      </c>
      <c r="D106" s="13" t="n">
        <f aca="false">Seg!$D$97/Seg!$D$99</f>
        <v>0.0676152269462122</v>
      </c>
      <c r="E106" s="13" t="n">
        <f aca="false">Seg!$E$97/Seg!$E$99</f>
        <v>0.106620641395783</v>
      </c>
      <c r="F106" s="13" t="n">
        <f aca="false">Seg!$F$97/Seg!$F$99</f>
        <v>0.16456707676831</v>
      </c>
      <c r="G106" s="13" t="n">
        <f aca="false">Seg!$G$97/Seg!$G$99</f>
        <v>0.136658152276302</v>
      </c>
      <c r="H106" s="13" t="n">
        <f aca="false">Seg!$H$97/Seg!$H$99</f>
        <v>0.249125386239547</v>
      </c>
      <c r="I106" s="13" t="n">
        <f aca="false">Seg!$I$97/Seg!$I$99</f>
        <v>0.329369055171787</v>
      </c>
      <c r="J106" s="13" t="n">
        <f aca="false">Seg!$J$97/Seg!$J$99</f>
        <v>0.384558173095561</v>
      </c>
      <c r="K106" s="13" t="n">
        <f aca="false">Seg!$K$97/Seg!$K$99</f>
        <v>0.417889816994403</v>
      </c>
      <c r="L106" s="13" t="n">
        <f aca="false">Seg!$L$97/Seg!$L$99</f>
        <v>0.428405771709863</v>
      </c>
      <c r="M106" s="13" t="n">
        <f aca="false">Seg!$M$97/Seg!$M$99</f>
        <v>0.422442575225704</v>
      </c>
      <c r="N106" s="13" t="n">
        <f aca="false">Seg!$N$97/Seg!$N$99</f>
        <v>0.0506537999838362</v>
      </c>
      <c r="O106" s="13" t="n">
        <f aca="false">Seg!$O$97/Seg!$O$99</f>
        <v>0.0824881615167056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3" style="0" width="11"/>
    <col collapsed="false" customWidth="true" hidden="false" outlineLevel="0" max="16" min="16" style="0" width="60"/>
  </cols>
  <sheetData>
    <row r="1" customFormat="false" ht="17.15" hidden="false" customHeight="false" outlineLevel="0" collapsed="false">
      <c r="A1" s="0" t="s">
        <v>704</v>
      </c>
    </row>
    <row r="2" customFormat="false" ht="17.15" hidden="false" customHeight="false" outlineLevel="0" collapsed="false">
      <c r="A2" s="5" t="s">
        <v>705</v>
      </c>
    </row>
    <row r="4" customFormat="false" ht="17.15" hidden="false" customHeight="false" outlineLevel="0" collapsed="false">
      <c r="A4" s="3" t="s">
        <v>706</v>
      </c>
    </row>
    <row r="5" customFormat="false" ht="17.15" hidden="false" customHeight="false" outlineLevel="0" collapsed="false">
      <c r="A5" s="6" t="s">
        <v>16</v>
      </c>
      <c r="B5" s="6" t="s">
        <v>17</v>
      </c>
      <c r="C5" s="20" t="s">
        <v>494</v>
      </c>
      <c r="D5" s="20" t="s">
        <v>495</v>
      </c>
      <c r="E5" s="20" t="s">
        <v>577</v>
      </c>
      <c r="F5" s="20" t="s">
        <v>578</v>
      </c>
      <c r="G5" s="20" t="s">
        <v>579</v>
      </c>
      <c r="H5" s="20" t="s">
        <v>580</v>
      </c>
      <c r="I5" s="20" t="s">
        <v>581</v>
      </c>
      <c r="J5" s="20" t="s">
        <v>582</v>
      </c>
      <c r="K5" s="20" t="s">
        <v>583</v>
      </c>
      <c r="L5" s="20" t="s">
        <v>584</v>
      </c>
      <c r="M5" s="20" t="s">
        <v>585</v>
      </c>
      <c r="N5" s="20" t="s">
        <v>586</v>
      </c>
      <c r="O5" s="20" t="s">
        <v>587</v>
      </c>
      <c r="P5" s="6" t="s">
        <v>23</v>
      </c>
    </row>
    <row r="6" customFormat="false" ht="17.15" hidden="false" customHeight="false" outlineLevel="0" collapsed="false">
      <c r="A6" s="24" t="s">
        <v>524</v>
      </c>
      <c r="B6" s="25" t="s">
        <v>86</v>
      </c>
      <c r="C6" s="42" t="n">
        <f aca="false">ABS(PL!$C$28)+ABS(PL!$C$98)+ABS(PL!$C$168)</f>
        <v>0</v>
      </c>
      <c r="D6" s="42" t="n">
        <f aca="false">ABS(PL!$D$28)+ABS(PL!$D$98)+ABS(PL!$D$168)</f>
        <v>0</v>
      </c>
      <c r="E6" s="42" t="n">
        <f aca="false">ABS(PL!$E$28)+ABS(PL!$E$98)+ABS(PL!$E$168)</f>
        <v>0</v>
      </c>
      <c r="F6" s="42" t="n">
        <f aca="false">ABS(PL!$F$28)+ABS(PL!$F$98)+ABS(PL!$F$168)</f>
        <v>0</v>
      </c>
      <c r="G6" s="42" t="n">
        <f aca="false">ABS(PL!$G$28)+ABS(PL!$G$98)+ABS(PL!$G$168)</f>
        <v>0</v>
      </c>
      <c r="H6" s="42" t="n">
        <f aca="false">ABS(PL!$H$28)+ABS(PL!$H$98)+ABS(PL!$H$168)</f>
        <v>0</v>
      </c>
      <c r="I6" s="42" t="n">
        <f aca="false">ABS(PL!$I$28)+ABS(PL!$I$98)+ABS(PL!$I$168)</f>
        <v>0</v>
      </c>
      <c r="J6" s="42" t="n">
        <f aca="false">ABS(PL!$J$28)+ABS(PL!$J$98)+ABS(PL!$J$168)</f>
        <v>0</v>
      </c>
      <c r="K6" s="42" t="n">
        <f aca="false">ABS(PL!$K$28)+ABS(PL!$K$98)+ABS(PL!$K$168)</f>
        <v>0</v>
      </c>
      <c r="L6" s="42" t="n">
        <f aca="false">ABS(PL!$L$28)+ABS(PL!$L$98)+ABS(PL!$L$168)</f>
        <v>0</v>
      </c>
      <c r="M6" s="42" t="n">
        <f aca="false">ABS(PL!$M$28)+ABS(PL!$M$98)+ABS(PL!$M$168)</f>
        <v>0</v>
      </c>
      <c r="N6" s="42" t="n">
        <f aca="false">ABS(PL!$N$28)+ABS(PL!$N$98)+ABS(PL!$N$168)</f>
        <v>0</v>
      </c>
      <c r="O6" s="42" t="n">
        <f aca="false">ABS(PL!$O$28)+ABS(PL!$O$98)+ABS(PL!$O$168)</f>
        <v>0</v>
      </c>
    </row>
    <row r="7" customFormat="false" ht="17.15" hidden="false" customHeight="false" outlineLevel="0" collapsed="false">
      <c r="A7" s="24" t="s">
        <v>707</v>
      </c>
      <c r="B7" s="25" t="s">
        <v>86</v>
      </c>
      <c r="C7" s="42" t="n">
        <f aca="false">ABS(PL!$C$29)+ABS(PL!$C$99)+ABS(PL!$C$169)</f>
        <v>0</v>
      </c>
      <c r="D7" s="42" t="n">
        <f aca="false">ABS(PL!$D$29)+ABS(PL!$D$99)+ABS(PL!$D$169)</f>
        <v>0</v>
      </c>
      <c r="E7" s="42" t="n">
        <f aca="false">ABS(PL!$E$29)+ABS(PL!$E$99)+ABS(PL!$E$169)</f>
        <v>0</v>
      </c>
      <c r="F7" s="42" t="n">
        <f aca="false">ABS(PL!$F$29)+ABS(PL!$F$99)+ABS(PL!$F$169)</f>
        <v>0</v>
      </c>
      <c r="G7" s="42" t="n">
        <f aca="false">ABS(PL!$G$29)+ABS(PL!$G$99)+ABS(PL!$G$169)</f>
        <v>0</v>
      </c>
      <c r="H7" s="42" t="n">
        <f aca="false">ABS(PL!$H$29)+ABS(PL!$H$99)+ABS(PL!$H$169)</f>
        <v>0</v>
      </c>
      <c r="I7" s="42" t="n">
        <f aca="false">ABS(PL!$I$29)+ABS(PL!$I$99)+ABS(PL!$I$169)</f>
        <v>0</v>
      </c>
      <c r="J7" s="42" t="n">
        <f aca="false">ABS(PL!$J$29)+ABS(PL!$J$99)+ABS(PL!$J$169)</f>
        <v>0</v>
      </c>
      <c r="K7" s="42" t="n">
        <f aca="false">ABS(PL!$K$29)+ABS(PL!$K$99)+ABS(PL!$K$169)</f>
        <v>0</v>
      </c>
      <c r="L7" s="42" t="n">
        <f aca="false">ABS(PL!$L$29)+ABS(PL!$L$99)+ABS(PL!$L$169)</f>
        <v>0</v>
      </c>
      <c r="M7" s="42" t="n">
        <f aca="false">ABS(PL!$M$29)+ABS(PL!$M$99)+ABS(PL!$M$169)</f>
        <v>0</v>
      </c>
      <c r="N7" s="42" t="n">
        <f aca="false">ABS(PL!$N$29)+ABS(PL!$N$99)+ABS(PL!$N$169)</f>
        <v>0</v>
      </c>
      <c r="O7" s="42" t="n">
        <f aca="false">ABS(PL!$O$29)+ABS(PL!$O$99)+ABS(PL!$O$169)</f>
        <v>0</v>
      </c>
    </row>
    <row r="8" customFormat="false" ht="17.15" hidden="false" customHeight="false" outlineLevel="0" collapsed="false">
      <c r="A8" s="24" t="s">
        <v>525</v>
      </c>
      <c r="B8" s="25" t="s">
        <v>86</v>
      </c>
      <c r="C8" s="42" t="n">
        <f aca="false">ABS(PL!$C$30)+ABS(PL!$C$100)+ABS(PL!$C$170)</f>
        <v>0</v>
      </c>
      <c r="D8" s="42" t="n">
        <f aca="false">ABS(PL!$D$30)+ABS(PL!$D$100)+ABS(PL!$D$170)</f>
        <v>0</v>
      </c>
      <c r="E8" s="42" t="n">
        <f aca="false">ABS(PL!$E$30)+ABS(PL!$E$100)+ABS(PL!$E$170)</f>
        <v>0</v>
      </c>
      <c r="F8" s="42" t="n">
        <f aca="false">ABS(PL!$F$30)+ABS(PL!$F$100)+ABS(PL!$F$170)</f>
        <v>0</v>
      </c>
      <c r="G8" s="42" t="n">
        <f aca="false">ABS(PL!$G$30)+ABS(PL!$G$100)+ABS(PL!$G$170)</f>
        <v>0</v>
      </c>
      <c r="H8" s="42" t="n">
        <f aca="false">ABS(PL!$H$30)+ABS(PL!$H$100)+ABS(PL!$H$170)</f>
        <v>0</v>
      </c>
      <c r="I8" s="42" t="n">
        <f aca="false">ABS(PL!$I$30)+ABS(PL!$I$100)+ABS(PL!$I$170)</f>
        <v>0</v>
      </c>
      <c r="J8" s="42" t="n">
        <f aca="false">ABS(PL!$J$30)+ABS(PL!$J$100)+ABS(PL!$J$170)</f>
        <v>0</v>
      </c>
      <c r="K8" s="42" t="n">
        <f aca="false">ABS(PL!$K$30)+ABS(PL!$K$100)+ABS(PL!$K$170)</f>
        <v>0</v>
      </c>
      <c r="L8" s="42" t="n">
        <f aca="false">ABS(PL!$L$30)+ABS(PL!$L$100)+ABS(PL!$L$170)</f>
        <v>0</v>
      </c>
      <c r="M8" s="42" t="n">
        <f aca="false">ABS(PL!$M$30)+ABS(PL!$M$100)+ABS(PL!$M$170)</f>
        <v>0</v>
      </c>
      <c r="N8" s="42" t="n">
        <f aca="false">ABS(PL!$N$30)+ABS(PL!$N$100)+ABS(PL!$N$170)</f>
        <v>0</v>
      </c>
      <c r="O8" s="42" t="n">
        <f aca="false">ABS(PL!$O$30)+ABS(PL!$O$100)+ABS(PL!$O$170)</f>
        <v>0</v>
      </c>
    </row>
    <row r="9" customFormat="false" ht="15" hidden="false" customHeight="false" outlineLevel="0" collapsed="false">
      <c r="A9" s="24" t="s">
        <v>526</v>
      </c>
      <c r="B9" s="25" t="s">
        <v>86</v>
      </c>
      <c r="C9" s="42" t="n">
        <f aca="false">ABS(PL!$C$31)+ABS(PL!$C$101)+ABS(PL!$C$171)</f>
        <v>0</v>
      </c>
      <c r="D9" s="42" t="n">
        <f aca="false">ABS(PL!$D$31)+ABS(PL!$D$101)+ABS(PL!$D$171)</f>
        <v>0</v>
      </c>
      <c r="E9" s="42" t="n">
        <f aca="false">ABS(PL!$E$31)+ABS(PL!$E$101)+ABS(PL!$E$171)</f>
        <v>0</v>
      </c>
      <c r="F9" s="42" t="n">
        <f aca="false">ABS(PL!$F$31)+ABS(PL!$F$101)+ABS(PL!$F$171)</f>
        <v>0</v>
      </c>
      <c r="G9" s="42" t="n">
        <f aca="false">ABS(PL!$G$31)+ABS(PL!$G$101)+ABS(PL!$G$171)</f>
        <v>0</v>
      </c>
      <c r="H9" s="42" t="n">
        <f aca="false">ABS(PL!$H$31)+ABS(PL!$H$101)+ABS(PL!$H$171)</f>
        <v>0</v>
      </c>
      <c r="I9" s="42" t="n">
        <f aca="false">ABS(PL!$I$31)+ABS(PL!$I$101)+ABS(PL!$I$171)</f>
        <v>0</v>
      </c>
      <c r="J9" s="42" t="n">
        <f aca="false">ABS(PL!$J$31)+ABS(PL!$J$101)+ABS(PL!$J$171)</f>
        <v>0</v>
      </c>
      <c r="K9" s="42" t="n">
        <f aca="false">ABS(PL!$K$31)+ABS(PL!$K$101)+ABS(PL!$K$171)</f>
        <v>0</v>
      </c>
      <c r="L9" s="42" t="n">
        <f aca="false">ABS(PL!$L$31)+ABS(PL!$L$101)+ABS(PL!$L$171)</f>
        <v>0</v>
      </c>
      <c r="M9" s="42" t="n">
        <f aca="false">ABS(PL!$M$31)+ABS(PL!$M$101)+ABS(PL!$M$171)</f>
        <v>0</v>
      </c>
      <c r="N9" s="42" t="n">
        <f aca="false">ABS(PL!$N$31)+ABS(PL!$N$101)+ABS(PL!$N$171)</f>
        <v>0</v>
      </c>
      <c r="O9" s="42" t="n">
        <f aca="false">ABS(PL!$O$31)+ABS(PL!$O$101)+ABS(PL!$O$171)</f>
        <v>0</v>
      </c>
    </row>
    <row r="10" customFormat="false" ht="15" hidden="false" customHeight="false" outlineLevel="0" collapsed="false">
      <c r="A10" s="24" t="s">
        <v>708</v>
      </c>
      <c r="B10" s="25" t="s">
        <v>86</v>
      </c>
      <c r="C10" s="42" t="n">
        <f aca="false">ABS(PL!$C$48)+ABS(PL!$C$118)+ABS(PL!$C$188)</f>
        <v>0</v>
      </c>
      <c r="D10" s="42" t="n">
        <f aca="false">ABS(PL!$D$48)+ABS(PL!$D$118)+ABS(PL!$D$188)</f>
        <v>0</v>
      </c>
      <c r="E10" s="42" t="n">
        <f aca="false">ABS(PL!$E$48)+ABS(PL!$E$118)+ABS(PL!$E$188)</f>
        <v>0</v>
      </c>
      <c r="F10" s="42" t="n">
        <f aca="false">ABS(PL!$F$48)+ABS(PL!$F$118)+ABS(PL!$F$188)</f>
        <v>0</v>
      </c>
      <c r="G10" s="42" t="n">
        <f aca="false">ABS(PL!$G$48)+ABS(PL!$G$118)+ABS(PL!$G$188)</f>
        <v>0</v>
      </c>
      <c r="H10" s="42" t="n">
        <f aca="false">ABS(PL!$H$48)+ABS(PL!$H$118)+ABS(PL!$H$188)</f>
        <v>0</v>
      </c>
      <c r="I10" s="42" t="n">
        <f aca="false">ABS(PL!$I$48)+ABS(PL!$I$118)+ABS(PL!$I$188)</f>
        <v>0</v>
      </c>
      <c r="J10" s="42" t="n">
        <f aca="false">ABS(PL!$J$48)+ABS(PL!$J$118)+ABS(PL!$J$188)</f>
        <v>0</v>
      </c>
      <c r="K10" s="42" t="n">
        <f aca="false">ABS(PL!$K$48)+ABS(PL!$K$118)+ABS(PL!$K$188)</f>
        <v>0</v>
      </c>
      <c r="L10" s="42" t="n">
        <f aca="false">ABS(PL!$L$48)+ABS(PL!$L$118)+ABS(PL!$L$188)</f>
        <v>0</v>
      </c>
      <c r="M10" s="42" t="n">
        <f aca="false">ABS(PL!$M$48)+ABS(PL!$M$118)+ABS(PL!$M$188)</f>
        <v>0</v>
      </c>
      <c r="N10" s="42" t="n">
        <f aca="false">ABS(PL!$N$48)+ABS(PL!$N$118)+ABS(PL!$N$188)</f>
        <v>0</v>
      </c>
      <c r="O10" s="42" t="n">
        <f aca="false">ABS(PL!$O$48)+ABS(PL!$O$118)+ABS(PL!$O$188)</f>
        <v>0</v>
      </c>
    </row>
    <row r="12" customFormat="false" ht="19.4" hidden="false" customHeight="false" outlineLevel="0" collapsed="false">
      <c r="A12" s="31" t="s">
        <v>709</v>
      </c>
    </row>
    <row r="13" customFormat="false" ht="17.15" hidden="false" customHeight="false" outlineLevel="0" collapsed="false">
      <c r="A13" s="6" t="s">
        <v>16</v>
      </c>
      <c r="B13" s="6" t="s">
        <v>17</v>
      </c>
      <c r="C13" s="20" t="s">
        <v>494</v>
      </c>
      <c r="D13" s="20" t="s">
        <v>495</v>
      </c>
      <c r="E13" s="20" t="s">
        <v>577</v>
      </c>
      <c r="F13" s="20" t="s">
        <v>578</v>
      </c>
      <c r="G13" s="20" t="s">
        <v>579</v>
      </c>
      <c r="H13" s="20" t="s">
        <v>580</v>
      </c>
      <c r="I13" s="20" t="s">
        <v>581</v>
      </c>
      <c r="J13" s="20" t="s">
        <v>582</v>
      </c>
      <c r="K13" s="20" t="s">
        <v>583</v>
      </c>
      <c r="L13" s="20" t="s">
        <v>584</v>
      </c>
      <c r="M13" s="20" t="s">
        <v>585</v>
      </c>
      <c r="N13" s="20" t="s">
        <v>586</v>
      </c>
      <c r="O13" s="20" t="s">
        <v>587</v>
      </c>
      <c r="P13" s="6" t="s">
        <v>23</v>
      </c>
      <c r="R13" s="20" t="n">
        <v>2023</v>
      </c>
      <c r="S13" s="20" t="n">
        <v>2024</v>
      </c>
      <c r="T13" s="20" t="n">
        <v>2025</v>
      </c>
      <c r="U13" s="20" t="n">
        <v>2026</v>
      </c>
      <c r="V13" s="20" t="n">
        <v>2027</v>
      </c>
      <c r="W13" s="20" t="n">
        <v>2028</v>
      </c>
      <c r="X13" s="20" t="n">
        <v>2029</v>
      </c>
      <c r="Y13" s="20" t="n">
        <v>2030</v>
      </c>
      <c r="Z13" s="20" t="n">
        <v>2031</v>
      </c>
      <c r="AA13" s="20" t="n">
        <v>2032</v>
      </c>
    </row>
    <row r="14" customFormat="false" ht="17.15" hidden="false" customHeight="false" outlineLevel="0" collapsed="false">
      <c r="A14" s="1" t="s">
        <v>710</v>
      </c>
    </row>
    <row r="15" customFormat="false" ht="15" hidden="false" customHeight="false" outlineLevel="0" collapsed="false">
      <c r="A15" s="0" t="s">
        <v>516</v>
      </c>
      <c r="B15" s="0" t="s">
        <v>86</v>
      </c>
      <c r="C15" s="38" t="n">
        <f aca="false">Seg!$C$7</f>
        <v>247.029</v>
      </c>
      <c r="D15" s="38" t="n">
        <f aca="false">Seg!$D$7</f>
        <v>269.287</v>
      </c>
      <c r="E15" s="38" t="n">
        <f aca="false">Seg!$E$7</f>
        <v>134.686</v>
      </c>
      <c r="F15" s="38" t="n">
        <f aca="false">Seg!$F$7</f>
        <v>157.020808071353</v>
      </c>
      <c r="G15" s="38" t="n">
        <f aca="false">Seg!$G$7</f>
        <v>291.706808071353</v>
      </c>
      <c r="H15" s="38" t="n">
        <f aca="false">Seg!$H$7</f>
        <v>316.801953937514</v>
      </c>
      <c r="I15" s="38" t="n">
        <f aca="false">Seg!$I$7</f>
        <v>340.251351597976</v>
      </c>
      <c r="J15" s="38" t="n">
        <f aca="false">Seg!$J$7</f>
        <v>361.350185952976</v>
      </c>
      <c r="K15" s="38" t="n">
        <f aca="false">Seg!$K$7</f>
        <v>379.417695250625</v>
      </c>
      <c r="L15" s="38" t="n">
        <f aca="false">Seg!$L$7</f>
        <v>398.388580013156</v>
      </c>
      <c r="M15" s="38" t="n">
        <f aca="false">Seg!$M$7</f>
        <v>418.308009013814</v>
      </c>
      <c r="N15" s="38" t="n">
        <f aca="false">Seg!$N$7</f>
        <v>118.892</v>
      </c>
      <c r="O15" s="38" t="n">
        <f aca="false">Seg!$O$7</f>
        <v>150.395</v>
      </c>
    </row>
    <row r="16" customFormat="false" ht="15" hidden="false" customHeight="false" outlineLevel="0" collapsed="false">
      <c r="A16" s="0" t="s">
        <v>517</v>
      </c>
      <c r="B16" s="0" t="s">
        <v>86</v>
      </c>
      <c r="C16" s="38" t="n">
        <f aca="false">Seg!$C$9</f>
        <v>21.215</v>
      </c>
      <c r="D16" s="38" t="n">
        <f aca="false">Seg!$D$9</f>
        <v>22.561</v>
      </c>
      <c r="E16" s="38" t="n">
        <f aca="false">Seg!$E$9</f>
        <v>11.579</v>
      </c>
      <c r="F16" s="38" t="n">
        <f aca="false">Seg!$F$9</f>
        <v>11.5006294561322</v>
      </c>
      <c r="G16" s="38" t="n">
        <f aca="false">Seg!$G$9</f>
        <v>23.0796294561322</v>
      </c>
      <c r="H16" s="38" t="n">
        <f aca="false">Seg!$H$9</f>
        <v>24.2553995769935</v>
      </c>
      <c r="I16" s="38" t="n">
        <f aca="false">Seg!$I$9</f>
        <v>25.3217326588874</v>
      </c>
      <c r="J16" s="38" t="n">
        <f aca="false">Seg!$J$9</f>
        <v>26.2581646353951</v>
      </c>
      <c r="K16" s="38" t="n">
        <f aca="false">Seg!$K$9</f>
        <v>27.045909574457</v>
      </c>
      <c r="L16" s="38" t="n">
        <f aca="false">Seg!$L$9</f>
        <v>27.8572868616907</v>
      </c>
      <c r="M16" s="38" t="n">
        <f aca="false">Seg!$M$9</f>
        <v>28.6930054675414</v>
      </c>
      <c r="N16" s="38" t="n">
        <f aca="false">Seg!$N$9</f>
        <v>11.128</v>
      </c>
      <c r="O16" s="38" t="n">
        <f aca="false">Seg!$O$9</f>
        <v>11.433</v>
      </c>
    </row>
    <row r="17" customFormat="false" ht="15" hidden="false" customHeight="false" outlineLevel="0" collapsed="false">
      <c r="A17" s="0" t="s">
        <v>518</v>
      </c>
      <c r="B17" s="0" t="s">
        <v>86</v>
      </c>
      <c r="C17" s="38" t="n">
        <f aca="false">Seg!$C$11</f>
        <v>156.146</v>
      </c>
      <c r="D17" s="38" t="n">
        <f aca="false">Seg!$D$11</f>
        <v>172.162</v>
      </c>
      <c r="E17" s="38" t="n">
        <f aca="false">Seg!$E$11</f>
        <v>88.358</v>
      </c>
      <c r="F17" s="38" t="n">
        <f aca="false">Seg!$F$11</f>
        <v>101.184024252687</v>
      </c>
      <c r="G17" s="38" t="n">
        <f aca="false">Seg!$G$11</f>
        <v>189.542024252687</v>
      </c>
      <c r="H17" s="38" t="n">
        <f aca="false">Seg!$H$11</f>
        <v>209.436635959084</v>
      </c>
      <c r="I17" s="38" t="n">
        <f aca="false">Seg!$I$11</f>
        <v>228.978677217176</v>
      </c>
      <c r="J17" s="38" t="n">
        <f aca="false">Seg!$J$11</f>
        <v>247.675662565342</v>
      </c>
      <c r="K17" s="38" t="n">
        <f aca="false">Seg!$K$11</f>
        <v>265.012958944916</v>
      </c>
      <c r="L17" s="38" t="n">
        <f aca="false">Seg!$L$11</f>
        <v>283.56386607106</v>
      </c>
      <c r="M17" s="38" t="n">
        <f aca="false">Seg!$M$11</f>
        <v>303.413336696034</v>
      </c>
      <c r="N17" s="38" t="n">
        <f aca="false">Seg!$N$11</f>
        <v>76.86</v>
      </c>
      <c r="O17" s="38" t="n">
        <f aca="false">Seg!$O$11</f>
        <v>95.302</v>
      </c>
    </row>
    <row r="18" customFormat="false" ht="15" hidden="false" customHeight="false" outlineLevel="0" collapsed="false">
      <c r="A18" s="0" t="s">
        <v>519</v>
      </c>
      <c r="B18" s="0" t="s">
        <v>86</v>
      </c>
      <c r="C18" s="38" t="n">
        <f aca="false">Seg!$C$13</f>
        <v>56.214</v>
      </c>
      <c r="D18" s="38" t="n">
        <f aca="false">Seg!$D$13</f>
        <v>68.635</v>
      </c>
      <c r="E18" s="38" t="n">
        <f aca="false">Seg!$E$13</f>
        <v>37.052</v>
      </c>
      <c r="F18" s="38" t="n">
        <f aca="false">Seg!$F$13</f>
        <v>45.7860053805462</v>
      </c>
      <c r="G18" s="38" t="n">
        <f aca="false">Seg!$G$13</f>
        <v>82.8380053805462</v>
      </c>
      <c r="H18" s="38" t="n">
        <f aca="false">Seg!$H$13</f>
        <v>99.4512578764903</v>
      </c>
      <c r="I18" s="38" t="n">
        <f aca="false">Seg!$I$13</f>
        <v>116.063005430549</v>
      </c>
      <c r="J18" s="38" t="n">
        <f aca="false">Seg!$J$13</f>
        <v>131.559393312867</v>
      </c>
      <c r="K18" s="38" t="n">
        <f aca="false">Seg!$K$13</f>
        <v>144.715332644154</v>
      </c>
      <c r="L18" s="38" t="n">
        <f aca="false">Seg!$L$13</f>
        <v>159.186865908569</v>
      </c>
      <c r="M18" s="38" t="n">
        <f aca="false">Seg!$M$13</f>
        <v>175.105552499426</v>
      </c>
      <c r="N18" s="38" t="n">
        <f aca="false">Seg!$N$13</f>
        <v>29.615</v>
      </c>
      <c r="O18" s="38" t="n">
        <f aca="false">Seg!$O$13</f>
        <v>39.02</v>
      </c>
    </row>
    <row r="19" customFormat="false" ht="15" hidden="false" customHeight="false" outlineLevel="0" collapsed="false">
      <c r="A19" s="0" t="s">
        <v>520</v>
      </c>
      <c r="B19" s="0" t="s">
        <v>86</v>
      </c>
      <c r="C19" s="38" t="n">
        <f aca="false">Seg!$C$15</f>
        <v>44.374</v>
      </c>
      <c r="D19" s="38" t="n">
        <f aca="false">Seg!$D$15</f>
        <v>49.619</v>
      </c>
      <c r="E19" s="38" t="n">
        <f aca="false">Seg!$E$15</f>
        <v>27.157</v>
      </c>
      <c r="F19" s="38" t="n">
        <f aca="false">Seg!$F$15</f>
        <v>27.55302647979</v>
      </c>
      <c r="G19" s="38" t="n">
        <f aca="false">Seg!$G$15</f>
        <v>54.71002647979</v>
      </c>
      <c r="H19" s="38" t="n">
        <f aca="false">Seg!$H$15</f>
        <v>60.9077149464402</v>
      </c>
      <c r="I19" s="38" t="n">
        <f aca="false">Seg!$I$15</f>
        <v>66.9287470272796</v>
      </c>
      <c r="J19" s="38" t="n">
        <f aca="false">Seg!$J$15</f>
        <v>72.5793737728661</v>
      </c>
      <c r="K19" s="38" t="n">
        <f aca="false">Seg!$K$15</f>
        <v>77.6599299369667</v>
      </c>
      <c r="L19" s="38" t="n">
        <f aca="false">Seg!$L$15</f>
        <v>83.0961250325544</v>
      </c>
      <c r="M19" s="38" t="n">
        <f aca="false">Seg!$M$15</f>
        <v>88.9128537848332</v>
      </c>
      <c r="N19" s="38" t="n">
        <f aca="false">Seg!$N$15</f>
        <v>23.923</v>
      </c>
      <c r="O19" s="38" t="n">
        <f aca="false">Seg!$O$15</f>
        <v>25.696</v>
      </c>
    </row>
    <row r="20" customFormat="false" ht="15" hidden="false" customHeight="false" outlineLevel="0" collapsed="false">
      <c r="A20" s="0" t="s">
        <v>521</v>
      </c>
      <c r="B20" s="0" t="s">
        <v>86</v>
      </c>
      <c r="C20" s="38" t="n">
        <f aca="false">Seg!$C$17</f>
        <v>5.425</v>
      </c>
      <c r="D20" s="38" t="n">
        <f aca="false">Seg!$D$17</f>
        <v>5.935</v>
      </c>
      <c r="E20" s="38" t="n">
        <f aca="false">Seg!$E$17</f>
        <v>3.474</v>
      </c>
      <c r="F20" s="38" t="n">
        <f aca="false">Seg!$F$17</f>
        <v>3.19654902853668</v>
      </c>
      <c r="G20" s="38" t="n">
        <f aca="false">Seg!$G$17</f>
        <v>6.67054902853668</v>
      </c>
      <c r="H20" s="38" t="n">
        <f aca="false">Seg!$H$17</f>
        <v>7.13479327564415</v>
      </c>
      <c r="I20" s="38" t="n">
        <f aca="false">Seg!$I$17</f>
        <v>7.58474238998743</v>
      </c>
      <c r="J20" s="38" t="n">
        <f aca="false">Seg!$J$17</f>
        <v>8.01352331850166</v>
      </c>
      <c r="K20" s="38" t="n">
        <f aca="false">Seg!$K$17</f>
        <v>8.41419948442675</v>
      </c>
      <c r="L20" s="38" t="n">
        <f aca="false">Seg!$L$17</f>
        <v>8.83490945864809</v>
      </c>
      <c r="M20" s="38" t="n">
        <f aca="false">Seg!$M$17</f>
        <v>9.27665493158049</v>
      </c>
      <c r="N20" s="38" t="n">
        <f aca="false">Seg!$N$17</f>
        <v>2.811</v>
      </c>
      <c r="O20" s="38" t="n">
        <f aca="false">Seg!$O$17</f>
        <v>3.124</v>
      </c>
    </row>
    <row r="21" customFormat="false" ht="17.15" hidden="false" customHeight="false" outlineLevel="0" collapsed="false">
      <c r="A21" s="0" t="s">
        <v>711</v>
      </c>
      <c r="B21" s="0" t="s">
        <v>86</v>
      </c>
      <c r="C21" s="38" t="n">
        <f aca="false">Seg!$C$29</f>
        <v>107.556</v>
      </c>
      <c r="D21" s="38" t="n">
        <f aca="false">Seg!$D$29</f>
        <v>128.725</v>
      </c>
      <c r="E21" s="38" t="n">
        <f aca="false">Seg!$E$29</f>
        <v>79.819</v>
      </c>
      <c r="F21" s="38" t="n">
        <f aca="false">Seg!$F$29</f>
        <v>89.5399324154585</v>
      </c>
      <c r="G21" s="38" t="n">
        <f aca="false">Seg!$G$29</f>
        <v>169.358932415459</v>
      </c>
      <c r="H21" s="38" t="n">
        <f aca="false">Seg!$H$29</f>
        <v>244.100951085827</v>
      </c>
      <c r="I21" s="38" t="n">
        <f aca="false">Seg!$I$29</f>
        <v>326.846051483453</v>
      </c>
      <c r="J21" s="38" t="n">
        <f aca="false">Seg!$J$29</f>
        <v>409.133379921729</v>
      </c>
      <c r="K21" s="38" t="n">
        <f aca="false">Seg!$K$29</f>
        <v>480.482956242801</v>
      </c>
      <c r="L21" s="38" t="n">
        <f aca="false">Seg!$L$29</f>
        <v>533.984460024075</v>
      </c>
      <c r="M21" s="38" t="n">
        <f aca="false">Seg!$M$29</f>
        <v>569.691082990856</v>
      </c>
      <c r="N21" s="38" t="n">
        <f aca="false">Seg!$N$29</f>
        <v>60.14</v>
      </c>
      <c r="O21" s="38" t="n">
        <f aca="false">Seg!$O$29</f>
        <v>68.585</v>
      </c>
    </row>
    <row r="22" customFormat="false" ht="15" hidden="false" customHeight="false" outlineLevel="0" collapsed="false">
      <c r="A22" s="1" t="s">
        <v>509</v>
      </c>
      <c r="B22" s="8" t="s">
        <v>86</v>
      </c>
      <c r="C22" s="38" t="n">
        <f aca="false">Seg!$C$22</f>
        <v>387.497</v>
      </c>
      <c r="D22" s="38" t="n">
        <f aca="false">Seg!$D$22</f>
        <v>426.305</v>
      </c>
      <c r="E22" s="38" t="n">
        <f aca="false">Seg!$E$22</f>
        <v>220.32</v>
      </c>
      <c r="F22" s="38" t="n">
        <f aca="false">Seg!$F$22</f>
        <v>248.624018545779</v>
      </c>
      <c r="G22" s="38" t="n">
        <f aca="false">Seg!$G$22</f>
        <v>468.944018545779</v>
      </c>
      <c r="H22" s="38" t="n">
        <f aca="false">Seg!$H$22</f>
        <v>519.154419360281</v>
      </c>
      <c r="I22" s="38" t="n">
        <f aca="false">Seg!$I$22</f>
        <v>567.701608935243</v>
      </c>
      <c r="J22" s="38" t="n">
        <f aca="false">Seg!$J$22</f>
        <v>612.754602991596</v>
      </c>
      <c r="K22" s="38" t="n">
        <f aca="false">Seg!$K$22</f>
        <v>652.400254901116</v>
      </c>
      <c r="L22" s="38" t="n">
        <f aca="false">Seg!$L$22</f>
        <v>694.816622797801</v>
      </c>
      <c r="M22" s="38" t="n">
        <f aca="false">Seg!$M$22</f>
        <v>740.212157463797</v>
      </c>
      <c r="N22" s="38" t="n">
        <f aca="false">Seg!$N$22</f>
        <v>192.955</v>
      </c>
      <c r="O22" s="38" t="n">
        <f aca="false">Seg!$O$22</f>
        <v>233.35</v>
      </c>
    </row>
    <row r="23" customFormat="false" ht="15" hidden="false" customHeight="false" outlineLevel="0" collapsed="false">
      <c r="A23" s="1" t="s">
        <v>512</v>
      </c>
      <c r="B23" s="8" t="s">
        <v>86</v>
      </c>
      <c r="C23" s="38" t="n">
        <f aca="false">Seg!$C$23</f>
        <v>142.906</v>
      </c>
      <c r="D23" s="38" t="n">
        <f aca="false">Seg!$D$23</f>
        <v>161.894</v>
      </c>
      <c r="E23" s="38" t="n">
        <f aca="false">Seg!$E$23</f>
        <v>81.986</v>
      </c>
      <c r="F23" s="38" t="n">
        <f aca="false">Seg!$F$23</f>
        <v>97.6170241232667</v>
      </c>
      <c r="G23" s="38" t="n">
        <f aca="false">Seg!$G$23</f>
        <v>179.603024123267</v>
      </c>
      <c r="H23" s="38" t="n">
        <f aca="false">Seg!$H$23</f>
        <v>198.833336211884</v>
      </c>
      <c r="I23" s="38" t="n">
        <f aca="false">Seg!$I$23</f>
        <v>217.426647386612</v>
      </c>
      <c r="J23" s="38" t="n">
        <f aca="false">Seg!$J$23</f>
        <v>234.681700566352</v>
      </c>
      <c r="K23" s="38" t="n">
        <f aca="false">Seg!$K$23</f>
        <v>249.865770934429</v>
      </c>
      <c r="L23" s="38" t="n">
        <f aca="false">Seg!$L$23</f>
        <v>266.111010547878</v>
      </c>
      <c r="M23" s="38" t="n">
        <f aca="false">Seg!$M$23</f>
        <v>283.497254929433</v>
      </c>
      <c r="N23" s="38" t="n">
        <f aca="false">Seg!$N$23</f>
        <v>70.274</v>
      </c>
      <c r="O23" s="38" t="n">
        <f aca="false">Seg!$O$23</f>
        <v>91.62</v>
      </c>
    </row>
    <row r="24" customFormat="false" ht="15" hidden="false" customHeight="false" outlineLevel="0" collapsed="false">
      <c r="A24" s="1" t="s">
        <v>513</v>
      </c>
      <c r="B24" s="8" t="s">
        <v>86</v>
      </c>
      <c r="C24" s="38" t="n">
        <f aca="false">Seg!$C$29</f>
        <v>107.556</v>
      </c>
      <c r="D24" s="38" t="n">
        <f aca="false">Seg!$D$29</f>
        <v>128.725</v>
      </c>
      <c r="E24" s="38" t="n">
        <f aca="false">Seg!$E$29</f>
        <v>79.819</v>
      </c>
      <c r="F24" s="38" t="n">
        <f aca="false">Seg!$F$29</f>
        <v>89.5399324154585</v>
      </c>
      <c r="G24" s="38" t="n">
        <f aca="false">Seg!$G$29</f>
        <v>169.358932415459</v>
      </c>
      <c r="H24" s="38" t="n">
        <f aca="false">Seg!$H$29</f>
        <v>244.100951085827</v>
      </c>
      <c r="I24" s="38" t="n">
        <f aca="false">Seg!$I$29</f>
        <v>326.846051483453</v>
      </c>
      <c r="J24" s="38" t="n">
        <f aca="false">Seg!$J$29</f>
        <v>409.133379921729</v>
      </c>
      <c r="K24" s="38" t="n">
        <f aca="false">Seg!$K$29</f>
        <v>480.482956242801</v>
      </c>
      <c r="L24" s="38" t="n">
        <f aca="false">Seg!$L$29</f>
        <v>533.984460024075</v>
      </c>
      <c r="M24" s="38" t="n">
        <f aca="false">Seg!$M$29</f>
        <v>569.691082990856</v>
      </c>
      <c r="N24" s="38" t="n">
        <f aca="false">Seg!$N$29</f>
        <v>60.14</v>
      </c>
      <c r="O24" s="38" t="n">
        <f aca="false">Seg!$O$29</f>
        <v>68.585</v>
      </c>
    </row>
    <row r="25" customFormat="false" ht="17.15" hidden="false" customHeight="false" outlineLevel="0" collapsed="false">
      <c r="A25" s="0" t="s">
        <v>685</v>
      </c>
      <c r="B25" s="0" t="s">
        <v>86</v>
      </c>
      <c r="C25" s="38" t="n">
        <f aca="false">Seg!$C$27</f>
        <v>2.32100535697364</v>
      </c>
      <c r="D25" s="38" t="n">
        <f aca="false">Seg!$D$27</f>
        <v>8.70377008865116</v>
      </c>
      <c r="E25" s="38" t="n">
        <f aca="false">Seg!$E$27</f>
        <v>8.51035297557002</v>
      </c>
      <c r="F25" s="38" t="n">
        <f aca="false">Seg!$F$27</f>
        <v>17.7706326212121</v>
      </c>
      <c r="G25" s="38" t="n">
        <f aca="false">Seg!$G$27</f>
        <v>26.2809855967821</v>
      </c>
      <c r="H25" s="38" t="n">
        <f aca="false">Seg!$H$27</f>
        <v>83.0838740066237</v>
      </c>
      <c r="I25" s="38" t="n">
        <f aca="false">Seg!$I$27</f>
        <v>148.076291961995</v>
      </c>
      <c r="J25" s="38" t="n">
        <f aca="false">Seg!$J$27</f>
        <v>213.357841875822</v>
      </c>
      <c r="K25" s="38" t="n">
        <f aca="false">Seg!$K$27</f>
        <v>269.045375153221</v>
      </c>
      <c r="L25" s="38" t="n">
        <f aca="false">Seg!$L$27</f>
        <v>305.631872447328</v>
      </c>
      <c r="M25" s="38" t="n">
        <f aca="false">Seg!$M$27</f>
        <v>323.07028840797</v>
      </c>
      <c r="N25" s="38" t="n">
        <f aca="false">Seg!$N$27</f>
        <v>3.04631953102791</v>
      </c>
      <c r="O25" s="38" t="n">
        <f aca="false">Seg!$O$27</f>
        <v>5.65745055762326</v>
      </c>
    </row>
    <row r="26" customFormat="false" ht="17.15" hidden="false" customHeight="false" outlineLevel="0" collapsed="false">
      <c r="A26" s="0" t="s">
        <v>687</v>
      </c>
      <c r="B26" s="0" t="s">
        <v>86</v>
      </c>
      <c r="C26" s="38" t="n">
        <f aca="false">Seg!$C$28</f>
        <v>105.234994643026</v>
      </c>
      <c r="D26" s="38" t="n">
        <f aca="false">Seg!$D$28</f>
        <v>120.021229911349</v>
      </c>
      <c r="E26" s="38" t="n">
        <f aca="false">Seg!$E$28</f>
        <v>71.30864702443</v>
      </c>
      <c r="F26" s="38" t="n">
        <f aca="false">Seg!$F$28</f>
        <v>71.7692997942464</v>
      </c>
      <c r="G26" s="38" t="n">
        <f aca="false">Seg!$G$28</f>
        <v>143.077946818676</v>
      </c>
      <c r="H26" s="38" t="n">
        <f aca="false">Seg!$H$28</f>
        <v>161.017077079203</v>
      </c>
      <c r="I26" s="38" t="n">
        <f aca="false">Seg!$I$28</f>
        <v>178.769759521457</v>
      </c>
      <c r="J26" s="38" t="n">
        <f aca="false">Seg!$J$28</f>
        <v>195.775538045907</v>
      </c>
      <c r="K26" s="38" t="n">
        <f aca="false">Seg!$K$28</f>
        <v>211.43758108958</v>
      </c>
      <c r="L26" s="38" t="n">
        <f aca="false">Seg!$L$28</f>
        <v>228.352587576746</v>
      </c>
      <c r="M26" s="38" t="n">
        <f aca="false">Seg!$M$28</f>
        <v>246.620794582886</v>
      </c>
      <c r="N26" s="38" t="n">
        <f aca="false">Seg!$N$28</f>
        <v>57.0936804689721</v>
      </c>
      <c r="O26" s="38" t="n">
        <f aca="false">Seg!$O$28</f>
        <v>62.9275494423768</v>
      </c>
    </row>
    <row r="27" customFormat="false" ht="15" hidden="false" customHeight="false" outlineLevel="0" collapsed="false">
      <c r="A27" s="3" t="s">
        <v>514</v>
      </c>
      <c r="B27" s="8" t="s">
        <v>86</v>
      </c>
      <c r="C27" s="38" t="n">
        <f aca="false">Seg!$C$30</f>
        <v>637.959</v>
      </c>
      <c r="D27" s="38" t="n">
        <f aca="false">Seg!$D$30</f>
        <v>716.924</v>
      </c>
      <c r="E27" s="38" t="n">
        <f aca="false">Seg!$E$30</f>
        <v>382.125</v>
      </c>
      <c r="F27" s="38" t="n">
        <f aca="false">Seg!$F$30</f>
        <v>435.780975084504</v>
      </c>
      <c r="G27" s="38" t="n">
        <f aca="false">Seg!$G$30</f>
        <v>817.905975084504</v>
      </c>
      <c r="H27" s="38" t="n">
        <f aca="false">Seg!$H$30</f>
        <v>962.088706657993</v>
      </c>
      <c r="I27" s="38" t="n">
        <f aca="false">Seg!$I$30</f>
        <v>1111.97430780531</v>
      </c>
      <c r="J27" s="38" t="n">
        <f aca="false">Seg!$J$30</f>
        <v>1256.56968347968</v>
      </c>
      <c r="K27" s="38" t="n">
        <f aca="false">Seg!$K$30</f>
        <v>1382.74898207835</v>
      </c>
      <c r="L27" s="38" t="n">
        <f aca="false">Seg!$L$30</f>
        <v>1494.91209336975</v>
      </c>
      <c r="M27" s="38" t="n">
        <f aca="false">Seg!$M$30</f>
        <v>1593.40049538409</v>
      </c>
      <c r="N27" s="38" t="n">
        <f aca="false">Seg!$N$30</f>
        <v>323.369</v>
      </c>
      <c r="O27" s="38" t="n">
        <f aca="false">Seg!$O$30</f>
        <v>393.555</v>
      </c>
    </row>
    <row r="28" customFormat="false" ht="17.15" hidden="false" customHeight="false" outlineLevel="0" collapsed="false">
      <c r="A28" s="24" t="s">
        <v>690</v>
      </c>
      <c r="B28" s="25" t="s">
        <v>86</v>
      </c>
      <c r="C28" s="41" t="n">
        <f aca="false">PL!$C$15+PL!$C$16+PL!$C$17+PL!$C$18+PL!$C$19+PL!$C$20-(PL!$C$22+PL!$C$23)</f>
        <v>0</v>
      </c>
      <c r="D28" s="41" t="n">
        <f aca="false">PL!$D$15+PL!$D$16+PL!$D$17+PL!$D$18+PL!$D$19+PL!$D$20-(PL!$D$22+PL!$D$23)</f>
        <v>0</v>
      </c>
      <c r="E28" s="41" t="n">
        <f aca="false">PL!$E$15+PL!$E$16+PL!$E$17+PL!$E$18+PL!$E$19+PL!$E$20-(PL!$E$22+PL!$E$23)</f>
        <v>0</v>
      </c>
      <c r="F28" s="41" t="n">
        <f aca="false">PL!$F$15+PL!$F$16+PL!$F$17+PL!$F$18+PL!$F$19+PL!$F$20-(PL!$F$22+PL!$F$23)</f>
        <v>0</v>
      </c>
      <c r="G28" s="41" t="n">
        <f aca="false">PL!$G$15+PL!$G$16+PL!$G$17+PL!$G$18+PL!$G$19+PL!$G$20-(PL!$G$22+PL!$G$23)</f>
        <v>0</v>
      </c>
      <c r="H28" s="41" t="n">
        <f aca="false">PL!$H$15+PL!$H$16+PL!$H$17+PL!$H$18+PL!$H$19+PL!$H$20-(PL!$H$22+PL!$H$23)</f>
        <v>0</v>
      </c>
      <c r="I28" s="41" t="n">
        <f aca="false">PL!$I$15+PL!$I$16+PL!$I$17+PL!$I$18+PL!$I$19+PL!$I$20-(PL!$I$22+PL!$I$23)</f>
        <v>0</v>
      </c>
      <c r="J28" s="41" t="n">
        <f aca="false">PL!$J$15+PL!$J$16+PL!$J$17+PL!$J$18+PL!$J$19+PL!$J$20-(PL!$J$22+PL!$J$23)</f>
        <v>0</v>
      </c>
      <c r="K28" s="41" t="n">
        <f aca="false">PL!$K$15+PL!$K$16+PL!$K$17+PL!$K$18+PL!$K$19+PL!$K$20-(PL!$K$22+PL!$K$23)</f>
        <v>0</v>
      </c>
      <c r="L28" s="41" t="n">
        <f aca="false">PL!$L$15+PL!$L$16+PL!$L$17+PL!$L$18+PL!$L$19+PL!$L$20-(PL!$L$22+PL!$L$23)</f>
        <v>0</v>
      </c>
      <c r="M28" s="41" t="n">
        <f aca="false">PL!$M$15+PL!$M$16+PL!$M$17+PL!$M$18+PL!$M$19+PL!$M$20-(PL!$M$22+PL!$M$23)</f>
        <v>0</v>
      </c>
      <c r="N28" s="41" t="n">
        <f aca="false">PL!$N$15+PL!$N$16+PL!$N$17+PL!$N$18+PL!$N$19+PL!$N$20-(PL!$N$22+PL!$N$23)</f>
        <v>0</v>
      </c>
      <c r="O28" s="41" t="n">
        <f aca="false">PL!$O$15+PL!$O$16+PL!$O$17+PL!$O$18+PL!$O$19+PL!$O$20-(PL!$O$22+PL!$O$23)</f>
        <v>0</v>
      </c>
    </row>
    <row r="29" customFormat="false" ht="17.15" hidden="false" customHeight="false" outlineLevel="0" collapsed="false">
      <c r="A29" s="24" t="s">
        <v>691</v>
      </c>
      <c r="B29" s="25" t="s">
        <v>86</v>
      </c>
      <c r="C29" s="41" t="n">
        <f aca="false">PL!$C$25+PL!$C$26-PL!$C$24</f>
        <v>0</v>
      </c>
      <c r="D29" s="41" t="n">
        <f aca="false">PL!$D$25+PL!$D$26-PL!$D$24</f>
        <v>0</v>
      </c>
      <c r="E29" s="41" t="n">
        <f aca="false">PL!$E$25+PL!$E$26-PL!$E$24</f>
        <v>0</v>
      </c>
      <c r="F29" s="41" t="n">
        <f aca="false">PL!$F$25+PL!$F$26-PL!$F$24</f>
        <v>0</v>
      </c>
      <c r="G29" s="41" t="n">
        <f aca="false">PL!$G$25+PL!$G$26-PL!$G$24</f>
        <v>0</v>
      </c>
      <c r="H29" s="41" t="n">
        <f aca="false">PL!$H$25+PL!$H$26-PL!$H$24</f>
        <v>0</v>
      </c>
      <c r="I29" s="41" t="n">
        <f aca="false">PL!$I$25+PL!$I$26-PL!$I$24</f>
        <v>0</v>
      </c>
      <c r="J29" s="41" t="n">
        <f aca="false">PL!$J$25+PL!$J$26-PL!$J$24</f>
        <v>0</v>
      </c>
      <c r="K29" s="41" t="n">
        <f aca="false">PL!$K$25+PL!$K$26-PL!$K$24</f>
        <v>0</v>
      </c>
      <c r="L29" s="41" t="n">
        <f aca="false">PL!$L$25+PL!$L$26-PL!$L$24</f>
        <v>0</v>
      </c>
      <c r="M29" s="41" t="n">
        <f aca="false">PL!$M$25+PL!$M$26-PL!$M$24</f>
        <v>0</v>
      </c>
      <c r="N29" s="41" t="n">
        <f aca="false">PL!$N$25+PL!$N$26-PL!$N$24</f>
        <v>0</v>
      </c>
      <c r="O29" s="41" t="n">
        <f aca="false">PL!$O$25+PL!$O$26-PL!$O$24</f>
        <v>0</v>
      </c>
    </row>
    <row r="30" customFormat="false" ht="17.15" hidden="false" customHeight="false" outlineLevel="0" collapsed="false">
      <c r="A30" s="24" t="s">
        <v>712</v>
      </c>
      <c r="B30" s="25" t="s">
        <v>86</v>
      </c>
      <c r="C30" s="41" t="n">
        <f aca="false">PL!$C$15+PL!$C$16+PL!$C$17+PL!$C$18+PL!$C$19+PL!$C$20+PL!$C$21-PL!$C$27</f>
        <v>0</v>
      </c>
      <c r="D30" s="41" t="n">
        <f aca="false">PL!$D$15+PL!$D$16+PL!$D$17+PL!$D$18+PL!$D$19+PL!$D$20+PL!$D$21-PL!$D$27</f>
        <v>0</v>
      </c>
      <c r="E30" s="41" t="n">
        <f aca="false">PL!$E$15+PL!$E$16+PL!$E$17+PL!$E$18+PL!$E$19+PL!$E$20+PL!$E$21-PL!$E$27</f>
        <v>0</v>
      </c>
      <c r="F30" s="41" t="n">
        <f aca="false">PL!$F$15+PL!$F$16+PL!$F$17+PL!$F$18+PL!$F$19+PL!$F$20+PL!$F$21-PL!$F$27</f>
        <v>0</v>
      </c>
      <c r="G30" s="41" t="n">
        <f aca="false">PL!$G$15+PL!$G$16+PL!$G$17+PL!$G$18+PL!$G$19+PL!$G$20+PL!$G$21-PL!$G$27</f>
        <v>0</v>
      </c>
      <c r="H30" s="41" t="n">
        <f aca="false">PL!$H$15+PL!$H$16+PL!$H$17+PL!$H$18+PL!$H$19+PL!$H$20+PL!$H$21-PL!$H$27</f>
        <v>0</v>
      </c>
      <c r="I30" s="41" t="n">
        <f aca="false">PL!$I$15+PL!$I$16+PL!$I$17+PL!$I$18+PL!$I$19+PL!$I$20+PL!$I$21-PL!$I$27</f>
        <v>0</v>
      </c>
      <c r="J30" s="41" t="n">
        <f aca="false">PL!$J$15+PL!$J$16+PL!$J$17+PL!$J$18+PL!$J$19+PL!$J$20+PL!$J$21-PL!$J$27</f>
        <v>0</v>
      </c>
      <c r="K30" s="41" t="n">
        <f aca="false">PL!$K$15+PL!$K$16+PL!$K$17+PL!$K$18+PL!$K$19+PL!$K$20+PL!$K$21-PL!$K$27</f>
        <v>0</v>
      </c>
      <c r="L30" s="41" t="n">
        <f aca="false">PL!$L$15+PL!$L$16+PL!$L$17+PL!$L$18+PL!$L$19+PL!$L$20+PL!$L$21-PL!$L$27</f>
        <v>0</v>
      </c>
      <c r="M30" s="41" t="n">
        <f aca="false">PL!$M$15+PL!$M$16+PL!$M$17+PL!$M$18+PL!$M$19+PL!$M$20+PL!$M$21-PL!$M$27</f>
        <v>0</v>
      </c>
      <c r="N30" s="41" t="n">
        <f aca="false">PL!$N$15+PL!$N$16+PL!$N$17+PL!$N$18+PL!$N$19+PL!$N$20+PL!$N$21-PL!$N$27</f>
        <v>0</v>
      </c>
      <c r="O30" s="41" t="n">
        <f aca="false">PL!$O$15+PL!$O$16+PL!$O$17+PL!$O$18+PL!$O$19+PL!$O$20+PL!$O$21-PL!$O$27</f>
        <v>0</v>
      </c>
    </row>
    <row r="31" customFormat="false" ht="17.15" hidden="false" customHeight="false" outlineLevel="0" collapsed="false">
      <c r="A31" s="24" t="s">
        <v>692</v>
      </c>
      <c r="B31" s="25" t="s">
        <v>86</v>
      </c>
      <c r="C31" s="41" t="n">
        <f aca="false">PL!$C$22+PL!$C$23+PL!$C$24-PL!$C$27</f>
        <v>0</v>
      </c>
      <c r="D31" s="41" t="n">
        <f aca="false">PL!$D$22+PL!$D$23+PL!$D$24-PL!$D$27</f>
        <v>0</v>
      </c>
      <c r="E31" s="41" t="n">
        <f aca="false">PL!$E$22+PL!$E$23+PL!$E$24-PL!$E$27</f>
        <v>0</v>
      </c>
      <c r="F31" s="41" t="n">
        <f aca="false">PL!$F$22+PL!$F$23+PL!$F$24-PL!$F$27</f>
        <v>0</v>
      </c>
      <c r="G31" s="41" t="n">
        <f aca="false">PL!$G$22+PL!$G$23+PL!$G$24-PL!$G$27</f>
        <v>0</v>
      </c>
      <c r="H31" s="41" t="n">
        <f aca="false">PL!$H$22+PL!$H$23+PL!$H$24-PL!$H$27</f>
        <v>0</v>
      </c>
      <c r="I31" s="41" t="n">
        <f aca="false">PL!$I$22+PL!$I$23+PL!$I$24-PL!$I$27</f>
        <v>0</v>
      </c>
      <c r="J31" s="41" t="n">
        <f aca="false">PL!$J$22+PL!$J$23+PL!$J$24-PL!$J$27</f>
        <v>0</v>
      </c>
      <c r="K31" s="41" t="n">
        <f aca="false">PL!$K$22+PL!$K$23+PL!$K$24-PL!$K$27</f>
        <v>0</v>
      </c>
      <c r="L31" s="41" t="n">
        <f aca="false">PL!$L$22+PL!$L$23+PL!$L$24-PL!$L$27</f>
        <v>0</v>
      </c>
      <c r="M31" s="41" t="n">
        <f aca="false">PL!$M$22+PL!$M$23+PL!$M$24-PL!$M$27</f>
        <v>0</v>
      </c>
      <c r="N31" s="41" t="n">
        <f aca="false">PL!$N$22+PL!$N$23+PL!$N$24-PL!$N$27</f>
        <v>0</v>
      </c>
      <c r="O31" s="41" t="n">
        <f aca="false">PL!$O$22+PL!$O$23+PL!$O$24-PL!$O$27</f>
        <v>0</v>
      </c>
    </row>
    <row r="32" customFormat="false" ht="17.15" hidden="false" customHeight="false" outlineLevel="0" collapsed="false">
      <c r="A32" s="1" t="s">
        <v>713</v>
      </c>
    </row>
    <row r="33" customFormat="false" ht="17.15" hidden="false" customHeight="false" outlineLevel="0" collapsed="false">
      <c r="A33" s="0" t="s">
        <v>714</v>
      </c>
      <c r="B33" s="0" t="s">
        <v>86</v>
      </c>
      <c r="C33" s="38" t="n">
        <f aca="false">Seg!$C$24*m_ad</f>
        <v>20.5341564414228</v>
      </c>
      <c r="D33" s="38" t="n">
        <f aca="false">Seg!$D$24*m_ad</f>
        <v>24.8720617299587</v>
      </c>
      <c r="E33" s="38" t="n">
        <f aca="false">Seg!$E$24*m_ad</f>
        <v>13.5017112462207</v>
      </c>
      <c r="F33" s="38" t="n">
        <f aca="false">Seg!$F$24*m_ad</f>
        <v>16.4386933494637</v>
      </c>
      <c r="G33" s="38" t="n">
        <f aca="false">Seg!$G$24*m_ad</f>
        <v>29.9487813340424</v>
      </c>
      <c r="H33" s="38" t="n">
        <f aca="false">Seg!$H$24*m_ad</f>
        <v>35.955042155541</v>
      </c>
      <c r="I33" s="38" t="n">
        <f aca="false">Seg!$I$24*m_ad</f>
        <v>41.9607588889095</v>
      </c>
      <c r="J33" s="38" t="n">
        <f aca="false">Seg!$J$24*m_ad</f>
        <v>47.5632348300316</v>
      </c>
      <c r="K33" s="38" t="n">
        <f aca="false">Seg!$K$24*m_ad</f>
        <v>52.3195583130347</v>
      </c>
      <c r="L33" s="38" t="n">
        <f aca="false">Seg!$L$24*m_ad</f>
        <v>57.5515141443382</v>
      </c>
      <c r="M33" s="38" t="n">
        <f aca="false">Seg!$M$24*m_ad</f>
        <v>63.306665558772</v>
      </c>
      <c r="N33" s="38" t="n">
        <f aca="false">Seg!$N$24*m_ad</f>
        <v>10.8543555706248</v>
      </c>
      <c r="O33" s="38" t="n">
        <f aca="false">Seg!$O$24*m_ad</f>
        <v>14.0094731821399</v>
      </c>
    </row>
    <row r="34" customFormat="false" ht="17.15" hidden="false" customHeight="false" outlineLevel="0" collapsed="false">
      <c r="A34" s="0" t="s">
        <v>715</v>
      </c>
      <c r="B34" s="0" t="s">
        <v>86</v>
      </c>
      <c r="C34" s="38" t="n">
        <f aca="false">Seg!$C$22-Seg!$C$24</f>
        <v>346.428687117154</v>
      </c>
      <c r="D34" s="38" t="n">
        <f aca="false">Seg!$D$22-Seg!$D$24</f>
        <v>376.560876540083</v>
      </c>
      <c r="E34" s="38" t="n">
        <f aca="false">Seg!$E$22-Seg!$E$24</f>
        <v>193.316577507559</v>
      </c>
      <c r="F34" s="38" t="n">
        <f aca="false">Seg!$F$22-Seg!$F$24</f>
        <v>215.746631846851</v>
      </c>
      <c r="G34" s="38" t="n">
        <f aca="false">Seg!$G$22-Seg!$G$24</f>
        <v>409.046455877694</v>
      </c>
      <c r="H34" s="38" t="n">
        <f aca="false">Seg!$H$22-Seg!$H$24</f>
        <v>447.244335049199</v>
      </c>
      <c r="I34" s="38" t="n">
        <f aca="false">Seg!$I$22-Seg!$I$24</f>
        <v>483.780091157424</v>
      </c>
      <c r="J34" s="38" t="n">
        <f aca="false">Seg!$J$22-Seg!$J$24</f>
        <v>517.628133331533</v>
      </c>
      <c r="K34" s="38" t="n">
        <f aca="false">Seg!$K$22-Seg!$K$24</f>
        <v>547.761138275046</v>
      </c>
      <c r="L34" s="38" t="n">
        <f aca="false">Seg!$L$22-Seg!$L$24</f>
        <v>579.713594509124</v>
      </c>
      <c r="M34" s="38" t="n">
        <f aca="false">Seg!$M$22-Seg!$M$24</f>
        <v>613.598826346253</v>
      </c>
      <c r="N34" s="38" t="n">
        <f aca="false">Seg!$N$22-Seg!$N$24</f>
        <v>171.24628885875</v>
      </c>
      <c r="O34" s="38" t="n">
        <f aca="false">Seg!$O$22-Seg!$O$24</f>
        <v>205.33105363572</v>
      </c>
    </row>
    <row r="35" customFormat="false" ht="17.15" hidden="false" customHeight="false" outlineLevel="0" collapsed="false">
      <c r="A35" s="0" t="s">
        <v>716</v>
      </c>
      <c r="B35" s="0" t="s">
        <v>86</v>
      </c>
      <c r="C35" s="38" t="n">
        <f aca="false">Thesis!$C$49*Seg!$C$21</f>
        <v>0.123617442257179</v>
      </c>
      <c r="D35" s="38" t="n">
        <f aca="false">Thesis!$D$49*Seg!$D$21</f>
        <v>0.874366899302609</v>
      </c>
      <c r="E35" s="38" t="n">
        <f aca="false">Thesis!$E$49*Seg!$E$21</f>
        <v>1.29318830502574</v>
      </c>
      <c r="F35" s="38" t="n">
        <f aca="false">Thesis!$F$49*Seg!$F$21</f>
        <v>1.52297257953576</v>
      </c>
      <c r="G35" s="38" t="n">
        <f aca="false">Thesis!$G$49*Seg!$G$21</f>
        <v>2.81660430516361</v>
      </c>
      <c r="H35" s="38" t="n">
        <f aca="false">Thesis!$H$49*Seg!$H$21</f>
        <v>7.48317347286481</v>
      </c>
      <c r="I35" s="38" t="n">
        <f aca="false">Thesis!$I$49*Seg!$I$21</f>
        <v>13.1425001597709</v>
      </c>
      <c r="J35" s="38" t="n">
        <f aca="false">Thesis!$J$49*Seg!$J$21</f>
        <v>18.9550772173213</v>
      </c>
      <c r="K35" s="38" t="n">
        <f aca="false">Thesis!$K$49*Seg!$K$21</f>
        <v>24.6409681081125</v>
      </c>
      <c r="L35" s="38" t="n">
        <f aca="false">Thesis!$L$49*Seg!$L$21</f>
        <v>28.3327604043804</v>
      </c>
      <c r="M35" s="38" t="n">
        <f aca="false">Thesis!$M$49*Seg!$M$21</f>
        <v>30.4259399545086</v>
      </c>
      <c r="N35" s="38" t="n">
        <f aca="false">Thesis!$N$49*Seg!$N$21</f>
        <v>0.389180508437431</v>
      </c>
      <c r="O35" s="38" t="n">
        <f aca="false">Thesis!$O$49*Seg!$O$21</f>
        <v>0.485052120082802</v>
      </c>
    </row>
    <row r="36" customFormat="false" ht="17.15" hidden="false" customHeight="false" outlineLevel="0" collapsed="false">
      <c r="A36" s="0" t="s">
        <v>717</v>
      </c>
      <c r="B36" s="0" t="s">
        <v>52</v>
      </c>
      <c r="C36" s="28" t="n">
        <f aca="false">(PL!$C$37-PL!$C$33+PL!$C$35)/PL!$C$34</f>
        <v>0.0131526665379575</v>
      </c>
      <c r="D36" s="28" t="n">
        <f aca="false">(PL!$D$37-PL!$D$33+PL!$D$35)/PL!$D$34</f>
        <v>0.0149280116962589</v>
      </c>
      <c r="E36" s="28" t="n">
        <f aca="false">(PL!$E$37-PL!$E$33+PL!$E$35)/PL!$E$34</f>
        <v>0.0268030663774938</v>
      </c>
      <c r="F36" s="28" t="n">
        <f aca="false">PL!$O$36+(PL!$E$36-PL!$N$36)</f>
        <v>0.0232379346966962</v>
      </c>
      <c r="G36" s="28" t="n">
        <f aca="false">(PL!$G$37-PL!$G$33+PL!$G$35)/PL!$G$34</f>
        <v>0.0249043836868848</v>
      </c>
      <c r="H36" s="28" t="n">
        <f aca="false">PL!$G$36+step_na</f>
        <v>0.0279043836868848</v>
      </c>
      <c r="I36" s="28" t="n">
        <f aca="false">PL!$H$36+step_na</f>
        <v>0.0309043836868848</v>
      </c>
      <c r="J36" s="28" t="n">
        <f aca="false">PL!$I$36+step_na</f>
        <v>0.0339043836868848</v>
      </c>
      <c r="K36" s="28" t="n">
        <f aca="false">PL!$J$36+step_na</f>
        <v>0.0369043836868848</v>
      </c>
      <c r="L36" s="28" t="n">
        <f aca="false">PL!$K$36</f>
        <v>0.0369043836868848</v>
      </c>
      <c r="M36" s="28" t="n">
        <f aca="false">PL!$L$36</f>
        <v>0.0369043836868848</v>
      </c>
      <c r="N36" s="28" t="n">
        <f aca="false">(PL!$N$37-PL!$N$33+PL!$N$35)/PL!$N$34</f>
        <v>0.0168927744775755</v>
      </c>
      <c r="O36" s="28" t="n">
        <f aca="false">(PL!$O$37-PL!$O$33+PL!$O$35)/PL!$O$34</f>
        <v>0.0133276427967779</v>
      </c>
      <c r="P36" s="8" t="s">
        <v>718</v>
      </c>
    </row>
    <row r="37" customFormat="false" ht="17.15" hidden="false" customHeight="false" outlineLevel="0" collapsed="false">
      <c r="A37" s="1" t="s">
        <v>719</v>
      </c>
      <c r="B37" s="8" t="s">
        <v>86</v>
      </c>
      <c r="C37" s="38" t="n">
        <f aca="false">Q!$D$22</f>
        <v>24.967</v>
      </c>
      <c r="D37" s="38" t="n">
        <f aca="false">Q!$E$22</f>
        <v>29.619</v>
      </c>
      <c r="E37" s="38" t="n">
        <f aca="false">Q!$P$22</f>
        <v>17.39</v>
      </c>
      <c r="F37" s="38" t="n">
        <f aca="false">PL!$F$33+PL!$F$34*PL!$F$36-PL!$F$35</f>
        <v>19.9292269118173</v>
      </c>
      <c r="G37" s="38" t="n">
        <f aca="false">PL!$E$37+PL!$F$37</f>
        <v>37.3192269118173</v>
      </c>
      <c r="H37" s="38" t="n">
        <f aca="false">PL!$H$33+PL!$H$34*PL!$H$36-PL!$H$35</f>
        <v>40.9519462096747</v>
      </c>
      <c r="I37" s="38" t="n">
        <f aca="false">PL!$I$33+PL!$I$34*PL!$I$36-PL!$I$35</f>
        <v>43.7691842863438</v>
      </c>
      <c r="J37" s="38" t="n">
        <f aca="false">PL!$J$33+PL!$J$34*PL!$J$36-PL!$J$35</f>
        <v>46.1580204523085</v>
      </c>
      <c r="K37" s="38" t="n">
        <f aca="false">PL!$K$33+PL!$K$34*PL!$K$36-PL!$K$35</f>
        <v>47.8933774205893</v>
      </c>
      <c r="L37" s="38" t="n">
        <f aca="false">PL!$L$33+PL!$L$34*PL!$L$36-PL!$L$35</f>
        <v>50.6127266602257</v>
      </c>
      <c r="M37" s="38" t="n">
        <f aca="false">PL!$M$33+PL!$M$34*PL!$M$36-PL!$M$35</f>
        <v>55.5252121215677</v>
      </c>
      <c r="N37" s="38" t="n">
        <f aca="false">Q!$N$22</f>
        <v>13.358</v>
      </c>
      <c r="O37" s="38" t="n">
        <f aca="false">Q!$O$22</f>
        <v>16.261</v>
      </c>
    </row>
    <row r="38" customFormat="false" ht="17.15" hidden="false" customHeight="false" outlineLevel="0" collapsed="false">
      <c r="A38" s="0" t="s">
        <v>720</v>
      </c>
      <c r="B38" s="0" t="s">
        <v>86</v>
      </c>
      <c r="C38" s="38" t="n">
        <f aca="false">Seg!$C$25*m_ad</f>
        <v>7.57284355857716</v>
      </c>
      <c r="D38" s="38" t="n">
        <f aca="false">Seg!$D$25*m_ad</f>
        <v>9.44543827004127</v>
      </c>
      <c r="E38" s="38" t="n">
        <f aca="false">Seg!$E$25*m_ad</f>
        <v>5.02428875377928</v>
      </c>
      <c r="F38" s="38" t="n">
        <f aca="false">Seg!$F$25*m_ad</f>
        <v>6.45430934080938</v>
      </c>
      <c r="G38" s="38" t="n">
        <f aca="false">Seg!$G$25*m_ad</f>
        <v>11.4702213562307</v>
      </c>
      <c r="H38" s="38" t="n">
        <f aca="false">Seg!$H$25*m_ad</f>
        <v>13.7705867827042</v>
      </c>
      <c r="I38" s="38" t="n">
        <f aca="false">Seg!$I$25*m_ad</f>
        <v>16.070743826365</v>
      </c>
      <c r="J38" s="38" t="n">
        <f aca="false">Seg!$J$25*m_ad</f>
        <v>18.216461826402</v>
      </c>
      <c r="K38" s="38" t="n">
        <f aca="false">Seg!$K$25*m_ad</f>
        <v>20.0381080090422</v>
      </c>
      <c r="L38" s="38" t="n">
        <f aca="false">Seg!$L$25*m_ad</f>
        <v>22.0419188099465</v>
      </c>
      <c r="M38" s="38" t="n">
        <f aca="false">Seg!$M$25*m_ad</f>
        <v>24.2461106909411</v>
      </c>
      <c r="N38" s="38" t="n">
        <f aca="false">Seg!$N$25*m_ad</f>
        <v>3.95314442937518</v>
      </c>
      <c r="O38" s="38" t="n">
        <f aca="false">Seg!$O$25*m_ad</f>
        <v>5.50052681786011</v>
      </c>
    </row>
    <row r="39" customFormat="false" ht="17.15" hidden="false" customHeight="false" outlineLevel="0" collapsed="false">
      <c r="A39" s="0" t="s">
        <v>721</v>
      </c>
      <c r="B39" s="0" t="s">
        <v>86</v>
      </c>
      <c r="C39" s="38" t="n">
        <f aca="false">Seg!$C$23-Seg!$C$25</f>
        <v>127.760312882846</v>
      </c>
      <c r="D39" s="38" t="n">
        <f aca="false">Seg!$D$23-Seg!$D$25</f>
        <v>143.003123459917</v>
      </c>
      <c r="E39" s="38" t="n">
        <f aca="false">Seg!$E$23-Seg!$E$25</f>
        <v>71.9374224924414</v>
      </c>
      <c r="F39" s="38" t="n">
        <f aca="false">Seg!$F$23-Seg!$F$25</f>
        <v>84.7084054416479</v>
      </c>
      <c r="G39" s="38" t="n">
        <f aca="false">Seg!$G$23-Seg!$G$25</f>
        <v>156.662581410805</v>
      </c>
      <c r="H39" s="38" t="n">
        <f aca="false">Seg!$H$23-Seg!$H$25</f>
        <v>171.292162646476</v>
      </c>
      <c r="I39" s="38" t="n">
        <f aca="false">Seg!$I$23-Seg!$I$25</f>
        <v>185.285159733882</v>
      </c>
      <c r="J39" s="38" t="n">
        <f aca="false">Seg!$J$23-Seg!$J$25</f>
        <v>198.248776913548</v>
      </c>
      <c r="K39" s="38" t="n">
        <f aca="false">Seg!$K$23-Seg!$K$25</f>
        <v>209.789554916345</v>
      </c>
      <c r="L39" s="38" t="n">
        <f aca="false">Seg!$L$23-Seg!$L$25</f>
        <v>222.027172927985</v>
      </c>
      <c r="M39" s="38" t="n">
        <f aca="false">Seg!$M$23-Seg!$M$25</f>
        <v>235.005033547551</v>
      </c>
      <c r="N39" s="38" t="n">
        <f aca="false">Seg!$N$23-Seg!$N$25</f>
        <v>62.3677111412496</v>
      </c>
      <c r="O39" s="38" t="n">
        <f aca="false">Seg!$O$23-Seg!$O$25</f>
        <v>80.6189463642798</v>
      </c>
    </row>
    <row r="40" customFormat="false" ht="17.15" hidden="false" customHeight="false" outlineLevel="0" collapsed="false">
      <c r="A40" s="0" t="s">
        <v>722</v>
      </c>
      <c r="B40" s="0" t="s">
        <v>86</v>
      </c>
      <c r="C40" s="38" t="n">
        <f aca="false">Thesis!$C$49*(1-Seg!$C$21)</f>
        <v>0.0455891896019953</v>
      </c>
      <c r="D40" s="38" t="n">
        <f aca="false">Thesis!$D$49*(1-Seg!$D$21)</f>
        <v>0.332050421167231</v>
      </c>
      <c r="E40" s="38" t="n">
        <f aca="false">Thesis!$E$49*(1-Seg!$E$21)</f>
        <v>0.481224293644882</v>
      </c>
      <c r="F40" s="38" t="n">
        <f aca="false">Thesis!$F$49*(1-Seg!$F$21)</f>
        <v>0.597963350062425</v>
      </c>
      <c r="G40" s="38" t="n">
        <f aca="false">Thesis!$G$49*(1-Seg!$G$21)</f>
        <v>1.0787442231052</v>
      </c>
      <c r="H40" s="38" t="n">
        <f aca="false">Thesis!$H$49*(1-Seg!$H$21)</f>
        <v>2.86601498817139</v>
      </c>
      <c r="I40" s="38" t="n">
        <f aca="false">Thesis!$I$49*(1-Seg!$I$21)</f>
        <v>5.03350651652449</v>
      </c>
      <c r="J40" s="38" t="n">
        <f aca="false">Thesis!$J$49*(1-Seg!$J$21)</f>
        <v>7.25969210840591</v>
      </c>
      <c r="K40" s="38" t="n">
        <f aca="false">Thesis!$K$49*(1-Seg!$K$21)</f>
        <v>9.43735758324835</v>
      </c>
      <c r="L40" s="38" t="n">
        <f aca="false">Thesis!$L$49*(1-Seg!$L$21)</f>
        <v>10.8512940759258</v>
      </c>
      <c r="M40" s="38" t="n">
        <f aca="false">Thesis!$M$49*(1-Seg!$M$21)</f>
        <v>11.6529705284837</v>
      </c>
      <c r="N40" s="38" t="n">
        <f aca="false">Thesis!$N$49*(1-Seg!$N$21)</f>
        <v>0.141739115596548</v>
      </c>
      <c r="O40" s="38" t="n">
        <f aca="false">Thesis!$O$49*(1-Seg!$O$21)</f>
        <v>0.190445576353059</v>
      </c>
    </row>
    <row r="41" customFormat="false" ht="17.15" hidden="false" customHeight="false" outlineLevel="0" collapsed="false">
      <c r="A41" s="0" t="s">
        <v>723</v>
      </c>
      <c r="B41" s="0" t="s">
        <v>52</v>
      </c>
      <c r="C41" s="28" t="n">
        <f aca="false">(PL!$C$42-PL!$C$38+PL!$C$40)/PL!$C$39</f>
        <v>-0.0292364215826579</v>
      </c>
      <c r="D41" s="28" t="n">
        <f aca="false">(PL!$D$42-PL!$D$38+PL!$D$40)/PL!$D$39</f>
        <v>-0.0305125352740778</v>
      </c>
      <c r="E41" s="28" t="n">
        <f aca="false">(PL!$E$42-PL!$E$38+PL!$E$40)/PL!$E$39</f>
        <v>-0.019490056934994</v>
      </c>
      <c r="F41" s="28" t="n">
        <f aca="false">PL!$O$41+(PL!$E$41-PL!$N$41)</f>
        <v>-0.0367332293992226</v>
      </c>
      <c r="G41" s="28" t="n">
        <f aca="false">(PL!$G$42-PL!$G$38+PL!$G$40)/PL!$G$39</f>
        <v>-0.0287608208094943</v>
      </c>
      <c r="H41" s="28" t="n">
        <f aca="false">PL!$G$41+step_in</f>
        <v>-0.0287608208094943</v>
      </c>
      <c r="I41" s="28" t="n">
        <f aca="false">PL!$H$41+step_in</f>
        <v>-0.0287608208094943</v>
      </c>
      <c r="J41" s="28" t="n">
        <f aca="false">PL!$I$41+step_in</f>
        <v>-0.0287608208094943</v>
      </c>
      <c r="K41" s="28" t="n">
        <f aca="false">PL!$J$41+step_in</f>
        <v>-0.0287608208094943</v>
      </c>
      <c r="L41" s="28" t="n">
        <f aca="false">PL!$K$41</f>
        <v>-0.0287608208094943</v>
      </c>
      <c r="M41" s="28" t="n">
        <f aca="false">PL!$L$41</f>
        <v>-0.0287608208094943</v>
      </c>
      <c r="N41" s="28" t="n">
        <f aca="false">(PL!$N$42-PL!$N$38+PL!$N$40)/PL!$N$39</f>
        <v>-0.02085061789158</v>
      </c>
      <c r="O41" s="28" t="n">
        <f aca="false">(PL!$O$42-PL!$O$38+PL!$O$40)/PL!$O$39</f>
        <v>-0.0380937903558086</v>
      </c>
      <c r="P41" s="8" t="s">
        <v>718</v>
      </c>
    </row>
    <row r="42" customFormat="false" ht="17.15" hidden="false" customHeight="false" outlineLevel="0" collapsed="false">
      <c r="A42" s="1" t="s">
        <v>724</v>
      </c>
      <c r="B42" s="8" t="s">
        <v>86</v>
      </c>
      <c r="C42" s="38" t="n">
        <f aca="false">Q!$D$23</f>
        <v>3.792</v>
      </c>
      <c r="D42" s="38" t="n">
        <f aca="false">Q!$E$23</f>
        <v>4.75</v>
      </c>
      <c r="E42" s="38" t="n">
        <f aca="false">Q!$P$23</f>
        <v>3.141</v>
      </c>
      <c r="F42" s="38" t="n">
        <f aca="false">PL!$F$38+PL!$F$39*PL!$F$41-PL!$F$40</f>
        <v>2.74473270161655</v>
      </c>
      <c r="G42" s="38" t="n">
        <f aca="false">PL!$E$42+PL!$F$42</f>
        <v>5.88573270161655</v>
      </c>
      <c r="H42" s="38" t="n">
        <f aca="false">PL!$H$38+PL!$H$39*PL!$H$41-PL!$H$40</f>
        <v>5.97806859858674</v>
      </c>
      <c r="I42" s="38" t="n">
        <f aca="false">PL!$I$38+PL!$I$39*PL!$I$41-PL!$I$40</f>
        <v>5.70828403207586</v>
      </c>
      <c r="J42" s="38" t="n">
        <f aca="false">PL!$J$38+PL!$J$39*PL!$J$41-PL!$J$40</f>
        <v>5.25497216948417</v>
      </c>
      <c r="K42" s="38" t="n">
        <f aca="false">PL!$K$38+PL!$K$39*PL!$K$41-PL!$K$40</f>
        <v>4.56703062914134</v>
      </c>
      <c r="L42" s="38" t="n">
        <f aca="false">PL!$L$38+PL!$L$39*PL!$L$41-PL!$L$40</f>
        <v>4.80494099860027</v>
      </c>
      <c r="M42" s="38" t="n">
        <f aca="false">PL!$M$38+PL!$M$39*PL!$M$41-PL!$M$40</f>
        <v>5.83420250326714</v>
      </c>
      <c r="N42" s="38" t="n">
        <f aca="false">Q!$N$23</f>
        <v>2.511</v>
      </c>
      <c r="O42" s="38" t="n">
        <f aca="false">Q!$O$23</f>
        <v>2.239</v>
      </c>
    </row>
    <row r="43" customFormat="false" ht="17.15" hidden="false" customHeight="false" outlineLevel="0" collapsed="false">
      <c r="A43" s="0" t="s">
        <v>725</v>
      </c>
      <c r="B43" s="0" t="s">
        <v>86</v>
      </c>
      <c r="C43" s="38" t="n">
        <f aca="false">Thesis!$C$46</f>
        <v>1.64417882953695</v>
      </c>
      <c r="D43" s="38" t="n">
        <f aca="false">Thesis!$D$46</f>
        <v>3.8781008067718</v>
      </c>
      <c r="E43" s="38" t="n">
        <f aca="false">Thesis!$E$46</f>
        <v>1.41270258088753</v>
      </c>
      <c r="F43" s="38" t="n">
        <f aca="false">Thesis!$F$46</f>
        <v>9.28688890281936</v>
      </c>
      <c r="G43" s="38" t="n">
        <f aca="false">Thesis!$G$46</f>
        <v>10.6995914837069</v>
      </c>
      <c r="H43" s="38" t="n">
        <f aca="false">Thesis!$H$46</f>
        <v>41.6871201624788</v>
      </c>
      <c r="I43" s="38" t="n">
        <f aca="false">Thesis!$I$46</f>
        <v>75.3722652568139</v>
      </c>
      <c r="J43" s="38" t="n">
        <f aca="false">Thesis!$J$46</f>
        <v>108.498764572913</v>
      </c>
      <c r="K43" s="38" t="n">
        <f aca="false">Thesis!$K$46</f>
        <v>132.732072387778</v>
      </c>
      <c r="L43" s="38" t="n">
        <f aca="false">Thesis!$L$46</f>
        <v>148.895654526103</v>
      </c>
      <c r="M43" s="38" t="n">
        <f aca="false">Thesis!$M$46</f>
        <v>154.754646476001</v>
      </c>
      <c r="N43" s="38" t="n">
        <f aca="false">Thesis!$N$46</f>
        <v>0.92264103489199</v>
      </c>
      <c r="O43" s="38" t="n">
        <f aca="false">Thesis!$O$46</f>
        <v>2.95545977187981</v>
      </c>
    </row>
    <row r="44" customFormat="false" ht="17.15" hidden="false" customHeight="false" outlineLevel="0" collapsed="false">
      <c r="A44" s="0" t="s">
        <v>643</v>
      </c>
      <c r="B44" s="0" t="s">
        <v>86</v>
      </c>
      <c r="C44" s="38" t="n">
        <f aca="false">Thesis!$C$51</f>
        <v>38.1898211704631</v>
      </c>
      <c r="D44" s="38" t="n">
        <f aca="false">Thesis!$D$51</f>
        <v>41.7278991932282</v>
      </c>
      <c r="E44" s="38" t="n">
        <f aca="false">Thesis!$E$51</f>
        <v>29.3692974191125</v>
      </c>
      <c r="F44" s="38" t="n">
        <f aca="false">Thesis!$F$51</f>
        <v>26.8997276714137</v>
      </c>
      <c r="G44" s="38" t="n">
        <f aca="false">Thesis!$G$51</f>
        <v>56.2690250905262</v>
      </c>
      <c r="H44" s="38" t="n">
        <f aca="false">Thesis!$H$51</f>
        <v>60.3505333937343</v>
      </c>
      <c r="I44" s="38" t="n">
        <f aca="false">Thesis!$I$51</f>
        <v>67.0043857303571</v>
      </c>
      <c r="J44" s="38" t="n">
        <f aca="false">Thesis!$J$51</f>
        <v>73.3782922956925</v>
      </c>
      <c r="K44" s="38" t="n">
        <f aca="false">Thesis!$K$51</f>
        <v>79.2485556793479</v>
      </c>
      <c r="L44" s="38" t="n">
        <f aca="false">Thesis!$L$51</f>
        <v>85.5884401336958</v>
      </c>
      <c r="M44" s="38" t="n">
        <f aca="false">Thesis!$M$51</f>
        <v>92.4355153443914</v>
      </c>
      <c r="N44" s="38" t="n">
        <f aca="false">Thesis!$N$51</f>
        <v>20.784358965108</v>
      </c>
      <c r="O44" s="38" t="n">
        <f aca="false">Thesis!$O$51</f>
        <v>20.9435402281202</v>
      </c>
    </row>
    <row r="45" customFormat="false" ht="17.15" hidden="false" customHeight="false" outlineLevel="0" collapsed="false">
      <c r="A45" s="1" t="s">
        <v>726</v>
      </c>
      <c r="B45" s="8" t="s">
        <v>86</v>
      </c>
      <c r="C45" s="38" t="n">
        <f aca="false">Q!$D$24</f>
        <v>39.834</v>
      </c>
      <c r="D45" s="38" t="n">
        <f aca="false">Q!$E$24</f>
        <v>45.606</v>
      </c>
      <c r="E45" s="38" t="n">
        <f aca="false">Q!$P$24</f>
        <v>30.782</v>
      </c>
      <c r="F45" s="38" t="n">
        <f aca="false">PL!$F$43+PL!$F$44</f>
        <v>36.1866165742331</v>
      </c>
      <c r="G45" s="38" t="n">
        <f aca="false">PL!$G$43+PL!$G$44</f>
        <v>66.9686165742331</v>
      </c>
      <c r="H45" s="38" t="n">
        <f aca="false">PL!$H$43+PL!$H$44</f>
        <v>102.037653556213</v>
      </c>
      <c r="I45" s="38" t="n">
        <f aca="false">PL!$I$43+PL!$I$44</f>
        <v>142.376650987171</v>
      </c>
      <c r="J45" s="38" t="n">
        <f aca="false">PL!$J$43+PL!$J$44</f>
        <v>181.877056868606</v>
      </c>
      <c r="K45" s="38" t="n">
        <f aca="false">PL!$K$43+PL!$K$44</f>
        <v>211.980628067126</v>
      </c>
      <c r="L45" s="38" t="n">
        <f aca="false">PL!$L$43+PL!$L$44</f>
        <v>234.484094659799</v>
      </c>
      <c r="M45" s="38" t="n">
        <f aca="false">PL!$M$43+PL!$M$44</f>
        <v>247.190161820392</v>
      </c>
      <c r="N45" s="38" t="n">
        <f aca="false">Q!$N$24</f>
        <v>21.707</v>
      </c>
      <c r="O45" s="38" t="n">
        <f aca="false">Q!$O$24</f>
        <v>23.899</v>
      </c>
    </row>
    <row r="46" customFormat="false" ht="17.15" hidden="false" customHeight="false" outlineLevel="0" collapsed="false">
      <c r="A46" s="5" t="s">
        <v>727</v>
      </c>
      <c r="B46" s="0" t="s">
        <v>86</v>
      </c>
      <c r="C46" s="38" t="n">
        <f aca="false">Q!$D$26</f>
        <v>0</v>
      </c>
      <c r="D46" s="38" t="n">
        <f aca="false">Q!$E$26</f>
        <v>0</v>
      </c>
      <c r="E46" s="38" t="n">
        <f aca="false">Q!$P$26</f>
        <v>0</v>
      </c>
      <c r="F46" s="39" t="n">
        <v>0</v>
      </c>
      <c r="G46" s="38" t="n">
        <f aca="false">PL!$E$46+PL!$F$46</f>
        <v>0</v>
      </c>
      <c r="H46" s="39" t="n">
        <v>0</v>
      </c>
      <c r="I46" s="39" t="n">
        <v>0</v>
      </c>
      <c r="J46" s="39" t="n">
        <v>0</v>
      </c>
      <c r="K46" s="39" t="n">
        <v>0</v>
      </c>
      <c r="L46" s="39" t="n">
        <v>0</v>
      </c>
      <c r="M46" s="39" t="n">
        <v>0</v>
      </c>
      <c r="N46" s="38" t="n">
        <f aca="false">Q!$N$26</f>
        <v>0</v>
      </c>
      <c r="O46" s="38" t="n">
        <f aca="false">Q!$O$26</f>
        <v>0</v>
      </c>
    </row>
    <row r="47" customFormat="false" ht="15" hidden="false" customHeight="false" outlineLevel="0" collapsed="false">
      <c r="A47" s="3" t="s">
        <v>531</v>
      </c>
      <c r="B47" s="8" t="s">
        <v>86</v>
      </c>
      <c r="C47" s="38" t="n">
        <f aca="false">Q!$D$25</f>
        <v>68.593</v>
      </c>
      <c r="D47" s="38" t="n">
        <f aca="false">Q!$E$25</f>
        <v>79.975</v>
      </c>
      <c r="E47" s="38" t="n">
        <f aca="false">Q!$P$25</f>
        <v>51.313</v>
      </c>
      <c r="F47" s="38" t="n">
        <f aca="false">PL!$F$37+PL!$F$42+PL!$F$45+PL!$F$46</f>
        <v>58.8605761876669</v>
      </c>
      <c r="G47" s="38" t="n">
        <f aca="false">PL!$G$37+PL!$G$42+PL!$G$45+PL!$G$46</f>
        <v>110.173576187667</v>
      </c>
      <c r="H47" s="38" t="n">
        <f aca="false">PL!$H$37+PL!$H$42+PL!$H$45+PL!$H$46</f>
        <v>148.967668364475</v>
      </c>
      <c r="I47" s="38" t="n">
        <f aca="false">PL!$I$37+PL!$I$42+PL!$I$45+PL!$I$46</f>
        <v>191.854119305591</v>
      </c>
      <c r="J47" s="38" t="n">
        <f aca="false">PL!$J$37+PL!$J$42+PL!$J$45+PL!$J$46</f>
        <v>233.290049490398</v>
      </c>
      <c r="K47" s="38" t="n">
        <f aca="false">PL!$K$37+PL!$K$42+PL!$K$45+PL!$K$46</f>
        <v>264.441036116857</v>
      </c>
      <c r="L47" s="38" t="n">
        <f aca="false">PL!$L$37+PL!$L$42+PL!$L$45+PL!$L$46</f>
        <v>289.901762318625</v>
      </c>
      <c r="M47" s="38" t="n">
        <f aca="false">PL!$M$37+PL!$M$42+PL!$M$45+PL!$M$46</f>
        <v>308.549576445227</v>
      </c>
      <c r="N47" s="38" t="n">
        <f aca="false">Q!$N$25</f>
        <v>37.576</v>
      </c>
      <c r="O47" s="38" t="n">
        <f aca="false">Q!$O$25</f>
        <v>42.399</v>
      </c>
    </row>
    <row r="48" customFormat="false" ht="17.15" hidden="false" customHeight="false" outlineLevel="0" collapsed="false">
      <c r="A48" s="24" t="s">
        <v>728</v>
      </c>
      <c r="B48" s="25" t="s">
        <v>86</v>
      </c>
      <c r="C48" s="41" t="n">
        <f aca="false">PL!$C$37+PL!$C$42+PL!$C$45+PL!$C$46-PL!$C$47</f>
        <v>0</v>
      </c>
      <c r="D48" s="41" t="n">
        <f aca="false">PL!$D$37+PL!$D$42+PL!$D$45+PL!$D$46-PL!$D$47</f>
        <v>0</v>
      </c>
      <c r="E48" s="41" t="n">
        <f aca="false">PL!$E$37+PL!$E$42+PL!$E$45+PL!$E$46-PL!$E$47</f>
        <v>0</v>
      </c>
      <c r="F48" s="41" t="n">
        <f aca="false">PL!$F$37+PL!$F$42+PL!$F$45+PL!$F$46-PL!$F$47</f>
        <v>0</v>
      </c>
      <c r="G48" s="41" t="n">
        <f aca="false">PL!$G$37+PL!$G$42+PL!$G$45+PL!$G$46-PL!$G$47</f>
        <v>0</v>
      </c>
      <c r="H48" s="41" t="n">
        <f aca="false">PL!$H$37+PL!$H$42+PL!$H$45+PL!$H$46-PL!$H$47</f>
        <v>0</v>
      </c>
      <c r="I48" s="41" t="n">
        <f aca="false">PL!$I$37+PL!$I$42+PL!$I$45+PL!$I$46-PL!$I$47</f>
        <v>0</v>
      </c>
      <c r="J48" s="41" t="n">
        <f aca="false">PL!$J$37+PL!$J$42+PL!$J$45+PL!$J$46-PL!$J$47</f>
        <v>0</v>
      </c>
      <c r="K48" s="41" t="n">
        <f aca="false">PL!$K$37+PL!$K$42+PL!$K$45+PL!$K$46-PL!$K$47</f>
        <v>0</v>
      </c>
      <c r="L48" s="41" t="n">
        <f aca="false">PL!$L$37+PL!$L$42+PL!$L$45+PL!$L$46-PL!$L$47</f>
        <v>0</v>
      </c>
      <c r="M48" s="41" t="n">
        <f aca="false">PL!$M$37+PL!$M$42+PL!$M$45+PL!$M$46-PL!$M$47</f>
        <v>0</v>
      </c>
      <c r="N48" s="41" t="n">
        <f aca="false">PL!$N$37+PL!$N$42+PL!$N$45+PL!$N$46-PL!$N$47</f>
        <v>0</v>
      </c>
      <c r="O48" s="41" t="n">
        <f aca="false">PL!$O$37+PL!$O$42+PL!$O$45+PL!$O$46-PL!$O$47</f>
        <v>0</v>
      </c>
    </row>
    <row r="49" customFormat="false" ht="17.15" hidden="false" customHeight="false" outlineLevel="0" collapsed="false">
      <c r="A49" s="5" t="s">
        <v>729</v>
      </c>
      <c r="B49" s="0" t="s">
        <v>86</v>
      </c>
      <c r="C49" s="38" t="n">
        <f aca="false">Thesis!$C$48</f>
        <v>0</v>
      </c>
      <c r="D49" s="38" t="n">
        <f aca="false">Thesis!$D$48</f>
        <v>0</v>
      </c>
      <c r="E49" s="38" t="n">
        <f aca="false">Thesis!$E$48</f>
        <v>0</v>
      </c>
      <c r="F49" s="38" t="n">
        <f aca="false">Thesis!$F$48</f>
        <v>3.80479825569281</v>
      </c>
      <c r="G49" s="38" t="n">
        <f aca="false">Thesis!$G$48</f>
        <v>3.80479825569281</v>
      </c>
      <c r="H49" s="38" t="n">
        <f aca="false">Thesis!$H$48</f>
        <v>15.4376834367265</v>
      </c>
      <c r="I49" s="38" t="n">
        <f aca="false">Thesis!$I$48</f>
        <v>26.1389535282796</v>
      </c>
      <c r="J49" s="38" t="n">
        <f aca="false">Thesis!$J$48</f>
        <v>36.8878303911588</v>
      </c>
      <c r="K49" s="38" t="n">
        <f aca="false">Thesis!$K$48</f>
        <v>46.0570127832188</v>
      </c>
      <c r="L49" s="38" t="n">
        <f aca="false">Thesis!$L$48</f>
        <v>52.0811306967416</v>
      </c>
      <c r="M49" s="38" t="n">
        <f aca="false">Thesis!$M$48</f>
        <v>54.9524379204829</v>
      </c>
      <c r="N49" s="38" t="n">
        <f aca="false">Thesis!$N$48</f>
        <v>0</v>
      </c>
      <c r="O49" s="38" t="n">
        <f aca="false">Thesis!$O$48</f>
        <v>0</v>
      </c>
      <c r="P49" s="5" t="s">
        <v>730</v>
      </c>
    </row>
    <row r="50" customFormat="false" ht="17.15" hidden="false" customHeight="false" outlineLevel="0" collapsed="false">
      <c r="A50" s="5" t="s">
        <v>731</v>
      </c>
      <c r="B50" s="0" t="s">
        <v>86</v>
      </c>
      <c r="C50" s="38" t="n">
        <f aca="false">PL!$C$47+PL!$C$49</f>
        <v>68.593</v>
      </c>
      <c r="D50" s="38" t="n">
        <f aca="false">PL!$D$47+PL!$D$49</f>
        <v>79.975</v>
      </c>
      <c r="E50" s="38" t="n">
        <f aca="false">PL!$E$47+PL!$E$49</f>
        <v>51.313</v>
      </c>
      <c r="F50" s="38" t="n">
        <f aca="false">PL!$F$47+PL!$F$49</f>
        <v>62.6653744433597</v>
      </c>
      <c r="G50" s="38" t="n">
        <f aca="false">PL!$G$47+PL!$G$49</f>
        <v>113.97837444336</v>
      </c>
      <c r="H50" s="38" t="n">
        <f aca="false">PL!$H$47+PL!$H$49</f>
        <v>164.405351801201</v>
      </c>
      <c r="I50" s="38" t="n">
        <f aca="false">PL!$I$47+PL!$I$49</f>
        <v>217.99307283387</v>
      </c>
      <c r="J50" s="38" t="n">
        <f aca="false">PL!$J$47+PL!$J$49</f>
        <v>270.177879881557</v>
      </c>
      <c r="K50" s="38" t="n">
        <f aca="false">PL!$K$47+PL!$K$49</f>
        <v>310.498048900076</v>
      </c>
      <c r="L50" s="38" t="n">
        <f aca="false">PL!$L$47+PL!$L$49</f>
        <v>341.982893015367</v>
      </c>
      <c r="M50" s="38" t="n">
        <f aca="false">PL!$M$47+PL!$M$49</f>
        <v>363.50201436571</v>
      </c>
      <c r="N50" s="38" t="n">
        <f aca="false">PL!$N$47+PL!$N$49</f>
        <v>37.576</v>
      </c>
      <c r="O50" s="38" t="n">
        <f aca="false">PL!$O$47+PL!$O$49</f>
        <v>42.399</v>
      </c>
    </row>
    <row r="51" customFormat="false" ht="17.15" hidden="false" customHeight="false" outlineLevel="0" collapsed="false">
      <c r="A51" s="0" t="s">
        <v>732</v>
      </c>
      <c r="B51" s="0" t="s">
        <v>52</v>
      </c>
      <c r="C51" s="13" t="n">
        <f aca="false">PL!$C$37/PL!$C$22</f>
        <v>0.0644314665661928</v>
      </c>
      <c r="D51" s="13" t="n">
        <f aca="false">PL!$D$37/PL!$D$22</f>
        <v>0.0694784250712518</v>
      </c>
      <c r="E51" s="13" t="n">
        <f aca="false">PL!$E$37/PL!$E$22</f>
        <v>0.0789306463326071</v>
      </c>
      <c r="F51" s="13" t="n">
        <f aca="false">PL!$F$37/PL!$F$22</f>
        <v>0.0801580918383705</v>
      </c>
      <c r="G51" s="13" t="n">
        <f aca="false">PL!$G$37/PL!$G$22</f>
        <v>0.0795814115031177</v>
      </c>
      <c r="H51" s="13" t="n">
        <f aca="false">PL!$H$37/PL!$H$22</f>
        <v>0.0788820140645956</v>
      </c>
      <c r="I51" s="13" t="n">
        <f aca="false">PL!$I$37/PL!$I$22</f>
        <v>0.0770989259101017</v>
      </c>
      <c r="J51" s="13" t="n">
        <f aca="false">PL!$J$37/PL!$J$22</f>
        <v>0.0753287208728509</v>
      </c>
      <c r="K51" s="13" t="n">
        <f aca="false">PL!$K$37/PL!$K$22</f>
        <v>0.0734110341937996</v>
      </c>
      <c r="L51" s="13" t="n">
        <f aca="false">PL!$L$37/PL!$L$22</f>
        <v>0.0728432869904936</v>
      </c>
      <c r="M51" s="13" t="n">
        <f aca="false">PL!$M$37/PL!$M$22</f>
        <v>0.0750125643866954</v>
      </c>
      <c r="N51" s="13" t="n">
        <f aca="false">PL!$N$37/PL!$N$22</f>
        <v>0.069228576611127</v>
      </c>
      <c r="O51" s="13" t="n">
        <f aca="false">PL!$O$37/PL!$O$22</f>
        <v>0.069685022498393</v>
      </c>
    </row>
    <row r="52" customFormat="false" ht="17.15" hidden="false" customHeight="false" outlineLevel="0" collapsed="false">
      <c r="A52" s="0" t="s">
        <v>733</v>
      </c>
      <c r="B52" s="0" t="s">
        <v>52</v>
      </c>
      <c r="C52" s="13" t="n">
        <f aca="false">PL!$C$42/PL!$C$23</f>
        <v>0.026534925055631</v>
      </c>
      <c r="D52" s="13" t="n">
        <f aca="false">PL!$D$42/PL!$D$23</f>
        <v>0.0293401855535103</v>
      </c>
      <c r="E52" s="13" t="n">
        <f aca="false">PL!$E$42/PL!$E$23</f>
        <v>0.03831141902276</v>
      </c>
      <c r="F52" s="13" t="n">
        <f aca="false">PL!$F$42/PL!$F$23</f>
        <v>0.0281173568470047</v>
      </c>
      <c r="G52" s="13" t="n">
        <f aca="false">PL!$G$42/PL!$G$23</f>
        <v>0.0327707884115415</v>
      </c>
      <c r="H52" s="13" t="n">
        <f aca="false">PL!$H$42/PL!$H$23</f>
        <v>0.030065725961648</v>
      </c>
      <c r="I52" s="13" t="n">
        <f aca="false">PL!$I$42/PL!$I$23</f>
        <v>0.0262538382516004</v>
      </c>
      <c r="J52" s="13" t="n">
        <f aca="false">PL!$J$42/PL!$J$23</f>
        <v>0.0223919127771892</v>
      </c>
      <c r="K52" s="13" t="n">
        <f aca="false">PL!$K$42/PL!$K$23</f>
        <v>0.0182779362377724</v>
      </c>
      <c r="L52" s="13" t="n">
        <f aca="false">PL!$L$42/PL!$L$23</f>
        <v>0.0180561525384001</v>
      </c>
      <c r="M52" s="13" t="n">
        <f aca="false">PL!$M$42/PL!$M$23</f>
        <v>0.0205793968083372</v>
      </c>
      <c r="N52" s="13" t="n">
        <f aca="false">PL!$N$42/PL!$N$23</f>
        <v>0.0357315650169337</v>
      </c>
      <c r="O52" s="13" t="n">
        <f aca="false">PL!$O$42/PL!$O$23</f>
        <v>0.0244378956559703</v>
      </c>
    </row>
    <row r="53" customFormat="false" ht="17.15" hidden="false" customHeight="false" outlineLevel="0" collapsed="false">
      <c r="A53" s="14" t="s">
        <v>734</v>
      </c>
      <c r="B53" s="14" t="s">
        <v>52</v>
      </c>
      <c r="C53" s="17" t="n">
        <f aca="false">PL!$C$45/PL!$C$24</f>
        <v>0.370355907620217</v>
      </c>
      <c r="D53" s="17" t="n">
        <f aca="false">PL!$D$45/PL!$D$24</f>
        <v>0.35429015342785</v>
      </c>
      <c r="E53" s="17" t="n">
        <f aca="false">PL!$E$45/PL!$E$24</f>
        <v>0.385647527531039</v>
      </c>
      <c r="F53" s="17" t="n">
        <f aca="false">PL!$F$45/PL!$F$24</f>
        <v>0.404139422468289</v>
      </c>
      <c r="G53" s="17" t="n">
        <f aca="false">PL!$G$45/PL!$G$24</f>
        <v>0.395424177627376</v>
      </c>
      <c r="H53" s="17" t="n">
        <f aca="false">PL!$H$45/PL!$H$24</f>
        <v>0.418014158086325</v>
      </c>
      <c r="I53" s="17" t="n">
        <f aca="false">PL!$I$45/PL!$I$24</f>
        <v>0.435607682396552</v>
      </c>
      <c r="J53" s="17" t="n">
        <f aca="false">PL!$J$45/PL!$J$24</f>
        <v>0.444542209935059</v>
      </c>
      <c r="K53" s="17" t="n">
        <f aca="false">PL!$K$45/PL!$K$24</f>
        <v>0.441182408892786</v>
      </c>
      <c r="L53" s="17" t="n">
        <f aca="false">PL!$L$45/PL!$L$24</f>
        <v>0.439121570409048</v>
      </c>
      <c r="M53" s="17" t="n">
        <f aca="false">PL!$M$45/PL!$M$24</f>
        <v>0.433902108003259</v>
      </c>
      <c r="N53" s="17" t="n">
        <f aca="false">PL!$N$45/PL!$N$24</f>
        <v>0.360941137346192</v>
      </c>
      <c r="O53" s="17" t="n">
        <f aca="false">PL!$O$45/PL!$O$24</f>
        <v>0.348458117664212</v>
      </c>
    </row>
    <row r="54" customFormat="false" ht="17.15" hidden="false" customHeight="false" outlineLevel="0" collapsed="false">
      <c r="A54" s="0" t="s">
        <v>735</v>
      </c>
      <c r="B54" s="0" t="s">
        <v>52</v>
      </c>
      <c r="C54" s="13" t="n">
        <f aca="false">PL!$C$43/PL!$C$25</f>
        <v>0.708390794789371</v>
      </c>
      <c r="D54" s="13" t="n">
        <f aca="false">PL!$D$43/PL!$D$25</f>
        <v>0.445565630441968</v>
      </c>
      <c r="E54" s="13" t="n">
        <f aca="false">PL!$E$43/PL!$E$25</f>
        <v>0.165998118402711</v>
      </c>
      <c r="F54" s="13" t="n">
        <f aca="false">PL!$F$43/PL!$F$25</f>
        <v>0.522597540603814</v>
      </c>
      <c r="G54" s="13" t="n">
        <f aca="false">PL!$G$43/PL!$G$25</f>
        <v>0.407122915702863</v>
      </c>
      <c r="H54" s="13" t="n">
        <f aca="false">PL!$H$43/PL!$H$25</f>
        <v>0.501747428859124</v>
      </c>
      <c r="I54" s="13" t="n">
        <f aca="false">PL!$I$43/PL!$I$25</f>
        <v>0.509009675067759</v>
      </c>
      <c r="J54" s="13" t="n">
        <f aca="false">PL!$J$43/PL!$J$25</f>
        <v>0.508529537133494</v>
      </c>
      <c r="K54" s="13" t="n">
        <f aca="false">PL!$K$43/PL!$K$25</f>
        <v>0.493344560605018</v>
      </c>
      <c r="L54" s="13" t="n">
        <f aca="false">PL!$L$43/PL!$L$25</f>
        <v>0.487173190851565</v>
      </c>
      <c r="M54" s="13" t="n">
        <f aca="false">PL!$M$43/PL!$M$25</f>
        <v>0.479012314127067</v>
      </c>
      <c r="N54" s="13" t="n">
        <f aca="false">PL!$N$43/PL!$N$25</f>
        <v>0.302870734830849</v>
      </c>
      <c r="O54" s="13" t="n">
        <f aca="false">PL!$O$43/PL!$O$25</f>
        <v>0.52240134346334</v>
      </c>
    </row>
    <row r="55" customFormat="false" ht="15" hidden="false" customHeight="false" outlineLevel="0" collapsed="false">
      <c r="A55" s="5" t="s">
        <v>736</v>
      </c>
      <c r="B55" s="0" t="s">
        <v>52</v>
      </c>
      <c r="C55" s="13" t="n">
        <f aca="false">PL!$C$47/PL!$C$27</f>
        <v>0.107519448742004</v>
      </c>
      <c r="D55" s="13" t="n">
        <f aca="false">PL!$D$47/PL!$D$27</f>
        <v>0.111552967957552</v>
      </c>
      <c r="E55" s="13" t="n">
        <f aca="false">PL!$E$47/PL!$E$27</f>
        <v>0.13428328426562</v>
      </c>
      <c r="F55" s="13" t="n">
        <f aca="false">PL!$F$47/PL!$F$27</f>
        <v>0.135069173628456</v>
      </c>
      <c r="G55" s="13" t="n">
        <f aca="false">PL!$G$47/PL!$G$27</f>
        <v>0.134702006763411</v>
      </c>
      <c r="H55" s="13" t="n">
        <f aca="false">PL!$H$47/PL!$H$27</f>
        <v>0.154837768423604</v>
      </c>
      <c r="I55" s="13" t="n">
        <f aca="false">PL!$I$47/PL!$I$27</f>
        <v>0.172534669154588</v>
      </c>
      <c r="J55" s="13" t="n">
        <f aca="false">PL!$J$47/PL!$J$27</f>
        <v>0.185656277210488</v>
      </c>
      <c r="K55" s="13" t="n">
        <f aca="false">PL!$K$47/PL!$K$27</f>
        <v>0.191242980139018</v>
      </c>
      <c r="L55" s="13" t="n">
        <f aca="false">PL!$L$47/PL!$L$27</f>
        <v>0.19392562519522</v>
      </c>
      <c r="M55" s="13" t="n">
        <f aca="false">PL!$M$47/PL!$M$27</f>
        <v>0.193642199396236</v>
      </c>
      <c r="N55" s="13" t="n">
        <f aca="false">PL!$N$47/PL!$N$27</f>
        <v>0.116201614873411</v>
      </c>
      <c r="O55" s="13" t="n">
        <f aca="false">PL!$O$47/PL!$O$27</f>
        <v>0.107733353660861</v>
      </c>
    </row>
    <row r="56" customFormat="false" ht="17.15" hidden="false" customHeight="false" outlineLevel="0" collapsed="false">
      <c r="A56" s="1" t="s">
        <v>737</v>
      </c>
    </row>
    <row r="57" customFormat="false" ht="17.15" hidden="false" customHeight="false" outlineLevel="0" collapsed="false">
      <c r="A57" s="5" t="s">
        <v>738</v>
      </c>
      <c r="B57" s="0" t="s">
        <v>52</v>
      </c>
      <c r="D57" s="28" t="n">
        <f aca="false">(Q!$E$29+Q!$E$30-(1-ext_sh)*Thesis!$D$42)/Seg!$D$20</f>
        <v>0.0334674312393194</v>
      </c>
    </row>
    <row r="58" customFormat="false" ht="17.15" hidden="false" customHeight="false" outlineLevel="0" collapsed="false">
      <c r="A58" s="0" t="s">
        <v>535</v>
      </c>
      <c r="B58" s="0" t="s">
        <v>86</v>
      </c>
      <c r="C58" s="38" t="n">
        <f aca="false">Q!$D$29</f>
        <v>14.285</v>
      </c>
      <c r="D58" s="38" t="n">
        <f aca="false">Q!$E$29</f>
        <v>15.503</v>
      </c>
      <c r="E58" s="38" t="n">
        <f aca="false">Q!$P$29</f>
        <v>8.78</v>
      </c>
      <c r="F58" s="38" t="n">
        <f aca="false">(PL!$D$57*Seg!$F$20+(1-ext_sh)*Thesis!$F$42)*Seg!$F$21</f>
        <v>9.25658776231559</v>
      </c>
      <c r="G58" s="38" t="n">
        <f aca="false">PL!$E$58+PL!$F$58</f>
        <v>18.0365877623156</v>
      </c>
      <c r="H58" s="38" t="n">
        <f aca="false">(PL!$D$57*Seg!$H$20+(1-ext_sh)*Thesis!$H$42)*Seg!$H$21</f>
        <v>22.5312411526882</v>
      </c>
      <c r="I58" s="38" t="n">
        <f aca="false">(PL!$D$57*Seg!$I$20+(1-ext_sh)*Thesis!$I$42)*Seg!$I$21</f>
        <v>28.2740154526086</v>
      </c>
      <c r="J58" s="38" t="n">
        <f aca="false">(PL!$D$57*Seg!$J$20+(1-ext_sh)*Thesis!$J$42)*Seg!$J$21</f>
        <v>34.0502484989271</v>
      </c>
      <c r="K58" s="38" t="n">
        <f aca="false">(PL!$D$57*Seg!$K$20+(1-ext_sh)*Thesis!$K$42)*Seg!$K$21</f>
        <v>39.7452347012799</v>
      </c>
      <c r="L58" s="38" t="n">
        <f aca="false">(PL!$D$57*Seg!$L$20+(1-ext_sh)*Thesis!$L$42)*Seg!$L$21</f>
        <v>43.9908119015754</v>
      </c>
      <c r="M58" s="38" t="n">
        <f aca="false">(PL!$D$57*Seg!$M$20+(1-ext_sh)*Thesis!$M$42)*Seg!$M$21</f>
        <v>47.189905970531</v>
      </c>
      <c r="N58" s="38" t="n">
        <f aca="false">Q!$N$29</f>
        <v>7.272</v>
      </c>
      <c r="O58" s="38" t="n">
        <f aca="false">Q!$O$29</f>
        <v>8.231</v>
      </c>
    </row>
    <row r="59" customFormat="false" ht="17.15" hidden="false" customHeight="false" outlineLevel="0" collapsed="false">
      <c r="A59" s="0" t="s">
        <v>537</v>
      </c>
      <c r="B59" s="0" t="s">
        <v>86</v>
      </c>
      <c r="C59" s="38" t="n">
        <f aca="false">Q!$D$30</f>
        <v>4.462</v>
      </c>
      <c r="D59" s="38" t="n">
        <f aca="false">Q!$E$30</f>
        <v>4.907</v>
      </c>
      <c r="E59" s="38" t="n">
        <f aca="false">Q!$P$30</f>
        <v>2.57</v>
      </c>
      <c r="F59" s="38" t="n">
        <f aca="false">(PL!$D$57*Seg!$F$20+(1-ext_sh)*Thesis!$F$42)*(1-Seg!$F$21)</f>
        <v>3.63440570294988</v>
      </c>
      <c r="G59" s="38" t="n">
        <f aca="false">PL!$E$59+PL!$F$59</f>
        <v>6.20440570294988</v>
      </c>
      <c r="H59" s="38" t="n">
        <f aca="false">(PL!$D$57*Seg!$H$20+(1-ext_sh)*Thesis!$H$42)*(1-Seg!$H$21)</f>
        <v>8.62934356391273</v>
      </c>
      <c r="I59" s="38" t="n">
        <f aca="false">(PL!$D$57*Seg!$I$20+(1-ext_sh)*Thesis!$I$42)*(1-Seg!$I$21)</f>
        <v>10.828795076956</v>
      </c>
      <c r="J59" s="38" t="n">
        <f aca="false">(PL!$D$57*Seg!$J$20+(1-ext_sh)*Thesis!$J$42)*(1-Seg!$J$21)</f>
        <v>13.041061109001</v>
      </c>
      <c r="K59" s="38" t="n">
        <f aca="false">(PL!$D$57*Seg!$K$20+(1-ext_sh)*Thesis!$K$42)*(1-Seg!$K$21)</f>
        <v>15.2222100390049</v>
      </c>
      <c r="L59" s="38" t="n">
        <f aca="false">(PL!$D$57*Seg!$L$20+(1-ext_sh)*Thesis!$L$42)*(1-Seg!$L$21)</f>
        <v>16.8482431563192</v>
      </c>
      <c r="M59" s="38" t="n">
        <f aca="false">(PL!$D$57*Seg!$M$20+(1-ext_sh)*Thesis!$M$42)*(1-Seg!$M$21)</f>
        <v>18.0734788913244</v>
      </c>
      <c r="N59" s="38" t="n">
        <f aca="false">Q!$N$30</f>
        <v>2.316</v>
      </c>
      <c r="O59" s="38" t="n">
        <f aca="false">Q!$O$30</f>
        <v>2.591</v>
      </c>
    </row>
    <row r="60" customFormat="false" ht="17.15" hidden="false" customHeight="false" outlineLevel="0" collapsed="false">
      <c r="A60" s="0" t="s">
        <v>538</v>
      </c>
      <c r="B60" s="0" t="s">
        <v>86</v>
      </c>
      <c r="C60" s="38" t="n">
        <f aca="false">Thesis!$C$54</f>
        <v>13.32</v>
      </c>
      <c r="D60" s="38" t="n">
        <f aca="false">Thesis!$D$54</f>
        <v>21.45</v>
      </c>
      <c r="E60" s="38" t="n">
        <f aca="false">Thesis!$E$54</f>
        <v>15.353</v>
      </c>
      <c r="F60" s="38" t="n">
        <f aca="false">Thesis!$F$54</f>
        <v>16.3063747611001</v>
      </c>
      <c r="G60" s="38" t="n">
        <f aca="false">Thesis!$G$54</f>
        <v>31.6593747611001</v>
      </c>
      <c r="H60" s="38" t="n">
        <f aca="false">Thesis!$H$54</f>
        <v>53.414403839505</v>
      </c>
      <c r="I60" s="38" t="n">
        <f aca="false">Thesis!$I$54</f>
        <v>78.939311629233</v>
      </c>
      <c r="J60" s="38" t="n">
        <f aca="false">Thesis!$J$54</f>
        <v>105.180780544052</v>
      </c>
      <c r="K60" s="38" t="n">
        <f aca="false">Thesis!$K$54</f>
        <v>131.766209791769</v>
      </c>
      <c r="L60" s="38" t="n">
        <f aca="false">Thesis!$L$54</f>
        <v>150.014240643077</v>
      </c>
      <c r="M60" s="38" t="n">
        <f aca="false">Thesis!$M$54</f>
        <v>162.130751436802</v>
      </c>
      <c r="N60" s="38" t="n">
        <f aca="false">Thesis!$N$54</f>
        <v>9.234</v>
      </c>
      <c r="O60" s="38" t="n">
        <f aca="false">Thesis!$O$54</f>
        <v>12.216</v>
      </c>
    </row>
    <row r="61" customFormat="false" ht="17.15" hidden="false" customHeight="false" outlineLevel="0" collapsed="false">
      <c r="A61" s="5" t="s">
        <v>739</v>
      </c>
      <c r="B61" s="0" t="s">
        <v>86</v>
      </c>
      <c r="C61" s="38" t="n">
        <f aca="false">PL!$C$58+PL!$C$59+PL!$C$60</f>
        <v>32.067</v>
      </c>
      <c r="D61" s="38" t="n">
        <f aca="false">PL!$D$58+PL!$D$59+PL!$D$60</f>
        <v>41.86</v>
      </c>
      <c r="E61" s="38" t="n">
        <f aca="false">PL!$E$58+PL!$E$59+PL!$E$60</f>
        <v>26.703</v>
      </c>
      <c r="F61" s="38" t="n">
        <f aca="false">PL!$F$58+PL!$F$59+PL!$F$60</f>
        <v>29.1973682263655</v>
      </c>
      <c r="G61" s="38" t="n">
        <f aca="false">PL!$G$58+PL!$G$59+PL!$G$60</f>
        <v>55.9003682263655</v>
      </c>
      <c r="H61" s="38" t="n">
        <f aca="false">PL!$H$58+PL!$H$59+PL!$H$60</f>
        <v>84.5749885561059</v>
      </c>
      <c r="I61" s="38" t="n">
        <f aca="false">PL!$I$58+PL!$I$59+PL!$I$60</f>
        <v>118.042122158798</v>
      </c>
      <c r="J61" s="38" t="n">
        <f aca="false">PL!$J$58+PL!$J$59+PL!$J$60</f>
        <v>152.27209015198</v>
      </c>
      <c r="K61" s="38" t="n">
        <f aca="false">PL!$K$58+PL!$K$59+PL!$K$60</f>
        <v>186.733654532054</v>
      </c>
      <c r="L61" s="38" t="n">
        <f aca="false">PL!$L$58+PL!$L$59+PL!$L$60</f>
        <v>210.853295700971</v>
      </c>
      <c r="M61" s="38" t="n">
        <f aca="false">PL!$M$58+PL!$M$59+PL!$M$60</f>
        <v>227.394136298658</v>
      </c>
      <c r="N61" s="38" t="n">
        <f aca="false">PL!$N$58+PL!$N$59+PL!$N$60</f>
        <v>18.822</v>
      </c>
      <c r="O61" s="38" t="n">
        <f aca="false">PL!$O$58+PL!$O$59+PL!$O$60</f>
        <v>23.038</v>
      </c>
    </row>
    <row r="62" customFormat="false" ht="17.15" hidden="false" customHeight="false" outlineLevel="0" collapsed="false">
      <c r="A62" s="0" t="s">
        <v>740</v>
      </c>
      <c r="B62" s="0" t="s">
        <v>86</v>
      </c>
      <c r="C62" s="38" t="n">
        <f aca="false">PL!$C$33+PL!$C$38</f>
        <v>28.107</v>
      </c>
      <c r="D62" s="38" t="n">
        <f aca="false">PL!$D$33+PL!$D$38</f>
        <v>34.3175</v>
      </c>
      <c r="E62" s="38" t="n">
        <f aca="false">PL!$E$33+PL!$E$38</f>
        <v>18.526</v>
      </c>
      <c r="F62" s="38" t="n">
        <f aca="false">PL!$F$33+PL!$F$38</f>
        <v>22.8930026902731</v>
      </c>
      <c r="G62" s="38" t="n">
        <f aca="false">PL!$G$33+PL!$G$38</f>
        <v>41.4190026902731</v>
      </c>
      <c r="H62" s="38" t="n">
        <f aca="false">PL!$H$33+PL!$H$38</f>
        <v>49.7256289382451</v>
      </c>
      <c r="I62" s="38" t="n">
        <f aca="false">PL!$I$33+PL!$I$38</f>
        <v>58.0315027152746</v>
      </c>
      <c r="J62" s="38" t="n">
        <f aca="false">PL!$J$33+PL!$J$38</f>
        <v>65.7796966564336</v>
      </c>
      <c r="K62" s="38" t="n">
        <f aca="false">PL!$K$33+PL!$K$38</f>
        <v>72.357666322077</v>
      </c>
      <c r="L62" s="38" t="n">
        <f aca="false">PL!$L$33+PL!$L$38</f>
        <v>79.5934329542847</v>
      </c>
      <c r="M62" s="38" t="n">
        <f aca="false">PL!$M$33+PL!$M$38</f>
        <v>87.5527762497131</v>
      </c>
      <c r="N62" s="38" t="n">
        <f aca="false">PL!$N$33+PL!$N$38</f>
        <v>14.8075</v>
      </c>
      <c r="O62" s="38" t="n">
        <f aca="false">PL!$O$33+PL!$O$38</f>
        <v>19.51</v>
      </c>
    </row>
    <row r="63" customFormat="false" ht="17.15" hidden="false" customHeight="false" outlineLevel="0" collapsed="false">
      <c r="A63" s="0" t="s">
        <v>741</v>
      </c>
      <c r="B63" s="0" t="s">
        <v>86</v>
      </c>
      <c r="C63" s="38" t="n">
        <f aca="false">PL!$C$37+PL!$C$42+PL!$C$58+PL!$C$59-PL!$C$62</f>
        <v>19.399</v>
      </c>
      <c r="D63" s="38" t="n">
        <f aca="false">PL!$D$37+PL!$D$42+PL!$D$58+PL!$D$59-PL!$D$62</f>
        <v>20.4615</v>
      </c>
      <c r="E63" s="38" t="n">
        <f aca="false">PL!$E$37+PL!$E$42+PL!$E$58+PL!$E$59-PL!$E$62</f>
        <v>13.355</v>
      </c>
      <c r="F63" s="38" t="n">
        <f aca="false">PL!$F$37+PL!$F$42+PL!$F$58+PL!$F$59-PL!$F$62</f>
        <v>12.6719503884262</v>
      </c>
      <c r="G63" s="38" t="n">
        <f aca="false">PL!$G$37+PL!$G$42+PL!$G$58+PL!$G$59-PL!$G$62</f>
        <v>26.0269503884262</v>
      </c>
      <c r="H63" s="38" t="n">
        <f aca="false">PL!$H$37+PL!$H$42+PL!$H$58+PL!$H$59-PL!$H$62</f>
        <v>28.3649705866172</v>
      </c>
      <c r="I63" s="38" t="n">
        <f aca="false">PL!$I$37+PL!$I$42+PL!$I$58+PL!$I$59-PL!$I$62</f>
        <v>30.5487761327097</v>
      </c>
      <c r="J63" s="38" t="n">
        <f aca="false">PL!$J$37+PL!$J$42+PL!$J$58+PL!$J$59-PL!$J$62</f>
        <v>32.7246055732872</v>
      </c>
      <c r="K63" s="38" t="n">
        <f aca="false">PL!$K$37+PL!$K$42+PL!$K$58+PL!$K$59-PL!$K$62</f>
        <v>35.0701864679385</v>
      </c>
      <c r="L63" s="38" t="n">
        <f aca="false">PL!$L$37+PL!$L$42+PL!$L$58+PL!$L$59-PL!$L$62</f>
        <v>36.6632897624358</v>
      </c>
      <c r="M63" s="38" t="n">
        <f aca="false">PL!$M$37+PL!$M$42+PL!$M$58+PL!$M$59-PL!$M$62</f>
        <v>39.0700232369771</v>
      </c>
      <c r="N63" s="38" t="n">
        <f aca="false">PL!$N$37+PL!$N$42+PL!$N$58+PL!$N$59-PL!$N$62</f>
        <v>10.6495</v>
      </c>
      <c r="O63" s="38" t="n">
        <f aca="false">PL!$O$37+PL!$O$42+PL!$O$58+PL!$O$59-PL!$O$62</f>
        <v>9.81200000000001</v>
      </c>
    </row>
    <row r="64" customFormat="false" ht="17.15" hidden="false" customHeight="false" outlineLevel="0" collapsed="false">
      <c r="A64" s="0" t="s">
        <v>742</v>
      </c>
      <c r="B64" s="0" t="s">
        <v>86</v>
      </c>
      <c r="C64" s="38" t="n">
        <f aca="false">PL!$C$44+PL!$C$60-ext_sh*Thesis!$C$42</f>
        <v>51.3470500115664</v>
      </c>
      <c r="D64" s="38" t="n">
        <f aca="false">PL!$D$44+PL!$D$60-ext_sh*Thesis!$D$42</f>
        <v>60.2799375433739</v>
      </c>
      <c r="E64" s="38" t="n">
        <f aca="false">PL!$E$44+PL!$E$60-ext_sh*Thesis!$E$42</f>
        <v>39.5095167090767</v>
      </c>
      <c r="F64" s="38" t="n">
        <f aca="false">PL!$F$44+PL!$F$60-ext_sh*Thesis!$F$42</f>
        <v>37.993321722478</v>
      </c>
      <c r="G64" s="38" t="n">
        <f aca="false">PL!$G$44+PL!$G$60-ext_sh*Thesis!$G$42</f>
        <v>77.5028384315548</v>
      </c>
      <c r="H64" s="38" t="n">
        <f aca="false">PL!$H$44+PL!$H$60-ext_sh*Thesis!$H$42</f>
        <v>85.2394217279746</v>
      </c>
      <c r="I64" s="38" t="n">
        <f aca="false">PL!$I$44+PL!$I$60-ext_sh*Thesis!$I$42</f>
        <v>94.6373589713254</v>
      </c>
      <c r="J64" s="38" t="n">
        <f aca="false">PL!$J$44+PL!$J$60-ext_sh*Thesis!$J$42</f>
        <v>103.639899284146</v>
      </c>
      <c r="K64" s="38" t="n">
        <f aca="false">PL!$K$44+PL!$K$60-ext_sh*Thesis!$K$42</f>
        <v>111.931091226878</v>
      </c>
      <c r="L64" s="38" t="n">
        <f aca="false">PL!$L$44+PL!$L$60-ext_sh*Thesis!$L$42</f>
        <v>120.885578525028</v>
      </c>
      <c r="M64" s="38" t="n">
        <f aca="false">PL!$M$44+PL!$M$60-ext_sh*Thesis!$M$42</f>
        <v>130.55642480703</v>
      </c>
      <c r="N64" s="38" t="n">
        <f aca="false">PL!$N$44+PL!$N$60-ext_sh*Thesis!$N$42</f>
        <v>28.5693781401809</v>
      </c>
      <c r="O64" s="38" t="n">
        <f aca="false">PL!$O$44+PL!$O$60-ext_sh*Thesis!$O$42</f>
        <v>31.7105594031931</v>
      </c>
    </row>
    <row r="65" customFormat="false" ht="17.15" hidden="false" customHeight="false" outlineLevel="0" collapsed="false">
      <c r="A65" s="0" t="s">
        <v>743</v>
      </c>
      <c r="B65" s="0" t="s">
        <v>86</v>
      </c>
      <c r="C65" s="38" t="n">
        <f aca="false">Thesis!$C$45</f>
        <v>1.80694998843362</v>
      </c>
      <c r="D65" s="38" t="n">
        <f aca="false">Thesis!$D$45</f>
        <v>6.77606245662607</v>
      </c>
      <c r="E65" s="38" t="n">
        <f aca="false">Thesis!$E$45</f>
        <v>6.62548329092326</v>
      </c>
      <c r="F65" s="38" t="n">
        <f aca="false">Thesis!$F$45</f>
        <v>14.4996696128551</v>
      </c>
      <c r="G65" s="38" t="n">
        <f aca="false">Thesis!$G$45</f>
        <v>21.1251529037784</v>
      </c>
      <c r="H65" s="38" t="n">
        <f aca="false">Thesis!$H$45</f>
        <v>70.2126356677435</v>
      </c>
      <c r="I65" s="38" t="n">
        <f aca="false">Thesis!$I$45</f>
        <v>126.678603645079</v>
      </c>
      <c r="J65" s="38" t="n">
        <f aca="false">Thesis!$J$45</f>
        <v>183.417938128511</v>
      </c>
      <c r="K65" s="38" t="n">
        <f aca="false">Thesis!$K$45</f>
        <v>231.815746632017</v>
      </c>
      <c r="L65" s="38" t="n">
        <f aca="false">Thesis!$L$45</f>
        <v>263.612756777848</v>
      </c>
      <c r="M65" s="38" t="n">
        <f aca="false">Thesis!$M$45</f>
        <v>278.764488450164</v>
      </c>
      <c r="N65" s="38" t="n">
        <f aca="false">Thesis!$N$45</f>
        <v>2.37162185981912</v>
      </c>
      <c r="O65" s="38" t="n">
        <f aca="false">Thesis!$O$45</f>
        <v>4.40444059680694</v>
      </c>
    </row>
    <row r="66" customFormat="false" ht="17.15" hidden="false" customHeight="false" outlineLevel="0" collapsed="false">
      <c r="A66" s="0" t="s">
        <v>744</v>
      </c>
      <c r="B66" s="0" t="s">
        <v>86</v>
      </c>
      <c r="C66" s="38" t="n">
        <f aca="false">PL!$C$47+PL!$C$61</f>
        <v>100.66</v>
      </c>
      <c r="D66" s="38" t="n">
        <f aca="false">PL!$D$47+PL!$D$61</f>
        <v>121.835</v>
      </c>
      <c r="E66" s="38" t="n">
        <f aca="false">PL!$E$47+PL!$E$61</f>
        <v>78.016</v>
      </c>
      <c r="F66" s="38" t="n">
        <f aca="false">PL!$F$47+PL!$F$61</f>
        <v>88.0579444140324</v>
      </c>
      <c r="G66" s="38" t="n">
        <f aca="false">PL!$G$47+PL!$G$61</f>
        <v>166.073944414032</v>
      </c>
      <c r="H66" s="38" t="n">
        <f aca="false">PL!$H$47+PL!$H$61</f>
        <v>233.54265692058</v>
      </c>
      <c r="I66" s="38" t="n">
        <f aca="false">PL!$I$47+PL!$I$61</f>
        <v>309.896241464388</v>
      </c>
      <c r="J66" s="38" t="n">
        <f aca="false">PL!$J$47+PL!$J$61</f>
        <v>385.562139642378</v>
      </c>
      <c r="K66" s="38" t="n">
        <f aca="false">PL!$K$47+PL!$K$61</f>
        <v>451.174690648911</v>
      </c>
      <c r="L66" s="38" t="n">
        <f aca="false">PL!$L$47+PL!$L$61</f>
        <v>500.755058019596</v>
      </c>
      <c r="M66" s="38" t="n">
        <f aca="false">PL!$M$47+PL!$M$61</f>
        <v>535.943712743885</v>
      </c>
      <c r="N66" s="38" t="n">
        <f aca="false">PL!$N$47+PL!$N$61</f>
        <v>56.398</v>
      </c>
      <c r="O66" s="38" t="n">
        <f aca="false">PL!$O$47+PL!$O$61</f>
        <v>65.437</v>
      </c>
    </row>
    <row r="67" customFormat="false" ht="17.15" hidden="false" customHeight="false" outlineLevel="0" collapsed="false">
      <c r="A67" s="1" t="s">
        <v>745</v>
      </c>
    </row>
    <row r="68" customFormat="false" ht="15" hidden="false" customHeight="false" outlineLevel="0" collapsed="false">
      <c r="A68" s="5" t="s">
        <v>541</v>
      </c>
      <c r="B68" s="0" t="s">
        <v>86</v>
      </c>
      <c r="C68" s="38" t="n">
        <f aca="false">Q!$D$34</f>
        <v>2.406</v>
      </c>
      <c r="D68" s="38" t="n">
        <f aca="false">Q!$E$34</f>
        <v>2.274</v>
      </c>
      <c r="E68" s="38" t="n">
        <f aca="false">Q!$P$34</f>
        <v>2.114</v>
      </c>
      <c r="F68" s="38" t="n">
        <f aca="false">CF!$F$38</f>
        <v>3.24888962733561</v>
      </c>
      <c r="G68" s="38" t="n">
        <f aca="false">PL!$E$68+PL!$F$68</f>
        <v>5.36288962733561</v>
      </c>
      <c r="H68" s="38" t="n">
        <f aca="false">CF!$H$38</f>
        <v>7.42354172302123</v>
      </c>
      <c r="I68" s="38" t="n">
        <f aca="false">CF!$I$38</f>
        <v>7.43506342723161</v>
      </c>
      <c r="J68" s="38" t="n">
        <f aca="false">CF!$J$38</f>
        <v>7.43506342723161</v>
      </c>
      <c r="K68" s="38" t="n">
        <f aca="false">CF!$K$38</f>
        <v>7.43506342723161</v>
      </c>
      <c r="L68" s="38" t="n">
        <f aca="false">CF!$L$38</f>
        <v>7.43506342723161</v>
      </c>
      <c r="M68" s="38" t="n">
        <f aca="false">CF!$M$38</f>
        <v>7.43506342723161</v>
      </c>
      <c r="N68" s="38" t="n">
        <f aca="false">Q!$N$34</f>
        <v>1.057</v>
      </c>
      <c r="O68" s="38" t="n">
        <f aca="false">Q!$O$34</f>
        <v>1.217</v>
      </c>
    </row>
    <row r="69" customFormat="false" ht="15" hidden="false" customHeight="false" outlineLevel="0" collapsed="false">
      <c r="A69" s="5" t="s">
        <v>746</v>
      </c>
      <c r="B69" s="0" t="s">
        <v>86</v>
      </c>
      <c r="F69" s="38" t="n">
        <f aca="false">CF!$F$39</f>
        <v>2.59</v>
      </c>
      <c r="H69" s="38" t="n">
        <f aca="false">CF!$H$39</f>
        <v>3.78378436601427</v>
      </c>
      <c r="I69" s="38" t="n">
        <f aca="false">CF!$I$39</f>
        <v>2.10589651022864</v>
      </c>
      <c r="J69" s="38" t="n">
        <f aca="false">CF!$J$39</f>
        <v>2.91728374234674</v>
      </c>
      <c r="K69" s="38" t="n">
        <f aca="false">CF!$K$39</f>
        <v>6.34665286708335</v>
      </c>
      <c r="L69" s="38" t="n">
        <f aca="false">CF!$L$39</f>
        <v>14.7301359858921</v>
      </c>
      <c r="M69" s="38" t="n">
        <f aca="false">CF!$M$39</f>
        <v>26.2412964203645</v>
      </c>
    </row>
    <row r="70" customFormat="false" ht="17.15" hidden="false" customHeight="false" outlineLevel="0" collapsed="false">
      <c r="A70" s="5" t="s">
        <v>747</v>
      </c>
      <c r="B70" s="0" t="s">
        <v>86</v>
      </c>
      <c r="C70" s="38" t="n">
        <f aca="false">Q!$D$39</f>
        <v>2.427</v>
      </c>
      <c r="D70" s="38" t="n">
        <f aca="false">Q!$E$39</f>
        <v>19.61</v>
      </c>
      <c r="E70" s="38" t="n">
        <f aca="false">Q!$P$39</f>
        <v>71.492</v>
      </c>
      <c r="F70" s="39" t="n">
        <v>0</v>
      </c>
      <c r="G70" s="38" t="n">
        <f aca="false">PL!$E$70+PL!$F$70</f>
        <v>71.492</v>
      </c>
      <c r="H70" s="39" t="n">
        <v>0</v>
      </c>
      <c r="I70" s="39" t="n">
        <v>0</v>
      </c>
      <c r="J70" s="39" t="n">
        <v>0</v>
      </c>
      <c r="K70" s="39" t="n">
        <v>0</v>
      </c>
      <c r="L70" s="39" t="n">
        <v>0</v>
      </c>
      <c r="M70" s="39" t="n">
        <v>0</v>
      </c>
      <c r="N70" s="38" t="n">
        <f aca="false">Q!$N$39</f>
        <v>6.017</v>
      </c>
      <c r="O70" s="38" t="n">
        <f aca="false">Q!$O$39</f>
        <v>13.593</v>
      </c>
      <c r="P70" s="5" t="s">
        <v>748</v>
      </c>
    </row>
    <row r="71" customFormat="false" ht="15" hidden="false" customHeight="false" outlineLevel="0" collapsed="false">
      <c r="A71" s="5" t="s">
        <v>544</v>
      </c>
      <c r="B71" s="0" t="s">
        <v>86</v>
      </c>
      <c r="C71" s="38" t="n">
        <f aca="false">Q!$D$36</f>
        <v>68.614</v>
      </c>
      <c r="D71" s="38" t="n">
        <f aca="false">Q!$E$36</f>
        <v>97.311</v>
      </c>
      <c r="E71" s="38" t="n">
        <f aca="false">Q!$P$36</f>
        <v>120.691</v>
      </c>
      <c r="F71" s="38" t="n">
        <f aca="false">PL!$F$47-PL!$F$68+PL!$F$69+PL!$F$70</f>
        <v>58.2016865603313</v>
      </c>
      <c r="G71" s="38" t="n">
        <f aca="false">PL!$E$71+PL!$F$71</f>
        <v>178.892686560331</v>
      </c>
      <c r="H71" s="38" t="n">
        <f aca="false">PL!$H$47-PL!$H$68+PL!$H$69+PL!$H$70</f>
        <v>145.327911007468</v>
      </c>
      <c r="I71" s="38" t="n">
        <f aca="false">PL!$I$47-PL!$I$68+PL!$I$69+PL!$I$70</f>
        <v>186.524952388588</v>
      </c>
      <c r="J71" s="38" t="n">
        <f aca="false">PL!$J$47-PL!$J$68+PL!$J$69+PL!$J$70</f>
        <v>228.772269805513</v>
      </c>
      <c r="K71" s="38" t="n">
        <f aca="false">PL!$K$47-PL!$K$68+PL!$K$69+PL!$K$70</f>
        <v>263.352625556709</v>
      </c>
      <c r="L71" s="38" t="n">
        <f aca="false">PL!$L$47-PL!$L$68+PL!$L$69+PL!$L$70</f>
        <v>297.196834877286</v>
      </c>
      <c r="M71" s="38" t="n">
        <f aca="false">PL!$M$47-PL!$M$68+PL!$M$69+PL!$M$70</f>
        <v>327.35580943836</v>
      </c>
      <c r="N71" s="38" t="n">
        <f aca="false">Q!$N$36</f>
        <v>42.536</v>
      </c>
      <c r="O71" s="38" t="n">
        <f aca="false">Q!$O$36</f>
        <v>54.775</v>
      </c>
    </row>
    <row r="72" customFormat="false" ht="15" hidden="false" customHeight="false" outlineLevel="0" collapsed="false">
      <c r="A72" s="5" t="s">
        <v>545</v>
      </c>
      <c r="B72" s="0" t="s">
        <v>86</v>
      </c>
      <c r="C72" s="38" t="n">
        <f aca="false">Q!$D$37</f>
        <v>9.265</v>
      </c>
      <c r="D72" s="38" t="n">
        <f aca="false">Q!$E$37</f>
        <v>19.087</v>
      </c>
      <c r="E72" s="38" t="n">
        <f aca="false">Q!$P$37</f>
        <v>27.759</v>
      </c>
      <c r="F72" s="38" t="n">
        <f aca="false">PL!$F$71*tax</f>
        <v>10.1029122101204</v>
      </c>
      <c r="G72" s="38" t="n">
        <f aca="false">PL!$E$72+PL!$F$72</f>
        <v>37.8619122101204</v>
      </c>
      <c r="H72" s="38" t="n">
        <f aca="false">PL!$H$71*tax</f>
        <v>25.2266766370538</v>
      </c>
      <c r="I72" s="38" t="n">
        <f aca="false">PL!$I$71*tax</f>
        <v>32.3778455633824</v>
      </c>
      <c r="J72" s="38" t="n">
        <f aca="false">PL!$J$71*tax</f>
        <v>39.7113261582077</v>
      </c>
      <c r="K72" s="38" t="n">
        <f aca="false">PL!$K$71*tax</f>
        <v>45.7139408416655</v>
      </c>
      <c r="L72" s="38" t="n">
        <f aca="false">PL!$L$71*tax</f>
        <v>51.5887718954408</v>
      </c>
      <c r="M72" s="38" t="n">
        <f aca="false">PL!$M$71*tax</f>
        <v>56.8239032180005</v>
      </c>
      <c r="N72" s="38" t="n">
        <f aca="false">Q!$N$37</f>
        <v>7.231</v>
      </c>
      <c r="O72" s="38" t="n">
        <f aca="false">Q!$O$37</f>
        <v>11.856</v>
      </c>
    </row>
    <row r="73" customFormat="false" ht="15" hidden="false" customHeight="false" outlineLevel="0" collapsed="false">
      <c r="A73" s="3" t="s">
        <v>546</v>
      </c>
      <c r="B73" s="8" t="s">
        <v>86</v>
      </c>
      <c r="C73" s="38" t="n">
        <f aca="false">Q!$D$38</f>
        <v>59.248</v>
      </c>
      <c r="D73" s="38" t="n">
        <f aca="false">Q!$E$38</f>
        <v>77.67</v>
      </c>
      <c r="E73" s="38" t="n">
        <f aca="false">Q!$P$38</f>
        <v>92.902</v>
      </c>
      <c r="F73" s="38" t="n">
        <f aca="false">PL!$F$71-PL!$F$72</f>
        <v>48.0987743502108</v>
      </c>
      <c r="G73" s="38" t="n">
        <f aca="false">PL!$E$73+PL!$F$73</f>
        <v>141.000774350211</v>
      </c>
      <c r="H73" s="38" t="n">
        <f aca="false">PL!$H$71-PL!$H$72</f>
        <v>120.101234370414</v>
      </c>
      <c r="I73" s="38" t="n">
        <f aca="false">PL!$I$71-PL!$I$72</f>
        <v>154.147106825205</v>
      </c>
      <c r="J73" s="38" t="n">
        <f aca="false">PL!$J$71-PL!$J$72</f>
        <v>189.060943647306</v>
      </c>
      <c r="K73" s="38" t="n">
        <f aca="false">PL!$K$71-PL!$K$72</f>
        <v>217.638684715043</v>
      </c>
      <c r="L73" s="38" t="n">
        <f aca="false">PL!$L$71-PL!$L$72</f>
        <v>245.608062981845</v>
      </c>
      <c r="M73" s="38" t="n">
        <f aca="false">PL!$M$71-PL!$M$72</f>
        <v>270.53190622036</v>
      </c>
      <c r="N73" s="38" t="n">
        <f aca="false">Q!$N$38</f>
        <v>35.291</v>
      </c>
      <c r="O73" s="38" t="n">
        <f aca="false">Q!$O$38</f>
        <v>42.379</v>
      </c>
    </row>
    <row r="74" customFormat="false" ht="17.15" hidden="false" customHeight="false" outlineLevel="0" collapsed="false">
      <c r="A74" s="5" t="s">
        <v>549</v>
      </c>
      <c r="B74" s="5" t="s">
        <v>33</v>
      </c>
      <c r="C74" s="22" t="n">
        <f aca="false">Q!$D$41</f>
        <v>10.721</v>
      </c>
      <c r="D74" s="22" t="n">
        <f aca="false">Q!$E$41</f>
        <v>10.827</v>
      </c>
      <c r="E74" s="22" t="n">
        <f aca="false">(Q!$L$41+Q!$M$41)/2</f>
        <v>10.8885</v>
      </c>
      <c r="F74" s="22" t="n">
        <f aca="false">PL!$G$74</f>
        <v>10.924806</v>
      </c>
      <c r="G74" s="22" t="n">
        <f aca="false">Q!$M$41*(1+sh_g*0.25)</f>
        <v>10.924806</v>
      </c>
      <c r="H74" s="22" t="n">
        <f aca="false">PL!$G$74*(1+sh_g)</f>
        <v>11.012204448</v>
      </c>
      <c r="I74" s="22" t="n">
        <f aca="false">PL!$H$74*(1+sh_g)</f>
        <v>11.100302083584</v>
      </c>
      <c r="J74" s="22" t="n">
        <f aca="false">PL!$I$74*(1+sh_g)</f>
        <v>11.1891045002527</v>
      </c>
      <c r="K74" s="22" t="n">
        <f aca="false">PL!$J$74*(1+sh_g)</f>
        <v>11.2786173362547</v>
      </c>
      <c r="L74" s="22" t="n">
        <f aca="false">PL!$K$74*(1+sh_g)</f>
        <v>11.3688462749447</v>
      </c>
      <c r="M74" s="22" t="n">
        <f aca="false">PL!$L$74*(1+sh_g)</f>
        <v>11.4597970451443</v>
      </c>
      <c r="P74" s="5" t="s">
        <v>749</v>
      </c>
    </row>
    <row r="75" customFormat="false" ht="17.15" hidden="false" customHeight="false" outlineLevel="0" collapsed="false">
      <c r="A75" s="5" t="s">
        <v>750</v>
      </c>
      <c r="B75" s="0" t="s">
        <v>86</v>
      </c>
      <c r="C75" s="38" t="n">
        <f aca="false">PL!$C$73+PL!$C$49*(1-tax)</f>
        <v>59.248</v>
      </c>
      <c r="D75" s="38" t="n">
        <f aca="false">PL!$D$73+PL!$D$49*(1-tax)</f>
        <v>77.67</v>
      </c>
      <c r="E75" s="38" t="n">
        <f aca="false">PL!$E$73+PL!$E$49*(1-tax)</f>
        <v>92.902</v>
      </c>
      <c r="F75" s="38" t="n">
        <f aca="false">PL!$F$73+PL!$F$49*(1-tax)</f>
        <v>51.2431185018007</v>
      </c>
      <c r="G75" s="38" t="n">
        <f aca="false">PL!$G$73+PL!$G$49*(1-tax)</f>
        <v>144.145118501801</v>
      </c>
      <c r="H75" s="38" t="n">
        <f aca="false">PL!$H$73+PL!$H$49*(1-tax)</f>
        <v>132.859174835651</v>
      </c>
      <c r="I75" s="38" t="n">
        <f aca="false">PL!$I$73+PL!$I$49*(1-tax)</f>
        <v>175.74874247891</v>
      </c>
      <c r="J75" s="38" t="n">
        <f aca="false">PL!$J$73+PL!$J$49*(1-tax)</f>
        <v>219.545617461939</v>
      </c>
      <c r="K75" s="38" t="n">
        <f aca="false">PL!$K$73+PL!$K$49*(1-tax)</f>
        <v>255.700912736708</v>
      </c>
      <c r="L75" s="38" t="n">
        <f aca="false">PL!$L$73+PL!$L$49*(1-tax)</f>
        <v>288.648715260705</v>
      </c>
      <c r="M75" s="38" t="n">
        <f aca="false">PL!$M$73+PL!$M$49*(1-tax)</f>
        <v>315.945451217744</v>
      </c>
      <c r="N75" s="38" t="n">
        <f aca="false">PL!$N$73+PL!$N$49*(1-tax)</f>
        <v>35.291</v>
      </c>
      <c r="O75" s="38" t="n">
        <f aca="false">PL!$O$73+PL!$O$49*(1-tax)</f>
        <v>42.379</v>
      </c>
    </row>
    <row r="76" customFormat="false" ht="17.15" hidden="false" customHeight="false" outlineLevel="0" collapsed="false">
      <c r="A76" s="43" t="s">
        <v>751</v>
      </c>
      <c r="B76" s="14" t="s">
        <v>27</v>
      </c>
      <c r="C76" s="44" t="n">
        <f aca="false">PL!$C$75/PL!$C$74</f>
        <v>5.52635015390355</v>
      </c>
      <c r="D76" s="44" t="n">
        <f aca="false">PL!$D$75/PL!$D$74</f>
        <v>7.1737323358271</v>
      </c>
      <c r="E76" s="44" t="n">
        <f aca="false">PL!$E$75/PL!$E$74</f>
        <v>8.53212104513937</v>
      </c>
      <c r="F76" s="14"/>
      <c r="G76" s="44" t="n">
        <f aca="false">PL!$G$75/PL!$G$74</f>
        <v>13.194295486968</v>
      </c>
      <c r="H76" s="44" t="n">
        <f aca="false">PL!$H$75/PL!$H$74</f>
        <v>12.0647210522667</v>
      </c>
      <c r="I76" s="44" t="n">
        <f aca="false">PL!$I$75/PL!$I$74</f>
        <v>15.8327891579474</v>
      </c>
      <c r="J76" s="44" t="n">
        <f aca="false">PL!$J$75/PL!$J$74</f>
        <v>19.6213751919987</v>
      </c>
      <c r="K76" s="44" t="n">
        <f aca="false">PL!$K$75/PL!$K$74</f>
        <v>22.6712996029014</v>
      </c>
      <c r="L76" s="44" t="n">
        <f aca="false">PL!$L$75/PL!$L$74</f>
        <v>25.3894465876317</v>
      </c>
      <c r="M76" s="44" t="n">
        <f aca="false">PL!$M$75/PL!$M$74</f>
        <v>27.5698993597461</v>
      </c>
      <c r="N76" s="14"/>
      <c r="O76" s="14"/>
    </row>
    <row r="77" customFormat="false" ht="17.15" hidden="false" customHeight="false" outlineLevel="0" collapsed="false">
      <c r="A77" s="0" t="s">
        <v>752</v>
      </c>
      <c r="B77" s="0" t="s">
        <v>27</v>
      </c>
      <c r="C77" s="30" t="n">
        <f aca="false">PL!$C$73/PL!$C$74</f>
        <v>5.52635015390355</v>
      </c>
      <c r="D77" s="30" t="n">
        <f aca="false">PL!$D$73/PL!$D$74</f>
        <v>7.1737323358271</v>
      </c>
      <c r="E77" s="30" t="n">
        <f aca="false">PL!$E$73/PL!$E$74</f>
        <v>8.53212104513937</v>
      </c>
      <c r="G77" s="30" t="n">
        <f aca="false">PL!$G$73/PL!$G$74</f>
        <v>12.9064785544211</v>
      </c>
      <c r="H77" s="30" t="n">
        <f aca="false">PL!$H$73/PL!$H$74</f>
        <v>10.906193663361</v>
      </c>
      <c r="I77" s="30" t="n">
        <f aca="false">PL!$I$73/PL!$I$74</f>
        <v>13.8867488167885</v>
      </c>
      <c r="J77" s="30" t="n">
        <f aca="false">PL!$J$73/PL!$J$74</f>
        <v>16.8968788916965</v>
      </c>
      <c r="K77" s="30" t="n">
        <f aca="false">PL!$K$73/PL!$K$74</f>
        <v>19.2965749458891</v>
      </c>
      <c r="L77" s="30" t="n">
        <f aca="false">PL!$L$73/PL!$L$74</f>
        <v>21.6036048902455</v>
      </c>
      <c r="M77" s="30" t="n">
        <f aca="false">PL!$M$73/PL!$M$74</f>
        <v>23.6070416565526</v>
      </c>
    </row>
    <row r="78" customFormat="false" ht="17.15" hidden="false" customHeight="false" outlineLevel="0" collapsed="false">
      <c r="A78" s="0" t="s">
        <v>753</v>
      </c>
      <c r="B78" s="0" t="s">
        <v>27</v>
      </c>
      <c r="C78" s="30" t="n">
        <f aca="false">(PL!$C$73-PL!$C$70*(1-tax))/PL!$C$74</f>
        <v>5.33926775917445</v>
      </c>
      <c r="D78" s="30" t="n">
        <f aca="false">(PL!$D$73-PL!$D$70*(1-tax))/PL!$D$74</f>
        <v>5.67691812755503</v>
      </c>
      <c r="E78" s="30" t="n">
        <f aca="false">(PL!$E$73-PL!$E$70*(1-tax))/PL!$E$74</f>
        <v>3.10602057006846</v>
      </c>
      <c r="G78" s="30" t="n">
        <f aca="false">(PL!$G$73-PL!$G$70*(1-tax))/PL!$G$74</f>
        <v>7.49841043652411</v>
      </c>
      <c r="H78" s="30" t="n">
        <f aca="false">(PL!$H$73-PL!$H$70*(1-tax))/PL!$H$74</f>
        <v>10.906193663361</v>
      </c>
      <c r="I78" s="30" t="n">
        <f aca="false">(PL!$I$73-PL!$I$70*(1-tax))/PL!$I$74</f>
        <v>13.8867488167885</v>
      </c>
      <c r="J78" s="30" t="n">
        <f aca="false">(PL!$J$73-PL!$J$70*(1-tax))/PL!$J$74</f>
        <v>16.8968788916965</v>
      </c>
      <c r="K78" s="30" t="n">
        <f aca="false">(PL!$K$73-PL!$K$70*(1-tax))/PL!$K$74</f>
        <v>19.2965749458891</v>
      </c>
      <c r="L78" s="30" t="n">
        <f aca="false">(PL!$L$73-PL!$L$70*(1-tax))/PL!$L$74</f>
        <v>21.6036048902455</v>
      </c>
      <c r="M78" s="30" t="n">
        <f aca="false">(PL!$M$73-PL!$M$70*(1-tax))/PL!$M$74</f>
        <v>23.6070416565526</v>
      </c>
      <c r="P78" s="5" t="s">
        <v>754</v>
      </c>
    </row>
    <row r="79" customFormat="false" ht="17.15" hidden="false" customHeight="false" outlineLevel="0" collapsed="false">
      <c r="A79" s="0" t="s">
        <v>755</v>
      </c>
      <c r="B79" s="0" t="s">
        <v>52</v>
      </c>
      <c r="H79" s="13" t="n">
        <f aca="false">PL!$H$76/PL!$G$76-1</f>
        <v>-0.0856108183886699</v>
      </c>
      <c r="I79" s="13" t="n">
        <f aca="false">PL!$I$76/PL!$H$76-1</f>
        <v>0.312321195770434</v>
      </c>
      <c r="J79" s="13" t="n">
        <f aca="false">PL!$J$76/PL!$I$76-1</f>
        <v>0.239287341999978</v>
      </c>
      <c r="K79" s="13" t="n">
        <f aca="false">PL!$K$76/PL!$J$76-1</f>
        <v>0.155438871183018</v>
      </c>
      <c r="L79" s="13" t="n">
        <f aca="false">PL!$L$76/PL!$K$76-1</f>
        <v>0.119893743735026</v>
      </c>
      <c r="M79" s="13" t="n">
        <f aca="false">PL!$M$76/PL!$L$76-1</f>
        <v>0.085880279611003</v>
      </c>
    </row>
    <row r="82" customFormat="false" ht="19.4" hidden="false" customHeight="false" outlineLevel="0" collapsed="false">
      <c r="A82" s="31" t="s">
        <v>756</v>
      </c>
    </row>
    <row r="83" customFormat="false" ht="17.15" hidden="false" customHeight="false" outlineLevel="0" collapsed="false">
      <c r="A83" s="6" t="s">
        <v>16</v>
      </c>
      <c r="B83" s="6" t="s">
        <v>17</v>
      </c>
      <c r="C83" s="20" t="s">
        <v>494</v>
      </c>
      <c r="D83" s="20" t="s">
        <v>495</v>
      </c>
      <c r="E83" s="20" t="s">
        <v>577</v>
      </c>
      <c r="F83" s="20" t="s">
        <v>578</v>
      </c>
      <c r="G83" s="20" t="s">
        <v>579</v>
      </c>
      <c r="H83" s="20" t="s">
        <v>580</v>
      </c>
      <c r="I83" s="20" t="s">
        <v>581</v>
      </c>
      <c r="J83" s="20" t="s">
        <v>582</v>
      </c>
      <c r="K83" s="20" t="s">
        <v>583</v>
      </c>
      <c r="L83" s="20" t="s">
        <v>584</v>
      </c>
      <c r="M83" s="20" t="s">
        <v>585</v>
      </c>
      <c r="N83" s="20" t="s">
        <v>586</v>
      </c>
      <c r="O83" s="20" t="s">
        <v>587</v>
      </c>
      <c r="P83" s="6" t="s">
        <v>23</v>
      </c>
      <c r="R83" s="20" t="n">
        <v>2023</v>
      </c>
      <c r="S83" s="20" t="n">
        <v>2024</v>
      </c>
      <c r="T83" s="20" t="n">
        <v>2025</v>
      </c>
      <c r="U83" s="20" t="n">
        <v>2026</v>
      </c>
      <c r="V83" s="20" t="n">
        <v>2027</v>
      </c>
      <c r="W83" s="20" t="n">
        <v>2028</v>
      </c>
      <c r="X83" s="20" t="n">
        <v>2029</v>
      </c>
      <c r="Y83" s="20" t="n">
        <v>2030</v>
      </c>
      <c r="Z83" s="20" t="n">
        <v>2031</v>
      </c>
      <c r="AA83" s="20" t="n">
        <v>2032</v>
      </c>
    </row>
    <row r="84" customFormat="false" ht="17.15" hidden="false" customHeight="false" outlineLevel="0" collapsed="false">
      <c r="A84" s="1" t="s">
        <v>710</v>
      </c>
    </row>
    <row r="85" customFormat="false" ht="15" hidden="false" customHeight="false" outlineLevel="0" collapsed="false">
      <c r="A85" s="0" t="s">
        <v>516</v>
      </c>
      <c r="B85" s="0" t="s">
        <v>86</v>
      </c>
      <c r="C85" s="38" t="n">
        <f aca="false">Seg!$C$42</f>
        <v>247.029</v>
      </c>
      <c r="D85" s="38" t="n">
        <f aca="false">Seg!$D$42</f>
        <v>269.287</v>
      </c>
      <c r="E85" s="38" t="n">
        <f aca="false">Seg!$E$42</f>
        <v>134.686</v>
      </c>
      <c r="F85" s="38" t="n">
        <f aca="false">Seg!$F$42</f>
        <v>158.293876822267</v>
      </c>
      <c r="G85" s="38" t="n">
        <f aca="false">Seg!$G$42</f>
        <v>292.979876822267</v>
      </c>
      <c r="H85" s="38" t="n">
        <f aca="false">Seg!$H$42</f>
        <v>318.184543087396</v>
      </c>
      <c r="I85" s="38" t="n">
        <f aca="false">Seg!$I$42</f>
        <v>341.736278761793</v>
      </c>
      <c r="J85" s="38" t="n">
        <f aca="false">Seg!$J$42</f>
        <v>362.927192787048</v>
      </c>
      <c r="K85" s="38" t="n">
        <f aca="false">Seg!$K$42</f>
        <v>381.0735524264</v>
      </c>
      <c r="L85" s="38" t="n">
        <f aca="false">Seg!$L$42</f>
        <v>400.12723004772</v>
      </c>
      <c r="M85" s="38" t="n">
        <f aca="false">Seg!$M$42</f>
        <v>420.133591550106</v>
      </c>
      <c r="N85" s="38" t="n">
        <f aca="false">Seg!$N$42</f>
        <v>118.892</v>
      </c>
      <c r="O85" s="38" t="n">
        <f aca="false">Seg!$O$42</f>
        <v>150.395</v>
      </c>
    </row>
    <row r="86" customFormat="false" ht="15" hidden="false" customHeight="false" outlineLevel="0" collapsed="false">
      <c r="A86" s="0" t="s">
        <v>517</v>
      </c>
      <c r="B86" s="0" t="s">
        <v>86</v>
      </c>
      <c r="C86" s="38" t="n">
        <f aca="false">Seg!$C$44</f>
        <v>21.215</v>
      </c>
      <c r="D86" s="38" t="n">
        <f aca="false">Seg!$D$44</f>
        <v>22.561</v>
      </c>
      <c r="E86" s="38" t="n">
        <f aca="false">Seg!$E$44</f>
        <v>11.579</v>
      </c>
      <c r="F86" s="38" t="n">
        <f aca="false">Seg!$F$44</f>
        <v>11.5938724610325</v>
      </c>
      <c r="G86" s="38" t="n">
        <f aca="false">Seg!$G$44</f>
        <v>23.1728724610325</v>
      </c>
      <c r="H86" s="38" t="n">
        <f aca="false">Seg!$H$44</f>
        <v>24.353392759506</v>
      </c>
      <c r="I86" s="38" t="n">
        <f aca="false">Seg!$I$44</f>
        <v>25.4240338872015</v>
      </c>
      <c r="J86" s="38" t="n">
        <f aca="false">Seg!$J$44</f>
        <v>26.3642491017174</v>
      </c>
      <c r="K86" s="38" t="n">
        <f aca="false">Seg!$K$44</f>
        <v>27.155176574769</v>
      </c>
      <c r="L86" s="38" t="n">
        <f aca="false">Seg!$L$44</f>
        <v>27.969831872012</v>
      </c>
      <c r="M86" s="38" t="n">
        <f aca="false">Seg!$M$44</f>
        <v>28.8089268281724</v>
      </c>
      <c r="N86" s="38" t="n">
        <f aca="false">Seg!$N$44</f>
        <v>11.128</v>
      </c>
      <c r="O86" s="38" t="n">
        <f aca="false">Seg!$O$44</f>
        <v>11.433</v>
      </c>
    </row>
    <row r="87" customFormat="false" ht="15" hidden="false" customHeight="false" outlineLevel="0" collapsed="false">
      <c r="A87" s="0" t="s">
        <v>518</v>
      </c>
      <c r="B87" s="0" t="s">
        <v>86</v>
      </c>
      <c r="C87" s="38" t="n">
        <f aca="false">Seg!$C$46</f>
        <v>156.146</v>
      </c>
      <c r="D87" s="38" t="n">
        <f aca="false">Seg!$D$46</f>
        <v>172.162</v>
      </c>
      <c r="E87" s="38" t="n">
        <f aca="false">Seg!$E$46</f>
        <v>88.358</v>
      </c>
      <c r="F87" s="38" t="n">
        <f aca="false">Seg!$F$46</f>
        <v>102.004388260171</v>
      </c>
      <c r="G87" s="38" t="n">
        <f aca="false">Seg!$G$46</f>
        <v>190.362388260171</v>
      </c>
      <c r="H87" s="38" t="n">
        <f aca="false">Seg!$H$46</f>
        <v>210.343106588311</v>
      </c>
      <c r="I87" s="38" t="n">
        <f aca="false">Seg!$I$46</f>
        <v>229.969728494648</v>
      </c>
      <c r="J87" s="38" t="n">
        <f aca="false">Seg!$J$46</f>
        <v>248.747636972598</v>
      </c>
      <c r="K87" s="38" t="n">
        <f aca="false">Seg!$K$46</f>
        <v>266.15997156068</v>
      </c>
      <c r="L87" s="38" t="n">
        <f aca="false">Seg!$L$46</f>
        <v>284.791169569927</v>
      </c>
      <c r="M87" s="38" t="n">
        <f aca="false">Seg!$M$46</f>
        <v>304.726551439822</v>
      </c>
      <c r="N87" s="38" t="n">
        <f aca="false">Seg!$N$46</f>
        <v>76.86</v>
      </c>
      <c r="O87" s="38" t="n">
        <f aca="false">Seg!$O$46</f>
        <v>95.302</v>
      </c>
    </row>
    <row r="88" customFormat="false" ht="15" hidden="false" customHeight="false" outlineLevel="0" collapsed="false">
      <c r="A88" s="0" t="s">
        <v>519</v>
      </c>
      <c r="B88" s="0" t="s">
        <v>86</v>
      </c>
      <c r="C88" s="38" t="n">
        <f aca="false">Seg!$C$48</f>
        <v>56.214</v>
      </c>
      <c r="D88" s="38" t="n">
        <f aca="false">Seg!$D$48</f>
        <v>68.635</v>
      </c>
      <c r="E88" s="38" t="n">
        <f aca="false">Seg!$E$48</f>
        <v>37.052</v>
      </c>
      <c r="F88" s="38" t="n">
        <f aca="false">Seg!$F$48</f>
        <v>46.1572219944148</v>
      </c>
      <c r="G88" s="38" t="n">
        <f aca="false">Seg!$G$48</f>
        <v>83.2092219944148</v>
      </c>
      <c r="H88" s="38" t="n">
        <f aca="false">Seg!$H$48</f>
        <v>99.8969223878976</v>
      </c>
      <c r="I88" s="38" t="n">
        <f aca="false">Seg!$I$48</f>
        <v>116.583111095496</v>
      </c>
      <c r="J88" s="38" t="n">
        <f aca="false">Seg!$J$48</f>
        <v>132.148941941952</v>
      </c>
      <c r="K88" s="38" t="n">
        <f aca="false">Seg!$K$48</f>
        <v>145.363836136147</v>
      </c>
      <c r="L88" s="38" t="n">
        <f aca="false">Seg!$L$48</f>
        <v>159.900219749762</v>
      </c>
      <c r="M88" s="38" t="n">
        <f aca="false">Seg!$M$48</f>
        <v>175.890241724738</v>
      </c>
      <c r="N88" s="38" t="n">
        <f aca="false">Seg!$N$48</f>
        <v>29.615</v>
      </c>
      <c r="O88" s="38" t="n">
        <f aca="false">Seg!$O$48</f>
        <v>39.02</v>
      </c>
    </row>
    <row r="89" customFormat="false" ht="15" hidden="false" customHeight="false" outlineLevel="0" collapsed="false">
      <c r="A89" s="0" t="s">
        <v>520</v>
      </c>
      <c r="B89" s="0" t="s">
        <v>86</v>
      </c>
      <c r="C89" s="38" t="n">
        <f aca="false">Seg!$C$50</f>
        <v>44.374</v>
      </c>
      <c r="D89" s="38" t="n">
        <f aca="false">Seg!$D$50</f>
        <v>49.619</v>
      </c>
      <c r="E89" s="38" t="n">
        <f aca="false">Seg!$E$50</f>
        <v>27.157</v>
      </c>
      <c r="F89" s="38" t="n">
        <f aca="false">Seg!$F$50</f>
        <v>27.7764165988154</v>
      </c>
      <c r="G89" s="38" t="n">
        <f aca="false">Seg!$G$50</f>
        <v>54.9334165988154</v>
      </c>
      <c r="H89" s="38" t="n">
        <f aca="false">Seg!$H$50</f>
        <v>61.1564112561829</v>
      </c>
      <c r="I89" s="38" t="n">
        <f aca="false">Seg!$I$50</f>
        <v>67.2020282103945</v>
      </c>
      <c r="J89" s="38" t="n">
        <f aca="false">Seg!$J$50</f>
        <v>72.8757274028885</v>
      </c>
      <c r="K89" s="38" t="n">
        <f aca="false">Seg!$K$50</f>
        <v>77.9770283210907</v>
      </c>
      <c r="L89" s="38" t="n">
        <f aca="false">Seg!$L$50</f>
        <v>83.4354203035671</v>
      </c>
      <c r="M89" s="38" t="n">
        <f aca="false">Seg!$M$50</f>
        <v>89.2758997248168</v>
      </c>
      <c r="N89" s="38" t="n">
        <f aca="false">Seg!$N$50</f>
        <v>23.923</v>
      </c>
      <c r="O89" s="38" t="n">
        <f aca="false">Seg!$O$50</f>
        <v>25.696</v>
      </c>
    </row>
    <row r="90" customFormat="false" ht="15" hidden="false" customHeight="false" outlineLevel="0" collapsed="false">
      <c r="A90" s="0" t="s">
        <v>521</v>
      </c>
      <c r="B90" s="0" t="s">
        <v>86</v>
      </c>
      <c r="C90" s="38" t="n">
        <f aca="false">Seg!$C$52</f>
        <v>5.425</v>
      </c>
      <c r="D90" s="38" t="n">
        <f aca="false">Seg!$D$52</f>
        <v>5.935</v>
      </c>
      <c r="E90" s="38" t="n">
        <f aca="false">Seg!$E$52</f>
        <v>3.474</v>
      </c>
      <c r="F90" s="38" t="n">
        <f aca="false">Seg!$F$52</f>
        <v>3.22246550883619</v>
      </c>
      <c r="G90" s="38" t="n">
        <f aca="false">Seg!$G$52</f>
        <v>6.69646550883619</v>
      </c>
      <c r="H90" s="38" t="n">
        <f aca="false">Seg!$H$52</f>
        <v>7.16251344209196</v>
      </c>
      <c r="I90" s="38" t="n">
        <f aca="false">Seg!$I$52</f>
        <v>7.61421070299826</v>
      </c>
      <c r="J90" s="38" t="n">
        <f aca="false">Seg!$J$52</f>
        <v>8.04465753523932</v>
      </c>
      <c r="K90" s="38" t="n">
        <f aca="false">Seg!$K$52</f>
        <v>8.44689041200128</v>
      </c>
      <c r="L90" s="38" t="n">
        <f aca="false">Seg!$L$52</f>
        <v>8.86923493260135</v>
      </c>
      <c r="M90" s="38" t="n">
        <f aca="false">Seg!$M$52</f>
        <v>9.31269667923142</v>
      </c>
      <c r="N90" s="38" t="n">
        <f aca="false">Seg!$N$52</f>
        <v>2.811</v>
      </c>
      <c r="O90" s="38" t="n">
        <f aca="false">Seg!$O$52</f>
        <v>3.124</v>
      </c>
    </row>
    <row r="91" customFormat="false" ht="17.15" hidden="false" customHeight="false" outlineLevel="0" collapsed="false">
      <c r="A91" s="0" t="s">
        <v>711</v>
      </c>
      <c r="B91" s="0" t="s">
        <v>86</v>
      </c>
      <c r="C91" s="38" t="n">
        <f aca="false">Seg!$C$64</f>
        <v>107.556</v>
      </c>
      <c r="D91" s="38" t="n">
        <f aca="false">Seg!$D$64</f>
        <v>128.725</v>
      </c>
      <c r="E91" s="38" t="n">
        <f aca="false">Seg!$E$64</f>
        <v>79.819</v>
      </c>
      <c r="F91" s="38" t="n">
        <f aca="false">Seg!$F$64</f>
        <v>86.7327334389669</v>
      </c>
      <c r="G91" s="38" t="n">
        <f aca="false">Seg!$G$64</f>
        <v>166.551733438967</v>
      </c>
      <c r="H91" s="38" t="n">
        <f aca="false">Seg!$H$64</f>
        <v>221.182967828978</v>
      </c>
      <c r="I91" s="38" t="n">
        <f aca="false">Seg!$I$64</f>
        <v>280.27345865789</v>
      </c>
      <c r="J91" s="38" t="n">
        <f aca="false">Seg!$J$64</f>
        <v>338.800945197185</v>
      </c>
      <c r="K91" s="38" t="n">
        <f aca="false">Seg!$K$64</f>
        <v>389.88570147276</v>
      </c>
      <c r="L91" s="38" t="n">
        <f aca="false">Seg!$L$64</f>
        <v>430.080689379143</v>
      </c>
      <c r="M91" s="38" t="n">
        <f aca="false">Seg!$M$64</f>
        <v>459.456235951751</v>
      </c>
      <c r="N91" s="38" t="n">
        <f aca="false">Seg!$N$64</f>
        <v>60.14</v>
      </c>
      <c r="O91" s="38" t="n">
        <f aca="false">Seg!$O$64</f>
        <v>68.585</v>
      </c>
    </row>
    <row r="92" customFormat="false" ht="15" hidden="false" customHeight="false" outlineLevel="0" collapsed="false">
      <c r="A92" s="1" t="s">
        <v>509</v>
      </c>
      <c r="B92" s="8" t="s">
        <v>86</v>
      </c>
      <c r="C92" s="38" t="n">
        <f aca="false">Seg!$C$57</f>
        <v>387.497</v>
      </c>
      <c r="D92" s="38" t="n">
        <f aca="false">Seg!$D$57</f>
        <v>426.305</v>
      </c>
      <c r="E92" s="38" t="n">
        <f aca="false">Seg!$E$57</f>
        <v>220.32</v>
      </c>
      <c r="F92" s="38" t="n">
        <f aca="false">Seg!$F$57</f>
        <v>250.639773480586</v>
      </c>
      <c r="G92" s="38" t="n">
        <f aca="false">Seg!$G$57</f>
        <v>470.959773480586</v>
      </c>
      <c r="H92" s="38" t="n">
        <f aca="false">Seg!$H$57</f>
        <v>521.386990416437</v>
      </c>
      <c r="I92" s="38" t="n">
        <f aca="false">Seg!$I$57</f>
        <v>570.143862887555</v>
      </c>
      <c r="J92" s="38" t="n">
        <f aca="false">Seg!$J$57</f>
        <v>615.391435791933</v>
      </c>
      <c r="K92" s="38" t="n">
        <f aca="false">Seg!$K$57</f>
        <v>655.208227561543</v>
      </c>
      <c r="L92" s="38" t="n">
        <f aca="false">Seg!$L$57</f>
        <v>697.807739249767</v>
      </c>
      <c r="M92" s="38" t="n">
        <f aca="false">Seg!$M$57</f>
        <v>743.399328463592</v>
      </c>
      <c r="N92" s="38" t="n">
        <f aca="false">Seg!$N$57</f>
        <v>192.955</v>
      </c>
      <c r="O92" s="38" t="n">
        <f aca="false">Seg!$O$57</f>
        <v>233.35</v>
      </c>
    </row>
    <row r="93" customFormat="false" ht="15" hidden="false" customHeight="false" outlineLevel="0" collapsed="false">
      <c r="A93" s="1" t="s">
        <v>512</v>
      </c>
      <c r="B93" s="8" t="s">
        <v>86</v>
      </c>
      <c r="C93" s="38" t="n">
        <f aca="false">Seg!$C$58</f>
        <v>142.906</v>
      </c>
      <c r="D93" s="38" t="n">
        <f aca="false">Seg!$D$58</f>
        <v>161.894</v>
      </c>
      <c r="E93" s="38" t="n">
        <f aca="false">Seg!$E$58</f>
        <v>81.986</v>
      </c>
      <c r="F93" s="38" t="n">
        <f aca="false">Seg!$F$58</f>
        <v>98.408468164951</v>
      </c>
      <c r="G93" s="38" t="n">
        <f aca="false">Seg!$G$58</f>
        <v>180.394468164951</v>
      </c>
      <c r="H93" s="38" t="n">
        <f aca="false">Seg!$H$58</f>
        <v>199.709899104949</v>
      </c>
      <c r="I93" s="38" t="n">
        <f aca="false">Seg!$I$58</f>
        <v>218.385528264976</v>
      </c>
      <c r="J93" s="38" t="n">
        <f aca="false">Seg!$J$58</f>
        <v>235.71696994951</v>
      </c>
      <c r="K93" s="38" t="n">
        <f aca="false">Seg!$K$58</f>
        <v>250.968227869545</v>
      </c>
      <c r="L93" s="38" t="n">
        <f aca="false">Seg!$L$58</f>
        <v>267.285367225822</v>
      </c>
      <c r="M93" s="38" t="n">
        <f aca="false">Seg!$M$58</f>
        <v>284.748579483295</v>
      </c>
      <c r="N93" s="38" t="n">
        <f aca="false">Seg!$N$58</f>
        <v>70.274</v>
      </c>
      <c r="O93" s="38" t="n">
        <f aca="false">Seg!$O$58</f>
        <v>91.62</v>
      </c>
    </row>
    <row r="94" customFormat="false" ht="15" hidden="false" customHeight="false" outlineLevel="0" collapsed="false">
      <c r="A94" s="1" t="s">
        <v>513</v>
      </c>
      <c r="B94" s="8" t="s">
        <v>86</v>
      </c>
      <c r="C94" s="38" t="n">
        <f aca="false">Seg!$C$64</f>
        <v>107.556</v>
      </c>
      <c r="D94" s="38" t="n">
        <f aca="false">Seg!$D$64</f>
        <v>128.725</v>
      </c>
      <c r="E94" s="38" t="n">
        <f aca="false">Seg!$E$64</f>
        <v>79.819</v>
      </c>
      <c r="F94" s="38" t="n">
        <f aca="false">Seg!$F$64</f>
        <v>86.7327334389669</v>
      </c>
      <c r="G94" s="38" t="n">
        <f aca="false">Seg!$G$64</f>
        <v>166.551733438967</v>
      </c>
      <c r="H94" s="38" t="n">
        <f aca="false">Seg!$H$64</f>
        <v>221.182967828978</v>
      </c>
      <c r="I94" s="38" t="n">
        <f aca="false">Seg!$I$64</f>
        <v>280.27345865789</v>
      </c>
      <c r="J94" s="38" t="n">
        <f aca="false">Seg!$J$64</f>
        <v>338.800945197185</v>
      </c>
      <c r="K94" s="38" t="n">
        <f aca="false">Seg!$K$64</f>
        <v>389.88570147276</v>
      </c>
      <c r="L94" s="38" t="n">
        <f aca="false">Seg!$L$64</f>
        <v>430.080689379143</v>
      </c>
      <c r="M94" s="38" t="n">
        <f aca="false">Seg!$M$64</f>
        <v>459.456235951751</v>
      </c>
      <c r="N94" s="38" t="n">
        <f aca="false">Seg!$N$64</f>
        <v>60.14</v>
      </c>
      <c r="O94" s="38" t="n">
        <f aca="false">Seg!$O$64</f>
        <v>68.585</v>
      </c>
    </row>
    <row r="95" customFormat="false" ht="17.15" hidden="false" customHeight="false" outlineLevel="0" collapsed="false">
      <c r="A95" s="0" t="s">
        <v>685</v>
      </c>
      <c r="B95" s="0" t="s">
        <v>86</v>
      </c>
      <c r="C95" s="38" t="n">
        <f aca="false">Seg!$C$62</f>
        <v>2.32100535697364</v>
      </c>
      <c r="D95" s="38" t="n">
        <f aca="false">Seg!$D$62</f>
        <v>8.70377008865116</v>
      </c>
      <c r="E95" s="38" t="n">
        <f aca="false">Seg!$E$62</f>
        <v>8.51035297557002</v>
      </c>
      <c r="F95" s="38" t="n">
        <f aca="false">Seg!$F$62</f>
        <v>14.9634336447205</v>
      </c>
      <c r="G95" s="38" t="n">
        <f aca="false">Seg!$G$62</f>
        <v>23.4737866202905</v>
      </c>
      <c r="H95" s="38" t="n">
        <f aca="false">Seg!$H$62</f>
        <v>60.1658907497746</v>
      </c>
      <c r="I95" s="38" t="n">
        <f aca="false">Seg!$I$62</f>
        <v>101.503699136432</v>
      </c>
      <c r="J95" s="38" t="n">
        <f aca="false">Seg!$J$62</f>
        <v>143.025407151278</v>
      </c>
      <c r="K95" s="38" t="n">
        <f aca="false">Seg!$K$62</f>
        <v>178.44812038318</v>
      </c>
      <c r="L95" s="38" t="n">
        <f aca="false">Seg!$L$62</f>
        <v>201.728101802396</v>
      </c>
      <c r="M95" s="38" t="n">
        <f aca="false">Seg!$M$62</f>
        <v>212.835441368865</v>
      </c>
      <c r="N95" s="38" t="n">
        <f aca="false">Seg!$N$62</f>
        <v>3.04631953102791</v>
      </c>
      <c r="O95" s="38" t="n">
        <f aca="false">Seg!$O$62</f>
        <v>5.65745055762326</v>
      </c>
    </row>
    <row r="96" customFormat="false" ht="17.15" hidden="false" customHeight="false" outlineLevel="0" collapsed="false">
      <c r="A96" s="0" t="s">
        <v>687</v>
      </c>
      <c r="B96" s="0" t="s">
        <v>86</v>
      </c>
      <c r="C96" s="38" t="n">
        <f aca="false">Seg!$C$63</f>
        <v>105.234994643026</v>
      </c>
      <c r="D96" s="38" t="n">
        <f aca="false">Seg!$D$63</f>
        <v>120.021229911349</v>
      </c>
      <c r="E96" s="38" t="n">
        <f aca="false">Seg!$E$63</f>
        <v>71.30864702443</v>
      </c>
      <c r="F96" s="38" t="n">
        <f aca="false">Seg!$F$63</f>
        <v>71.7692997942464</v>
      </c>
      <c r="G96" s="38" t="n">
        <f aca="false">Seg!$G$63</f>
        <v>143.077946818676</v>
      </c>
      <c r="H96" s="38" t="n">
        <f aca="false">Seg!$H$63</f>
        <v>161.017077079203</v>
      </c>
      <c r="I96" s="38" t="n">
        <f aca="false">Seg!$I$63</f>
        <v>178.769759521457</v>
      </c>
      <c r="J96" s="38" t="n">
        <f aca="false">Seg!$J$63</f>
        <v>195.775538045907</v>
      </c>
      <c r="K96" s="38" t="n">
        <f aca="false">Seg!$K$63</f>
        <v>211.43758108958</v>
      </c>
      <c r="L96" s="38" t="n">
        <f aca="false">Seg!$L$63</f>
        <v>228.352587576746</v>
      </c>
      <c r="M96" s="38" t="n">
        <f aca="false">Seg!$M$63</f>
        <v>246.620794582886</v>
      </c>
      <c r="N96" s="38" t="n">
        <f aca="false">Seg!$N$63</f>
        <v>57.0936804689721</v>
      </c>
      <c r="O96" s="38" t="n">
        <f aca="false">Seg!$O$63</f>
        <v>62.9275494423768</v>
      </c>
    </row>
    <row r="97" customFormat="false" ht="15" hidden="false" customHeight="false" outlineLevel="0" collapsed="false">
      <c r="A97" s="3" t="s">
        <v>514</v>
      </c>
      <c r="B97" s="8" t="s">
        <v>86</v>
      </c>
      <c r="C97" s="38" t="n">
        <f aca="false">Seg!$C$65</f>
        <v>637.959</v>
      </c>
      <c r="D97" s="38" t="n">
        <f aca="false">Seg!$D$65</f>
        <v>716.924</v>
      </c>
      <c r="E97" s="38" t="n">
        <f aca="false">Seg!$E$65</f>
        <v>382.125</v>
      </c>
      <c r="F97" s="38" t="n">
        <f aca="false">Seg!$F$65</f>
        <v>435.780975084504</v>
      </c>
      <c r="G97" s="38" t="n">
        <f aca="false">Seg!$G$65</f>
        <v>817.905975084504</v>
      </c>
      <c r="H97" s="38" t="n">
        <f aca="false">Seg!$H$65</f>
        <v>942.279857350364</v>
      </c>
      <c r="I97" s="38" t="n">
        <f aca="false">Seg!$I$65</f>
        <v>1068.80284981042</v>
      </c>
      <c r="J97" s="38" t="n">
        <f aca="false">Seg!$J$65</f>
        <v>1189.90935093863</v>
      </c>
      <c r="K97" s="38" t="n">
        <f aca="false">Seg!$K$65</f>
        <v>1296.06215690385</v>
      </c>
      <c r="L97" s="38" t="n">
        <f aca="false">Seg!$L$65</f>
        <v>1395.17379585473</v>
      </c>
      <c r="M97" s="38" t="n">
        <f aca="false">Seg!$M$65</f>
        <v>1487.60414389864</v>
      </c>
      <c r="N97" s="38" t="n">
        <f aca="false">Seg!$N$65</f>
        <v>323.369</v>
      </c>
      <c r="O97" s="38" t="n">
        <f aca="false">Seg!$O$65</f>
        <v>393.555</v>
      </c>
    </row>
    <row r="98" customFormat="false" ht="17.15" hidden="false" customHeight="false" outlineLevel="0" collapsed="false">
      <c r="A98" s="24" t="s">
        <v>697</v>
      </c>
      <c r="B98" s="25" t="s">
        <v>86</v>
      </c>
      <c r="C98" s="41" t="n">
        <f aca="false">PL!$C$85+PL!$C$86+PL!$C$87+PL!$C$88+PL!$C$89+PL!$C$90-(PL!$C$92+PL!$C$93)</f>
        <v>0</v>
      </c>
      <c r="D98" s="41" t="n">
        <f aca="false">PL!$D$85+PL!$D$86+PL!$D$87+PL!$D$88+PL!$D$89+PL!$D$90-(PL!$D$92+PL!$D$93)</f>
        <v>0</v>
      </c>
      <c r="E98" s="41" t="n">
        <f aca="false">PL!$E$85+PL!$E$86+PL!$E$87+PL!$E$88+PL!$E$89+PL!$E$90-(PL!$E$92+PL!$E$93)</f>
        <v>0</v>
      </c>
      <c r="F98" s="41" t="n">
        <f aca="false">PL!$F$85+PL!$F$86+PL!$F$87+PL!$F$88+PL!$F$89+PL!$F$90-(PL!$F$92+PL!$F$93)</f>
        <v>0</v>
      </c>
      <c r="G98" s="41" t="n">
        <f aca="false">PL!$G$85+PL!$G$86+PL!$G$87+PL!$G$88+PL!$G$89+PL!$G$90-(PL!$G$92+PL!$G$93)</f>
        <v>0</v>
      </c>
      <c r="H98" s="41" t="n">
        <f aca="false">PL!$H$85+PL!$H$86+PL!$H$87+PL!$H$88+PL!$H$89+PL!$H$90-(PL!$H$92+PL!$H$93)</f>
        <v>0</v>
      </c>
      <c r="I98" s="41" t="n">
        <f aca="false">PL!$I$85+PL!$I$86+PL!$I$87+PL!$I$88+PL!$I$89+PL!$I$90-(PL!$I$92+PL!$I$93)</f>
        <v>0</v>
      </c>
      <c r="J98" s="41" t="n">
        <f aca="false">PL!$J$85+PL!$J$86+PL!$J$87+PL!$J$88+PL!$J$89+PL!$J$90-(PL!$J$92+PL!$J$93)</f>
        <v>0</v>
      </c>
      <c r="K98" s="41" t="n">
        <f aca="false">PL!$K$85+PL!$K$86+PL!$K$87+PL!$K$88+PL!$K$89+PL!$K$90-(PL!$K$92+PL!$K$93)</f>
        <v>0</v>
      </c>
      <c r="L98" s="41" t="n">
        <f aca="false">PL!$L$85+PL!$L$86+PL!$L$87+PL!$L$88+PL!$L$89+PL!$L$90-(PL!$L$92+PL!$L$93)</f>
        <v>0</v>
      </c>
      <c r="M98" s="41" t="n">
        <f aca="false">PL!$M$85+PL!$M$86+PL!$M$87+PL!$M$88+PL!$M$89+PL!$M$90-(PL!$M$92+PL!$M$93)</f>
        <v>0</v>
      </c>
      <c r="N98" s="41" t="n">
        <f aca="false">PL!$N$85+PL!$N$86+PL!$N$87+PL!$N$88+PL!$N$89+PL!$N$90-(PL!$N$92+PL!$N$93)</f>
        <v>0</v>
      </c>
      <c r="O98" s="41" t="n">
        <f aca="false">PL!$O$85+PL!$O$86+PL!$O$87+PL!$O$88+PL!$O$89+PL!$O$90-(PL!$O$92+PL!$O$93)</f>
        <v>0</v>
      </c>
    </row>
    <row r="99" customFormat="false" ht="17.15" hidden="false" customHeight="false" outlineLevel="0" collapsed="false">
      <c r="A99" s="24" t="s">
        <v>698</v>
      </c>
      <c r="B99" s="25" t="s">
        <v>86</v>
      </c>
      <c r="C99" s="41" t="n">
        <f aca="false">PL!$C$95+PL!$C$96-PL!$C$94</f>
        <v>0</v>
      </c>
      <c r="D99" s="41" t="n">
        <f aca="false">PL!$D$95+PL!$D$96-PL!$D$94</f>
        <v>0</v>
      </c>
      <c r="E99" s="41" t="n">
        <f aca="false">PL!$E$95+PL!$E$96-PL!$E$94</f>
        <v>0</v>
      </c>
      <c r="F99" s="41" t="n">
        <f aca="false">PL!$F$95+PL!$F$96-PL!$F$94</f>
        <v>0</v>
      </c>
      <c r="G99" s="41" t="n">
        <f aca="false">PL!$G$95+PL!$G$96-PL!$G$94</f>
        <v>0</v>
      </c>
      <c r="H99" s="41" t="n">
        <f aca="false">PL!$H$95+PL!$H$96-PL!$H$94</f>
        <v>0</v>
      </c>
      <c r="I99" s="41" t="n">
        <f aca="false">PL!$I$95+PL!$I$96-PL!$I$94</f>
        <v>0</v>
      </c>
      <c r="J99" s="41" t="n">
        <f aca="false">PL!$J$95+PL!$J$96-PL!$J$94</f>
        <v>0</v>
      </c>
      <c r="K99" s="41" t="n">
        <f aca="false">PL!$K$95+PL!$K$96-PL!$K$94</f>
        <v>0</v>
      </c>
      <c r="L99" s="41" t="n">
        <f aca="false">PL!$L$95+PL!$L$96-PL!$L$94</f>
        <v>0</v>
      </c>
      <c r="M99" s="41" t="n">
        <f aca="false">PL!$M$95+PL!$M$96-PL!$M$94</f>
        <v>0</v>
      </c>
      <c r="N99" s="41" t="n">
        <f aca="false">PL!$N$95+PL!$N$96-PL!$N$94</f>
        <v>0</v>
      </c>
      <c r="O99" s="41" t="n">
        <f aca="false">PL!$O$95+PL!$O$96-PL!$O$94</f>
        <v>0</v>
      </c>
    </row>
    <row r="100" customFormat="false" ht="17.15" hidden="false" customHeight="false" outlineLevel="0" collapsed="false">
      <c r="A100" s="24" t="s">
        <v>757</v>
      </c>
      <c r="B100" s="25" t="s">
        <v>86</v>
      </c>
      <c r="C100" s="41" t="n">
        <f aca="false">PL!$C$85+PL!$C$86+PL!$C$87+PL!$C$88+PL!$C$89+PL!$C$90+PL!$C$91-PL!$C$97</f>
        <v>0</v>
      </c>
      <c r="D100" s="41" t="n">
        <f aca="false">PL!$D$85+PL!$D$86+PL!$D$87+PL!$D$88+PL!$D$89+PL!$D$90+PL!$D$91-PL!$D$97</f>
        <v>0</v>
      </c>
      <c r="E100" s="41" t="n">
        <f aca="false">PL!$E$85+PL!$E$86+PL!$E$87+PL!$E$88+PL!$E$89+PL!$E$90+PL!$E$91-PL!$E$97</f>
        <v>0</v>
      </c>
      <c r="F100" s="41" t="n">
        <f aca="false">PL!$F$85+PL!$F$86+PL!$F$87+PL!$F$88+PL!$F$89+PL!$F$90+PL!$F$91-PL!$F$97</f>
        <v>0</v>
      </c>
      <c r="G100" s="41" t="n">
        <f aca="false">PL!$G$85+PL!$G$86+PL!$G$87+PL!$G$88+PL!$G$89+PL!$G$90+PL!$G$91-PL!$G$97</f>
        <v>0</v>
      </c>
      <c r="H100" s="41" t="n">
        <f aca="false">PL!$H$85+PL!$H$86+PL!$H$87+PL!$H$88+PL!$H$89+PL!$H$90+PL!$H$91-PL!$H$97</f>
        <v>0</v>
      </c>
      <c r="I100" s="41" t="n">
        <f aca="false">PL!$I$85+PL!$I$86+PL!$I$87+PL!$I$88+PL!$I$89+PL!$I$90+PL!$I$91-PL!$I$97</f>
        <v>0</v>
      </c>
      <c r="J100" s="41" t="n">
        <f aca="false">PL!$J$85+PL!$J$86+PL!$J$87+PL!$J$88+PL!$J$89+PL!$J$90+PL!$J$91-PL!$J$97</f>
        <v>0</v>
      </c>
      <c r="K100" s="41" t="n">
        <f aca="false">PL!$K$85+PL!$K$86+PL!$K$87+PL!$K$88+PL!$K$89+PL!$K$90+PL!$K$91-PL!$K$97</f>
        <v>0</v>
      </c>
      <c r="L100" s="41" t="n">
        <f aca="false">PL!$L$85+PL!$L$86+PL!$L$87+PL!$L$88+PL!$L$89+PL!$L$90+PL!$L$91-PL!$L$97</f>
        <v>0</v>
      </c>
      <c r="M100" s="41" t="n">
        <f aca="false">PL!$M$85+PL!$M$86+PL!$M$87+PL!$M$88+PL!$M$89+PL!$M$90+PL!$M$91-PL!$M$97</f>
        <v>0</v>
      </c>
      <c r="N100" s="41" t="n">
        <f aca="false">PL!$N$85+PL!$N$86+PL!$N$87+PL!$N$88+PL!$N$89+PL!$N$90+PL!$N$91-PL!$N$97</f>
        <v>0</v>
      </c>
      <c r="O100" s="41" t="n">
        <f aca="false">PL!$O$85+PL!$O$86+PL!$O$87+PL!$O$88+PL!$O$89+PL!$O$90+PL!$O$91-PL!$O$97</f>
        <v>0</v>
      </c>
    </row>
    <row r="101" customFormat="false" ht="17.15" hidden="false" customHeight="false" outlineLevel="0" collapsed="false">
      <c r="A101" s="24" t="s">
        <v>699</v>
      </c>
      <c r="B101" s="25" t="s">
        <v>86</v>
      </c>
      <c r="C101" s="41" t="n">
        <f aca="false">PL!$C$92+PL!$C$93+PL!$C$94-PL!$C$97</f>
        <v>0</v>
      </c>
      <c r="D101" s="41" t="n">
        <f aca="false">PL!$D$92+PL!$D$93+PL!$D$94-PL!$D$97</f>
        <v>0</v>
      </c>
      <c r="E101" s="41" t="n">
        <f aca="false">PL!$E$92+PL!$E$93+PL!$E$94-PL!$E$97</f>
        <v>0</v>
      </c>
      <c r="F101" s="41" t="n">
        <f aca="false">PL!$F$92+PL!$F$93+PL!$F$94-PL!$F$97</f>
        <v>0</v>
      </c>
      <c r="G101" s="41" t="n">
        <f aca="false">PL!$G$92+PL!$G$93+PL!$G$94-PL!$G$97</f>
        <v>0</v>
      </c>
      <c r="H101" s="41" t="n">
        <f aca="false">PL!$H$92+PL!$H$93+PL!$H$94-PL!$H$97</f>
        <v>0</v>
      </c>
      <c r="I101" s="41" t="n">
        <f aca="false">PL!$I$92+PL!$I$93+PL!$I$94-PL!$I$97</f>
        <v>0</v>
      </c>
      <c r="J101" s="41" t="n">
        <f aca="false">PL!$J$92+PL!$J$93+PL!$J$94-PL!$J$97</f>
        <v>0</v>
      </c>
      <c r="K101" s="41" t="n">
        <f aca="false">PL!$K$92+PL!$K$93+PL!$K$94-PL!$K$97</f>
        <v>0</v>
      </c>
      <c r="L101" s="41" t="n">
        <f aca="false">PL!$L$92+PL!$L$93+PL!$L$94-PL!$L$97</f>
        <v>0</v>
      </c>
      <c r="M101" s="41" t="n">
        <f aca="false">PL!$M$92+PL!$M$93+PL!$M$94-PL!$M$97</f>
        <v>0</v>
      </c>
      <c r="N101" s="41" t="n">
        <f aca="false">PL!$N$92+PL!$N$93+PL!$N$94-PL!$N$97</f>
        <v>0</v>
      </c>
      <c r="O101" s="41" t="n">
        <f aca="false">PL!$O$92+PL!$O$93+PL!$O$94-PL!$O$97</f>
        <v>0</v>
      </c>
    </row>
    <row r="102" customFormat="false" ht="17.15" hidden="false" customHeight="false" outlineLevel="0" collapsed="false">
      <c r="A102" s="1" t="s">
        <v>713</v>
      </c>
    </row>
    <row r="103" customFormat="false" ht="17.15" hidden="false" customHeight="false" outlineLevel="0" collapsed="false">
      <c r="A103" s="0" t="s">
        <v>714</v>
      </c>
      <c r="B103" s="0" t="s">
        <v>86</v>
      </c>
      <c r="C103" s="38" t="n">
        <f aca="false">Seg!$C$59*m_ad</f>
        <v>20.5341564414228</v>
      </c>
      <c r="D103" s="38" t="n">
        <f aca="false">Seg!$D$59*m_ad</f>
        <v>24.8720617299587</v>
      </c>
      <c r="E103" s="38" t="n">
        <f aca="false">Seg!$E$59*m_ad</f>
        <v>13.5017112462207</v>
      </c>
      <c r="F103" s="38" t="n">
        <f aca="false">Seg!$F$59*m_ad</f>
        <v>16.5719724165257</v>
      </c>
      <c r="G103" s="38" t="n">
        <f aca="false">Seg!$G$59*m_ad</f>
        <v>30.0820919220415</v>
      </c>
      <c r="H103" s="38" t="n">
        <f aca="false">Seg!$H$59*m_ad</f>
        <v>36.1150883276314</v>
      </c>
      <c r="I103" s="38" t="n">
        <f aca="false">Seg!$I$59*m_ad</f>
        <v>42.1475382231996</v>
      </c>
      <c r="J103" s="38" t="n">
        <f aca="false">Seg!$J$59*m_ad</f>
        <v>47.7749523864693</v>
      </c>
      <c r="K103" s="38" t="n">
        <f aca="false">Seg!$K$59*m_ad</f>
        <v>52.5524476251162</v>
      </c>
      <c r="L103" s="38" t="n">
        <f aca="false">Seg!$L$59*m_ad</f>
        <v>57.8076923876279</v>
      </c>
      <c r="M103" s="38" t="n">
        <f aca="false">Seg!$M$59*m_ad</f>
        <v>63.5884616263907</v>
      </c>
      <c r="N103" s="38" t="n">
        <f aca="false">Seg!$N$59*m_ad</f>
        <v>10.8543555706248</v>
      </c>
      <c r="O103" s="38" t="n">
        <f aca="false">Seg!$O$59*m_ad</f>
        <v>14.0094731821399</v>
      </c>
    </row>
    <row r="104" customFormat="false" ht="17.15" hidden="false" customHeight="false" outlineLevel="0" collapsed="false">
      <c r="A104" s="0" t="s">
        <v>715</v>
      </c>
      <c r="B104" s="0" t="s">
        <v>86</v>
      </c>
      <c r="C104" s="38" t="n">
        <f aca="false">Seg!$C$57-Seg!$C$59</f>
        <v>346.428687117154</v>
      </c>
      <c r="D104" s="38" t="n">
        <f aca="false">Seg!$D$57-Seg!$D$59</f>
        <v>376.560876540083</v>
      </c>
      <c r="E104" s="38" t="n">
        <f aca="false">Seg!$E$57-Seg!$E$59</f>
        <v>193.316577507559</v>
      </c>
      <c r="F104" s="38" t="n">
        <f aca="false">Seg!$F$57-Seg!$F$59</f>
        <v>217.495828647535</v>
      </c>
      <c r="G104" s="38" t="n">
        <f aca="false">Seg!$G$57-Seg!$G$59</f>
        <v>410.795589636503</v>
      </c>
      <c r="H104" s="38" t="n">
        <f aca="false">Seg!$H$57-Seg!$H$59</f>
        <v>449.156813761174</v>
      </c>
      <c r="I104" s="38" t="n">
        <f aca="false">Seg!$I$57-Seg!$I$59</f>
        <v>485.848786441156</v>
      </c>
      <c r="J104" s="38" t="n">
        <f aca="false">Seg!$J$57-Seg!$J$59</f>
        <v>519.841531018994</v>
      </c>
      <c r="K104" s="38" t="n">
        <f aca="false">Seg!$K$57-Seg!$K$59</f>
        <v>550.103332311311</v>
      </c>
      <c r="L104" s="38" t="n">
        <f aca="false">Seg!$L$57-Seg!$L$59</f>
        <v>582.192354474511</v>
      </c>
      <c r="M104" s="38" t="n">
        <f aca="false">Seg!$M$57-Seg!$M$59</f>
        <v>616.22240521081</v>
      </c>
      <c r="N104" s="38" t="n">
        <f aca="false">Seg!$N$57-Seg!$N$59</f>
        <v>171.24628885875</v>
      </c>
      <c r="O104" s="38" t="n">
        <f aca="false">Seg!$O$57-Seg!$O$59</f>
        <v>205.33105363572</v>
      </c>
    </row>
    <row r="105" customFormat="false" ht="17.15" hidden="false" customHeight="false" outlineLevel="0" collapsed="false">
      <c r="A105" s="0" t="s">
        <v>716</v>
      </c>
      <c r="B105" s="0" t="s">
        <v>86</v>
      </c>
      <c r="C105" s="38" t="n">
        <f aca="false">Thesis!$C$107*Seg!$C$56</f>
        <v>0.123617442257179</v>
      </c>
      <c r="D105" s="38" t="n">
        <f aca="false">Thesis!$D$107*Seg!$D$56</f>
        <v>0.874366899302609</v>
      </c>
      <c r="E105" s="38" t="n">
        <f aca="false">Thesis!$E$107*Seg!$E$56</f>
        <v>1.29318830502574</v>
      </c>
      <c r="F105" s="38" t="n">
        <f aca="false">Thesis!$F$107*Seg!$F$56</f>
        <v>1.51802024162534</v>
      </c>
      <c r="G105" s="38" t="n">
        <f aca="false">Thesis!$G$107*Seg!$G$56</f>
        <v>2.81153363597665</v>
      </c>
      <c r="H105" s="38" t="n">
        <f aca="false">Thesis!$H$107*Seg!$H$56</f>
        <v>7.39027704264226</v>
      </c>
      <c r="I105" s="38" t="n">
        <f aca="false">Thesis!$I$107*Seg!$I$56</f>
        <v>12.899807643047</v>
      </c>
      <c r="J105" s="38" t="n">
        <f aca="false">Thesis!$J$107*Seg!$J$56</f>
        <v>18.5585322471382</v>
      </c>
      <c r="K105" s="38" t="n">
        <f aca="false">Thesis!$K$107*Seg!$K$56</f>
        <v>24.0966749520672</v>
      </c>
      <c r="L105" s="38" t="n">
        <f aca="false">Thesis!$L$107*Seg!$L$56</f>
        <v>27.686623551477</v>
      </c>
      <c r="M105" s="38" t="n">
        <f aca="false">Thesis!$M$107*Seg!$M$56</f>
        <v>29.7238645537022</v>
      </c>
      <c r="N105" s="38" t="n">
        <f aca="false">Thesis!$N$107*Seg!$N$56</f>
        <v>0.389180508437431</v>
      </c>
      <c r="O105" s="38" t="n">
        <f aca="false">Thesis!$O$107*Seg!$O$56</f>
        <v>0.485052120082802</v>
      </c>
    </row>
    <row r="106" customFormat="false" ht="17.15" hidden="false" customHeight="false" outlineLevel="0" collapsed="false">
      <c r="A106" s="0" t="s">
        <v>717</v>
      </c>
      <c r="B106" s="0" t="s">
        <v>52</v>
      </c>
      <c r="C106" s="28" t="n">
        <f aca="false">(PL!$C$107-PL!$C$103+PL!$C$105)/PL!$C$104</f>
        <v>0.0131526665379575</v>
      </c>
      <c r="D106" s="28" t="n">
        <f aca="false">(PL!$D$107-PL!$D$103+PL!$D$105)/PL!$D$104</f>
        <v>0.0149280116962589</v>
      </c>
      <c r="E106" s="28" t="n">
        <f aca="false">(PL!$E$107-PL!$E$103+PL!$E$105)/PL!$E$104</f>
        <v>0.0268030663774938</v>
      </c>
      <c r="F106" s="28" t="n">
        <f aca="false">PL!$O$106+(PL!$E$106-PL!$N$106)</f>
        <v>0.0232379346966962</v>
      </c>
      <c r="G106" s="28" t="n">
        <f aca="false">(PL!$G$107-PL!$G$103+PL!$G$105)/PL!$G$104</f>
        <v>0.0248969268652583</v>
      </c>
      <c r="H106" s="28" t="n">
        <f aca="false">PL!$G$106+step_na</f>
        <v>0.0278969268652583</v>
      </c>
      <c r="I106" s="28" t="n">
        <f aca="false">PL!$H$106+step_na</f>
        <v>0.0308969268652583</v>
      </c>
      <c r="J106" s="28" t="n">
        <f aca="false">PL!$I$106+step_na</f>
        <v>0.0338969268652583</v>
      </c>
      <c r="K106" s="28" t="n">
        <f aca="false">PL!$J$106+step_na</f>
        <v>0.0368969268652584</v>
      </c>
      <c r="L106" s="28" t="n">
        <f aca="false">PL!$K$106</f>
        <v>0.0368969268652584</v>
      </c>
      <c r="M106" s="28" t="n">
        <f aca="false">PL!$L$106</f>
        <v>0.0368969268652584</v>
      </c>
      <c r="N106" s="28" t="n">
        <f aca="false">(PL!$N$107-PL!$N$103+PL!$N$105)/PL!$N$104</f>
        <v>0.0168927744775755</v>
      </c>
      <c r="O106" s="28" t="n">
        <f aca="false">(PL!$O$107-PL!$O$103+PL!$O$105)/PL!$O$104</f>
        <v>0.0133276427967779</v>
      </c>
      <c r="P106" s="8" t="s">
        <v>718</v>
      </c>
    </row>
    <row r="107" customFormat="false" ht="17.15" hidden="false" customHeight="false" outlineLevel="0" collapsed="false">
      <c r="A107" s="1" t="s">
        <v>719</v>
      </c>
      <c r="B107" s="8" t="s">
        <v>86</v>
      </c>
      <c r="C107" s="38" t="n">
        <f aca="false">Q!$D$22</f>
        <v>24.967</v>
      </c>
      <c r="D107" s="38" t="n">
        <f aca="false">Q!$E$22</f>
        <v>29.619</v>
      </c>
      <c r="E107" s="38" t="n">
        <f aca="false">Q!$P$22</f>
        <v>17.39</v>
      </c>
      <c r="F107" s="38" t="n">
        <f aca="false">PL!$F$103+PL!$F$104*PL!$F$106-PL!$F$105</f>
        <v>20.1081060378156</v>
      </c>
      <c r="G107" s="38" t="n">
        <f aca="false">PL!$E$107+PL!$F$107</f>
        <v>37.4981060378156</v>
      </c>
      <c r="H107" s="38" t="n">
        <f aca="false">PL!$H$103+PL!$H$104*PL!$H$106-PL!$H$105</f>
        <v>41.2549060695171</v>
      </c>
      <c r="I107" s="38" t="n">
        <f aca="false">PL!$I$103+PL!$I$104*PL!$I$106-PL!$I$105</f>
        <v>44.2589650023995</v>
      </c>
      <c r="J107" s="38" t="n">
        <f aca="false">PL!$J$103+PL!$J$104*PL!$J$106-PL!$J$105</f>
        <v>46.8374504978059</v>
      </c>
      <c r="K107" s="38" t="n">
        <f aca="false">PL!$K$103+PL!$K$104*PL!$K$106-PL!$K$105</f>
        <v>48.7528950936744</v>
      </c>
      <c r="L107" s="38" t="n">
        <f aca="false">PL!$L$103+PL!$L$104*PL!$L$106-PL!$L$105</f>
        <v>51.6021775607095</v>
      </c>
      <c r="M107" s="38" t="n">
        <f aca="false">PL!$M$103+PL!$M$104*PL!$M$106-PL!$M$105</f>
        <v>56.6013100904853</v>
      </c>
      <c r="N107" s="38" t="n">
        <f aca="false">Q!$N$22</f>
        <v>13.358</v>
      </c>
      <c r="O107" s="38" t="n">
        <f aca="false">Q!$O$22</f>
        <v>16.261</v>
      </c>
    </row>
    <row r="108" customFormat="false" ht="17.15" hidden="false" customHeight="false" outlineLevel="0" collapsed="false">
      <c r="A108" s="0" t="s">
        <v>720</v>
      </c>
      <c r="B108" s="0" t="s">
        <v>86</v>
      </c>
      <c r="C108" s="38" t="n">
        <f aca="false">Seg!$C$60*m_ad</f>
        <v>7.57284355857716</v>
      </c>
      <c r="D108" s="38" t="n">
        <f aca="false">Seg!$D$60*m_ad</f>
        <v>9.44543827004127</v>
      </c>
      <c r="E108" s="38" t="n">
        <f aca="false">Seg!$E$60*m_ad</f>
        <v>5.02428875377928</v>
      </c>
      <c r="F108" s="38" t="n">
        <f aca="false">Seg!$F$60*m_ad</f>
        <v>6.50663858068173</v>
      </c>
      <c r="G108" s="38" t="n">
        <f aca="false">Seg!$G$60*m_ad</f>
        <v>11.5225190751659</v>
      </c>
      <c r="H108" s="38" t="n">
        <f aca="false">Seg!$H$60*m_ad</f>
        <v>13.8333728663174</v>
      </c>
      <c r="I108" s="38" t="n">
        <f aca="false">Seg!$I$60*m_ad</f>
        <v>16.1440173245485</v>
      </c>
      <c r="J108" s="38" t="n">
        <f aca="false">Seg!$J$60*m_ad</f>
        <v>18.2995185845066</v>
      </c>
      <c r="K108" s="38" t="n">
        <f aca="false">Seg!$K$60*m_ad</f>
        <v>20.1294704429572</v>
      </c>
      <c r="L108" s="38" t="n">
        <f aca="false">Seg!$L$60*m_ad</f>
        <v>22.142417487253</v>
      </c>
      <c r="M108" s="38" t="n">
        <f aca="false">Seg!$M$60*m_ad</f>
        <v>24.3566592359783</v>
      </c>
      <c r="N108" s="38" t="n">
        <f aca="false">Seg!$N$60*m_ad</f>
        <v>3.95314442937518</v>
      </c>
      <c r="O108" s="38" t="n">
        <f aca="false">Seg!$O$60*m_ad</f>
        <v>5.50052681786011</v>
      </c>
    </row>
    <row r="109" customFormat="false" ht="17.15" hidden="false" customHeight="false" outlineLevel="0" collapsed="false">
      <c r="A109" s="0" t="s">
        <v>721</v>
      </c>
      <c r="B109" s="0" t="s">
        <v>86</v>
      </c>
      <c r="C109" s="38" t="n">
        <f aca="false">Seg!$C$58-Seg!$C$60</f>
        <v>127.760312882846</v>
      </c>
      <c r="D109" s="38" t="n">
        <f aca="false">Seg!$D$58-Seg!$D$60</f>
        <v>143.003123459917</v>
      </c>
      <c r="E109" s="38" t="n">
        <f aca="false">Seg!$E$58-Seg!$E$60</f>
        <v>71.9374224924414</v>
      </c>
      <c r="F109" s="38" t="n">
        <f aca="false">Seg!$F$58-Seg!$F$60</f>
        <v>85.3951910035875</v>
      </c>
      <c r="G109" s="38" t="n">
        <f aca="false">Seg!$G$58-Seg!$G$60</f>
        <v>157.349430014619</v>
      </c>
      <c r="H109" s="38" t="n">
        <f aca="false">Seg!$H$58-Seg!$H$60</f>
        <v>172.043153372315</v>
      </c>
      <c r="I109" s="38" t="n">
        <f aca="false">Seg!$I$58-Seg!$I$60</f>
        <v>186.097493615879</v>
      </c>
      <c r="J109" s="38" t="n">
        <f aca="false">Seg!$J$58-Seg!$J$60</f>
        <v>199.117932780497</v>
      </c>
      <c r="K109" s="38" t="n">
        <f aca="false">Seg!$K$58-Seg!$K$60</f>
        <v>210.70928698363</v>
      </c>
      <c r="L109" s="38" t="n">
        <f aca="false">Seg!$L$58-Seg!$L$60</f>
        <v>223.000532251316</v>
      </c>
      <c r="M109" s="38" t="n">
        <f aca="false">Seg!$M$58-Seg!$M$60</f>
        <v>236.035261011339</v>
      </c>
      <c r="N109" s="38" t="n">
        <f aca="false">Seg!$N$58-Seg!$N$60</f>
        <v>62.3677111412496</v>
      </c>
      <c r="O109" s="38" t="n">
        <f aca="false">Seg!$O$58-Seg!$O$60</f>
        <v>80.6189463642798</v>
      </c>
    </row>
    <row r="110" customFormat="false" ht="17.15" hidden="false" customHeight="false" outlineLevel="0" collapsed="false">
      <c r="A110" s="0" t="s">
        <v>722</v>
      </c>
      <c r="B110" s="0" t="s">
        <v>86</v>
      </c>
      <c r="C110" s="38" t="n">
        <f aca="false">Thesis!$C$107*(1-Seg!$C$56)</f>
        <v>0.0455891896019953</v>
      </c>
      <c r="D110" s="38" t="n">
        <f aca="false">Thesis!$D$107*(1-Seg!$D$56)</f>
        <v>0.332050421167231</v>
      </c>
      <c r="E110" s="38" t="n">
        <f aca="false">Thesis!$E$107*(1-Seg!$E$56)</f>
        <v>0.481224293644882</v>
      </c>
      <c r="F110" s="38" t="n">
        <f aca="false">Thesis!$F$107*(1-Seg!$F$56)</f>
        <v>0.596018918096053</v>
      </c>
      <c r="G110" s="38" t="n">
        <f aca="false">Thesis!$G$107*(1-Seg!$G$56)</f>
        <v>1.07691812241537</v>
      </c>
      <c r="H110" s="38" t="n">
        <f aca="false">Thesis!$H$107*(1-Seg!$H$56)</f>
        <v>2.83074090775622</v>
      </c>
      <c r="I110" s="38" t="n">
        <f aca="false">Thesis!$I$107*(1-Seg!$I$56)</f>
        <v>4.94108853926048</v>
      </c>
      <c r="J110" s="38" t="n">
        <f aca="false">Thesis!$J$107*(1-Seg!$J$56)</f>
        <v>7.10858281993502</v>
      </c>
      <c r="K110" s="38" t="n">
        <f aca="false">Thesis!$K$107*(1-Seg!$K$56)</f>
        <v>9.2298899126701</v>
      </c>
      <c r="L110" s="38" t="n">
        <f aca="false">Thesis!$L$107*(1-Seg!$L$56)</f>
        <v>10.6049688574045</v>
      </c>
      <c r="M110" s="38" t="n">
        <f aca="false">Thesis!$M$107*(1-Seg!$M$56)</f>
        <v>11.3853051574758</v>
      </c>
      <c r="N110" s="38" t="n">
        <f aca="false">Thesis!$N$107*(1-Seg!$N$56)</f>
        <v>0.141739115596548</v>
      </c>
      <c r="O110" s="38" t="n">
        <f aca="false">Thesis!$O$107*(1-Seg!$O$56)</f>
        <v>0.190445576353059</v>
      </c>
    </row>
    <row r="111" customFormat="false" ht="17.15" hidden="false" customHeight="false" outlineLevel="0" collapsed="false">
      <c r="A111" s="0" t="s">
        <v>723</v>
      </c>
      <c r="B111" s="0" t="s">
        <v>52</v>
      </c>
      <c r="C111" s="28" t="n">
        <f aca="false">(PL!$C$112-PL!$C$108+PL!$C$110)/PL!$C$109</f>
        <v>-0.0292364215826579</v>
      </c>
      <c r="D111" s="28" t="n">
        <f aca="false">(PL!$D$112-PL!$D$108+PL!$D$110)/PL!$D$109</f>
        <v>-0.0305125352740778</v>
      </c>
      <c r="E111" s="28" t="n">
        <f aca="false">(PL!$E$112-PL!$E$108+PL!$E$110)/PL!$E$109</f>
        <v>-0.019490056934994</v>
      </c>
      <c r="F111" s="28" t="n">
        <f aca="false">PL!$O$111+(PL!$E$111-PL!$N$111)</f>
        <v>-0.0367332293992226</v>
      </c>
      <c r="G111" s="28" t="n">
        <f aca="false">(PL!$G$112-PL!$G$108+PL!$G$110)/PL!$G$109</f>
        <v>-0.0287946542321067</v>
      </c>
      <c r="H111" s="28" t="n">
        <f aca="false">PL!$G$111+step_in</f>
        <v>-0.0287946542321067</v>
      </c>
      <c r="I111" s="28" t="n">
        <f aca="false">PL!$H$111+step_in</f>
        <v>-0.0287946542321067</v>
      </c>
      <c r="J111" s="28" t="n">
        <f aca="false">PL!$I$111+step_in</f>
        <v>-0.0287946542321067</v>
      </c>
      <c r="K111" s="28" t="n">
        <f aca="false">PL!$J$111+step_in</f>
        <v>-0.0287946542321067</v>
      </c>
      <c r="L111" s="28" t="n">
        <f aca="false">PL!$K$111</f>
        <v>-0.0287946542321067</v>
      </c>
      <c r="M111" s="28" t="n">
        <f aca="false">PL!$L$111</f>
        <v>-0.0287946542321067</v>
      </c>
      <c r="N111" s="28" t="n">
        <f aca="false">(PL!$N$112-PL!$N$108+PL!$N$110)/PL!$N$109</f>
        <v>-0.02085061789158</v>
      </c>
      <c r="O111" s="28" t="n">
        <f aca="false">(PL!$O$112-PL!$O$108+PL!$O$110)/PL!$O$109</f>
        <v>-0.0380937903558086</v>
      </c>
      <c r="P111" s="8" t="s">
        <v>718</v>
      </c>
    </row>
    <row r="112" customFormat="false" ht="17.15" hidden="false" customHeight="false" outlineLevel="0" collapsed="false">
      <c r="A112" s="1" t="s">
        <v>724</v>
      </c>
      <c r="B112" s="8" t="s">
        <v>86</v>
      </c>
      <c r="C112" s="38" t="n">
        <f aca="false">Q!$D$23</f>
        <v>3.792</v>
      </c>
      <c r="D112" s="38" t="n">
        <f aca="false">Q!$E$23</f>
        <v>4.75</v>
      </c>
      <c r="E112" s="38" t="n">
        <f aca="false">Q!$P$23</f>
        <v>3.141</v>
      </c>
      <c r="F112" s="38" t="n">
        <f aca="false">PL!$F$108+PL!$F$109*PL!$F$111-PL!$F$110</f>
        <v>2.77377852186047</v>
      </c>
      <c r="G112" s="38" t="n">
        <f aca="false">PL!$E$112+PL!$F$112</f>
        <v>5.91477852186047</v>
      </c>
      <c r="H112" s="38" t="n">
        <f aca="false">PL!$H$108+PL!$H$109*PL!$H$111-PL!$H$110</f>
        <v>6.04870884420403</v>
      </c>
      <c r="I112" s="38" t="n">
        <f aca="false">PL!$I$108+PL!$I$109*PL!$I$111-PL!$I$110</f>
        <v>5.84431580315713</v>
      </c>
      <c r="J112" s="38" t="n">
        <f aca="false">PL!$J$108+PL!$J$109*PL!$J$111-PL!$J$110</f>
        <v>5.45740373874528</v>
      </c>
      <c r="K112" s="38" t="n">
        <f aca="false">PL!$K$108+PL!$K$109*PL!$K$111-PL!$K$110</f>
        <v>4.83227946809976</v>
      </c>
      <c r="L112" s="38" t="n">
        <f aca="false">PL!$L$108+PL!$L$109*PL!$L$111-PL!$L$110</f>
        <v>5.11622541009601</v>
      </c>
      <c r="M112" s="38" t="n">
        <f aca="false">PL!$M$108+PL!$M$109*PL!$M$111-PL!$M$110</f>
        <v>6.17480035109588</v>
      </c>
      <c r="N112" s="38" t="n">
        <f aca="false">Q!$N$23</f>
        <v>2.511</v>
      </c>
      <c r="O112" s="38" t="n">
        <f aca="false">Q!$O$23</f>
        <v>2.239</v>
      </c>
    </row>
    <row r="113" customFormat="false" ht="17.15" hidden="false" customHeight="false" outlineLevel="0" collapsed="false">
      <c r="A113" s="0" t="s">
        <v>725</v>
      </c>
      <c r="B113" s="0" t="s">
        <v>86</v>
      </c>
      <c r="C113" s="38" t="n">
        <f aca="false">Thesis!$C$104</f>
        <v>1.64417882953695</v>
      </c>
      <c r="D113" s="38" t="n">
        <f aca="false">Thesis!$D$104</f>
        <v>3.8781008067718</v>
      </c>
      <c r="E113" s="38" t="n">
        <f aca="false">Thesis!$E$104</f>
        <v>1.41270258088753</v>
      </c>
      <c r="F113" s="38" t="n">
        <f aca="false">Thesis!$F$104</f>
        <v>6.50727700583486</v>
      </c>
      <c r="G113" s="38" t="n">
        <f aca="false">Thesis!$G$104</f>
        <v>7.9199795867224</v>
      </c>
      <c r="H113" s="38" t="n">
        <f aca="false">Thesis!$H$104</f>
        <v>19.2818189481807</v>
      </c>
      <c r="I113" s="38" t="n">
        <f aca="false">Thesis!$I$104</f>
        <v>30.140114407202</v>
      </c>
      <c r="J113" s="38" t="n">
        <f aca="false">Thesis!$J$104</f>
        <v>40.3569468829854</v>
      </c>
      <c r="K113" s="38" t="n">
        <f aca="false">Thesis!$K$104</f>
        <v>45.1418609242305</v>
      </c>
      <c r="L113" s="38" t="n">
        <f aca="false">Thesis!$L$104</f>
        <v>48.5617321668703</v>
      </c>
      <c r="M113" s="38" t="n">
        <f aca="false">Thesis!$M$104</f>
        <v>48.3987625241529</v>
      </c>
      <c r="N113" s="38" t="n">
        <f aca="false">Thesis!$N$104</f>
        <v>0.92264103489199</v>
      </c>
      <c r="O113" s="38" t="n">
        <f aca="false">Thesis!$O$104</f>
        <v>2.95545977187981</v>
      </c>
    </row>
    <row r="114" customFormat="false" ht="17.15" hidden="false" customHeight="false" outlineLevel="0" collapsed="false">
      <c r="A114" s="0" t="s">
        <v>643</v>
      </c>
      <c r="B114" s="0" t="s">
        <v>86</v>
      </c>
      <c r="C114" s="38" t="n">
        <f aca="false">Thesis!$C$109</f>
        <v>38.1898211704631</v>
      </c>
      <c r="D114" s="38" t="n">
        <f aca="false">Thesis!$D$109</f>
        <v>41.7278991932282</v>
      </c>
      <c r="E114" s="38" t="n">
        <f aca="false">Thesis!$E$109</f>
        <v>29.3692974191125</v>
      </c>
      <c r="F114" s="38" t="n">
        <f aca="false">Thesis!$F$109</f>
        <v>26.8997276714137</v>
      </c>
      <c r="G114" s="38" t="n">
        <f aca="false">Thesis!$G$109</f>
        <v>56.2690250905262</v>
      </c>
      <c r="H114" s="38" t="n">
        <f aca="false">Thesis!$H$109</f>
        <v>60.3505333937343</v>
      </c>
      <c r="I114" s="38" t="n">
        <f aca="false">Thesis!$I$109</f>
        <v>67.0043857303571</v>
      </c>
      <c r="J114" s="38" t="n">
        <f aca="false">Thesis!$J$109</f>
        <v>73.3782922956925</v>
      </c>
      <c r="K114" s="38" t="n">
        <f aca="false">Thesis!$K$109</f>
        <v>79.2485556793479</v>
      </c>
      <c r="L114" s="38" t="n">
        <f aca="false">Thesis!$L$109</f>
        <v>85.5884401336958</v>
      </c>
      <c r="M114" s="38" t="n">
        <f aca="false">Thesis!$M$109</f>
        <v>92.4355153443914</v>
      </c>
      <c r="N114" s="38" t="n">
        <f aca="false">Thesis!$N$109</f>
        <v>20.784358965108</v>
      </c>
      <c r="O114" s="38" t="n">
        <f aca="false">Thesis!$O$109</f>
        <v>20.9435402281202</v>
      </c>
    </row>
    <row r="115" customFormat="false" ht="17.15" hidden="false" customHeight="false" outlineLevel="0" collapsed="false">
      <c r="A115" s="1" t="s">
        <v>726</v>
      </c>
      <c r="B115" s="8" t="s">
        <v>86</v>
      </c>
      <c r="C115" s="38" t="n">
        <f aca="false">Q!$D$24</f>
        <v>39.834</v>
      </c>
      <c r="D115" s="38" t="n">
        <f aca="false">Q!$E$24</f>
        <v>45.606</v>
      </c>
      <c r="E115" s="38" t="n">
        <f aca="false">Q!$P$24</f>
        <v>30.782</v>
      </c>
      <c r="F115" s="38" t="n">
        <f aca="false">PL!$F$113+PL!$F$114</f>
        <v>33.4070046772486</v>
      </c>
      <c r="G115" s="38" t="n">
        <f aca="false">PL!$G$113+PL!$G$114</f>
        <v>64.1890046772486</v>
      </c>
      <c r="H115" s="38" t="n">
        <f aca="false">PL!$H$113+PL!$H$114</f>
        <v>79.6323523419149</v>
      </c>
      <c r="I115" s="38" t="n">
        <f aca="false">PL!$I$113+PL!$I$114</f>
        <v>97.1445001375591</v>
      </c>
      <c r="J115" s="38" t="n">
        <f aca="false">PL!$J$113+PL!$J$114</f>
        <v>113.735239178678</v>
      </c>
      <c r="K115" s="38" t="n">
        <f aca="false">PL!$K$113+PL!$K$114</f>
        <v>124.390416603578</v>
      </c>
      <c r="L115" s="38" t="n">
        <f aca="false">PL!$L$113+PL!$L$114</f>
        <v>134.150172300566</v>
      </c>
      <c r="M115" s="38" t="n">
        <f aca="false">PL!$M$113+PL!$M$114</f>
        <v>140.834277868544</v>
      </c>
      <c r="N115" s="38" t="n">
        <f aca="false">Q!$N$24</f>
        <v>21.707</v>
      </c>
      <c r="O115" s="38" t="n">
        <f aca="false">Q!$O$24</f>
        <v>23.899</v>
      </c>
    </row>
    <row r="116" customFormat="false" ht="17.15" hidden="false" customHeight="false" outlineLevel="0" collapsed="false">
      <c r="A116" s="5" t="s">
        <v>727</v>
      </c>
      <c r="B116" s="0" t="s">
        <v>86</v>
      </c>
      <c r="C116" s="38" t="n">
        <f aca="false">Q!$D$26</f>
        <v>0</v>
      </c>
      <c r="D116" s="38" t="n">
        <f aca="false">Q!$E$26</f>
        <v>0</v>
      </c>
      <c r="E116" s="38" t="n">
        <f aca="false">Q!$P$26</f>
        <v>0</v>
      </c>
      <c r="F116" s="39" t="n">
        <v>0</v>
      </c>
      <c r="G116" s="38" t="n">
        <f aca="false">PL!$E$116+PL!$F$116</f>
        <v>0</v>
      </c>
      <c r="H116" s="39" t="n">
        <v>0</v>
      </c>
      <c r="I116" s="39" t="n">
        <v>0</v>
      </c>
      <c r="J116" s="39" t="n">
        <v>0</v>
      </c>
      <c r="K116" s="39" t="n">
        <v>0</v>
      </c>
      <c r="L116" s="39" t="n">
        <v>0</v>
      </c>
      <c r="M116" s="39" t="n">
        <v>0</v>
      </c>
      <c r="N116" s="38" t="n">
        <f aca="false">Q!$N$26</f>
        <v>0</v>
      </c>
      <c r="O116" s="38" t="n">
        <f aca="false">Q!$O$26</f>
        <v>0</v>
      </c>
    </row>
    <row r="117" customFormat="false" ht="15" hidden="false" customHeight="false" outlineLevel="0" collapsed="false">
      <c r="A117" s="3" t="s">
        <v>531</v>
      </c>
      <c r="B117" s="8" t="s">
        <v>86</v>
      </c>
      <c r="C117" s="38" t="n">
        <f aca="false">Q!$D$25</f>
        <v>68.593</v>
      </c>
      <c r="D117" s="38" t="n">
        <f aca="false">Q!$E$25</f>
        <v>79.975</v>
      </c>
      <c r="E117" s="38" t="n">
        <f aca="false">Q!$P$25</f>
        <v>51.313</v>
      </c>
      <c r="F117" s="38" t="n">
        <f aca="false">PL!$F$107+PL!$F$112+PL!$F$115+PL!$F$116</f>
        <v>56.2888892369246</v>
      </c>
      <c r="G117" s="38" t="n">
        <f aca="false">PL!$G$107+PL!$G$112+PL!$G$115+PL!$G$116</f>
        <v>107.601889236925</v>
      </c>
      <c r="H117" s="38" t="n">
        <f aca="false">PL!$H$107+PL!$H$112+PL!$H$115+PL!$H$116</f>
        <v>126.935967255636</v>
      </c>
      <c r="I117" s="38" t="n">
        <f aca="false">PL!$I$107+PL!$I$112+PL!$I$115+PL!$I$116</f>
        <v>147.247780943116</v>
      </c>
      <c r="J117" s="38" t="n">
        <f aca="false">PL!$J$107+PL!$J$112+PL!$J$115+PL!$J$116</f>
        <v>166.030093415229</v>
      </c>
      <c r="K117" s="38" t="n">
        <f aca="false">PL!$K$107+PL!$K$112+PL!$K$115+PL!$K$116</f>
        <v>177.975591165353</v>
      </c>
      <c r="L117" s="38" t="n">
        <f aca="false">PL!$L$107+PL!$L$112+PL!$L$115+PL!$L$116</f>
        <v>190.868575271371</v>
      </c>
      <c r="M117" s="38" t="n">
        <f aca="false">PL!$M$107+PL!$M$112+PL!$M$115+PL!$M$116</f>
        <v>203.610388310126</v>
      </c>
      <c r="N117" s="38" t="n">
        <f aca="false">Q!$N$25</f>
        <v>37.576</v>
      </c>
      <c r="O117" s="38" t="n">
        <f aca="false">Q!$O$25</f>
        <v>42.399</v>
      </c>
    </row>
    <row r="118" customFormat="false" ht="17.15" hidden="false" customHeight="false" outlineLevel="0" collapsed="false">
      <c r="A118" s="24" t="s">
        <v>758</v>
      </c>
      <c r="B118" s="25" t="s">
        <v>86</v>
      </c>
      <c r="C118" s="41" t="n">
        <f aca="false">PL!$C$107+PL!$C$112+PL!$C$115+PL!$C$116-PL!$C$117</f>
        <v>0</v>
      </c>
      <c r="D118" s="41" t="n">
        <f aca="false">PL!$D$107+PL!$D$112+PL!$D$115+PL!$D$116-PL!$D$117</f>
        <v>0</v>
      </c>
      <c r="E118" s="41" t="n">
        <f aca="false">PL!$E$107+PL!$E$112+PL!$E$115+PL!$E$116-PL!$E$117</f>
        <v>0</v>
      </c>
      <c r="F118" s="41" t="n">
        <f aca="false">PL!$F$107+PL!$F$112+PL!$F$115+PL!$F$116-PL!$F$117</f>
        <v>0</v>
      </c>
      <c r="G118" s="41" t="n">
        <f aca="false">PL!$G$107+PL!$G$112+PL!$G$115+PL!$G$116-PL!$G$117</f>
        <v>0</v>
      </c>
      <c r="H118" s="41" t="n">
        <f aca="false">PL!$H$107+PL!$H$112+PL!$H$115+PL!$H$116-PL!$H$117</f>
        <v>0</v>
      </c>
      <c r="I118" s="41" t="n">
        <f aca="false">PL!$I$107+PL!$I$112+PL!$I$115+PL!$I$116-PL!$I$117</f>
        <v>0</v>
      </c>
      <c r="J118" s="41" t="n">
        <f aca="false">PL!$J$107+PL!$J$112+PL!$J$115+PL!$J$116-PL!$J$117</f>
        <v>0</v>
      </c>
      <c r="K118" s="41" t="n">
        <f aca="false">PL!$K$107+PL!$K$112+PL!$K$115+PL!$K$116-PL!$K$117</f>
        <v>0</v>
      </c>
      <c r="L118" s="41" t="n">
        <f aca="false">PL!$L$107+PL!$L$112+PL!$L$115+PL!$L$116-PL!$L$117</f>
        <v>0</v>
      </c>
      <c r="M118" s="41" t="n">
        <f aca="false">PL!$M$107+PL!$M$112+PL!$M$115+PL!$M$116-PL!$M$117</f>
        <v>0</v>
      </c>
      <c r="N118" s="41" t="n">
        <f aca="false">PL!$N$107+PL!$N$112+PL!$N$115+PL!$N$116-PL!$N$117</f>
        <v>0</v>
      </c>
      <c r="O118" s="41" t="n">
        <f aca="false">PL!$O$107+PL!$O$112+PL!$O$115+PL!$O$116-PL!$O$117</f>
        <v>0</v>
      </c>
    </row>
    <row r="119" customFormat="false" ht="17.15" hidden="false" customHeight="false" outlineLevel="0" collapsed="false">
      <c r="A119" s="5" t="s">
        <v>729</v>
      </c>
      <c r="B119" s="0" t="s">
        <v>86</v>
      </c>
      <c r="C119" s="38" t="n">
        <f aca="false">Thesis!$C$106</f>
        <v>0</v>
      </c>
      <c r="D119" s="38" t="n">
        <f aca="false">Thesis!$D$106</f>
        <v>0</v>
      </c>
      <c r="E119" s="38" t="n">
        <f aca="false">Thesis!$E$106</f>
        <v>0</v>
      </c>
      <c r="F119" s="38" t="n">
        <f aca="false">Thesis!$F$106</f>
        <v>3.77122048175818</v>
      </c>
      <c r="G119" s="38" t="n">
        <f aca="false">Thesis!$G$106</f>
        <v>3.77122048175818</v>
      </c>
      <c r="H119" s="38" t="n">
        <f aca="false">Thesis!$H$106</f>
        <v>15.1635543609893</v>
      </c>
      <c r="I119" s="38" t="n">
        <f aca="false">Thesis!$I$106</f>
        <v>25.5818843619889</v>
      </c>
      <c r="J119" s="38" t="n">
        <f aca="false">Thesis!$J$106</f>
        <v>36.0465624179122</v>
      </c>
      <c r="K119" s="38" t="n">
        <f aca="false">Thesis!$K$106</f>
        <v>44.9741164026038</v>
      </c>
      <c r="L119" s="38" t="n">
        <f aca="false">Thesis!$L$106</f>
        <v>50.8413488057813</v>
      </c>
      <c r="M119" s="38" t="n">
        <f aca="false">Thesis!$M$106</f>
        <v>53.6407214274315</v>
      </c>
      <c r="N119" s="38" t="n">
        <f aca="false">Thesis!$N$106</f>
        <v>0</v>
      </c>
      <c r="O119" s="38" t="n">
        <f aca="false">Thesis!$O$106</f>
        <v>0</v>
      </c>
      <c r="P119" s="5" t="s">
        <v>730</v>
      </c>
    </row>
    <row r="120" customFormat="false" ht="17.15" hidden="false" customHeight="false" outlineLevel="0" collapsed="false">
      <c r="A120" s="5" t="s">
        <v>731</v>
      </c>
      <c r="B120" s="0" t="s">
        <v>86</v>
      </c>
      <c r="C120" s="38" t="n">
        <f aca="false">PL!$C$117+PL!$C$119</f>
        <v>68.593</v>
      </c>
      <c r="D120" s="38" t="n">
        <f aca="false">PL!$D$117+PL!$D$119</f>
        <v>79.975</v>
      </c>
      <c r="E120" s="38" t="n">
        <f aca="false">PL!$E$117+PL!$E$119</f>
        <v>51.313</v>
      </c>
      <c r="F120" s="38" t="n">
        <f aca="false">PL!$F$117+PL!$F$119</f>
        <v>60.0601097186828</v>
      </c>
      <c r="G120" s="38" t="n">
        <f aca="false">PL!$G$117+PL!$G$119</f>
        <v>111.373109718683</v>
      </c>
      <c r="H120" s="38" t="n">
        <f aca="false">PL!$H$117+PL!$H$119</f>
        <v>142.099521616625</v>
      </c>
      <c r="I120" s="38" t="n">
        <f aca="false">PL!$I$117+PL!$I$119</f>
        <v>172.829665305105</v>
      </c>
      <c r="J120" s="38" t="n">
        <f aca="false">PL!$J$117+PL!$J$119</f>
        <v>202.076655833141</v>
      </c>
      <c r="K120" s="38" t="n">
        <f aca="false">PL!$K$117+PL!$K$119</f>
        <v>222.949707567956</v>
      </c>
      <c r="L120" s="38" t="n">
        <f aca="false">PL!$L$117+PL!$L$119</f>
        <v>241.709924077153</v>
      </c>
      <c r="M120" s="38" t="n">
        <f aca="false">PL!$M$117+PL!$M$119</f>
        <v>257.251109737557</v>
      </c>
      <c r="N120" s="38" t="n">
        <f aca="false">PL!$N$117+PL!$N$119</f>
        <v>37.576</v>
      </c>
      <c r="O120" s="38" t="n">
        <f aca="false">PL!$O$117+PL!$O$119</f>
        <v>42.399</v>
      </c>
    </row>
    <row r="121" customFormat="false" ht="17.15" hidden="false" customHeight="false" outlineLevel="0" collapsed="false">
      <c r="A121" s="0" t="s">
        <v>732</v>
      </c>
      <c r="B121" s="0" t="s">
        <v>52</v>
      </c>
      <c r="C121" s="13" t="n">
        <f aca="false">PL!$C$107/PL!$C$92</f>
        <v>0.0644314665661928</v>
      </c>
      <c r="D121" s="13" t="n">
        <f aca="false">PL!$D$107/PL!$D$92</f>
        <v>0.0694784250712518</v>
      </c>
      <c r="E121" s="13" t="n">
        <f aca="false">PL!$E$107/PL!$E$92</f>
        <v>0.0789306463326071</v>
      </c>
      <c r="F121" s="13" t="n">
        <f aca="false">PL!$F$107/PL!$F$92</f>
        <v>0.0802271154277638</v>
      </c>
      <c r="G121" s="13" t="n">
        <f aca="false">PL!$G$107/PL!$G$92</f>
        <v>0.0796206133714758</v>
      </c>
      <c r="H121" s="13" t="n">
        <f aca="false">PL!$H$107/PL!$H$92</f>
        <v>0.0791253077422711</v>
      </c>
      <c r="I121" s="13" t="n">
        <f aca="false">PL!$I$107/PL!$I$92</f>
        <v>0.0776277144828766</v>
      </c>
      <c r="J121" s="13" t="n">
        <f aca="false">PL!$J$107/PL!$J$92</f>
        <v>0.0761100135193333</v>
      </c>
      <c r="K121" s="13" t="n">
        <f aca="false">PL!$K$107/PL!$K$92</f>
        <v>0.074408246177121</v>
      </c>
      <c r="L121" s="13" t="n">
        <f aca="false">PL!$L$107/PL!$L$92</f>
        <v>0.0739489900415671</v>
      </c>
      <c r="M121" s="13" t="n">
        <f aca="false">PL!$M$107/PL!$M$92</f>
        <v>0.076138500430805</v>
      </c>
      <c r="N121" s="13" t="n">
        <f aca="false">PL!$N$107/PL!$N$92</f>
        <v>0.069228576611127</v>
      </c>
      <c r="O121" s="13" t="n">
        <f aca="false">PL!$O$107/PL!$O$92</f>
        <v>0.069685022498393</v>
      </c>
    </row>
    <row r="122" customFormat="false" ht="17.15" hidden="false" customHeight="false" outlineLevel="0" collapsed="false">
      <c r="A122" s="0" t="s">
        <v>733</v>
      </c>
      <c r="B122" s="0" t="s">
        <v>52</v>
      </c>
      <c r="C122" s="13" t="n">
        <f aca="false">PL!$C$112/PL!$C$93</f>
        <v>0.026534925055631</v>
      </c>
      <c r="D122" s="13" t="n">
        <f aca="false">PL!$D$112/PL!$D$93</f>
        <v>0.0293401855535103</v>
      </c>
      <c r="E122" s="13" t="n">
        <f aca="false">PL!$E$112/PL!$E$93</f>
        <v>0.03831141902276</v>
      </c>
      <c r="F122" s="13" t="n">
        <f aca="false">PL!$F$112/PL!$F$93</f>
        <v>0.028186380436398</v>
      </c>
      <c r="G122" s="13" t="n">
        <f aca="false">PL!$G$112/PL!$G$93</f>
        <v>0.0327880260521739</v>
      </c>
      <c r="H122" s="13" t="n">
        <f aca="false">PL!$H$112/PL!$H$93</f>
        <v>0.0302874763409969</v>
      </c>
      <c r="I122" s="13" t="n">
        <f aca="false">PL!$I$112/PL!$I$93</f>
        <v>0.0267614610253202</v>
      </c>
      <c r="J122" s="13" t="n">
        <f aca="false">PL!$J$112/PL!$J$93</f>
        <v>0.0231523582706593</v>
      </c>
      <c r="K122" s="13" t="n">
        <f aca="false">PL!$K$112/PL!$K$93</f>
        <v>0.0192545467174101</v>
      </c>
      <c r="L122" s="13" t="n">
        <f aca="false">PL!$L$112/PL!$L$93</f>
        <v>0.0191414347264789</v>
      </c>
      <c r="M122" s="13" t="n">
        <f aca="false">PL!$M$112/PL!$M$93</f>
        <v>0.0216850962428001</v>
      </c>
      <c r="N122" s="13" t="n">
        <f aca="false">PL!$N$112/PL!$N$93</f>
        <v>0.0357315650169337</v>
      </c>
      <c r="O122" s="13" t="n">
        <f aca="false">PL!$O$112/PL!$O$93</f>
        <v>0.0244378956559703</v>
      </c>
    </row>
    <row r="123" customFormat="false" ht="17.15" hidden="false" customHeight="false" outlineLevel="0" collapsed="false">
      <c r="A123" s="14" t="s">
        <v>734</v>
      </c>
      <c r="B123" s="14" t="s">
        <v>52</v>
      </c>
      <c r="C123" s="17" t="n">
        <f aca="false">PL!$C$115/PL!$C$94</f>
        <v>0.370355907620217</v>
      </c>
      <c r="D123" s="17" t="n">
        <f aca="false">PL!$D$115/PL!$D$94</f>
        <v>0.35429015342785</v>
      </c>
      <c r="E123" s="17" t="n">
        <f aca="false">PL!$E$115/PL!$E$94</f>
        <v>0.385647527531039</v>
      </c>
      <c r="F123" s="17" t="n">
        <f aca="false">PL!$F$115/PL!$F$94</f>
        <v>0.385171818673936</v>
      </c>
      <c r="G123" s="17" t="n">
        <f aca="false">PL!$G$115/PL!$G$94</f>
        <v>0.385399799520974</v>
      </c>
      <c r="H123" s="17" t="n">
        <f aca="false">PL!$H$115/PL!$H$94</f>
        <v>0.360029314750347</v>
      </c>
      <c r="I123" s="17" t="n">
        <f aca="false">PL!$I$115/PL!$I$94</f>
        <v>0.346606134604193</v>
      </c>
      <c r="J123" s="17" t="n">
        <f aca="false">PL!$J$115/PL!$J$94</f>
        <v>0.335699297156574</v>
      </c>
      <c r="K123" s="17" t="n">
        <f aca="false">PL!$K$115/PL!$K$94</f>
        <v>0.319043289183739</v>
      </c>
      <c r="L123" s="17" t="n">
        <f aca="false">PL!$L$115/PL!$L$94</f>
        <v>0.311918613444893</v>
      </c>
      <c r="M123" s="17" t="n">
        <f aca="false">PL!$M$115/PL!$M$94</f>
        <v>0.306523814127389</v>
      </c>
      <c r="N123" s="17" t="n">
        <f aca="false">PL!$N$115/PL!$N$94</f>
        <v>0.360941137346192</v>
      </c>
      <c r="O123" s="17" t="n">
        <f aca="false">PL!$O$115/PL!$O$94</f>
        <v>0.348458117664212</v>
      </c>
    </row>
    <row r="124" customFormat="false" ht="17.15" hidden="false" customHeight="false" outlineLevel="0" collapsed="false">
      <c r="A124" s="0" t="s">
        <v>735</v>
      </c>
      <c r="B124" s="0" t="s">
        <v>52</v>
      </c>
      <c r="C124" s="13" t="n">
        <f aca="false">PL!$C$113/PL!$C$95</f>
        <v>0.708390794789371</v>
      </c>
      <c r="D124" s="13" t="n">
        <f aca="false">PL!$D$113/PL!$D$95</f>
        <v>0.445565630441968</v>
      </c>
      <c r="E124" s="13" t="n">
        <f aca="false">PL!$E$113/PL!$E$95</f>
        <v>0.165998118402711</v>
      </c>
      <c r="F124" s="13" t="n">
        <f aca="false">PL!$F$113/PL!$F$95</f>
        <v>0.434878595403858</v>
      </c>
      <c r="G124" s="13" t="n">
        <f aca="false">PL!$G$113/PL!$G$95</f>
        <v>0.3373967615381</v>
      </c>
      <c r="H124" s="13" t="n">
        <f aca="false">PL!$H$113/PL!$H$95</f>
        <v>0.320477578041224</v>
      </c>
      <c r="I124" s="13" t="n">
        <f aca="false">PL!$I$113/PL!$I$95</f>
        <v>0.296936118226494</v>
      </c>
      <c r="J124" s="13" t="n">
        <f aca="false">PL!$J$113/PL!$J$95</f>
        <v>0.282166278613001</v>
      </c>
      <c r="K124" s="13" t="n">
        <f aca="false">PL!$K$113/PL!$K$95</f>
        <v>0.252969102881543</v>
      </c>
      <c r="L124" s="13" t="n">
        <f aca="false">PL!$L$113/PL!$L$95</f>
        <v>0.240728642826566</v>
      </c>
      <c r="M124" s="13" t="n">
        <f aca="false">PL!$M$113/PL!$M$95</f>
        <v>0.227399920863147</v>
      </c>
      <c r="N124" s="13" t="n">
        <f aca="false">PL!$N$113/PL!$N$95</f>
        <v>0.302870734830849</v>
      </c>
      <c r="O124" s="13" t="n">
        <f aca="false">PL!$O$113/PL!$O$95</f>
        <v>0.52240134346334</v>
      </c>
    </row>
    <row r="125" customFormat="false" ht="15" hidden="false" customHeight="false" outlineLevel="0" collapsed="false">
      <c r="A125" s="5" t="s">
        <v>736</v>
      </c>
      <c r="B125" s="0" t="s">
        <v>52</v>
      </c>
      <c r="C125" s="13" t="n">
        <f aca="false">PL!$C$117/PL!$C$97</f>
        <v>0.107519448742004</v>
      </c>
      <c r="D125" s="13" t="n">
        <f aca="false">PL!$D$117/PL!$D$97</f>
        <v>0.111552967957552</v>
      </c>
      <c r="E125" s="13" t="n">
        <f aca="false">PL!$E$117/PL!$E$97</f>
        <v>0.13428328426562</v>
      </c>
      <c r="F125" s="13" t="n">
        <f aca="false">PL!$F$117/PL!$F$97</f>
        <v>0.129167844525589</v>
      </c>
      <c r="G125" s="13" t="n">
        <f aca="false">PL!$G$117/PL!$G$97</f>
        <v>0.131557773771988</v>
      </c>
      <c r="H125" s="13" t="n">
        <f aca="false">PL!$H$117/PL!$H$97</f>
        <v>0.134711536350329</v>
      </c>
      <c r="I125" s="13" t="n">
        <f aca="false">PL!$I$117/PL!$I$97</f>
        <v>0.137768888779847</v>
      </c>
      <c r="J125" s="13" t="n">
        <f aca="false">PL!$J$117/PL!$J$97</f>
        <v>0.139531715827143</v>
      </c>
      <c r="K125" s="13" t="n">
        <f aca="false">PL!$K$117/PL!$K$97</f>
        <v>0.137320259076553</v>
      </c>
      <c r="L125" s="13" t="n">
        <f aca="false">PL!$L$117/PL!$L$97</f>
        <v>0.136806307456799</v>
      </c>
      <c r="M125" s="13" t="n">
        <f aca="false">PL!$M$117/PL!$M$97</f>
        <v>0.136871350584245</v>
      </c>
      <c r="N125" s="13" t="n">
        <f aca="false">PL!$N$117/PL!$N$97</f>
        <v>0.116201614873411</v>
      </c>
      <c r="O125" s="13" t="n">
        <f aca="false">PL!$O$117/PL!$O$97</f>
        <v>0.107733353660861</v>
      </c>
    </row>
    <row r="126" customFormat="false" ht="17.15" hidden="false" customHeight="false" outlineLevel="0" collapsed="false">
      <c r="A126" s="1" t="s">
        <v>737</v>
      </c>
    </row>
    <row r="127" customFormat="false" ht="17.15" hidden="false" customHeight="false" outlineLevel="0" collapsed="false">
      <c r="A127" s="5" t="s">
        <v>738</v>
      </c>
      <c r="B127" s="0" t="s">
        <v>52</v>
      </c>
      <c r="D127" s="28" t="n">
        <f aca="false">(Q!$E$29+Q!$E$30-(1-ext_sh)*Thesis!$D$100)/Seg!$D$55</f>
        <v>0.0334674312393194</v>
      </c>
    </row>
    <row r="128" customFormat="false" ht="17.15" hidden="false" customHeight="false" outlineLevel="0" collapsed="false">
      <c r="A128" s="0" t="s">
        <v>535</v>
      </c>
      <c r="B128" s="0" t="s">
        <v>86</v>
      </c>
      <c r="C128" s="38" t="n">
        <f aca="false">Q!$D$29</f>
        <v>14.285</v>
      </c>
      <c r="D128" s="38" t="n">
        <f aca="false">Q!$E$29</f>
        <v>15.503</v>
      </c>
      <c r="E128" s="38" t="n">
        <f aca="false">Q!$P$29</f>
        <v>8.78</v>
      </c>
      <c r="F128" s="38" t="n">
        <f aca="false">(PL!$D$127*Seg!$F$55+(1-ext_sh)*Thesis!$F$100)*Seg!$F$56</f>
        <v>9.32404990199157</v>
      </c>
      <c r="G128" s="38" t="n">
        <f aca="false">PL!$E$128+PL!$F$128</f>
        <v>18.1040499019916</v>
      </c>
      <c r="H128" s="38" t="n">
        <f aca="false">(PL!$D$127*Seg!$H$55+(1-ext_sh)*Thesis!$H$100)*Seg!$H$56</f>
        <v>22.5533556752937</v>
      </c>
      <c r="I128" s="38" t="n">
        <f aca="false">(PL!$D$127*Seg!$I$55+(1-ext_sh)*Thesis!$I$100)*Seg!$I$56</f>
        <v>28.1941479903215</v>
      </c>
      <c r="J128" s="38" t="n">
        <f aca="false">(PL!$D$127*Seg!$J$55+(1-ext_sh)*Thesis!$J$100)*Seg!$J$56</f>
        <v>33.8639126241465</v>
      </c>
      <c r="K128" s="38" t="n">
        <f aca="false">(PL!$D$127*Seg!$K$55+(1-ext_sh)*Thesis!$K$100)*Seg!$K$56</f>
        <v>39.4516429979446</v>
      </c>
      <c r="L128" s="38" t="n">
        <f aca="false">(PL!$D$127*Seg!$L$55+(1-ext_sh)*Thesis!$L$100)*Seg!$L$56</f>
        <v>43.6240799619622</v>
      </c>
      <c r="M128" s="38" t="n">
        <f aca="false">(PL!$D$127*Seg!$M$55+(1-ext_sh)*Thesis!$M$100)*Seg!$M$56</f>
        <v>46.7841679303704</v>
      </c>
      <c r="N128" s="38" t="n">
        <f aca="false">Q!$N$29</f>
        <v>7.272</v>
      </c>
      <c r="O128" s="38" t="n">
        <f aca="false">Q!$O$29</f>
        <v>8.231</v>
      </c>
    </row>
    <row r="129" customFormat="false" ht="17.15" hidden="false" customHeight="false" outlineLevel="0" collapsed="false">
      <c r="A129" s="0" t="s">
        <v>537</v>
      </c>
      <c r="B129" s="0" t="s">
        <v>86</v>
      </c>
      <c r="C129" s="38" t="n">
        <f aca="false">Q!$D$30</f>
        <v>4.462</v>
      </c>
      <c r="D129" s="38" t="n">
        <f aca="false">Q!$E$30</f>
        <v>4.907</v>
      </c>
      <c r="E129" s="38" t="n">
        <f aca="false">Q!$P$30</f>
        <v>2.57</v>
      </c>
      <c r="F129" s="38" t="n">
        <f aca="false">(PL!$D$127*Seg!$F$55+(1-ext_sh)*Thesis!$F$100)*(1-Seg!$F$56)</f>
        <v>3.66089330199472</v>
      </c>
      <c r="G129" s="38" t="n">
        <f aca="false">PL!$E$129+PL!$F$129</f>
        <v>6.23089330199472</v>
      </c>
      <c r="H129" s="38" t="n">
        <f aca="false">(PL!$D$127*Seg!$H$55+(1-ext_sh)*Thesis!$H$100)*(1-Seg!$H$56)</f>
        <v>8.63874333111657</v>
      </c>
      <c r="I129" s="38" t="n">
        <f aca="false">(PL!$D$127*Seg!$I$55+(1-ext_sh)*Thesis!$I$100)*(1-Seg!$I$56)</f>
        <v>10.7993689025494</v>
      </c>
      <c r="J129" s="38" t="n">
        <f aca="false">(PL!$D$127*Seg!$J$55+(1-ext_sh)*Thesis!$J$100)*(1-Seg!$J$56)</f>
        <v>12.9710919101865</v>
      </c>
      <c r="K129" s="38" t="n">
        <f aca="false">(PL!$D$127*Seg!$K$55+(1-ext_sh)*Thesis!$K$100)*(1-Seg!$K$56)</f>
        <v>15.1113928568702</v>
      </c>
      <c r="L129" s="38" t="n">
        <f aca="false">(PL!$D$127*Seg!$L$55+(1-ext_sh)*Thesis!$L$100)*(1-Seg!$L$56)</f>
        <v>16.7095857163433</v>
      </c>
      <c r="M129" s="38" t="n">
        <f aca="false">(PL!$D$127*Seg!$M$55+(1-ext_sh)*Thesis!$M$100)*(1-Seg!$M$56)</f>
        <v>17.9200126371023</v>
      </c>
      <c r="N129" s="38" t="n">
        <f aca="false">Q!$N$30</f>
        <v>2.316</v>
      </c>
      <c r="O129" s="38" t="n">
        <f aca="false">Q!$O$30</f>
        <v>2.591</v>
      </c>
    </row>
    <row r="130" customFormat="false" ht="17.15" hidden="false" customHeight="false" outlineLevel="0" collapsed="false">
      <c r="A130" s="0" t="s">
        <v>538</v>
      </c>
      <c r="B130" s="0" t="s">
        <v>86</v>
      </c>
      <c r="C130" s="38" t="n">
        <f aca="false">Thesis!$C$112</f>
        <v>13.32</v>
      </c>
      <c r="D130" s="38" t="n">
        <f aca="false">Thesis!$D$112</f>
        <v>21.45</v>
      </c>
      <c r="E130" s="38" t="n">
        <f aca="false">Thesis!$E$112</f>
        <v>15.353</v>
      </c>
      <c r="F130" s="38" t="n">
        <f aca="false">Thesis!$F$112</f>
        <v>16.3063747611001</v>
      </c>
      <c r="G130" s="38" t="n">
        <f aca="false">Thesis!$G$112</f>
        <v>31.6593747611001</v>
      </c>
      <c r="H130" s="38" t="n">
        <f aca="false">Thesis!$H$112</f>
        <v>53.124242092105</v>
      </c>
      <c r="I130" s="38" t="n">
        <f aca="false">Thesis!$I$112</f>
        <v>78.046828098133</v>
      </c>
      <c r="J130" s="38" t="n">
        <f aca="false">Thesis!$J$112</f>
        <v>103.663976940352</v>
      </c>
      <c r="K130" s="38" t="n">
        <f aca="false">Thesis!$K$112</f>
        <v>129.625086115469</v>
      </c>
      <c r="L130" s="38" t="n">
        <f aca="false">Thesis!$L$112</f>
        <v>147.435052382502</v>
      </c>
      <c r="M130" s="38" t="n">
        <f aca="false">Thesis!$M$112</f>
        <v>159.299754080279</v>
      </c>
      <c r="N130" s="38" t="n">
        <f aca="false">Thesis!$N$112</f>
        <v>9.234</v>
      </c>
      <c r="O130" s="38" t="n">
        <f aca="false">Thesis!$O$112</f>
        <v>12.216</v>
      </c>
    </row>
    <row r="131" customFormat="false" ht="17.15" hidden="false" customHeight="false" outlineLevel="0" collapsed="false">
      <c r="A131" s="5" t="s">
        <v>739</v>
      </c>
      <c r="B131" s="0" t="s">
        <v>86</v>
      </c>
      <c r="C131" s="38" t="n">
        <f aca="false">PL!$C$128+PL!$C$129+PL!$C$130</f>
        <v>32.067</v>
      </c>
      <c r="D131" s="38" t="n">
        <f aca="false">PL!$D$128+PL!$D$129+PL!$D$130</f>
        <v>41.86</v>
      </c>
      <c r="E131" s="38" t="n">
        <f aca="false">PL!$E$128+PL!$E$129+PL!$E$130</f>
        <v>26.703</v>
      </c>
      <c r="F131" s="38" t="n">
        <f aca="false">PL!$F$128+PL!$F$129+PL!$F$130</f>
        <v>29.2913179650864</v>
      </c>
      <c r="G131" s="38" t="n">
        <f aca="false">PL!$G$128+PL!$G$129+PL!$G$130</f>
        <v>55.9943179650864</v>
      </c>
      <c r="H131" s="38" t="n">
        <f aca="false">PL!$H$128+PL!$H$129+PL!$H$130</f>
        <v>84.3163410985152</v>
      </c>
      <c r="I131" s="38" t="n">
        <f aca="false">PL!$I$128+PL!$I$129+PL!$I$130</f>
        <v>117.040344991004</v>
      </c>
      <c r="J131" s="38" t="n">
        <f aca="false">PL!$J$128+PL!$J$129+PL!$J$130</f>
        <v>150.498981474685</v>
      </c>
      <c r="K131" s="38" t="n">
        <f aca="false">PL!$K$128+PL!$K$129+PL!$K$130</f>
        <v>184.188121970284</v>
      </c>
      <c r="L131" s="38" t="n">
        <f aca="false">PL!$L$128+PL!$L$129+PL!$L$130</f>
        <v>207.768718060808</v>
      </c>
      <c r="M131" s="38" t="n">
        <f aca="false">PL!$M$128+PL!$M$129+PL!$M$130</f>
        <v>224.003934647752</v>
      </c>
      <c r="N131" s="38" t="n">
        <f aca="false">PL!$N$128+PL!$N$129+PL!$N$130</f>
        <v>18.822</v>
      </c>
      <c r="O131" s="38" t="n">
        <f aca="false">PL!$O$128+PL!$O$129+PL!$O$130</f>
        <v>23.038</v>
      </c>
    </row>
    <row r="132" customFormat="false" ht="17.15" hidden="false" customHeight="false" outlineLevel="0" collapsed="false">
      <c r="A132" s="0" t="s">
        <v>740</v>
      </c>
      <c r="B132" s="0" t="s">
        <v>86</v>
      </c>
      <c r="C132" s="38" t="n">
        <f aca="false">PL!$C$103+PL!$C$108</f>
        <v>28.107</v>
      </c>
      <c r="D132" s="38" t="n">
        <f aca="false">PL!$D$103+PL!$D$108</f>
        <v>34.3175</v>
      </c>
      <c r="E132" s="38" t="n">
        <f aca="false">PL!$E$103+PL!$E$108</f>
        <v>18.526</v>
      </c>
      <c r="F132" s="38" t="n">
        <f aca="false">PL!$F$103+PL!$F$108</f>
        <v>23.0786109972074</v>
      </c>
      <c r="G132" s="38" t="n">
        <f aca="false">PL!$G$103+PL!$G$108</f>
        <v>41.6046109972074</v>
      </c>
      <c r="H132" s="38" t="n">
        <f aca="false">PL!$H$103+PL!$H$108</f>
        <v>49.9484611939488</v>
      </c>
      <c r="I132" s="38" t="n">
        <f aca="false">PL!$I$103+PL!$I$108</f>
        <v>58.2915555477481</v>
      </c>
      <c r="J132" s="38" t="n">
        <f aca="false">PL!$J$103+PL!$J$108</f>
        <v>66.0744709709759</v>
      </c>
      <c r="K132" s="38" t="n">
        <f aca="false">PL!$K$103+PL!$K$108</f>
        <v>72.6819180680735</v>
      </c>
      <c r="L132" s="38" t="n">
        <f aca="false">PL!$L$103+PL!$L$108</f>
        <v>79.9501098748808</v>
      </c>
      <c r="M132" s="38" t="n">
        <f aca="false">PL!$M$103+PL!$M$108</f>
        <v>87.9451208623689</v>
      </c>
      <c r="N132" s="38" t="n">
        <f aca="false">PL!$N$103+PL!$N$108</f>
        <v>14.8075</v>
      </c>
      <c r="O132" s="38" t="n">
        <f aca="false">PL!$O$103+PL!$O$108</f>
        <v>19.51</v>
      </c>
    </row>
    <row r="133" customFormat="false" ht="17.15" hidden="false" customHeight="false" outlineLevel="0" collapsed="false">
      <c r="A133" s="0" t="s">
        <v>741</v>
      </c>
      <c r="B133" s="0" t="s">
        <v>86</v>
      </c>
      <c r="C133" s="38" t="n">
        <f aca="false">PL!$C$107+PL!$C$112+PL!$C$128+PL!$C$129-PL!$C$132</f>
        <v>19.399</v>
      </c>
      <c r="D133" s="38" t="n">
        <f aca="false">PL!$D$107+PL!$D$112+PL!$D$128+PL!$D$129-PL!$D$132</f>
        <v>20.4615</v>
      </c>
      <c r="E133" s="38" t="n">
        <f aca="false">PL!$E$107+PL!$E$112+PL!$E$128+PL!$E$129-PL!$E$132</f>
        <v>13.355</v>
      </c>
      <c r="F133" s="38" t="n">
        <f aca="false">PL!$F$107+PL!$F$112+PL!$F$128+PL!$F$129-PL!$F$132</f>
        <v>12.7882167664549</v>
      </c>
      <c r="G133" s="38" t="n">
        <f aca="false">PL!$G$107+PL!$G$112+PL!$G$128+PL!$G$129-PL!$G$132</f>
        <v>26.1432167664549</v>
      </c>
      <c r="H133" s="38" t="n">
        <f aca="false">PL!$H$107+PL!$H$112+PL!$H$128+PL!$H$129-PL!$H$132</f>
        <v>28.5472527261826</v>
      </c>
      <c r="I133" s="38" t="n">
        <f aca="false">PL!$I$107+PL!$I$112+PL!$I$128+PL!$I$129-PL!$I$132</f>
        <v>30.8052421506794</v>
      </c>
      <c r="J133" s="38" t="n">
        <f aca="false">PL!$J$107+PL!$J$112+PL!$J$128+PL!$J$129-PL!$J$132</f>
        <v>33.0553877999083</v>
      </c>
      <c r="K133" s="38" t="n">
        <f aca="false">PL!$K$107+PL!$K$112+PL!$K$128+PL!$K$129-PL!$K$132</f>
        <v>35.4662923485155</v>
      </c>
      <c r="L133" s="38" t="n">
        <f aca="false">PL!$L$107+PL!$L$112+PL!$L$128+PL!$L$129-PL!$L$132</f>
        <v>37.1019587742301</v>
      </c>
      <c r="M133" s="38" t="n">
        <f aca="false">PL!$M$107+PL!$M$112+PL!$M$128+PL!$M$129-PL!$M$132</f>
        <v>39.5351701466849</v>
      </c>
      <c r="N133" s="38" t="n">
        <f aca="false">PL!$N$107+PL!$N$112+PL!$N$128+PL!$N$129-PL!$N$132</f>
        <v>10.6495</v>
      </c>
      <c r="O133" s="38" t="n">
        <f aca="false">PL!$O$107+PL!$O$112+PL!$O$128+PL!$O$129-PL!$O$132</f>
        <v>9.81200000000001</v>
      </c>
    </row>
    <row r="134" customFormat="false" ht="17.15" hidden="false" customHeight="false" outlineLevel="0" collapsed="false">
      <c r="A134" s="0" t="s">
        <v>742</v>
      </c>
      <c r="B134" s="0" t="s">
        <v>86</v>
      </c>
      <c r="C134" s="38" t="n">
        <f aca="false">PL!$C$114+PL!$C$130-ext_sh*Thesis!$C$100</f>
        <v>51.3470500115664</v>
      </c>
      <c r="D134" s="38" t="n">
        <f aca="false">PL!$D$114+PL!$D$130-ext_sh*Thesis!$D$100</f>
        <v>60.2799375433739</v>
      </c>
      <c r="E134" s="38" t="n">
        <f aca="false">PL!$E$114+PL!$E$130-ext_sh*Thesis!$E$100</f>
        <v>39.5095167090767</v>
      </c>
      <c r="F134" s="38" t="n">
        <f aca="false">PL!$F$114+PL!$F$130-ext_sh*Thesis!$F$100</f>
        <v>37.993321722478</v>
      </c>
      <c r="G134" s="38" t="n">
        <f aca="false">PL!$G$114+PL!$G$130-ext_sh*Thesis!$G$100</f>
        <v>77.5028384315548</v>
      </c>
      <c r="H134" s="38" t="n">
        <f aca="false">PL!$H$114+PL!$H$130-ext_sh*Thesis!$H$100</f>
        <v>85.2394217279746</v>
      </c>
      <c r="I134" s="38" t="n">
        <f aca="false">PL!$I$114+PL!$I$130-ext_sh*Thesis!$I$100</f>
        <v>94.6373589713254</v>
      </c>
      <c r="J134" s="38" t="n">
        <f aca="false">PL!$J$114+PL!$J$130-ext_sh*Thesis!$J$100</f>
        <v>103.639899284146</v>
      </c>
      <c r="K134" s="38" t="n">
        <f aca="false">PL!$K$114+PL!$K$130-ext_sh*Thesis!$K$100</f>
        <v>111.931091226878</v>
      </c>
      <c r="L134" s="38" t="n">
        <f aca="false">PL!$L$114+PL!$L$130-ext_sh*Thesis!$L$100</f>
        <v>120.885578525028</v>
      </c>
      <c r="M134" s="38" t="n">
        <f aca="false">PL!$M$114+PL!$M$130-ext_sh*Thesis!$M$100</f>
        <v>130.55642480703</v>
      </c>
      <c r="N134" s="38" t="n">
        <f aca="false">PL!$N$114+PL!$N$130-ext_sh*Thesis!$N$100</f>
        <v>28.5693781401809</v>
      </c>
      <c r="O134" s="38" t="n">
        <f aca="false">PL!$O$114+PL!$O$130-ext_sh*Thesis!$O$100</f>
        <v>31.7105594031931</v>
      </c>
    </row>
    <row r="135" customFormat="false" ht="17.15" hidden="false" customHeight="false" outlineLevel="0" collapsed="false">
      <c r="A135" s="0" t="s">
        <v>743</v>
      </c>
      <c r="B135" s="0" t="s">
        <v>86</v>
      </c>
      <c r="C135" s="38" t="n">
        <f aca="false">Thesis!$C$103</f>
        <v>1.80694998843362</v>
      </c>
      <c r="D135" s="38" t="n">
        <f aca="false">Thesis!$D$103</f>
        <v>6.77606245662607</v>
      </c>
      <c r="E135" s="38" t="n">
        <f aca="false">Thesis!$E$103</f>
        <v>6.62548329092326</v>
      </c>
      <c r="F135" s="38" t="n">
        <f aca="false">Thesis!$F$103</f>
        <v>11.7200577158706</v>
      </c>
      <c r="G135" s="38" t="n">
        <f aca="false">Thesis!$G$103</f>
        <v>18.3455410067939</v>
      </c>
      <c r="H135" s="38" t="n">
        <f aca="false">Thesis!$H$103</f>
        <v>47.5171727060453</v>
      </c>
      <c r="I135" s="38" t="n">
        <f aca="false">Thesis!$I$103</f>
        <v>80.5539692643667</v>
      </c>
      <c r="J135" s="38" t="n">
        <f aca="false">Thesis!$J$103</f>
        <v>113.759316834883</v>
      </c>
      <c r="K135" s="38" t="n">
        <f aca="false">Thesis!$K$103</f>
        <v>142.084411492169</v>
      </c>
      <c r="L135" s="38" t="n">
        <f aca="false">Thesis!$L$103</f>
        <v>160.69964615804</v>
      </c>
      <c r="M135" s="38" t="n">
        <f aca="false">Thesis!$M$103</f>
        <v>169.577607141793</v>
      </c>
      <c r="N135" s="38" t="n">
        <f aca="false">Thesis!$N$103</f>
        <v>2.37162185981912</v>
      </c>
      <c r="O135" s="38" t="n">
        <f aca="false">Thesis!$O$103</f>
        <v>4.40444059680694</v>
      </c>
    </row>
    <row r="136" customFormat="false" ht="17.15" hidden="false" customHeight="false" outlineLevel="0" collapsed="false">
      <c r="A136" s="0" t="s">
        <v>744</v>
      </c>
      <c r="B136" s="0" t="s">
        <v>86</v>
      </c>
      <c r="C136" s="38" t="n">
        <f aca="false">PL!$C$117+PL!$C$131</f>
        <v>100.66</v>
      </c>
      <c r="D136" s="38" t="n">
        <f aca="false">PL!$D$117+PL!$D$131</f>
        <v>121.835</v>
      </c>
      <c r="E136" s="38" t="n">
        <f aca="false">PL!$E$117+PL!$E$131</f>
        <v>78.016</v>
      </c>
      <c r="F136" s="38" t="n">
        <f aca="false">PL!$F$117+PL!$F$131</f>
        <v>85.580207202011</v>
      </c>
      <c r="G136" s="38" t="n">
        <f aca="false">PL!$G$117+PL!$G$131</f>
        <v>163.596207202011</v>
      </c>
      <c r="H136" s="38" t="n">
        <f aca="false">PL!$H$117+PL!$H$131</f>
        <v>211.252308354151</v>
      </c>
      <c r="I136" s="38" t="n">
        <f aca="false">PL!$I$117+PL!$I$131</f>
        <v>264.28812593412</v>
      </c>
      <c r="J136" s="38" t="n">
        <f aca="false">PL!$J$117+PL!$J$131</f>
        <v>316.529074889914</v>
      </c>
      <c r="K136" s="38" t="n">
        <f aca="false">PL!$K$117+PL!$K$131</f>
        <v>362.163713135636</v>
      </c>
      <c r="L136" s="38" t="n">
        <f aca="false">PL!$L$117+PL!$L$131</f>
        <v>398.637293332179</v>
      </c>
      <c r="M136" s="38" t="n">
        <f aca="false">PL!$M$117+PL!$M$131</f>
        <v>427.614322957878</v>
      </c>
      <c r="N136" s="38" t="n">
        <f aca="false">PL!$N$117+PL!$N$131</f>
        <v>56.398</v>
      </c>
      <c r="O136" s="38" t="n">
        <f aca="false">PL!$O$117+PL!$O$131</f>
        <v>65.437</v>
      </c>
    </row>
    <row r="137" customFormat="false" ht="17.15" hidden="false" customHeight="false" outlineLevel="0" collapsed="false">
      <c r="A137" s="1" t="s">
        <v>745</v>
      </c>
    </row>
    <row r="138" customFormat="false" ht="15" hidden="false" customHeight="false" outlineLevel="0" collapsed="false">
      <c r="A138" s="5" t="s">
        <v>541</v>
      </c>
      <c r="B138" s="0" t="s">
        <v>86</v>
      </c>
      <c r="C138" s="38" t="n">
        <f aca="false">Q!$D$34</f>
        <v>2.406</v>
      </c>
      <c r="D138" s="38" t="n">
        <f aca="false">Q!$E$34</f>
        <v>2.274</v>
      </c>
      <c r="E138" s="38" t="n">
        <f aca="false">Q!$P$34</f>
        <v>2.114</v>
      </c>
      <c r="F138" s="38" t="n">
        <f aca="false">CF!$F$69</f>
        <v>3.24888962733561</v>
      </c>
      <c r="G138" s="38" t="n">
        <f aca="false">PL!$E$138+PL!$F$138</f>
        <v>5.36288962733561</v>
      </c>
      <c r="H138" s="38" t="n">
        <f aca="false">CF!$H$69</f>
        <v>7.42354172302123</v>
      </c>
      <c r="I138" s="38" t="n">
        <f aca="false">CF!$I$69</f>
        <v>8.2931747618896</v>
      </c>
      <c r="J138" s="38" t="n">
        <f aca="false">CF!$J$69</f>
        <v>9.27718179522602</v>
      </c>
      <c r="K138" s="38" t="n">
        <f aca="false">CF!$K$69</f>
        <v>9.27718179522602</v>
      </c>
      <c r="L138" s="38" t="n">
        <f aca="false">CF!$L$69</f>
        <v>9.27718179522602</v>
      </c>
      <c r="M138" s="38" t="n">
        <f aca="false">CF!$M$69</f>
        <v>9.27718179522602</v>
      </c>
      <c r="N138" s="38" t="n">
        <f aca="false">Q!$N$34</f>
        <v>1.057</v>
      </c>
      <c r="O138" s="38" t="n">
        <f aca="false">Q!$O$34</f>
        <v>1.217</v>
      </c>
    </row>
    <row r="139" customFormat="false" ht="15" hidden="false" customHeight="false" outlineLevel="0" collapsed="false">
      <c r="A139" s="5" t="s">
        <v>746</v>
      </c>
      <c r="B139" s="0" t="s">
        <v>86</v>
      </c>
      <c r="F139" s="38" t="n">
        <f aca="false">CF!$F$70</f>
        <v>2.59</v>
      </c>
      <c r="H139" s="38" t="n">
        <f aca="false">CF!$H$70</f>
        <v>3.80133635330174</v>
      </c>
      <c r="I139" s="38" t="n">
        <f aca="false">CF!$I$70</f>
        <v>2.10589651022864</v>
      </c>
      <c r="J139" s="38" t="n">
        <f aca="false">CF!$J$70</f>
        <v>2.10589651022864</v>
      </c>
      <c r="K139" s="38" t="n">
        <f aca="false">CF!$K$70</f>
        <v>3.14850442073996</v>
      </c>
      <c r="L139" s="38" t="n">
        <f aca="false">CF!$L$70</f>
        <v>8.25959583122945</v>
      </c>
      <c r="M139" s="38" t="n">
        <f aca="false">CF!$M$70</f>
        <v>15.8335708401143</v>
      </c>
    </row>
    <row r="140" customFormat="false" ht="17.15" hidden="false" customHeight="false" outlineLevel="0" collapsed="false">
      <c r="A140" s="5" t="s">
        <v>747</v>
      </c>
      <c r="B140" s="0" t="s">
        <v>86</v>
      </c>
      <c r="C140" s="38" t="n">
        <f aca="false">Q!$D$39</f>
        <v>2.427</v>
      </c>
      <c r="D140" s="38" t="n">
        <f aca="false">Q!$E$39</f>
        <v>19.61</v>
      </c>
      <c r="E140" s="38" t="n">
        <f aca="false">Q!$P$39</f>
        <v>71.492</v>
      </c>
      <c r="F140" s="39" t="n">
        <v>0</v>
      </c>
      <c r="G140" s="38" t="n">
        <f aca="false">PL!$E$140+PL!$F$140</f>
        <v>71.492</v>
      </c>
      <c r="H140" s="39" t="n">
        <v>0</v>
      </c>
      <c r="I140" s="39" t="n">
        <v>0</v>
      </c>
      <c r="J140" s="39" t="n">
        <v>0</v>
      </c>
      <c r="K140" s="39" t="n">
        <v>0</v>
      </c>
      <c r="L140" s="39" t="n">
        <v>0</v>
      </c>
      <c r="M140" s="39" t="n">
        <v>0</v>
      </c>
      <c r="N140" s="38" t="n">
        <f aca="false">Q!$N$39</f>
        <v>6.017</v>
      </c>
      <c r="O140" s="38" t="n">
        <f aca="false">Q!$O$39</f>
        <v>13.593</v>
      </c>
      <c r="P140" s="5" t="s">
        <v>748</v>
      </c>
    </row>
    <row r="141" customFormat="false" ht="15" hidden="false" customHeight="false" outlineLevel="0" collapsed="false">
      <c r="A141" s="5" t="s">
        <v>544</v>
      </c>
      <c r="B141" s="0" t="s">
        <v>86</v>
      </c>
      <c r="C141" s="38" t="n">
        <f aca="false">Q!$D$36</f>
        <v>68.614</v>
      </c>
      <c r="D141" s="38" t="n">
        <f aca="false">Q!$E$36</f>
        <v>97.311</v>
      </c>
      <c r="E141" s="38" t="n">
        <f aca="false">Q!$P$36</f>
        <v>120.691</v>
      </c>
      <c r="F141" s="38" t="n">
        <f aca="false">PL!$F$117-PL!$F$138+PL!$F$139+PL!$F$140</f>
        <v>55.629999609589</v>
      </c>
      <c r="G141" s="38" t="n">
        <f aca="false">PL!$E$141+PL!$F$141</f>
        <v>176.320999609589</v>
      </c>
      <c r="H141" s="38" t="n">
        <f aca="false">PL!$H$117-PL!$H$138+PL!$H$139+PL!$H$140</f>
        <v>123.313761885917</v>
      </c>
      <c r="I141" s="38" t="n">
        <f aca="false">PL!$I$117-PL!$I$138+PL!$I$139+PL!$I$140</f>
        <v>141.060502691455</v>
      </c>
      <c r="J141" s="38" t="n">
        <f aca="false">PL!$J$117-PL!$J$138+PL!$J$139+PL!$J$140</f>
        <v>158.858808130232</v>
      </c>
      <c r="K141" s="38" t="n">
        <f aca="false">PL!$K$117-PL!$K$138+PL!$K$139+PL!$K$140</f>
        <v>171.846913790867</v>
      </c>
      <c r="L141" s="38" t="n">
        <f aca="false">PL!$L$117-PL!$L$138+PL!$L$139+PL!$L$140</f>
        <v>189.850989307375</v>
      </c>
      <c r="M141" s="38" t="n">
        <f aca="false">PL!$M$117-PL!$M$138+PL!$M$139+PL!$M$140</f>
        <v>210.166777355014</v>
      </c>
      <c r="N141" s="38" t="n">
        <f aca="false">Q!$N$36</f>
        <v>42.536</v>
      </c>
      <c r="O141" s="38" t="n">
        <f aca="false">Q!$O$36</f>
        <v>54.775</v>
      </c>
    </row>
    <row r="142" customFormat="false" ht="15" hidden="false" customHeight="false" outlineLevel="0" collapsed="false">
      <c r="A142" s="5" t="s">
        <v>545</v>
      </c>
      <c r="B142" s="0" t="s">
        <v>86</v>
      </c>
      <c r="C142" s="38" t="n">
        <f aca="false">Q!$D$37</f>
        <v>9.265</v>
      </c>
      <c r="D142" s="38" t="n">
        <f aca="false">Q!$E$37</f>
        <v>19.087</v>
      </c>
      <c r="E142" s="38" t="n">
        <f aca="false">Q!$P$37</f>
        <v>27.759</v>
      </c>
      <c r="F142" s="38" t="n">
        <f aca="false">PL!$F$141*tax</f>
        <v>9.65650714815835</v>
      </c>
      <c r="G142" s="38" t="n">
        <f aca="false">PL!$E$142+PL!$F$142</f>
        <v>37.4155071481584</v>
      </c>
      <c r="H142" s="38" t="n">
        <f aca="false">PL!$H$141*tax</f>
        <v>21.4053609828247</v>
      </c>
      <c r="I142" s="38" t="n">
        <f aca="false">PL!$I$141*tax</f>
        <v>24.4859205846201</v>
      </c>
      <c r="J142" s="38" t="n">
        <f aca="false">PL!$J$141*tax</f>
        <v>27.5754310088666</v>
      </c>
      <c r="K142" s="38" t="n">
        <f aca="false">PL!$K$141*tax</f>
        <v>29.8299651816718</v>
      </c>
      <c r="L142" s="38" t="n">
        <f aca="false">PL!$L$141*tax</f>
        <v>32.9551941074541</v>
      </c>
      <c r="M142" s="38" t="n">
        <f aca="false">PL!$M$141*tax</f>
        <v>36.4817005586366</v>
      </c>
      <c r="N142" s="38" t="n">
        <f aca="false">Q!$N$37</f>
        <v>7.231</v>
      </c>
      <c r="O142" s="38" t="n">
        <f aca="false">Q!$O$37</f>
        <v>11.856</v>
      </c>
    </row>
    <row r="143" customFormat="false" ht="15" hidden="false" customHeight="false" outlineLevel="0" collapsed="false">
      <c r="A143" s="3" t="s">
        <v>546</v>
      </c>
      <c r="B143" s="8" t="s">
        <v>86</v>
      </c>
      <c r="C143" s="38" t="n">
        <f aca="false">Q!$D$38</f>
        <v>59.248</v>
      </c>
      <c r="D143" s="38" t="n">
        <f aca="false">Q!$E$38</f>
        <v>77.67</v>
      </c>
      <c r="E143" s="38" t="n">
        <f aca="false">Q!$P$38</f>
        <v>92.902</v>
      </c>
      <c r="F143" s="38" t="n">
        <f aca="false">PL!$F$141-PL!$F$142</f>
        <v>45.9734924614306</v>
      </c>
      <c r="G143" s="38" t="n">
        <f aca="false">PL!$E$143+PL!$F$143</f>
        <v>138.875492461431</v>
      </c>
      <c r="H143" s="38" t="n">
        <f aca="false">PL!$H$141-PL!$H$142</f>
        <v>101.908400903092</v>
      </c>
      <c r="I143" s="38" t="n">
        <f aca="false">PL!$I$141-PL!$I$142</f>
        <v>116.574582106835</v>
      </c>
      <c r="J143" s="38" t="n">
        <f aca="false">PL!$J$141-PL!$J$142</f>
        <v>131.283377121365</v>
      </c>
      <c r="K143" s="38" t="n">
        <f aca="false">PL!$K$141-PL!$K$142</f>
        <v>142.016948609195</v>
      </c>
      <c r="L143" s="38" t="n">
        <f aca="false">PL!$L$141-PL!$L$142</f>
        <v>156.895795199921</v>
      </c>
      <c r="M143" s="38" t="n">
        <f aca="false">PL!$M$141-PL!$M$142</f>
        <v>173.685076796377</v>
      </c>
      <c r="N143" s="38" t="n">
        <f aca="false">Q!$N$38</f>
        <v>35.291</v>
      </c>
      <c r="O143" s="38" t="n">
        <f aca="false">Q!$O$38</f>
        <v>42.379</v>
      </c>
    </row>
    <row r="144" customFormat="false" ht="17.15" hidden="false" customHeight="false" outlineLevel="0" collapsed="false">
      <c r="A144" s="5" t="s">
        <v>549</v>
      </c>
      <c r="B144" s="5" t="s">
        <v>33</v>
      </c>
      <c r="C144" s="22" t="n">
        <f aca="false">Q!$D$41</f>
        <v>10.721</v>
      </c>
      <c r="D144" s="22" t="n">
        <f aca="false">Q!$E$41</f>
        <v>10.827</v>
      </c>
      <c r="E144" s="22" t="n">
        <f aca="false">(Q!$L$41+Q!$M$41)/2</f>
        <v>10.8885</v>
      </c>
      <c r="F144" s="22" t="n">
        <f aca="false">PL!$G$144</f>
        <v>10.924806</v>
      </c>
      <c r="G144" s="22" t="n">
        <f aca="false">Q!$M$41*(1+sh_g*0.25)</f>
        <v>10.924806</v>
      </c>
      <c r="H144" s="22" t="n">
        <f aca="false">PL!$G$144*(1+sh_g)</f>
        <v>11.012204448</v>
      </c>
      <c r="I144" s="22" t="n">
        <f aca="false">PL!$H$144*(1+sh_g)</f>
        <v>11.100302083584</v>
      </c>
      <c r="J144" s="22" t="n">
        <f aca="false">PL!$I$144*(1+sh_g)</f>
        <v>11.1891045002527</v>
      </c>
      <c r="K144" s="22" t="n">
        <f aca="false">PL!$J$144*(1+sh_g)</f>
        <v>11.2786173362547</v>
      </c>
      <c r="L144" s="22" t="n">
        <f aca="false">PL!$K$144*(1+sh_g)</f>
        <v>11.3688462749447</v>
      </c>
      <c r="M144" s="22" t="n">
        <f aca="false">PL!$L$144*(1+sh_g)</f>
        <v>11.4597970451443</v>
      </c>
      <c r="P144" s="5" t="s">
        <v>749</v>
      </c>
    </row>
    <row r="145" customFormat="false" ht="17.15" hidden="false" customHeight="false" outlineLevel="0" collapsed="false">
      <c r="A145" s="5" t="s">
        <v>750</v>
      </c>
      <c r="B145" s="0" t="s">
        <v>86</v>
      </c>
      <c r="C145" s="38" t="n">
        <f aca="false">PL!$C$143+PL!$C$119*(1-tax)</f>
        <v>59.248</v>
      </c>
      <c r="D145" s="38" t="n">
        <f aca="false">PL!$D$143+PL!$D$119*(1-tax)</f>
        <v>77.67</v>
      </c>
      <c r="E145" s="38" t="n">
        <f aca="false">PL!$E$143+PL!$E$119*(1-tax)</f>
        <v>92.902</v>
      </c>
      <c r="F145" s="38" t="n">
        <f aca="false">PL!$F$143+PL!$F$119*(1-tax)</f>
        <v>49.0900874210793</v>
      </c>
      <c r="G145" s="38" t="n">
        <f aca="false">PL!$G$143+PL!$G$119*(1-tax)</f>
        <v>141.992087421079</v>
      </c>
      <c r="H145" s="38" t="n">
        <f aca="false">PL!$H$143+PL!$H$119*(1-tax)</f>
        <v>114.439796858437</v>
      </c>
      <c r="I145" s="38" t="n">
        <f aca="false">PL!$I$143+PL!$I$119*(1-tax)</f>
        <v>137.715847181774</v>
      </c>
      <c r="J145" s="38" t="n">
        <f aca="false">PL!$J$143+PL!$J$119*(1-tax)</f>
        <v>161.072814065649</v>
      </c>
      <c r="K145" s="38" t="n">
        <f aca="false">PL!$K$143+PL!$K$119*(1-tax)</f>
        <v>179.184254305854</v>
      </c>
      <c r="L145" s="38" t="n">
        <f aca="false">PL!$L$143+PL!$L$119*(1-tax)</f>
        <v>198.911872540476</v>
      </c>
      <c r="M145" s="38" t="n">
        <f aca="false">PL!$M$143+PL!$M$119*(1-tax)</f>
        <v>218.014598987218</v>
      </c>
      <c r="N145" s="38" t="n">
        <f aca="false">PL!$N$143+PL!$N$119*(1-tax)</f>
        <v>35.291</v>
      </c>
      <c r="O145" s="38" t="n">
        <f aca="false">PL!$O$143+PL!$O$119*(1-tax)</f>
        <v>42.379</v>
      </c>
    </row>
    <row r="146" customFormat="false" ht="17.15" hidden="false" customHeight="false" outlineLevel="0" collapsed="false">
      <c r="A146" s="43" t="s">
        <v>751</v>
      </c>
      <c r="B146" s="14" t="s">
        <v>27</v>
      </c>
      <c r="C146" s="44" t="n">
        <f aca="false">PL!$C$145/PL!$C$144</f>
        <v>5.52635015390355</v>
      </c>
      <c r="D146" s="44" t="n">
        <f aca="false">PL!$D$145/PL!$D$144</f>
        <v>7.1737323358271</v>
      </c>
      <c r="E146" s="44" t="n">
        <f aca="false">PL!$E$145/PL!$E$144</f>
        <v>8.53212104513937</v>
      </c>
      <c r="F146" s="14"/>
      <c r="G146" s="44" t="n">
        <f aca="false">PL!$G$145/PL!$G$144</f>
        <v>12.9972182042481</v>
      </c>
      <c r="H146" s="44" t="n">
        <f aca="false">PL!$H$145/PL!$H$144</f>
        <v>10.3920879237963</v>
      </c>
      <c r="I146" s="44" t="n">
        <f aca="false">PL!$I$145/PL!$I$144</f>
        <v>12.4064954399249</v>
      </c>
      <c r="J146" s="44" t="n">
        <f aca="false">PL!$J$145/PL!$J$144</f>
        <v>14.3955053831172</v>
      </c>
      <c r="K146" s="44" t="n">
        <f aca="false">PL!$K$145/PL!$K$144</f>
        <v>15.8870763111957</v>
      </c>
      <c r="L146" s="44" t="n">
        <f aca="false">PL!$L$145/PL!$L$144</f>
        <v>17.4962232516811</v>
      </c>
      <c r="M146" s="44" t="n">
        <f aca="false">PL!$M$145/PL!$M$144</f>
        <v>19.0242984346389</v>
      </c>
      <c r="N146" s="14"/>
      <c r="O146" s="14"/>
    </row>
    <row r="147" customFormat="false" ht="17.15" hidden="false" customHeight="false" outlineLevel="0" collapsed="false">
      <c r="A147" s="0" t="s">
        <v>752</v>
      </c>
      <c r="B147" s="0" t="s">
        <v>27</v>
      </c>
      <c r="C147" s="30" t="n">
        <f aca="false">PL!$C$143/PL!$C$144</f>
        <v>5.52635015390355</v>
      </c>
      <c r="D147" s="30" t="n">
        <f aca="false">PL!$D$143/PL!$D$144</f>
        <v>7.1737323358271</v>
      </c>
      <c r="E147" s="30" t="n">
        <f aca="false">PL!$E$143/PL!$E$144</f>
        <v>8.53212104513937</v>
      </c>
      <c r="G147" s="30" t="n">
        <f aca="false">PL!$G$143/PL!$G$144</f>
        <v>12.7119412886078</v>
      </c>
      <c r="H147" s="30" t="n">
        <f aca="false">PL!$H$143/PL!$H$144</f>
        <v>9.25413266565353</v>
      </c>
      <c r="I147" s="30" t="n">
        <f aca="false">PL!$I$143/PL!$I$144</f>
        <v>10.501928796986</v>
      </c>
      <c r="J147" s="30" t="n">
        <f aca="false">PL!$J$143/PL!$J$144</f>
        <v>11.7331442492472</v>
      </c>
      <c r="K147" s="30" t="n">
        <f aca="false">PL!$K$143/PL!$K$144</f>
        <v>12.5916984657939</v>
      </c>
      <c r="L147" s="30" t="n">
        <f aca="false">PL!$L$143/PL!$L$144</f>
        <v>13.8005028307662</v>
      </c>
      <c r="M147" s="30" t="n">
        <f aca="false">PL!$M$143/PL!$M$144</f>
        <v>15.1560342746184</v>
      </c>
    </row>
    <row r="148" customFormat="false" ht="17.15" hidden="false" customHeight="false" outlineLevel="0" collapsed="false">
      <c r="A148" s="0" t="s">
        <v>753</v>
      </c>
      <c r="B148" s="0" t="s">
        <v>27</v>
      </c>
      <c r="C148" s="30" t="n">
        <f aca="false">(PL!$C$143-PL!$C$140*(1-tax))/PL!$C$144</f>
        <v>5.33926775917445</v>
      </c>
      <c r="D148" s="30" t="n">
        <f aca="false">(PL!$D$143-PL!$D$140*(1-tax))/PL!$D$144</f>
        <v>5.67691812755503</v>
      </c>
      <c r="E148" s="30" t="n">
        <f aca="false">(PL!$E$143-PL!$E$140*(1-tax))/PL!$E$144</f>
        <v>3.10602057006846</v>
      </c>
      <c r="G148" s="30" t="n">
        <f aca="false">(PL!$G$143-PL!$G$140*(1-tax))/PL!$G$144</f>
        <v>7.30387317071086</v>
      </c>
      <c r="H148" s="30" t="n">
        <f aca="false">(PL!$H$143-PL!$H$140*(1-tax))/PL!$H$144</f>
        <v>9.25413266565353</v>
      </c>
      <c r="I148" s="30" t="n">
        <f aca="false">(PL!$I$143-PL!$I$140*(1-tax))/PL!$I$144</f>
        <v>10.501928796986</v>
      </c>
      <c r="J148" s="30" t="n">
        <f aca="false">(PL!$J$143-PL!$J$140*(1-tax))/PL!$J$144</f>
        <v>11.7331442492472</v>
      </c>
      <c r="K148" s="30" t="n">
        <f aca="false">(PL!$K$143-PL!$K$140*(1-tax))/PL!$K$144</f>
        <v>12.5916984657939</v>
      </c>
      <c r="L148" s="30" t="n">
        <f aca="false">(PL!$L$143-PL!$L$140*(1-tax))/PL!$L$144</f>
        <v>13.8005028307662</v>
      </c>
      <c r="M148" s="30" t="n">
        <f aca="false">(PL!$M$143-PL!$M$140*(1-tax))/PL!$M$144</f>
        <v>15.1560342746184</v>
      </c>
      <c r="P148" s="5" t="s">
        <v>754</v>
      </c>
    </row>
    <row r="149" customFormat="false" ht="17.15" hidden="false" customHeight="false" outlineLevel="0" collapsed="false">
      <c r="A149" s="0" t="s">
        <v>755</v>
      </c>
      <c r="B149" s="0" t="s">
        <v>52</v>
      </c>
      <c r="H149" s="13" t="n">
        <f aca="false">PL!$H$146/PL!$G$146-1</f>
        <v>-0.200437527439553</v>
      </c>
      <c r="I149" s="13" t="n">
        <f aca="false">PL!$I$146/PL!$H$146-1</f>
        <v>0.193840499705158</v>
      </c>
      <c r="J149" s="13" t="n">
        <f aca="false">PL!$J$146/PL!$I$146-1</f>
        <v>0.160320047899391</v>
      </c>
      <c r="K149" s="13" t="n">
        <f aca="false">PL!$K$146/PL!$J$146-1</f>
        <v>0.103613654983436</v>
      </c>
      <c r="L149" s="13" t="n">
        <f aca="false">PL!$L$146/PL!$K$146-1</f>
        <v>0.101286536865904</v>
      </c>
      <c r="M149" s="13" t="n">
        <f aca="false">PL!$M$146/PL!$L$146-1</f>
        <v>0.0873374305400994</v>
      </c>
    </row>
    <row r="152" customFormat="false" ht="19.4" hidden="false" customHeight="false" outlineLevel="0" collapsed="false">
      <c r="A152" s="31" t="s">
        <v>759</v>
      </c>
    </row>
    <row r="153" customFormat="false" ht="17.15" hidden="false" customHeight="false" outlineLevel="0" collapsed="false">
      <c r="A153" s="6" t="s">
        <v>16</v>
      </c>
      <c r="B153" s="6" t="s">
        <v>17</v>
      </c>
      <c r="C153" s="20" t="s">
        <v>494</v>
      </c>
      <c r="D153" s="20" t="s">
        <v>495</v>
      </c>
      <c r="E153" s="20" t="s">
        <v>577</v>
      </c>
      <c r="F153" s="20" t="s">
        <v>578</v>
      </c>
      <c r="G153" s="20" t="s">
        <v>579</v>
      </c>
      <c r="H153" s="20" t="s">
        <v>580</v>
      </c>
      <c r="I153" s="20" t="s">
        <v>581</v>
      </c>
      <c r="J153" s="20" t="s">
        <v>582</v>
      </c>
      <c r="K153" s="20" t="s">
        <v>583</v>
      </c>
      <c r="L153" s="20" t="s">
        <v>584</v>
      </c>
      <c r="M153" s="20" t="s">
        <v>585</v>
      </c>
      <c r="N153" s="20" t="s">
        <v>586</v>
      </c>
      <c r="O153" s="20" t="s">
        <v>587</v>
      </c>
      <c r="P153" s="6" t="s">
        <v>23</v>
      </c>
      <c r="R153" s="20" t="n">
        <v>2023</v>
      </c>
      <c r="S153" s="20" t="n">
        <v>2024</v>
      </c>
      <c r="T153" s="20" t="n">
        <v>2025</v>
      </c>
      <c r="U153" s="20" t="n">
        <v>2026</v>
      </c>
      <c r="V153" s="20" t="n">
        <v>2027</v>
      </c>
      <c r="W153" s="20" t="n">
        <v>2028</v>
      </c>
      <c r="X153" s="20" t="n">
        <v>2029</v>
      </c>
      <c r="Y153" s="20" t="n">
        <v>2030</v>
      </c>
      <c r="Z153" s="20" t="n">
        <v>2031</v>
      </c>
      <c r="AA153" s="20" t="n">
        <v>2032</v>
      </c>
    </row>
    <row r="154" customFormat="false" ht="17.15" hidden="false" customHeight="false" outlineLevel="0" collapsed="false">
      <c r="A154" s="1" t="s">
        <v>710</v>
      </c>
    </row>
    <row r="155" customFormat="false" ht="15" hidden="false" customHeight="false" outlineLevel="0" collapsed="false">
      <c r="A155" s="0" t="s">
        <v>516</v>
      </c>
      <c r="B155" s="0" t="s">
        <v>86</v>
      </c>
      <c r="C155" s="38" t="n">
        <f aca="false">Seg!$C$77</f>
        <v>247.029</v>
      </c>
      <c r="D155" s="38" t="n">
        <f aca="false">Seg!$D$77</f>
        <v>269.287</v>
      </c>
      <c r="E155" s="38" t="n">
        <f aca="false">Seg!$E$77</f>
        <v>134.686</v>
      </c>
      <c r="F155" s="38" t="n">
        <f aca="false">Seg!$F$77</f>
        <v>158.668476412251</v>
      </c>
      <c r="G155" s="38" t="n">
        <f aca="false">Seg!$G$77</f>
        <v>293.354476412251</v>
      </c>
      <c r="H155" s="38" t="n">
        <f aca="false">Seg!$H$77</f>
        <v>318.591368978214</v>
      </c>
      <c r="I155" s="38" t="n">
        <f aca="false">Seg!$I$77</f>
        <v>342.173217541669</v>
      </c>
      <c r="J155" s="38" t="n">
        <f aca="false">Seg!$J$77</f>
        <v>363.391225945525</v>
      </c>
      <c r="K155" s="38" t="n">
        <f aca="false">Seg!$K$77</f>
        <v>381.560787242802</v>
      </c>
      <c r="L155" s="38" t="n">
        <f aca="false">Seg!$L$77</f>
        <v>400.638826604942</v>
      </c>
      <c r="M155" s="38" t="n">
        <f aca="false">Seg!$M$77</f>
        <v>420.670767935189</v>
      </c>
      <c r="N155" s="38" t="n">
        <f aca="false">Seg!$N$77</f>
        <v>118.892</v>
      </c>
      <c r="O155" s="38" t="n">
        <f aca="false">Seg!$O$77</f>
        <v>150.395</v>
      </c>
    </row>
    <row r="156" customFormat="false" ht="15" hidden="false" customHeight="false" outlineLevel="0" collapsed="false">
      <c r="A156" s="0" t="s">
        <v>517</v>
      </c>
      <c r="B156" s="0" t="s">
        <v>86</v>
      </c>
      <c r="C156" s="38" t="n">
        <f aca="false">Seg!$C$79</f>
        <v>21.215</v>
      </c>
      <c r="D156" s="38" t="n">
        <f aca="false">Seg!$D$79</f>
        <v>22.561</v>
      </c>
      <c r="E156" s="38" t="n">
        <f aca="false">Seg!$E$79</f>
        <v>11.579</v>
      </c>
      <c r="F156" s="38" t="n">
        <f aca="false">Seg!$F$79</f>
        <v>11.6213091500405</v>
      </c>
      <c r="G156" s="38" t="n">
        <f aca="false">Seg!$G$79</f>
        <v>23.2003091500405</v>
      </c>
      <c r="H156" s="38" t="n">
        <f aca="false">Seg!$H$79</f>
        <v>24.3822271849556</v>
      </c>
      <c r="I156" s="38" t="n">
        <f aca="false">Seg!$I$79</f>
        <v>25.4541359521165</v>
      </c>
      <c r="J156" s="38" t="n">
        <f aca="false">Seg!$J$79</f>
        <v>26.3954643817717</v>
      </c>
      <c r="K156" s="38" t="n">
        <f aca="false">Seg!$K$79</f>
        <v>27.1873283132248</v>
      </c>
      <c r="L156" s="38" t="n">
        <f aca="false">Seg!$L$79</f>
        <v>28.0029481626215</v>
      </c>
      <c r="M156" s="38" t="n">
        <f aca="false">Seg!$M$79</f>
        <v>28.8430366075002</v>
      </c>
      <c r="N156" s="38" t="n">
        <f aca="false">Seg!$N$79</f>
        <v>11.128</v>
      </c>
      <c r="O156" s="38" t="n">
        <f aca="false">Seg!$O$79</f>
        <v>11.433</v>
      </c>
    </row>
    <row r="157" customFormat="false" ht="15" hidden="false" customHeight="false" outlineLevel="0" collapsed="false">
      <c r="A157" s="0" t="s">
        <v>518</v>
      </c>
      <c r="B157" s="0" t="s">
        <v>86</v>
      </c>
      <c r="C157" s="38" t="n">
        <f aca="false">Seg!$C$81</f>
        <v>156.146</v>
      </c>
      <c r="D157" s="38" t="n">
        <f aca="false">Seg!$D$81</f>
        <v>172.162</v>
      </c>
      <c r="E157" s="38" t="n">
        <f aca="false">Seg!$E$81</f>
        <v>88.358</v>
      </c>
      <c r="F157" s="38" t="n">
        <f aca="false">Seg!$F$81</f>
        <v>102.245779795877</v>
      </c>
      <c r="G157" s="38" t="n">
        <f aca="false">Seg!$G$81</f>
        <v>190.603779795877</v>
      </c>
      <c r="H157" s="38" t="n">
        <f aca="false">Seg!$H$81</f>
        <v>210.60983493727</v>
      </c>
      <c r="I157" s="38" t="n">
        <f aca="false">Seg!$I$81</f>
        <v>230.261344640224</v>
      </c>
      <c r="J157" s="38" t="n">
        <f aca="false">Seg!$J$81</f>
        <v>249.063064692541</v>
      </c>
      <c r="K157" s="38" t="n">
        <f aca="false">Seg!$K$81</f>
        <v>266.497479221019</v>
      </c>
      <c r="L157" s="38" t="n">
        <f aca="false">Seg!$L$81</f>
        <v>285.15230276649</v>
      </c>
      <c r="M157" s="38" t="n">
        <f aca="false">Seg!$M$81</f>
        <v>305.112963960145</v>
      </c>
      <c r="N157" s="38" t="n">
        <f aca="false">Seg!$N$81</f>
        <v>76.86</v>
      </c>
      <c r="O157" s="38" t="n">
        <f aca="false">Seg!$O$81</f>
        <v>95.302</v>
      </c>
    </row>
    <row r="158" customFormat="false" ht="15" hidden="false" customHeight="false" outlineLevel="0" collapsed="false">
      <c r="A158" s="0" t="s">
        <v>519</v>
      </c>
      <c r="B158" s="0" t="s">
        <v>86</v>
      </c>
      <c r="C158" s="38" t="n">
        <f aca="false">Seg!$C$83</f>
        <v>56.214</v>
      </c>
      <c r="D158" s="38" t="n">
        <f aca="false">Seg!$D$83</f>
        <v>68.635</v>
      </c>
      <c r="E158" s="38" t="n">
        <f aca="false">Seg!$E$83</f>
        <v>37.052</v>
      </c>
      <c r="F158" s="38" t="n">
        <f aca="false">Seg!$F$83</f>
        <v>46.2664522235369</v>
      </c>
      <c r="G158" s="38" t="n">
        <f aca="false">Seg!$G$83</f>
        <v>83.3184522235369</v>
      </c>
      <c r="H158" s="38" t="n">
        <f aca="false">Seg!$H$83</f>
        <v>100.028058858826</v>
      </c>
      <c r="I158" s="38" t="n">
        <f aca="false">Seg!$I$83</f>
        <v>116.736151823813</v>
      </c>
      <c r="J158" s="38" t="n">
        <f aca="false">Seg!$J$83</f>
        <v>132.322416213921</v>
      </c>
      <c r="K158" s="38" t="n">
        <f aca="false">Seg!$K$83</f>
        <v>145.554657835313</v>
      </c>
      <c r="L158" s="38" t="n">
        <f aca="false">Seg!$L$83</f>
        <v>160.110123618844</v>
      </c>
      <c r="M158" s="38" t="n">
        <f aca="false">Seg!$M$83</f>
        <v>176.121135980728</v>
      </c>
      <c r="N158" s="38" t="n">
        <f aca="false">Seg!$N$83</f>
        <v>29.615</v>
      </c>
      <c r="O158" s="38" t="n">
        <f aca="false">Seg!$O$83</f>
        <v>39.02</v>
      </c>
    </row>
    <row r="159" customFormat="false" ht="15" hidden="false" customHeight="false" outlineLevel="0" collapsed="false">
      <c r="A159" s="0" t="s">
        <v>520</v>
      </c>
      <c r="B159" s="0" t="s">
        <v>86</v>
      </c>
      <c r="C159" s="38" t="n">
        <f aca="false">Seg!$C$85</f>
        <v>44.374</v>
      </c>
      <c r="D159" s="38" t="n">
        <f aca="false">Seg!$D$85</f>
        <v>49.619</v>
      </c>
      <c r="E159" s="38" t="n">
        <f aca="false">Seg!$E$85</f>
        <v>27.157</v>
      </c>
      <c r="F159" s="38" t="n">
        <f aca="false">Seg!$F$85</f>
        <v>27.8421489851719</v>
      </c>
      <c r="G159" s="38" t="n">
        <f aca="false">Seg!$G$85</f>
        <v>54.9991489851719</v>
      </c>
      <c r="H159" s="38" t="n">
        <f aca="false">Seg!$H$85</f>
        <v>61.229589971467</v>
      </c>
      <c r="I159" s="38" t="n">
        <f aca="false">Seg!$I$85</f>
        <v>67.2824410074817</v>
      </c>
      <c r="J159" s="38" t="n">
        <f aca="false">Seg!$J$85</f>
        <v>72.9629292513489</v>
      </c>
      <c r="K159" s="38" t="n">
        <f aca="false">Seg!$K$85</f>
        <v>78.0703342989433</v>
      </c>
      <c r="L159" s="38" t="n">
        <f aca="false">Seg!$L$85</f>
        <v>83.5352576998693</v>
      </c>
      <c r="M159" s="38" t="n">
        <f aca="false">Seg!$M$85</f>
        <v>89.3827257388602</v>
      </c>
      <c r="N159" s="38" t="n">
        <f aca="false">Seg!$N$85</f>
        <v>23.923</v>
      </c>
      <c r="O159" s="38" t="n">
        <f aca="false">Seg!$O$85</f>
        <v>25.696</v>
      </c>
    </row>
    <row r="160" customFormat="false" ht="15" hidden="false" customHeight="false" outlineLevel="0" collapsed="false">
      <c r="A160" s="0" t="s">
        <v>521</v>
      </c>
      <c r="B160" s="0" t="s">
        <v>86</v>
      </c>
      <c r="C160" s="38" t="n">
        <f aca="false">Seg!$C$87</f>
        <v>5.425</v>
      </c>
      <c r="D160" s="38" t="n">
        <f aca="false">Seg!$D$87</f>
        <v>5.935</v>
      </c>
      <c r="E160" s="38" t="n">
        <f aca="false">Seg!$E$87</f>
        <v>3.474</v>
      </c>
      <c r="F160" s="38" t="n">
        <f aca="false">Seg!$F$87</f>
        <v>3.23009141504673</v>
      </c>
      <c r="G160" s="38" t="n">
        <f aca="false">Seg!$G$87</f>
        <v>6.70409141504673</v>
      </c>
      <c r="H160" s="38" t="n">
        <f aca="false">Seg!$H$87</f>
        <v>7.17067008169072</v>
      </c>
      <c r="I160" s="38" t="n">
        <f aca="false">Seg!$I$87</f>
        <v>7.62288173350109</v>
      </c>
      <c r="J160" s="38" t="n">
        <f aca="false">Seg!$J$87</f>
        <v>8.05381875674918</v>
      </c>
      <c r="K160" s="38" t="n">
        <f aca="false">Seg!$K$87</f>
        <v>8.45650969458664</v>
      </c>
      <c r="L160" s="38" t="n">
        <f aca="false">Seg!$L$87</f>
        <v>8.87933517931597</v>
      </c>
      <c r="M160" s="38" t="n">
        <f aca="false">Seg!$M$87</f>
        <v>9.32330193828177</v>
      </c>
      <c r="N160" s="38" t="n">
        <f aca="false">Seg!$N$87</f>
        <v>2.811</v>
      </c>
      <c r="O160" s="38" t="n">
        <f aca="false">Seg!$O$87</f>
        <v>3.124</v>
      </c>
    </row>
    <row r="161" customFormat="false" ht="17.15" hidden="false" customHeight="false" outlineLevel="0" collapsed="false">
      <c r="A161" s="0" t="s">
        <v>711</v>
      </c>
      <c r="B161" s="0" t="s">
        <v>86</v>
      </c>
      <c r="C161" s="38" t="n">
        <f aca="false">Seg!$C$99</f>
        <v>107.556</v>
      </c>
      <c r="D161" s="38" t="n">
        <f aca="false">Seg!$D$99</f>
        <v>128.725</v>
      </c>
      <c r="E161" s="38" t="n">
        <f aca="false">Seg!$E$99</f>
        <v>79.819</v>
      </c>
      <c r="F161" s="38" t="n">
        <f aca="false">Seg!$F$99</f>
        <v>85.9067171025802</v>
      </c>
      <c r="G161" s="38" t="n">
        <f aca="false">Seg!$G$99</f>
        <v>165.72571710258</v>
      </c>
      <c r="H161" s="38" t="n">
        <f aca="false">Seg!$H$99</f>
        <v>214.439367277066</v>
      </c>
      <c r="I161" s="38" t="n">
        <f aca="false">Seg!$I$99</f>
        <v>266.569505776759</v>
      </c>
      <c r="J161" s="38" t="n">
        <f aca="false">Seg!$J$99</f>
        <v>318.105675447219</v>
      </c>
      <c r="K161" s="38" t="n">
        <f aca="false">Seg!$K$99</f>
        <v>363.226047683737</v>
      </c>
      <c r="L161" s="38" t="n">
        <f aca="false">Seg!$L$99</f>
        <v>399.5012130543</v>
      </c>
      <c r="M161" s="38" t="n">
        <f aca="false">Seg!$M$99</f>
        <v>427.006534768838</v>
      </c>
      <c r="N161" s="38" t="n">
        <f aca="false">Seg!$N$99</f>
        <v>60.14</v>
      </c>
      <c r="O161" s="38" t="n">
        <f aca="false">Seg!$O$99</f>
        <v>68.585</v>
      </c>
    </row>
    <row r="162" customFormat="false" ht="15" hidden="false" customHeight="false" outlineLevel="0" collapsed="false">
      <c r="A162" s="1" t="s">
        <v>509</v>
      </c>
      <c r="B162" s="8" t="s">
        <v>86</v>
      </c>
      <c r="C162" s="38" t="n">
        <f aca="false">Seg!$C$92</f>
        <v>387.497</v>
      </c>
      <c r="D162" s="38" t="n">
        <f aca="false">Seg!$D$92</f>
        <v>426.305</v>
      </c>
      <c r="E162" s="38" t="n">
        <f aca="false">Seg!$E$92</f>
        <v>220.32</v>
      </c>
      <c r="F162" s="38" t="n">
        <f aca="false">Seg!$F$92</f>
        <v>251.232907960987</v>
      </c>
      <c r="G162" s="38" t="n">
        <f aca="false">Seg!$G$92</f>
        <v>471.552907960987</v>
      </c>
      <c r="H162" s="38" t="n">
        <f aca="false">Seg!$H$92</f>
        <v>522.043922877831</v>
      </c>
      <c r="I162" s="38" t="n">
        <f aca="false">Seg!$I$92</f>
        <v>570.862494383234</v>
      </c>
      <c r="J162" s="38" t="n">
        <f aca="false">Seg!$J$92</f>
        <v>616.167321967244</v>
      </c>
      <c r="K162" s="38" t="n">
        <f aca="false">Seg!$K$92</f>
        <v>656.034471512881</v>
      </c>
      <c r="L162" s="38" t="n">
        <f aca="false">Seg!$L$92</f>
        <v>698.687873124507</v>
      </c>
      <c r="M162" s="38" t="n">
        <f aca="false">Seg!$M$92</f>
        <v>744.337151241562</v>
      </c>
      <c r="N162" s="38" t="n">
        <f aca="false">Seg!$N$92</f>
        <v>192.955</v>
      </c>
      <c r="O162" s="38" t="n">
        <f aca="false">Seg!$O$92</f>
        <v>233.35</v>
      </c>
    </row>
    <row r="163" customFormat="false" ht="15" hidden="false" customHeight="false" outlineLevel="0" collapsed="false">
      <c r="A163" s="1" t="s">
        <v>512</v>
      </c>
      <c r="B163" s="8" t="s">
        <v>86</v>
      </c>
      <c r="C163" s="38" t="n">
        <f aca="false">Seg!$C$93</f>
        <v>142.906</v>
      </c>
      <c r="D163" s="38" t="n">
        <f aca="false">Seg!$D$93</f>
        <v>161.894</v>
      </c>
      <c r="E163" s="38" t="n">
        <f aca="false">Seg!$E$93</f>
        <v>81.986</v>
      </c>
      <c r="F163" s="38" t="n">
        <f aca="false">Seg!$F$93</f>
        <v>98.6413500209369</v>
      </c>
      <c r="G163" s="38" t="n">
        <f aca="false">Seg!$G$93</f>
        <v>180.627350020937</v>
      </c>
      <c r="H163" s="38" t="n">
        <f aca="false">Seg!$H$93</f>
        <v>199.967827134592</v>
      </c>
      <c r="I163" s="38" t="n">
        <f aca="false">Seg!$I$93</f>
        <v>218.667678315572</v>
      </c>
      <c r="J163" s="38" t="n">
        <f aca="false">Seg!$J$93</f>
        <v>236.021597274613</v>
      </c>
      <c r="K163" s="38" t="n">
        <f aca="false">Seg!$K$93</f>
        <v>251.292625093007</v>
      </c>
      <c r="L163" s="38" t="n">
        <f aca="false">Seg!$L$93</f>
        <v>267.630920907576</v>
      </c>
      <c r="M163" s="38" t="n">
        <f aca="false">Seg!$M$93</f>
        <v>285.116780919142</v>
      </c>
      <c r="N163" s="38" t="n">
        <f aca="false">Seg!$N$93</f>
        <v>70.274</v>
      </c>
      <c r="O163" s="38" t="n">
        <f aca="false">Seg!$O$93</f>
        <v>91.62</v>
      </c>
    </row>
    <row r="164" customFormat="false" ht="15" hidden="false" customHeight="false" outlineLevel="0" collapsed="false">
      <c r="A164" s="1" t="s">
        <v>513</v>
      </c>
      <c r="B164" s="8" t="s">
        <v>86</v>
      </c>
      <c r="C164" s="38" t="n">
        <f aca="false">Seg!$C$99</f>
        <v>107.556</v>
      </c>
      <c r="D164" s="38" t="n">
        <f aca="false">Seg!$D$99</f>
        <v>128.725</v>
      </c>
      <c r="E164" s="38" t="n">
        <f aca="false">Seg!$E$99</f>
        <v>79.819</v>
      </c>
      <c r="F164" s="38" t="n">
        <f aca="false">Seg!$F$99</f>
        <v>85.9067171025802</v>
      </c>
      <c r="G164" s="38" t="n">
        <f aca="false">Seg!$G$99</f>
        <v>165.72571710258</v>
      </c>
      <c r="H164" s="38" t="n">
        <f aca="false">Seg!$H$99</f>
        <v>214.439367277066</v>
      </c>
      <c r="I164" s="38" t="n">
        <f aca="false">Seg!$I$99</f>
        <v>266.569505776759</v>
      </c>
      <c r="J164" s="38" t="n">
        <f aca="false">Seg!$J$99</f>
        <v>318.105675447219</v>
      </c>
      <c r="K164" s="38" t="n">
        <f aca="false">Seg!$K$99</f>
        <v>363.226047683737</v>
      </c>
      <c r="L164" s="38" t="n">
        <f aca="false">Seg!$L$99</f>
        <v>399.5012130543</v>
      </c>
      <c r="M164" s="38" t="n">
        <f aca="false">Seg!$M$99</f>
        <v>427.006534768838</v>
      </c>
      <c r="N164" s="38" t="n">
        <f aca="false">Seg!$N$99</f>
        <v>60.14</v>
      </c>
      <c r="O164" s="38" t="n">
        <f aca="false">Seg!$O$99</f>
        <v>68.585</v>
      </c>
    </row>
    <row r="165" customFormat="false" ht="17.15" hidden="false" customHeight="false" outlineLevel="0" collapsed="false">
      <c r="A165" s="0" t="s">
        <v>685</v>
      </c>
      <c r="B165" s="0" t="s">
        <v>86</v>
      </c>
      <c r="C165" s="38" t="n">
        <f aca="false">Seg!$C$97</f>
        <v>2.32100535697364</v>
      </c>
      <c r="D165" s="38" t="n">
        <f aca="false">Seg!$D$97</f>
        <v>8.70377008865116</v>
      </c>
      <c r="E165" s="38" t="n">
        <f aca="false">Seg!$E$97</f>
        <v>8.51035297557002</v>
      </c>
      <c r="F165" s="38" t="n">
        <f aca="false">Seg!$F$97</f>
        <v>14.1374173083338</v>
      </c>
      <c r="G165" s="38" t="n">
        <f aca="false">Seg!$G$97</f>
        <v>22.6477702839038</v>
      </c>
      <c r="H165" s="38" t="n">
        <f aca="false">Seg!$H$97</f>
        <v>53.4222901978634</v>
      </c>
      <c r="I165" s="38" t="n">
        <f aca="false">Seg!$I$97</f>
        <v>87.7997462553011</v>
      </c>
      <c r="J165" s="38" t="n">
        <f aca="false">Seg!$J$97</f>
        <v>122.330137401312</v>
      </c>
      <c r="K165" s="38" t="n">
        <f aca="false">Seg!$K$97</f>
        <v>151.788466594157</v>
      </c>
      <c r="L165" s="38" t="n">
        <f aca="false">Seg!$L$97</f>
        <v>171.148625477554</v>
      </c>
      <c r="M165" s="38" t="n">
        <f aca="false">Seg!$M$97</f>
        <v>180.385740185952</v>
      </c>
      <c r="N165" s="38" t="n">
        <f aca="false">Seg!$N$97</f>
        <v>3.04631953102791</v>
      </c>
      <c r="O165" s="38" t="n">
        <f aca="false">Seg!$O$97</f>
        <v>5.65745055762326</v>
      </c>
    </row>
    <row r="166" customFormat="false" ht="17.15" hidden="false" customHeight="false" outlineLevel="0" collapsed="false">
      <c r="A166" s="0" t="s">
        <v>687</v>
      </c>
      <c r="B166" s="0" t="s">
        <v>86</v>
      </c>
      <c r="C166" s="38" t="n">
        <f aca="false">Seg!$C$98</f>
        <v>105.234994643026</v>
      </c>
      <c r="D166" s="38" t="n">
        <f aca="false">Seg!$D$98</f>
        <v>120.021229911349</v>
      </c>
      <c r="E166" s="38" t="n">
        <f aca="false">Seg!$E$98</f>
        <v>71.30864702443</v>
      </c>
      <c r="F166" s="38" t="n">
        <f aca="false">Seg!$F$98</f>
        <v>71.7692997942464</v>
      </c>
      <c r="G166" s="38" t="n">
        <f aca="false">Seg!$G$98</f>
        <v>143.077946818676</v>
      </c>
      <c r="H166" s="38" t="n">
        <f aca="false">Seg!$H$98</f>
        <v>161.017077079203</v>
      </c>
      <c r="I166" s="38" t="n">
        <f aca="false">Seg!$I$98</f>
        <v>178.769759521457</v>
      </c>
      <c r="J166" s="38" t="n">
        <f aca="false">Seg!$J$98</f>
        <v>195.775538045907</v>
      </c>
      <c r="K166" s="38" t="n">
        <f aca="false">Seg!$K$98</f>
        <v>211.43758108958</v>
      </c>
      <c r="L166" s="38" t="n">
        <f aca="false">Seg!$L$98</f>
        <v>228.352587576746</v>
      </c>
      <c r="M166" s="38" t="n">
        <f aca="false">Seg!$M$98</f>
        <v>246.620794582886</v>
      </c>
      <c r="N166" s="38" t="n">
        <f aca="false">Seg!$N$98</f>
        <v>57.0936804689721</v>
      </c>
      <c r="O166" s="38" t="n">
        <f aca="false">Seg!$O$98</f>
        <v>62.9275494423768</v>
      </c>
    </row>
    <row r="167" customFormat="false" ht="15" hidden="false" customHeight="false" outlineLevel="0" collapsed="false">
      <c r="A167" s="3" t="s">
        <v>514</v>
      </c>
      <c r="B167" s="8" t="s">
        <v>86</v>
      </c>
      <c r="C167" s="38" t="n">
        <f aca="false">Seg!$C$100</f>
        <v>637.959</v>
      </c>
      <c r="D167" s="38" t="n">
        <f aca="false">Seg!$D$100</f>
        <v>716.924</v>
      </c>
      <c r="E167" s="38" t="n">
        <f aca="false">Seg!$E$100</f>
        <v>382.125</v>
      </c>
      <c r="F167" s="38" t="n">
        <f aca="false">Seg!$F$100</f>
        <v>435.780975084504</v>
      </c>
      <c r="G167" s="38" t="n">
        <f aca="false">Seg!$G$100</f>
        <v>817.905975084504</v>
      </c>
      <c r="H167" s="38" t="n">
        <f aca="false">Seg!$H$100</f>
        <v>936.451117289489</v>
      </c>
      <c r="I167" s="38" t="n">
        <f aca="false">Seg!$I$100</f>
        <v>1056.09967847556</v>
      </c>
      <c r="J167" s="38" t="n">
        <f aca="false">Seg!$J$100</f>
        <v>1170.29459468908</v>
      </c>
      <c r="K167" s="38" t="n">
        <f aca="false">Seg!$K$100</f>
        <v>1270.55314428963</v>
      </c>
      <c r="L167" s="38" t="n">
        <f aca="false">Seg!$L$100</f>
        <v>1365.82000708638</v>
      </c>
      <c r="M167" s="38" t="n">
        <f aca="false">Seg!$M$100</f>
        <v>1456.46046692954</v>
      </c>
      <c r="N167" s="38" t="n">
        <f aca="false">Seg!$N$100</f>
        <v>323.369</v>
      </c>
      <c r="O167" s="38" t="n">
        <f aca="false">Seg!$O$100</f>
        <v>393.555</v>
      </c>
    </row>
    <row r="168" customFormat="false" ht="17.15" hidden="false" customHeight="false" outlineLevel="0" collapsed="false">
      <c r="A168" s="24" t="s">
        <v>701</v>
      </c>
      <c r="B168" s="25" t="s">
        <v>86</v>
      </c>
      <c r="C168" s="41" t="n">
        <f aca="false">PL!$C$155+PL!$C$156+PL!$C$157+PL!$C$158+PL!$C$159+PL!$C$160-(PL!$C$162+PL!$C$163)</f>
        <v>0</v>
      </c>
      <c r="D168" s="41" t="n">
        <f aca="false">PL!$D$155+PL!$D$156+PL!$D$157+PL!$D$158+PL!$D$159+PL!$D$160-(PL!$D$162+PL!$D$163)</f>
        <v>0</v>
      </c>
      <c r="E168" s="41" t="n">
        <f aca="false">PL!$E$155+PL!$E$156+PL!$E$157+PL!$E$158+PL!$E$159+PL!$E$160-(PL!$E$162+PL!$E$163)</f>
        <v>0</v>
      </c>
      <c r="F168" s="41" t="n">
        <f aca="false">PL!$F$155+PL!$F$156+PL!$F$157+PL!$F$158+PL!$F$159+PL!$F$160-(PL!$F$162+PL!$F$163)</f>
        <v>0</v>
      </c>
      <c r="G168" s="41" t="n">
        <f aca="false">PL!$G$155+PL!$G$156+PL!$G$157+PL!$G$158+PL!$G$159+PL!$G$160-(PL!$G$162+PL!$G$163)</f>
        <v>0</v>
      </c>
      <c r="H168" s="41" t="n">
        <f aca="false">PL!$H$155+PL!$H$156+PL!$H$157+PL!$H$158+PL!$H$159+PL!$H$160-(PL!$H$162+PL!$H$163)</f>
        <v>0</v>
      </c>
      <c r="I168" s="41" t="n">
        <f aca="false">PL!$I$155+PL!$I$156+PL!$I$157+PL!$I$158+PL!$I$159+PL!$I$160-(PL!$I$162+PL!$I$163)</f>
        <v>0</v>
      </c>
      <c r="J168" s="41" t="n">
        <f aca="false">PL!$J$155+PL!$J$156+PL!$J$157+PL!$J$158+PL!$J$159+PL!$J$160-(PL!$J$162+PL!$J$163)</f>
        <v>0</v>
      </c>
      <c r="K168" s="41" t="n">
        <f aca="false">PL!$K$155+PL!$K$156+PL!$K$157+PL!$K$158+PL!$K$159+PL!$K$160-(PL!$K$162+PL!$K$163)</f>
        <v>0</v>
      </c>
      <c r="L168" s="41" t="n">
        <f aca="false">PL!$L$155+PL!$L$156+PL!$L$157+PL!$L$158+PL!$L$159+PL!$L$160-(PL!$L$162+PL!$L$163)</f>
        <v>0</v>
      </c>
      <c r="M168" s="41" t="n">
        <f aca="false">PL!$M$155+PL!$M$156+PL!$M$157+PL!$M$158+PL!$M$159+PL!$M$160-(PL!$M$162+PL!$M$163)</f>
        <v>0</v>
      </c>
      <c r="N168" s="41" t="n">
        <f aca="false">PL!$N$155+PL!$N$156+PL!$N$157+PL!$N$158+PL!$N$159+PL!$N$160-(PL!$N$162+PL!$N$163)</f>
        <v>0</v>
      </c>
      <c r="O168" s="41" t="n">
        <f aca="false">PL!$O$155+PL!$O$156+PL!$O$157+PL!$O$158+PL!$O$159+PL!$O$160-(PL!$O$162+PL!$O$163)</f>
        <v>0</v>
      </c>
    </row>
    <row r="169" customFormat="false" ht="17.15" hidden="false" customHeight="false" outlineLevel="0" collapsed="false">
      <c r="A169" s="24" t="s">
        <v>702</v>
      </c>
      <c r="B169" s="25" t="s">
        <v>86</v>
      </c>
      <c r="C169" s="41" t="n">
        <f aca="false">PL!$C$165+PL!$C$166-PL!$C$164</f>
        <v>0</v>
      </c>
      <c r="D169" s="41" t="n">
        <f aca="false">PL!$D$165+PL!$D$166-PL!$D$164</f>
        <v>0</v>
      </c>
      <c r="E169" s="41" t="n">
        <f aca="false">PL!$E$165+PL!$E$166-PL!$E$164</f>
        <v>0</v>
      </c>
      <c r="F169" s="41" t="n">
        <f aca="false">PL!$F$165+PL!$F$166-PL!$F$164</f>
        <v>0</v>
      </c>
      <c r="G169" s="41" t="n">
        <f aca="false">PL!$G$165+PL!$G$166-PL!$G$164</f>
        <v>0</v>
      </c>
      <c r="H169" s="41" t="n">
        <f aca="false">PL!$H$165+PL!$H$166-PL!$H$164</f>
        <v>0</v>
      </c>
      <c r="I169" s="41" t="n">
        <f aca="false">PL!$I$165+PL!$I$166-PL!$I$164</f>
        <v>0</v>
      </c>
      <c r="J169" s="41" t="n">
        <f aca="false">PL!$J$165+PL!$J$166-PL!$J$164</f>
        <v>0</v>
      </c>
      <c r="K169" s="41" t="n">
        <f aca="false">PL!$K$165+PL!$K$166-PL!$K$164</f>
        <v>0</v>
      </c>
      <c r="L169" s="41" t="n">
        <f aca="false">PL!$L$165+PL!$L$166-PL!$L$164</f>
        <v>0</v>
      </c>
      <c r="M169" s="41" t="n">
        <f aca="false">PL!$M$165+PL!$M$166-PL!$M$164</f>
        <v>0</v>
      </c>
      <c r="N169" s="41" t="n">
        <f aca="false">PL!$N$165+PL!$N$166-PL!$N$164</f>
        <v>0</v>
      </c>
      <c r="O169" s="41" t="n">
        <f aca="false">PL!$O$165+PL!$O$166-PL!$O$164</f>
        <v>0</v>
      </c>
    </row>
    <row r="170" customFormat="false" ht="17.15" hidden="false" customHeight="false" outlineLevel="0" collapsed="false">
      <c r="A170" s="24" t="s">
        <v>760</v>
      </c>
      <c r="B170" s="25" t="s">
        <v>86</v>
      </c>
      <c r="C170" s="41" t="n">
        <f aca="false">PL!$C$155+PL!$C$156+PL!$C$157+PL!$C$158+PL!$C$159+PL!$C$160+PL!$C$161-PL!$C$167</f>
        <v>0</v>
      </c>
      <c r="D170" s="41" t="n">
        <f aca="false">PL!$D$155+PL!$D$156+PL!$D$157+PL!$D$158+PL!$D$159+PL!$D$160+PL!$D$161-PL!$D$167</f>
        <v>0</v>
      </c>
      <c r="E170" s="41" t="n">
        <f aca="false">PL!$E$155+PL!$E$156+PL!$E$157+PL!$E$158+PL!$E$159+PL!$E$160+PL!$E$161-PL!$E$167</f>
        <v>0</v>
      </c>
      <c r="F170" s="41" t="n">
        <f aca="false">PL!$F$155+PL!$F$156+PL!$F$157+PL!$F$158+PL!$F$159+PL!$F$160+PL!$F$161-PL!$F$167</f>
        <v>0</v>
      </c>
      <c r="G170" s="41" t="n">
        <f aca="false">PL!$G$155+PL!$G$156+PL!$G$157+PL!$G$158+PL!$G$159+PL!$G$160+PL!$G$161-PL!$G$167</f>
        <v>0</v>
      </c>
      <c r="H170" s="41" t="n">
        <f aca="false">PL!$H$155+PL!$H$156+PL!$H$157+PL!$H$158+PL!$H$159+PL!$H$160+PL!$H$161-PL!$H$167</f>
        <v>0</v>
      </c>
      <c r="I170" s="41" t="n">
        <f aca="false">PL!$I$155+PL!$I$156+PL!$I$157+PL!$I$158+PL!$I$159+PL!$I$160+PL!$I$161-PL!$I$167</f>
        <v>0</v>
      </c>
      <c r="J170" s="41" t="n">
        <f aca="false">PL!$J$155+PL!$J$156+PL!$J$157+PL!$J$158+PL!$J$159+PL!$J$160+PL!$J$161-PL!$J$167</f>
        <v>0</v>
      </c>
      <c r="K170" s="41" t="n">
        <f aca="false">PL!$K$155+PL!$K$156+PL!$K$157+PL!$K$158+PL!$K$159+PL!$K$160+PL!$K$161-PL!$K$167</f>
        <v>0</v>
      </c>
      <c r="L170" s="41" t="n">
        <f aca="false">PL!$L$155+PL!$L$156+PL!$L$157+PL!$L$158+PL!$L$159+PL!$L$160+PL!$L$161-PL!$L$167</f>
        <v>0</v>
      </c>
      <c r="M170" s="41" t="n">
        <f aca="false">PL!$M$155+PL!$M$156+PL!$M$157+PL!$M$158+PL!$M$159+PL!$M$160+PL!$M$161-PL!$M$167</f>
        <v>0</v>
      </c>
      <c r="N170" s="41" t="n">
        <f aca="false">PL!$N$155+PL!$N$156+PL!$N$157+PL!$N$158+PL!$N$159+PL!$N$160+PL!$N$161-PL!$N$167</f>
        <v>0</v>
      </c>
      <c r="O170" s="41" t="n">
        <f aca="false">PL!$O$155+PL!$O$156+PL!$O$157+PL!$O$158+PL!$O$159+PL!$O$160+PL!$O$161-PL!$O$167</f>
        <v>0</v>
      </c>
    </row>
    <row r="171" customFormat="false" ht="17.15" hidden="false" customHeight="false" outlineLevel="0" collapsed="false">
      <c r="A171" s="24" t="s">
        <v>703</v>
      </c>
      <c r="B171" s="25" t="s">
        <v>86</v>
      </c>
      <c r="C171" s="41" t="n">
        <f aca="false">PL!$C$162+PL!$C$163+PL!$C$164-PL!$C$167</f>
        <v>0</v>
      </c>
      <c r="D171" s="41" t="n">
        <f aca="false">PL!$D$162+PL!$D$163+PL!$D$164-PL!$D$167</f>
        <v>0</v>
      </c>
      <c r="E171" s="41" t="n">
        <f aca="false">PL!$E$162+PL!$E$163+PL!$E$164-PL!$E$167</f>
        <v>0</v>
      </c>
      <c r="F171" s="41" t="n">
        <f aca="false">PL!$F$162+PL!$F$163+PL!$F$164-PL!$F$167</f>
        <v>0</v>
      </c>
      <c r="G171" s="41" t="n">
        <f aca="false">PL!$G$162+PL!$G$163+PL!$G$164-PL!$G$167</f>
        <v>0</v>
      </c>
      <c r="H171" s="41" t="n">
        <f aca="false">PL!$H$162+PL!$H$163+PL!$H$164-PL!$H$167</f>
        <v>0</v>
      </c>
      <c r="I171" s="41" t="n">
        <f aca="false">PL!$I$162+PL!$I$163+PL!$I$164-PL!$I$167</f>
        <v>0</v>
      </c>
      <c r="J171" s="41" t="n">
        <f aca="false">PL!$J$162+PL!$J$163+PL!$J$164-PL!$J$167</f>
        <v>0</v>
      </c>
      <c r="K171" s="41" t="n">
        <f aca="false">PL!$K$162+PL!$K$163+PL!$K$164-PL!$K$167</f>
        <v>0</v>
      </c>
      <c r="L171" s="41" t="n">
        <f aca="false">PL!$L$162+PL!$L$163+PL!$L$164-PL!$L$167</f>
        <v>0</v>
      </c>
      <c r="M171" s="41" t="n">
        <f aca="false">PL!$M$162+PL!$M$163+PL!$M$164-PL!$M$167</f>
        <v>0</v>
      </c>
      <c r="N171" s="41" t="n">
        <f aca="false">PL!$N$162+PL!$N$163+PL!$N$164-PL!$N$167</f>
        <v>0</v>
      </c>
      <c r="O171" s="41" t="n">
        <f aca="false">PL!$O$162+PL!$O$163+PL!$O$164-PL!$O$167</f>
        <v>0</v>
      </c>
    </row>
    <row r="172" customFormat="false" ht="17.15" hidden="false" customHeight="false" outlineLevel="0" collapsed="false">
      <c r="A172" s="1" t="s">
        <v>713</v>
      </c>
    </row>
    <row r="173" customFormat="false" ht="17.15" hidden="false" customHeight="false" outlineLevel="0" collapsed="false">
      <c r="A173" s="0" t="s">
        <v>714</v>
      </c>
      <c r="B173" s="0" t="s">
        <v>86</v>
      </c>
      <c r="C173" s="38" t="n">
        <f aca="false">Seg!$C$94*m_ad</f>
        <v>20.5341564414228</v>
      </c>
      <c r="D173" s="38" t="n">
        <f aca="false">Seg!$D$94*m_ad</f>
        <v>24.8720617299587</v>
      </c>
      <c r="E173" s="38" t="n">
        <f aca="false">Seg!$E$94*m_ad</f>
        <v>13.5017112462207</v>
      </c>
      <c r="F173" s="38" t="n">
        <f aca="false">Seg!$F$94*m_ad</f>
        <v>16.6111896888364</v>
      </c>
      <c r="G173" s="38" t="n">
        <f aca="false">Seg!$G$94*m_ad</f>
        <v>30.1213184176961</v>
      </c>
      <c r="H173" s="38" t="n">
        <f aca="false">Seg!$H$94*m_ad</f>
        <v>36.1621817398522</v>
      </c>
      <c r="I173" s="38" t="n">
        <f aca="false">Seg!$I$94*m_ad</f>
        <v>42.2024978393475</v>
      </c>
      <c r="J173" s="38" t="n">
        <f aca="false">Seg!$J$94*m_ad</f>
        <v>47.8372500473847</v>
      </c>
      <c r="K173" s="38" t="n">
        <f aca="false">Seg!$K$94*m_ad</f>
        <v>52.6209750521231</v>
      </c>
      <c r="L173" s="38" t="n">
        <f aca="false">Seg!$L$94*m_ad</f>
        <v>57.8830725573355</v>
      </c>
      <c r="M173" s="38" t="n">
        <f aca="false">Seg!$M$94*m_ad</f>
        <v>63.671379813069</v>
      </c>
      <c r="N173" s="38" t="n">
        <f aca="false">Seg!$N$94*m_ad</f>
        <v>10.8543555706248</v>
      </c>
      <c r="O173" s="38" t="n">
        <f aca="false">Seg!$O$94*m_ad</f>
        <v>14.0094731821399</v>
      </c>
    </row>
    <row r="174" customFormat="false" ht="17.15" hidden="false" customHeight="false" outlineLevel="0" collapsed="false">
      <c r="A174" s="0" t="s">
        <v>715</v>
      </c>
      <c r="B174" s="0" t="s">
        <v>86</v>
      </c>
      <c r="C174" s="38" t="n">
        <f aca="false">Seg!$C$92-Seg!$C$94</f>
        <v>346.428687117154</v>
      </c>
      <c r="D174" s="38" t="n">
        <f aca="false">Seg!$D$92-Seg!$D$94</f>
        <v>376.560876540083</v>
      </c>
      <c r="E174" s="38" t="n">
        <f aca="false">Seg!$E$92-Seg!$E$94</f>
        <v>193.316577507559</v>
      </c>
      <c r="F174" s="38" t="n">
        <f aca="false">Seg!$F$92-Seg!$F$94</f>
        <v>218.010528583314</v>
      </c>
      <c r="G174" s="38" t="n">
        <f aca="false">Seg!$G$92-Seg!$G$94</f>
        <v>411.310271125595</v>
      </c>
      <c r="H174" s="38" t="n">
        <f aca="false">Seg!$H$92-Seg!$H$94</f>
        <v>449.719559398126</v>
      </c>
      <c r="I174" s="38" t="n">
        <f aca="false">Seg!$I$92-Seg!$I$94</f>
        <v>486.457498704539</v>
      </c>
      <c r="J174" s="38" t="n">
        <f aca="false">Seg!$J$92-Seg!$J$94</f>
        <v>520.492821872474</v>
      </c>
      <c r="K174" s="38" t="n">
        <f aca="false">Seg!$K$92-Seg!$K$94</f>
        <v>550.792521408635</v>
      </c>
      <c r="L174" s="38" t="n">
        <f aca="false">Seg!$L$92-Seg!$L$94</f>
        <v>582.921728009836</v>
      </c>
      <c r="M174" s="38" t="n">
        <f aca="false">Seg!$M$92-Seg!$M$94</f>
        <v>616.994391615424</v>
      </c>
      <c r="N174" s="38" t="n">
        <f aca="false">Seg!$N$92-Seg!$N$94</f>
        <v>171.24628885875</v>
      </c>
      <c r="O174" s="38" t="n">
        <f aca="false">Seg!$O$92-Seg!$O$94</f>
        <v>205.33105363572</v>
      </c>
    </row>
    <row r="175" customFormat="false" ht="17.15" hidden="false" customHeight="false" outlineLevel="0" collapsed="false">
      <c r="A175" s="0" t="s">
        <v>716</v>
      </c>
      <c r="B175" s="0" t="s">
        <v>86</v>
      </c>
      <c r="C175" s="38" t="n">
        <f aca="false">Thesis!$C$165*Seg!$C$91</f>
        <v>0.123617442257179</v>
      </c>
      <c r="D175" s="38" t="n">
        <f aca="false">Thesis!$D$165*Seg!$D$91</f>
        <v>0.874366899302609</v>
      </c>
      <c r="E175" s="38" t="n">
        <f aca="false">Thesis!$E$165*Seg!$E$91</f>
        <v>1.29318830502574</v>
      </c>
      <c r="F175" s="38" t="n">
        <f aca="false">Thesis!$F$165*Seg!$F$91</f>
        <v>1.51802024162534</v>
      </c>
      <c r="G175" s="38" t="n">
        <f aca="false">Thesis!$G$165*Seg!$G$91</f>
        <v>2.81150910610145</v>
      </c>
      <c r="H175" s="38" t="n">
        <f aca="false">Thesis!$H$165*Seg!$H$91</f>
        <v>7.39021256446164</v>
      </c>
      <c r="I175" s="38" t="n">
        <f aca="false">Thesis!$I$165*Seg!$I$91</f>
        <v>12.8996950956929</v>
      </c>
      <c r="J175" s="38" t="n">
        <f aca="false">Thesis!$J$165*Seg!$J$91</f>
        <v>18.558370328933</v>
      </c>
      <c r="K175" s="38" t="n">
        <f aca="false">Thesis!$K$165*Seg!$K$91</f>
        <v>24.0964647150556</v>
      </c>
      <c r="L175" s="38" t="n">
        <f aca="false">Thesis!$L$165*Seg!$L$91</f>
        <v>27.686381993129</v>
      </c>
      <c r="M175" s="38" t="n">
        <f aca="false">Thesis!$M$165*Seg!$M$91</f>
        <v>29.7236052209741</v>
      </c>
      <c r="N175" s="38" t="n">
        <f aca="false">Thesis!$N$165*Seg!$N$91</f>
        <v>0.389180508437431</v>
      </c>
      <c r="O175" s="38" t="n">
        <f aca="false">Thesis!$O$165*Seg!$O$91</f>
        <v>0.485052120082802</v>
      </c>
    </row>
    <row r="176" customFormat="false" ht="17.15" hidden="false" customHeight="false" outlineLevel="0" collapsed="false">
      <c r="A176" s="0" t="s">
        <v>717</v>
      </c>
      <c r="B176" s="0" t="s">
        <v>52</v>
      </c>
      <c r="C176" s="28" t="n">
        <f aca="false">(PL!$C$177-PL!$C$173+PL!$C$175)/PL!$C$174</f>
        <v>0.0131526665379575</v>
      </c>
      <c r="D176" s="28" t="n">
        <f aca="false">(PL!$D$177-PL!$D$173+PL!$D$175)/PL!$D$174</f>
        <v>0.0149280116962589</v>
      </c>
      <c r="E176" s="28" t="n">
        <f aca="false">(PL!$E$177-PL!$E$173+PL!$E$175)/PL!$E$174</f>
        <v>0.0268030663774938</v>
      </c>
      <c r="F176" s="28" t="n">
        <f aca="false">PL!$O$176+(PL!$E$176-PL!$N$176)</f>
        <v>0.0232379346966962</v>
      </c>
      <c r="G176" s="28" t="n">
        <f aca="false">(PL!$G$177-PL!$G$173+PL!$G$175)/PL!$G$174</f>
        <v>0.0248947699117902</v>
      </c>
      <c r="H176" s="28" t="n">
        <f aca="false">PL!$G$176+step_na</f>
        <v>0.0278947699117902</v>
      </c>
      <c r="I176" s="28" t="n">
        <f aca="false">PL!$H$176+step_na</f>
        <v>0.0308947699117902</v>
      </c>
      <c r="J176" s="28" t="n">
        <f aca="false">PL!$I$176+step_na</f>
        <v>0.0338947699117902</v>
      </c>
      <c r="K176" s="28" t="n">
        <f aca="false">PL!$J$176+step_na</f>
        <v>0.0368947699117902</v>
      </c>
      <c r="L176" s="28" t="n">
        <f aca="false">PL!$K$176</f>
        <v>0.0368947699117902</v>
      </c>
      <c r="M176" s="28" t="n">
        <f aca="false">PL!$L$176</f>
        <v>0.0368947699117902</v>
      </c>
      <c r="N176" s="28" t="n">
        <f aca="false">(PL!$N$177-PL!$N$173+PL!$N$175)/PL!$N$174</f>
        <v>0.0168927744775755</v>
      </c>
      <c r="O176" s="28" t="n">
        <f aca="false">(PL!$O$177-PL!$O$173+PL!$O$175)/PL!$O$174</f>
        <v>0.0133276427967779</v>
      </c>
      <c r="P176" s="8" t="s">
        <v>718</v>
      </c>
    </row>
    <row r="177" customFormat="false" ht="17.15" hidden="false" customHeight="false" outlineLevel="0" collapsed="false">
      <c r="A177" s="1" t="s">
        <v>719</v>
      </c>
      <c r="B177" s="8" t="s">
        <v>86</v>
      </c>
      <c r="C177" s="38" t="n">
        <f aca="false">Q!$D$22</f>
        <v>24.967</v>
      </c>
      <c r="D177" s="38" t="n">
        <f aca="false">Q!$E$22</f>
        <v>29.619</v>
      </c>
      <c r="E177" s="38" t="n">
        <f aca="false">Q!$P$22</f>
        <v>17.39</v>
      </c>
      <c r="F177" s="38" t="n">
        <f aca="false">PL!$F$173+PL!$F$174*PL!$F$176-PL!$F$175</f>
        <v>20.1592838736223</v>
      </c>
      <c r="G177" s="38" t="n">
        <f aca="false">PL!$E$177+PL!$F$177</f>
        <v>37.5492838736223</v>
      </c>
      <c r="H177" s="38" t="n">
        <f aca="false">PL!$H$173+PL!$H$174*PL!$H$176-PL!$H$175</f>
        <v>41.3167928096329</v>
      </c>
      <c r="I177" s="38" t="n">
        <f aca="false">PL!$I$173+PL!$I$174*PL!$I$176-PL!$I$175</f>
        <v>44.3317952379963</v>
      </c>
      <c r="J177" s="38" t="n">
        <f aca="false">PL!$J$173+PL!$J$174*PL!$J$176-PL!$J$175</f>
        <v>46.9208641565576</v>
      </c>
      <c r="K177" s="38" t="n">
        <f aca="false">PL!$K$173+PL!$K$174*PL!$K$176-PL!$K$175</f>
        <v>48.8458736835738</v>
      </c>
      <c r="L177" s="38" t="n">
        <f aca="false">PL!$L$173+PL!$L$174*PL!$L$176-PL!$L$175</f>
        <v>51.7034535957125</v>
      </c>
      <c r="M177" s="38" t="n">
        <f aca="false">PL!$M$173+PL!$M$174*PL!$M$176-PL!$M$175</f>
        <v>56.711640707611</v>
      </c>
      <c r="N177" s="38" t="n">
        <f aca="false">Q!$N$22</f>
        <v>13.358</v>
      </c>
      <c r="O177" s="38" t="n">
        <f aca="false">Q!$O$22</f>
        <v>16.261</v>
      </c>
    </row>
    <row r="178" customFormat="false" ht="17.15" hidden="false" customHeight="false" outlineLevel="0" collapsed="false">
      <c r="A178" s="0" t="s">
        <v>720</v>
      </c>
      <c r="B178" s="0" t="s">
        <v>86</v>
      </c>
      <c r="C178" s="38" t="n">
        <f aca="false">Seg!$C$95*m_ad</f>
        <v>7.57284355857716</v>
      </c>
      <c r="D178" s="38" t="n">
        <f aca="false">Seg!$D$95*m_ad</f>
        <v>9.44543827004127</v>
      </c>
      <c r="E178" s="38" t="n">
        <f aca="false">Seg!$E$95*m_ad</f>
        <v>5.02428875377928</v>
      </c>
      <c r="F178" s="38" t="n">
        <f aca="false">Seg!$F$95*m_ad</f>
        <v>6.52203642293204</v>
      </c>
      <c r="G178" s="38" t="n">
        <f aca="false">Seg!$G$95*m_ad</f>
        <v>11.5379076940724</v>
      </c>
      <c r="H178" s="38" t="n">
        <f aca="false">Seg!$H$95*m_ad</f>
        <v>13.8518476895607</v>
      </c>
      <c r="I178" s="38" t="n">
        <f aca="false">Seg!$I$95*m_ad</f>
        <v>16.1655780725592</v>
      </c>
      <c r="J178" s="38" t="n">
        <f aca="false">Seg!$J$95*m_ad</f>
        <v>18.3239580595756</v>
      </c>
      <c r="K178" s="38" t="n">
        <f aca="false">Seg!$K$95*m_ad</f>
        <v>20.1563538655332</v>
      </c>
      <c r="L178" s="38" t="n">
        <f aca="false">Seg!$L$95*m_ad</f>
        <v>22.1719892520865</v>
      </c>
      <c r="M178" s="38" t="n">
        <f aca="false">Seg!$M$95*m_ad</f>
        <v>24.3891881772951</v>
      </c>
      <c r="N178" s="38" t="n">
        <f aca="false">Seg!$N$95*m_ad</f>
        <v>3.95314442937518</v>
      </c>
      <c r="O178" s="38" t="n">
        <f aca="false">Seg!$O$95*m_ad</f>
        <v>5.50052681786011</v>
      </c>
    </row>
    <row r="179" customFormat="false" ht="17.15" hidden="false" customHeight="false" outlineLevel="0" collapsed="false">
      <c r="A179" s="0" t="s">
        <v>721</v>
      </c>
      <c r="B179" s="0" t="s">
        <v>86</v>
      </c>
      <c r="C179" s="38" t="n">
        <f aca="false">Seg!$C$93-Seg!$C$95</f>
        <v>127.760312882846</v>
      </c>
      <c r="D179" s="38" t="n">
        <f aca="false">Seg!$D$93-Seg!$D$95</f>
        <v>143.003123459917</v>
      </c>
      <c r="E179" s="38" t="n">
        <f aca="false">Seg!$E$93-Seg!$E$95</f>
        <v>71.9374224924414</v>
      </c>
      <c r="F179" s="38" t="n">
        <f aca="false">Seg!$F$93-Seg!$F$95</f>
        <v>85.5972771750728</v>
      </c>
      <c r="G179" s="38" t="n">
        <f aca="false">Seg!$G$93-Seg!$G$95</f>
        <v>157.551534632792</v>
      </c>
      <c r="H179" s="38" t="n">
        <f aca="false">Seg!$H$93-Seg!$H$95</f>
        <v>172.264131755471</v>
      </c>
      <c r="I179" s="38" t="n">
        <f aca="false">Seg!$I$93-Seg!$I$95</f>
        <v>186.336522170453</v>
      </c>
      <c r="J179" s="38" t="n">
        <f aca="false">Seg!$J$93-Seg!$J$95</f>
        <v>199.373681155462</v>
      </c>
      <c r="K179" s="38" t="n">
        <f aca="false">Seg!$K$93-Seg!$K$95</f>
        <v>210.979917361941</v>
      </c>
      <c r="L179" s="38" t="n">
        <f aca="false">Seg!$L$93-Seg!$L$95</f>
        <v>223.286942403403</v>
      </c>
      <c r="M179" s="38" t="n">
        <f aca="false">Seg!$M$93-Seg!$M$95</f>
        <v>236.338404564551</v>
      </c>
      <c r="N179" s="38" t="n">
        <f aca="false">Seg!$N$93-Seg!$N$95</f>
        <v>62.3677111412496</v>
      </c>
      <c r="O179" s="38" t="n">
        <f aca="false">Seg!$O$93-Seg!$O$95</f>
        <v>80.6189463642798</v>
      </c>
    </row>
    <row r="180" customFormat="false" ht="17.15" hidden="false" customHeight="false" outlineLevel="0" collapsed="false">
      <c r="A180" s="0" t="s">
        <v>722</v>
      </c>
      <c r="B180" s="0" t="s">
        <v>86</v>
      </c>
      <c r="C180" s="38" t="n">
        <f aca="false">Thesis!$C$165*(1-Seg!$C$91)</f>
        <v>0.0455891896019953</v>
      </c>
      <c r="D180" s="38" t="n">
        <f aca="false">Thesis!$D$165*(1-Seg!$D$91)</f>
        <v>0.332050421167231</v>
      </c>
      <c r="E180" s="38" t="n">
        <f aca="false">Thesis!$E$165*(1-Seg!$E$91)</f>
        <v>0.481224293644882</v>
      </c>
      <c r="F180" s="38" t="n">
        <f aca="false">Thesis!$F$165*(1-Seg!$F$91)</f>
        <v>0.596018918096053</v>
      </c>
      <c r="G180" s="38" t="n">
        <f aca="false">Thesis!$G$165*(1-Seg!$G$91)</f>
        <v>1.07694265229057</v>
      </c>
      <c r="H180" s="38" t="n">
        <f aca="false">Thesis!$H$165*(1-Seg!$H$91)</f>
        <v>2.83080538593684</v>
      </c>
      <c r="I180" s="38" t="n">
        <f aca="false">Thesis!$I$165*(1-Seg!$I$91)</f>
        <v>4.94120108661457</v>
      </c>
      <c r="J180" s="38" t="n">
        <f aca="false">Thesis!$J$165*(1-Seg!$J$91)</f>
        <v>7.10874473814016</v>
      </c>
      <c r="K180" s="38" t="n">
        <f aca="false">Thesis!$K$165*(1-Seg!$K$91)</f>
        <v>9.23010014968163</v>
      </c>
      <c r="L180" s="38" t="n">
        <f aca="false">Thesis!$L$165*(1-Seg!$L$91)</f>
        <v>10.6052104157526</v>
      </c>
      <c r="M180" s="38" t="n">
        <f aca="false">Thesis!$M$165*(1-Seg!$M$91)</f>
        <v>11.385564490204</v>
      </c>
      <c r="N180" s="38" t="n">
        <f aca="false">Thesis!$N$165*(1-Seg!$N$91)</f>
        <v>0.141739115596548</v>
      </c>
      <c r="O180" s="38" t="n">
        <f aca="false">Thesis!$O$165*(1-Seg!$O$91)</f>
        <v>0.190445576353059</v>
      </c>
    </row>
    <row r="181" customFormat="false" ht="17.15" hidden="false" customHeight="false" outlineLevel="0" collapsed="false">
      <c r="A181" s="0" t="s">
        <v>723</v>
      </c>
      <c r="B181" s="0" t="s">
        <v>52</v>
      </c>
      <c r="C181" s="28" t="n">
        <f aca="false">(PL!$C$182-PL!$C$178+PL!$C$180)/PL!$C$179</f>
        <v>-0.0292364215826579</v>
      </c>
      <c r="D181" s="28" t="n">
        <f aca="false">(PL!$D$182-PL!$D$178+PL!$D$180)/PL!$D$179</f>
        <v>-0.0305125352740778</v>
      </c>
      <c r="E181" s="28" t="n">
        <f aca="false">(PL!$E$182-PL!$E$178+PL!$E$180)/PL!$E$179</f>
        <v>-0.019490056934994</v>
      </c>
      <c r="F181" s="28" t="n">
        <f aca="false">PL!$O$181+(PL!$E$181-PL!$N$181)</f>
        <v>-0.0367332293992226</v>
      </c>
      <c r="G181" s="28" t="n">
        <f aca="false">(PL!$G$182-PL!$G$178+PL!$G$180)/PL!$G$179</f>
        <v>-0.0288046191739351</v>
      </c>
      <c r="H181" s="28" t="n">
        <f aca="false">PL!$G$181+step_in</f>
        <v>-0.0288046191739351</v>
      </c>
      <c r="I181" s="28" t="n">
        <f aca="false">PL!$H$181+step_in</f>
        <v>-0.0288046191739351</v>
      </c>
      <c r="J181" s="28" t="n">
        <f aca="false">PL!$I$181+step_in</f>
        <v>-0.0288046191739351</v>
      </c>
      <c r="K181" s="28" t="n">
        <f aca="false">PL!$J$181+step_in</f>
        <v>-0.0288046191739351</v>
      </c>
      <c r="L181" s="28" t="n">
        <f aca="false">PL!$K$181</f>
        <v>-0.0288046191739351</v>
      </c>
      <c r="M181" s="28" t="n">
        <f aca="false">PL!$L$181</f>
        <v>-0.0288046191739351</v>
      </c>
      <c r="N181" s="28" t="n">
        <f aca="false">(PL!$N$182-PL!$N$178+PL!$N$180)/PL!$N$179</f>
        <v>-0.02085061789158</v>
      </c>
      <c r="O181" s="28" t="n">
        <f aca="false">(PL!$O$182-PL!$O$178+PL!$O$180)/PL!$O$179</f>
        <v>-0.0380937903558086</v>
      </c>
      <c r="P181" s="8" t="s">
        <v>718</v>
      </c>
    </row>
    <row r="182" customFormat="false" ht="17.15" hidden="false" customHeight="false" outlineLevel="0" collapsed="false">
      <c r="A182" s="1" t="s">
        <v>724</v>
      </c>
      <c r="B182" s="8" t="s">
        <v>86</v>
      </c>
      <c r="C182" s="38" t="n">
        <f aca="false">Q!$D$23</f>
        <v>3.792</v>
      </c>
      <c r="D182" s="38" t="n">
        <f aca="false">Q!$E$23</f>
        <v>4.75</v>
      </c>
      <c r="E182" s="38" t="n">
        <f aca="false">Q!$P$23</f>
        <v>3.141</v>
      </c>
      <c r="F182" s="38" t="n">
        <f aca="false">PL!$F$178+PL!$F$179*PL!$F$181-PL!$F$180</f>
        <v>2.7817530864152</v>
      </c>
      <c r="G182" s="38" t="n">
        <f aca="false">PL!$E$182+PL!$F$182</f>
        <v>5.9227530864152</v>
      </c>
      <c r="H182" s="38" t="n">
        <f aca="false">PL!$H$178+PL!$H$179*PL!$H$181-PL!$H$180</f>
        <v>6.05903959107893</v>
      </c>
      <c r="I182" s="38" t="n">
        <f aca="false">PL!$I$178+PL!$I$179*PL!$I$181-PL!$I$180</f>
        <v>5.85702442662921</v>
      </c>
      <c r="J182" s="38" t="n">
        <f aca="false">PL!$J$178+PL!$J$179*PL!$J$181-PL!$J$180</f>
        <v>5.47233036244681</v>
      </c>
      <c r="K182" s="38" t="n">
        <f aca="false">PL!$K$178+PL!$K$179*PL!$K$181-PL!$K$180</f>
        <v>4.84905754289254</v>
      </c>
      <c r="L182" s="38" t="n">
        <f aca="false">PL!$L$178+PL!$L$179*PL!$L$181-PL!$L$180</f>
        <v>5.13508349389151</v>
      </c>
      <c r="M182" s="38" t="n">
        <f aca="false">PL!$M$178+PL!$M$179*PL!$M$181-PL!$M$180</f>
        <v>6.19598594743386</v>
      </c>
      <c r="N182" s="38" t="n">
        <f aca="false">Q!$N$23</f>
        <v>2.511</v>
      </c>
      <c r="O182" s="38" t="n">
        <f aca="false">Q!$O$23</f>
        <v>2.239</v>
      </c>
    </row>
    <row r="183" customFormat="false" ht="17.15" hidden="false" customHeight="false" outlineLevel="0" collapsed="false">
      <c r="A183" s="0" t="s">
        <v>725</v>
      </c>
      <c r="B183" s="0" t="s">
        <v>86</v>
      </c>
      <c r="C183" s="38" t="n">
        <f aca="false">Thesis!$C$162</f>
        <v>1.64417882953695</v>
      </c>
      <c r="D183" s="38" t="n">
        <f aca="false">Thesis!$D$162</f>
        <v>3.8781008067718</v>
      </c>
      <c r="E183" s="38" t="n">
        <f aca="false">Thesis!$E$162</f>
        <v>1.41270258088753</v>
      </c>
      <c r="F183" s="38" t="n">
        <f aca="false">Thesis!$F$162</f>
        <v>5.68126066944818</v>
      </c>
      <c r="G183" s="38" t="n">
        <f aca="false">Thesis!$G$162</f>
        <v>7.09396325033571</v>
      </c>
      <c r="H183" s="38" t="n">
        <f aca="false">Thesis!$H$162</f>
        <v>12.5382183962694</v>
      </c>
      <c r="I183" s="38" t="n">
        <f aca="false">Thesis!$I$162</f>
        <v>16.4361615260712</v>
      </c>
      <c r="J183" s="38" t="n">
        <f aca="false">Thesis!$J$162</f>
        <v>19.6616771330194</v>
      </c>
      <c r="K183" s="38" t="n">
        <f aca="false">Thesis!$K$162</f>
        <v>18.4822071352082</v>
      </c>
      <c r="L183" s="38" t="n">
        <f aca="false">Thesis!$L$162</f>
        <v>17.9822558420278</v>
      </c>
      <c r="M183" s="38" t="n">
        <f aca="false">Thesis!$M$162</f>
        <v>15.9490613412395</v>
      </c>
      <c r="N183" s="38" t="n">
        <f aca="false">Thesis!$N$162</f>
        <v>0.92264103489199</v>
      </c>
      <c r="O183" s="38" t="n">
        <f aca="false">Thesis!$O$162</f>
        <v>2.95545977187981</v>
      </c>
    </row>
    <row r="184" customFormat="false" ht="17.15" hidden="false" customHeight="false" outlineLevel="0" collapsed="false">
      <c r="A184" s="0" t="s">
        <v>643</v>
      </c>
      <c r="B184" s="0" t="s">
        <v>86</v>
      </c>
      <c r="C184" s="38" t="n">
        <f aca="false">Thesis!$C$167</f>
        <v>38.1898211704631</v>
      </c>
      <c r="D184" s="38" t="n">
        <f aca="false">Thesis!$D$167</f>
        <v>41.7278991932282</v>
      </c>
      <c r="E184" s="38" t="n">
        <f aca="false">Thesis!$E$167</f>
        <v>29.3692974191125</v>
      </c>
      <c r="F184" s="38" t="n">
        <f aca="false">Thesis!$F$167</f>
        <v>26.8997276714137</v>
      </c>
      <c r="G184" s="38" t="n">
        <f aca="false">Thesis!$G$167</f>
        <v>56.2690250905262</v>
      </c>
      <c r="H184" s="38" t="n">
        <f aca="false">Thesis!$H$167</f>
        <v>60.3505333937343</v>
      </c>
      <c r="I184" s="38" t="n">
        <f aca="false">Thesis!$I$167</f>
        <v>67.0043857303571</v>
      </c>
      <c r="J184" s="38" t="n">
        <f aca="false">Thesis!$J$167</f>
        <v>73.3782922956925</v>
      </c>
      <c r="K184" s="38" t="n">
        <f aca="false">Thesis!$K$167</f>
        <v>79.2485556793479</v>
      </c>
      <c r="L184" s="38" t="n">
        <f aca="false">Thesis!$L$167</f>
        <v>85.5884401336958</v>
      </c>
      <c r="M184" s="38" t="n">
        <f aca="false">Thesis!$M$167</f>
        <v>92.4355153443914</v>
      </c>
      <c r="N184" s="38" t="n">
        <f aca="false">Thesis!$N$167</f>
        <v>20.784358965108</v>
      </c>
      <c r="O184" s="38" t="n">
        <f aca="false">Thesis!$O$167</f>
        <v>20.9435402281202</v>
      </c>
    </row>
    <row r="185" customFormat="false" ht="17.15" hidden="false" customHeight="false" outlineLevel="0" collapsed="false">
      <c r="A185" s="1" t="s">
        <v>726</v>
      </c>
      <c r="B185" s="8" t="s">
        <v>86</v>
      </c>
      <c r="C185" s="38" t="n">
        <f aca="false">Q!$D$24</f>
        <v>39.834</v>
      </c>
      <c r="D185" s="38" t="n">
        <f aca="false">Q!$E$24</f>
        <v>45.606</v>
      </c>
      <c r="E185" s="38" t="n">
        <f aca="false">Q!$P$24</f>
        <v>30.782</v>
      </c>
      <c r="F185" s="38" t="n">
        <f aca="false">PL!$F$183+PL!$F$184</f>
        <v>32.5809883408619</v>
      </c>
      <c r="G185" s="38" t="n">
        <f aca="false">PL!$G$183+PL!$G$184</f>
        <v>63.3629883408619</v>
      </c>
      <c r="H185" s="38" t="n">
        <f aca="false">PL!$H$183+PL!$H$184</f>
        <v>72.8887517900037</v>
      </c>
      <c r="I185" s="38" t="n">
        <f aca="false">PL!$I$183+PL!$I$184</f>
        <v>83.4405472564282</v>
      </c>
      <c r="J185" s="38" t="n">
        <f aca="false">PL!$J$183+PL!$J$184</f>
        <v>93.0399694287119</v>
      </c>
      <c r="K185" s="38" t="n">
        <f aca="false">PL!$K$183+PL!$K$184</f>
        <v>97.7307628145561</v>
      </c>
      <c r="L185" s="38" t="n">
        <f aca="false">PL!$L$183+PL!$L$184</f>
        <v>103.570695975724</v>
      </c>
      <c r="M185" s="38" t="n">
        <f aca="false">PL!$M$183+PL!$M$184</f>
        <v>108.384576685631</v>
      </c>
      <c r="N185" s="38" t="n">
        <f aca="false">Q!$N$24</f>
        <v>21.707</v>
      </c>
      <c r="O185" s="38" t="n">
        <f aca="false">Q!$O$24</f>
        <v>23.899</v>
      </c>
    </row>
    <row r="186" customFormat="false" ht="17.15" hidden="false" customHeight="false" outlineLevel="0" collapsed="false">
      <c r="A186" s="5" t="s">
        <v>727</v>
      </c>
      <c r="B186" s="0" t="s">
        <v>86</v>
      </c>
      <c r="C186" s="38" t="n">
        <f aca="false">Q!$D$26</f>
        <v>0</v>
      </c>
      <c r="D186" s="38" t="n">
        <f aca="false">Q!$E$26</f>
        <v>0</v>
      </c>
      <c r="E186" s="38" t="n">
        <f aca="false">Q!$P$26</f>
        <v>0</v>
      </c>
      <c r="F186" s="39" t="n">
        <v>0</v>
      </c>
      <c r="G186" s="38" t="n">
        <f aca="false">PL!$E$186+PL!$F$186</f>
        <v>0</v>
      </c>
      <c r="H186" s="39" t="n">
        <v>0</v>
      </c>
      <c r="I186" s="39" t="n">
        <v>0</v>
      </c>
      <c r="J186" s="39" t="n">
        <v>0</v>
      </c>
      <c r="K186" s="39" t="n">
        <v>0</v>
      </c>
      <c r="L186" s="39" t="n">
        <v>0</v>
      </c>
      <c r="M186" s="39" t="n">
        <v>0</v>
      </c>
      <c r="N186" s="38" t="n">
        <f aca="false">Q!$N$26</f>
        <v>0</v>
      </c>
      <c r="O186" s="38" t="n">
        <f aca="false">Q!$O$26</f>
        <v>0</v>
      </c>
    </row>
    <row r="187" customFormat="false" ht="15" hidden="false" customHeight="false" outlineLevel="0" collapsed="false">
      <c r="A187" s="3" t="s">
        <v>531</v>
      </c>
      <c r="B187" s="8" t="s">
        <v>86</v>
      </c>
      <c r="C187" s="38" t="n">
        <f aca="false">Q!$D$25</f>
        <v>68.593</v>
      </c>
      <c r="D187" s="38" t="n">
        <f aca="false">Q!$E$25</f>
        <v>79.975</v>
      </c>
      <c r="E187" s="38" t="n">
        <f aca="false">Q!$P$25</f>
        <v>51.313</v>
      </c>
      <c r="F187" s="38" t="n">
        <f aca="false">PL!$F$177+PL!$F$182+PL!$F$185+PL!$F$186</f>
        <v>55.5220253008994</v>
      </c>
      <c r="G187" s="38" t="n">
        <f aca="false">PL!$G$177+PL!$G$182+PL!$G$185+PL!$G$186</f>
        <v>106.835025300899</v>
      </c>
      <c r="H187" s="38" t="n">
        <f aca="false">PL!$H$177+PL!$H$182+PL!$H$185+PL!$H$186</f>
        <v>120.264584190716</v>
      </c>
      <c r="I187" s="38" t="n">
        <f aca="false">PL!$I$177+PL!$I$182+PL!$I$185+PL!$I$186</f>
        <v>133.629366921054</v>
      </c>
      <c r="J187" s="38" t="n">
        <f aca="false">PL!$J$177+PL!$J$182+PL!$J$185+PL!$J$186</f>
        <v>145.433163947716</v>
      </c>
      <c r="K187" s="38" t="n">
        <f aca="false">PL!$K$177+PL!$K$182+PL!$K$185+PL!$K$186</f>
        <v>151.425694041023</v>
      </c>
      <c r="L187" s="38" t="n">
        <f aca="false">PL!$L$177+PL!$L$182+PL!$L$185+PL!$L$186</f>
        <v>160.409233065328</v>
      </c>
      <c r="M187" s="38" t="n">
        <f aca="false">PL!$M$177+PL!$M$182+PL!$M$185+PL!$M$186</f>
        <v>171.292203340676</v>
      </c>
      <c r="N187" s="38" t="n">
        <f aca="false">Q!$N$25</f>
        <v>37.576</v>
      </c>
      <c r="O187" s="38" t="n">
        <f aca="false">Q!$O$25</f>
        <v>42.399</v>
      </c>
    </row>
    <row r="188" customFormat="false" ht="17.15" hidden="false" customHeight="false" outlineLevel="0" collapsed="false">
      <c r="A188" s="24" t="s">
        <v>761</v>
      </c>
      <c r="B188" s="25" t="s">
        <v>86</v>
      </c>
      <c r="C188" s="41" t="n">
        <f aca="false">PL!$C$177+PL!$C$182+PL!$C$185+PL!$C$186-PL!$C$187</f>
        <v>0</v>
      </c>
      <c r="D188" s="41" t="n">
        <f aca="false">PL!$D$177+PL!$D$182+PL!$D$185+PL!$D$186-PL!$D$187</f>
        <v>0</v>
      </c>
      <c r="E188" s="41" t="n">
        <f aca="false">PL!$E$177+PL!$E$182+PL!$E$185+PL!$E$186-PL!$E$187</f>
        <v>0</v>
      </c>
      <c r="F188" s="41" t="n">
        <f aca="false">PL!$F$177+PL!$F$182+PL!$F$185+PL!$F$186-PL!$F$187</f>
        <v>0</v>
      </c>
      <c r="G188" s="41" t="n">
        <f aca="false">PL!$G$177+PL!$G$182+PL!$G$185+PL!$G$186-PL!$G$187</f>
        <v>0</v>
      </c>
      <c r="H188" s="41" t="n">
        <f aca="false">PL!$H$177+PL!$H$182+PL!$H$185+PL!$H$186-PL!$H$187</f>
        <v>0</v>
      </c>
      <c r="I188" s="41" t="n">
        <f aca="false">PL!$I$177+PL!$I$182+PL!$I$185+PL!$I$186-PL!$I$187</f>
        <v>0</v>
      </c>
      <c r="J188" s="41" t="n">
        <f aca="false">PL!$J$177+PL!$J$182+PL!$J$185+PL!$J$186-PL!$J$187</f>
        <v>0</v>
      </c>
      <c r="K188" s="41" t="n">
        <f aca="false">PL!$K$177+PL!$K$182+PL!$K$185+PL!$K$186-PL!$K$187</f>
        <v>0</v>
      </c>
      <c r="L188" s="41" t="n">
        <f aca="false">PL!$L$177+PL!$L$182+PL!$L$185+PL!$L$186-PL!$L$187</f>
        <v>0</v>
      </c>
      <c r="M188" s="41" t="n">
        <f aca="false">PL!$M$177+PL!$M$182+PL!$M$185+PL!$M$186-PL!$M$187</f>
        <v>0</v>
      </c>
      <c r="N188" s="41" t="n">
        <f aca="false">PL!$N$177+PL!$N$182+PL!$N$185+PL!$N$186-PL!$N$187</f>
        <v>0</v>
      </c>
      <c r="O188" s="41" t="n">
        <f aca="false">PL!$O$177+PL!$O$182+PL!$O$185+PL!$O$186-PL!$O$187</f>
        <v>0</v>
      </c>
    </row>
    <row r="189" customFormat="false" ht="17.15" hidden="false" customHeight="false" outlineLevel="0" collapsed="false">
      <c r="A189" s="5" t="s">
        <v>729</v>
      </c>
      <c r="B189" s="0" t="s">
        <v>86</v>
      </c>
      <c r="C189" s="38" t="n">
        <f aca="false">Thesis!$C$164</f>
        <v>0</v>
      </c>
      <c r="D189" s="38" t="n">
        <f aca="false">Thesis!$D$164</f>
        <v>0</v>
      </c>
      <c r="E189" s="38" t="n">
        <f aca="false">Thesis!$E$164</f>
        <v>0</v>
      </c>
      <c r="F189" s="38" t="n">
        <f aca="false">Thesis!$F$164</f>
        <v>3.77122048175818</v>
      </c>
      <c r="G189" s="38" t="n">
        <f aca="false">Thesis!$G$164</f>
        <v>3.77122048175818</v>
      </c>
      <c r="H189" s="38" t="n">
        <f aca="false">Thesis!$H$164</f>
        <v>15.1635543609893</v>
      </c>
      <c r="I189" s="38" t="n">
        <f aca="false">Thesis!$I$164</f>
        <v>25.5818843619889</v>
      </c>
      <c r="J189" s="38" t="n">
        <f aca="false">Thesis!$J$164</f>
        <v>36.0465624179122</v>
      </c>
      <c r="K189" s="38" t="n">
        <f aca="false">Thesis!$K$164</f>
        <v>44.9741164026038</v>
      </c>
      <c r="L189" s="38" t="n">
        <f aca="false">Thesis!$L$164</f>
        <v>50.8413488057813</v>
      </c>
      <c r="M189" s="38" t="n">
        <f aca="false">Thesis!$M$164</f>
        <v>53.6407214274315</v>
      </c>
      <c r="N189" s="38" t="n">
        <f aca="false">Thesis!$N$164</f>
        <v>0</v>
      </c>
      <c r="O189" s="38" t="n">
        <f aca="false">Thesis!$O$164</f>
        <v>0</v>
      </c>
      <c r="P189" s="5" t="s">
        <v>730</v>
      </c>
    </row>
    <row r="190" customFormat="false" ht="17.15" hidden="false" customHeight="false" outlineLevel="0" collapsed="false">
      <c r="A190" s="5" t="s">
        <v>731</v>
      </c>
      <c r="B190" s="0" t="s">
        <v>86</v>
      </c>
      <c r="C190" s="38" t="n">
        <f aca="false">PL!$C$187+PL!$C$189</f>
        <v>68.593</v>
      </c>
      <c r="D190" s="38" t="n">
        <f aca="false">PL!$D$187+PL!$D$189</f>
        <v>79.975</v>
      </c>
      <c r="E190" s="38" t="n">
        <f aca="false">PL!$E$187+PL!$E$189</f>
        <v>51.313</v>
      </c>
      <c r="F190" s="38" t="n">
        <f aca="false">PL!$F$187+PL!$F$189</f>
        <v>59.2932457826576</v>
      </c>
      <c r="G190" s="38" t="n">
        <f aca="false">PL!$G$187+PL!$G$189</f>
        <v>110.606245782658</v>
      </c>
      <c r="H190" s="38" t="n">
        <f aca="false">PL!$H$187+PL!$H$189</f>
        <v>135.428138551705</v>
      </c>
      <c r="I190" s="38" t="n">
        <f aca="false">PL!$I$187+PL!$I$189</f>
        <v>159.211251283043</v>
      </c>
      <c r="J190" s="38" t="n">
        <f aca="false">PL!$J$187+PL!$J$189</f>
        <v>181.479726365628</v>
      </c>
      <c r="K190" s="38" t="n">
        <f aca="false">PL!$K$187+PL!$K$189</f>
        <v>196.399810443626</v>
      </c>
      <c r="L190" s="38" t="n">
        <f aca="false">PL!$L$187+PL!$L$189</f>
        <v>211.250581871109</v>
      </c>
      <c r="M190" s="38" t="n">
        <f aca="false">PL!$M$187+PL!$M$189</f>
        <v>224.932924768107</v>
      </c>
      <c r="N190" s="38" t="n">
        <f aca="false">PL!$N$187+PL!$N$189</f>
        <v>37.576</v>
      </c>
      <c r="O190" s="38" t="n">
        <f aca="false">PL!$O$187+PL!$O$189</f>
        <v>42.399</v>
      </c>
    </row>
    <row r="191" customFormat="false" ht="17.15" hidden="false" customHeight="false" outlineLevel="0" collapsed="false">
      <c r="A191" s="0" t="s">
        <v>732</v>
      </c>
      <c r="B191" s="0" t="s">
        <v>52</v>
      </c>
      <c r="C191" s="13" t="n">
        <f aca="false">PL!$C$177/PL!$C$162</f>
        <v>0.0644314665661928</v>
      </c>
      <c r="D191" s="13" t="n">
        <f aca="false">PL!$D$177/PL!$D$162</f>
        <v>0.0694784250712518</v>
      </c>
      <c r="E191" s="13" t="n">
        <f aca="false">PL!$E$177/PL!$E$162</f>
        <v>0.0789306463326071</v>
      </c>
      <c r="F191" s="13" t="n">
        <f aca="false">PL!$F$177/PL!$F$162</f>
        <v>0.0802414143801289</v>
      </c>
      <c r="G191" s="13" t="n">
        <f aca="false">PL!$G$177/PL!$G$162</f>
        <v>0.0796289944133457</v>
      </c>
      <c r="H191" s="13" t="n">
        <f aca="false">PL!$H$177/PL!$H$162</f>
        <v>0.0791442846070674</v>
      </c>
      <c r="I191" s="13" t="n">
        <f aca="false">PL!$I$177/PL!$I$162</f>
        <v>0.0776575719620411</v>
      </c>
      <c r="J191" s="13" t="n">
        <f aca="false">PL!$J$177/PL!$J$162</f>
        <v>0.0761495497793568</v>
      </c>
      <c r="K191" s="13" t="n">
        <f aca="false">PL!$K$177/PL!$K$162</f>
        <v>0.0744562607677161</v>
      </c>
      <c r="L191" s="13" t="n">
        <f aca="false">PL!$L$177/PL!$L$162</f>
        <v>0.0740007885989155</v>
      </c>
      <c r="M191" s="13" t="n">
        <f aca="false">PL!$M$177/PL!$M$162</f>
        <v>0.0761907968895753</v>
      </c>
      <c r="N191" s="13" t="n">
        <f aca="false">PL!$N$177/PL!$N$162</f>
        <v>0.069228576611127</v>
      </c>
      <c r="O191" s="13" t="n">
        <f aca="false">PL!$O$177/PL!$O$162</f>
        <v>0.069685022498393</v>
      </c>
    </row>
    <row r="192" customFormat="false" ht="17.15" hidden="false" customHeight="false" outlineLevel="0" collapsed="false">
      <c r="A192" s="0" t="s">
        <v>733</v>
      </c>
      <c r="B192" s="0" t="s">
        <v>52</v>
      </c>
      <c r="C192" s="13" t="n">
        <f aca="false">PL!$C$182/PL!$C$163</f>
        <v>0.026534925055631</v>
      </c>
      <c r="D192" s="13" t="n">
        <f aca="false">PL!$D$182/PL!$D$163</f>
        <v>0.0293401855535103</v>
      </c>
      <c r="E192" s="13" t="n">
        <f aca="false">PL!$E$182/PL!$E$163</f>
        <v>0.03831141902276</v>
      </c>
      <c r="F192" s="13" t="n">
        <f aca="false">PL!$F$182/PL!$F$163</f>
        <v>0.0282006793887631</v>
      </c>
      <c r="G192" s="13" t="n">
        <f aca="false">PL!$G$182/PL!$G$163</f>
        <v>0.0327899018931999</v>
      </c>
      <c r="H192" s="13" t="n">
        <f aca="false">PL!$H$182/PL!$H$163</f>
        <v>0.0303000721561113</v>
      </c>
      <c r="I192" s="13" t="n">
        <f aca="false">PL!$I$182/PL!$I$163</f>
        <v>0.0267850487632498</v>
      </c>
      <c r="J192" s="13" t="n">
        <f aca="false">PL!$J$182/PL!$J$163</f>
        <v>0.0231857187038681</v>
      </c>
      <c r="K192" s="13" t="n">
        <f aca="false">PL!$K$182/PL!$K$163</f>
        <v>0.0192964578291855</v>
      </c>
      <c r="L192" s="13" t="n">
        <f aca="false">PL!$L$182/PL!$L$163</f>
        <v>0.0191871831419093</v>
      </c>
      <c r="M192" s="13" t="n">
        <f aca="false">PL!$M$182/PL!$M$163</f>
        <v>0.0217313969646389</v>
      </c>
      <c r="N192" s="13" t="n">
        <f aca="false">PL!$N$182/PL!$N$163</f>
        <v>0.0357315650169337</v>
      </c>
      <c r="O192" s="13" t="n">
        <f aca="false">PL!$O$182/PL!$O$163</f>
        <v>0.0244378956559703</v>
      </c>
    </row>
    <row r="193" customFormat="false" ht="17.15" hidden="false" customHeight="false" outlineLevel="0" collapsed="false">
      <c r="A193" s="14" t="s">
        <v>734</v>
      </c>
      <c r="B193" s="14" t="s">
        <v>52</v>
      </c>
      <c r="C193" s="17" t="n">
        <f aca="false">PL!$C$185/PL!$C$164</f>
        <v>0.370355907620217</v>
      </c>
      <c r="D193" s="17" t="n">
        <f aca="false">PL!$D$185/PL!$D$164</f>
        <v>0.35429015342785</v>
      </c>
      <c r="E193" s="17" t="n">
        <f aca="false">PL!$E$185/PL!$E$164</f>
        <v>0.385647527531039</v>
      </c>
      <c r="F193" s="17" t="n">
        <f aca="false">PL!$F$185/PL!$F$164</f>
        <v>0.379260079301568</v>
      </c>
      <c r="G193" s="17" t="n">
        <f aca="false">PL!$G$185/PL!$G$164</f>
        <v>0.382336486145006</v>
      </c>
      <c r="H193" s="17" t="n">
        <f aca="false">PL!$H$185/PL!$H$164</f>
        <v>0.33990378126712</v>
      </c>
      <c r="I193" s="17" t="n">
        <f aca="false">PL!$I$185/PL!$I$164</f>
        <v>0.313016100672469</v>
      </c>
      <c r="J193" s="17" t="n">
        <f aca="false">PL!$J$185/PL!$J$164</f>
        <v>0.292481324949354</v>
      </c>
      <c r="K193" s="17" t="n">
        <f aca="false">PL!$K$185/PL!$K$164</f>
        <v>0.269063200279212</v>
      </c>
      <c r="L193" s="17" t="n">
        <f aca="false">PL!$L$185/PL!$L$164</f>
        <v>0.259250016248752</v>
      </c>
      <c r="M193" s="17" t="n">
        <f aca="false">PL!$M$185/PL!$M$164</f>
        <v>0.253824163942375</v>
      </c>
      <c r="N193" s="17" t="n">
        <f aca="false">PL!$N$185/PL!$N$164</f>
        <v>0.360941137346192</v>
      </c>
      <c r="O193" s="17" t="n">
        <f aca="false">PL!$O$185/PL!$O$164</f>
        <v>0.348458117664212</v>
      </c>
    </row>
    <row r="194" customFormat="false" ht="17.15" hidden="false" customHeight="false" outlineLevel="0" collapsed="false">
      <c r="A194" s="0" t="s">
        <v>735</v>
      </c>
      <c r="B194" s="0" t="s">
        <v>52</v>
      </c>
      <c r="C194" s="13" t="n">
        <f aca="false">PL!$C$183/PL!$C$165</f>
        <v>0.708390794789371</v>
      </c>
      <c r="D194" s="13" t="n">
        <f aca="false">PL!$D$183/PL!$D$165</f>
        <v>0.445565630441968</v>
      </c>
      <c r="E194" s="13" t="n">
        <f aca="false">PL!$E$183/PL!$E$165</f>
        <v>0.165998118402711</v>
      </c>
      <c r="F194" s="13" t="n">
        <f aca="false">PL!$F$183/PL!$F$165</f>
        <v>0.401859869136011</v>
      </c>
      <c r="G194" s="13" t="n">
        <f aca="false">PL!$G$183/PL!$G$165</f>
        <v>0.313230095563868</v>
      </c>
      <c r="H194" s="13" t="n">
        <f aca="false">PL!$H$183/PL!$H$165</f>
        <v>0.23470012891306</v>
      </c>
      <c r="I194" s="13" t="n">
        <f aca="false">PL!$I$183/PL!$I$165</f>
        <v>0.187200558396588</v>
      </c>
      <c r="J194" s="13" t="n">
        <f aca="false">PL!$J$183/PL!$J$165</f>
        <v>0.160726355342167</v>
      </c>
      <c r="K194" s="13" t="n">
        <f aca="false">PL!$K$183/PL!$K$165</f>
        <v>0.121762921451897</v>
      </c>
      <c r="L194" s="13" t="n">
        <f aca="false">PL!$L$183/PL!$L$165</f>
        <v>0.105068070467128</v>
      </c>
      <c r="M194" s="13" t="n">
        <f aca="false">PL!$M$183/PL!$M$165</f>
        <v>0.0884164198611169</v>
      </c>
      <c r="N194" s="13" t="n">
        <f aca="false">PL!$N$183/PL!$N$165</f>
        <v>0.302870734830849</v>
      </c>
      <c r="O194" s="13" t="n">
        <f aca="false">PL!$O$183/PL!$O$165</f>
        <v>0.52240134346334</v>
      </c>
    </row>
    <row r="195" customFormat="false" ht="15" hidden="false" customHeight="false" outlineLevel="0" collapsed="false">
      <c r="A195" s="5" t="s">
        <v>736</v>
      </c>
      <c r="B195" s="0" t="s">
        <v>52</v>
      </c>
      <c r="C195" s="13" t="n">
        <f aca="false">PL!$C$187/PL!$C$167</f>
        <v>0.107519448742004</v>
      </c>
      <c r="D195" s="13" t="n">
        <f aca="false">PL!$D$187/PL!$D$167</f>
        <v>0.111552967957552</v>
      </c>
      <c r="E195" s="13" t="n">
        <f aca="false">PL!$E$187/PL!$E$167</f>
        <v>0.13428328426562</v>
      </c>
      <c r="F195" s="13" t="n">
        <f aca="false">PL!$F$187/PL!$F$167</f>
        <v>0.127408098277197</v>
      </c>
      <c r="G195" s="13" t="n">
        <f aca="false">PL!$G$187/PL!$G$167</f>
        <v>0.130620179525968</v>
      </c>
      <c r="H195" s="13" t="n">
        <f aca="false">PL!$H$187/PL!$H$167</f>
        <v>0.128425907097869</v>
      </c>
      <c r="I195" s="13" t="n">
        <f aca="false">PL!$I$187/PL!$I$167</f>
        <v>0.126531017520943</v>
      </c>
      <c r="J195" s="13" t="n">
        <f aca="false">PL!$J$187/PL!$J$167</f>
        <v>0.124270559402485</v>
      </c>
      <c r="K195" s="13" t="n">
        <f aca="false">PL!$K$187/PL!$K$167</f>
        <v>0.119180921098492</v>
      </c>
      <c r="L195" s="13" t="n">
        <f aca="false">PL!$L$187/PL!$L$167</f>
        <v>0.117445367788629</v>
      </c>
      <c r="M195" s="13" t="n">
        <f aca="false">PL!$M$187/PL!$M$167</f>
        <v>0.117608549789057</v>
      </c>
      <c r="N195" s="13" t="n">
        <f aca="false">PL!$N$187/PL!$N$167</f>
        <v>0.116201614873411</v>
      </c>
      <c r="O195" s="13" t="n">
        <f aca="false">PL!$O$187/PL!$O$167</f>
        <v>0.107733353660861</v>
      </c>
    </row>
    <row r="196" customFormat="false" ht="17.15" hidden="false" customHeight="false" outlineLevel="0" collapsed="false">
      <c r="A196" s="1" t="s">
        <v>737</v>
      </c>
    </row>
    <row r="197" customFormat="false" ht="17.15" hidden="false" customHeight="false" outlineLevel="0" collapsed="false">
      <c r="A197" s="5" t="s">
        <v>738</v>
      </c>
      <c r="B197" s="0" t="s">
        <v>52</v>
      </c>
      <c r="D197" s="28" t="n">
        <f aca="false">(Q!$E$29+Q!$E$30-(1-ext_sh)*Thesis!$D$158)/Seg!$D$90</f>
        <v>0.0334674312393194</v>
      </c>
    </row>
    <row r="198" customFormat="false" ht="17.15" hidden="false" customHeight="false" outlineLevel="0" collapsed="false">
      <c r="A198" s="0" t="s">
        <v>535</v>
      </c>
      <c r="B198" s="0" t="s">
        <v>86</v>
      </c>
      <c r="C198" s="38" t="n">
        <f aca="false">Q!$D$29</f>
        <v>14.285</v>
      </c>
      <c r="D198" s="38" t="n">
        <f aca="false">Q!$E$29</f>
        <v>15.503</v>
      </c>
      <c r="E198" s="38" t="n">
        <f aca="false">Q!$P$29</f>
        <v>8.78</v>
      </c>
      <c r="F198" s="38" t="n">
        <f aca="false">(PL!$D$197*Seg!$F$90+(1-ext_sh)*Thesis!$F$158)*Seg!$F$91</f>
        <v>9.34390058943005</v>
      </c>
      <c r="G198" s="38" t="n">
        <f aca="false">PL!$E$198+PL!$F$198</f>
        <v>18.1239005894301</v>
      </c>
      <c r="H198" s="38" t="n">
        <f aca="false">(PL!$D$197*Seg!$H$90+(1-ext_sh)*Thesis!$H$158)*Seg!$H$91</f>
        <v>22.5752969873593</v>
      </c>
      <c r="I198" s="38" t="n">
        <f aca="false">(PL!$D$197*Seg!$I$90+(1-ext_sh)*Thesis!$I$158)*Seg!$I$91</f>
        <v>28.2181192329088</v>
      </c>
      <c r="J198" s="38" t="n">
        <f aca="false">(PL!$D$197*Seg!$J$90+(1-ext_sh)*Thesis!$J$158)*Seg!$J$91</f>
        <v>33.8897637786504</v>
      </c>
      <c r="K198" s="38" t="n">
        <f aca="false">(PL!$D$197*Seg!$K$90+(1-ext_sh)*Thesis!$K$158)*Seg!$K$91</f>
        <v>39.4791423726875</v>
      </c>
      <c r="L198" s="38" t="n">
        <f aca="false">(PL!$D$197*Seg!$L$90+(1-ext_sh)*Thesis!$L$158)*Seg!$L$91</f>
        <v>43.6533589294364</v>
      </c>
      <c r="M198" s="38" t="n">
        <f aca="false">(PL!$D$197*Seg!$M$90+(1-ext_sh)*Thesis!$M$158)*Seg!$M$91</f>
        <v>46.8153633388148</v>
      </c>
      <c r="N198" s="38" t="n">
        <f aca="false">Q!$N$29</f>
        <v>7.272</v>
      </c>
      <c r="O198" s="38" t="n">
        <f aca="false">Q!$O$29</f>
        <v>8.231</v>
      </c>
    </row>
    <row r="199" customFormat="false" ht="17.15" hidden="false" customHeight="false" outlineLevel="0" collapsed="false">
      <c r="A199" s="0" t="s">
        <v>537</v>
      </c>
      <c r="B199" s="0" t="s">
        <v>86</v>
      </c>
      <c r="C199" s="38" t="n">
        <f aca="false">Q!$D$30</f>
        <v>4.462</v>
      </c>
      <c r="D199" s="38" t="n">
        <f aca="false">Q!$E$30</f>
        <v>4.907</v>
      </c>
      <c r="E199" s="38" t="n">
        <f aca="false">Q!$P$30</f>
        <v>2.57</v>
      </c>
      <c r="F199" s="38" t="n">
        <f aca="false">(PL!$D$197*Seg!$F$90+(1-ext_sh)*Thesis!$F$158)*(1-Seg!$F$91)</f>
        <v>3.66868725949682</v>
      </c>
      <c r="G199" s="38" t="n">
        <f aca="false">PL!$E$199+PL!$F$199</f>
        <v>6.23868725949682</v>
      </c>
      <c r="H199" s="38" t="n">
        <f aca="false">(PL!$D$197*Seg!$H$90+(1-ext_sh)*Thesis!$H$158)*(1-Seg!$H$91)</f>
        <v>8.64742004962828</v>
      </c>
      <c r="I199" s="38" t="n">
        <f aca="false">(PL!$D$197*Seg!$I$90+(1-ext_sh)*Thesis!$I$158)*(1-Seg!$I$91)</f>
        <v>10.8088912475476</v>
      </c>
      <c r="J199" s="38" t="n">
        <f aca="false">(PL!$D$197*Seg!$J$90+(1-ext_sh)*Thesis!$J$158)*(1-Seg!$J$91)</f>
        <v>12.9814027669608</v>
      </c>
      <c r="K199" s="38" t="n">
        <f aca="false">(PL!$D$197*Seg!$K$90+(1-ext_sh)*Thesis!$K$158)*(1-Seg!$K$91)</f>
        <v>15.1224024865261</v>
      </c>
      <c r="L199" s="38" t="n">
        <f aca="false">(PL!$D$197*Seg!$L$90+(1-ext_sh)*Thesis!$L$158)*(1-Seg!$L$91)</f>
        <v>16.7213273628868</v>
      </c>
      <c r="M199" s="38" t="n">
        <f aca="false">(PL!$D$197*Seg!$M$90+(1-ext_sh)*Thesis!$M$158)*(1-Seg!$M$91)</f>
        <v>17.9325265042307</v>
      </c>
      <c r="N199" s="38" t="n">
        <f aca="false">Q!$N$30</f>
        <v>2.316</v>
      </c>
      <c r="O199" s="38" t="n">
        <f aca="false">Q!$O$30</f>
        <v>2.591</v>
      </c>
    </row>
    <row r="200" customFormat="false" ht="17.15" hidden="false" customHeight="false" outlineLevel="0" collapsed="false">
      <c r="A200" s="0" t="s">
        <v>538</v>
      </c>
      <c r="B200" s="0" t="s">
        <v>86</v>
      </c>
      <c r="C200" s="38" t="n">
        <f aca="false">Thesis!$C$170</f>
        <v>13.32</v>
      </c>
      <c r="D200" s="38" t="n">
        <f aca="false">Thesis!$D$170</f>
        <v>21.45</v>
      </c>
      <c r="E200" s="38" t="n">
        <f aca="false">Thesis!$E$170</f>
        <v>15.353</v>
      </c>
      <c r="F200" s="38" t="n">
        <f aca="false">Thesis!$F$170</f>
        <v>16.3063747611001</v>
      </c>
      <c r="G200" s="38" t="n">
        <f aca="false">Thesis!$G$170</f>
        <v>31.6593747611001</v>
      </c>
      <c r="H200" s="38" t="n">
        <f aca="false">Thesis!$H$170</f>
        <v>53.124242092105</v>
      </c>
      <c r="I200" s="38" t="n">
        <f aca="false">Thesis!$I$170</f>
        <v>78.046828098133</v>
      </c>
      <c r="J200" s="38" t="n">
        <f aca="false">Thesis!$J$170</f>
        <v>103.663976940352</v>
      </c>
      <c r="K200" s="38" t="n">
        <f aca="false">Thesis!$K$170</f>
        <v>129.625086115469</v>
      </c>
      <c r="L200" s="38" t="n">
        <f aca="false">Thesis!$L$170</f>
        <v>147.435052382502</v>
      </c>
      <c r="M200" s="38" t="n">
        <f aca="false">Thesis!$M$170</f>
        <v>159.299754080279</v>
      </c>
      <c r="N200" s="38" t="n">
        <f aca="false">Thesis!$N$170</f>
        <v>9.234</v>
      </c>
      <c r="O200" s="38" t="n">
        <f aca="false">Thesis!$O$170</f>
        <v>12.216</v>
      </c>
    </row>
    <row r="201" customFormat="false" ht="17.15" hidden="false" customHeight="false" outlineLevel="0" collapsed="false">
      <c r="A201" s="5" t="s">
        <v>739</v>
      </c>
      <c r="B201" s="0" t="s">
        <v>86</v>
      </c>
      <c r="C201" s="38" t="n">
        <f aca="false">PL!$C$198+PL!$C$199+PL!$C$200</f>
        <v>32.067</v>
      </c>
      <c r="D201" s="38" t="n">
        <f aca="false">PL!$D$198+PL!$D$199+PL!$D$200</f>
        <v>41.86</v>
      </c>
      <c r="E201" s="38" t="n">
        <f aca="false">PL!$E$198+PL!$E$199+PL!$E$200</f>
        <v>26.703</v>
      </c>
      <c r="F201" s="38" t="n">
        <f aca="false">PL!$F$198+PL!$F$199+PL!$F$200</f>
        <v>29.3189626100269</v>
      </c>
      <c r="G201" s="38" t="n">
        <f aca="false">PL!$G$198+PL!$G$199+PL!$G$200</f>
        <v>56.0219626100269</v>
      </c>
      <c r="H201" s="38" t="n">
        <f aca="false">PL!$H$198+PL!$H$199+PL!$H$200</f>
        <v>84.3469591290926</v>
      </c>
      <c r="I201" s="38" t="n">
        <f aca="false">PL!$I$198+PL!$I$199+PL!$I$200</f>
        <v>117.073838578589</v>
      </c>
      <c r="J201" s="38" t="n">
        <f aca="false">PL!$J$198+PL!$J$199+PL!$J$200</f>
        <v>150.535143485963</v>
      </c>
      <c r="K201" s="38" t="n">
        <f aca="false">PL!$K$198+PL!$K$199+PL!$K$200</f>
        <v>184.226630974683</v>
      </c>
      <c r="L201" s="38" t="n">
        <f aca="false">PL!$L$198+PL!$L$199+PL!$L$200</f>
        <v>207.809738674826</v>
      </c>
      <c r="M201" s="38" t="n">
        <f aca="false">PL!$M$198+PL!$M$199+PL!$M$200</f>
        <v>224.047643923325</v>
      </c>
      <c r="N201" s="38" t="n">
        <f aca="false">PL!$N$198+PL!$N$199+PL!$N$200</f>
        <v>18.822</v>
      </c>
      <c r="O201" s="38" t="n">
        <f aca="false">PL!$O$198+PL!$O$199+PL!$O$200</f>
        <v>23.038</v>
      </c>
    </row>
    <row r="202" customFormat="false" ht="17.15" hidden="false" customHeight="false" outlineLevel="0" collapsed="false">
      <c r="A202" s="0" t="s">
        <v>740</v>
      </c>
      <c r="B202" s="0" t="s">
        <v>86</v>
      </c>
      <c r="C202" s="38" t="n">
        <f aca="false">PL!$C$173+PL!$C$178</f>
        <v>28.107</v>
      </c>
      <c r="D202" s="38" t="n">
        <f aca="false">PL!$D$173+PL!$D$178</f>
        <v>34.3175</v>
      </c>
      <c r="E202" s="38" t="n">
        <f aca="false">PL!$E$173+PL!$E$178</f>
        <v>18.526</v>
      </c>
      <c r="F202" s="38" t="n">
        <f aca="false">PL!$F$173+PL!$F$178</f>
        <v>23.1332261117684</v>
      </c>
      <c r="G202" s="38" t="n">
        <f aca="false">PL!$G$173+PL!$G$178</f>
        <v>41.6592261117685</v>
      </c>
      <c r="H202" s="38" t="n">
        <f aca="false">PL!$H$173+PL!$H$178</f>
        <v>50.0140294294129</v>
      </c>
      <c r="I202" s="38" t="n">
        <f aca="false">PL!$I$173+PL!$I$178</f>
        <v>58.3680759119067</v>
      </c>
      <c r="J202" s="38" t="n">
        <f aca="false">PL!$J$173+PL!$J$178</f>
        <v>66.1612081069603</v>
      </c>
      <c r="K202" s="38" t="n">
        <f aca="false">PL!$K$173+PL!$K$178</f>
        <v>72.7773289176563</v>
      </c>
      <c r="L202" s="38" t="n">
        <f aca="false">PL!$L$173+PL!$L$178</f>
        <v>80.0550618094219</v>
      </c>
      <c r="M202" s="38" t="n">
        <f aca="false">PL!$M$173+PL!$M$178</f>
        <v>88.0605679903641</v>
      </c>
      <c r="N202" s="38" t="n">
        <f aca="false">PL!$N$173+PL!$N$178</f>
        <v>14.8075</v>
      </c>
      <c r="O202" s="38" t="n">
        <f aca="false">PL!$O$173+PL!$O$178</f>
        <v>19.51</v>
      </c>
    </row>
    <row r="203" customFormat="false" ht="17.15" hidden="false" customHeight="false" outlineLevel="0" collapsed="false">
      <c r="A203" s="0" t="s">
        <v>741</v>
      </c>
      <c r="B203" s="0" t="s">
        <v>86</v>
      </c>
      <c r="C203" s="38" t="n">
        <f aca="false">PL!$C$177+PL!$C$182+PL!$C$198+PL!$C$199-PL!$C$202</f>
        <v>19.399</v>
      </c>
      <c r="D203" s="38" t="n">
        <f aca="false">PL!$D$177+PL!$D$182+PL!$D$198+PL!$D$199-PL!$D$202</f>
        <v>20.4615</v>
      </c>
      <c r="E203" s="38" t="n">
        <f aca="false">PL!$E$177+PL!$E$182+PL!$E$198+PL!$E$199-PL!$E$202</f>
        <v>13.355</v>
      </c>
      <c r="F203" s="38" t="n">
        <f aca="false">PL!$F$177+PL!$F$182+PL!$F$198+PL!$F$199-PL!$F$202</f>
        <v>12.820398697196</v>
      </c>
      <c r="G203" s="38" t="n">
        <f aca="false">PL!$G$177+PL!$G$182+PL!$G$198+PL!$G$199-PL!$G$202</f>
        <v>26.175398697196</v>
      </c>
      <c r="H203" s="38" t="n">
        <f aca="false">PL!$H$177+PL!$H$182+PL!$H$198+PL!$H$199-PL!$H$202</f>
        <v>28.5845200082866</v>
      </c>
      <c r="I203" s="38" t="n">
        <f aca="false">PL!$I$177+PL!$I$182+PL!$I$198+PL!$I$199-PL!$I$202</f>
        <v>30.8477542331752</v>
      </c>
      <c r="J203" s="38" t="n">
        <f aca="false">PL!$J$177+PL!$J$182+PL!$J$198+PL!$J$199-PL!$J$202</f>
        <v>33.1031529576554</v>
      </c>
      <c r="K203" s="38" t="n">
        <f aca="false">PL!$K$177+PL!$K$182+PL!$K$198+PL!$K$199-PL!$K$202</f>
        <v>35.5191471680237</v>
      </c>
      <c r="L203" s="38" t="n">
        <f aca="false">PL!$L$177+PL!$L$182+PL!$L$198+PL!$L$199-PL!$L$202</f>
        <v>37.1581615725054</v>
      </c>
      <c r="M203" s="38" t="n">
        <f aca="false">PL!$M$177+PL!$M$182+PL!$M$198+PL!$M$199-PL!$M$202</f>
        <v>39.5949485077261</v>
      </c>
      <c r="N203" s="38" t="n">
        <f aca="false">PL!$N$177+PL!$N$182+PL!$N$198+PL!$N$199-PL!$N$202</f>
        <v>10.6495</v>
      </c>
      <c r="O203" s="38" t="n">
        <f aca="false">PL!$O$177+PL!$O$182+PL!$O$198+PL!$O$199-PL!$O$202</f>
        <v>9.81200000000001</v>
      </c>
    </row>
    <row r="204" customFormat="false" ht="17.15" hidden="false" customHeight="false" outlineLevel="0" collapsed="false">
      <c r="A204" s="0" t="s">
        <v>742</v>
      </c>
      <c r="B204" s="0" t="s">
        <v>86</v>
      </c>
      <c r="C204" s="38" t="n">
        <f aca="false">PL!$C$184+PL!$C$200-ext_sh*Thesis!$C$158</f>
        <v>51.3470500115664</v>
      </c>
      <c r="D204" s="38" t="n">
        <f aca="false">PL!$D$184+PL!$D$200-ext_sh*Thesis!$D$158</f>
        <v>60.2799375433739</v>
      </c>
      <c r="E204" s="38" t="n">
        <f aca="false">PL!$E$184+PL!$E$200-ext_sh*Thesis!$E$158</f>
        <v>39.5095167090767</v>
      </c>
      <c r="F204" s="38" t="n">
        <f aca="false">PL!$F$184+PL!$F$200-ext_sh*Thesis!$F$158</f>
        <v>37.993321722478</v>
      </c>
      <c r="G204" s="38" t="n">
        <f aca="false">PL!$G$184+PL!$G$200-ext_sh*Thesis!$G$158</f>
        <v>77.5028384315548</v>
      </c>
      <c r="H204" s="38" t="n">
        <f aca="false">PL!$H$184+PL!$H$200-ext_sh*Thesis!$H$158</f>
        <v>85.2394217279746</v>
      </c>
      <c r="I204" s="38" t="n">
        <f aca="false">PL!$I$184+PL!$I$200-ext_sh*Thesis!$I$158</f>
        <v>94.6373589713254</v>
      </c>
      <c r="J204" s="38" t="n">
        <f aca="false">PL!$J$184+PL!$J$200-ext_sh*Thesis!$J$158</f>
        <v>103.639899284146</v>
      </c>
      <c r="K204" s="38" t="n">
        <f aca="false">PL!$K$184+PL!$K$200-ext_sh*Thesis!$K$158</f>
        <v>111.931091226878</v>
      </c>
      <c r="L204" s="38" t="n">
        <f aca="false">PL!$L$184+PL!$L$200-ext_sh*Thesis!$L$158</f>
        <v>120.885578525028</v>
      </c>
      <c r="M204" s="38" t="n">
        <f aca="false">PL!$M$184+PL!$M$200-ext_sh*Thesis!$M$158</f>
        <v>130.55642480703</v>
      </c>
      <c r="N204" s="38" t="n">
        <f aca="false">PL!$N$184+PL!$N$200-ext_sh*Thesis!$N$158</f>
        <v>28.5693781401809</v>
      </c>
      <c r="O204" s="38" t="n">
        <f aca="false">PL!$O$184+PL!$O$200-ext_sh*Thesis!$O$158</f>
        <v>31.7105594031931</v>
      </c>
    </row>
    <row r="205" customFormat="false" ht="17.15" hidden="false" customHeight="false" outlineLevel="0" collapsed="false">
      <c r="A205" s="0" t="s">
        <v>743</v>
      </c>
      <c r="B205" s="0" t="s">
        <v>86</v>
      </c>
      <c r="C205" s="38" t="n">
        <f aca="false">Thesis!$C$161</f>
        <v>1.80694998843362</v>
      </c>
      <c r="D205" s="38" t="n">
        <f aca="false">Thesis!$D$161</f>
        <v>6.77606245662607</v>
      </c>
      <c r="E205" s="38" t="n">
        <f aca="false">Thesis!$E$161</f>
        <v>6.62548329092326</v>
      </c>
      <c r="F205" s="38" t="n">
        <f aca="false">Thesis!$F$161</f>
        <v>10.8940413794839</v>
      </c>
      <c r="G205" s="38" t="n">
        <f aca="false">Thesis!$G$161</f>
        <v>17.5195246704072</v>
      </c>
      <c r="H205" s="38" t="n">
        <f aca="false">Thesis!$H$161</f>
        <v>40.7735721541341</v>
      </c>
      <c r="I205" s="38" t="n">
        <f aca="false">Thesis!$I$161</f>
        <v>66.8500163832358</v>
      </c>
      <c r="J205" s="38" t="n">
        <f aca="false">Thesis!$J$161</f>
        <v>93.0640470849174</v>
      </c>
      <c r="K205" s="38" t="n">
        <f aca="false">Thesis!$K$161</f>
        <v>115.424757703147</v>
      </c>
      <c r="L205" s="38" t="n">
        <f aca="false">Thesis!$L$161</f>
        <v>130.120169833198</v>
      </c>
      <c r="M205" s="38" t="n">
        <f aca="false">Thesis!$M$161</f>
        <v>137.12790595888</v>
      </c>
      <c r="N205" s="38" t="n">
        <f aca="false">Thesis!$N$161</f>
        <v>2.37162185981912</v>
      </c>
      <c r="O205" s="38" t="n">
        <f aca="false">Thesis!$O$161</f>
        <v>4.40444059680694</v>
      </c>
    </row>
    <row r="206" customFormat="false" ht="17.15" hidden="false" customHeight="false" outlineLevel="0" collapsed="false">
      <c r="A206" s="0" t="s">
        <v>744</v>
      </c>
      <c r="B206" s="0" t="s">
        <v>86</v>
      </c>
      <c r="C206" s="38" t="n">
        <f aca="false">PL!$C$187+PL!$C$201</f>
        <v>100.66</v>
      </c>
      <c r="D206" s="38" t="n">
        <f aca="false">PL!$D$187+PL!$D$201</f>
        <v>121.835</v>
      </c>
      <c r="E206" s="38" t="n">
        <f aca="false">PL!$E$187+PL!$E$201</f>
        <v>78.016</v>
      </c>
      <c r="F206" s="38" t="n">
        <f aca="false">PL!$F$187+PL!$F$201</f>
        <v>84.8409879109264</v>
      </c>
      <c r="G206" s="38" t="n">
        <f aca="false">PL!$G$187+PL!$G$201</f>
        <v>162.856987910926</v>
      </c>
      <c r="H206" s="38" t="n">
        <f aca="false">PL!$H$187+PL!$H$201</f>
        <v>204.611543319808</v>
      </c>
      <c r="I206" s="38" t="n">
        <f aca="false">PL!$I$187+PL!$I$201</f>
        <v>250.703205499643</v>
      </c>
      <c r="J206" s="38" t="n">
        <f aca="false">PL!$J$187+PL!$J$201</f>
        <v>295.968307433679</v>
      </c>
      <c r="K206" s="38" t="n">
        <f aca="false">PL!$K$187+PL!$K$201</f>
        <v>335.652325015705</v>
      </c>
      <c r="L206" s="38" t="n">
        <f aca="false">PL!$L$187+PL!$L$201</f>
        <v>368.218971740153</v>
      </c>
      <c r="M206" s="38" t="n">
        <f aca="false">PL!$M$187+PL!$M$201</f>
        <v>395.339847264001</v>
      </c>
      <c r="N206" s="38" t="n">
        <f aca="false">PL!$N$187+PL!$N$201</f>
        <v>56.398</v>
      </c>
      <c r="O206" s="38" t="n">
        <f aca="false">PL!$O$187+PL!$O$201</f>
        <v>65.437</v>
      </c>
    </row>
    <row r="207" customFormat="false" ht="17.15" hidden="false" customHeight="false" outlineLevel="0" collapsed="false">
      <c r="A207" s="1" t="s">
        <v>745</v>
      </c>
    </row>
    <row r="208" customFormat="false" ht="15" hidden="false" customHeight="false" outlineLevel="0" collapsed="false">
      <c r="A208" s="5" t="s">
        <v>541</v>
      </c>
      <c r="B208" s="0" t="s">
        <v>86</v>
      </c>
      <c r="C208" s="38" t="n">
        <f aca="false">Q!$D$34</f>
        <v>2.406</v>
      </c>
      <c r="D208" s="38" t="n">
        <f aca="false">Q!$E$34</f>
        <v>2.274</v>
      </c>
      <c r="E208" s="38" t="n">
        <f aca="false">Q!$P$34</f>
        <v>2.114</v>
      </c>
      <c r="F208" s="38" t="n">
        <f aca="false">CF!$F$100</f>
        <v>3.24888962733561</v>
      </c>
      <c r="G208" s="38" t="n">
        <f aca="false">PL!$E$208+PL!$F$208</f>
        <v>5.36288962733561</v>
      </c>
      <c r="H208" s="38" t="n">
        <f aca="false">CF!$H$100</f>
        <v>7.42354172302123</v>
      </c>
      <c r="I208" s="38" t="n">
        <f aca="false">CF!$I$100</f>
        <v>8.70015845851935</v>
      </c>
      <c r="J208" s="38" t="n">
        <f aca="false">CF!$J$100</f>
        <v>10.4491444796108</v>
      </c>
      <c r="K208" s="38" t="n">
        <f aca="false">CF!$K$100</f>
        <v>10.4491444796108</v>
      </c>
      <c r="L208" s="38" t="n">
        <f aca="false">CF!$L$100</f>
        <v>10.4491444796108</v>
      </c>
      <c r="M208" s="38" t="n">
        <f aca="false">CF!$M$100</f>
        <v>10.4491444796108</v>
      </c>
      <c r="N208" s="38" t="n">
        <f aca="false">Q!$N$34</f>
        <v>1.057</v>
      </c>
      <c r="O208" s="38" t="n">
        <f aca="false">Q!$O$34</f>
        <v>1.217</v>
      </c>
    </row>
    <row r="209" customFormat="false" ht="15" hidden="false" customHeight="false" outlineLevel="0" collapsed="false">
      <c r="A209" s="5" t="s">
        <v>746</v>
      </c>
      <c r="B209" s="0" t="s">
        <v>86</v>
      </c>
      <c r="F209" s="38" t="n">
        <f aca="false">CF!$F$101</f>
        <v>2.59</v>
      </c>
      <c r="H209" s="38" t="n">
        <f aca="false">CF!$H$101</f>
        <v>3.77375334343987</v>
      </c>
      <c r="I209" s="38" t="n">
        <f aca="false">CF!$I$101</f>
        <v>2.10589651022864</v>
      </c>
      <c r="J209" s="38" t="n">
        <f aca="false">CF!$J$101</f>
        <v>2.10589651022864</v>
      </c>
      <c r="K209" s="38" t="n">
        <f aca="false">CF!$K$101</f>
        <v>2.35916014245896</v>
      </c>
      <c r="L209" s="38" t="n">
        <f aca="false">CF!$L$101</f>
        <v>6.43699600140942</v>
      </c>
      <c r="M209" s="38" t="n">
        <f aca="false">CF!$M$101</f>
        <v>12.799621611954</v>
      </c>
    </row>
    <row r="210" customFormat="false" ht="17.15" hidden="false" customHeight="false" outlineLevel="0" collapsed="false">
      <c r="A210" s="5" t="s">
        <v>747</v>
      </c>
      <c r="B210" s="0" t="s">
        <v>86</v>
      </c>
      <c r="C210" s="38" t="n">
        <f aca="false">Q!$D$39</f>
        <v>2.427</v>
      </c>
      <c r="D210" s="38" t="n">
        <f aca="false">Q!$E$39</f>
        <v>19.61</v>
      </c>
      <c r="E210" s="38" t="n">
        <f aca="false">Q!$P$39</f>
        <v>71.492</v>
      </c>
      <c r="F210" s="39" t="n">
        <v>0</v>
      </c>
      <c r="G210" s="38" t="n">
        <f aca="false">PL!$E$210+PL!$F$210</f>
        <v>71.492</v>
      </c>
      <c r="H210" s="39" t="n">
        <v>0</v>
      </c>
      <c r="I210" s="39" t="n">
        <v>0</v>
      </c>
      <c r="J210" s="39" t="n">
        <v>0</v>
      </c>
      <c r="K210" s="39" t="n">
        <v>0</v>
      </c>
      <c r="L210" s="39" t="n">
        <v>0</v>
      </c>
      <c r="M210" s="39" t="n">
        <v>0</v>
      </c>
      <c r="N210" s="38" t="n">
        <f aca="false">Q!$N$39</f>
        <v>6.017</v>
      </c>
      <c r="O210" s="38" t="n">
        <f aca="false">Q!$O$39</f>
        <v>13.593</v>
      </c>
      <c r="P210" s="5" t="s">
        <v>748</v>
      </c>
    </row>
    <row r="211" customFormat="false" ht="15" hidden="false" customHeight="false" outlineLevel="0" collapsed="false">
      <c r="A211" s="5" t="s">
        <v>544</v>
      </c>
      <c r="B211" s="0" t="s">
        <v>86</v>
      </c>
      <c r="C211" s="38" t="n">
        <f aca="false">Q!$D$36</f>
        <v>68.614</v>
      </c>
      <c r="D211" s="38" t="n">
        <f aca="false">Q!$E$36</f>
        <v>97.311</v>
      </c>
      <c r="E211" s="38" t="n">
        <f aca="false">Q!$P$36</f>
        <v>120.691</v>
      </c>
      <c r="F211" s="38" t="n">
        <f aca="false">PL!$F$187-PL!$F$208+PL!$F$209+PL!$F$210</f>
        <v>54.8631356735638</v>
      </c>
      <c r="G211" s="38" t="n">
        <f aca="false">PL!$E$211+PL!$F$211</f>
        <v>175.554135673564</v>
      </c>
      <c r="H211" s="38" t="n">
        <f aca="false">PL!$H$187-PL!$H$208+PL!$H$209+PL!$H$210</f>
        <v>116.614795811134</v>
      </c>
      <c r="I211" s="38" t="n">
        <f aca="false">PL!$I$187-PL!$I$208+PL!$I$209+PL!$I$210</f>
        <v>127.035104972763</v>
      </c>
      <c r="J211" s="38" t="n">
        <f aca="false">PL!$J$187-PL!$J$208+PL!$J$209+PL!$J$210</f>
        <v>137.089915978334</v>
      </c>
      <c r="K211" s="38" t="n">
        <f aca="false">PL!$K$187-PL!$K$208+PL!$K$209+PL!$K$210</f>
        <v>143.335709703871</v>
      </c>
      <c r="L211" s="38" t="n">
        <f aca="false">PL!$L$187-PL!$L$208+PL!$L$209+PL!$L$210</f>
        <v>156.397084587126</v>
      </c>
      <c r="M211" s="38" t="n">
        <f aca="false">PL!$M$187-PL!$M$208+PL!$M$209+PL!$M$210</f>
        <v>173.642680473019</v>
      </c>
      <c r="N211" s="38" t="n">
        <f aca="false">Q!$N$36</f>
        <v>42.536</v>
      </c>
      <c r="O211" s="38" t="n">
        <f aca="false">Q!$O$36</f>
        <v>54.775</v>
      </c>
    </row>
    <row r="212" customFormat="false" ht="15" hidden="false" customHeight="false" outlineLevel="0" collapsed="false">
      <c r="A212" s="5" t="s">
        <v>545</v>
      </c>
      <c r="B212" s="0" t="s">
        <v>86</v>
      </c>
      <c r="C212" s="38" t="n">
        <f aca="false">Q!$D$37</f>
        <v>9.265</v>
      </c>
      <c r="D212" s="38" t="n">
        <f aca="false">Q!$E$37</f>
        <v>19.087</v>
      </c>
      <c r="E212" s="38" t="n">
        <f aca="false">Q!$P$37</f>
        <v>27.759</v>
      </c>
      <c r="F212" s="38" t="n">
        <f aca="false">PL!$F$211*tax</f>
        <v>9.52339143484069</v>
      </c>
      <c r="G212" s="38" t="n">
        <f aca="false">PL!$E$212+PL!$F$212</f>
        <v>37.2823914348407</v>
      </c>
      <c r="H212" s="38" t="n">
        <f aca="false">PL!$H$211*tax</f>
        <v>20.2425241278833</v>
      </c>
      <c r="I212" s="38" t="n">
        <f aca="false">PL!$I$211*tax</f>
        <v>22.0513285609494</v>
      </c>
      <c r="J212" s="38" t="n">
        <f aca="false">PL!$J$211*tax</f>
        <v>23.7966881696153</v>
      </c>
      <c r="K212" s="38" t="n">
        <f aca="false">PL!$K$211*tax</f>
        <v>24.8808613168352</v>
      </c>
      <c r="L212" s="38" t="n">
        <f aca="false">PL!$L$211*tax</f>
        <v>27.1481138929648</v>
      </c>
      <c r="M212" s="38" t="n">
        <f aca="false">PL!$M$211*tax</f>
        <v>30.141682491115</v>
      </c>
      <c r="N212" s="38" t="n">
        <f aca="false">Q!$N$37</f>
        <v>7.231</v>
      </c>
      <c r="O212" s="38" t="n">
        <f aca="false">Q!$O$37</f>
        <v>11.856</v>
      </c>
    </row>
    <row r="213" customFormat="false" ht="15" hidden="false" customHeight="false" outlineLevel="0" collapsed="false">
      <c r="A213" s="3" t="s">
        <v>546</v>
      </c>
      <c r="B213" s="8" t="s">
        <v>86</v>
      </c>
      <c r="C213" s="38" t="n">
        <f aca="false">Q!$D$38</f>
        <v>59.248</v>
      </c>
      <c r="D213" s="38" t="n">
        <f aca="false">Q!$E$38</f>
        <v>77.67</v>
      </c>
      <c r="E213" s="38" t="n">
        <f aca="false">Q!$P$38</f>
        <v>92.902</v>
      </c>
      <c r="F213" s="38" t="n">
        <f aca="false">PL!$F$211-PL!$F$212</f>
        <v>45.3397442387231</v>
      </c>
      <c r="G213" s="38" t="n">
        <f aca="false">PL!$E$213+PL!$F$213</f>
        <v>138.241744238723</v>
      </c>
      <c r="H213" s="38" t="n">
        <f aca="false">PL!$H$211-PL!$H$212</f>
        <v>96.3722716832509</v>
      </c>
      <c r="I213" s="38" t="n">
        <f aca="false">PL!$I$211-PL!$I$212</f>
        <v>104.983776411814</v>
      </c>
      <c r="J213" s="38" t="n">
        <f aca="false">PL!$J$211-PL!$J$212</f>
        <v>113.293227808719</v>
      </c>
      <c r="K213" s="38" t="n">
        <f aca="false">PL!$K$211-PL!$K$212</f>
        <v>118.454848387036</v>
      </c>
      <c r="L213" s="38" t="n">
        <f aca="false">PL!$L$211-PL!$L$212</f>
        <v>129.248970694161</v>
      </c>
      <c r="M213" s="38" t="n">
        <f aca="false">PL!$M$211-PL!$M$212</f>
        <v>143.500997981904</v>
      </c>
      <c r="N213" s="38" t="n">
        <f aca="false">Q!$N$38</f>
        <v>35.291</v>
      </c>
      <c r="O213" s="38" t="n">
        <f aca="false">Q!$O$38</f>
        <v>42.379</v>
      </c>
    </row>
    <row r="214" customFormat="false" ht="17.15" hidden="false" customHeight="false" outlineLevel="0" collapsed="false">
      <c r="A214" s="5" t="s">
        <v>549</v>
      </c>
      <c r="B214" s="5" t="s">
        <v>33</v>
      </c>
      <c r="C214" s="22" t="n">
        <f aca="false">Q!$D$41</f>
        <v>10.721</v>
      </c>
      <c r="D214" s="22" t="n">
        <f aca="false">Q!$E$41</f>
        <v>10.827</v>
      </c>
      <c r="E214" s="22" t="n">
        <f aca="false">(Q!$L$41+Q!$M$41)/2</f>
        <v>10.8885</v>
      </c>
      <c r="F214" s="22" t="n">
        <f aca="false">PL!$G$214</f>
        <v>10.924806</v>
      </c>
      <c r="G214" s="22" t="n">
        <f aca="false">Q!$M$41*(1+sh_g*0.25)</f>
        <v>10.924806</v>
      </c>
      <c r="H214" s="22" t="n">
        <f aca="false">PL!$G$214*(1+sh_g)</f>
        <v>11.012204448</v>
      </c>
      <c r="I214" s="22" t="n">
        <f aca="false">PL!$H$214*(1+sh_g)</f>
        <v>11.100302083584</v>
      </c>
      <c r="J214" s="22" t="n">
        <f aca="false">PL!$I$214*(1+sh_g)</f>
        <v>11.1891045002527</v>
      </c>
      <c r="K214" s="22" t="n">
        <f aca="false">PL!$J$214*(1+sh_g)</f>
        <v>11.2786173362547</v>
      </c>
      <c r="L214" s="22" t="n">
        <f aca="false">PL!$K$214*(1+sh_g)</f>
        <v>11.3688462749447</v>
      </c>
      <c r="M214" s="22" t="n">
        <f aca="false">PL!$L$214*(1+sh_g)</f>
        <v>11.4597970451443</v>
      </c>
      <c r="P214" s="5" t="s">
        <v>749</v>
      </c>
    </row>
    <row r="215" customFormat="false" ht="17.15" hidden="false" customHeight="false" outlineLevel="0" collapsed="false">
      <c r="A215" s="5" t="s">
        <v>750</v>
      </c>
      <c r="B215" s="0" t="s">
        <v>86</v>
      </c>
      <c r="C215" s="38" t="n">
        <f aca="false">PL!$C$213+PL!$C$189*(1-tax)</f>
        <v>59.248</v>
      </c>
      <c r="D215" s="38" t="n">
        <f aca="false">PL!$D$213+PL!$D$189*(1-tax)</f>
        <v>77.67</v>
      </c>
      <c r="E215" s="38" t="n">
        <f aca="false">PL!$E$213+PL!$E$189*(1-tax)</f>
        <v>92.902</v>
      </c>
      <c r="F215" s="38" t="n">
        <f aca="false">PL!$F$213+PL!$F$189*(1-tax)</f>
        <v>48.4563391983718</v>
      </c>
      <c r="G215" s="38" t="n">
        <f aca="false">PL!$G$213+PL!$G$189*(1-tax)</f>
        <v>141.358339198372</v>
      </c>
      <c r="H215" s="38" t="n">
        <f aca="false">PL!$H$213+PL!$H$189*(1-tax)</f>
        <v>108.903667638596</v>
      </c>
      <c r="I215" s="38" t="n">
        <f aca="false">PL!$I$213+PL!$I$189*(1-tax)</f>
        <v>126.125041486753</v>
      </c>
      <c r="J215" s="38" t="n">
        <f aca="false">PL!$J$213+PL!$J$189*(1-tax)</f>
        <v>143.082664753002</v>
      </c>
      <c r="K215" s="38" t="n">
        <f aca="false">PL!$K$213+PL!$K$189*(1-tax)</f>
        <v>155.622154083694</v>
      </c>
      <c r="L215" s="38" t="n">
        <f aca="false">PL!$L$213+PL!$L$189*(1-tax)</f>
        <v>171.265048034717</v>
      </c>
      <c r="M215" s="38" t="n">
        <f aca="false">PL!$M$213+PL!$M$189*(1-tax)</f>
        <v>187.830520172744</v>
      </c>
      <c r="N215" s="38" t="n">
        <f aca="false">PL!$N$213+PL!$N$189*(1-tax)</f>
        <v>35.291</v>
      </c>
      <c r="O215" s="38" t="n">
        <f aca="false">PL!$O$213+PL!$O$189*(1-tax)</f>
        <v>42.379</v>
      </c>
    </row>
    <row r="216" customFormat="false" ht="17.15" hidden="false" customHeight="false" outlineLevel="0" collapsed="false">
      <c r="A216" s="43" t="s">
        <v>751</v>
      </c>
      <c r="B216" s="14" t="s">
        <v>27</v>
      </c>
      <c r="C216" s="44" t="n">
        <f aca="false">PL!$C$215/PL!$C$214</f>
        <v>5.52635015390355</v>
      </c>
      <c r="D216" s="44" t="n">
        <f aca="false">PL!$D$215/PL!$D$214</f>
        <v>7.1737323358271</v>
      </c>
      <c r="E216" s="44" t="n">
        <f aca="false">PL!$E$215/PL!$E$214</f>
        <v>8.53212104513937</v>
      </c>
      <c r="F216" s="14"/>
      <c r="G216" s="44" t="n">
        <f aca="false">PL!$G$215/PL!$G$214</f>
        <v>12.939208183502</v>
      </c>
      <c r="H216" s="44" t="n">
        <f aca="false">PL!$H$215/PL!$H$214</f>
        <v>9.88936122216423</v>
      </c>
      <c r="I216" s="44" t="n">
        <f aca="false">PL!$I$215/PL!$I$214</f>
        <v>11.3623071279543</v>
      </c>
      <c r="J216" s="44" t="n">
        <f aca="false">PL!$J$215/PL!$J$214</f>
        <v>12.7876779370298</v>
      </c>
      <c r="K216" s="44" t="n">
        <f aca="false">PL!$K$215/PL!$K$214</f>
        <v>13.7979815649435</v>
      </c>
      <c r="L216" s="44" t="n">
        <f aca="false">PL!$L$215/PL!$L$214</f>
        <v>15.0644176104448</v>
      </c>
      <c r="M216" s="44" t="n">
        <f aca="false">PL!$M$215/PL!$M$214</f>
        <v>16.3903880175898</v>
      </c>
      <c r="N216" s="14"/>
      <c r="O216" s="14"/>
    </row>
    <row r="217" customFormat="false" ht="17.15" hidden="false" customHeight="false" outlineLevel="0" collapsed="false">
      <c r="A217" s="0" t="s">
        <v>752</v>
      </c>
      <c r="B217" s="0" t="s">
        <v>27</v>
      </c>
      <c r="C217" s="30" t="n">
        <f aca="false">PL!$C$213/PL!$C$214</f>
        <v>5.52635015390355</v>
      </c>
      <c r="D217" s="30" t="n">
        <f aca="false">PL!$D$213/PL!$D$214</f>
        <v>7.1737323358271</v>
      </c>
      <c r="E217" s="30" t="n">
        <f aca="false">PL!$E$213/PL!$E$214</f>
        <v>8.53212104513937</v>
      </c>
      <c r="G217" s="30" t="n">
        <f aca="false">PL!$G$213/PL!$G$214</f>
        <v>12.6539312678617</v>
      </c>
      <c r="H217" s="30" t="n">
        <f aca="false">PL!$H$213/PL!$H$214</f>
        <v>8.75140596402146</v>
      </c>
      <c r="I217" s="30" t="n">
        <f aca="false">PL!$I$213/PL!$I$214</f>
        <v>9.45774048501544</v>
      </c>
      <c r="J217" s="30" t="n">
        <f aca="false">PL!$J$213/PL!$J$214</f>
        <v>10.1253168031598</v>
      </c>
      <c r="K217" s="30" t="n">
        <f aca="false">PL!$K$213/PL!$K$214</f>
        <v>10.5026037195417</v>
      </c>
      <c r="L217" s="30" t="n">
        <f aca="false">PL!$L$213/PL!$L$214</f>
        <v>11.3686971895299</v>
      </c>
      <c r="M217" s="30" t="n">
        <f aca="false">PL!$M$213/PL!$M$214</f>
        <v>12.5221238575693</v>
      </c>
    </row>
    <row r="218" customFormat="false" ht="17.15" hidden="false" customHeight="false" outlineLevel="0" collapsed="false">
      <c r="A218" s="0" t="s">
        <v>753</v>
      </c>
      <c r="B218" s="0" t="s">
        <v>27</v>
      </c>
      <c r="C218" s="30" t="n">
        <f aca="false">(PL!$C$213-PL!$C$210*(1-tax))/PL!$C$214</f>
        <v>5.33926775917445</v>
      </c>
      <c r="D218" s="30" t="n">
        <f aca="false">(PL!$D$213-PL!$D$210*(1-tax))/PL!$D$214</f>
        <v>5.67691812755503</v>
      </c>
      <c r="E218" s="30" t="n">
        <f aca="false">(PL!$E$213-PL!$E$210*(1-tax))/PL!$E$214</f>
        <v>3.10602057006846</v>
      </c>
      <c r="G218" s="30" t="n">
        <f aca="false">(PL!$G$213-PL!$G$210*(1-tax))/PL!$G$214</f>
        <v>7.24586314996472</v>
      </c>
      <c r="H218" s="30" t="n">
        <f aca="false">(PL!$H$213-PL!$H$210*(1-tax))/PL!$H$214</f>
        <v>8.75140596402146</v>
      </c>
      <c r="I218" s="30" t="n">
        <f aca="false">(PL!$I$213-PL!$I$210*(1-tax))/PL!$I$214</f>
        <v>9.45774048501544</v>
      </c>
      <c r="J218" s="30" t="n">
        <f aca="false">(PL!$J$213-PL!$J$210*(1-tax))/PL!$J$214</f>
        <v>10.1253168031598</v>
      </c>
      <c r="K218" s="30" t="n">
        <f aca="false">(PL!$K$213-PL!$K$210*(1-tax))/PL!$K$214</f>
        <v>10.5026037195417</v>
      </c>
      <c r="L218" s="30" t="n">
        <f aca="false">(PL!$L$213-PL!$L$210*(1-tax))/PL!$L$214</f>
        <v>11.3686971895299</v>
      </c>
      <c r="M218" s="30" t="n">
        <f aca="false">(PL!$M$213-PL!$M$210*(1-tax))/PL!$M$214</f>
        <v>12.5221238575693</v>
      </c>
      <c r="P218" s="5" t="s">
        <v>754</v>
      </c>
    </row>
    <row r="219" customFormat="false" ht="17.15" hidden="false" customHeight="false" outlineLevel="0" collapsed="false">
      <c r="A219" s="0" t="s">
        <v>755</v>
      </c>
      <c r="B219" s="0" t="s">
        <v>52</v>
      </c>
      <c r="H219" s="13" t="n">
        <f aca="false">PL!$H$216/PL!$G$216-1</f>
        <v>-0.235705842126139</v>
      </c>
      <c r="I219" s="13" t="n">
        <f aca="false">PL!$I$216/PL!$H$216-1</f>
        <v>0.148942471884727</v>
      </c>
      <c r="J219" s="13" t="n">
        <f aca="false">PL!$J$216/PL!$I$216-1</f>
        <v>0.125447305113652</v>
      </c>
      <c r="K219" s="13" t="n">
        <f aca="false">PL!$K$216/PL!$J$216-1</f>
        <v>0.0790060269650741</v>
      </c>
      <c r="L219" s="13" t="n">
        <f aca="false">PL!$L$216/PL!$K$216-1</f>
        <v>0.0917841525980065</v>
      </c>
      <c r="M219" s="13" t="n">
        <f aca="false">PL!$M$216/PL!$L$216-1</f>
        <v>0.0880200244997011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3" style="0" width="11"/>
    <col collapsed="false" customWidth="true" hidden="false" outlineLevel="0" max="16" min="16" style="0" width="60"/>
  </cols>
  <sheetData>
    <row r="1" customFormat="false" ht="17.15" hidden="false" customHeight="false" outlineLevel="0" collapsed="false">
      <c r="A1" s="0" t="s">
        <v>762</v>
      </c>
    </row>
    <row r="4" customFormat="false" ht="15" hidden="false" customHeight="false" outlineLevel="0" collapsed="false">
      <c r="A4" s="3" t="s">
        <v>763</v>
      </c>
    </row>
    <row r="5" customFormat="false" ht="17.15" hidden="false" customHeight="false" outlineLevel="0" collapsed="false">
      <c r="A5" s="6" t="s">
        <v>16</v>
      </c>
      <c r="B5" s="20" t="s">
        <v>764</v>
      </c>
      <c r="C5" s="20" t="s">
        <v>765</v>
      </c>
      <c r="D5" s="20" t="s">
        <v>766</v>
      </c>
      <c r="E5" s="6" t="s">
        <v>767</v>
      </c>
      <c r="F5" s="6" t="s">
        <v>23</v>
      </c>
    </row>
    <row r="6" customFormat="false" ht="17.15" hidden="false" customHeight="false" outlineLevel="0" collapsed="false">
      <c r="A6" s="15" t="s">
        <v>768</v>
      </c>
      <c r="B6" s="45" t="n">
        <f aca="false">CF!$G$40</f>
        <v>192.924497963814</v>
      </c>
      <c r="C6" s="45" t="n">
        <f aca="false">CF!$G$71</f>
        <v>10.1939914156684</v>
      </c>
      <c r="D6" s="45" t="n">
        <f aca="false">CF!$G$102</f>
        <v>-51.5941543670482</v>
      </c>
      <c r="E6" s="45" t="n">
        <f aca="false">w_A*B6+w_B*C6+w_C*D6</f>
        <v>40.4295816070256</v>
      </c>
      <c r="F6" s="14" t="s">
        <v>769</v>
      </c>
    </row>
    <row r="7" customFormat="false" ht="17.15" hidden="false" customHeight="false" outlineLevel="0" collapsed="false">
      <c r="A7" s="0" t="s">
        <v>770</v>
      </c>
      <c r="B7" s="46" t="n">
        <f aca="false">CF!$G$41</f>
        <v>0.182017444081787</v>
      </c>
      <c r="C7" s="46" t="n">
        <f aca="false">CF!$G$72</f>
        <v>29.2834134629509</v>
      </c>
      <c r="D7" s="46" t="n">
        <f aca="false">CF!$G$103</f>
        <v>47.7978318576546</v>
      </c>
    </row>
    <row r="8" customFormat="false" ht="17.15" hidden="false" customHeight="false" outlineLevel="0" collapsed="false">
      <c r="A8" s="5" t="s">
        <v>771</v>
      </c>
      <c r="B8" s="0" t="str">
        <f aca="false">IF(B7&gt;=1,"需要舉債",IF(B7&gt;0,"幾乎不需要（新增借款少於 1）","不需要（現金足以支應）"))</f>
        <v>幾乎不需要（新增借款少於 1）</v>
      </c>
      <c r="C8" s="0" t="str">
        <f aca="false">IF(C7&gt;=1,"需要舉債",IF(C7&gt;0,"幾乎不需要（新增借款少於 1）","不需要（現金足以支應）"))</f>
        <v>需要舉債</v>
      </c>
      <c r="D8" s="0" t="str">
        <f aca="false">IF(D7&gt;=1,"需要舉債",IF(D7&gt;0,"幾乎不需要（新增借款少於 1）","不需要（現金足以支應）"))</f>
        <v>需要舉債</v>
      </c>
      <c r="F8" s="5" t="s">
        <v>772</v>
      </c>
    </row>
    <row r="9" customFormat="false" ht="17.15" hidden="false" customHeight="false" outlineLevel="0" collapsed="false">
      <c r="A9" s="5" t="s">
        <v>773</v>
      </c>
      <c r="B9" s="5" t="s">
        <v>774</v>
      </c>
      <c r="C9" s="5" t="s">
        <v>774</v>
      </c>
      <c r="D9" s="5" t="s">
        <v>774</v>
      </c>
    </row>
    <row r="10" customFormat="false" ht="17.15" hidden="false" customHeight="false" outlineLevel="0" collapsed="false">
      <c r="A10" s="0" t="s">
        <v>775</v>
      </c>
      <c r="B10" s="46" t="n">
        <f aca="false">CF!$I$29</f>
        <v>19.2646511397182</v>
      </c>
      <c r="C10" s="46" t="n">
        <f aca="false">CF!$I$60</f>
        <v>-15.5451348078424</v>
      </c>
      <c r="D10" s="46" t="n">
        <f aca="false">CF!$I$91</f>
        <v>-27.6301109177159</v>
      </c>
    </row>
    <row r="11" customFormat="false" ht="15" hidden="false" customHeight="false" outlineLevel="0" collapsed="false">
      <c r="A11" s="24" t="s">
        <v>776</v>
      </c>
      <c r="B11" s="42" t="n">
        <f aca="false">ABS(CF!$G$42)+ABS(CF!$G$73)+ABS(CF!$G$104)</f>
        <v>0</v>
      </c>
      <c r="C11" s="25"/>
      <c r="D11" s="25"/>
      <c r="E11" s="25"/>
      <c r="F11" s="25"/>
    </row>
    <row r="14" customFormat="false" ht="19.4" hidden="false" customHeight="false" outlineLevel="0" collapsed="false">
      <c r="A14" s="31" t="s">
        <v>777</v>
      </c>
    </row>
    <row r="15" customFormat="false" ht="17.15" hidden="false" customHeight="false" outlineLevel="0" collapsed="false">
      <c r="A15" s="6" t="s">
        <v>16</v>
      </c>
      <c r="B15" s="6" t="s">
        <v>17</v>
      </c>
      <c r="C15" s="20" t="s">
        <v>494</v>
      </c>
      <c r="D15" s="20" t="s">
        <v>495</v>
      </c>
      <c r="E15" s="20" t="s">
        <v>577</v>
      </c>
      <c r="F15" s="20" t="s">
        <v>578</v>
      </c>
      <c r="G15" s="20" t="s">
        <v>579</v>
      </c>
      <c r="H15" s="20" t="s">
        <v>580</v>
      </c>
      <c r="I15" s="20" t="s">
        <v>581</v>
      </c>
      <c r="J15" s="20" t="s">
        <v>582</v>
      </c>
      <c r="K15" s="20" t="s">
        <v>583</v>
      </c>
      <c r="L15" s="20" t="s">
        <v>584</v>
      </c>
      <c r="M15" s="20" t="s">
        <v>585</v>
      </c>
      <c r="N15" s="20" t="s">
        <v>586</v>
      </c>
      <c r="O15" s="20" t="s">
        <v>587</v>
      </c>
      <c r="P15" s="6" t="s">
        <v>23</v>
      </c>
      <c r="R15" s="20" t="n">
        <v>2023</v>
      </c>
      <c r="S15" s="20" t="n">
        <v>2024</v>
      </c>
      <c r="T15" s="20" t="n">
        <v>2025</v>
      </c>
      <c r="U15" s="20" t="n">
        <v>2026</v>
      </c>
      <c r="V15" s="20" t="n">
        <v>2027</v>
      </c>
      <c r="W15" s="20" t="n">
        <v>2028</v>
      </c>
      <c r="X15" s="20" t="n">
        <v>2029</v>
      </c>
      <c r="Y15" s="20" t="n">
        <v>2030</v>
      </c>
      <c r="Z15" s="20" t="n">
        <v>2031</v>
      </c>
      <c r="AA15" s="20" t="n">
        <v>2032</v>
      </c>
    </row>
    <row r="16" customFormat="false" ht="15" hidden="false" customHeight="false" outlineLevel="0" collapsed="false">
      <c r="A16" s="5" t="s">
        <v>546</v>
      </c>
      <c r="B16" s="0" t="s">
        <v>86</v>
      </c>
      <c r="C16" s="38" t="n">
        <f aca="false">PL!$C$73</f>
        <v>59.248</v>
      </c>
      <c r="D16" s="38" t="n">
        <f aca="false">PL!$D$73</f>
        <v>77.67</v>
      </c>
      <c r="E16" s="38" t="n">
        <f aca="false">PL!$E$73</f>
        <v>92.902</v>
      </c>
      <c r="F16" s="38" t="n">
        <f aca="false">PL!$F$73</f>
        <v>48.0987743502108</v>
      </c>
      <c r="G16" s="38" t="n">
        <f aca="false">PL!$G$73</f>
        <v>141.000774350211</v>
      </c>
      <c r="H16" s="38" t="n">
        <f aca="false">PL!$H$73</f>
        <v>120.101234370414</v>
      </c>
      <c r="I16" s="38" t="n">
        <f aca="false">PL!$I$73</f>
        <v>154.147106825205</v>
      </c>
      <c r="J16" s="38" t="n">
        <f aca="false">PL!$J$73</f>
        <v>189.060943647306</v>
      </c>
      <c r="K16" s="38" t="n">
        <f aca="false">PL!$K$73</f>
        <v>217.638684715043</v>
      </c>
      <c r="L16" s="38" t="n">
        <f aca="false">PL!$L$73</f>
        <v>245.608062981845</v>
      </c>
      <c r="M16" s="38" t="n">
        <f aca="false">PL!$M$73</f>
        <v>270.53190622036</v>
      </c>
    </row>
    <row r="17" customFormat="false" ht="17.15" hidden="false" customHeight="false" outlineLevel="0" collapsed="false">
      <c r="A17" s="5" t="s">
        <v>778</v>
      </c>
      <c r="B17" s="0" t="s">
        <v>86</v>
      </c>
      <c r="C17" s="38" t="n">
        <f aca="false">PL!$C$61</f>
        <v>32.067</v>
      </c>
      <c r="D17" s="38" t="n">
        <f aca="false">PL!$D$61</f>
        <v>41.86</v>
      </c>
      <c r="E17" s="38" t="n">
        <f aca="false">PL!$E$61</f>
        <v>26.703</v>
      </c>
      <c r="F17" s="38" t="n">
        <f aca="false">PL!$F$61</f>
        <v>29.1973682263655</v>
      </c>
      <c r="G17" s="38" t="n">
        <f aca="false">PL!$G$61</f>
        <v>55.9003682263655</v>
      </c>
      <c r="H17" s="38" t="n">
        <f aca="false">PL!$H$61</f>
        <v>84.5749885561059</v>
      </c>
      <c r="I17" s="38" t="n">
        <f aca="false">PL!$I$61</f>
        <v>118.042122158798</v>
      </c>
      <c r="J17" s="38" t="n">
        <f aca="false">PL!$J$61</f>
        <v>152.27209015198</v>
      </c>
      <c r="K17" s="38" t="n">
        <f aca="false">PL!$K$61</f>
        <v>186.733654532054</v>
      </c>
      <c r="L17" s="38" t="n">
        <f aca="false">PL!$L$61</f>
        <v>210.853295700971</v>
      </c>
      <c r="M17" s="38" t="n">
        <f aca="false">PL!$M$61</f>
        <v>227.394136298658</v>
      </c>
    </row>
    <row r="18" customFormat="false" ht="15" hidden="false" customHeight="false" outlineLevel="0" collapsed="false">
      <c r="A18" s="5" t="s">
        <v>779</v>
      </c>
      <c r="B18" s="0" t="s">
        <v>86</v>
      </c>
      <c r="C18" s="38" t="n">
        <f aca="false">Q!$D$48</f>
        <v>22.011</v>
      </c>
      <c r="D18" s="38" t="n">
        <f aca="false">Q!$E$48</f>
        <v>19.467</v>
      </c>
      <c r="E18" s="38" t="n">
        <f aca="false">Q!$P$48</f>
        <v>10.07</v>
      </c>
      <c r="F18" s="38" t="n">
        <f aca="false">sbc_r*Seg!$F$30</f>
        <v>10.8507035798037</v>
      </c>
      <c r="G18" s="38" t="n">
        <f aca="false">CF!$E$18+CF!$F$18</f>
        <v>20.9207035798037</v>
      </c>
      <c r="H18" s="38" t="n">
        <f aca="false">sbc_r*Seg!$H$30</f>
        <v>23.9554729790538</v>
      </c>
      <c r="I18" s="38" t="n">
        <f aca="false">sbc_r*Seg!$I$30</f>
        <v>27.6875409717302</v>
      </c>
      <c r="J18" s="38" t="n">
        <f aca="false">sbc_r*Seg!$J$30</f>
        <v>31.2878852964193</v>
      </c>
      <c r="K18" s="38" t="n">
        <f aca="false">sbc_r*Seg!$K$30</f>
        <v>34.4296795584019</v>
      </c>
      <c r="L18" s="38" t="n">
        <f aca="false">sbc_r*Seg!$L$30</f>
        <v>37.2224785624786</v>
      </c>
      <c r="M18" s="38" t="n">
        <f aca="false">sbc_r*Seg!$M$30</f>
        <v>39.6747849214215</v>
      </c>
    </row>
    <row r="19" customFormat="false" ht="17.15" hidden="false" customHeight="false" outlineLevel="0" collapsed="false">
      <c r="A19" s="5" t="s">
        <v>780</v>
      </c>
      <c r="B19" s="0" t="s">
        <v>86</v>
      </c>
      <c r="C19" s="38" t="n">
        <f aca="false">Q!$D$44-CF!$C$16-CF!$C$17-CF!$C$18</f>
        <v>2.551</v>
      </c>
      <c r="D19" s="38" t="n">
        <f aca="false">Q!$E$44-CF!$D$16-CF!$D$17-CF!$D$18</f>
        <v>0.51700000000001</v>
      </c>
      <c r="E19" s="38" t="n">
        <f aca="false">Q!$P$44-CF!$E$16-CF!$E$17-CF!$E$18</f>
        <v>-58.256</v>
      </c>
      <c r="F19" s="38" t="n">
        <f aca="false">oth_r*Seg!$F$30</f>
        <v>5.22265251035878</v>
      </c>
      <c r="G19" s="38" t="n">
        <f aca="false">CF!$E$19+CF!$F$19</f>
        <v>-53.0333474896412</v>
      </c>
      <c r="H19" s="38" t="n">
        <f aca="false">oth_r*Seg!$H$30</f>
        <v>11.5302302906657</v>
      </c>
      <c r="I19" s="38" t="n">
        <f aca="false">oth_r*Seg!$I$30</f>
        <v>13.3265464583159</v>
      </c>
      <c r="J19" s="38" t="n">
        <f aca="false">oth_r*Seg!$J$30</f>
        <v>15.0594614888667</v>
      </c>
      <c r="K19" s="38" t="n">
        <f aca="false">oth_r*Seg!$K$30</f>
        <v>16.571667547091</v>
      </c>
      <c r="L19" s="38" t="n">
        <f aca="false">oth_r*Seg!$L$30</f>
        <v>17.9158954694828</v>
      </c>
      <c r="M19" s="38" t="n">
        <f aca="false">oth_r*Seg!$M$30</f>
        <v>19.0962377272457</v>
      </c>
      <c r="P19" s="8" t="s">
        <v>781</v>
      </c>
    </row>
    <row r="20" customFormat="false" ht="15" hidden="false" customHeight="false" outlineLevel="0" collapsed="false">
      <c r="A20" s="3" t="s">
        <v>552</v>
      </c>
      <c r="B20" s="8" t="s">
        <v>86</v>
      </c>
      <c r="C20" s="38" t="n">
        <f aca="false">Q!$D$44</f>
        <v>115.877</v>
      </c>
      <c r="D20" s="38" t="n">
        <f aca="false">Q!$E$44</f>
        <v>139.514</v>
      </c>
      <c r="E20" s="38" t="n">
        <f aca="false">Q!$P$44</f>
        <v>71.419</v>
      </c>
      <c r="F20" s="38" t="n">
        <f aca="false">CF!$F$16+CF!$F$17+CF!$F$18+CF!$F$19</f>
        <v>93.3694986667388</v>
      </c>
      <c r="G20" s="38" t="n">
        <f aca="false">CF!$E$20+CF!$F$20</f>
        <v>164.788498666739</v>
      </c>
      <c r="H20" s="38" t="n">
        <f aca="false">CF!$H$16+CF!$H$17+CF!$H$18+CF!$H$19</f>
        <v>240.161926196239</v>
      </c>
      <c r="I20" s="38" t="n">
        <f aca="false">CF!$I$16+CF!$I$17+CF!$I$18+CF!$I$19</f>
        <v>313.203316414049</v>
      </c>
      <c r="J20" s="38" t="n">
        <f aca="false">CF!$J$16+CF!$J$17+CF!$J$18+CF!$J$19</f>
        <v>387.680380584572</v>
      </c>
      <c r="K20" s="38" t="n">
        <f aca="false">CF!$K$16+CF!$K$17+CF!$K$18+CF!$K$19</f>
        <v>455.37368635259</v>
      </c>
      <c r="L20" s="38" t="n">
        <f aca="false">CF!$L$16+CF!$L$17+CF!$L$18+CF!$L$19</f>
        <v>511.599732714778</v>
      </c>
      <c r="M20" s="38" t="n">
        <f aca="false">CF!$M$16+CF!$M$17+CF!$M$18+CF!$M$19</f>
        <v>556.697065167685</v>
      </c>
    </row>
    <row r="21" customFormat="false" ht="17.15" hidden="false" customHeight="false" outlineLevel="0" collapsed="false">
      <c r="A21" s="5" t="s">
        <v>782</v>
      </c>
      <c r="B21" s="0" t="s">
        <v>86</v>
      </c>
      <c r="C21" s="38" t="n">
        <f aca="false">Thesis!$C$35</f>
        <v>25.2781053077374</v>
      </c>
      <c r="D21" s="38" t="n">
        <f aca="false">Thesis!$D$35</f>
        <v>69.5686316310026</v>
      </c>
      <c r="E21" s="38" t="n">
        <f aca="false">Thesis!$E$35</f>
        <v>64.1899206485108</v>
      </c>
      <c r="F21" s="38" t="n">
        <f aca="false">Thesis!$F$35</f>
        <v>98.862028245</v>
      </c>
      <c r="G21" s="38" t="n">
        <f aca="false">Thesis!$G$35</f>
        <v>163.051948893511</v>
      </c>
      <c r="H21" s="38" t="n">
        <f aca="false">Thesis!$H$35</f>
        <v>203.9641486225</v>
      </c>
      <c r="I21" s="38" t="n">
        <f aca="false">Thesis!$I$35</f>
        <v>210.204240755</v>
      </c>
      <c r="J21" s="38" t="n">
        <f aca="false">Thesis!$J$35</f>
        <v>215.441008955</v>
      </c>
      <c r="K21" s="38" t="n">
        <f aca="false">Thesis!$K$35</f>
        <v>159.138087817758</v>
      </c>
      <c r="L21" s="38" t="n">
        <f aca="false">Thesis!$L$35</f>
        <v>134.255775880517</v>
      </c>
      <c r="M21" s="38" t="n">
        <f aca="false">Thesis!$M$35</f>
        <v>134.968168520775</v>
      </c>
    </row>
    <row r="22" customFormat="false" ht="17.15" hidden="false" customHeight="false" outlineLevel="0" collapsed="false">
      <c r="A22" s="5" t="s">
        <v>783</v>
      </c>
      <c r="B22" s="0" t="s">
        <v>86</v>
      </c>
      <c r="C22" s="38" t="n">
        <f aca="false">cx_awso*Seg!$C$28</f>
        <v>21.0469989286053</v>
      </c>
      <c r="D22" s="38" t="n">
        <f aca="false">cx_awso*Seg!$D$28</f>
        <v>24.0042459822698</v>
      </c>
      <c r="E22" s="38" t="n">
        <f aca="false">cx_awso*Seg!$E$28</f>
        <v>14.261729404886</v>
      </c>
      <c r="F22" s="38" t="n">
        <f aca="false">cx_awso*Seg!$F$28</f>
        <v>14.3538599588493</v>
      </c>
      <c r="G22" s="38" t="n">
        <f aca="false">CF!$E$22+CF!$F$22</f>
        <v>28.6155893637353</v>
      </c>
      <c r="H22" s="38" t="n">
        <f aca="false">cx_awso*Seg!$H$28</f>
        <v>32.2034154158406</v>
      </c>
      <c r="I22" s="38" t="n">
        <f aca="false">cx_awso*Seg!$I$28</f>
        <v>35.7539519042915</v>
      </c>
      <c r="J22" s="38" t="n">
        <f aca="false">cx_awso*Seg!$J$28</f>
        <v>39.1551076091815</v>
      </c>
      <c r="K22" s="38" t="n">
        <f aca="false">cx_awso*Seg!$K$28</f>
        <v>42.287516217916</v>
      </c>
      <c r="L22" s="38" t="n">
        <f aca="false">cx_awso*Seg!$L$28</f>
        <v>45.6705175153492</v>
      </c>
      <c r="M22" s="38" t="n">
        <f aca="false">cx_awso*Seg!$M$28</f>
        <v>49.3241589165772</v>
      </c>
    </row>
    <row r="23" customFormat="false" ht="17.15" hidden="false" customHeight="false" outlineLevel="0" collapsed="false">
      <c r="A23" s="5" t="s">
        <v>784</v>
      </c>
      <c r="B23" s="0" t="s">
        <v>86</v>
      </c>
      <c r="C23" s="38" t="n">
        <f aca="false">Q!$D$46-CF!$C$21-CF!$C$22</f>
        <v>31.3328957636573</v>
      </c>
      <c r="D23" s="38" t="n">
        <f aca="false">Q!$E$46-CF!$D$21-CF!$D$22</f>
        <v>34.7471223867276</v>
      </c>
      <c r="E23" s="38" t="n">
        <f aca="false">Q!$P$46-CF!$E$21-CF!$E$22</f>
        <v>17.8583499466032</v>
      </c>
      <c r="F23" s="38" t="n">
        <f aca="false">cx_rt*Seg!$F$20</f>
        <v>20.4537578012365</v>
      </c>
      <c r="G23" s="38" t="n">
        <f aca="false">CF!$E$23+CF!$F$23</f>
        <v>38.3121077478397</v>
      </c>
      <c r="H23" s="38" t="n">
        <f aca="false">cx_rt*Seg!$H$20</f>
        <v>42.4142312636334</v>
      </c>
      <c r="I23" s="38" t="n">
        <f aca="false">cx_rt*Seg!$I$20</f>
        <v>46.3804726150393</v>
      </c>
      <c r="J23" s="38" t="n">
        <f aca="false">cx_rt*Seg!$J$20</f>
        <v>50.0612428016438</v>
      </c>
      <c r="K23" s="38" t="n">
        <f aca="false">cx_rt*Seg!$K$20</f>
        <v>53.3002402674843</v>
      </c>
      <c r="L23" s="38" t="n">
        <f aca="false">cx_rt*Seg!$L$20</f>
        <v>56.7656015747235</v>
      </c>
      <c r="M23" s="38" t="n">
        <f aca="false">cx_rt*Seg!$M$20</f>
        <v>60.4743568773026</v>
      </c>
    </row>
    <row r="24" customFormat="false" ht="15" hidden="false" customHeight="false" outlineLevel="0" collapsed="false">
      <c r="A24" s="3" t="s">
        <v>785</v>
      </c>
      <c r="B24" s="8" t="s">
        <v>86</v>
      </c>
      <c r="C24" s="38" t="n">
        <f aca="false">Q!$D$46</f>
        <v>77.658</v>
      </c>
      <c r="D24" s="38" t="n">
        <f aca="false">Q!$E$46</f>
        <v>128.32</v>
      </c>
      <c r="E24" s="38" t="n">
        <f aca="false">Q!$P$46</f>
        <v>96.31</v>
      </c>
      <c r="F24" s="38" t="n">
        <f aca="false">CF!$F$21+CF!$F$22+CF!$F$23</f>
        <v>133.669646005086</v>
      </c>
      <c r="G24" s="38" t="n">
        <f aca="false">CF!$E$24+CF!$F$24</f>
        <v>229.979646005086</v>
      </c>
      <c r="H24" s="38" t="n">
        <f aca="false">CF!$H$21+CF!$H$22+CF!$H$23</f>
        <v>278.581795301974</v>
      </c>
      <c r="I24" s="38" t="n">
        <f aca="false">CF!$I$21+CF!$I$22+CF!$I$23</f>
        <v>292.338665274331</v>
      </c>
      <c r="J24" s="38" t="n">
        <f aca="false">CF!$J$21+CF!$J$22+CF!$J$23</f>
        <v>304.657359365825</v>
      </c>
      <c r="K24" s="38" t="n">
        <f aca="false">CF!$K$21+CF!$K$22+CF!$K$23</f>
        <v>254.725844303159</v>
      </c>
      <c r="L24" s="38" t="n">
        <f aca="false">CF!$L$21+CF!$L$22+CF!$L$23</f>
        <v>236.691894970589</v>
      </c>
      <c r="M24" s="38" t="n">
        <f aca="false">CF!$M$21+CF!$M$22+CF!$M$23</f>
        <v>244.766684314655</v>
      </c>
    </row>
    <row r="25" customFormat="false" ht="17.15" hidden="false" customHeight="false" outlineLevel="0" collapsed="false">
      <c r="A25" s="5" t="s">
        <v>560</v>
      </c>
      <c r="B25" s="0" t="s">
        <v>86</v>
      </c>
      <c r="C25" s="38" t="n">
        <f aca="false">Q!$D$50</f>
        <v>2.043</v>
      </c>
      <c r="D25" s="38" t="n">
        <f aca="false">Q!$E$50</f>
        <v>1.557</v>
      </c>
      <c r="E25" s="38" t="n">
        <f aca="false">lease_pr/2</f>
        <v>0.8</v>
      </c>
      <c r="F25" s="38" t="n">
        <f aca="false">lease_pr/2</f>
        <v>0.8</v>
      </c>
      <c r="G25" s="38" t="n">
        <f aca="false">CF!$E$25+CF!$F$25</f>
        <v>1.6</v>
      </c>
      <c r="H25" s="38" t="n">
        <f aca="false">lease_pr</f>
        <v>1.6</v>
      </c>
      <c r="I25" s="38" t="n">
        <f aca="false">lease_pr</f>
        <v>1.6</v>
      </c>
      <c r="J25" s="38" t="n">
        <f aca="false">lease_pr</f>
        <v>1.6</v>
      </c>
      <c r="K25" s="38" t="n">
        <f aca="false">lease_pr</f>
        <v>1.6</v>
      </c>
      <c r="L25" s="38" t="n">
        <f aca="false">lease_pr</f>
        <v>1.6</v>
      </c>
      <c r="M25" s="38" t="n">
        <f aca="false">lease_pr</f>
        <v>1.6</v>
      </c>
      <c r="P25" s="8" t="s">
        <v>786</v>
      </c>
    </row>
    <row r="26" customFormat="false" ht="15" hidden="false" customHeight="false" outlineLevel="0" collapsed="false">
      <c r="A26" s="47" t="s">
        <v>787</v>
      </c>
      <c r="B26" s="14" t="s">
        <v>86</v>
      </c>
      <c r="C26" s="48" t="n">
        <f aca="false">CF!$C$20-CF!$C$24-CF!$C$25</f>
        <v>36.176</v>
      </c>
      <c r="D26" s="48" t="n">
        <f aca="false">CF!$D$20-CF!$D$24-CF!$D$25</f>
        <v>9.63700000000002</v>
      </c>
      <c r="E26" s="48" t="n">
        <f aca="false">CF!$E$20-CF!$E$24-CF!$E$25</f>
        <v>-25.691</v>
      </c>
      <c r="F26" s="48" t="n">
        <f aca="false">CF!$F$20-CF!$F$24-CF!$F$25</f>
        <v>-41.1001473383469</v>
      </c>
      <c r="G26" s="48" t="n">
        <f aca="false">CF!$G$20-CF!$G$24-CF!$G$25</f>
        <v>-66.7911473383469</v>
      </c>
      <c r="H26" s="48" t="n">
        <f aca="false">CF!$H$20-CF!$H$24-CF!$H$25</f>
        <v>-40.0198691057349</v>
      </c>
      <c r="I26" s="48" t="n">
        <f aca="false">CF!$I$20-CF!$I$24-CF!$I$25</f>
        <v>19.2646511397182</v>
      </c>
      <c r="J26" s="48" t="n">
        <f aca="false">CF!$J$20-CF!$J$24-CF!$J$25</f>
        <v>81.4230212187464</v>
      </c>
      <c r="K26" s="48" t="n">
        <f aca="false">CF!$K$20-CF!$K$24-CF!$K$25</f>
        <v>199.047842049431</v>
      </c>
      <c r="L26" s="48" t="n">
        <f aca="false">CF!$L$20-CF!$L$24-CF!$L$25</f>
        <v>273.307837744188</v>
      </c>
      <c r="M26" s="48" t="n">
        <f aca="false">CF!$M$20-CF!$M$24-CF!$M$25</f>
        <v>310.33038085303</v>
      </c>
      <c r="N26" s="14"/>
      <c r="O26" s="14"/>
    </row>
    <row r="27" customFormat="false" ht="17.15" hidden="false" customHeight="false" outlineLevel="0" collapsed="false">
      <c r="A27" s="5" t="s">
        <v>788</v>
      </c>
      <c r="B27" s="0" t="s">
        <v>86</v>
      </c>
      <c r="C27" s="38" t="n">
        <f aca="false">dps*PL!$C$74</f>
        <v>0</v>
      </c>
      <c r="D27" s="38" t="n">
        <f aca="false">dps*PL!$D$74</f>
        <v>0</v>
      </c>
      <c r="E27" s="38" t="n">
        <f aca="false">dps*PL!$E$74</f>
        <v>0</v>
      </c>
      <c r="F27" s="38" t="n">
        <f aca="false">0</f>
        <v>0</v>
      </c>
      <c r="G27" s="38" t="n">
        <f aca="false">dps*PL!$G$74</f>
        <v>0</v>
      </c>
      <c r="H27" s="38" t="n">
        <f aca="false">dps*PL!$H$74</f>
        <v>0</v>
      </c>
      <c r="I27" s="38" t="n">
        <f aca="false">dps*PL!$I$74</f>
        <v>0</v>
      </c>
      <c r="J27" s="38" t="n">
        <f aca="false">dps*PL!$J$74</f>
        <v>0</v>
      </c>
      <c r="K27" s="38" t="n">
        <f aca="false">dps*PL!$K$74</f>
        <v>0</v>
      </c>
      <c r="L27" s="38" t="n">
        <f aca="false">dps*PL!$L$74</f>
        <v>0</v>
      </c>
      <c r="M27" s="38" t="n">
        <f aca="false">dps*PL!$M$74</f>
        <v>0</v>
      </c>
      <c r="P27" s="8" t="s">
        <v>789</v>
      </c>
    </row>
    <row r="28" customFormat="false" ht="17.15" hidden="false" customHeight="false" outlineLevel="0" collapsed="false">
      <c r="A28" s="5" t="s">
        <v>790</v>
      </c>
      <c r="B28" s="0" t="s">
        <v>86</v>
      </c>
      <c r="C28" s="38" t="n">
        <f aca="false">0</f>
        <v>0</v>
      </c>
      <c r="D28" s="38" t="n">
        <f aca="false">0</f>
        <v>0</v>
      </c>
      <c r="E28" s="38" t="n">
        <f aca="false">0</f>
        <v>0</v>
      </c>
      <c r="F28" s="38" t="n">
        <f aca="false">0</f>
        <v>0</v>
      </c>
      <c r="G28" s="38" t="n">
        <f aca="false">0</f>
        <v>0</v>
      </c>
      <c r="H28" s="38" t="n">
        <f aca="false">0</f>
        <v>0</v>
      </c>
      <c r="I28" s="38" t="n">
        <f aca="false">0</f>
        <v>0</v>
      </c>
      <c r="J28" s="38" t="n">
        <f aca="false">0</f>
        <v>0</v>
      </c>
      <c r="K28" s="38" t="n">
        <f aca="false">0</f>
        <v>0</v>
      </c>
      <c r="L28" s="38" t="n">
        <f aca="false">0</f>
        <v>0</v>
      </c>
      <c r="M28" s="38" t="n">
        <f aca="false">0</f>
        <v>0</v>
      </c>
      <c r="P28" s="8" t="s">
        <v>791</v>
      </c>
    </row>
    <row r="29" customFormat="false" ht="15" hidden="false" customHeight="false" outlineLevel="0" collapsed="false">
      <c r="A29" s="3" t="s">
        <v>792</v>
      </c>
      <c r="B29" s="8" t="s">
        <v>86</v>
      </c>
      <c r="C29" s="38" t="n">
        <f aca="false">CF!$C$26-CF!$C$27</f>
        <v>36.176</v>
      </c>
      <c r="D29" s="38" t="n">
        <f aca="false">CF!$D$26-CF!$D$27</f>
        <v>9.63700000000002</v>
      </c>
      <c r="E29" s="38" t="n">
        <f aca="false">CF!$E$26-CF!$E$27</f>
        <v>-25.691</v>
      </c>
      <c r="F29" s="38" t="n">
        <f aca="false">CF!$F$26-CF!$F$27</f>
        <v>-41.1001473383469</v>
      </c>
      <c r="G29" s="38" t="n">
        <f aca="false">CF!$G$26-CF!$G$27</f>
        <v>-66.7911473383469</v>
      </c>
      <c r="H29" s="38" t="n">
        <f aca="false">CF!$H$26-CF!$H$27</f>
        <v>-40.0198691057349</v>
      </c>
      <c r="I29" s="38" t="n">
        <f aca="false">CF!$I$26-CF!$I$27</f>
        <v>19.2646511397182</v>
      </c>
      <c r="J29" s="38" t="n">
        <f aca="false">CF!$J$26-CF!$J$27</f>
        <v>81.4230212187464</v>
      </c>
      <c r="K29" s="38" t="n">
        <f aca="false">CF!$K$26-CF!$K$27</f>
        <v>199.047842049431</v>
      </c>
      <c r="L29" s="38" t="n">
        <f aca="false">CF!$L$26-CF!$L$27</f>
        <v>273.307837744188</v>
      </c>
      <c r="M29" s="38" t="n">
        <f aca="false">CF!$M$26-CF!$M$27</f>
        <v>310.33038085303</v>
      </c>
    </row>
    <row r="30" customFormat="false" ht="17.15" hidden="false" customHeight="false" outlineLevel="0" collapsed="false">
      <c r="A30" s="5" t="s">
        <v>793</v>
      </c>
      <c r="B30" s="0" t="s">
        <v>86</v>
      </c>
      <c r="E30" s="38" t="n">
        <f aca="false">Q!$P$53</f>
        <v>39.767</v>
      </c>
      <c r="F30" s="38" t="n">
        <f aca="false">inv_2h26</f>
        <v>21.3</v>
      </c>
      <c r="G30" s="38" t="n">
        <f aca="false">CF!$E$30+CF!$F$30</f>
        <v>61.067</v>
      </c>
      <c r="H30" s="39" t="n">
        <v>0</v>
      </c>
      <c r="I30" s="39" t="n">
        <v>0</v>
      </c>
      <c r="J30" s="39" t="n">
        <v>0</v>
      </c>
      <c r="K30" s="39" t="n">
        <v>0</v>
      </c>
      <c r="L30" s="39" t="n">
        <v>0</v>
      </c>
      <c r="M30" s="39" t="n">
        <v>0</v>
      </c>
    </row>
    <row r="31" customFormat="false" ht="17.15" hidden="false" customHeight="false" outlineLevel="0" collapsed="false">
      <c r="A31" s="5" t="s">
        <v>794</v>
      </c>
      <c r="B31" s="0" t="s">
        <v>86</v>
      </c>
      <c r="F31" s="38" t="n">
        <f aca="false">iss_2h26</f>
        <v>29.249999</v>
      </c>
      <c r="G31" s="38" t="n">
        <f aca="false">CF!$F$31</f>
        <v>29.249999</v>
      </c>
      <c r="H31" s="39" t="n">
        <v>0</v>
      </c>
      <c r="I31" s="39" t="n">
        <v>0</v>
      </c>
      <c r="J31" s="39" t="n">
        <v>0</v>
      </c>
      <c r="K31" s="39" t="n">
        <v>0</v>
      </c>
      <c r="L31" s="39" t="n">
        <v>0</v>
      </c>
      <c r="M31" s="39" t="n">
        <v>0</v>
      </c>
    </row>
    <row r="32" customFormat="false" ht="17.15" hidden="false" customHeight="false" outlineLevel="0" collapsed="false">
      <c r="A32" s="5" t="s">
        <v>795</v>
      </c>
      <c r="B32" s="0" t="s">
        <v>86</v>
      </c>
      <c r="F32" s="38" t="n">
        <f aca="false">cash_q2</f>
        <v>122.988</v>
      </c>
      <c r="G32" s="38" t="n">
        <f aca="false">cash_q2</f>
        <v>122.988</v>
      </c>
      <c r="H32" s="38" t="n">
        <f aca="false">CF!$G$35</f>
        <v>89.8378516616531</v>
      </c>
      <c r="I32" s="38" t="n">
        <f aca="false">CF!$H$35</f>
        <v>50</v>
      </c>
      <c r="J32" s="38" t="n">
        <f aca="false">CF!$I$35</f>
        <v>69.2646511397182</v>
      </c>
      <c r="K32" s="38" t="n">
        <f aca="false">CF!$J$35</f>
        <v>150.687672358465</v>
      </c>
      <c r="L32" s="38" t="n">
        <f aca="false">CF!$K$35</f>
        <v>349.735514407896</v>
      </c>
      <c r="M32" s="38" t="n">
        <f aca="false">CF!$L$35</f>
        <v>623.043352152084</v>
      </c>
    </row>
    <row r="33" customFormat="false" ht="15" hidden="false" customHeight="false" outlineLevel="0" collapsed="false">
      <c r="A33" s="5" t="s">
        <v>796</v>
      </c>
      <c r="B33" s="0" t="s">
        <v>86</v>
      </c>
      <c r="F33" s="38" t="n">
        <f aca="false">CF!$F$32+CF!$F$29-CF!$F$28-CF!$F$30+CF!$F$31</f>
        <v>89.8378516616531</v>
      </c>
      <c r="H33" s="38" t="n">
        <f aca="false">CF!$H$32+CF!$H$29-CF!$H$28-CF!$H$30+CF!$H$31</f>
        <v>49.8179825559182</v>
      </c>
      <c r="I33" s="38" t="n">
        <f aca="false">CF!$I$32+CF!$I$29-CF!$I$28-CF!$I$30+CF!$I$31</f>
        <v>69.2646511397182</v>
      </c>
      <c r="J33" s="38" t="n">
        <f aca="false">CF!$J$32+CF!$J$29-CF!$J$28-CF!$J$30+CF!$J$31</f>
        <v>150.687672358465</v>
      </c>
      <c r="K33" s="38" t="n">
        <f aca="false">CF!$K$32+CF!$K$29-CF!$K$28-CF!$K$30+CF!$K$31</f>
        <v>349.735514407896</v>
      </c>
      <c r="L33" s="38" t="n">
        <f aca="false">CF!$L$32+CF!$L$29-CF!$L$28-CF!$L$30+CF!$L$31</f>
        <v>623.043352152084</v>
      </c>
      <c r="M33" s="38" t="n">
        <f aca="false">CF!$M$32+CF!$M$29-CF!$M$28-CF!$M$30+CF!$M$31</f>
        <v>933.373733005114</v>
      </c>
    </row>
    <row r="34" customFormat="false" ht="17.15" hidden="false" customHeight="false" outlineLevel="0" collapsed="false">
      <c r="A34" s="5" t="s">
        <v>797</v>
      </c>
      <c r="B34" s="0" t="s">
        <v>86</v>
      </c>
      <c r="F34" s="38" t="n">
        <f aca="false">MAX(0,min_cash-CF!$F$33)</f>
        <v>0</v>
      </c>
      <c r="G34" s="38" t="n">
        <f aca="false">CF!$F$34</f>
        <v>0</v>
      </c>
      <c r="H34" s="38" t="n">
        <f aca="false">MAX(0,min_cash-CF!$H$33)</f>
        <v>0.182017444081787</v>
      </c>
      <c r="I34" s="38" t="n">
        <f aca="false">MAX(0,min_cash-CF!$I$33)</f>
        <v>0</v>
      </c>
      <c r="J34" s="38" t="n">
        <f aca="false">MAX(0,min_cash-CF!$J$33)</f>
        <v>0</v>
      </c>
      <c r="K34" s="38" t="n">
        <f aca="false">MAX(0,min_cash-CF!$K$33)</f>
        <v>0</v>
      </c>
      <c r="L34" s="38" t="n">
        <f aca="false">MAX(0,min_cash-CF!$L$33)</f>
        <v>0</v>
      </c>
      <c r="M34" s="38" t="n">
        <f aca="false">MAX(0,min_cash-CF!$M$33)</f>
        <v>0</v>
      </c>
      <c r="P34" s="5" t="s">
        <v>798</v>
      </c>
    </row>
    <row r="35" customFormat="false" ht="15" hidden="false" customHeight="false" outlineLevel="0" collapsed="false">
      <c r="A35" s="5" t="s">
        <v>799</v>
      </c>
      <c r="B35" s="0" t="s">
        <v>86</v>
      </c>
      <c r="D35" s="38" t="n">
        <f aca="false">Q!$E$61</f>
        <v>123.029</v>
      </c>
      <c r="E35" s="38" t="n">
        <f aca="false">Q!$M$61</f>
        <v>122.988</v>
      </c>
      <c r="F35" s="38" t="n">
        <f aca="false">CF!$F$33+CF!$F$34</f>
        <v>89.8378516616531</v>
      </c>
      <c r="G35" s="38" t="n">
        <f aca="false">CF!$F$35</f>
        <v>89.8378516616531</v>
      </c>
      <c r="H35" s="38" t="n">
        <f aca="false">CF!$H$33+CF!$H$34</f>
        <v>50</v>
      </c>
      <c r="I35" s="38" t="n">
        <f aca="false">CF!$I$33+CF!$I$34</f>
        <v>69.2646511397182</v>
      </c>
      <c r="J35" s="38" t="n">
        <f aca="false">CF!$J$33+CF!$J$34</f>
        <v>150.687672358465</v>
      </c>
      <c r="K35" s="38" t="n">
        <f aca="false">CF!$K$33+CF!$K$34</f>
        <v>349.735514407896</v>
      </c>
      <c r="L35" s="38" t="n">
        <f aca="false">CF!$L$33+CF!$L$34</f>
        <v>623.043352152084</v>
      </c>
      <c r="M35" s="38" t="n">
        <f aca="false">CF!$M$33+CF!$M$34</f>
        <v>933.373733005114</v>
      </c>
    </row>
    <row r="36" customFormat="false" ht="15" hidden="false" customHeight="false" outlineLevel="0" collapsed="false">
      <c r="A36" s="5" t="s">
        <v>800</v>
      </c>
      <c r="B36" s="0" t="s">
        <v>86</v>
      </c>
      <c r="D36" s="38" t="n">
        <f aca="false">Q!$E$62</f>
        <v>68.836</v>
      </c>
      <c r="E36" s="38" t="n">
        <f aca="false">Q!$M$62</f>
        <v>132.995</v>
      </c>
      <c r="F36" s="38" t="n">
        <f aca="false">debt_q2+CF!$F$31+CF!$F$34</f>
        <v>162.244999</v>
      </c>
      <c r="G36" s="38" t="n">
        <f aca="false">CF!$F$36</f>
        <v>162.244999</v>
      </c>
      <c r="H36" s="38" t="n">
        <f aca="false">CF!$G$36+CF!$H$34</f>
        <v>162.427016444082</v>
      </c>
      <c r="I36" s="38" t="n">
        <f aca="false">CF!$H$36+CF!$I$34</f>
        <v>162.427016444082</v>
      </c>
      <c r="J36" s="38" t="n">
        <f aca="false">CF!$I$36+CF!$J$34</f>
        <v>162.427016444082</v>
      </c>
      <c r="K36" s="38" t="n">
        <f aca="false">CF!$J$36+CF!$K$34</f>
        <v>162.427016444082</v>
      </c>
      <c r="L36" s="38" t="n">
        <f aca="false">CF!$K$36+CF!$L$34</f>
        <v>162.427016444082</v>
      </c>
      <c r="M36" s="38" t="n">
        <f aca="false">CF!$L$36+CF!$M$34</f>
        <v>162.427016444082</v>
      </c>
    </row>
    <row r="37" customFormat="false" ht="15" hidden="false" customHeight="false" outlineLevel="0" collapsed="false">
      <c r="A37" s="5" t="s">
        <v>801</v>
      </c>
      <c r="B37" s="0" t="s">
        <v>86</v>
      </c>
      <c r="D37" s="38" t="n">
        <f aca="false">CF!$D$36-CF!$D$35</f>
        <v>-54.193</v>
      </c>
      <c r="E37" s="38" t="n">
        <f aca="false">CF!$E$36-CF!$E$35</f>
        <v>10.007</v>
      </c>
      <c r="F37" s="38" t="n">
        <f aca="false">CF!$F$36-CF!$F$35</f>
        <v>72.4071473383469</v>
      </c>
      <c r="G37" s="38" t="n">
        <f aca="false">CF!$G$36-CF!$G$35</f>
        <v>72.4071473383469</v>
      </c>
      <c r="H37" s="38" t="n">
        <f aca="false">CF!$H$36-CF!$H$35</f>
        <v>112.427016444082</v>
      </c>
      <c r="I37" s="38" t="n">
        <f aca="false">CF!$I$36-CF!$I$35</f>
        <v>93.1623653043636</v>
      </c>
      <c r="J37" s="38" t="n">
        <f aca="false">CF!$J$36-CF!$J$35</f>
        <v>11.7393440856172</v>
      </c>
      <c r="K37" s="38" t="n">
        <f aca="false">CF!$K$36-CF!$K$35</f>
        <v>-187.308497963814</v>
      </c>
      <c r="L37" s="38" t="n">
        <f aca="false">CF!$L$36-CF!$L$35</f>
        <v>-460.616335708002</v>
      </c>
      <c r="M37" s="38" t="n">
        <f aca="false">CF!$M$36-CF!$M$35</f>
        <v>-770.946716561032</v>
      </c>
    </row>
    <row r="38" customFormat="false" ht="17.15" hidden="false" customHeight="false" outlineLevel="0" collapsed="false">
      <c r="A38" s="5" t="s">
        <v>802</v>
      </c>
      <c r="B38" s="0" t="s">
        <v>86</v>
      </c>
      <c r="F38" s="38" t="n">
        <f aca="false">debt_q2*kd_book*0.5+iss_2h26*kd_new*iss_t</f>
        <v>3.24888962733561</v>
      </c>
      <c r="H38" s="38" t="n">
        <f aca="false">debt_q2*kd_book+(CF!$G$36-debt_q2)*kd_new</f>
        <v>7.42354172302123</v>
      </c>
      <c r="I38" s="38" t="n">
        <f aca="false">debt_q2*kd_book+(CF!$H$36-debt_q2)*kd_new</f>
        <v>7.43506342723161</v>
      </c>
      <c r="J38" s="38" t="n">
        <f aca="false">debt_q2*kd_book+(CF!$I$36-debt_q2)*kd_new</f>
        <v>7.43506342723161</v>
      </c>
      <c r="K38" s="38" t="n">
        <f aca="false">debt_q2*kd_book+(CF!$J$36-debt_q2)*kd_new</f>
        <v>7.43506342723161</v>
      </c>
      <c r="L38" s="38" t="n">
        <f aca="false">debt_q2*kd_book+(CF!$K$36-debt_q2)*kd_new</f>
        <v>7.43506342723161</v>
      </c>
      <c r="M38" s="38" t="n">
        <f aca="false">debt_q2*kd_book+(CF!$L$36-debt_q2)*kd_new</f>
        <v>7.43506342723161</v>
      </c>
    </row>
    <row r="39" customFormat="false" ht="17.15" hidden="false" customHeight="false" outlineLevel="0" collapsed="false">
      <c r="A39" s="5" t="s">
        <v>803</v>
      </c>
      <c r="B39" s="0" t="s">
        <v>86</v>
      </c>
      <c r="F39" s="38" t="n">
        <f aca="false">cash_q2*y_cash*0.5</f>
        <v>2.59</v>
      </c>
      <c r="H39" s="38" t="n">
        <f aca="false">CF!$G$35*y_cash</f>
        <v>3.78378436601427</v>
      </c>
      <c r="I39" s="38" t="n">
        <f aca="false">CF!$H$35*y_cash</f>
        <v>2.10589651022864</v>
      </c>
      <c r="J39" s="38" t="n">
        <f aca="false">CF!$I$35*y_cash</f>
        <v>2.91728374234674</v>
      </c>
      <c r="K39" s="38" t="n">
        <f aca="false">CF!$J$35*y_cash</f>
        <v>6.34665286708335</v>
      </c>
      <c r="L39" s="38" t="n">
        <f aca="false">CF!$K$35*y_cash</f>
        <v>14.7301359858921</v>
      </c>
      <c r="M39" s="38" t="n">
        <f aca="false">CF!$L$35*y_cash</f>
        <v>26.2412964203645</v>
      </c>
    </row>
    <row r="40" customFormat="false" ht="17.15" hidden="false" customHeight="false" outlineLevel="0" collapsed="false">
      <c r="A40" s="47" t="s">
        <v>804</v>
      </c>
      <c r="B40" s="14" t="s">
        <v>86</v>
      </c>
      <c r="C40" s="14"/>
      <c r="D40" s="14"/>
      <c r="E40" s="14"/>
      <c r="F40" s="14"/>
      <c r="G40" s="48" t="n">
        <f aca="false">SUM(CF!$G$29:$K$29)</f>
        <v>192.924497963814</v>
      </c>
      <c r="H40" s="14"/>
      <c r="I40" s="14"/>
      <c r="J40" s="14"/>
      <c r="K40" s="14"/>
      <c r="L40" s="14"/>
      <c r="M40" s="14"/>
      <c r="N40" s="14"/>
      <c r="O40" s="14"/>
    </row>
    <row r="41" customFormat="false" ht="17.15" hidden="false" customHeight="false" outlineLevel="0" collapsed="false">
      <c r="A41" s="0" t="s">
        <v>770</v>
      </c>
      <c r="B41" s="0" t="s">
        <v>86</v>
      </c>
      <c r="G41" s="38" t="n">
        <f aca="false">SUM(CF!$G$34:$K$34)</f>
        <v>0.182017444081787</v>
      </c>
    </row>
    <row r="42" customFormat="false" ht="17.15" hidden="false" customHeight="false" outlineLevel="0" collapsed="false">
      <c r="A42" s="24" t="s">
        <v>805</v>
      </c>
      <c r="B42" s="25" t="s">
        <v>86</v>
      </c>
      <c r="C42" s="25"/>
      <c r="D42" s="25"/>
      <c r="E42" s="25"/>
      <c r="F42" s="25"/>
      <c r="G42" s="41" t="n">
        <f aca="false">CF!$G$40-(CF!$G$29+CF!$H$29+CF!$I$29+CF!$J$29+CF!$K$29)</f>
        <v>0</v>
      </c>
      <c r="H42" s="25"/>
      <c r="I42" s="25"/>
      <c r="J42" s="25"/>
      <c r="K42" s="25"/>
      <c r="L42" s="25"/>
      <c r="M42" s="25"/>
      <c r="N42" s="25"/>
      <c r="O42" s="25"/>
    </row>
    <row r="45" customFormat="false" ht="19.4" hidden="false" customHeight="false" outlineLevel="0" collapsed="false">
      <c r="A45" s="31" t="s">
        <v>806</v>
      </c>
    </row>
    <row r="46" customFormat="false" ht="17.15" hidden="false" customHeight="false" outlineLevel="0" collapsed="false">
      <c r="A46" s="6" t="s">
        <v>16</v>
      </c>
      <c r="B46" s="6" t="s">
        <v>17</v>
      </c>
      <c r="C46" s="20" t="s">
        <v>494</v>
      </c>
      <c r="D46" s="20" t="s">
        <v>495</v>
      </c>
      <c r="E46" s="20" t="s">
        <v>577</v>
      </c>
      <c r="F46" s="20" t="s">
        <v>578</v>
      </c>
      <c r="G46" s="20" t="s">
        <v>579</v>
      </c>
      <c r="H46" s="20" t="s">
        <v>580</v>
      </c>
      <c r="I46" s="20" t="s">
        <v>581</v>
      </c>
      <c r="J46" s="20" t="s">
        <v>582</v>
      </c>
      <c r="K46" s="20" t="s">
        <v>583</v>
      </c>
      <c r="L46" s="20" t="s">
        <v>584</v>
      </c>
      <c r="M46" s="20" t="s">
        <v>585</v>
      </c>
      <c r="N46" s="20" t="s">
        <v>586</v>
      </c>
      <c r="O46" s="20" t="s">
        <v>587</v>
      </c>
      <c r="P46" s="6" t="s">
        <v>23</v>
      </c>
      <c r="R46" s="20" t="n">
        <v>2023</v>
      </c>
      <c r="S46" s="20" t="n">
        <v>2024</v>
      </c>
      <c r="T46" s="20" t="n">
        <v>2025</v>
      </c>
      <c r="U46" s="20" t="n">
        <v>2026</v>
      </c>
      <c r="V46" s="20" t="n">
        <v>2027</v>
      </c>
      <c r="W46" s="20" t="n">
        <v>2028</v>
      </c>
      <c r="X46" s="20" t="n">
        <v>2029</v>
      </c>
      <c r="Y46" s="20" t="n">
        <v>2030</v>
      </c>
      <c r="Z46" s="20" t="n">
        <v>2031</v>
      </c>
      <c r="AA46" s="20" t="n">
        <v>2032</v>
      </c>
    </row>
    <row r="47" customFormat="false" ht="15" hidden="false" customHeight="false" outlineLevel="0" collapsed="false">
      <c r="A47" s="5" t="s">
        <v>546</v>
      </c>
      <c r="B47" s="0" t="s">
        <v>86</v>
      </c>
      <c r="C47" s="38" t="n">
        <f aca="false">PL!$C$143</f>
        <v>59.248</v>
      </c>
      <c r="D47" s="38" t="n">
        <f aca="false">PL!$D$143</f>
        <v>77.67</v>
      </c>
      <c r="E47" s="38" t="n">
        <f aca="false">PL!$E$143</f>
        <v>92.902</v>
      </c>
      <c r="F47" s="38" t="n">
        <f aca="false">PL!$F$143</f>
        <v>45.9734924614306</v>
      </c>
      <c r="G47" s="38" t="n">
        <f aca="false">PL!$G$143</f>
        <v>138.875492461431</v>
      </c>
      <c r="H47" s="38" t="n">
        <f aca="false">PL!$H$143</f>
        <v>101.908400903092</v>
      </c>
      <c r="I47" s="38" t="n">
        <f aca="false">PL!$I$143</f>
        <v>116.574582106835</v>
      </c>
      <c r="J47" s="38" t="n">
        <f aca="false">PL!$J$143</f>
        <v>131.283377121365</v>
      </c>
      <c r="K47" s="38" t="n">
        <f aca="false">PL!$K$143</f>
        <v>142.016948609195</v>
      </c>
      <c r="L47" s="38" t="n">
        <f aca="false">PL!$L$143</f>
        <v>156.895795199921</v>
      </c>
      <c r="M47" s="38" t="n">
        <f aca="false">PL!$M$143</f>
        <v>173.685076796377</v>
      </c>
    </row>
    <row r="48" customFormat="false" ht="17.15" hidden="false" customHeight="false" outlineLevel="0" collapsed="false">
      <c r="A48" s="5" t="s">
        <v>778</v>
      </c>
      <c r="B48" s="0" t="s">
        <v>86</v>
      </c>
      <c r="C48" s="38" t="n">
        <f aca="false">PL!$C$131</f>
        <v>32.067</v>
      </c>
      <c r="D48" s="38" t="n">
        <f aca="false">PL!$D$131</f>
        <v>41.86</v>
      </c>
      <c r="E48" s="38" t="n">
        <f aca="false">PL!$E$131</f>
        <v>26.703</v>
      </c>
      <c r="F48" s="38" t="n">
        <f aca="false">PL!$F$131</f>
        <v>29.2913179650864</v>
      </c>
      <c r="G48" s="38" t="n">
        <f aca="false">PL!$G$131</f>
        <v>55.9943179650864</v>
      </c>
      <c r="H48" s="38" t="n">
        <f aca="false">PL!$H$131</f>
        <v>84.3163410985152</v>
      </c>
      <c r="I48" s="38" t="n">
        <f aca="false">PL!$I$131</f>
        <v>117.040344991004</v>
      </c>
      <c r="J48" s="38" t="n">
        <f aca="false">PL!$J$131</f>
        <v>150.498981474685</v>
      </c>
      <c r="K48" s="38" t="n">
        <f aca="false">PL!$K$131</f>
        <v>184.188121970284</v>
      </c>
      <c r="L48" s="38" t="n">
        <f aca="false">PL!$L$131</f>
        <v>207.768718060808</v>
      </c>
      <c r="M48" s="38" t="n">
        <f aca="false">PL!$M$131</f>
        <v>224.003934647752</v>
      </c>
    </row>
    <row r="49" customFormat="false" ht="15" hidden="false" customHeight="false" outlineLevel="0" collapsed="false">
      <c r="A49" s="5" t="s">
        <v>779</v>
      </c>
      <c r="B49" s="0" t="s">
        <v>86</v>
      </c>
      <c r="C49" s="38" t="n">
        <f aca="false">Q!$D$48</f>
        <v>22.011</v>
      </c>
      <c r="D49" s="38" t="n">
        <f aca="false">Q!$E$48</f>
        <v>19.467</v>
      </c>
      <c r="E49" s="38" t="n">
        <f aca="false">Q!$P$48</f>
        <v>10.07</v>
      </c>
      <c r="F49" s="38" t="n">
        <f aca="false">sbc_r*Seg!$F$65</f>
        <v>10.8507035798037</v>
      </c>
      <c r="G49" s="38" t="n">
        <f aca="false">CF!$E$49+CF!$F$49</f>
        <v>20.9207035798037</v>
      </c>
      <c r="H49" s="38" t="n">
        <f aca="false">sbc_r*Seg!$H$65</f>
        <v>23.46224366345</v>
      </c>
      <c r="I49" s="38" t="n">
        <f aca="false">sbc_r*Seg!$I$65</f>
        <v>26.6125957111676</v>
      </c>
      <c r="J49" s="38" t="n">
        <f aca="false">sbc_r*Seg!$J$65</f>
        <v>29.6280801413323</v>
      </c>
      <c r="K49" s="38" t="n">
        <f aca="false">sbc_r*Seg!$K$65</f>
        <v>32.2712258901105</v>
      </c>
      <c r="L49" s="38" t="n">
        <f aca="false">sbc_r*Seg!$L$65</f>
        <v>34.7390505016737</v>
      </c>
      <c r="M49" s="38" t="n">
        <f aca="false">sbc_r*Seg!$M$65</f>
        <v>37.0405146906692</v>
      </c>
    </row>
    <row r="50" customFormat="false" ht="17.15" hidden="false" customHeight="false" outlineLevel="0" collapsed="false">
      <c r="A50" s="5" t="s">
        <v>780</v>
      </c>
      <c r="B50" s="0" t="s">
        <v>86</v>
      </c>
      <c r="C50" s="38" t="n">
        <f aca="false">Q!$D$44-CF!$C$47-CF!$C$48-CF!$C$49</f>
        <v>2.551</v>
      </c>
      <c r="D50" s="38" t="n">
        <f aca="false">Q!$E$44-CF!$D$47-CF!$D$48-CF!$D$49</f>
        <v>0.51700000000001</v>
      </c>
      <c r="E50" s="38" t="n">
        <f aca="false">Q!$P$44-CF!$E$47-CF!$E$48-CF!$E$49</f>
        <v>-58.256</v>
      </c>
      <c r="F50" s="38" t="n">
        <f aca="false">oth_r*Seg!$F$65</f>
        <v>5.22265251035878</v>
      </c>
      <c r="G50" s="38" t="n">
        <f aca="false">CF!$E$50+CF!$F$50</f>
        <v>-53.0333474896412</v>
      </c>
      <c r="H50" s="38" t="n">
        <f aca="false">oth_r*Seg!$H$65</f>
        <v>11.2928295263397</v>
      </c>
      <c r="I50" s="38" t="n">
        <f aca="false">oth_r*Seg!$I$65</f>
        <v>12.8091546115766</v>
      </c>
      <c r="J50" s="38" t="n">
        <f aca="false">oth_r*Seg!$J$65</f>
        <v>14.2605653162668</v>
      </c>
      <c r="K50" s="38" t="n">
        <f aca="false">oth_r*Seg!$K$65</f>
        <v>15.5327622460396</v>
      </c>
      <c r="L50" s="38" t="n">
        <f aca="false">oth_r*Seg!$L$65</f>
        <v>16.720573737517</v>
      </c>
      <c r="M50" s="38" t="n">
        <f aca="false">oth_r*Seg!$M$65</f>
        <v>17.8283127551536</v>
      </c>
      <c r="P50" s="8" t="s">
        <v>781</v>
      </c>
    </row>
    <row r="51" customFormat="false" ht="15" hidden="false" customHeight="false" outlineLevel="0" collapsed="false">
      <c r="A51" s="3" t="s">
        <v>552</v>
      </c>
      <c r="B51" s="8" t="s">
        <v>86</v>
      </c>
      <c r="C51" s="38" t="n">
        <f aca="false">Q!$D$44</f>
        <v>115.877</v>
      </c>
      <c r="D51" s="38" t="n">
        <f aca="false">Q!$E$44</f>
        <v>139.514</v>
      </c>
      <c r="E51" s="38" t="n">
        <f aca="false">Q!$P$44</f>
        <v>71.419</v>
      </c>
      <c r="F51" s="38" t="n">
        <f aca="false">CF!$F$47+CF!$F$48+CF!$F$49+CF!$F$50</f>
        <v>91.3381665166794</v>
      </c>
      <c r="G51" s="38" t="n">
        <f aca="false">CF!$E$51+CF!$F$51</f>
        <v>162.757166516679</v>
      </c>
      <c r="H51" s="38" t="n">
        <f aca="false">CF!$H$47+CF!$H$48+CF!$H$49+CF!$H$50</f>
        <v>220.979815191397</v>
      </c>
      <c r="I51" s="38" t="n">
        <f aca="false">CF!$I$47+CF!$I$48+CF!$I$49+CF!$I$50</f>
        <v>273.036677420583</v>
      </c>
      <c r="J51" s="38" t="n">
        <f aca="false">CF!$J$47+CF!$J$48+CF!$J$49+CF!$J$50</f>
        <v>325.671004053649</v>
      </c>
      <c r="K51" s="38" t="n">
        <f aca="false">CF!$K$47+CF!$K$48+CF!$K$49+CF!$K$50</f>
        <v>374.009058715629</v>
      </c>
      <c r="L51" s="38" t="n">
        <f aca="false">CF!$L$47+CF!$L$48+CF!$L$49+CF!$L$50</f>
        <v>416.124137499919</v>
      </c>
      <c r="M51" s="38" t="n">
        <f aca="false">CF!$M$47+CF!$M$48+CF!$M$49+CF!$M$50</f>
        <v>452.557838889952</v>
      </c>
    </row>
    <row r="52" customFormat="false" ht="17.15" hidden="false" customHeight="false" outlineLevel="0" collapsed="false">
      <c r="A52" s="5" t="s">
        <v>782</v>
      </c>
      <c r="B52" s="0" t="s">
        <v>86</v>
      </c>
      <c r="C52" s="38" t="n">
        <f aca="false">Thesis!$C$93</f>
        <v>25.2781053077374</v>
      </c>
      <c r="D52" s="38" t="n">
        <f aca="false">Thesis!$D$93</f>
        <v>69.5686316310026</v>
      </c>
      <c r="E52" s="38" t="n">
        <f aca="false">Thesis!$E$93</f>
        <v>64.1899206485108</v>
      </c>
      <c r="F52" s="38" t="n">
        <f aca="false">Thesis!$F$93</f>
        <v>96.2481299895</v>
      </c>
      <c r="G52" s="38" t="n">
        <f aca="false">Thesis!$G$93</f>
        <v>160.438050638011</v>
      </c>
      <c r="H52" s="38" t="n">
        <f aca="false">Thesis!$H$93</f>
        <v>198.57136494475</v>
      </c>
      <c r="I52" s="38" t="n">
        <f aca="false">Thesis!$I$93</f>
        <v>204.6464699105</v>
      </c>
      <c r="J52" s="38" t="n">
        <f aca="false">Thesis!$J$93</f>
        <v>209.8832381105</v>
      </c>
      <c r="K52" s="38" t="n">
        <f aca="false">Thesis!$K$93</f>
        <v>155.238385275201</v>
      </c>
      <c r="L52" s="38" t="n">
        <f aca="false">Thesis!$L$93</f>
        <v>132.014141639902</v>
      </c>
      <c r="M52" s="38" t="n">
        <f aca="false">Thesis!$M$93</f>
        <v>132.230981659852</v>
      </c>
    </row>
    <row r="53" customFormat="false" ht="17.15" hidden="false" customHeight="false" outlineLevel="0" collapsed="false">
      <c r="A53" s="5" t="s">
        <v>783</v>
      </c>
      <c r="B53" s="0" t="s">
        <v>86</v>
      </c>
      <c r="C53" s="38" t="n">
        <f aca="false">cx_awso*Seg!$C$63</f>
        <v>21.0469989286053</v>
      </c>
      <c r="D53" s="38" t="n">
        <f aca="false">cx_awso*Seg!$D$63</f>
        <v>24.0042459822698</v>
      </c>
      <c r="E53" s="38" t="n">
        <f aca="false">cx_awso*Seg!$E$63</f>
        <v>14.261729404886</v>
      </c>
      <c r="F53" s="38" t="n">
        <f aca="false">cx_awso*Seg!$F$63</f>
        <v>14.3538599588493</v>
      </c>
      <c r="G53" s="38" t="n">
        <f aca="false">CF!$E$53+CF!$F$53</f>
        <v>28.6155893637353</v>
      </c>
      <c r="H53" s="38" t="n">
        <f aca="false">cx_awso*Seg!$H$63</f>
        <v>32.2034154158406</v>
      </c>
      <c r="I53" s="38" t="n">
        <f aca="false">cx_awso*Seg!$I$63</f>
        <v>35.7539519042915</v>
      </c>
      <c r="J53" s="38" t="n">
        <f aca="false">cx_awso*Seg!$J$63</f>
        <v>39.1551076091815</v>
      </c>
      <c r="K53" s="38" t="n">
        <f aca="false">cx_awso*Seg!$K$63</f>
        <v>42.287516217916</v>
      </c>
      <c r="L53" s="38" t="n">
        <f aca="false">cx_awso*Seg!$L$63</f>
        <v>45.6705175153492</v>
      </c>
      <c r="M53" s="38" t="n">
        <f aca="false">cx_awso*Seg!$M$63</f>
        <v>49.3241589165772</v>
      </c>
    </row>
    <row r="54" customFormat="false" ht="17.15" hidden="false" customHeight="false" outlineLevel="0" collapsed="false">
      <c r="A54" s="5" t="s">
        <v>784</v>
      </c>
      <c r="B54" s="0" t="s">
        <v>86</v>
      </c>
      <c r="C54" s="38" t="n">
        <f aca="false">Q!$D$46-CF!$C$52-CF!$C$53</f>
        <v>31.3328957636573</v>
      </c>
      <c r="D54" s="38" t="n">
        <f aca="false">Q!$E$46-CF!$D$52-CF!$D$53</f>
        <v>34.7471223867276</v>
      </c>
      <c r="E54" s="38" t="n">
        <f aca="false">Q!$P$46-CF!$E$52-CF!$E$53</f>
        <v>17.8583499466032</v>
      </c>
      <c r="F54" s="38" t="n">
        <f aca="false">cx_rt*Seg!$F$55</f>
        <v>20.6195895799373</v>
      </c>
      <c r="G54" s="38" t="n">
        <f aca="false">CF!$E$54+CF!$F$54</f>
        <v>38.4779395265405</v>
      </c>
      <c r="H54" s="38" t="n">
        <f aca="false">cx_rt*Seg!$H$55</f>
        <v>42.5978994743075</v>
      </c>
      <c r="I54" s="38" t="n">
        <f aca="false">cx_rt*Seg!$I$55</f>
        <v>46.5813904136335</v>
      </c>
      <c r="J54" s="38" t="n">
        <f aca="false">cx_rt*Seg!$J$55</f>
        <v>50.2781676586844</v>
      </c>
      <c r="K54" s="38" t="n">
        <f aca="false">cx_rt*Seg!$K$55</f>
        <v>53.5312440191755</v>
      </c>
      <c r="L54" s="38" t="n">
        <f aca="false">cx_rt*Seg!$L$55</f>
        <v>57.0116717051447</v>
      </c>
      <c r="M54" s="38" t="n">
        <f aca="false">cx_rt*Seg!$M$55</f>
        <v>60.7365554669226</v>
      </c>
    </row>
    <row r="55" customFormat="false" ht="15" hidden="false" customHeight="false" outlineLevel="0" collapsed="false">
      <c r="A55" s="3" t="s">
        <v>785</v>
      </c>
      <c r="B55" s="8" t="s">
        <v>86</v>
      </c>
      <c r="C55" s="38" t="n">
        <f aca="false">Q!$D$46</f>
        <v>77.658</v>
      </c>
      <c r="D55" s="38" t="n">
        <f aca="false">Q!$E$46</f>
        <v>128.32</v>
      </c>
      <c r="E55" s="38" t="n">
        <f aca="false">Q!$P$46</f>
        <v>96.31</v>
      </c>
      <c r="F55" s="38" t="n">
        <f aca="false">CF!$F$52+CF!$F$53+CF!$F$54</f>
        <v>131.221579528287</v>
      </c>
      <c r="G55" s="38" t="n">
        <f aca="false">CF!$E$55+CF!$F$55</f>
        <v>227.531579528287</v>
      </c>
      <c r="H55" s="38" t="n">
        <f aca="false">CF!$H$52+CF!$H$53+CF!$H$54</f>
        <v>273.372679834898</v>
      </c>
      <c r="I55" s="38" t="n">
        <f aca="false">CF!$I$52+CF!$I$53+CF!$I$54</f>
        <v>286.981812228425</v>
      </c>
      <c r="J55" s="38" t="n">
        <f aca="false">CF!$J$52+CF!$J$53+CF!$J$54</f>
        <v>299.316513378366</v>
      </c>
      <c r="K55" s="38" t="n">
        <f aca="false">CF!$K$52+CF!$K$53+CF!$K$54</f>
        <v>251.057145512292</v>
      </c>
      <c r="L55" s="38" t="n">
        <f aca="false">CF!$L$52+CF!$L$53+CF!$L$54</f>
        <v>234.696330860396</v>
      </c>
      <c r="M55" s="38" t="n">
        <f aca="false">CF!$M$52+CF!$M$53+CF!$M$54</f>
        <v>242.291696043352</v>
      </c>
    </row>
    <row r="56" customFormat="false" ht="17.15" hidden="false" customHeight="false" outlineLevel="0" collapsed="false">
      <c r="A56" s="5" t="s">
        <v>560</v>
      </c>
      <c r="B56" s="0" t="s">
        <v>86</v>
      </c>
      <c r="C56" s="38" t="n">
        <f aca="false">Q!$D$50</f>
        <v>2.043</v>
      </c>
      <c r="D56" s="38" t="n">
        <f aca="false">Q!$E$50</f>
        <v>1.557</v>
      </c>
      <c r="E56" s="38" t="n">
        <f aca="false">lease_pr/2</f>
        <v>0.8</v>
      </c>
      <c r="F56" s="38" t="n">
        <f aca="false">lease_pr/2</f>
        <v>0.8</v>
      </c>
      <c r="G56" s="38" t="n">
        <f aca="false">CF!$E$56+CF!$F$56</f>
        <v>1.6</v>
      </c>
      <c r="H56" s="38" t="n">
        <f aca="false">lease_pr</f>
        <v>1.6</v>
      </c>
      <c r="I56" s="38" t="n">
        <f aca="false">lease_pr</f>
        <v>1.6</v>
      </c>
      <c r="J56" s="38" t="n">
        <f aca="false">lease_pr</f>
        <v>1.6</v>
      </c>
      <c r="K56" s="38" t="n">
        <f aca="false">lease_pr</f>
        <v>1.6</v>
      </c>
      <c r="L56" s="38" t="n">
        <f aca="false">lease_pr</f>
        <v>1.6</v>
      </c>
      <c r="M56" s="38" t="n">
        <f aca="false">lease_pr</f>
        <v>1.6</v>
      </c>
      <c r="P56" s="8" t="s">
        <v>786</v>
      </c>
    </row>
    <row r="57" customFormat="false" ht="15" hidden="false" customHeight="false" outlineLevel="0" collapsed="false">
      <c r="A57" s="47" t="s">
        <v>787</v>
      </c>
      <c r="B57" s="14" t="s">
        <v>86</v>
      </c>
      <c r="C57" s="48" t="n">
        <f aca="false">CF!$C$51-CF!$C$55-CF!$C$56</f>
        <v>36.176</v>
      </c>
      <c r="D57" s="48" t="n">
        <f aca="false">CF!$D$51-CF!$D$55-CF!$D$56</f>
        <v>9.63700000000002</v>
      </c>
      <c r="E57" s="48" t="n">
        <f aca="false">CF!$E$51-CF!$E$55-CF!$E$56</f>
        <v>-25.691</v>
      </c>
      <c r="F57" s="48" t="n">
        <f aca="false">CF!$F$51-CF!$F$55-CF!$F$56</f>
        <v>-40.6834130116072</v>
      </c>
      <c r="G57" s="48" t="n">
        <f aca="false">CF!$G$51-CF!$G$55-CF!$G$56</f>
        <v>-66.3744130116072</v>
      </c>
      <c r="H57" s="48" t="n">
        <f aca="false">CF!$H$51-CF!$H$55-CF!$H$56</f>
        <v>-53.9928646435014</v>
      </c>
      <c r="I57" s="48" t="n">
        <f aca="false">CF!$I$51-CF!$I$55-CF!$I$56</f>
        <v>-15.5451348078424</v>
      </c>
      <c r="J57" s="48" t="n">
        <f aca="false">CF!$J$51-CF!$J$55-CF!$J$56</f>
        <v>24.754490675283</v>
      </c>
      <c r="K57" s="48" t="n">
        <f aca="false">CF!$K$51-CF!$K$55-CF!$K$56</f>
        <v>121.351913203336</v>
      </c>
      <c r="L57" s="48" t="n">
        <f aca="false">CF!$L$51-CF!$L$55-CF!$L$56</f>
        <v>179.827806639524</v>
      </c>
      <c r="M57" s="48" t="n">
        <f aca="false">CF!$M$51-CF!$M$55-CF!$M$56</f>
        <v>208.6661428466</v>
      </c>
      <c r="N57" s="14"/>
      <c r="O57" s="14"/>
    </row>
    <row r="58" customFormat="false" ht="17.15" hidden="false" customHeight="false" outlineLevel="0" collapsed="false">
      <c r="A58" s="5" t="s">
        <v>788</v>
      </c>
      <c r="B58" s="0" t="s">
        <v>86</v>
      </c>
      <c r="C58" s="38" t="n">
        <f aca="false">dps*PL!$C$144</f>
        <v>0</v>
      </c>
      <c r="D58" s="38" t="n">
        <f aca="false">dps*PL!$D$144</f>
        <v>0</v>
      </c>
      <c r="E58" s="38" t="n">
        <f aca="false">dps*PL!$E$144</f>
        <v>0</v>
      </c>
      <c r="F58" s="38" t="n">
        <f aca="false">0</f>
        <v>0</v>
      </c>
      <c r="G58" s="38" t="n">
        <f aca="false">dps*PL!$G$144</f>
        <v>0</v>
      </c>
      <c r="H58" s="38" t="n">
        <f aca="false">dps*PL!$H$144</f>
        <v>0</v>
      </c>
      <c r="I58" s="38" t="n">
        <f aca="false">dps*PL!$I$144</f>
        <v>0</v>
      </c>
      <c r="J58" s="38" t="n">
        <f aca="false">dps*PL!$J$144</f>
        <v>0</v>
      </c>
      <c r="K58" s="38" t="n">
        <f aca="false">dps*PL!$K$144</f>
        <v>0</v>
      </c>
      <c r="L58" s="38" t="n">
        <f aca="false">dps*PL!$L$144</f>
        <v>0</v>
      </c>
      <c r="M58" s="38" t="n">
        <f aca="false">dps*PL!$M$144</f>
        <v>0</v>
      </c>
      <c r="P58" s="8" t="s">
        <v>789</v>
      </c>
    </row>
    <row r="59" customFormat="false" ht="17.15" hidden="false" customHeight="false" outlineLevel="0" collapsed="false">
      <c r="A59" s="5" t="s">
        <v>790</v>
      </c>
      <c r="B59" s="0" t="s">
        <v>86</v>
      </c>
      <c r="C59" s="38" t="n">
        <f aca="false">0</f>
        <v>0</v>
      </c>
      <c r="D59" s="38" t="n">
        <f aca="false">0</f>
        <v>0</v>
      </c>
      <c r="E59" s="38" t="n">
        <f aca="false">0</f>
        <v>0</v>
      </c>
      <c r="F59" s="38" t="n">
        <f aca="false">0</f>
        <v>0</v>
      </c>
      <c r="G59" s="38" t="n">
        <f aca="false">0</f>
        <v>0</v>
      </c>
      <c r="H59" s="38" t="n">
        <f aca="false">0</f>
        <v>0</v>
      </c>
      <c r="I59" s="38" t="n">
        <f aca="false">0</f>
        <v>0</v>
      </c>
      <c r="J59" s="38" t="n">
        <f aca="false">0</f>
        <v>0</v>
      </c>
      <c r="K59" s="38" t="n">
        <f aca="false">0</f>
        <v>0</v>
      </c>
      <c r="L59" s="38" t="n">
        <f aca="false">0</f>
        <v>0</v>
      </c>
      <c r="M59" s="38" t="n">
        <f aca="false">0</f>
        <v>0</v>
      </c>
      <c r="P59" s="8" t="s">
        <v>791</v>
      </c>
    </row>
    <row r="60" customFormat="false" ht="15" hidden="false" customHeight="false" outlineLevel="0" collapsed="false">
      <c r="A60" s="3" t="s">
        <v>792</v>
      </c>
      <c r="B60" s="8" t="s">
        <v>86</v>
      </c>
      <c r="C60" s="38" t="n">
        <f aca="false">CF!$C$57-CF!$C$58</f>
        <v>36.176</v>
      </c>
      <c r="D60" s="38" t="n">
        <f aca="false">CF!$D$57-CF!$D$58</f>
        <v>9.63700000000002</v>
      </c>
      <c r="E60" s="38" t="n">
        <f aca="false">CF!$E$57-CF!$E$58</f>
        <v>-25.691</v>
      </c>
      <c r="F60" s="38" t="n">
        <f aca="false">CF!$F$57-CF!$F$58</f>
        <v>-40.6834130116072</v>
      </c>
      <c r="G60" s="38" t="n">
        <f aca="false">CF!$G$57-CF!$G$58</f>
        <v>-66.3744130116072</v>
      </c>
      <c r="H60" s="38" t="n">
        <f aca="false">CF!$H$57-CF!$H$58</f>
        <v>-53.9928646435014</v>
      </c>
      <c r="I60" s="38" t="n">
        <f aca="false">CF!$I$57-CF!$I$58</f>
        <v>-15.5451348078424</v>
      </c>
      <c r="J60" s="38" t="n">
        <f aca="false">CF!$J$57-CF!$J$58</f>
        <v>24.754490675283</v>
      </c>
      <c r="K60" s="38" t="n">
        <f aca="false">CF!$K$57-CF!$K$58</f>
        <v>121.351913203336</v>
      </c>
      <c r="L60" s="38" t="n">
        <f aca="false">CF!$L$57-CF!$L$58</f>
        <v>179.827806639524</v>
      </c>
      <c r="M60" s="38" t="n">
        <f aca="false">CF!$M$57-CF!$M$58</f>
        <v>208.6661428466</v>
      </c>
    </row>
    <row r="61" customFormat="false" ht="17.15" hidden="false" customHeight="false" outlineLevel="0" collapsed="false">
      <c r="A61" s="5" t="s">
        <v>793</v>
      </c>
      <c r="B61" s="0" t="s">
        <v>86</v>
      </c>
      <c r="E61" s="38" t="n">
        <f aca="false">Q!$P$53</f>
        <v>39.767</v>
      </c>
      <c r="F61" s="38" t="n">
        <f aca="false">inv_2h26</f>
        <v>21.3</v>
      </c>
      <c r="G61" s="38" t="n">
        <f aca="false">CF!$E$61+CF!$F$61</f>
        <v>61.067</v>
      </c>
      <c r="H61" s="39" t="n">
        <v>0</v>
      </c>
      <c r="I61" s="39" t="n">
        <v>0</v>
      </c>
      <c r="J61" s="39" t="n">
        <v>0</v>
      </c>
      <c r="K61" s="39" t="n">
        <v>0</v>
      </c>
      <c r="L61" s="39" t="n">
        <v>0</v>
      </c>
      <c r="M61" s="39" t="n">
        <v>0</v>
      </c>
    </row>
    <row r="62" customFormat="false" ht="17.15" hidden="false" customHeight="false" outlineLevel="0" collapsed="false">
      <c r="A62" s="5" t="s">
        <v>794</v>
      </c>
      <c r="B62" s="0" t="s">
        <v>86</v>
      </c>
      <c r="F62" s="38" t="n">
        <f aca="false">iss_2h26</f>
        <v>29.249999</v>
      </c>
      <c r="G62" s="38" t="n">
        <f aca="false">CF!$F$62</f>
        <v>29.249999</v>
      </c>
      <c r="H62" s="39" t="n">
        <v>0</v>
      </c>
      <c r="I62" s="39" t="n">
        <v>0</v>
      </c>
      <c r="J62" s="39" t="n">
        <v>0</v>
      </c>
      <c r="K62" s="39" t="n">
        <v>0</v>
      </c>
      <c r="L62" s="39" t="n">
        <v>0</v>
      </c>
      <c r="M62" s="39" t="n">
        <v>0</v>
      </c>
    </row>
    <row r="63" customFormat="false" ht="17.15" hidden="false" customHeight="false" outlineLevel="0" collapsed="false">
      <c r="A63" s="5" t="s">
        <v>795</v>
      </c>
      <c r="B63" s="0" t="s">
        <v>86</v>
      </c>
      <c r="F63" s="38" t="n">
        <f aca="false">cash_q2</f>
        <v>122.988</v>
      </c>
      <c r="G63" s="38" t="n">
        <f aca="false">cash_q2</f>
        <v>122.988</v>
      </c>
      <c r="H63" s="38" t="n">
        <f aca="false">CF!$G$66</f>
        <v>90.2545859883928</v>
      </c>
      <c r="I63" s="38" t="n">
        <f aca="false">CF!$H$66</f>
        <v>50</v>
      </c>
      <c r="J63" s="38" t="n">
        <f aca="false">CF!$I$66</f>
        <v>50</v>
      </c>
      <c r="K63" s="38" t="n">
        <f aca="false">CF!$J$66</f>
        <v>74.7544906752831</v>
      </c>
      <c r="L63" s="38" t="n">
        <f aca="false">CF!$K$66</f>
        <v>196.106403878619</v>
      </c>
      <c r="M63" s="38" t="n">
        <f aca="false">CF!$L$66</f>
        <v>375.934210518143</v>
      </c>
    </row>
    <row r="64" customFormat="false" ht="15" hidden="false" customHeight="false" outlineLevel="0" collapsed="false">
      <c r="A64" s="5" t="s">
        <v>796</v>
      </c>
      <c r="B64" s="0" t="s">
        <v>86</v>
      </c>
      <c r="F64" s="38" t="n">
        <f aca="false">CF!$F$63+CF!$F$60-CF!$F$59-CF!$F$61+CF!$F$62</f>
        <v>90.2545859883928</v>
      </c>
      <c r="H64" s="38" t="n">
        <f aca="false">CF!$H$63+CF!$H$60-CF!$H$59-CF!$H$61+CF!$H$62</f>
        <v>36.2617213448915</v>
      </c>
      <c r="I64" s="38" t="n">
        <f aca="false">CF!$I$63+CF!$I$60-CF!$I$59-CF!$I$61+CF!$I$62</f>
        <v>34.4548651921577</v>
      </c>
      <c r="J64" s="38" t="n">
        <f aca="false">CF!$J$63+CF!$J$60-CF!$J$59-CF!$J$61+CF!$J$62</f>
        <v>74.7544906752831</v>
      </c>
      <c r="K64" s="38" t="n">
        <f aca="false">CF!$K$63+CF!$K$60-CF!$K$59-CF!$K$61+CF!$K$62</f>
        <v>196.106403878619</v>
      </c>
      <c r="L64" s="38" t="n">
        <f aca="false">CF!$L$63+CF!$L$60-CF!$L$59-CF!$L$61+CF!$L$62</f>
        <v>375.934210518143</v>
      </c>
      <c r="M64" s="38" t="n">
        <f aca="false">CF!$M$63+CF!$M$60-CF!$M$59-CF!$M$61+CF!$M$62</f>
        <v>584.600353364743</v>
      </c>
    </row>
    <row r="65" customFormat="false" ht="17.15" hidden="false" customHeight="false" outlineLevel="0" collapsed="false">
      <c r="A65" s="5" t="s">
        <v>797</v>
      </c>
      <c r="B65" s="0" t="s">
        <v>86</v>
      </c>
      <c r="F65" s="38" t="n">
        <f aca="false">MAX(0,min_cash-CF!$F$64)</f>
        <v>0</v>
      </c>
      <c r="G65" s="38" t="n">
        <f aca="false">CF!$F$65</f>
        <v>0</v>
      </c>
      <c r="H65" s="38" t="n">
        <f aca="false">MAX(0,min_cash-CF!$H$64)</f>
        <v>13.7382786551085</v>
      </c>
      <c r="I65" s="38" t="n">
        <f aca="false">MAX(0,min_cash-CF!$I$64)</f>
        <v>15.5451348078424</v>
      </c>
      <c r="J65" s="38" t="n">
        <f aca="false">MAX(0,min_cash-CF!$J$64)</f>
        <v>0</v>
      </c>
      <c r="K65" s="38" t="n">
        <f aca="false">MAX(0,min_cash-CF!$K$64)</f>
        <v>0</v>
      </c>
      <c r="L65" s="38" t="n">
        <f aca="false">MAX(0,min_cash-CF!$L$64)</f>
        <v>0</v>
      </c>
      <c r="M65" s="38" t="n">
        <f aca="false">MAX(0,min_cash-CF!$M$64)</f>
        <v>0</v>
      </c>
      <c r="P65" s="5" t="s">
        <v>798</v>
      </c>
    </row>
    <row r="66" customFormat="false" ht="15" hidden="false" customHeight="false" outlineLevel="0" collapsed="false">
      <c r="A66" s="5" t="s">
        <v>799</v>
      </c>
      <c r="B66" s="0" t="s">
        <v>86</v>
      </c>
      <c r="D66" s="38" t="n">
        <f aca="false">Q!$E$61</f>
        <v>123.029</v>
      </c>
      <c r="E66" s="38" t="n">
        <f aca="false">Q!$M$61</f>
        <v>122.988</v>
      </c>
      <c r="F66" s="38" t="n">
        <f aca="false">CF!$F$64+CF!$F$65</f>
        <v>90.2545859883928</v>
      </c>
      <c r="G66" s="38" t="n">
        <f aca="false">CF!$F$66</f>
        <v>90.2545859883928</v>
      </c>
      <c r="H66" s="38" t="n">
        <f aca="false">CF!$H$64+CF!$H$65</f>
        <v>50</v>
      </c>
      <c r="I66" s="38" t="n">
        <f aca="false">CF!$I$64+CF!$I$65</f>
        <v>50</v>
      </c>
      <c r="J66" s="38" t="n">
        <f aca="false">CF!$J$64+CF!$J$65</f>
        <v>74.7544906752831</v>
      </c>
      <c r="K66" s="38" t="n">
        <f aca="false">CF!$K$64+CF!$K$65</f>
        <v>196.106403878619</v>
      </c>
      <c r="L66" s="38" t="n">
        <f aca="false">CF!$L$64+CF!$L$65</f>
        <v>375.934210518143</v>
      </c>
      <c r="M66" s="38" t="n">
        <f aca="false">CF!$M$64+CF!$M$65</f>
        <v>584.600353364743</v>
      </c>
    </row>
    <row r="67" customFormat="false" ht="15" hidden="false" customHeight="false" outlineLevel="0" collapsed="false">
      <c r="A67" s="5" t="s">
        <v>800</v>
      </c>
      <c r="B67" s="0" t="s">
        <v>86</v>
      </c>
      <c r="D67" s="38" t="n">
        <f aca="false">Q!$E$62</f>
        <v>68.836</v>
      </c>
      <c r="E67" s="38" t="n">
        <f aca="false">Q!$M$62</f>
        <v>132.995</v>
      </c>
      <c r="F67" s="38" t="n">
        <f aca="false">debt_q2+CF!$F$62+CF!$F$65</f>
        <v>162.244999</v>
      </c>
      <c r="G67" s="38" t="n">
        <f aca="false">CF!$F$67</f>
        <v>162.244999</v>
      </c>
      <c r="H67" s="38" t="n">
        <f aca="false">CF!$G$67+CF!$H$65</f>
        <v>175.983277655109</v>
      </c>
      <c r="I67" s="38" t="n">
        <f aca="false">CF!$H$67+CF!$I$65</f>
        <v>191.528412462951</v>
      </c>
      <c r="J67" s="38" t="n">
        <f aca="false">CF!$I$67+CF!$J$65</f>
        <v>191.528412462951</v>
      </c>
      <c r="K67" s="38" t="n">
        <f aca="false">CF!$J$67+CF!$K$65</f>
        <v>191.528412462951</v>
      </c>
      <c r="L67" s="38" t="n">
        <f aca="false">CF!$K$67+CF!$L$65</f>
        <v>191.528412462951</v>
      </c>
      <c r="M67" s="38" t="n">
        <f aca="false">CF!$L$67+CF!$M$65</f>
        <v>191.528412462951</v>
      </c>
    </row>
    <row r="68" customFormat="false" ht="15" hidden="false" customHeight="false" outlineLevel="0" collapsed="false">
      <c r="A68" s="5" t="s">
        <v>801</v>
      </c>
      <c r="B68" s="0" t="s">
        <v>86</v>
      </c>
      <c r="D68" s="38" t="n">
        <f aca="false">CF!$D$67-CF!$D$66</f>
        <v>-54.193</v>
      </c>
      <c r="E68" s="38" t="n">
        <f aca="false">CF!$E$67-CF!$E$66</f>
        <v>10.007</v>
      </c>
      <c r="F68" s="38" t="n">
        <f aca="false">CF!$F$67-CF!$F$66</f>
        <v>71.9904130116072</v>
      </c>
      <c r="G68" s="38" t="n">
        <f aca="false">CF!$G$67-CF!$G$66</f>
        <v>71.9904130116072</v>
      </c>
      <c r="H68" s="38" t="n">
        <f aca="false">CF!$H$67-CF!$H$66</f>
        <v>125.983277655109</v>
      </c>
      <c r="I68" s="38" t="n">
        <f aca="false">CF!$I$67-CF!$I$66</f>
        <v>141.528412462951</v>
      </c>
      <c r="J68" s="38" t="n">
        <f aca="false">CF!$J$67-CF!$J$66</f>
        <v>116.773921787668</v>
      </c>
      <c r="K68" s="38" t="n">
        <f aca="false">CF!$K$67-CF!$K$66</f>
        <v>-4.57799141566841</v>
      </c>
      <c r="L68" s="38" t="n">
        <f aca="false">CF!$L$67-CF!$L$66</f>
        <v>-184.405798055192</v>
      </c>
      <c r="M68" s="38" t="n">
        <f aca="false">CF!$M$67-CF!$M$66</f>
        <v>-393.071940901792</v>
      </c>
    </row>
    <row r="69" customFormat="false" ht="17.15" hidden="false" customHeight="false" outlineLevel="0" collapsed="false">
      <c r="A69" s="5" t="s">
        <v>802</v>
      </c>
      <c r="B69" s="0" t="s">
        <v>86</v>
      </c>
      <c r="F69" s="38" t="n">
        <f aca="false">debt_q2*kd_book*0.5+iss_2h26*kd_new*iss_t</f>
        <v>3.24888962733561</v>
      </c>
      <c r="H69" s="38" t="n">
        <f aca="false">debt_q2*kd_book+(CF!$G$67-debt_q2)*kd_new</f>
        <v>7.42354172302123</v>
      </c>
      <c r="I69" s="38" t="n">
        <f aca="false">debt_q2*kd_book+(CF!$H$67-debt_q2)*kd_new</f>
        <v>8.2931747618896</v>
      </c>
      <c r="J69" s="38" t="n">
        <f aca="false">debt_q2*kd_book+(CF!$I$67-debt_q2)*kd_new</f>
        <v>9.27718179522602</v>
      </c>
      <c r="K69" s="38" t="n">
        <f aca="false">debt_q2*kd_book+(CF!$J$67-debt_q2)*kd_new</f>
        <v>9.27718179522602</v>
      </c>
      <c r="L69" s="38" t="n">
        <f aca="false">debt_q2*kd_book+(CF!$K$67-debt_q2)*kd_new</f>
        <v>9.27718179522602</v>
      </c>
      <c r="M69" s="38" t="n">
        <f aca="false">debt_q2*kd_book+(CF!$L$67-debt_q2)*kd_new</f>
        <v>9.27718179522602</v>
      </c>
    </row>
    <row r="70" customFormat="false" ht="17.15" hidden="false" customHeight="false" outlineLevel="0" collapsed="false">
      <c r="A70" s="5" t="s">
        <v>803</v>
      </c>
      <c r="B70" s="0" t="s">
        <v>86</v>
      </c>
      <c r="F70" s="38" t="n">
        <f aca="false">cash_q2*y_cash*0.5</f>
        <v>2.59</v>
      </c>
      <c r="H70" s="38" t="n">
        <f aca="false">CF!$G$66*y_cash</f>
        <v>3.80133635330174</v>
      </c>
      <c r="I70" s="38" t="n">
        <f aca="false">CF!$H$66*y_cash</f>
        <v>2.10589651022864</v>
      </c>
      <c r="J70" s="38" t="n">
        <f aca="false">CF!$I$66*y_cash</f>
        <v>2.10589651022864</v>
      </c>
      <c r="K70" s="38" t="n">
        <f aca="false">CF!$J$66*y_cash</f>
        <v>3.14850442073996</v>
      </c>
      <c r="L70" s="38" t="n">
        <f aca="false">CF!$K$66*y_cash</f>
        <v>8.25959583122945</v>
      </c>
      <c r="M70" s="38" t="n">
        <f aca="false">CF!$L$66*y_cash</f>
        <v>15.8335708401143</v>
      </c>
    </row>
    <row r="71" customFormat="false" ht="17.15" hidden="false" customHeight="false" outlineLevel="0" collapsed="false">
      <c r="A71" s="47" t="s">
        <v>804</v>
      </c>
      <c r="B71" s="14" t="s">
        <v>86</v>
      </c>
      <c r="C71" s="14"/>
      <c r="D71" s="14"/>
      <c r="E71" s="14"/>
      <c r="F71" s="14"/>
      <c r="G71" s="48" t="n">
        <f aca="false">SUM(CF!$G$60:$K$60)</f>
        <v>10.1939914156684</v>
      </c>
      <c r="H71" s="14"/>
      <c r="I71" s="14"/>
      <c r="J71" s="14"/>
      <c r="K71" s="14"/>
      <c r="L71" s="14"/>
      <c r="M71" s="14"/>
      <c r="N71" s="14"/>
      <c r="O71" s="14"/>
    </row>
    <row r="72" customFormat="false" ht="17.15" hidden="false" customHeight="false" outlineLevel="0" collapsed="false">
      <c r="A72" s="0" t="s">
        <v>770</v>
      </c>
      <c r="B72" s="0" t="s">
        <v>86</v>
      </c>
      <c r="G72" s="38" t="n">
        <f aca="false">SUM(CF!$G$65:$K$65)</f>
        <v>29.2834134629509</v>
      </c>
    </row>
    <row r="73" customFormat="false" ht="17.15" hidden="false" customHeight="false" outlineLevel="0" collapsed="false">
      <c r="A73" s="24" t="s">
        <v>807</v>
      </c>
      <c r="B73" s="25" t="s">
        <v>86</v>
      </c>
      <c r="C73" s="25"/>
      <c r="D73" s="25"/>
      <c r="E73" s="25"/>
      <c r="F73" s="25"/>
      <c r="G73" s="41" t="n">
        <f aca="false">CF!$G$71-(CF!$G$60+CF!$H$60+CF!$I$60+CF!$J$60+CF!$K$60)</f>
        <v>0</v>
      </c>
      <c r="H73" s="25"/>
      <c r="I73" s="25"/>
      <c r="J73" s="25"/>
      <c r="K73" s="25"/>
      <c r="L73" s="25"/>
      <c r="M73" s="25"/>
      <c r="N73" s="25"/>
      <c r="O73" s="25"/>
    </row>
    <row r="76" customFormat="false" ht="19.4" hidden="false" customHeight="false" outlineLevel="0" collapsed="false">
      <c r="A76" s="31" t="s">
        <v>808</v>
      </c>
    </row>
    <row r="77" customFormat="false" ht="17.15" hidden="false" customHeight="false" outlineLevel="0" collapsed="false">
      <c r="A77" s="6" t="s">
        <v>16</v>
      </c>
      <c r="B77" s="6" t="s">
        <v>17</v>
      </c>
      <c r="C77" s="20" t="s">
        <v>494</v>
      </c>
      <c r="D77" s="20" t="s">
        <v>495</v>
      </c>
      <c r="E77" s="20" t="s">
        <v>577</v>
      </c>
      <c r="F77" s="20" t="s">
        <v>578</v>
      </c>
      <c r="G77" s="20" t="s">
        <v>579</v>
      </c>
      <c r="H77" s="20" t="s">
        <v>580</v>
      </c>
      <c r="I77" s="20" t="s">
        <v>581</v>
      </c>
      <c r="J77" s="20" t="s">
        <v>582</v>
      </c>
      <c r="K77" s="20" t="s">
        <v>583</v>
      </c>
      <c r="L77" s="20" t="s">
        <v>584</v>
      </c>
      <c r="M77" s="20" t="s">
        <v>585</v>
      </c>
      <c r="N77" s="20" t="s">
        <v>586</v>
      </c>
      <c r="O77" s="20" t="s">
        <v>587</v>
      </c>
      <c r="P77" s="6" t="s">
        <v>23</v>
      </c>
      <c r="R77" s="20" t="n">
        <v>2023</v>
      </c>
      <c r="S77" s="20" t="n">
        <v>2024</v>
      </c>
      <c r="T77" s="20" t="n">
        <v>2025</v>
      </c>
      <c r="U77" s="20" t="n">
        <v>2026</v>
      </c>
      <c r="V77" s="20" t="n">
        <v>2027</v>
      </c>
      <c r="W77" s="20" t="n">
        <v>2028</v>
      </c>
      <c r="X77" s="20" t="n">
        <v>2029</v>
      </c>
      <c r="Y77" s="20" t="n">
        <v>2030</v>
      </c>
      <c r="Z77" s="20" t="n">
        <v>2031</v>
      </c>
      <c r="AA77" s="20" t="n">
        <v>2032</v>
      </c>
    </row>
    <row r="78" customFormat="false" ht="15" hidden="false" customHeight="false" outlineLevel="0" collapsed="false">
      <c r="A78" s="5" t="s">
        <v>546</v>
      </c>
      <c r="B78" s="0" t="s">
        <v>86</v>
      </c>
      <c r="C78" s="38" t="n">
        <f aca="false">PL!$C$213</f>
        <v>59.248</v>
      </c>
      <c r="D78" s="38" t="n">
        <f aca="false">PL!$D$213</f>
        <v>77.67</v>
      </c>
      <c r="E78" s="38" t="n">
        <f aca="false">PL!$E$213</f>
        <v>92.902</v>
      </c>
      <c r="F78" s="38" t="n">
        <f aca="false">PL!$F$213</f>
        <v>45.3397442387231</v>
      </c>
      <c r="G78" s="38" t="n">
        <f aca="false">PL!$G$213</f>
        <v>138.241744238723</v>
      </c>
      <c r="H78" s="38" t="n">
        <f aca="false">PL!$H$213</f>
        <v>96.3722716832509</v>
      </c>
      <c r="I78" s="38" t="n">
        <f aca="false">PL!$I$213</f>
        <v>104.983776411814</v>
      </c>
      <c r="J78" s="38" t="n">
        <f aca="false">PL!$J$213</f>
        <v>113.293227808719</v>
      </c>
      <c r="K78" s="38" t="n">
        <f aca="false">PL!$K$213</f>
        <v>118.454848387036</v>
      </c>
      <c r="L78" s="38" t="n">
        <f aca="false">PL!$L$213</f>
        <v>129.248970694161</v>
      </c>
      <c r="M78" s="38" t="n">
        <f aca="false">PL!$M$213</f>
        <v>143.500997981904</v>
      </c>
    </row>
    <row r="79" customFormat="false" ht="17.15" hidden="false" customHeight="false" outlineLevel="0" collapsed="false">
      <c r="A79" s="5" t="s">
        <v>778</v>
      </c>
      <c r="B79" s="0" t="s">
        <v>86</v>
      </c>
      <c r="C79" s="38" t="n">
        <f aca="false">PL!$C$201</f>
        <v>32.067</v>
      </c>
      <c r="D79" s="38" t="n">
        <f aca="false">PL!$D$201</f>
        <v>41.86</v>
      </c>
      <c r="E79" s="38" t="n">
        <f aca="false">PL!$E$201</f>
        <v>26.703</v>
      </c>
      <c r="F79" s="38" t="n">
        <f aca="false">PL!$F$201</f>
        <v>29.3189626100269</v>
      </c>
      <c r="G79" s="38" t="n">
        <f aca="false">PL!$G$201</f>
        <v>56.0219626100269</v>
      </c>
      <c r="H79" s="38" t="n">
        <f aca="false">PL!$H$201</f>
        <v>84.3469591290926</v>
      </c>
      <c r="I79" s="38" t="n">
        <f aca="false">PL!$I$201</f>
        <v>117.073838578589</v>
      </c>
      <c r="J79" s="38" t="n">
        <f aca="false">PL!$J$201</f>
        <v>150.535143485963</v>
      </c>
      <c r="K79" s="38" t="n">
        <f aca="false">PL!$K$201</f>
        <v>184.226630974683</v>
      </c>
      <c r="L79" s="38" t="n">
        <f aca="false">PL!$L$201</f>
        <v>207.809738674826</v>
      </c>
      <c r="M79" s="38" t="n">
        <f aca="false">PL!$M$201</f>
        <v>224.047643923325</v>
      </c>
    </row>
    <row r="80" customFormat="false" ht="15" hidden="false" customHeight="false" outlineLevel="0" collapsed="false">
      <c r="A80" s="5" t="s">
        <v>779</v>
      </c>
      <c r="B80" s="0" t="s">
        <v>86</v>
      </c>
      <c r="C80" s="38" t="n">
        <f aca="false">Q!$D$48</f>
        <v>22.011</v>
      </c>
      <c r="D80" s="38" t="n">
        <f aca="false">Q!$E$48</f>
        <v>19.467</v>
      </c>
      <c r="E80" s="38" t="n">
        <f aca="false">Q!$P$48</f>
        <v>10.07</v>
      </c>
      <c r="F80" s="38" t="n">
        <f aca="false">sbc_r*Seg!$F$100</f>
        <v>10.8507035798037</v>
      </c>
      <c r="G80" s="38" t="n">
        <f aca="false">CF!$E$80+CF!$F$80</f>
        <v>20.9207035798037</v>
      </c>
      <c r="H80" s="38" t="n">
        <f aca="false">sbc_r*Seg!$H$100</f>
        <v>23.3171112821385</v>
      </c>
      <c r="I80" s="38" t="n">
        <f aca="false">sbc_r*Seg!$I$100</f>
        <v>26.2962938197157</v>
      </c>
      <c r="J80" s="38" t="n">
        <f aca="false">sbc_r*Seg!$J$100</f>
        <v>29.1396836347783</v>
      </c>
      <c r="K80" s="38" t="n">
        <f aca="false">sbc_r*Seg!$K$100</f>
        <v>31.6360656827684</v>
      </c>
      <c r="L80" s="38" t="n">
        <f aca="false">sbc_r*Seg!$L$100</f>
        <v>34.0081575093678</v>
      </c>
      <c r="M80" s="38" t="n">
        <f aca="false">sbc_r*Seg!$M$100</f>
        <v>36.2650544790083</v>
      </c>
    </row>
    <row r="81" customFormat="false" ht="17.15" hidden="false" customHeight="false" outlineLevel="0" collapsed="false">
      <c r="A81" s="5" t="s">
        <v>780</v>
      </c>
      <c r="B81" s="0" t="s">
        <v>86</v>
      </c>
      <c r="C81" s="38" t="n">
        <f aca="false">Q!$D$44-CF!$C$78-CF!$C$79-CF!$C$80</f>
        <v>2.551</v>
      </c>
      <c r="D81" s="38" t="n">
        <f aca="false">Q!$E$44-CF!$D$78-CF!$D$79-CF!$D$80</f>
        <v>0.51700000000001</v>
      </c>
      <c r="E81" s="38" t="n">
        <f aca="false">Q!$P$44-CF!$E$78-CF!$E$79-CF!$E$80</f>
        <v>-58.256</v>
      </c>
      <c r="F81" s="38" t="n">
        <f aca="false">oth_r*Seg!$F$100</f>
        <v>5.22265251035878</v>
      </c>
      <c r="G81" s="38" t="n">
        <f aca="false">CF!$E$81+CF!$F$81</f>
        <v>-53.0333474896412</v>
      </c>
      <c r="H81" s="38" t="n">
        <f aca="false">oth_r*Seg!$H$100</f>
        <v>11.222974517398</v>
      </c>
      <c r="I81" s="38" t="n">
        <f aca="false">oth_r*Seg!$I$100</f>
        <v>12.6569124223699</v>
      </c>
      <c r="J81" s="38" t="n">
        <f aca="false">oth_r*Seg!$J$100</f>
        <v>14.0254906759686</v>
      </c>
      <c r="K81" s="38" t="n">
        <f aca="false">oth_r*Seg!$K$100</f>
        <v>15.2270474113325</v>
      </c>
      <c r="L81" s="38" t="n">
        <f aca="false">oth_r*Seg!$L$100</f>
        <v>16.3687808705387</v>
      </c>
      <c r="M81" s="38" t="n">
        <f aca="false">oth_r*Seg!$M$100</f>
        <v>17.4550688275753</v>
      </c>
      <c r="P81" s="8" t="s">
        <v>781</v>
      </c>
    </row>
    <row r="82" customFormat="false" ht="15" hidden="false" customHeight="false" outlineLevel="0" collapsed="false">
      <c r="A82" s="3" t="s">
        <v>552</v>
      </c>
      <c r="B82" s="8" t="s">
        <v>86</v>
      </c>
      <c r="C82" s="38" t="n">
        <f aca="false">Q!$D$44</f>
        <v>115.877</v>
      </c>
      <c r="D82" s="38" t="n">
        <f aca="false">Q!$E$44</f>
        <v>139.514</v>
      </c>
      <c r="E82" s="38" t="n">
        <f aca="false">Q!$P$44</f>
        <v>71.419</v>
      </c>
      <c r="F82" s="38" t="n">
        <f aca="false">CF!$F$78+CF!$F$79+CF!$F$80+CF!$F$81</f>
        <v>90.7320629389125</v>
      </c>
      <c r="G82" s="38" t="n">
        <f aca="false">CF!$E$82+CF!$F$82</f>
        <v>162.151062938913</v>
      </c>
      <c r="H82" s="38" t="n">
        <f aca="false">CF!$H$78+CF!$H$79+CF!$H$80+CF!$H$81</f>
        <v>215.25931661188</v>
      </c>
      <c r="I82" s="38" t="n">
        <f aca="false">CF!$I$78+CF!$I$79+CF!$I$80+CF!$I$81</f>
        <v>261.010821232489</v>
      </c>
      <c r="J82" s="38" t="n">
        <f aca="false">CF!$J$78+CF!$J$79+CF!$J$80+CF!$J$81</f>
        <v>306.993545605429</v>
      </c>
      <c r="K82" s="38" t="n">
        <f aca="false">CF!$K$78+CF!$K$79+CF!$K$80+CF!$K$81</f>
        <v>349.544592455819</v>
      </c>
      <c r="L82" s="38" t="n">
        <f aca="false">CF!$L$78+CF!$L$79+CF!$L$80+CF!$L$81</f>
        <v>387.435647748894</v>
      </c>
      <c r="M82" s="38" t="n">
        <f aca="false">CF!$M$78+CF!$M$79+CF!$M$80+CF!$M$81</f>
        <v>421.268765211812</v>
      </c>
    </row>
    <row r="83" customFormat="false" ht="17.15" hidden="false" customHeight="false" outlineLevel="0" collapsed="false">
      <c r="A83" s="5" t="s">
        <v>782</v>
      </c>
      <c r="B83" s="0" t="s">
        <v>86</v>
      </c>
      <c r="C83" s="38" t="n">
        <f aca="false">Thesis!$C$151</f>
        <v>25.2781053077374</v>
      </c>
      <c r="D83" s="38" t="n">
        <f aca="false">Thesis!$D$151</f>
        <v>69.5686316310026</v>
      </c>
      <c r="E83" s="38" t="n">
        <f aca="false">Thesis!$E$151</f>
        <v>64.1899206485108</v>
      </c>
      <c r="F83" s="38" t="n">
        <f aca="false">Thesis!$F$151</f>
        <v>96.2481299895</v>
      </c>
      <c r="G83" s="38" t="n">
        <f aca="false">Thesis!$G$151</f>
        <v>160.438050638011</v>
      </c>
      <c r="H83" s="38" t="n">
        <f aca="false">Thesis!$H$151</f>
        <v>198.57136494475</v>
      </c>
      <c r="I83" s="38" t="n">
        <f aca="false">Thesis!$I$151</f>
        <v>204.6464699105</v>
      </c>
      <c r="J83" s="38" t="n">
        <f aca="false">Thesis!$J$151</f>
        <v>209.8832381105</v>
      </c>
      <c r="K83" s="38" t="n">
        <f aca="false">Thesis!$K$151</f>
        <v>155.238385275201</v>
      </c>
      <c r="L83" s="38" t="n">
        <f aca="false">Thesis!$L$151</f>
        <v>132.014141639902</v>
      </c>
      <c r="M83" s="38" t="n">
        <f aca="false">Thesis!$M$151</f>
        <v>132.230981659852</v>
      </c>
    </row>
    <row r="84" customFormat="false" ht="17.15" hidden="false" customHeight="false" outlineLevel="0" collapsed="false">
      <c r="A84" s="5" t="s">
        <v>783</v>
      </c>
      <c r="B84" s="0" t="s">
        <v>86</v>
      </c>
      <c r="C84" s="38" t="n">
        <f aca="false">cx_awso*Seg!$C$98</f>
        <v>21.0469989286053</v>
      </c>
      <c r="D84" s="38" t="n">
        <f aca="false">cx_awso*Seg!$D$98</f>
        <v>24.0042459822698</v>
      </c>
      <c r="E84" s="38" t="n">
        <f aca="false">cx_awso*Seg!$E$98</f>
        <v>14.261729404886</v>
      </c>
      <c r="F84" s="38" t="n">
        <f aca="false">cx_awso*Seg!$F$98</f>
        <v>14.3538599588493</v>
      </c>
      <c r="G84" s="38" t="n">
        <f aca="false">CF!$E$84+CF!$F$84</f>
        <v>28.6155893637353</v>
      </c>
      <c r="H84" s="38" t="n">
        <f aca="false">cx_awso*Seg!$H$98</f>
        <v>32.2034154158406</v>
      </c>
      <c r="I84" s="38" t="n">
        <f aca="false">cx_awso*Seg!$I$98</f>
        <v>35.7539519042915</v>
      </c>
      <c r="J84" s="38" t="n">
        <f aca="false">cx_awso*Seg!$J$98</f>
        <v>39.1551076091815</v>
      </c>
      <c r="K84" s="38" t="n">
        <f aca="false">cx_awso*Seg!$K$98</f>
        <v>42.287516217916</v>
      </c>
      <c r="L84" s="38" t="n">
        <f aca="false">cx_awso*Seg!$L$98</f>
        <v>45.6705175153492</v>
      </c>
      <c r="M84" s="38" t="n">
        <f aca="false">cx_awso*Seg!$M$98</f>
        <v>49.3241589165772</v>
      </c>
    </row>
    <row r="85" customFormat="false" ht="17.15" hidden="false" customHeight="false" outlineLevel="0" collapsed="false">
      <c r="A85" s="5" t="s">
        <v>784</v>
      </c>
      <c r="B85" s="0" t="s">
        <v>86</v>
      </c>
      <c r="C85" s="38" t="n">
        <f aca="false">Q!$D$46-CF!$C$83-CF!$C$84</f>
        <v>31.3328957636573</v>
      </c>
      <c r="D85" s="38" t="n">
        <f aca="false">Q!$E$46-CF!$D$83-CF!$D$84</f>
        <v>34.7471223867276</v>
      </c>
      <c r="E85" s="38" t="n">
        <f aca="false">Q!$P$46-CF!$E$83-CF!$E$84</f>
        <v>17.8583499466032</v>
      </c>
      <c r="F85" s="38" t="n">
        <f aca="false">cx_rt*Seg!$F$90</f>
        <v>20.668385464891</v>
      </c>
      <c r="G85" s="38" t="n">
        <f aca="false">CF!$E$85+CF!$F$85</f>
        <v>38.5267354114942</v>
      </c>
      <c r="H85" s="38" t="n">
        <f aca="false">cx_rt*Seg!$H$90</f>
        <v>42.6519437169003</v>
      </c>
      <c r="I85" s="38" t="n">
        <f aca="false">cx_rt*Seg!$I$90</f>
        <v>46.640510335413</v>
      </c>
      <c r="J85" s="38" t="n">
        <f aca="false">cx_rt*Seg!$J$90</f>
        <v>50.3419976462216</v>
      </c>
      <c r="K85" s="38" t="n">
        <f aca="false">cx_rt*Seg!$K$90</f>
        <v>53.5992167116214</v>
      </c>
      <c r="L85" s="38" t="n">
        <f aca="false">cx_rt*Seg!$L$90</f>
        <v>57.0840776689994</v>
      </c>
      <c r="M85" s="38" t="n">
        <f aca="false">cx_rt*Seg!$M$90</f>
        <v>60.8137072186215</v>
      </c>
    </row>
    <row r="86" customFormat="false" ht="15" hidden="false" customHeight="false" outlineLevel="0" collapsed="false">
      <c r="A86" s="3" t="s">
        <v>785</v>
      </c>
      <c r="B86" s="8" t="s">
        <v>86</v>
      </c>
      <c r="C86" s="38" t="n">
        <f aca="false">Q!$D$46</f>
        <v>77.658</v>
      </c>
      <c r="D86" s="38" t="n">
        <f aca="false">Q!$E$46</f>
        <v>128.32</v>
      </c>
      <c r="E86" s="38" t="n">
        <f aca="false">Q!$P$46</f>
        <v>96.31</v>
      </c>
      <c r="F86" s="38" t="n">
        <f aca="false">CF!$F$83+CF!$F$84+CF!$F$85</f>
        <v>131.27037541324</v>
      </c>
      <c r="G86" s="38" t="n">
        <f aca="false">CF!$E$86+CF!$F$86</f>
        <v>227.58037541324</v>
      </c>
      <c r="H86" s="38" t="n">
        <f aca="false">CF!$H$83+CF!$H$84+CF!$H$85</f>
        <v>273.426724077491</v>
      </c>
      <c r="I86" s="38" t="n">
        <f aca="false">CF!$I$83+CF!$I$84+CF!$I$85</f>
        <v>287.040932150204</v>
      </c>
      <c r="J86" s="38" t="n">
        <f aca="false">CF!$J$83+CF!$J$84+CF!$J$85</f>
        <v>299.380343365903</v>
      </c>
      <c r="K86" s="38" t="n">
        <f aca="false">CF!$K$83+CF!$K$84+CF!$K$85</f>
        <v>251.125118204738</v>
      </c>
      <c r="L86" s="38" t="n">
        <f aca="false">CF!$L$83+CF!$L$84+CF!$L$85</f>
        <v>234.76873682425</v>
      </c>
      <c r="M86" s="38" t="n">
        <f aca="false">CF!$M$83+CF!$M$84+CF!$M$85</f>
        <v>242.368847795051</v>
      </c>
    </row>
    <row r="87" customFormat="false" ht="17.15" hidden="false" customHeight="false" outlineLevel="0" collapsed="false">
      <c r="A87" s="5" t="s">
        <v>560</v>
      </c>
      <c r="B87" s="0" t="s">
        <v>86</v>
      </c>
      <c r="C87" s="38" t="n">
        <f aca="false">Q!$D$50</f>
        <v>2.043</v>
      </c>
      <c r="D87" s="38" t="n">
        <f aca="false">Q!$E$50</f>
        <v>1.557</v>
      </c>
      <c r="E87" s="38" t="n">
        <f aca="false">lease_pr/2</f>
        <v>0.8</v>
      </c>
      <c r="F87" s="38" t="n">
        <f aca="false">lease_pr/2</f>
        <v>0.8</v>
      </c>
      <c r="G87" s="38" t="n">
        <f aca="false">CF!$E$87+CF!$F$87</f>
        <v>1.6</v>
      </c>
      <c r="H87" s="38" t="n">
        <f aca="false">lease_pr</f>
        <v>1.6</v>
      </c>
      <c r="I87" s="38" t="n">
        <f aca="false">lease_pr</f>
        <v>1.6</v>
      </c>
      <c r="J87" s="38" t="n">
        <f aca="false">lease_pr</f>
        <v>1.6</v>
      </c>
      <c r="K87" s="38" t="n">
        <f aca="false">lease_pr</f>
        <v>1.6</v>
      </c>
      <c r="L87" s="38" t="n">
        <f aca="false">lease_pr</f>
        <v>1.6</v>
      </c>
      <c r="M87" s="38" t="n">
        <f aca="false">lease_pr</f>
        <v>1.6</v>
      </c>
      <c r="P87" s="8" t="s">
        <v>786</v>
      </c>
    </row>
    <row r="88" customFormat="false" ht="15" hidden="false" customHeight="false" outlineLevel="0" collapsed="false">
      <c r="A88" s="47" t="s">
        <v>787</v>
      </c>
      <c r="B88" s="14" t="s">
        <v>86</v>
      </c>
      <c r="C88" s="48" t="n">
        <f aca="false">CF!$C$82-CF!$C$86-CF!$C$87</f>
        <v>36.176</v>
      </c>
      <c r="D88" s="48" t="n">
        <f aca="false">CF!$D$82-CF!$D$86-CF!$D$87</f>
        <v>9.63700000000002</v>
      </c>
      <c r="E88" s="48" t="n">
        <f aca="false">CF!$E$82-CF!$E$86-CF!$E$87</f>
        <v>-25.691</v>
      </c>
      <c r="F88" s="48" t="n">
        <f aca="false">CF!$F$82-CF!$F$86-CF!$F$87</f>
        <v>-41.3383124743278</v>
      </c>
      <c r="G88" s="48" t="n">
        <f aca="false">CF!$G$82-CF!$G$86-CF!$G$87</f>
        <v>-67.0293124743278</v>
      </c>
      <c r="H88" s="48" t="n">
        <f aca="false">CF!$H$82-CF!$H$86-CF!$H$87</f>
        <v>-59.7674074656109</v>
      </c>
      <c r="I88" s="48" t="n">
        <f aca="false">CF!$I$82-CF!$I$86-CF!$I$87</f>
        <v>-27.6301109177159</v>
      </c>
      <c r="J88" s="48" t="n">
        <f aca="false">CF!$J$82-CF!$J$86-CF!$J$87</f>
        <v>6.01320223952561</v>
      </c>
      <c r="K88" s="48" t="n">
        <f aca="false">CF!$K$82-CF!$K$86-CF!$K$87</f>
        <v>96.8194742510808</v>
      </c>
      <c r="L88" s="48" t="n">
        <f aca="false">CF!$L$82-CF!$L$86-CF!$L$87</f>
        <v>151.066910924643</v>
      </c>
      <c r="M88" s="48" t="n">
        <f aca="false">CF!$M$82-CF!$M$86-CF!$M$87</f>
        <v>177.299917416761</v>
      </c>
      <c r="N88" s="14"/>
      <c r="O88" s="14"/>
    </row>
    <row r="89" customFormat="false" ht="17.15" hidden="false" customHeight="false" outlineLevel="0" collapsed="false">
      <c r="A89" s="5" t="s">
        <v>788</v>
      </c>
      <c r="B89" s="0" t="s">
        <v>86</v>
      </c>
      <c r="C89" s="38" t="n">
        <f aca="false">dps*PL!$C$214</f>
        <v>0</v>
      </c>
      <c r="D89" s="38" t="n">
        <f aca="false">dps*PL!$D$214</f>
        <v>0</v>
      </c>
      <c r="E89" s="38" t="n">
        <f aca="false">dps*PL!$E$214</f>
        <v>0</v>
      </c>
      <c r="F89" s="38" t="n">
        <f aca="false">0</f>
        <v>0</v>
      </c>
      <c r="G89" s="38" t="n">
        <f aca="false">dps*PL!$G$214</f>
        <v>0</v>
      </c>
      <c r="H89" s="38" t="n">
        <f aca="false">dps*PL!$H$214</f>
        <v>0</v>
      </c>
      <c r="I89" s="38" t="n">
        <f aca="false">dps*PL!$I$214</f>
        <v>0</v>
      </c>
      <c r="J89" s="38" t="n">
        <f aca="false">dps*PL!$J$214</f>
        <v>0</v>
      </c>
      <c r="K89" s="38" t="n">
        <f aca="false">dps*PL!$K$214</f>
        <v>0</v>
      </c>
      <c r="L89" s="38" t="n">
        <f aca="false">dps*PL!$L$214</f>
        <v>0</v>
      </c>
      <c r="M89" s="38" t="n">
        <f aca="false">dps*PL!$M$214</f>
        <v>0</v>
      </c>
      <c r="P89" s="8" t="s">
        <v>789</v>
      </c>
    </row>
    <row r="90" customFormat="false" ht="17.15" hidden="false" customHeight="false" outlineLevel="0" collapsed="false">
      <c r="A90" s="5" t="s">
        <v>790</v>
      </c>
      <c r="B90" s="0" t="s">
        <v>86</v>
      </c>
      <c r="C90" s="38" t="n">
        <f aca="false">0</f>
        <v>0</v>
      </c>
      <c r="D90" s="38" t="n">
        <f aca="false">0</f>
        <v>0</v>
      </c>
      <c r="E90" s="38" t="n">
        <f aca="false">0</f>
        <v>0</v>
      </c>
      <c r="F90" s="38" t="n">
        <f aca="false">0</f>
        <v>0</v>
      </c>
      <c r="G90" s="38" t="n">
        <f aca="false">0</f>
        <v>0</v>
      </c>
      <c r="H90" s="38" t="n">
        <f aca="false">0</f>
        <v>0</v>
      </c>
      <c r="I90" s="38" t="n">
        <f aca="false">0</f>
        <v>0</v>
      </c>
      <c r="J90" s="38" t="n">
        <f aca="false">0</f>
        <v>0</v>
      </c>
      <c r="K90" s="38" t="n">
        <f aca="false">0</f>
        <v>0</v>
      </c>
      <c r="L90" s="38" t="n">
        <f aca="false">0</f>
        <v>0</v>
      </c>
      <c r="M90" s="38" t="n">
        <f aca="false">0</f>
        <v>0</v>
      </c>
      <c r="P90" s="8" t="s">
        <v>791</v>
      </c>
    </row>
    <row r="91" customFormat="false" ht="15" hidden="false" customHeight="false" outlineLevel="0" collapsed="false">
      <c r="A91" s="3" t="s">
        <v>792</v>
      </c>
      <c r="B91" s="8" t="s">
        <v>86</v>
      </c>
      <c r="C91" s="38" t="n">
        <f aca="false">CF!$C$88-CF!$C$89</f>
        <v>36.176</v>
      </c>
      <c r="D91" s="38" t="n">
        <f aca="false">CF!$D$88-CF!$D$89</f>
        <v>9.63700000000002</v>
      </c>
      <c r="E91" s="38" t="n">
        <f aca="false">CF!$E$88-CF!$E$89</f>
        <v>-25.691</v>
      </c>
      <c r="F91" s="38" t="n">
        <f aca="false">CF!$F$88-CF!$F$89</f>
        <v>-41.3383124743278</v>
      </c>
      <c r="G91" s="38" t="n">
        <f aca="false">CF!$G$88-CF!$G$89</f>
        <v>-67.0293124743278</v>
      </c>
      <c r="H91" s="38" t="n">
        <f aca="false">CF!$H$88-CF!$H$89</f>
        <v>-59.7674074656109</v>
      </c>
      <c r="I91" s="38" t="n">
        <f aca="false">CF!$I$88-CF!$I$89</f>
        <v>-27.6301109177159</v>
      </c>
      <c r="J91" s="38" t="n">
        <f aca="false">CF!$J$88-CF!$J$89</f>
        <v>6.01320223952561</v>
      </c>
      <c r="K91" s="38" t="n">
        <f aca="false">CF!$K$88-CF!$K$89</f>
        <v>96.8194742510808</v>
      </c>
      <c r="L91" s="38" t="n">
        <f aca="false">CF!$L$88-CF!$L$89</f>
        <v>151.066910924643</v>
      </c>
      <c r="M91" s="38" t="n">
        <f aca="false">CF!$M$88-CF!$M$89</f>
        <v>177.299917416761</v>
      </c>
    </row>
    <row r="92" customFormat="false" ht="17.15" hidden="false" customHeight="false" outlineLevel="0" collapsed="false">
      <c r="A92" s="5" t="s">
        <v>793</v>
      </c>
      <c r="B92" s="0" t="s">
        <v>86</v>
      </c>
      <c r="E92" s="38" t="n">
        <f aca="false">Q!$P$53</f>
        <v>39.767</v>
      </c>
      <c r="F92" s="38" t="n">
        <f aca="false">inv_2h26</f>
        <v>21.3</v>
      </c>
      <c r="G92" s="38" t="n">
        <f aca="false">CF!$E$92+CF!$F$92</f>
        <v>61.067</v>
      </c>
      <c r="H92" s="39" t="n">
        <v>0</v>
      </c>
      <c r="I92" s="39" t="n">
        <v>0</v>
      </c>
      <c r="J92" s="39" t="n">
        <v>0</v>
      </c>
      <c r="K92" s="39" t="n">
        <v>0</v>
      </c>
      <c r="L92" s="39" t="n">
        <v>0</v>
      </c>
      <c r="M92" s="39" t="n">
        <v>0</v>
      </c>
    </row>
    <row r="93" customFormat="false" ht="17.15" hidden="false" customHeight="false" outlineLevel="0" collapsed="false">
      <c r="A93" s="5" t="s">
        <v>794</v>
      </c>
      <c r="B93" s="0" t="s">
        <v>86</v>
      </c>
      <c r="F93" s="38" t="n">
        <f aca="false">iss_2h26</f>
        <v>29.249999</v>
      </c>
      <c r="G93" s="38" t="n">
        <f aca="false">CF!$F$93</f>
        <v>29.249999</v>
      </c>
      <c r="H93" s="39" t="n">
        <v>0</v>
      </c>
      <c r="I93" s="39" t="n">
        <v>0</v>
      </c>
      <c r="J93" s="39" t="n">
        <v>0</v>
      </c>
      <c r="K93" s="39" t="n">
        <v>0</v>
      </c>
      <c r="L93" s="39" t="n">
        <v>0</v>
      </c>
      <c r="M93" s="39" t="n">
        <v>0</v>
      </c>
    </row>
    <row r="94" customFormat="false" ht="17.15" hidden="false" customHeight="false" outlineLevel="0" collapsed="false">
      <c r="A94" s="5" t="s">
        <v>795</v>
      </c>
      <c r="B94" s="0" t="s">
        <v>86</v>
      </c>
      <c r="F94" s="38" t="n">
        <f aca="false">cash_q2</f>
        <v>122.988</v>
      </c>
      <c r="G94" s="38" t="n">
        <f aca="false">cash_q2</f>
        <v>122.988</v>
      </c>
      <c r="H94" s="38" t="n">
        <f aca="false">CF!$G$97</f>
        <v>89.5996865256723</v>
      </c>
      <c r="I94" s="38" t="n">
        <f aca="false">CF!$H$97</f>
        <v>50</v>
      </c>
      <c r="J94" s="38" t="n">
        <f aca="false">CF!$I$97</f>
        <v>50</v>
      </c>
      <c r="K94" s="38" t="n">
        <f aca="false">CF!$J$97</f>
        <v>56.0132022395256</v>
      </c>
      <c r="L94" s="38" t="n">
        <f aca="false">CF!$K$97</f>
        <v>152.832676490606</v>
      </c>
      <c r="M94" s="38" t="n">
        <f aca="false">CF!$L$97</f>
        <v>303.89958741525</v>
      </c>
    </row>
    <row r="95" customFormat="false" ht="15" hidden="false" customHeight="false" outlineLevel="0" collapsed="false">
      <c r="A95" s="5" t="s">
        <v>796</v>
      </c>
      <c r="B95" s="0" t="s">
        <v>86</v>
      </c>
      <c r="F95" s="38" t="n">
        <f aca="false">CF!$F$94+CF!$F$91-CF!$F$90-CF!$F$92+CF!$F$93</f>
        <v>89.5996865256723</v>
      </c>
      <c r="H95" s="38" t="n">
        <f aca="false">CF!$H$94+CF!$H$91-CF!$H$90-CF!$H$92+CF!$H$93</f>
        <v>29.8322790600613</v>
      </c>
      <c r="I95" s="38" t="n">
        <f aca="false">CF!$I$94+CF!$I$91-CF!$I$90-CF!$I$92+CF!$I$93</f>
        <v>22.3698890822841</v>
      </c>
      <c r="J95" s="38" t="n">
        <f aca="false">CF!$J$94+CF!$J$91-CF!$J$90-CF!$J$92+CF!$J$93</f>
        <v>56.0132022395256</v>
      </c>
      <c r="K95" s="38" t="n">
        <f aca="false">CF!$K$94+CF!$K$91-CF!$K$90-CF!$K$92+CF!$K$93</f>
        <v>152.832676490606</v>
      </c>
      <c r="L95" s="38" t="n">
        <f aca="false">CF!$L$94+CF!$L$91-CF!$L$90-CF!$L$92+CF!$L$93</f>
        <v>303.89958741525</v>
      </c>
      <c r="M95" s="38" t="n">
        <f aca="false">CF!$M$94+CF!$M$91-CF!$M$90-CF!$M$92+CF!$M$93</f>
        <v>481.199504832011</v>
      </c>
    </row>
    <row r="96" customFormat="false" ht="17.15" hidden="false" customHeight="false" outlineLevel="0" collapsed="false">
      <c r="A96" s="5" t="s">
        <v>797</v>
      </c>
      <c r="B96" s="0" t="s">
        <v>86</v>
      </c>
      <c r="F96" s="38" t="n">
        <f aca="false">MAX(0,min_cash-CF!$F$95)</f>
        <v>0</v>
      </c>
      <c r="G96" s="38" t="n">
        <f aca="false">CF!$F$96</f>
        <v>0</v>
      </c>
      <c r="H96" s="38" t="n">
        <f aca="false">MAX(0,min_cash-CF!$H$95)</f>
        <v>20.1677209399387</v>
      </c>
      <c r="I96" s="38" t="n">
        <f aca="false">MAX(0,min_cash-CF!$I$95)</f>
        <v>27.6301109177159</v>
      </c>
      <c r="J96" s="38" t="n">
        <f aca="false">MAX(0,min_cash-CF!$J$95)</f>
        <v>0</v>
      </c>
      <c r="K96" s="38" t="n">
        <f aca="false">MAX(0,min_cash-CF!$K$95)</f>
        <v>0</v>
      </c>
      <c r="L96" s="38" t="n">
        <f aca="false">MAX(0,min_cash-CF!$L$95)</f>
        <v>0</v>
      </c>
      <c r="M96" s="38" t="n">
        <f aca="false">MAX(0,min_cash-CF!$M$95)</f>
        <v>0</v>
      </c>
      <c r="P96" s="5" t="s">
        <v>798</v>
      </c>
    </row>
    <row r="97" customFormat="false" ht="15" hidden="false" customHeight="false" outlineLevel="0" collapsed="false">
      <c r="A97" s="5" t="s">
        <v>799</v>
      </c>
      <c r="B97" s="0" t="s">
        <v>86</v>
      </c>
      <c r="D97" s="38" t="n">
        <f aca="false">Q!$E$61</f>
        <v>123.029</v>
      </c>
      <c r="E97" s="38" t="n">
        <f aca="false">Q!$M$61</f>
        <v>122.988</v>
      </c>
      <c r="F97" s="38" t="n">
        <f aca="false">CF!$F$95+CF!$F$96</f>
        <v>89.5996865256723</v>
      </c>
      <c r="G97" s="38" t="n">
        <f aca="false">CF!$F$97</f>
        <v>89.5996865256723</v>
      </c>
      <c r="H97" s="38" t="n">
        <f aca="false">CF!$H$95+CF!$H$96</f>
        <v>50</v>
      </c>
      <c r="I97" s="38" t="n">
        <f aca="false">CF!$I$95+CF!$I$96</f>
        <v>50</v>
      </c>
      <c r="J97" s="38" t="n">
        <f aca="false">CF!$J$95+CF!$J$96</f>
        <v>56.0132022395256</v>
      </c>
      <c r="K97" s="38" t="n">
        <f aca="false">CF!$K$95+CF!$K$96</f>
        <v>152.832676490606</v>
      </c>
      <c r="L97" s="38" t="n">
        <f aca="false">CF!$L$95+CF!$L$96</f>
        <v>303.89958741525</v>
      </c>
      <c r="M97" s="38" t="n">
        <f aca="false">CF!$M$95+CF!$M$96</f>
        <v>481.199504832011</v>
      </c>
    </row>
    <row r="98" customFormat="false" ht="15" hidden="false" customHeight="false" outlineLevel="0" collapsed="false">
      <c r="A98" s="5" t="s">
        <v>800</v>
      </c>
      <c r="B98" s="0" t="s">
        <v>86</v>
      </c>
      <c r="D98" s="38" t="n">
        <f aca="false">Q!$E$62</f>
        <v>68.836</v>
      </c>
      <c r="E98" s="38" t="n">
        <f aca="false">Q!$M$62</f>
        <v>132.995</v>
      </c>
      <c r="F98" s="38" t="n">
        <f aca="false">debt_q2+CF!$F$93+CF!$F$96</f>
        <v>162.244999</v>
      </c>
      <c r="G98" s="38" t="n">
        <f aca="false">CF!$F$98</f>
        <v>162.244999</v>
      </c>
      <c r="H98" s="38" t="n">
        <f aca="false">CF!$G$98+CF!$H$96</f>
        <v>182.412719939939</v>
      </c>
      <c r="I98" s="38" t="n">
        <f aca="false">CF!$H$98+CF!$I$96</f>
        <v>210.042830857655</v>
      </c>
      <c r="J98" s="38" t="n">
        <f aca="false">CF!$I$98+CF!$J$96</f>
        <v>210.042830857655</v>
      </c>
      <c r="K98" s="38" t="n">
        <f aca="false">CF!$J$98+CF!$K$96</f>
        <v>210.042830857655</v>
      </c>
      <c r="L98" s="38" t="n">
        <f aca="false">CF!$K$98+CF!$L$96</f>
        <v>210.042830857655</v>
      </c>
      <c r="M98" s="38" t="n">
        <f aca="false">CF!$L$98+CF!$M$96</f>
        <v>210.042830857655</v>
      </c>
    </row>
    <row r="99" customFormat="false" ht="15" hidden="false" customHeight="false" outlineLevel="0" collapsed="false">
      <c r="A99" s="5" t="s">
        <v>801</v>
      </c>
      <c r="B99" s="0" t="s">
        <v>86</v>
      </c>
      <c r="D99" s="38" t="n">
        <f aca="false">CF!$D$98-CF!$D$97</f>
        <v>-54.193</v>
      </c>
      <c r="E99" s="38" t="n">
        <f aca="false">CF!$E$98-CF!$E$97</f>
        <v>10.007</v>
      </c>
      <c r="F99" s="38" t="n">
        <f aca="false">CF!$F$98-CF!$F$97</f>
        <v>72.6453124743278</v>
      </c>
      <c r="G99" s="38" t="n">
        <f aca="false">CF!$G$98-CF!$G$97</f>
        <v>72.6453124743278</v>
      </c>
      <c r="H99" s="38" t="n">
        <f aca="false">CF!$H$98-CF!$H$97</f>
        <v>132.412719939939</v>
      </c>
      <c r="I99" s="38" t="n">
        <f aca="false">CF!$I$98-CF!$I$97</f>
        <v>160.042830857655</v>
      </c>
      <c r="J99" s="38" t="n">
        <f aca="false">CF!$J$98-CF!$J$97</f>
        <v>154.029628618129</v>
      </c>
      <c r="K99" s="38" t="n">
        <f aca="false">CF!$K$98-CF!$K$97</f>
        <v>57.2101543670482</v>
      </c>
      <c r="L99" s="38" t="n">
        <f aca="false">CF!$L$98-CF!$L$97</f>
        <v>-93.8567565575951</v>
      </c>
      <c r="M99" s="38" t="n">
        <f aca="false">CF!$M$98-CF!$M$97</f>
        <v>-271.156673974356</v>
      </c>
    </row>
    <row r="100" customFormat="false" ht="17.15" hidden="false" customHeight="false" outlineLevel="0" collapsed="false">
      <c r="A100" s="5" t="s">
        <v>802</v>
      </c>
      <c r="B100" s="0" t="s">
        <v>86</v>
      </c>
      <c r="F100" s="38" t="n">
        <f aca="false">debt_q2*kd_book*0.5+iss_2h26*kd_new*iss_t</f>
        <v>3.24888962733561</v>
      </c>
      <c r="H100" s="38" t="n">
        <f aca="false">debt_q2*kd_book+(CF!$G$98-debt_q2)*kd_new</f>
        <v>7.42354172302123</v>
      </c>
      <c r="I100" s="38" t="n">
        <f aca="false">debt_q2*kd_book+(CF!$H$98-debt_q2)*kd_new</f>
        <v>8.70015845851935</v>
      </c>
      <c r="J100" s="38" t="n">
        <f aca="false">debt_q2*kd_book+(CF!$I$98-debt_q2)*kd_new</f>
        <v>10.4491444796108</v>
      </c>
      <c r="K100" s="38" t="n">
        <f aca="false">debt_q2*kd_book+(CF!$J$98-debt_q2)*kd_new</f>
        <v>10.4491444796108</v>
      </c>
      <c r="L100" s="38" t="n">
        <f aca="false">debt_q2*kd_book+(CF!$K$98-debt_q2)*kd_new</f>
        <v>10.4491444796108</v>
      </c>
      <c r="M100" s="38" t="n">
        <f aca="false">debt_q2*kd_book+(CF!$L$98-debt_q2)*kd_new</f>
        <v>10.4491444796108</v>
      </c>
    </row>
    <row r="101" customFormat="false" ht="17.15" hidden="false" customHeight="false" outlineLevel="0" collapsed="false">
      <c r="A101" s="5" t="s">
        <v>803</v>
      </c>
      <c r="B101" s="0" t="s">
        <v>86</v>
      </c>
      <c r="F101" s="38" t="n">
        <f aca="false">cash_q2*y_cash*0.5</f>
        <v>2.59</v>
      </c>
      <c r="H101" s="38" t="n">
        <f aca="false">CF!$G$97*y_cash</f>
        <v>3.77375334343987</v>
      </c>
      <c r="I101" s="38" t="n">
        <f aca="false">CF!$H$97*y_cash</f>
        <v>2.10589651022864</v>
      </c>
      <c r="J101" s="38" t="n">
        <f aca="false">CF!$I$97*y_cash</f>
        <v>2.10589651022864</v>
      </c>
      <c r="K101" s="38" t="n">
        <f aca="false">CF!$J$97*y_cash</f>
        <v>2.35916014245896</v>
      </c>
      <c r="L101" s="38" t="n">
        <f aca="false">CF!$K$97*y_cash</f>
        <v>6.43699600140942</v>
      </c>
      <c r="M101" s="38" t="n">
        <f aca="false">CF!$L$97*y_cash</f>
        <v>12.799621611954</v>
      </c>
    </row>
    <row r="102" customFormat="false" ht="17.15" hidden="false" customHeight="false" outlineLevel="0" collapsed="false">
      <c r="A102" s="47" t="s">
        <v>804</v>
      </c>
      <c r="B102" s="14" t="s">
        <v>86</v>
      </c>
      <c r="C102" s="14"/>
      <c r="D102" s="14"/>
      <c r="E102" s="14"/>
      <c r="F102" s="14"/>
      <c r="G102" s="48" t="n">
        <f aca="false">SUM(CF!$G$91:$K$91)</f>
        <v>-51.5941543670482</v>
      </c>
      <c r="H102" s="14"/>
      <c r="I102" s="14"/>
      <c r="J102" s="14"/>
      <c r="K102" s="14"/>
      <c r="L102" s="14"/>
      <c r="M102" s="14"/>
      <c r="N102" s="14"/>
      <c r="O102" s="14"/>
    </row>
    <row r="103" customFormat="false" ht="17.15" hidden="false" customHeight="false" outlineLevel="0" collapsed="false">
      <c r="A103" s="0" t="s">
        <v>770</v>
      </c>
      <c r="B103" s="0" t="s">
        <v>86</v>
      </c>
      <c r="G103" s="38" t="n">
        <f aca="false">SUM(CF!$G$96:$K$96)</f>
        <v>47.7978318576546</v>
      </c>
    </row>
    <row r="104" customFormat="false" ht="17.15" hidden="false" customHeight="false" outlineLevel="0" collapsed="false">
      <c r="A104" s="24" t="s">
        <v>809</v>
      </c>
      <c r="B104" s="25" t="s">
        <v>86</v>
      </c>
      <c r="C104" s="25"/>
      <c r="D104" s="25"/>
      <c r="E104" s="25"/>
      <c r="F104" s="25"/>
      <c r="G104" s="41" t="n">
        <f aca="false">CF!$G$102-(CF!$G$91+CF!$H$91+CF!$I$91+CF!$J$91+CF!$K$91)</f>
        <v>0</v>
      </c>
      <c r="H104" s="25"/>
      <c r="I104" s="25"/>
      <c r="J104" s="25"/>
      <c r="K104" s="25"/>
      <c r="L104" s="25"/>
      <c r="M104" s="25"/>
      <c r="N104" s="25"/>
      <c r="O10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17.15" hidden="false" customHeight="false" outlineLevel="0" collapsed="false">
      <c r="A1" s="0" t="s">
        <v>810</v>
      </c>
    </row>
    <row r="3" customFormat="false" ht="19.4" hidden="false" customHeight="false" outlineLevel="0" collapsed="false">
      <c r="A3" s="31" t="s">
        <v>811</v>
      </c>
    </row>
    <row r="4" customFormat="false" ht="17.15" hidden="false" customHeight="false" outlineLevel="0" collapsed="false">
      <c r="A4" s="6" t="s">
        <v>16</v>
      </c>
      <c r="B4" s="20" t="s">
        <v>764</v>
      </c>
      <c r="C4" s="20" t="s">
        <v>765</v>
      </c>
      <c r="D4" s="20" t="s">
        <v>766</v>
      </c>
      <c r="E4" s="6" t="s">
        <v>23</v>
      </c>
    </row>
    <row r="5" customFormat="false" ht="17.15" hidden="false" customHeight="false" outlineLevel="0" collapsed="false">
      <c r="A5" s="0" t="s">
        <v>812</v>
      </c>
      <c r="B5" s="38" t="n">
        <f aca="false">Val!$C$110</f>
        <v>205.642582438018</v>
      </c>
      <c r="C5" s="38" t="n">
        <f aca="false">Val!$C$157</f>
        <v>139.297834242404</v>
      </c>
      <c r="D5" s="38" t="n">
        <f aca="false">Val!$C$204</f>
        <v>118.729987132669</v>
      </c>
      <c r="E5" s="8" t="s">
        <v>813</v>
      </c>
    </row>
    <row r="6" customFormat="false" ht="17.15" hidden="false" customHeight="false" outlineLevel="0" collapsed="false">
      <c r="A6" s="0" t="s">
        <v>814</v>
      </c>
      <c r="B6" s="38" t="n">
        <f aca="false">Val!$C$131</f>
        <v>324.90982991001</v>
      </c>
      <c r="C6" s="38" t="n">
        <f aca="false">Val!$C$178</f>
        <v>259.603560091077</v>
      </c>
      <c r="D6" s="38" t="n">
        <f aca="false">Val!$C$225</f>
        <v>239.220216128625</v>
      </c>
      <c r="E6" s="5" t="s">
        <v>815</v>
      </c>
    </row>
    <row r="7" customFormat="false" ht="17.15" hidden="false" customHeight="false" outlineLevel="0" collapsed="false">
      <c r="A7" s="5" t="s">
        <v>816</v>
      </c>
      <c r="B7" s="48" t="n">
        <f aca="false">Val!$C$132</f>
        <v>265.276206174014</v>
      </c>
      <c r="C7" s="48" t="n">
        <f aca="false">Val!$C$179</f>
        <v>199.45069716674</v>
      </c>
      <c r="D7" s="48" t="n">
        <f aca="false">Val!$C$226</f>
        <v>178.975101630647</v>
      </c>
    </row>
    <row r="8" customFormat="false" ht="17.15" hidden="false" customHeight="false" outlineLevel="0" collapsed="false">
      <c r="A8" s="5" t="s">
        <v>817</v>
      </c>
      <c r="B8" s="13" t="n">
        <f aca="false">Val!$C$105</f>
        <v>0.738219055606699</v>
      </c>
      <c r="C8" s="13" t="n">
        <f aca="false">Val!$C$152</f>
        <v>0.787344680334726</v>
      </c>
      <c r="D8" s="13" t="n">
        <f aca="false">Val!$C$199</f>
        <v>0.816244176209081</v>
      </c>
    </row>
    <row r="9" customFormat="false" ht="15" hidden="false" customHeight="false" outlineLevel="0" collapsed="false">
      <c r="A9" s="5" t="s">
        <v>818</v>
      </c>
      <c r="B9" s="35" t="n">
        <f aca="false">w_A</f>
        <v>0.25</v>
      </c>
      <c r="C9" s="35" t="n">
        <f aca="false">w_B</f>
        <v>0.5</v>
      </c>
      <c r="D9" s="35" t="n">
        <f aca="false">w_C</f>
        <v>0.25</v>
      </c>
    </row>
    <row r="10" customFormat="false" ht="17.15" hidden="false" customHeight="false" outlineLevel="0" collapsed="false">
      <c r="A10" s="0" t="s">
        <v>819</v>
      </c>
      <c r="B10" s="13" t="n">
        <f aca="false">PL!$I$53</f>
        <v>0.435607682396552</v>
      </c>
      <c r="C10" s="13" t="n">
        <f aca="false">PL!$I$123</f>
        <v>0.346606134604193</v>
      </c>
      <c r="D10" s="13" t="n">
        <f aca="false">PL!$I$193</f>
        <v>0.313016100672469</v>
      </c>
      <c r="E10" s="5" t="s">
        <v>820</v>
      </c>
    </row>
    <row r="11" customFormat="false" ht="17.15" hidden="false" customHeight="false" outlineLevel="0" collapsed="false">
      <c r="A11" s="0" t="s">
        <v>821</v>
      </c>
      <c r="B11" s="46" t="n">
        <f aca="false">CF!$I$29</f>
        <v>19.2646511397182</v>
      </c>
      <c r="C11" s="46" t="n">
        <f aca="false">CF!$I$60</f>
        <v>-15.5451348078424</v>
      </c>
      <c r="D11" s="46" t="n">
        <f aca="false">CF!$I$91</f>
        <v>-27.6301109177159</v>
      </c>
      <c r="E11" s="5" t="s">
        <v>822</v>
      </c>
    </row>
    <row r="12" customFormat="false" ht="17.15" hidden="false" customHeight="false" outlineLevel="0" collapsed="false">
      <c r="A12" s="0" t="s">
        <v>823</v>
      </c>
      <c r="B12" s="13" t="n">
        <f aca="false">Thesis!$I$56</f>
        <v>0.160907075308678</v>
      </c>
      <c r="C12" s="13" t="n">
        <f aca="false">Thesis!$I$114</f>
        <v>0.0656831488051666</v>
      </c>
      <c r="D12" s="13" t="n">
        <f aca="false">Thesis!$I$172</f>
        <v>0.0358186710480674</v>
      </c>
      <c r="E12" s="5" t="s">
        <v>824</v>
      </c>
    </row>
    <row r="13" customFormat="false" ht="15" hidden="false" customHeight="false" outlineLevel="0" collapsed="false">
      <c r="A13" s="0" t="s">
        <v>825</v>
      </c>
      <c r="B13" s="30" t="n">
        <f aca="false">PL!$I$76</f>
        <v>15.8327891579474</v>
      </c>
      <c r="C13" s="30" t="n">
        <f aca="false">PL!$I$146</f>
        <v>12.4064954399249</v>
      </c>
      <c r="D13" s="30" t="n">
        <f aca="false">PL!$I$216</f>
        <v>11.3623071279543</v>
      </c>
    </row>
    <row r="14" customFormat="false" ht="17.15" hidden="false" customHeight="false" outlineLevel="0" collapsed="false">
      <c r="A14" s="5" t="s">
        <v>826</v>
      </c>
      <c r="B14" s="46" t="n">
        <f aca="false">CF!$G$40</f>
        <v>192.924497963814</v>
      </c>
      <c r="C14" s="46" t="n">
        <f aca="false">CF!$G$71</f>
        <v>10.1939914156684</v>
      </c>
      <c r="D14" s="46" t="n">
        <f aca="false">CF!$G$102</f>
        <v>-51.5941543670482</v>
      </c>
      <c r="E14" s="8" t="s">
        <v>827</v>
      </c>
    </row>
    <row r="16" customFormat="false" ht="15" hidden="false" customHeight="false" outlineLevel="0" collapsed="false">
      <c r="A16" s="6" t="s">
        <v>16</v>
      </c>
      <c r="B16" s="6" t="s">
        <v>828</v>
      </c>
      <c r="E16" s="6" t="s">
        <v>23</v>
      </c>
    </row>
    <row r="17" customFormat="false" ht="17.15" hidden="false" customHeight="false" outlineLevel="0" collapsed="false">
      <c r="A17" s="0" t="s">
        <v>829</v>
      </c>
      <c r="B17" s="38" t="n">
        <f aca="false">w_A*B5+w_B*C5+w_C*D5</f>
        <v>150.742059513874</v>
      </c>
    </row>
    <row r="18" customFormat="false" ht="17.15" hidden="false" customHeight="false" outlineLevel="0" collapsed="false">
      <c r="A18" s="0" t="s">
        <v>830</v>
      </c>
      <c r="B18" s="38" t="n">
        <f aca="false">w_A*B6+w_B*C6+w_C*D6</f>
        <v>270.834291555197</v>
      </c>
      <c r="E18" s="5" t="s">
        <v>831</v>
      </c>
    </row>
    <row r="19" customFormat="false" ht="17.15" hidden="false" customHeight="false" outlineLevel="0" collapsed="false">
      <c r="A19" s="15" t="s">
        <v>832</v>
      </c>
      <c r="B19" s="48" t="n">
        <f aca="false">w_dcf*B17+(1-w_dcf)*B18</f>
        <v>210.788175534535</v>
      </c>
      <c r="E19" s="5" t="s">
        <v>833</v>
      </c>
    </row>
    <row r="20" customFormat="false" ht="17.15" hidden="false" customHeight="false" outlineLevel="0" collapsed="false">
      <c r="A20" s="5" t="s">
        <v>834</v>
      </c>
      <c r="B20" s="38" t="n">
        <f aca="false">px</f>
        <v>249.09</v>
      </c>
      <c r="E20" s="8" t="s">
        <v>835</v>
      </c>
    </row>
    <row r="21" customFormat="false" ht="15" hidden="false" customHeight="false" outlineLevel="0" collapsed="false">
      <c r="A21" s="15" t="s">
        <v>836</v>
      </c>
      <c r="B21" s="17" t="n">
        <f aca="false">B19/px-1</f>
        <v>-0.153767009777449</v>
      </c>
    </row>
    <row r="22" customFormat="false" ht="17.15" hidden="false" customHeight="false" outlineLevel="0" collapsed="false">
      <c r="A22" s="5" t="s">
        <v>837</v>
      </c>
      <c r="B22" s="13" t="n">
        <f aca="false">B18/px-1</f>
        <v>0.0872949197285999</v>
      </c>
    </row>
    <row r="23" customFormat="false" ht="17.15" hidden="false" customHeight="false" outlineLevel="0" collapsed="false">
      <c r="A23" s="5" t="s">
        <v>838</v>
      </c>
      <c r="B23" s="49" t="str">
        <f aca="false">IF(B21&gt;=0.5,"大於 50%",IF(B21&gt;=0.25,"25%–50%",IF(B21&gt;=0,"0%–25%",IF(B21&gt;-0.25,"0%～−25%",IF(B21&gt;-0.5,"−25%～−50%","小於 −50%")))))</f>
        <v>0%～−25%</v>
      </c>
    </row>
    <row r="24" customFormat="false" ht="17.15" hidden="false" customHeight="false" outlineLevel="0" collapsed="false">
      <c r="A24" s="15" t="s">
        <v>839</v>
      </c>
      <c r="B24" s="50" t="str">
        <f aca="false">IF(B21&gt;=0.5,"強力買進",IF(B21&gt;=0.25,"買進",IF(B21&gt;-0.25,"中立",IF(B21&gt;-0.5,"放空","強力放空"))))</f>
        <v>中立</v>
      </c>
      <c r="E24" s="5" t="s">
        <v>840</v>
      </c>
    </row>
    <row r="25" customFormat="false" ht="17.15" hidden="false" customHeight="false" outlineLevel="0" collapsed="false">
      <c r="A25" s="5" t="s">
        <v>841</v>
      </c>
      <c r="B25" s="38" t="n">
        <f aca="false">cons_tp</f>
        <v>332.24</v>
      </c>
      <c r="E25" s="8" t="s">
        <v>842</v>
      </c>
    </row>
    <row r="26" customFormat="false" ht="15" hidden="false" customHeight="false" outlineLevel="0" collapsed="false">
      <c r="A26" s="5" t="s">
        <v>843</v>
      </c>
      <c r="B26" s="13" t="n">
        <f aca="false">B25/px-1</f>
        <v>0.333815086916376</v>
      </c>
    </row>
    <row r="27" customFormat="false" ht="17.15" hidden="false" customHeight="false" outlineLevel="0" collapsed="false">
      <c r="A27" s="5" t="s">
        <v>844</v>
      </c>
      <c r="B27" s="38" t="n">
        <f aca="false">D5</f>
        <v>118.729987132669</v>
      </c>
    </row>
    <row r="28" customFormat="false" ht="17.15" hidden="false" customHeight="false" outlineLevel="0" collapsed="false">
      <c r="A28" s="5" t="s">
        <v>845</v>
      </c>
      <c r="B28" s="49" t="str">
        <f aca="false">TEXT(D5,"#,##0")&amp;"～"&amp;TEXT(B5,"#,##0")</f>
        <v>119～206</v>
      </c>
      <c r="E28" s="8" t="s">
        <v>846</v>
      </c>
    </row>
    <row r="29" customFormat="false" ht="17.15" hidden="false" customHeight="false" outlineLevel="0" collapsed="false">
      <c r="A29" s="5" t="s">
        <v>847</v>
      </c>
      <c r="B29" s="46" t="n">
        <f aca="false">CF!E6</f>
        <v>40.4295816070256</v>
      </c>
    </row>
    <row r="30" customFormat="false" ht="17.15" hidden="false" customHeight="false" outlineLevel="0" collapsed="false">
      <c r="A30" s="0" t="s">
        <v>848</v>
      </c>
      <c r="B30" s="28" t="n">
        <f aca="false">wacc</f>
        <v>0.113297422795535</v>
      </c>
      <c r="C30" s="28" t="n">
        <f aca="false">ke</f>
        <v>0.11720225</v>
      </c>
      <c r="D30" s="28" t="n">
        <f aca="false">tg</f>
        <v>0.03</v>
      </c>
    </row>
    <row r="31" customFormat="false" ht="17.15" hidden="false" customHeight="false" outlineLevel="0" collapsed="false">
      <c r="A31" s="5" t="s">
        <v>849</v>
      </c>
      <c r="B31" s="0" t="s">
        <v>850</v>
      </c>
    </row>
    <row r="32" customFormat="false" ht="17.15" hidden="false" customHeight="false" outlineLevel="0" collapsed="false">
      <c r="A32" s="5" t="s">
        <v>851</v>
      </c>
      <c r="B32" s="30" t="n">
        <f aca="false">Sens!B50</f>
        <v>243.589215666423</v>
      </c>
      <c r="C32" s="30" t="n">
        <f aca="false">Sens!B51</f>
        <v>178.260016305072</v>
      </c>
      <c r="D32" s="30" t="n">
        <f aca="false">Sens!B52</f>
        <v>157.784420768978</v>
      </c>
      <c r="E32" s="8" t="s">
        <v>852</v>
      </c>
    </row>
    <row r="33" customFormat="false" ht="17.15" hidden="false" customHeight="false" outlineLevel="0" collapsed="false">
      <c r="A33" s="5" t="s">
        <v>853</v>
      </c>
      <c r="B33" s="30" t="n">
        <f aca="false">w_A*B32+w_B*C32+w_C*D32</f>
        <v>189.473417261386</v>
      </c>
    </row>
    <row r="34" customFormat="false" ht="17.15" hidden="false" customHeight="false" outlineLevel="0" collapsed="false">
      <c r="A34" s="5" t="s">
        <v>854</v>
      </c>
      <c r="B34" s="13" t="n">
        <f aca="false">B33/px-1</f>
        <v>-0.239337519525529</v>
      </c>
    </row>
    <row r="35" customFormat="false" ht="17.15" hidden="false" customHeight="false" outlineLevel="0" collapsed="false">
      <c r="A35" s="5" t="s">
        <v>855</v>
      </c>
      <c r="B35" s="0" t="str">
        <f aca="false">IF(B34&gt;=0.5,"強力買進",IF(B34&gt;=0.25,"買進",IF(B34&gt;-0.25,"中立",IF(B34&gt;-0.5,"放空","強力放空"))))</f>
        <v>中立</v>
      </c>
    </row>
    <row r="36" customFormat="false" ht="17.15" hidden="false" customHeight="false" outlineLevel="0" collapsed="false">
      <c r="A36" s="5" t="s">
        <v>856</v>
      </c>
      <c r="B36" s="51" t="n">
        <f aca="false">internal_ai_reading</f>
        <v>2</v>
      </c>
      <c r="E36" s="8" t="s">
        <v>857</v>
      </c>
    </row>
    <row r="40" customFormat="false" ht="17.15" hidden="false" customHeight="false" outlineLevel="0" collapsed="false">
      <c r="A40" s="3" t="s">
        <v>858</v>
      </c>
    </row>
    <row r="41" customFormat="false" ht="15" hidden="false" customHeight="false" outlineLevel="0" collapsed="false">
      <c r="A41" s="6" t="s">
        <v>859</v>
      </c>
      <c r="B41" s="6" t="s">
        <v>860</v>
      </c>
      <c r="C41" s="20" t="s">
        <v>861</v>
      </c>
      <c r="D41" s="6" t="s">
        <v>862</v>
      </c>
      <c r="E41" s="6" t="s">
        <v>22</v>
      </c>
      <c r="F41" s="6" t="s">
        <v>21</v>
      </c>
    </row>
    <row r="42" customFormat="false" ht="15" hidden="false" customHeight="false" outlineLevel="0" collapsed="false">
      <c r="A42" s="0" t="s">
        <v>863</v>
      </c>
      <c r="B42" s="0" t="s">
        <v>864</v>
      </c>
      <c r="C42" s="52" t="n">
        <v>17.72</v>
      </c>
      <c r="D42" s="5" t="s">
        <v>865</v>
      </c>
      <c r="E42" s="8" t="s">
        <v>866</v>
      </c>
      <c r="F42" s="8" t="s">
        <v>41</v>
      </c>
    </row>
    <row r="43" customFormat="false" ht="15" hidden="false" customHeight="false" outlineLevel="0" collapsed="false">
      <c r="A43" s="0" t="s">
        <v>867</v>
      </c>
      <c r="B43" s="0" t="s">
        <v>868</v>
      </c>
      <c r="C43" s="52" t="n">
        <v>25.33</v>
      </c>
      <c r="D43" s="5" t="s">
        <v>865</v>
      </c>
      <c r="E43" s="8" t="s">
        <v>866</v>
      </c>
      <c r="F43" s="8" t="s">
        <v>41</v>
      </c>
    </row>
    <row r="44" customFormat="false" ht="15" hidden="false" customHeight="false" outlineLevel="0" collapsed="false">
      <c r="A44" s="0" t="s">
        <v>869</v>
      </c>
      <c r="B44" s="0" t="s">
        <v>870</v>
      </c>
      <c r="C44" s="52" t="n">
        <v>8.77</v>
      </c>
      <c r="D44" s="5" t="s">
        <v>865</v>
      </c>
      <c r="E44" s="8" t="s">
        <v>866</v>
      </c>
      <c r="F44" s="8" t="s">
        <v>41</v>
      </c>
    </row>
    <row r="45" customFormat="false" ht="17.15" hidden="false" customHeight="false" outlineLevel="0" collapsed="false">
      <c r="A45" s="0" t="s">
        <v>871</v>
      </c>
      <c r="B45" s="0" t="s">
        <v>872</v>
      </c>
      <c r="C45" s="52" t="n">
        <v>10.79</v>
      </c>
      <c r="D45" s="5" t="s">
        <v>873</v>
      </c>
      <c r="E45" s="8" t="s">
        <v>874</v>
      </c>
      <c r="F45" s="8" t="s">
        <v>41</v>
      </c>
    </row>
    <row r="46" customFormat="false" ht="17.15" hidden="false" customHeight="false" outlineLevel="0" collapsed="false">
      <c r="A46" s="0" t="s">
        <v>875</v>
      </c>
      <c r="B46" s="0" t="s">
        <v>876</v>
      </c>
      <c r="C46" s="52" t="n">
        <v>6.91</v>
      </c>
      <c r="D46" s="5" t="s">
        <v>873</v>
      </c>
      <c r="E46" s="8" t="s">
        <v>874</v>
      </c>
      <c r="F46" s="8" t="s">
        <v>41</v>
      </c>
    </row>
    <row r="47" customFormat="false" ht="17.15" hidden="false" customHeight="false" outlineLevel="0" collapsed="false">
      <c r="A47" s="0" t="s">
        <v>877</v>
      </c>
      <c r="B47" s="0" t="s">
        <v>878</v>
      </c>
      <c r="C47" s="52" t="n">
        <v>6.53</v>
      </c>
      <c r="D47" s="5" t="s">
        <v>873</v>
      </c>
      <c r="E47" s="8" t="s">
        <v>874</v>
      </c>
      <c r="F47" s="8" t="s">
        <v>41</v>
      </c>
    </row>
    <row r="48" customFormat="false" ht="17.15" hidden="false" customHeight="false" outlineLevel="0" collapsed="false">
      <c r="A48" s="0" t="s">
        <v>879</v>
      </c>
      <c r="B48" s="0" t="s">
        <v>880</v>
      </c>
      <c r="C48" s="52" t="n">
        <v>11.38</v>
      </c>
      <c r="D48" s="5" t="s">
        <v>873</v>
      </c>
      <c r="E48" s="8" t="s">
        <v>874</v>
      </c>
      <c r="F48" s="8" t="s">
        <v>41</v>
      </c>
    </row>
    <row r="49" customFormat="false" ht="17.15" hidden="false" customHeight="false" outlineLevel="0" collapsed="false">
      <c r="A49" s="0" t="s">
        <v>881</v>
      </c>
      <c r="B49" s="0" t="s">
        <v>882</v>
      </c>
      <c r="C49" s="52" t="n">
        <v>13.63</v>
      </c>
      <c r="D49" s="5" t="s">
        <v>873</v>
      </c>
      <c r="E49" s="8" t="s">
        <v>874</v>
      </c>
      <c r="F49" s="8" t="s">
        <v>41</v>
      </c>
    </row>
    <row r="50" customFormat="false" ht="17.15" hidden="false" customHeight="false" outlineLevel="0" collapsed="false">
      <c r="A50" s="0" t="s">
        <v>883</v>
      </c>
      <c r="B50" s="0" t="s">
        <v>884</v>
      </c>
      <c r="C50" s="52" t="n">
        <v>7.43</v>
      </c>
      <c r="D50" s="5" t="s">
        <v>873</v>
      </c>
      <c r="E50" s="8" t="s">
        <v>874</v>
      </c>
      <c r="F50" s="8" t="s">
        <v>41</v>
      </c>
    </row>
    <row r="51" customFormat="false" ht="17.15" hidden="false" customHeight="false" outlineLevel="0" collapsed="false">
      <c r="A51" s="0" t="s">
        <v>885</v>
      </c>
      <c r="B51" s="0" t="s">
        <v>886</v>
      </c>
      <c r="C51" s="52" t="n">
        <v>9.49</v>
      </c>
      <c r="D51" s="5" t="s">
        <v>887</v>
      </c>
      <c r="E51" s="8" t="s">
        <v>888</v>
      </c>
      <c r="F51" s="8" t="s">
        <v>41</v>
      </c>
    </row>
    <row r="52" customFormat="false" ht="17.15" hidden="false" customHeight="false" outlineLevel="0" collapsed="false">
      <c r="A52" s="0" t="s">
        <v>889</v>
      </c>
      <c r="B52" s="0" t="s">
        <v>889</v>
      </c>
      <c r="C52" s="52" t="n">
        <v>12.51</v>
      </c>
      <c r="D52" s="5" t="s">
        <v>887</v>
      </c>
      <c r="E52" s="8" t="s">
        <v>888</v>
      </c>
      <c r="F52" s="8" t="s">
        <v>41</v>
      </c>
    </row>
    <row r="53" customFormat="false" ht="17.15" hidden="false" customHeight="false" outlineLevel="0" collapsed="false">
      <c r="A53" s="0" t="s">
        <v>890</v>
      </c>
      <c r="B53" s="0" t="s">
        <v>890</v>
      </c>
      <c r="C53" s="52" t="n">
        <v>15.13</v>
      </c>
      <c r="D53" s="5" t="s">
        <v>887</v>
      </c>
      <c r="E53" s="8" t="s">
        <v>888</v>
      </c>
      <c r="F53" s="8" t="s">
        <v>41</v>
      </c>
    </row>
    <row r="54" customFormat="false" ht="17.15" hidden="false" customHeight="false" outlineLevel="0" collapsed="false">
      <c r="A54" s="0" t="s">
        <v>891</v>
      </c>
      <c r="B54" s="0" t="s">
        <v>892</v>
      </c>
      <c r="C54" s="52" t="n">
        <v>10.81</v>
      </c>
      <c r="D54" s="5" t="s">
        <v>887</v>
      </c>
      <c r="E54" s="8" t="s">
        <v>888</v>
      </c>
      <c r="F54" s="8" t="s">
        <v>41</v>
      </c>
    </row>
    <row r="55" customFormat="false" ht="17.15" hidden="false" customHeight="false" outlineLevel="0" collapsed="false">
      <c r="A55" s="0" t="s">
        <v>893</v>
      </c>
      <c r="B55" s="0" t="s">
        <v>894</v>
      </c>
      <c r="C55" s="52" t="n">
        <v>20.63</v>
      </c>
      <c r="D55" s="5" t="s">
        <v>887</v>
      </c>
      <c r="E55" s="8" t="s">
        <v>888</v>
      </c>
      <c r="F55" s="8" t="s">
        <v>41</v>
      </c>
    </row>
    <row r="56" customFormat="false" ht="17.15" hidden="false" customHeight="false" outlineLevel="0" collapsed="false">
      <c r="A56" s="0" t="s">
        <v>895</v>
      </c>
      <c r="B56" s="0" t="s">
        <v>896</v>
      </c>
      <c r="C56" s="52" t="n">
        <v>9.7</v>
      </c>
      <c r="D56" s="5" t="s">
        <v>887</v>
      </c>
      <c r="E56" s="8" t="s">
        <v>888</v>
      </c>
      <c r="F56" s="8" t="s">
        <v>41</v>
      </c>
    </row>
    <row r="57" customFormat="false" ht="17.15" hidden="false" customHeight="false" outlineLevel="0" collapsed="false">
      <c r="A57" s="0" t="s">
        <v>897</v>
      </c>
      <c r="B57" s="0" t="s">
        <v>898</v>
      </c>
      <c r="C57" s="52" t="n">
        <v>21.2</v>
      </c>
      <c r="D57" s="5" t="s">
        <v>887</v>
      </c>
      <c r="E57" s="8" t="s">
        <v>888</v>
      </c>
      <c r="F57" s="8" t="s">
        <v>41</v>
      </c>
    </row>
    <row r="58" customFormat="false" ht="17.15" hidden="false" customHeight="false" outlineLevel="0" collapsed="false">
      <c r="A58" s="0" t="s">
        <v>899</v>
      </c>
      <c r="B58" s="0" t="s">
        <v>900</v>
      </c>
      <c r="C58" s="52" t="n">
        <v>24.49</v>
      </c>
      <c r="D58" s="5" t="s">
        <v>887</v>
      </c>
      <c r="E58" s="8" t="s">
        <v>888</v>
      </c>
      <c r="F58" s="8" t="s">
        <v>41</v>
      </c>
    </row>
    <row r="59" customFormat="false" ht="17.15" hidden="false" customHeight="false" outlineLevel="0" collapsed="false">
      <c r="A59" s="3" t="s">
        <v>901</v>
      </c>
      <c r="C59" s="30" t="n">
        <f aca="false">MEDIAN(C42:C44)</f>
        <v>17.72</v>
      </c>
      <c r="D59" s="8" t="s">
        <v>902</v>
      </c>
    </row>
    <row r="60" customFormat="false" ht="17.15" hidden="false" customHeight="false" outlineLevel="0" collapsed="false">
      <c r="A60" s="3" t="s">
        <v>903</v>
      </c>
      <c r="C60" s="30" t="n">
        <f aca="false">MEDIAN(C45:C50)</f>
        <v>9.11</v>
      </c>
      <c r="D60" s="8" t="s">
        <v>904</v>
      </c>
    </row>
    <row r="61" customFormat="false" ht="17.15" hidden="false" customHeight="false" outlineLevel="0" collapsed="false">
      <c r="A61" s="3" t="s">
        <v>905</v>
      </c>
      <c r="C61" s="30" t="n">
        <f aca="false">MEDIAN(C51:C58)</f>
        <v>13.82</v>
      </c>
      <c r="D61" s="8" t="s">
        <v>906</v>
      </c>
    </row>
    <row r="62" customFormat="false" ht="17.15" hidden="false" customHeight="false" outlineLevel="0" collapsed="false">
      <c r="A62" s="0" t="s">
        <v>907</v>
      </c>
    </row>
    <row r="90" customFormat="false" ht="19.4" hidden="false" customHeight="false" outlineLevel="0" collapsed="false">
      <c r="A90" s="31" t="s">
        <v>908</v>
      </c>
    </row>
    <row r="91" customFormat="false" ht="17.15" hidden="false" customHeight="false" outlineLevel="0" collapsed="false">
      <c r="A91" s="6" t="s">
        <v>16</v>
      </c>
      <c r="B91" s="6" t="s">
        <v>17</v>
      </c>
      <c r="C91" s="20" t="s">
        <v>494</v>
      </c>
      <c r="D91" s="20" t="s">
        <v>495</v>
      </c>
      <c r="E91" s="20" t="s">
        <v>577</v>
      </c>
      <c r="F91" s="20" t="s">
        <v>578</v>
      </c>
      <c r="G91" s="20" t="s">
        <v>579</v>
      </c>
      <c r="H91" s="20" t="s">
        <v>580</v>
      </c>
      <c r="I91" s="20" t="s">
        <v>581</v>
      </c>
      <c r="J91" s="20" t="s">
        <v>582</v>
      </c>
      <c r="K91" s="20" t="s">
        <v>583</v>
      </c>
      <c r="L91" s="20" t="s">
        <v>584</v>
      </c>
      <c r="M91" s="20" t="s">
        <v>585</v>
      </c>
      <c r="N91" s="20" t="s">
        <v>586</v>
      </c>
      <c r="O91" s="20" t="s">
        <v>587</v>
      </c>
      <c r="P91" s="6" t="s">
        <v>23</v>
      </c>
      <c r="R91" s="20" t="n">
        <v>2023</v>
      </c>
      <c r="S91" s="20" t="n">
        <v>2024</v>
      </c>
      <c r="T91" s="20" t="n">
        <v>2025</v>
      </c>
      <c r="U91" s="20" t="n">
        <v>2026</v>
      </c>
      <c r="V91" s="20" t="n">
        <v>2027</v>
      </c>
      <c r="W91" s="20" t="n">
        <v>2028</v>
      </c>
      <c r="X91" s="20" t="n">
        <v>2029</v>
      </c>
      <c r="Y91" s="20" t="n">
        <v>2030</v>
      </c>
      <c r="Z91" s="20" t="n">
        <v>2031</v>
      </c>
      <c r="AA91" s="20" t="n">
        <v>2032</v>
      </c>
    </row>
    <row r="92" customFormat="false" ht="17.15" hidden="false" customHeight="false" outlineLevel="0" collapsed="false">
      <c r="A92" s="1" t="s">
        <v>909</v>
      </c>
    </row>
    <row r="93" customFormat="false" ht="17.15" hidden="false" customHeight="false" outlineLevel="0" collapsed="false">
      <c r="A93" s="0" t="s">
        <v>910</v>
      </c>
      <c r="B93" s="0" t="s">
        <v>86</v>
      </c>
      <c r="H93" s="38" t="n">
        <f aca="false">PL!$H$50*(1-tax)</f>
        <v>135.867126634826</v>
      </c>
      <c r="I93" s="38" t="n">
        <f aca="false">PL!$I$50*(1-tax)</f>
        <v>180.15284847934</v>
      </c>
      <c r="J93" s="38" t="n">
        <f aca="false">PL!$J$50*(1-tax)</f>
        <v>223.279180498845</v>
      </c>
      <c r="K93" s="38" t="n">
        <f aca="false">PL!$K$50*(1-tax)</f>
        <v>256.600392065004</v>
      </c>
      <c r="L93" s="38" t="n">
        <f aca="false">PL!$L$50*(1-tax)</f>
        <v>282.619954418805</v>
      </c>
      <c r="M93" s="38" t="n">
        <f aca="false">PL!$M$50*(1-tax)</f>
        <v>300.403689276249</v>
      </c>
    </row>
    <row r="94" customFormat="false" ht="15" hidden="false" customHeight="false" outlineLevel="0" collapsed="false">
      <c r="A94" s="5" t="s">
        <v>911</v>
      </c>
      <c r="B94" s="0" t="s">
        <v>86</v>
      </c>
      <c r="H94" s="38" t="n">
        <f aca="false">PL!$H$61</f>
        <v>84.5749885561059</v>
      </c>
      <c r="I94" s="38" t="n">
        <f aca="false">PL!$I$61</f>
        <v>118.042122158798</v>
      </c>
      <c r="J94" s="38" t="n">
        <f aca="false">PL!$J$61</f>
        <v>152.27209015198</v>
      </c>
      <c r="K94" s="38" t="n">
        <f aca="false">PL!$K$61</f>
        <v>186.733654532054</v>
      </c>
      <c r="L94" s="38" t="n">
        <f aca="false">PL!$L$61</f>
        <v>210.853295700971</v>
      </c>
      <c r="M94" s="38" t="n">
        <f aca="false">PL!$M$61</f>
        <v>227.394136298658</v>
      </c>
    </row>
    <row r="95" customFormat="false" ht="15" hidden="false" customHeight="false" outlineLevel="0" collapsed="false">
      <c r="A95" s="5" t="s">
        <v>912</v>
      </c>
      <c r="B95" s="0" t="s">
        <v>86</v>
      </c>
      <c r="H95" s="38" t="n">
        <f aca="false">CF!$H$24</f>
        <v>278.581795301974</v>
      </c>
      <c r="I95" s="38" t="n">
        <f aca="false">CF!$I$24</f>
        <v>292.338665274331</v>
      </c>
      <c r="J95" s="38" t="n">
        <f aca="false">CF!$J$24</f>
        <v>304.657359365825</v>
      </c>
      <c r="K95" s="38" t="n">
        <f aca="false">CF!$K$24</f>
        <v>254.725844303159</v>
      </c>
      <c r="L95" s="38" t="n">
        <f aca="false">CF!$L$24</f>
        <v>236.691894970589</v>
      </c>
      <c r="M95" s="38" t="n">
        <f aca="false">CF!$M$24</f>
        <v>244.766684314655</v>
      </c>
    </row>
    <row r="96" customFormat="false" ht="15" hidden="false" customHeight="false" outlineLevel="0" collapsed="false">
      <c r="A96" s="5" t="s">
        <v>913</v>
      </c>
      <c r="B96" s="0" t="s">
        <v>86</v>
      </c>
      <c r="H96" s="38" t="n">
        <f aca="false">CF!$H$25</f>
        <v>1.6</v>
      </c>
      <c r="I96" s="38" t="n">
        <f aca="false">CF!$I$25</f>
        <v>1.6</v>
      </c>
      <c r="J96" s="38" t="n">
        <f aca="false">CF!$J$25</f>
        <v>1.6</v>
      </c>
      <c r="K96" s="38" t="n">
        <f aca="false">CF!$K$25</f>
        <v>1.6</v>
      </c>
      <c r="L96" s="38" t="n">
        <f aca="false">CF!$L$25</f>
        <v>1.6</v>
      </c>
      <c r="M96" s="38" t="n">
        <f aca="false">CF!$M$25</f>
        <v>1.6</v>
      </c>
    </row>
    <row r="97" customFormat="false" ht="15" hidden="false" customHeight="false" outlineLevel="0" collapsed="false">
      <c r="A97" s="5" t="s">
        <v>914</v>
      </c>
      <c r="B97" s="0" t="s">
        <v>86</v>
      </c>
      <c r="H97" s="38" t="n">
        <f aca="false">CF!$H$19</f>
        <v>11.5302302906657</v>
      </c>
      <c r="I97" s="38" t="n">
        <f aca="false">CF!$I$19</f>
        <v>13.3265464583159</v>
      </c>
      <c r="J97" s="38" t="n">
        <f aca="false">CF!$J$19</f>
        <v>15.0594614888667</v>
      </c>
      <c r="K97" s="38" t="n">
        <f aca="false">CF!$K$19</f>
        <v>16.571667547091</v>
      </c>
      <c r="L97" s="38" t="n">
        <f aca="false">CF!$L$19</f>
        <v>17.9158954694828</v>
      </c>
      <c r="M97" s="38" t="n">
        <f aca="false">CF!$M$19</f>
        <v>19.0962377272457</v>
      </c>
    </row>
    <row r="98" customFormat="false" ht="17.15" hidden="false" customHeight="false" outlineLevel="0" collapsed="false">
      <c r="A98" s="1" t="s">
        <v>915</v>
      </c>
      <c r="B98" s="8" t="s">
        <v>86</v>
      </c>
      <c r="H98" s="38" t="n">
        <f aca="false">Val!$H$93+Val!$H$94-Val!$H$95-Val!$H$96+Val!$H$97</f>
        <v>-48.2094498203761</v>
      </c>
      <c r="I98" s="38" t="n">
        <f aca="false">Val!$I$93+Val!$I$94-Val!$I$95-Val!$I$96+Val!$I$97</f>
        <v>17.5828518221228</v>
      </c>
      <c r="J98" s="38" t="n">
        <f aca="false">Val!$J$93+Val!$J$94-Val!$J$95-Val!$J$96+Val!$J$97</f>
        <v>84.353372773866</v>
      </c>
      <c r="K98" s="38" t="n">
        <f aca="false">Val!$K$93+Val!$K$94-Val!$K$95-Val!$K$96+Val!$K$97</f>
        <v>203.57986984099</v>
      </c>
      <c r="L98" s="38" t="n">
        <f aca="false">Val!$L$93+Val!$L$94-Val!$L$95-Val!$L$96+Val!$L$97</f>
        <v>273.09725061867</v>
      </c>
      <c r="M98" s="38" t="n">
        <f aca="false">Val!$M$93+Val!$M$94-Val!$M$95-Val!$M$96+Val!$M$97</f>
        <v>300.527378987498</v>
      </c>
    </row>
    <row r="99" customFormat="false" ht="15" hidden="false" customHeight="false" outlineLevel="0" collapsed="false">
      <c r="A99" s="5" t="s">
        <v>916</v>
      </c>
      <c r="B99" s="0" t="s">
        <v>57</v>
      </c>
      <c r="H99" s="40" t="n">
        <f aca="false">1/(1+wacc)^(2027-2026-0.5)</f>
        <v>0.947751320380232</v>
      </c>
      <c r="I99" s="40" t="n">
        <f aca="false">1/(1+wacc)^(2028-2026-0.5)</f>
        <v>0.851301099754987</v>
      </c>
      <c r="J99" s="40" t="n">
        <f aca="false">1/(1+wacc)^(2029-2026-0.5)</f>
        <v>0.764666370660713</v>
      </c>
      <c r="K99" s="40" t="n">
        <f aca="false">1/(1+wacc)^(2030-2026-0.5)</f>
        <v>0.686848235703811</v>
      </c>
      <c r="L99" s="40" t="n">
        <f aca="false">1/(1+wacc)^(2031-2026-0.5)</f>
        <v>0.616949452715975</v>
      </c>
      <c r="M99" s="40" t="n">
        <f aca="false">1/(1+wacc)^(2032-2026-0.5)</f>
        <v>0.554164089562688</v>
      </c>
    </row>
    <row r="100" customFormat="false" ht="15" hidden="false" customHeight="false" outlineLevel="0" collapsed="false">
      <c r="A100" s="5" t="s">
        <v>917</v>
      </c>
      <c r="B100" s="0" t="s">
        <v>86</v>
      </c>
      <c r="H100" s="38" t="n">
        <f aca="false">Val!$H$98*Val!$H$99</f>
        <v>-45.690569722066</v>
      </c>
      <c r="I100" s="38" t="n">
        <f aca="false">Val!$I$98*Val!$I$99</f>
        <v>14.9683010930021</v>
      </c>
      <c r="J100" s="38" t="n">
        <f aca="false">Val!$J$98*Val!$J$99</f>
        <v>64.5021874119823</v>
      </c>
      <c r="K100" s="38" t="n">
        <f aca="false">Val!$K$98*Val!$K$99</f>
        <v>139.828474425095</v>
      </c>
      <c r="L100" s="38" t="n">
        <f aca="false">Val!$L$98*Val!$L$99</f>
        <v>168.487199307426</v>
      </c>
      <c r="M100" s="38" t="n">
        <f aca="false">Val!$M$98*Val!$M$99</f>
        <v>166.541481365268</v>
      </c>
    </row>
    <row r="101" customFormat="false" ht="15" hidden="false" customHeight="false" outlineLevel="0" collapsed="false">
      <c r="A101" s="5" t="s">
        <v>918</v>
      </c>
      <c r="B101" s="0" t="s">
        <v>86</v>
      </c>
      <c r="C101" s="38" t="n">
        <f aca="false">SUM(Val!$H$100:$M$100)</f>
        <v>508.637073880707</v>
      </c>
    </row>
    <row r="102" customFormat="false" ht="17.15" hidden="false" customHeight="false" outlineLevel="0" collapsed="false">
      <c r="A102" s="5" t="s">
        <v>919</v>
      </c>
      <c r="B102" s="0" t="s">
        <v>86</v>
      </c>
      <c r="C102" s="38" t="n">
        <f aca="false">Val!$M$93*(1+tg)*(1-tg/ronic)/(wacc-tg)</f>
        <v>2731.00475121072</v>
      </c>
    </row>
    <row r="103" customFormat="false" ht="15" hidden="false" customHeight="false" outlineLevel="0" collapsed="false">
      <c r="A103" s="5" t="s">
        <v>920</v>
      </c>
      <c r="B103" s="0" t="s">
        <v>86</v>
      </c>
      <c r="C103" s="38" t="n">
        <f aca="false">Val!$C$102/(1+wacc)^6</f>
        <v>1434.35031605142</v>
      </c>
    </row>
    <row r="104" customFormat="false" ht="17.15" hidden="false" customHeight="false" outlineLevel="0" collapsed="false">
      <c r="A104" s="5" t="s">
        <v>921</v>
      </c>
      <c r="B104" s="0" t="s">
        <v>86</v>
      </c>
      <c r="C104" s="38" t="n">
        <f aca="false">Val!$C$101+Val!$C$103</f>
        <v>1942.98738993213</v>
      </c>
    </row>
    <row r="105" customFormat="false" ht="17.15" hidden="false" customHeight="false" outlineLevel="0" collapsed="false">
      <c r="A105" s="5" t="s">
        <v>922</v>
      </c>
      <c r="B105" s="0" t="s">
        <v>52</v>
      </c>
      <c r="C105" s="13" t="n">
        <f aca="false">Val!$C$103/Val!$C$104</f>
        <v>0.738219055606699</v>
      </c>
    </row>
    <row r="106" customFormat="false" ht="17.15" hidden="false" customHeight="false" outlineLevel="0" collapsed="false">
      <c r="A106" s="5" t="s">
        <v>923</v>
      </c>
      <c r="B106" s="0" t="s">
        <v>86</v>
      </c>
      <c r="C106" s="38" t="n">
        <f aca="false">CF!$G$37+fin_debt</f>
        <v>96.9281473383469</v>
      </c>
    </row>
    <row r="107" customFormat="false" ht="17.15" hidden="false" customHeight="false" outlineLevel="0" collapsed="false">
      <c r="A107" s="5" t="s">
        <v>924</v>
      </c>
      <c r="B107" s="0" t="s">
        <v>86</v>
      </c>
      <c r="C107" s="38" t="n">
        <f aca="false">(ant_val*ant_sh+oai_val*oai_sh)*(1-liq_disc)</f>
        <v>178.944</v>
      </c>
    </row>
    <row r="108" customFormat="false" ht="15" hidden="false" customHeight="false" outlineLevel="0" collapsed="false">
      <c r="A108" s="5" t="s">
        <v>925</v>
      </c>
      <c r="B108" s="0" t="s">
        <v>86</v>
      </c>
      <c r="C108" s="38" t="n">
        <f aca="false">Val!$C$104-Val!$C$106+Val!$C$107</f>
        <v>2025.00324259378</v>
      </c>
    </row>
    <row r="109" customFormat="false" ht="17.15" hidden="false" customHeight="false" outlineLevel="0" collapsed="false">
      <c r="A109" s="5" t="s">
        <v>926</v>
      </c>
      <c r="B109" s="0" t="s">
        <v>27</v>
      </c>
      <c r="C109" s="30" t="n">
        <f aca="false">Val!$C$108/sh_out</f>
        <v>187.738206267107</v>
      </c>
    </row>
    <row r="110" customFormat="false" ht="17.15" hidden="false" customHeight="false" outlineLevel="0" collapsed="false">
      <c r="A110" s="1" t="s">
        <v>927</v>
      </c>
      <c r="B110" s="8" t="s">
        <v>27</v>
      </c>
      <c r="C110" s="30" t="n">
        <f aca="false">Val!$C$109*(1+ke)^tp_yf-dps*tp_yf</f>
        <v>205.642582438018</v>
      </c>
    </row>
    <row r="111" customFormat="false" ht="17.15" hidden="false" customHeight="false" outlineLevel="0" collapsed="false">
      <c r="A111" s="3" t="s">
        <v>928</v>
      </c>
    </row>
    <row r="112" customFormat="false" ht="17.15" hidden="false" customHeight="false" outlineLevel="0" collapsed="false">
      <c r="A112" s="5" t="s">
        <v>929</v>
      </c>
      <c r="B112" s="0" t="s">
        <v>86</v>
      </c>
      <c r="C112" s="38" t="n">
        <f aca="false">(1-tp_yf)*(PL!$H$62+CF!$H$18*Seg!$H$13/Seg!$H$30)+tp_yf*(PL!$I$62+CF!$I$18*Seg!$I$13/Seg!$I$30)</f>
        <v>59.3686197674187</v>
      </c>
    </row>
    <row r="113" customFormat="false" ht="15" hidden="false" customHeight="false" outlineLevel="0" collapsed="false">
      <c r="A113" s="5" t="s">
        <v>930</v>
      </c>
      <c r="B113" s="0" t="s">
        <v>57</v>
      </c>
      <c r="C113" s="30" t="n">
        <f aca="false">m_ads*m_x</f>
        <v>9.11</v>
      </c>
    </row>
    <row r="114" customFormat="false" ht="17.15" hidden="false" customHeight="false" outlineLevel="0" collapsed="false">
      <c r="A114" s="5" t="s">
        <v>931</v>
      </c>
      <c r="B114" s="0" t="s">
        <v>86</v>
      </c>
      <c r="C114" s="38" t="n">
        <f aca="false">Val!$C$112*Val!$C$113</f>
        <v>540.848126081184</v>
      </c>
    </row>
    <row r="115" customFormat="false" ht="17.15" hidden="false" customHeight="false" outlineLevel="0" collapsed="false">
      <c r="A115" s="5" t="s">
        <v>932</v>
      </c>
      <c r="B115" s="0" t="s">
        <v>86</v>
      </c>
      <c r="C115" s="38" t="n">
        <f aca="false">(1-tp_yf)*(PL!$H$63+CF!$H$18*(Seg!$H$20-Seg!$H$13)/Seg!$H$30+IF(internal_ai_reading=2,1,0)*(1-ext_sh)*Thesis!$H$28)+tp_yf*(PL!$I$63+CF!$I$18*(Seg!$I$20-Seg!$I$13)/Seg!$I$30+IF(internal_ai_reading=2,1,0)*(1-ext_sh)*Thesis!$I$28)</f>
        <v>51.564999293637</v>
      </c>
    </row>
    <row r="116" customFormat="false" ht="17.15" hidden="false" customHeight="false" outlineLevel="0" collapsed="false">
      <c r="A116" s="5" t="s">
        <v>933</v>
      </c>
      <c r="B116" s="0" t="s">
        <v>57</v>
      </c>
      <c r="C116" s="30" t="n">
        <f aca="false">m_retail*m_x</f>
        <v>17.72</v>
      </c>
    </row>
    <row r="117" customFormat="false" ht="17.15" hidden="false" customHeight="false" outlineLevel="0" collapsed="false">
      <c r="A117" s="5" t="s">
        <v>934</v>
      </c>
      <c r="B117" s="0" t="s">
        <v>86</v>
      </c>
      <c r="C117" s="38" t="n">
        <f aca="false">Val!$C$115*Val!$C$116</f>
        <v>913.731787483247</v>
      </c>
    </row>
    <row r="118" customFormat="false" ht="17.15" hidden="false" customHeight="false" outlineLevel="0" collapsed="false">
      <c r="A118" s="0" t="s">
        <v>935</v>
      </c>
      <c r="B118" s="0" t="s">
        <v>86</v>
      </c>
      <c r="C118" s="38" t="n">
        <f aca="false">(1-tp_yf)*(PL!$H$64+CF!$H$18*Seg!$H$28/Seg!$H$30)+tp_yf*(PL!$I$64+CF!$I$18*Seg!$I$28/Seg!$I$30)</f>
        <v>97.3363031479074</v>
      </c>
    </row>
    <row r="119" customFormat="false" ht="17.15" hidden="false" customHeight="false" outlineLevel="0" collapsed="false">
      <c r="A119" s="0" t="s">
        <v>936</v>
      </c>
      <c r="B119" s="0" t="s">
        <v>57</v>
      </c>
      <c r="C119" s="30" t="n">
        <f aca="false">m_cloud*m_x</f>
        <v>13.82</v>
      </c>
    </row>
    <row r="120" customFormat="false" ht="17.15" hidden="false" customHeight="false" outlineLevel="0" collapsed="false">
      <c r="A120" s="0" t="s">
        <v>937</v>
      </c>
      <c r="B120" s="0" t="s">
        <v>86</v>
      </c>
      <c r="C120" s="38" t="n">
        <f aca="false">Val!$C$118*Val!$C$119</f>
        <v>1345.18770950408</v>
      </c>
    </row>
    <row r="121" customFormat="false" ht="17.15" hidden="false" customHeight="false" outlineLevel="0" collapsed="false">
      <c r="A121" s="0" t="s">
        <v>938</v>
      </c>
      <c r="B121" s="0" t="s">
        <v>86</v>
      </c>
      <c r="H121" s="38" t="n">
        <f aca="false">Thesis!$H$45-tax*Thesis!$H$46-ext_sh*Thesis!$H$35</f>
        <v>-100.194922249854</v>
      </c>
      <c r="I121" s="38" t="n">
        <f aca="false">Thesis!$I$45-tax*Thesis!$I$46-ext_sh*Thesis!$I$35</f>
        <v>-54.5682479438799</v>
      </c>
      <c r="J121" s="38" t="n">
        <f aca="false">Thesis!$J$45-tax*Thesis!$J$46-ext_sh*Thesis!$J$35</f>
        <v>-7.76857572284416</v>
      </c>
      <c r="K121" s="38" t="n">
        <f aca="false">Thesis!$K$45-tax*Thesis!$K$46-ext_sh*Thesis!$K$35</f>
        <v>81.4650424249502</v>
      </c>
      <c r="L121" s="38" t="n">
        <f aca="false">Thesis!$L$45-tax*Thesis!$L$46-ext_sh*Thesis!$L$35</f>
        <v>130.362154366593</v>
      </c>
      <c r="M121" s="38" t="n">
        <f aca="false">Thesis!$M$45-tax*Thesis!$M$46-ext_sh*Thesis!$M$35</f>
        <v>143.926941582603</v>
      </c>
    </row>
    <row r="122" customFormat="false" ht="17.15" hidden="false" customHeight="false" outlineLevel="0" collapsed="false">
      <c r="A122" s="5" t="s">
        <v>939</v>
      </c>
      <c r="B122" s="0" t="s">
        <v>86</v>
      </c>
      <c r="H122" s="38" t="n">
        <f aca="false">Val!$H$121*Val!$H$99</f>
        <v>-94.959869857694</v>
      </c>
      <c r="I122" s="38" t="n">
        <f aca="false">Val!$I$121*Val!$I$99</f>
        <v>-46.4540094863278</v>
      </c>
      <c r="J122" s="38" t="n">
        <f aca="false">Val!$J$121*Val!$J$99</f>
        <v>-5.94036860319017</v>
      </c>
      <c r="K122" s="38" t="n">
        <f aca="false">Val!$K$121*Val!$K$99</f>
        <v>55.9541206611132</v>
      </c>
      <c r="L122" s="38" t="n">
        <f aca="false">Val!$L$121*Val!$L$99</f>
        <v>80.426859791345</v>
      </c>
      <c r="M122" s="38" t="n">
        <f aca="false">Val!$M$121*Val!$M$99</f>
        <v>79.7591425456657</v>
      </c>
    </row>
    <row r="123" customFormat="false" ht="17.15" hidden="false" customHeight="false" outlineLevel="0" collapsed="false">
      <c r="A123" s="5" t="s">
        <v>940</v>
      </c>
      <c r="B123" s="0" t="s">
        <v>86</v>
      </c>
      <c r="C123" s="38" t="n">
        <f aca="false">Thesis!$M$46*(1-tax)*(1+tg)*(1-tg/ronic)/(wacc-tg)</f>
        <v>1162.67766916056</v>
      </c>
    </row>
    <row r="124" customFormat="false" ht="17.15" hidden="false" customHeight="false" outlineLevel="0" collapsed="false">
      <c r="A124" s="0" t="s">
        <v>941</v>
      </c>
      <c r="B124" s="0" t="s">
        <v>86</v>
      </c>
      <c r="C124" s="38" t="n">
        <f aca="false">(SUM(Val!$H$122:$M$122)+Val!$C$123/(1+wacc)^6)*(1+wacc)^tp_yf</f>
        <v>742.093838969568</v>
      </c>
    </row>
    <row r="125" customFormat="false" ht="17.15" hidden="false" customHeight="false" outlineLevel="0" collapsed="false">
      <c r="A125" s="5" t="s">
        <v>942</v>
      </c>
      <c r="B125" s="0" t="s">
        <v>86</v>
      </c>
      <c r="C125" s="38" t="n">
        <f aca="false">(1-tp_yf)*(PL!$H$65)+tp_yf*(PL!$I$65)</f>
        <v>116.623020306649</v>
      </c>
    </row>
    <row r="126" customFormat="false" ht="17.15" hidden="false" customHeight="false" outlineLevel="0" collapsed="false">
      <c r="A126" s="5" t="s">
        <v>943</v>
      </c>
      <c r="B126" s="0" t="s">
        <v>86</v>
      </c>
      <c r="C126" s="38" t="n">
        <f aca="false">Val!$C$125*m_ai</f>
        <v>699.738121839894</v>
      </c>
    </row>
    <row r="127" customFormat="false" ht="17.15" hidden="false" customHeight="false" outlineLevel="0" collapsed="false">
      <c r="A127" s="0" t="s">
        <v>944</v>
      </c>
      <c r="B127" s="0" t="s">
        <v>86</v>
      </c>
      <c r="C127" s="38" t="n">
        <f aca="false">IF(ai_leg=1,Val!$C$124,Val!$C$126)</f>
        <v>742.093838969568</v>
      </c>
    </row>
    <row r="128" customFormat="false" ht="17.15" hidden="false" customHeight="false" outlineLevel="0" collapsed="false">
      <c r="A128" s="5" t="s">
        <v>945</v>
      </c>
      <c r="B128" s="0" t="s">
        <v>86</v>
      </c>
      <c r="C128" s="38" t="n">
        <f aca="false">Val!$C$114+Val!$C$117+Val!$C$120+Val!$C$127</f>
        <v>3541.86146203808</v>
      </c>
    </row>
    <row r="129" customFormat="false" ht="17.15" hidden="false" customHeight="false" outlineLevel="0" collapsed="false">
      <c r="A129" s="5" t="s">
        <v>946</v>
      </c>
      <c r="B129" s="0" t="s">
        <v>86</v>
      </c>
      <c r="C129" s="38" t="n">
        <f aca="false">CF!$H$37+fin_debt</f>
        <v>136.948016444082</v>
      </c>
    </row>
    <row r="130" customFormat="false" ht="15" hidden="false" customHeight="false" outlineLevel="0" collapsed="false">
      <c r="A130" s="5" t="s">
        <v>947</v>
      </c>
      <c r="B130" s="0" t="s">
        <v>86</v>
      </c>
      <c r="C130" s="38" t="n">
        <f aca="false">Val!$C$128-Val!$C$129+Val!$C$107</f>
        <v>3583.857445594</v>
      </c>
    </row>
    <row r="131" customFormat="false" ht="15" hidden="false" customHeight="false" outlineLevel="0" collapsed="false">
      <c r="A131" s="3" t="s">
        <v>948</v>
      </c>
      <c r="B131" s="8" t="s">
        <v>27</v>
      </c>
      <c r="C131" s="30" t="n">
        <f aca="false">Val!$C$130/sh_val</f>
        <v>324.90982991001</v>
      </c>
    </row>
    <row r="132" customFormat="false" ht="17.15" hidden="false" customHeight="false" outlineLevel="0" collapsed="false">
      <c r="A132" s="47" t="s">
        <v>949</v>
      </c>
      <c r="B132" s="14" t="s">
        <v>27</v>
      </c>
      <c r="C132" s="44" t="n">
        <f aca="false">w_dcf*Val!$C$110+(1-w_dcf)*Val!$C$131</f>
        <v>265.276206174014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 customFormat="false" ht="17.15" hidden="false" customHeight="false" outlineLevel="0" collapsed="false">
      <c r="A133" s="5" t="s">
        <v>950</v>
      </c>
      <c r="B133" s="0" t="s">
        <v>27</v>
      </c>
      <c r="C133" s="30" t="n">
        <f aca="false">v022_wdcf*Val!$C$110+(1-v022_wdcf)*Val!$C$131</f>
        <v>271.239568547613</v>
      </c>
    </row>
    <row r="134" customFormat="false" ht="17.15" hidden="false" customHeight="false" outlineLevel="0" collapsed="false">
      <c r="A134" s="5" t="s">
        <v>951</v>
      </c>
      <c r="B134" s="0" t="s">
        <v>27</v>
      </c>
      <c r="C134" s="30" t="n">
        <f aca="false">(Val!$C$130-Val!$C$127+Val!$C$126)/sh_val</f>
        <v>321.069892340719</v>
      </c>
    </row>
    <row r="137" customFormat="false" ht="19.4" hidden="false" customHeight="false" outlineLevel="0" collapsed="false">
      <c r="A137" s="31" t="s">
        <v>952</v>
      </c>
    </row>
    <row r="138" customFormat="false" ht="17.15" hidden="false" customHeight="false" outlineLevel="0" collapsed="false">
      <c r="A138" s="6" t="s">
        <v>16</v>
      </c>
      <c r="B138" s="6" t="s">
        <v>17</v>
      </c>
      <c r="C138" s="20" t="s">
        <v>494</v>
      </c>
      <c r="D138" s="20" t="s">
        <v>495</v>
      </c>
      <c r="E138" s="20" t="s">
        <v>577</v>
      </c>
      <c r="F138" s="20" t="s">
        <v>578</v>
      </c>
      <c r="G138" s="20" t="s">
        <v>579</v>
      </c>
      <c r="H138" s="20" t="s">
        <v>580</v>
      </c>
      <c r="I138" s="20" t="s">
        <v>581</v>
      </c>
      <c r="J138" s="20" t="s">
        <v>582</v>
      </c>
      <c r="K138" s="20" t="s">
        <v>583</v>
      </c>
      <c r="L138" s="20" t="s">
        <v>584</v>
      </c>
      <c r="M138" s="20" t="s">
        <v>585</v>
      </c>
      <c r="N138" s="20" t="s">
        <v>586</v>
      </c>
      <c r="O138" s="20" t="s">
        <v>587</v>
      </c>
      <c r="P138" s="6" t="s">
        <v>23</v>
      </c>
      <c r="R138" s="20" t="n">
        <v>2023</v>
      </c>
      <c r="S138" s="20" t="n">
        <v>2024</v>
      </c>
      <c r="T138" s="20" t="n">
        <v>2025</v>
      </c>
      <c r="U138" s="20" t="n">
        <v>2026</v>
      </c>
      <c r="V138" s="20" t="n">
        <v>2027</v>
      </c>
      <c r="W138" s="20" t="n">
        <v>2028</v>
      </c>
      <c r="X138" s="20" t="n">
        <v>2029</v>
      </c>
      <c r="Y138" s="20" t="n">
        <v>2030</v>
      </c>
      <c r="Z138" s="20" t="n">
        <v>2031</v>
      </c>
      <c r="AA138" s="20" t="n">
        <v>2032</v>
      </c>
    </row>
    <row r="139" customFormat="false" ht="17.15" hidden="false" customHeight="false" outlineLevel="0" collapsed="false">
      <c r="A139" s="1" t="s">
        <v>909</v>
      </c>
    </row>
    <row r="140" customFormat="false" ht="17.15" hidden="false" customHeight="false" outlineLevel="0" collapsed="false">
      <c r="A140" s="0" t="s">
        <v>910</v>
      </c>
      <c r="B140" s="0" t="s">
        <v>86</v>
      </c>
      <c r="H140" s="38" t="n">
        <f aca="false">PL!$H$120*(1-tax)</f>
        <v>117.433243423729</v>
      </c>
      <c r="I140" s="38" t="n">
        <f aca="false">PL!$I$120*(1-tax)</f>
        <v>142.829109667048</v>
      </c>
      <c r="J140" s="38" t="n">
        <f aca="false">PL!$J$120*(1-tax)</f>
        <v>166.999275189185</v>
      </c>
      <c r="K140" s="38" t="n">
        <f aca="false">PL!$K$120*(1-tax)</f>
        <v>184.249088119477</v>
      </c>
      <c r="L140" s="38" t="n">
        <f aca="false">PL!$L$120*(1-tax)</f>
        <v>199.752821326616</v>
      </c>
      <c r="M140" s="38" t="n">
        <f aca="false">PL!$M$120*(1-tax)</f>
        <v>212.59629763103</v>
      </c>
    </row>
    <row r="141" customFormat="false" ht="15" hidden="false" customHeight="false" outlineLevel="0" collapsed="false">
      <c r="A141" s="5" t="s">
        <v>911</v>
      </c>
      <c r="B141" s="0" t="s">
        <v>86</v>
      </c>
      <c r="H141" s="38" t="n">
        <f aca="false">PL!$H$131</f>
        <v>84.3163410985152</v>
      </c>
      <c r="I141" s="38" t="n">
        <f aca="false">PL!$I$131</f>
        <v>117.040344991004</v>
      </c>
      <c r="J141" s="38" t="n">
        <f aca="false">PL!$J$131</f>
        <v>150.498981474685</v>
      </c>
      <c r="K141" s="38" t="n">
        <f aca="false">PL!$K$131</f>
        <v>184.188121970284</v>
      </c>
      <c r="L141" s="38" t="n">
        <f aca="false">PL!$L$131</f>
        <v>207.768718060808</v>
      </c>
      <c r="M141" s="38" t="n">
        <f aca="false">PL!$M$131</f>
        <v>224.003934647752</v>
      </c>
    </row>
    <row r="142" customFormat="false" ht="15" hidden="false" customHeight="false" outlineLevel="0" collapsed="false">
      <c r="A142" s="5" t="s">
        <v>912</v>
      </c>
      <c r="B142" s="0" t="s">
        <v>86</v>
      </c>
      <c r="H142" s="38" t="n">
        <f aca="false">CF!$H$55</f>
        <v>273.372679834898</v>
      </c>
      <c r="I142" s="38" t="n">
        <f aca="false">CF!$I$55</f>
        <v>286.981812228425</v>
      </c>
      <c r="J142" s="38" t="n">
        <f aca="false">CF!$J$55</f>
        <v>299.316513378366</v>
      </c>
      <c r="K142" s="38" t="n">
        <f aca="false">CF!$K$55</f>
        <v>251.057145512292</v>
      </c>
      <c r="L142" s="38" t="n">
        <f aca="false">CF!$L$55</f>
        <v>234.696330860396</v>
      </c>
      <c r="M142" s="38" t="n">
        <f aca="false">CF!$M$55</f>
        <v>242.291696043352</v>
      </c>
    </row>
    <row r="143" customFormat="false" ht="15" hidden="false" customHeight="false" outlineLevel="0" collapsed="false">
      <c r="A143" s="5" t="s">
        <v>913</v>
      </c>
      <c r="B143" s="0" t="s">
        <v>86</v>
      </c>
      <c r="H143" s="38" t="n">
        <f aca="false">CF!$H$56</f>
        <v>1.6</v>
      </c>
      <c r="I143" s="38" t="n">
        <f aca="false">CF!$I$56</f>
        <v>1.6</v>
      </c>
      <c r="J143" s="38" t="n">
        <f aca="false">CF!$J$56</f>
        <v>1.6</v>
      </c>
      <c r="K143" s="38" t="n">
        <f aca="false">CF!$K$56</f>
        <v>1.6</v>
      </c>
      <c r="L143" s="38" t="n">
        <f aca="false">CF!$L$56</f>
        <v>1.6</v>
      </c>
      <c r="M143" s="38" t="n">
        <f aca="false">CF!$M$56</f>
        <v>1.6</v>
      </c>
    </row>
    <row r="144" customFormat="false" ht="15" hidden="false" customHeight="false" outlineLevel="0" collapsed="false">
      <c r="A144" s="5" t="s">
        <v>914</v>
      </c>
      <c r="B144" s="0" t="s">
        <v>86</v>
      </c>
      <c r="H144" s="38" t="n">
        <f aca="false">CF!$H$50</f>
        <v>11.2928295263397</v>
      </c>
      <c r="I144" s="38" t="n">
        <f aca="false">CF!$I$50</f>
        <v>12.8091546115766</v>
      </c>
      <c r="J144" s="38" t="n">
        <f aca="false">CF!$J$50</f>
        <v>14.2605653162668</v>
      </c>
      <c r="K144" s="38" t="n">
        <f aca="false">CF!$K$50</f>
        <v>15.5327622460396</v>
      </c>
      <c r="L144" s="38" t="n">
        <f aca="false">CF!$L$50</f>
        <v>16.720573737517</v>
      </c>
      <c r="M144" s="38" t="n">
        <f aca="false">CF!$M$50</f>
        <v>17.8283127551536</v>
      </c>
    </row>
    <row r="145" customFormat="false" ht="17.15" hidden="false" customHeight="false" outlineLevel="0" collapsed="false">
      <c r="A145" s="1" t="s">
        <v>915</v>
      </c>
      <c r="B145" s="8" t="s">
        <v>86</v>
      </c>
      <c r="H145" s="38" t="n">
        <f aca="false">Val!$H$140+Val!$H$141-Val!$H$142-Val!$H$143+Val!$H$144</f>
        <v>-61.930265786314</v>
      </c>
      <c r="I145" s="38" t="n">
        <f aca="false">Val!$I$140+Val!$I$141-Val!$I$142-Val!$I$143+Val!$I$144</f>
        <v>-15.9032029587969</v>
      </c>
      <c r="J145" s="38" t="n">
        <f aca="false">Val!$J$140+Val!$J$141-Val!$J$142-Val!$J$143+Val!$J$144</f>
        <v>30.8423086017711</v>
      </c>
      <c r="K145" s="38" t="n">
        <f aca="false">Val!$K$140+Val!$K$141-Val!$K$142-Val!$K$143+Val!$K$144</f>
        <v>131.312826823508</v>
      </c>
      <c r="L145" s="38" t="n">
        <f aca="false">Val!$L$140+Val!$L$141-Val!$L$142-Val!$L$143+Val!$L$144</f>
        <v>187.945782264545</v>
      </c>
      <c r="M145" s="38" t="n">
        <f aca="false">Val!$M$140+Val!$M$141-Val!$M$142-Val!$M$143+Val!$M$144</f>
        <v>210.536848990583</v>
      </c>
    </row>
    <row r="146" customFormat="false" ht="15" hidden="false" customHeight="false" outlineLevel="0" collapsed="false">
      <c r="A146" s="5" t="s">
        <v>916</v>
      </c>
      <c r="B146" s="0" t="s">
        <v>57</v>
      </c>
      <c r="H146" s="40" t="n">
        <f aca="false">1/(1+wacc)^(2027-2026-0.5)</f>
        <v>0.947751320380232</v>
      </c>
      <c r="I146" s="40" t="n">
        <f aca="false">1/(1+wacc)^(2028-2026-0.5)</f>
        <v>0.851301099754987</v>
      </c>
      <c r="J146" s="40" t="n">
        <f aca="false">1/(1+wacc)^(2029-2026-0.5)</f>
        <v>0.764666370660713</v>
      </c>
      <c r="K146" s="40" t="n">
        <f aca="false">1/(1+wacc)^(2030-2026-0.5)</f>
        <v>0.686848235703811</v>
      </c>
      <c r="L146" s="40" t="n">
        <f aca="false">1/(1+wacc)^(2031-2026-0.5)</f>
        <v>0.616949452715975</v>
      </c>
      <c r="M146" s="40" t="n">
        <f aca="false">1/(1+wacc)^(2032-2026-0.5)</f>
        <v>0.554164089562688</v>
      </c>
    </row>
    <row r="147" customFormat="false" ht="15" hidden="false" customHeight="false" outlineLevel="0" collapsed="false">
      <c r="A147" s="5" t="s">
        <v>917</v>
      </c>
      <c r="B147" s="0" t="s">
        <v>86</v>
      </c>
      <c r="H147" s="38" t="n">
        <f aca="false">Val!$H$145*Val!$H$146</f>
        <v>-58.6944911704778</v>
      </c>
      <c r="I147" s="38" t="n">
        <f aca="false">Val!$I$145*Val!$I$146</f>
        <v>-13.5384141684505</v>
      </c>
      <c r="J147" s="38" t="n">
        <f aca="false">Val!$J$145*Val!$J$146</f>
        <v>23.584076181314</v>
      </c>
      <c r="K147" s="38" t="n">
        <f aca="false">Val!$K$145*Val!$K$146</f>
        <v>90.1919834290062</v>
      </c>
      <c r="L147" s="38" t="n">
        <f aca="false">Val!$L$145*Val!$L$146</f>
        <v>115.953047508387</v>
      </c>
      <c r="M147" s="38" t="n">
        <f aca="false">Val!$M$145*Val!$M$146</f>
        <v>116.671961240264</v>
      </c>
    </row>
    <row r="148" customFormat="false" ht="15" hidden="false" customHeight="false" outlineLevel="0" collapsed="false">
      <c r="A148" s="5" t="s">
        <v>918</v>
      </c>
      <c r="B148" s="0" t="s">
        <v>86</v>
      </c>
      <c r="C148" s="38" t="n">
        <f aca="false">SUM(Val!$H$147:$M$147)</f>
        <v>274.168163020043</v>
      </c>
    </row>
    <row r="149" customFormat="false" ht="17.15" hidden="false" customHeight="false" outlineLevel="0" collapsed="false">
      <c r="A149" s="5" t="s">
        <v>919</v>
      </c>
      <c r="B149" s="0" t="s">
        <v>86</v>
      </c>
      <c r="C149" s="38" t="n">
        <f aca="false">Val!$M$140*(1+tg)*(1-tg/ronic)/(wacc-tg)</f>
        <v>1932.73757828664</v>
      </c>
    </row>
    <row r="150" customFormat="false" ht="15" hidden="false" customHeight="false" outlineLevel="0" collapsed="false">
      <c r="A150" s="5" t="s">
        <v>920</v>
      </c>
      <c r="B150" s="0" t="s">
        <v>86</v>
      </c>
      <c r="C150" s="38" t="n">
        <f aca="false">Val!$C$149/(1+wacc)^6</f>
        <v>1015.09261565031</v>
      </c>
    </row>
    <row r="151" customFormat="false" ht="17.15" hidden="false" customHeight="false" outlineLevel="0" collapsed="false">
      <c r="A151" s="5" t="s">
        <v>921</v>
      </c>
      <c r="B151" s="0" t="s">
        <v>86</v>
      </c>
      <c r="C151" s="38" t="n">
        <f aca="false">Val!$C$148+Val!$C$150</f>
        <v>1289.26077867035</v>
      </c>
    </row>
    <row r="152" customFormat="false" ht="17.15" hidden="false" customHeight="false" outlineLevel="0" collapsed="false">
      <c r="A152" s="5" t="s">
        <v>922</v>
      </c>
      <c r="B152" s="0" t="s">
        <v>52</v>
      </c>
      <c r="C152" s="13" t="n">
        <f aca="false">Val!$C$150/Val!$C$151</f>
        <v>0.787344680334726</v>
      </c>
    </row>
    <row r="153" customFormat="false" ht="17.15" hidden="false" customHeight="false" outlineLevel="0" collapsed="false">
      <c r="A153" s="5" t="s">
        <v>923</v>
      </c>
      <c r="B153" s="0" t="s">
        <v>86</v>
      </c>
      <c r="C153" s="38" t="n">
        <f aca="false">CF!$G$68+fin_debt</f>
        <v>96.5114130116072</v>
      </c>
    </row>
    <row r="154" customFormat="false" ht="17.15" hidden="false" customHeight="false" outlineLevel="0" collapsed="false">
      <c r="A154" s="5" t="s">
        <v>924</v>
      </c>
      <c r="B154" s="0" t="s">
        <v>86</v>
      </c>
      <c r="C154" s="38" t="n">
        <f aca="false">(ant_val*ant_sh+oai_val*oai_sh)*(1-liq_disc)</f>
        <v>178.944</v>
      </c>
    </row>
    <row r="155" customFormat="false" ht="15" hidden="false" customHeight="false" outlineLevel="0" collapsed="false">
      <c r="A155" s="5" t="s">
        <v>925</v>
      </c>
      <c r="B155" s="0" t="s">
        <v>86</v>
      </c>
      <c r="C155" s="38" t="n">
        <f aca="false">Val!$C$151-Val!$C$153+Val!$C$154</f>
        <v>1371.69336565874</v>
      </c>
    </row>
    <row r="156" customFormat="false" ht="17.15" hidden="false" customHeight="false" outlineLevel="0" collapsed="false">
      <c r="A156" s="5" t="s">
        <v>926</v>
      </c>
      <c r="B156" s="0" t="s">
        <v>27</v>
      </c>
      <c r="C156" s="30" t="n">
        <f aca="false">Val!$C$155/sh_out</f>
        <v>127.169797361614</v>
      </c>
    </row>
    <row r="157" customFormat="false" ht="17.15" hidden="false" customHeight="false" outlineLevel="0" collapsed="false">
      <c r="A157" s="1" t="s">
        <v>927</v>
      </c>
      <c r="B157" s="8" t="s">
        <v>27</v>
      </c>
      <c r="C157" s="30" t="n">
        <f aca="false">Val!$C$156*(1+ke)^tp_yf-dps*tp_yf</f>
        <v>139.297834242404</v>
      </c>
    </row>
    <row r="158" customFormat="false" ht="17.15" hidden="false" customHeight="false" outlineLevel="0" collapsed="false">
      <c r="A158" s="3" t="s">
        <v>928</v>
      </c>
    </row>
    <row r="159" customFormat="false" ht="17.15" hidden="false" customHeight="false" outlineLevel="0" collapsed="false">
      <c r="A159" s="5" t="s">
        <v>929</v>
      </c>
      <c r="B159" s="0" t="s">
        <v>86</v>
      </c>
      <c r="C159" s="38" t="n">
        <f aca="false">(1-tp_yf)*(PL!$H$132+CF!$H$49*Seg!$H$48/Seg!$H$65)+tp_yf*(PL!$I$132+CF!$I$49*Seg!$I$48/Seg!$I$65)</f>
        <v>59.634664536349</v>
      </c>
    </row>
    <row r="160" customFormat="false" ht="15" hidden="false" customHeight="false" outlineLevel="0" collapsed="false">
      <c r="A160" s="5" t="s">
        <v>930</v>
      </c>
      <c r="B160" s="0" t="s">
        <v>57</v>
      </c>
      <c r="C160" s="30" t="n">
        <f aca="false">m_ads*m_x</f>
        <v>9.11</v>
      </c>
    </row>
    <row r="161" customFormat="false" ht="17.15" hidden="false" customHeight="false" outlineLevel="0" collapsed="false">
      <c r="A161" s="5" t="s">
        <v>931</v>
      </c>
      <c r="B161" s="0" t="s">
        <v>86</v>
      </c>
      <c r="C161" s="38" t="n">
        <f aca="false">Val!$C$159*Val!$C$160</f>
        <v>543.271793926139</v>
      </c>
    </row>
    <row r="162" customFormat="false" ht="17.15" hidden="false" customHeight="false" outlineLevel="0" collapsed="false">
      <c r="A162" s="5" t="s">
        <v>932</v>
      </c>
      <c r="B162" s="0" t="s">
        <v>86</v>
      </c>
      <c r="C162" s="38" t="n">
        <f aca="false">(1-tp_yf)*(PL!$H$133+CF!$H$49*(Seg!$H$55-Seg!$H$48)/Seg!$H$65+IF(internal_ai_reading=2,1,0)*(1-ext_sh)*Thesis!$H$86)+tp_yf*(PL!$I$133+CF!$I$49*(Seg!$I$55-Seg!$I$48)/Seg!$I$65+IF(internal_ai_reading=2,1,0)*(1-ext_sh)*Thesis!$I$86)</f>
        <v>51.7770728324773</v>
      </c>
    </row>
    <row r="163" customFormat="false" ht="17.15" hidden="false" customHeight="false" outlineLevel="0" collapsed="false">
      <c r="A163" s="5" t="s">
        <v>933</v>
      </c>
      <c r="B163" s="0" t="s">
        <v>57</v>
      </c>
      <c r="C163" s="30" t="n">
        <f aca="false">m_retail*m_x</f>
        <v>17.72</v>
      </c>
    </row>
    <row r="164" customFormat="false" ht="17.15" hidden="false" customHeight="false" outlineLevel="0" collapsed="false">
      <c r="A164" s="5" t="s">
        <v>934</v>
      </c>
      <c r="B164" s="0" t="s">
        <v>86</v>
      </c>
      <c r="C164" s="38" t="n">
        <f aca="false">Val!$C$162*Val!$C$163</f>
        <v>917.489730591498</v>
      </c>
    </row>
    <row r="165" customFormat="false" ht="17.15" hidden="false" customHeight="false" outlineLevel="0" collapsed="false">
      <c r="A165" s="0" t="s">
        <v>935</v>
      </c>
      <c r="B165" s="0" t="s">
        <v>86</v>
      </c>
      <c r="C165" s="38" t="n">
        <f aca="false">(1-tp_yf)*(PL!$H$134+CF!$H$49*Seg!$H$63/Seg!$H$65)+tp_yf*(PL!$I$134+CF!$I$49*Seg!$I$63/Seg!$I$65)</f>
        <v>97.3363031479074</v>
      </c>
    </row>
    <row r="166" customFormat="false" ht="17.15" hidden="false" customHeight="false" outlineLevel="0" collapsed="false">
      <c r="A166" s="0" t="s">
        <v>936</v>
      </c>
      <c r="B166" s="0" t="s">
        <v>57</v>
      </c>
      <c r="C166" s="30" t="n">
        <f aca="false">m_cloud*m_x</f>
        <v>13.82</v>
      </c>
    </row>
    <row r="167" customFormat="false" ht="17.15" hidden="false" customHeight="false" outlineLevel="0" collapsed="false">
      <c r="A167" s="0" t="s">
        <v>937</v>
      </c>
      <c r="B167" s="0" t="s">
        <v>86</v>
      </c>
      <c r="C167" s="38" t="n">
        <f aca="false">Val!$C$165*Val!$C$166</f>
        <v>1345.18770950408</v>
      </c>
    </row>
    <row r="168" customFormat="false" ht="17.15" hidden="false" customHeight="false" outlineLevel="0" collapsed="false">
      <c r="A168" s="0" t="s">
        <v>938</v>
      </c>
      <c r="B168" s="0" t="s">
        <v>86</v>
      </c>
      <c r="H168" s="38" t="n">
        <f aca="false">Thesis!$H$103-tax*Thesis!$H$104-ext_sh*Thesis!$H$93</f>
        <v>-114.686944664267</v>
      </c>
      <c r="I168" s="38" t="n">
        <f aca="false">Thesis!$I$103-tax*Thesis!$I$104-ext_sh*Thesis!$I$93</f>
        <v>-88.3950641557111</v>
      </c>
      <c r="J168" s="38" t="n">
        <f aca="false">Thesis!$J$103-tax*Thesis!$J$104-ext_sh*Thesis!$J$93</f>
        <v>-61.1526151740695</v>
      </c>
      <c r="K168" s="38" t="n">
        <f aca="false">Thesis!$K$103-tax*Thesis!$K$104-ext_sh*Thesis!$K$93</f>
        <v>10.057774712684</v>
      </c>
      <c r="L168" s="38" t="n">
        <f aca="false">Thesis!$L$103-tax*Thesis!$L$104-ext_sh*Thesis!$L$93</f>
        <v>46.6587675560356</v>
      </c>
      <c r="M168" s="38" t="n">
        <f aca="false">Thesis!$M$103-tax*Thesis!$M$104-ext_sh*Thesis!$M$93</f>
        <v>55.3915455321129</v>
      </c>
    </row>
    <row r="169" customFormat="false" ht="17.15" hidden="false" customHeight="false" outlineLevel="0" collapsed="false">
      <c r="A169" s="5" t="s">
        <v>939</v>
      </c>
      <c r="B169" s="0" t="s">
        <v>86</v>
      </c>
      <c r="H169" s="38" t="n">
        <f aca="false">Val!$H$168*Val!$H$146</f>
        <v>-108.694703235934</v>
      </c>
      <c r="I169" s="38" t="n">
        <f aca="false">Val!$I$168*Val!$I$146</f>
        <v>-75.2508153286695</v>
      </c>
      <c r="J169" s="38" t="n">
        <f aca="false">Val!$J$168*Val!$J$146</f>
        <v>-46.761348301567</v>
      </c>
      <c r="K169" s="38" t="n">
        <f aca="false">Val!$K$168*Val!$K$146</f>
        <v>6.90816481651338</v>
      </c>
      <c r="L169" s="38" t="n">
        <f aca="false">Val!$L$168*Val!$L$146</f>
        <v>28.7861011080981</v>
      </c>
      <c r="M169" s="38" t="n">
        <f aca="false">Val!$M$168*Val!$M$146</f>
        <v>30.6960053992735</v>
      </c>
    </row>
    <row r="170" customFormat="false" ht="17.15" hidden="false" customHeight="false" outlineLevel="0" collapsed="false">
      <c r="A170" s="5" t="s">
        <v>940</v>
      </c>
      <c r="B170" s="0" t="s">
        <v>86</v>
      </c>
      <c r="C170" s="38" t="n">
        <f aca="false">Thesis!$M$104*(1-tax)*(1+tg)*(1-tg/ronic)/(wacc-tg)</f>
        <v>363.621782500497</v>
      </c>
    </row>
    <row r="171" customFormat="false" ht="17.15" hidden="false" customHeight="false" outlineLevel="0" collapsed="false">
      <c r="A171" s="0" t="s">
        <v>941</v>
      </c>
      <c r="B171" s="0" t="s">
        <v>86</v>
      </c>
      <c r="C171" s="38" t="n">
        <f aca="false">(SUM(Val!$H$169:$M$169)+Val!$C$170/(1+wacc)^6)*(1+wacc)^tp_yf</f>
        <v>29.1198269558345</v>
      </c>
    </row>
    <row r="172" customFormat="false" ht="17.15" hidden="false" customHeight="false" outlineLevel="0" collapsed="false">
      <c r="A172" s="5" t="s">
        <v>942</v>
      </c>
      <c r="B172" s="0" t="s">
        <v>86</v>
      </c>
      <c r="C172" s="38" t="n">
        <f aca="false">(1-tp_yf)*(PL!$H$135)+tp_yf*(PL!$I$135)</f>
        <v>74.6707041238437</v>
      </c>
    </row>
    <row r="173" customFormat="false" ht="17.15" hidden="false" customHeight="false" outlineLevel="0" collapsed="false">
      <c r="A173" s="5" t="s">
        <v>943</v>
      </c>
      <c r="B173" s="0" t="s">
        <v>86</v>
      </c>
      <c r="C173" s="38" t="n">
        <f aca="false">Val!$C$172*m_ai</f>
        <v>448.024224743062</v>
      </c>
    </row>
    <row r="174" customFormat="false" ht="17.15" hidden="false" customHeight="false" outlineLevel="0" collapsed="false">
      <c r="A174" s="0" t="s">
        <v>944</v>
      </c>
      <c r="B174" s="0" t="s">
        <v>86</v>
      </c>
      <c r="C174" s="38" t="n">
        <f aca="false">IF(ai_leg=1,Val!$C$171,Val!$C$173)</f>
        <v>29.1198269558345</v>
      </c>
    </row>
    <row r="175" customFormat="false" ht="17.15" hidden="false" customHeight="false" outlineLevel="0" collapsed="false">
      <c r="A175" s="5" t="s">
        <v>945</v>
      </c>
      <c r="B175" s="0" t="s">
        <v>86</v>
      </c>
      <c r="C175" s="38" t="n">
        <f aca="false">Val!$C$161+Val!$C$164+Val!$C$167+Val!$C$174</f>
        <v>2835.06906097755</v>
      </c>
    </row>
    <row r="176" customFormat="false" ht="17.15" hidden="false" customHeight="false" outlineLevel="0" collapsed="false">
      <c r="A176" s="5" t="s">
        <v>946</v>
      </c>
      <c r="B176" s="0" t="s">
        <v>86</v>
      </c>
      <c r="C176" s="38" t="n">
        <f aca="false">CF!$H$68+fin_debt</f>
        <v>150.504277655109</v>
      </c>
    </row>
    <row r="177" customFormat="false" ht="15" hidden="false" customHeight="false" outlineLevel="0" collapsed="false">
      <c r="A177" s="5" t="s">
        <v>947</v>
      </c>
      <c r="B177" s="0" t="s">
        <v>86</v>
      </c>
      <c r="C177" s="38" t="n">
        <f aca="false">Val!$C$175-Val!$C$176+Val!$C$154</f>
        <v>2863.50878332244</v>
      </c>
    </row>
    <row r="178" customFormat="false" ht="15" hidden="false" customHeight="false" outlineLevel="0" collapsed="false">
      <c r="A178" s="3" t="s">
        <v>948</v>
      </c>
      <c r="B178" s="8" t="s">
        <v>27</v>
      </c>
      <c r="C178" s="30" t="n">
        <f aca="false">Val!$C$177/sh_val</f>
        <v>259.603560091077</v>
      </c>
    </row>
    <row r="179" customFormat="false" ht="17.15" hidden="false" customHeight="false" outlineLevel="0" collapsed="false">
      <c r="A179" s="47" t="s">
        <v>949</v>
      </c>
      <c r="B179" s="14" t="s">
        <v>27</v>
      </c>
      <c r="C179" s="44" t="n">
        <f aca="false">w_dcf*Val!$C$157+(1-w_dcf)*Val!$C$178</f>
        <v>199.45069716674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 customFormat="false" ht="17.15" hidden="false" customHeight="false" outlineLevel="0" collapsed="false">
      <c r="A180" s="5" t="s">
        <v>950</v>
      </c>
      <c r="B180" s="0" t="s">
        <v>27</v>
      </c>
      <c r="C180" s="30" t="n">
        <f aca="false">v022_wdcf*Val!$C$157+(1-v022_wdcf)*Val!$C$178</f>
        <v>205.465983459174</v>
      </c>
    </row>
    <row r="181" customFormat="false" ht="17.15" hidden="false" customHeight="false" outlineLevel="0" collapsed="false">
      <c r="A181" s="5" t="s">
        <v>951</v>
      </c>
      <c r="B181" s="0" t="s">
        <v>27</v>
      </c>
      <c r="C181" s="30" t="n">
        <f aca="false">(Val!$C$177-Val!$C$174+Val!$C$173)/sh_val</f>
        <v>297.581118824874</v>
      </c>
    </row>
    <row r="184" customFormat="false" ht="19.4" hidden="false" customHeight="false" outlineLevel="0" collapsed="false">
      <c r="A184" s="31" t="s">
        <v>953</v>
      </c>
    </row>
    <row r="185" customFormat="false" ht="17.15" hidden="false" customHeight="false" outlineLevel="0" collapsed="false">
      <c r="A185" s="6" t="s">
        <v>16</v>
      </c>
      <c r="B185" s="6" t="s">
        <v>17</v>
      </c>
      <c r="C185" s="20" t="s">
        <v>494</v>
      </c>
      <c r="D185" s="20" t="s">
        <v>495</v>
      </c>
      <c r="E185" s="20" t="s">
        <v>577</v>
      </c>
      <c r="F185" s="20" t="s">
        <v>578</v>
      </c>
      <c r="G185" s="20" t="s">
        <v>579</v>
      </c>
      <c r="H185" s="20" t="s">
        <v>580</v>
      </c>
      <c r="I185" s="20" t="s">
        <v>581</v>
      </c>
      <c r="J185" s="20" t="s">
        <v>582</v>
      </c>
      <c r="K185" s="20" t="s">
        <v>583</v>
      </c>
      <c r="L185" s="20" t="s">
        <v>584</v>
      </c>
      <c r="M185" s="20" t="s">
        <v>585</v>
      </c>
      <c r="N185" s="20" t="s">
        <v>586</v>
      </c>
      <c r="O185" s="20" t="s">
        <v>587</v>
      </c>
      <c r="P185" s="6" t="s">
        <v>23</v>
      </c>
      <c r="R185" s="20" t="n">
        <v>2023</v>
      </c>
      <c r="S185" s="20" t="n">
        <v>2024</v>
      </c>
      <c r="T185" s="20" t="n">
        <v>2025</v>
      </c>
      <c r="U185" s="20" t="n">
        <v>2026</v>
      </c>
      <c r="V185" s="20" t="n">
        <v>2027</v>
      </c>
      <c r="W185" s="20" t="n">
        <v>2028</v>
      </c>
      <c r="X185" s="20" t="n">
        <v>2029</v>
      </c>
      <c r="Y185" s="20" t="n">
        <v>2030</v>
      </c>
      <c r="Z185" s="20" t="n">
        <v>2031</v>
      </c>
      <c r="AA185" s="20" t="n">
        <v>2032</v>
      </c>
    </row>
    <row r="186" customFormat="false" ht="17.15" hidden="false" customHeight="false" outlineLevel="0" collapsed="false">
      <c r="A186" s="1" t="s">
        <v>909</v>
      </c>
    </row>
    <row r="187" customFormat="false" ht="17.15" hidden="false" customHeight="false" outlineLevel="0" collapsed="false">
      <c r="A187" s="0" t="s">
        <v>910</v>
      </c>
      <c r="B187" s="0" t="s">
        <v>86</v>
      </c>
      <c r="H187" s="38" t="n">
        <f aca="false">PL!$H$190*(1-tax)</f>
        <v>111.91990923004</v>
      </c>
      <c r="I187" s="38" t="n">
        <f aca="false">PL!$I$190*(1-tax)</f>
        <v>131.574641596334</v>
      </c>
      <c r="J187" s="38" t="n">
        <f aca="false">PL!$J$190*(1-tax)</f>
        <v>149.977653973138</v>
      </c>
      <c r="K187" s="38" t="n">
        <f aca="false">PL!$K$190*(1-tax)</f>
        <v>162.30784231931</v>
      </c>
      <c r="L187" s="38" t="n">
        <f aca="false">PL!$L$190*(1-tax)</f>
        <v>174.580749618596</v>
      </c>
      <c r="M187" s="38" t="n">
        <f aca="false">PL!$M$190*(1-tax)</f>
        <v>185.888049500753</v>
      </c>
    </row>
    <row r="188" customFormat="false" ht="15" hidden="false" customHeight="false" outlineLevel="0" collapsed="false">
      <c r="A188" s="5" t="s">
        <v>911</v>
      </c>
      <c r="B188" s="0" t="s">
        <v>86</v>
      </c>
      <c r="H188" s="38" t="n">
        <f aca="false">PL!$H$201</f>
        <v>84.3469591290926</v>
      </c>
      <c r="I188" s="38" t="n">
        <f aca="false">PL!$I$201</f>
        <v>117.073838578589</v>
      </c>
      <c r="J188" s="38" t="n">
        <f aca="false">PL!$J$201</f>
        <v>150.535143485963</v>
      </c>
      <c r="K188" s="38" t="n">
        <f aca="false">PL!$K$201</f>
        <v>184.226630974683</v>
      </c>
      <c r="L188" s="38" t="n">
        <f aca="false">PL!$L$201</f>
        <v>207.809738674826</v>
      </c>
      <c r="M188" s="38" t="n">
        <f aca="false">PL!$M$201</f>
        <v>224.047643923325</v>
      </c>
    </row>
    <row r="189" customFormat="false" ht="15" hidden="false" customHeight="false" outlineLevel="0" collapsed="false">
      <c r="A189" s="5" t="s">
        <v>912</v>
      </c>
      <c r="B189" s="0" t="s">
        <v>86</v>
      </c>
      <c r="H189" s="38" t="n">
        <f aca="false">CF!$H$86</f>
        <v>273.426724077491</v>
      </c>
      <c r="I189" s="38" t="n">
        <f aca="false">CF!$I$86</f>
        <v>287.040932150204</v>
      </c>
      <c r="J189" s="38" t="n">
        <f aca="false">CF!$J$86</f>
        <v>299.380343365903</v>
      </c>
      <c r="K189" s="38" t="n">
        <f aca="false">CF!$K$86</f>
        <v>251.125118204738</v>
      </c>
      <c r="L189" s="38" t="n">
        <f aca="false">CF!$L$86</f>
        <v>234.76873682425</v>
      </c>
      <c r="M189" s="38" t="n">
        <f aca="false">CF!$M$86</f>
        <v>242.368847795051</v>
      </c>
    </row>
    <row r="190" customFormat="false" ht="15" hidden="false" customHeight="false" outlineLevel="0" collapsed="false">
      <c r="A190" s="5" t="s">
        <v>913</v>
      </c>
      <c r="B190" s="0" t="s">
        <v>86</v>
      </c>
      <c r="H190" s="38" t="n">
        <f aca="false">CF!$H$87</f>
        <v>1.6</v>
      </c>
      <c r="I190" s="38" t="n">
        <f aca="false">CF!$I$87</f>
        <v>1.6</v>
      </c>
      <c r="J190" s="38" t="n">
        <f aca="false">CF!$J$87</f>
        <v>1.6</v>
      </c>
      <c r="K190" s="38" t="n">
        <f aca="false">CF!$K$87</f>
        <v>1.6</v>
      </c>
      <c r="L190" s="38" t="n">
        <f aca="false">CF!$L$87</f>
        <v>1.6</v>
      </c>
      <c r="M190" s="38" t="n">
        <f aca="false">CF!$M$87</f>
        <v>1.6</v>
      </c>
    </row>
    <row r="191" customFormat="false" ht="15" hidden="false" customHeight="false" outlineLevel="0" collapsed="false">
      <c r="A191" s="5" t="s">
        <v>914</v>
      </c>
      <c r="B191" s="0" t="s">
        <v>86</v>
      </c>
      <c r="H191" s="38" t="n">
        <f aca="false">CF!$H$81</f>
        <v>11.222974517398</v>
      </c>
      <c r="I191" s="38" t="n">
        <f aca="false">CF!$I$81</f>
        <v>12.6569124223699</v>
      </c>
      <c r="J191" s="38" t="n">
        <f aca="false">CF!$J$81</f>
        <v>14.0254906759686</v>
      </c>
      <c r="K191" s="38" t="n">
        <f aca="false">CF!$K$81</f>
        <v>15.2270474113325</v>
      </c>
      <c r="L191" s="38" t="n">
        <f aca="false">CF!$L$81</f>
        <v>16.3687808705387</v>
      </c>
      <c r="M191" s="38" t="n">
        <f aca="false">CF!$M$81</f>
        <v>17.4550688275753</v>
      </c>
    </row>
    <row r="192" customFormat="false" ht="17.15" hidden="false" customHeight="false" outlineLevel="0" collapsed="false">
      <c r="A192" s="1" t="s">
        <v>915</v>
      </c>
      <c r="B192" s="8" t="s">
        <v>86</v>
      </c>
      <c r="H192" s="38" t="n">
        <f aca="false">Val!$H$187+Val!$H$188-Val!$H$189-Val!$H$190+Val!$H$191</f>
        <v>-67.5368812009599</v>
      </c>
      <c r="I192" s="38" t="n">
        <f aca="false">Val!$I$187+Val!$I$188-Val!$I$189-Val!$I$190+Val!$I$191</f>
        <v>-27.3355395529108</v>
      </c>
      <c r="J192" s="38" t="n">
        <f aca="false">Val!$J$187+Val!$J$188-Val!$J$189-Val!$J$190+Val!$J$191</f>
        <v>13.557944769166</v>
      </c>
      <c r="K192" s="38" t="n">
        <f aca="false">Val!$K$187+Val!$K$188-Val!$K$189-Val!$K$190+Val!$K$191</f>
        <v>109.036402500587</v>
      </c>
      <c r="L192" s="38" t="n">
        <f aca="false">Val!$L$187+Val!$L$188-Val!$L$189-Val!$L$190+Val!$L$191</f>
        <v>162.39053233971</v>
      </c>
      <c r="M192" s="38" t="n">
        <f aca="false">Val!$M$187+Val!$M$188-Val!$M$189-Val!$M$190+Val!$M$191</f>
        <v>183.421914456602</v>
      </c>
    </row>
    <row r="193" customFormat="false" ht="15" hidden="false" customHeight="false" outlineLevel="0" collapsed="false">
      <c r="A193" s="5" t="s">
        <v>916</v>
      </c>
      <c r="B193" s="0" t="s">
        <v>57</v>
      </c>
      <c r="H193" s="40" t="n">
        <f aca="false">1/(1+wacc)^(2027-2026-0.5)</f>
        <v>0.947751320380232</v>
      </c>
      <c r="I193" s="40" t="n">
        <f aca="false">1/(1+wacc)^(2028-2026-0.5)</f>
        <v>0.851301099754987</v>
      </c>
      <c r="J193" s="40" t="n">
        <f aca="false">1/(1+wacc)^(2029-2026-0.5)</f>
        <v>0.764666370660713</v>
      </c>
      <c r="K193" s="40" t="n">
        <f aca="false">1/(1+wacc)^(2030-2026-0.5)</f>
        <v>0.686848235703811</v>
      </c>
      <c r="L193" s="40" t="n">
        <f aca="false">1/(1+wacc)^(2031-2026-0.5)</f>
        <v>0.616949452715975</v>
      </c>
      <c r="M193" s="40" t="n">
        <f aca="false">1/(1+wacc)^(2032-2026-0.5)</f>
        <v>0.554164089562688</v>
      </c>
    </row>
    <row r="194" customFormat="false" ht="15" hidden="false" customHeight="false" outlineLevel="0" collapsed="false">
      <c r="A194" s="5" t="s">
        <v>917</v>
      </c>
      <c r="B194" s="0" t="s">
        <v>86</v>
      </c>
      <c r="H194" s="38" t="n">
        <f aca="false">Val!$H$192*Val!$H$193</f>
        <v>-64.0081683325726</v>
      </c>
      <c r="I194" s="38" t="n">
        <f aca="false">Val!$I$192*Val!$I$193</f>
        <v>-23.2707748837889</v>
      </c>
      <c r="J194" s="38" t="n">
        <f aca="false">Val!$J$192*Val!$J$193</f>
        <v>10.3673044202566</v>
      </c>
      <c r="K194" s="38" t="n">
        <f aca="false">Val!$K$192*Val!$K$193</f>
        <v>74.8914606850188</v>
      </c>
      <c r="L194" s="38" t="n">
        <f aca="false">Val!$L$192*Val!$L$193</f>
        <v>100.18675005324</v>
      </c>
      <c r="M194" s="38" t="n">
        <f aca="false">Val!$M$192*Val!$M$193</f>
        <v>101.645838230688</v>
      </c>
    </row>
    <row r="195" customFormat="false" ht="15" hidden="false" customHeight="false" outlineLevel="0" collapsed="false">
      <c r="A195" s="5" t="s">
        <v>918</v>
      </c>
      <c r="B195" s="0" t="s">
        <v>86</v>
      </c>
      <c r="C195" s="38" t="n">
        <f aca="false">SUM(Val!$H$194:$M$194)</f>
        <v>199.812410172842</v>
      </c>
    </row>
    <row r="196" customFormat="false" ht="17.15" hidden="false" customHeight="false" outlineLevel="0" collapsed="false">
      <c r="A196" s="5" t="s">
        <v>919</v>
      </c>
      <c r="B196" s="0" t="s">
        <v>86</v>
      </c>
      <c r="C196" s="38" t="n">
        <f aca="false">Val!$M$187*(1+tg)*(1-tg/ronic)/(wacc-tg)</f>
        <v>1689.92979947396</v>
      </c>
    </row>
    <row r="197" customFormat="false" ht="15" hidden="false" customHeight="false" outlineLevel="0" collapsed="false">
      <c r="A197" s="5" t="s">
        <v>920</v>
      </c>
      <c r="B197" s="0" t="s">
        <v>86</v>
      </c>
      <c r="C197" s="38" t="n">
        <f aca="false">Val!$C$196/(1+wacc)^6</f>
        <v>887.567603427123</v>
      </c>
    </row>
    <row r="198" customFormat="false" ht="17.15" hidden="false" customHeight="false" outlineLevel="0" collapsed="false">
      <c r="A198" s="5" t="s">
        <v>921</v>
      </c>
      <c r="B198" s="0" t="s">
        <v>86</v>
      </c>
      <c r="C198" s="38" t="n">
        <f aca="false">Val!$C$195+Val!$C$197</f>
        <v>1087.38001359996</v>
      </c>
    </row>
    <row r="199" customFormat="false" ht="17.15" hidden="false" customHeight="false" outlineLevel="0" collapsed="false">
      <c r="A199" s="5" t="s">
        <v>922</v>
      </c>
      <c r="B199" s="0" t="s">
        <v>52</v>
      </c>
      <c r="C199" s="13" t="n">
        <f aca="false">Val!$C$197/Val!$C$198</f>
        <v>0.816244176209081</v>
      </c>
    </row>
    <row r="200" customFormat="false" ht="17.15" hidden="false" customHeight="false" outlineLevel="0" collapsed="false">
      <c r="A200" s="5" t="s">
        <v>923</v>
      </c>
      <c r="B200" s="0" t="s">
        <v>86</v>
      </c>
      <c r="C200" s="38" t="n">
        <f aca="false">CF!$G$99+fin_debt</f>
        <v>97.1663124743278</v>
      </c>
    </row>
    <row r="201" customFormat="false" ht="17.15" hidden="false" customHeight="false" outlineLevel="0" collapsed="false">
      <c r="A201" s="5" t="s">
        <v>924</v>
      </c>
      <c r="B201" s="0" t="s">
        <v>86</v>
      </c>
      <c r="C201" s="38" t="n">
        <f aca="false">(ant_val*ant_sh+oai_val*oai_sh)*(1-liq_disc)</f>
        <v>178.944</v>
      </c>
    </row>
    <row r="202" customFormat="false" ht="15" hidden="false" customHeight="false" outlineLevel="0" collapsed="false">
      <c r="A202" s="5" t="s">
        <v>925</v>
      </c>
      <c r="B202" s="0" t="s">
        <v>86</v>
      </c>
      <c r="C202" s="38" t="n">
        <f aca="false">Val!$C$198-Val!$C$200+Val!$C$201</f>
        <v>1169.15770112564</v>
      </c>
    </row>
    <row r="203" customFormat="false" ht="17.15" hidden="false" customHeight="false" outlineLevel="0" collapsed="false">
      <c r="A203" s="5" t="s">
        <v>926</v>
      </c>
      <c r="B203" s="0" t="s">
        <v>27</v>
      </c>
      <c r="C203" s="30" t="n">
        <f aca="false">Val!$C$202/sh_out</f>
        <v>108.39270033541</v>
      </c>
    </row>
    <row r="204" customFormat="false" ht="17.15" hidden="false" customHeight="false" outlineLevel="0" collapsed="false">
      <c r="A204" s="1" t="s">
        <v>927</v>
      </c>
      <c r="B204" s="8" t="s">
        <v>27</v>
      </c>
      <c r="C204" s="30" t="n">
        <f aca="false">Val!$C$203*(1+ke)^tp_yf-dps*tp_yf</f>
        <v>118.729987132669</v>
      </c>
    </row>
    <row r="205" customFormat="false" ht="17.15" hidden="false" customHeight="false" outlineLevel="0" collapsed="false">
      <c r="A205" s="3" t="s">
        <v>928</v>
      </c>
    </row>
    <row r="206" customFormat="false" ht="17.15" hidden="false" customHeight="false" outlineLevel="0" collapsed="false">
      <c r="A206" s="5" t="s">
        <v>929</v>
      </c>
      <c r="B206" s="0" t="s">
        <v>86</v>
      </c>
      <c r="C206" s="38" t="n">
        <f aca="false">(1-tp_yf)*(PL!$H$202+CF!$H$80*Seg!$H$83/Seg!$H$100)+tp_yf*(PL!$I$202+CF!$I$80*Seg!$I$83/Seg!$I$100)</f>
        <v>59.7129480236211</v>
      </c>
    </row>
    <row r="207" customFormat="false" ht="15" hidden="false" customHeight="false" outlineLevel="0" collapsed="false">
      <c r="A207" s="5" t="s">
        <v>930</v>
      </c>
      <c r="B207" s="0" t="s">
        <v>57</v>
      </c>
      <c r="C207" s="30" t="n">
        <f aca="false">m_ads*m_x</f>
        <v>9.11</v>
      </c>
    </row>
    <row r="208" customFormat="false" ht="17.15" hidden="false" customHeight="false" outlineLevel="0" collapsed="false">
      <c r="A208" s="5" t="s">
        <v>931</v>
      </c>
      <c r="B208" s="0" t="s">
        <v>86</v>
      </c>
      <c r="C208" s="38" t="n">
        <f aca="false">Val!$C$206*Val!$C$207</f>
        <v>543.984956495188</v>
      </c>
    </row>
    <row r="209" customFormat="false" ht="17.15" hidden="false" customHeight="false" outlineLevel="0" collapsed="false">
      <c r="A209" s="5" t="s">
        <v>932</v>
      </c>
      <c r="B209" s="0" t="s">
        <v>86</v>
      </c>
      <c r="C209" s="38" t="n">
        <f aca="false">(1-tp_yf)*(PL!$H$203+CF!$H$80*(Seg!$H$90-Seg!$H$83)/Seg!$H$100+IF(internal_ai_reading=2,1,0)*(1-ext_sh)*Thesis!$H$144)+tp_yf*(PL!$I$203+CF!$I$80*(Seg!$I$90-Seg!$I$83)/Seg!$I$100+IF(internal_ai_reading=2,1,0)*(1-ext_sh)*Thesis!$I$144)</f>
        <v>51.8394753237407</v>
      </c>
    </row>
    <row r="210" customFormat="false" ht="17.15" hidden="false" customHeight="false" outlineLevel="0" collapsed="false">
      <c r="A210" s="5" t="s">
        <v>933</v>
      </c>
      <c r="B210" s="0" t="s">
        <v>57</v>
      </c>
      <c r="C210" s="30" t="n">
        <f aca="false">m_retail*m_x</f>
        <v>17.72</v>
      </c>
    </row>
    <row r="211" customFormat="false" ht="17.15" hidden="false" customHeight="false" outlineLevel="0" collapsed="false">
      <c r="A211" s="5" t="s">
        <v>934</v>
      </c>
      <c r="B211" s="0" t="s">
        <v>86</v>
      </c>
      <c r="C211" s="38" t="n">
        <f aca="false">Val!$C$209*Val!$C$210</f>
        <v>918.595502736685</v>
      </c>
    </row>
    <row r="212" customFormat="false" ht="17.15" hidden="false" customHeight="false" outlineLevel="0" collapsed="false">
      <c r="A212" s="0" t="s">
        <v>935</v>
      </c>
      <c r="B212" s="0" t="s">
        <v>86</v>
      </c>
      <c r="C212" s="38" t="n">
        <f aca="false">(1-tp_yf)*(PL!$H$204+CF!$H$80*Seg!$H$98/Seg!$H$100)+tp_yf*(PL!$I$204+CF!$I$80*Seg!$I$98/Seg!$I$100)</f>
        <v>97.3363031479074</v>
      </c>
    </row>
    <row r="213" customFormat="false" ht="17.15" hidden="false" customHeight="false" outlineLevel="0" collapsed="false">
      <c r="A213" s="0" t="s">
        <v>936</v>
      </c>
      <c r="B213" s="0" t="s">
        <v>57</v>
      </c>
      <c r="C213" s="30" t="n">
        <f aca="false">m_cloud*m_x</f>
        <v>13.82</v>
      </c>
    </row>
    <row r="214" customFormat="false" ht="17.15" hidden="false" customHeight="false" outlineLevel="0" collapsed="false">
      <c r="A214" s="0" t="s">
        <v>937</v>
      </c>
      <c r="B214" s="0" t="s">
        <v>86</v>
      </c>
      <c r="C214" s="38" t="n">
        <f aca="false">Val!$C$212*Val!$C$213</f>
        <v>1345.18770950408</v>
      </c>
    </row>
    <row r="215" customFormat="false" ht="17.15" hidden="false" customHeight="false" outlineLevel="0" collapsed="false">
      <c r="A215" s="0" t="s">
        <v>938</v>
      </c>
      <c r="B215" s="0" t="s">
        <v>86</v>
      </c>
      <c r="H215" s="38" t="n">
        <f aca="false">Thesis!$H$161-tax*Thesis!$H$162-ext_sh*Thesis!$H$151</f>
        <v>-120.259960506653</v>
      </c>
      <c r="I215" s="38" t="n">
        <f aca="false">Thesis!$I$161-tax*Thesis!$I$162-ext_sh*Thesis!$I$151</f>
        <v>-99.720222863134</v>
      </c>
      <c r="J215" s="38" t="n">
        <f aca="false">Thesis!$J$161-tax*Thesis!$J$162-ext_sh*Thesis!$J$151</f>
        <v>-78.2555063211933</v>
      </c>
      <c r="K215" s="38" t="n">
        <f aca="false">Thesis!$K$161-tax*Thesis!$K$162-ext_sh*Thesis!$K$151</f>
        <v>-11.9741756934904</v>
      </c>
      <c r="L215" s="38" t="n">
        <f aca="false">Thesis!$L$161-tax*Thesis!$L$162-ext_sh*Thesis!$L$151</f>
        <v>21.3874151533598</v>
      </c>
      <c r="M215" s="38" t="n">
        <f aca="false">Thesis!$M$161-tax*Thesis!$M$162-ext_sh*Thesis!$M$151</f>
        <v>28.5746103680292</v>
      </c>
    </row>
    <row r="216" customFormat="false" ht="17.15" hidden="false" customHeight="false" outlineLevel="0" collapsed="false">
      <c r="A216" s="5" t="s">
        <v>939</v>
      </c>
      <c r="B216" s="0" t="s">
        <v>86</v>
      </c>
      <c r="H216" s="38" t="n">
        <f aca="false">Val!$H$215*Val!$H$193</f>
        <v>-113.976536359055</v>
      </c>
      <c r="I216" s="38" t="n">
        <f aca="false">Val!$I$215*Val!$I$193</f>
        <v>-84.8919353911984</v>
      </c>
      <c r="J216" s="38" t="n">
        <f aca="false">Val!$J$215*Val!$J$193</f>
        <v>-59.8393540028434</v>
      </c>
      <c r="K216" s="38" t="n">
        <f aca="false">Val!$K$215*Val!$K$193</f>
        <v>-8.22444144908136</v>
      </c>
      <c r="L216" s="38" t="n">
        <f aca="false">Val!$L$215*Val!$L$193</f>
        <v>13.1949540738747</v>
      </c>
      <c r="M216" s="38" t="n">
        <f aca="false">Val!$M$215*Val!$M$193</f>
        <v>15.8350229392074</v>
      </c>
    </row>
    <row r="217" customFormat="false" ht="17.15" hidden="false" customHeight="false" outlineLevel="0" collapsed="false">
      <c r="A217" s="5" t="s">
        <v>940</v>
      </c>
      <c r="B217" s="0" t="s">
        <v>86</v>
      </c>
      <c r="C217" s="38" t="n">
        <f aca="false">Thesis!$M$162*(1-tax)*(1+tg)*(1-tg/ronic)/(wacc-tg)</f>
        <v>119.825917268383</v>
      </c>
    </row>
    <row r="218" customFormat="false" ht="17.15" hidden="false" customHeight="false" outlineLevel="0" collapsed="false">
      <c r="A218" s="0" t="s">
        <v>941</v>
      </c>
      <c r="B218" s="0" t="s">
        <v>86</v>
      </c>
      <c r="C218" s="38" t="n">
        <f aca="false">(SUM(Val!$H$216:$M$216)+Val!$C$217/(1+wacc)^6)*(1+wacc)^tp_yf</f>
        <v>-191.104349749416</v>
      </c>
    </row>
    <row r="219" customFormat="false" ht="17.15" hidden="false" customHeight="false" outlineLevel="0" collapsed="false">
      <c r="A219" s="5" t="s">
        <v>942</v>
      </c>
      <c r="B219" s="0" t="s">
        <v>86</v>
      </c>
      <c r="C219" s="38" t="n">
        <f aca="false">(1-tp_yf)*(PL!$H$205)+tp_yf*(PL!$I$205)</f>
        <v>62.206266041067</v>
      </c>
    </row>
    <row r="220" customFormat="false" ht="17.15" hidden="false" customHeight="false" outlineLevel="0" collapsed="false">
      <c r="A220" s="5" t="s">
        <v>943</v>
      </c>
      <c r="B220" s="0" t="s">
        <v>86</v>
      </c>
      <c r="C220" s="38" t="n">
        <f aca="false">Val!$C$219*m_ai</f>
        <v>373.237596246402</v>
      </c>
    </row>
    <row r="221" customFormat="false" ht="17.15" hidden="false" customHeight="false" outlineLevel="0" collapsed="false">
      <c r="A221" s="0" t="s">
        <v>944</v>
      </c>
      <c r="B221" s="0" t="s">
        <v>86</v>
      </c>
      <c r="C221" s="38" t="n">
        <f aca="false">IF(ai_leg=1,Val!$C$218,Val!$C$220)</f>
        <v>-191.104349749416</v>
      </c>
    </row>
    <row r="222" customFormat="false" ht="17.15" hidden="false" customHeight="false" outlineLevel="0" collapsed="false">
      <c r="A222" s="5" t="s">
        <v>945</v>
      </c>
      <c r="B222" s="0" t="s">
        <v>86</v>
      </c>
      <c r="C222" s="38" t="n">
        <f aca="false">Val!$C$208+Val!$C$211+Val!$C$214+Val!$C$221</f>
        <v>2616.66381898654</v>
      </c>
    </row>
    <row r="223" customFormat="false" ht="17.15" hidden="false" customHeight="false" outlineLevel="0" collapsed="false">
      <c r="A223" s="5" t="s">
        <v>946</v>
      </c>
      <c r="B223" s="0" t="s">
        <v>86</v>
      </c>
      <c r="C223" s="38" t="n">
        <f aca="false">CF!$H$99+fin_debt</f>
        <v>156.933719939939</v>
      </c>
    </row>
    <row r="224" customFormat="false" ht="15" hidden="false" customHeight="false" outlineLevel="0" collapsed="false">
      <c r="A224" s="5" t="s">
        <v>947</v>
      </c>
      <c r="B224" s="0" t="s">
        <v>86</v>
      </c>
      <c r="C224" s="38" t="n">
        <f aca="false">Val!$C$222-Val!$C$223+Val!$C$201</f>
        <v>2638.6740990466</v>
      </c>
    </row>
    <row r="225" customFormat="false" ht="15" hidden="false" customHeight="false" outlineLevel="0" collapsed="false">
      <c r="A225" s="3" t="s">
        <v>948</v>
      </c>
      <c r="B225" s="8" t="s">
        <v>27</v>
      </c>
      <c r="C225" s="30" t="n">
        <f aca="false">Val!$C$224/sh_val</f>
        <v>239.220216128625</v>
      </c>
    </row>
    <row r="226" customFormat="false" ht="17.15" hidden="false" customHeight="false" outlineLevel="0" collapsed="false">
      <c r="A226" s="47" t="s">
        <v>949</v>
      </c>
      <c r="B226" s="14" t="s">
        <v>27</v>
      </c>
      <c r="C226" s="44" t="n">
        <f aca="false">w_dcf*Val!$C$204+(1-w_dcf)*Val!$C$225</f>
        <v>178.975101630647</v>
      </c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</row>
    <row r="227" customFormat="false" ht="17.15" hidden="false" customHeight="false" outlineLevel="0" collapsed="false">
      <c r="A227" s="5" t="s">
        <v>950</v>
      </c>
      <c r="B227" s="0" t="s">
        <v>27</v>
      </c>
      <c r="C227" s="30" t="n">
        <f aca="false">v022_wdcf*Val!$C$204+(1-v022_wdcf)*Val!$C$225</f>
        <v>184.999613080445</v>
      </c>
    </row>
    <row r="228" customFormat="false" ht="17.15" hidden="false" customHeight="false" outlineLevel="0" collapsed="false">
      <c r="A228" s="5" t="s">
        <v>951</v>
      </c>
      <c r="B228" s="0" t="s">
        <v>27</v>
      </c>
      <c r="C228" s="30" t="n">
        <f aca="false">(Val!$C$224-Val!$C$221+Val!$C$220)/sh_val</f>
        <v>290.383033977312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3"/>
    <col collapsed="false" customWidth="true" hidden="false" outlineLevel="0" max="7" min="7" style="0" width="4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954</v>
      </c>
    </row>
    <row r="3" customFormat="false" ht="17.15" hidden="false" customHeight="false" outlineLevel="0" collapsed="false">
      <c r="A3" s="6" t="s">
        <v>16</v>
      </c>
      <c r="B3" s="6" t="s">
        <v>955</v>
      </c>
      <c r="C3" s="6" t="s">
        <v>956</v>
      </c>
      <c r="D3" s="6" t="s">
        <v>957</v>
      </c>
      <c r="E3" s="6" t="s">
        <v>958</v>
      </c>
      <c r="F3" s="6" t="s">
        <v>959</v>
      </c>
      <c r="G3" s="6" t="s">
        <v>22</v>
      </c>
      <c r="H3" s="6" t="s">
        <v>23</v>
      </c>
    </row>
    <row r="4" customFormat="false" ht="17.15" hidden="false" customHeight="false" outlineLevel="0" collapsed="false">
      <c r="A4" s="1" t="s">
        <v>960</v>
      </c>
    </row>
    <row r="5" customFormat="false" ht="17.15" hidden="false" customHeight="false" outlineLevel="0" collapsed="false">
      <c r="A5" s="0" t="s">
        <v>961</v>
      </c>
      <c r="B5" s="46" t="n">
        <f aca="false">c_rev26</f>
        <v>828.285</v>
      </c>
      <c r="C5" s="46" t="n">
        <f aca="false">PL!$G$27</f>
        <v>817.905975084504</v>
      </c>
      <c r="D5" s="46" t="n">
        <f aca="false">PL!$G$97</f>
        <v>817.905975084504</v>
      </c>
      <c r="E5" s="46" t="n">
        <f aca="false">PL!$G$167</f>
        <v>817.905975084504</v>
      </c>
      <c r="F5" s="13" t="n">
        <f aca="false">D5/B5-1</f>
        <v>-0.0125307411283506</v>
      </c>
      <c r="G5" s="8" t="s">
        <v>962</v>
      </c>
      <c r="H5" s="8" t="s">
        <v>963</v>
      </c>
    </row>
    <row r="6" customFormat="false" ht="17.15" hidden="false" customHeight="false" outlineLevel="0" collapsed="false">
      <c r="A6" s="0" t="s">
        <v>964</v>
      </c>
      <c r="B6" s="46" t="n">
        <f aca="false">c_sprev26</f>
        <v>828.74</v>
      </c>
      <c r="C6" s="46" t="n">
        <f aca="false">PL!$G$27</f>
        <v>817.905975084504</v>
      </c>
      <c r="D6" s="46" t="n">
        <f aca="false">PL!$G$97</f>
        <v>817.905975084504</v>
      </c>
      <c r="E6" s="46" t="n">
        <f aca="false">PL!$G$167</f>
        <v>817.905975084504</v>
      </c>
      <c r="F6" s="13" t="n">
        <f aca="false">D6/B6-1</f>
        <v>-0.0130728876553514</v>
      </c>
      <c r="G6" s="8" t="s">
        <v>965</v>
      </c>
    </row>
    <row r="7" customFormat="false" ht="17.15" hidden="false" customHeight="false" outlineLevel="0" collapsed="false">
      <c r="A7" s="0" t="s">
        <v>966</v>
      </c>
      <c r="B7" s="46" t="n">
        <f aca="false">c_ebitda26</f>
        <v>216.957</v>
      </c>
      <c r="C7" s="46" t="n">
        <f aca="false">PL!$G$66</f>
        <v>166.073944414032</v>
      </c>
      <c r="D7" s="46" t="n">
        <f aca="false">PL!$G$136</f>
        <v>163.596207202011</v>
      </c>
      <c r="E7" s="46" t="n">
        <f aca="false">PL!$G$206</f>
        <v>162.856987910926</v>
      </c>
      <c r="F7" s="13" t="n">
        <f aca="false">D7/B7-1</f>
        <v>-0.245951007794121</v>
      </c>
      <c r="G7" s="8" t="s">
        <v>962</v>
      </c>
      <c r="H7" s="5" t="s">
        <v>967</v>
      </c>
    </row>
    <row r="8" customFormat="false" ht="17.15" hidden="false" customHeight="false" outlineLevel="0" collapsed="false">
      <c r="A8" s="0" t="s">
        <v>968</v>
      </c>
      <c r="B8" s="46" t="n">
        <f aca="false">c_ebit26</f>
        <v>109.867</v>
      </c>
      <c r="C8" s="46" t="n">
        <f aca="false">PL!$G$47</f>
        <v>110.173576187667</v>
      </c>
      <c r="D8" s="46" t="n">
        <f aca="false">PL!$G$117</f>
        <v>107.601889236925</v>
      </c>
      <c r="E8" s="46" t="n">
        <f aca="false">PL!$G$187</f>
        <v>106.835025300899</v>
      </c>
      <c r="F8" s="13" t="n">
        <f aca="false">D8/B8-1</f>
        <v>-0.0206168436662093</v>
      </c>
      <c r="G8" s="8" t="s">
        <v>962</v>
      </c>
    </row>
    <row r="9" customFormat="false" ht="17.15" hidden="false" customHeight="false" outlineLevel="0" collapsed="false">
      <c r="A9" s="0" t="s">
        <v>969</v>
      </c>
      <c r="B9" s="46" t="n">
        <f aca="false">c_ni26</f>
        <v>140.133</v>
      </c>
      <c r="C9" s="46" t="n">
        <f aca="false">PL!$G$73</f>
        <v>141.000774350211</v>
      </c>
      <c r="D9" s="46" t="n">
        <f aca="false">PL!$G$143</f>
        <v>138.875492461431</v>
      </c>
      <c r="E9" s="46" t="n">
        <f aca="false">PL!$G$213</f>
        <v>138.241744238723</v>
      </c>
      <c r="F9" s="13" t="n">
        <f aca="false">D9/B9-1</f>
        <v>-0.00897367171593699</v>
      </c>
      <c r="G9" s="8" t="s">
        <v>962</v>
      </c>
      <c r="H9" s="5" t="s">
        <v>970</v>
      </c>
    </row>
    <row r="10" customFormat="false" ht="17.15" hidden="false" customHeight="false" outlineLevel="0" collapsed="false">
      <c r="A10" s="0" t="s">
        <v>971</v>
      </c>
      <c r="B10" s="30" t="n">
        <f aca="false">c_eps26</f>
        <v>12.88</v>
      </c>
      <c r="C10" s="30" t="n">
        <f aca="false">PL!$G$77</f>
        <v>12.9064785544211</v>
      </c>
      <c r="D10" s="30" t="n">
        <f aca="false">PL!$G$147</f>
        <v>12.7119412886078</v>
      </c>
      <c r="E10" s="30" t="n">
        <f aca="false">PL!$G$217</f>
        <v>12.6539312678617</v>
      </c>
      <c r="F10" s="13" t="n">
        <f aca="false">D10/B10-1</f>
        <v>-0.0130480365987705</v>
      </c>
      <c r="G10" s="8" t="s">
        <v>962</v>
      </c>
    </row>
    <row r="11" customFormat="false" ht="17.15" hidden="false" customHeight="false" outlineLevel="0" collapsed="false">
      <c r="A11" s="0" t="s">
        <v>972</v>
      </c>
      <c r="B11" s="30" t="n">
        <f aca="false">c_speps26</f>
        <v>7.92</v>
      </c>
      <c r="C11" s="30" t="n">
        <f aca="false">PL!$G$78</f>
        <v>7.49841043652411</v>
      </c>
      <c r="D11" s="30" t="n">
        <f aca="false">PL!$G$148</f>
        <v>7.30387317071086</v>
      </c>
      <c r="E11" s="30" t="n">
        <f aca="false">PL!$G$218</f>
        <v>7.24586314996472</v>
      </c>
      <c r="F11" s="13" t="n">
        <f aca="false">D11/B11-1</f>
        <v>-0.077793791576912</v>
      </c>
      <c r="G11" s="8" t="s">
        <v>973</v>
      </c>
      <c r="H11" s="5" t="s">
        <v>974</v>
      </c>
    </row>
    <row r="12" customFormat="false" ht="17.15" hidden="false" customHeight="false" outlineLevel="0" collapsed="false">
      <c r="A12" s="0" t="s">
        <v>975</v>
      </c>
      <c r="B12" s="46" t="n">
        <f aca="false">c_capex26</f>
        <v>220.5</v>
      </c>
      <c r="C12" s="46" t="n">
        <f aca="false">CF!$G$24</f>
        <v>229.979646005086</v>
      </c>
      <c r="D12" s="46" t="n">
        <f aca="false">CF!$G$55</f>
        <v>227.531579528287</v>
      </c>
      <c r="E12" s="46" t="n">
        <f aca="false">CF!$G$86</f>
        <v>227.58037541324</v>
      </c>
      <c r="F12" s="13" t="n">
        <f aca="false">D12/B12-1</f>
        <v>0.0318892495613905</v>
      </c>
      <c r="G12" s="8" t="s">
        <v>962</v>
      </c>
    </row>
    <row r="13" customFormat="false" ht="17.15" hidden="false" customHeight="false" outlineLevel="0" collapsed="false">
      <c r="A13" s="0" t="s">
        <v>976</v>
      </c>
      <c r="B13" s="46" t="n">
        <f aca="false">c_fcf26</f>
        <v>-34.027</v>
      </c>
      <c r="C13" s="46" t="n">
        <f aca="false">CF!$G$26</f>
        <v>-66.7911473383469</v>
      </c>
      <c r="D13" s="46" t="n">
        <f aca="false">CF!$G$57</f>
        <v>-66.3744130116072</v>
      </c>
      <c r="E13" s="46" t="n">
        <f aca="false">CF!$G$88</f>
        <v>-67.0293124743278</v>
      </c>
      <c r="G13" s="8" t="s">
        <v>962</v>
      </c>
      <c r="H13" s="5" t="s">
        <v>977</v>
      </c>
    </row>
    <row r="14" customFormat="false" ht="17.15" hidden="false" customHeight="false" outlineLevel="0" collapsed="false">
      <c r="A14" s="0" t="s">
        <v>978</v>
      </c>
      <c r="B14" s="46" t="n">
        <f aca="false">c_rev27</f>
        <v>947.853</v>
      </c>
      <c r="C14" s="46" t="n">
        <f aca="false">PL!$H$27</f>
        <v>962.088706657993</v>
      </c>
      <c r="D14" s="46" t="n">
        <f aca="false">PL!$H$97</f>
        <v>942.279857350364</v>
      </c>
      <c r="E14" s="46" t="n">
        <f aca="false">PL!$H$167</f>
        <v>936.451117289489</v>
      </c>
      <c r="F14" s="13" t="n">
        <f aca="false">D14/B14-1</f>
        <v>-0.00587975419145803</v>
      </c>
      <c r="G14" s="8" t="s">
        <v>962</v>
      </c>
      <c r="H14" s="8" t="s">
        <v>963</v>
      </c>
    </row>
    <row r="15" customFormat="false" ht="17.15" hidden="false" customHeight="false" outlineLevel="0" collapsed="false">
      <c r="A15" s="0" t="s">
        <v>979</v>
      </c>
      <c r="B15" s="46" t="n">
        <f aca="false">c_sprev27</f>
        <v>949.92</v>
      </c>
      <c r="C15" s="46" t="n">
        <f aca="false">PL!$H$27</f>
        <v>962.088706657993</v>
      </c>
      <c r="D15" s="46" t="n">
        <f aca="false">PL!$H$97</f>
        <v>942.279857350364</v>
      </c>
      <c r="E15" s="46" t="n">
        <f aca="false">PL!$H$167</f>
        <v>936.451117289489</v>
      </c>
      <c r="F15" s="13" t="n">
        <f aca="false">D15/B15-1</f>
        <v>-0.00804293272026713</v>
      </c>
      <c r="G15" s="8" t="s">
        <v>965</v>
      </c>
    </row>
    <row r="16" customFormat="false" ht="17.15" hidden="false" customHeight="false" outlineLevel="0" collapsed="false">
      <c r="A16" s="0" t="s">
        <v>980</v>
      </c>
      <c r="B16" s="46" t="n">
        <f aca="false">c_ebitda27</f>
        <v>273.452</v>
      </c>
      <c r="C16" s="46" t="n">
        <f aca="false">PL!$H$66</f>
        <v>233.54265692058</v>
      </c>
      <c r="D16" s="46" t="n">
        <f aca="false">PL!$H$136</f>
        <v>211.252308354151</v>
      </c>
      <c r="E16" s="46" t="n">
        <f aca="false">PL!$H$206</f>
        <v>204.611543319808</v>
      </c>
      <c r="F16" s="13" t="n">
        <f aca="false">D16/B16-1</f>
        <v>-0.227461096082123</v>
      </c>
      <c r="G16" s="8" t="s">
        <v>962</v>
      </c>
      <c r="H16" s="5" t="s">
        <v>967</v>
      </c>
    </row>
    <row r="17" customFormat="false" ht="17.15" hidden="false" customHeight="false" outlineLevel="0" collapsed="false">
      <c r="A17" s="0" t="s">
        <v>981</v>
      </c>
      <c r="B17" s="46" t="n">
        <f aca="false">c_ebit27</f>
        <v>140.372</v>
      </c>
      <c r="C17" s="46" t="n">
        <f aca="false">PL!$H$47</f>
        <v>148.967668364475</v>
      </c>
      <c r="D17" s="46" t="n">
        <f aca="false">PL!$H$117</f>
        <v>126.935967255636</v>
      </c>
      <c r="E17" s="46" t="n">
        <f aca="false">PL!$H$187</f>
        <v>120.264584190716</v>
      </c>
      <c r="F17" s="13" t="n">
        <f aca="false">D17/B17-1</f>
        <v>-0.0957173278457523</v>
      </c>
      <c r="G17" s="8" t="s">
        <v>962</v>
      </c>
    </row>
    <row r="18" customFormat="false" ht="17.15" hidden="false" customHeight="false" outlineLevel="0" collapsed="false">
      <c r="A18" s="0" t="s">
        <v>982</v>
      </c>
      <c r="B18" s="46" t="n">
        <f aca="false">c_ni27</f>
        <v>115.541</v>
      </c>
      <c r="C18" s="46" t="n">
        <f aca="false">PL!$H$73</f>
        <v>120.101234370414</v>
      </c>
      <c r="D18" s="46" t="n">
        <f aca="false">PL!$H$143</f>
        <v>101.908400903092</v>
      </c>
      <c r="E18" s="46" t="n">
        <f aca="false">PL!$H$213</f>
        <v>96.3722716832509</v>
      </c>
      <c r="F18" s="13" t="n">
        <f aca="false">D18/B18-1</f>
        <v>-0.117989277372605</v>
      </c>
      <c r="G18" s="8" t="s">
        <v>962</v>
      </c>
      <c r="H18" s="5" t="s">
        <v>970</v>
      </c>
    </row>
    <row r="19" customFormat="false" ht="17.15" hidden="false" customHeight="false" outlineLevel="0" collapsed="false">
      <c r="A19" s="0" t="s">
        <v>983</v>
      </c>
      <c r="B19" s="30" t="n">
        <f aca="false">c_eps27</f>
        <v>10.51</v>
      </c>
      <c r="C19" s="30" t="n">
        <f aca="false">PL!$H$77</f>
        <v>10.906193663361</v>
      </c>
      <c r="D19" s="30" t="n">
        <f aca="false">PL!$H$147</f>
        <v>9.25413266565353</v>
      </c>
      <c r="E19" s="30" t="n">
        <f aca="false">PL!$H$217</f>
        <v>8.75140596402146</v>
      </c>
      <c r="F19" s="13" t="n">
        <f aca="false">D19/B19-1</f>
        <v>-0.119492610308894</v>
      </c>
      <c r="G19" s="8" t="s">
        <v>962</v>
      </c>
    </row>
    <row r="20" customFormat="false" ht="17.15" hidden="false" customHeight="false" outlineLevel="0" collapsed="false">
      <c r="A20" s="0" t="s">
        <v>984</v>
      </c>
      <c r="B20" s="30" t="n">
        <f aca="false">c_speps27</f>
        <v>10.43</v>
      </c>
      <c r="C20" s="30" t="n">
        <f aca="false">PL!$H$78</f>
        <v>10.906193663361</v>
      </c>
      <c r="D20" s="30" t="n">
        <f aca="false">PL!$H$148</f>
        <v>9.25413266565353</v>
      </c>
      <c r="E20" s="30" t="n">
        <f aca="false">PL!$H$218</f>
        <v>8.75140596402146</v>
      </c>
      <c r="F20" s="13" t="n">
        <f aca="false">D20/B20-1</f>
        <v>-0.112738958230726</v>
      </c>
      <c r="G20" s="8" t="s">
        <v>973</v>
      </c>
      <c r="H20" s="5" t="s">
        <v>974</v>
      </c>
    </row>
    <row r="21" customFormat="false" ht="17.15" hidden="false" customHeight="false" outlineLevel="0" collapsed="false">
      <c r="A21" s="0" t="s">
        <v>985</v>
      </c>
      <c r="B21" s="46" t="n">
        <f aca="false">c_capex27</f>
        <v>275.063</v>
      </c>
      <c r="C21" s="46" t="n">
        <f aca="false">CF!$H$24</f>
        <v>278.581795301974</v>
      </c>
      <c r="D21" s="46" t="n">
        <f aca="false">CF!$H$55</f>
        <v>273.372679834898</v>
      </c>
      <c r="E21" s="46" t="n">
        <f aca="false">CF!$H$86</f>
        <v>273.426724077491</v>
      </c>
      <c r="F21" s="13" t="n">
        <f aca="false">D21/B21-1</f>
        <v>-0.00614521097022069</v>
      </c>
      <c r="G21" s="8" t="s">
        <v>962</v>
      </c>
    </row>
    <row r="22" customFormat="false" ht="17.15" hidden="false" customHeight="false" outlineLevel="0" collapsed="false">
      <c r="A22" s="0" t="s">
        <v>986</v>
      </c>
      <c r="B22" s="46" t="n">
        <f aca="false">c_fcf27</f>
        <v>-5.631</v>
      </c>
      <c r="C22" s="46" t="n">
        <f aca="false">CF!$H$26</f>
        <v>-40.0198691057349</v>
      </c>
      <c r="D22" s="46" t="n">
        <f aca="false">CF!$H$57</f>
        <v>-53.9928646435014</v>
      </c>
      <c r="E22" s="46" t="n">
        <f aca="false">CF!$H$88</f>
        <v>-59.7674074656109</v>
      </c>
      <c r="G22" s="8" t="s">
        <v>962</v>
      </c>
      <c r="H22" s="5" t="s">
        <v>977</v>
      </c>
    </row>
    <row r="23" customFormat="false" ht="17.15" hidden="false" customHeight="false" outlineLevel="0" collapsed="false">
      <c r="A23" s="0" t="s">
        <v>987</v>
      </c>
      <c r="B23" s="46" t="n">
        <f aca="false">c_rev28</f>
        <v>1097.389</v>
      </c>
      <c r="C23" s="46" t="n">
        <f aca="false">PL!$I$27</f>
        <v>1111.97430780531</v>
      </c>
      <c r="D23" s="46" t="n">
        <f aca="false">PL!$I$97</f>
        <v>1068.80284981042</v>
      </c>
      <c r="E23" s="46" t="n">
        <f aca="false">PL!$I$167</f>
        <v>1056.09967847556</v>
      </c>
      <c r="F23" s="13" t="n">
        <f aca="false">D23/B23-1</f>
        <v>-0.0260492406881963</v>
      </c>
      <c r="G23" s="8" t="s">
        <v>962</v>
      </c>
      <c r="H23" s="8" t="s">
        <v>963</v>
      </c>
    </row>
    <row r="24" customFormat="false" ht="17.15" hidden="false" customHeight="false" outlineLevel="0" collapsed="false">
      <c r="A24" s="0" t="s">
        <v>988</v>
      </c>
      <c r="B24" s="46" t="n">
        <f aca="false">c_ebitda28</f>
        <v>355.29</v>
      </c>
      <c r="C24" s="46" t="n">
        <f aca="false">PL!$I$66</f>
        <v>309.896241464388</v>
      </c>
      <c r="D24" s="46" t="n">
        <f aca="false">PL!$I$136</f>
        <v>264.28812593412</v>
      </c>
      <c r="E24" s="46" t="n">
        <f aca="false">PL!$I$206</f>
        <v>250.703205499643</v>
      </c>
      <c r="F24" s="13" t="n">
        <f aca="false">D24/B24-1</f>
        <v>-0.256134070944525</v>
      </c>
      <c r="G24" s="8" t="s">
        <v>962</v>
      </c>
      <c r="H24" s="5" t="s">
        <v>967</v>
      </c>
    </row>
    <row r="25" customFormat="false" ht="17.15" hidden="false" customHeight="false" outlineLevel="0" collapsed="false">
      <c r="A25" s="0" t="s">
        <v>989</v>
      </c>
      <c r="B25" s="46" t="n">
        <f aca="false">c_ebit28</f>
        <v>182.749</v>
      </c>
      <c r="C25" s="46" t="n">
        <f aca="false">PL!$I$47</f>
        <v>191.854119305591</v>
      </c>
      <c r="D25" s="46" t="n">
        <f aca="false">PL!$I$117</f>
        <v>147.247780943116</v>
      </c>
      <c r="E25" s="46" t="n">
        <f aca="false">PL!$I$187</f>
        <v>133.629366921054</v>
      </c>
      <c r="F25" s="13" t="n">
        <f aca="false">D25/B25-1</f>
        <v>-0.194262179584481</v>
      </c>
      <c r="G25" s="8" t="s">
        <v>962</v>
      </c>
    </row>
    <row r="26" customFormat="false" ht="17.15" hidden="false" customHeight="false" outlineLevel="0" collapsed="false">
      <c r="A26" s="0" t="s">
        <v>990</v>
      </c>
      <c r="B26" s="46" t="n">
        <f aca="false">c_ni28</f>
        <v>147.701</v>
      </c>
      <c r="C26" s="46" t="n">
        <f aca="false">PL!$I$73</f>
        <v>154.147106825205</v>
      </c>
      <c r="D26" s="46" t="n">
        <f aca="false">PL!$I$143</f>
        <v>116.574582106835</v>
      </c>
      <c r="E26" s="46" t="n">
        <f aca="false">PL!$I$213</f>
        <v>104.983776411814</v>
      </c>
      <c r="F26" s="13" t="n">
        <f aca="false">D26/B26-1</f>
        <v>-0.210739384927423</v>
      </c>
      <c r="G26" s="8" t="s">
        <v>962</v>
      </c>
      <c r="H26" s="5" t="s">
        <v>970</v>
      </c>
    </row>
    <row r="27" customFormat="false" ht="17.15" hidden="false" customHeight="false" outlineLevel="0" collapsed="false">
      <c r="A27" s="0" t="s">
        <v>991</v>
      </c>
      <c r="B27" s="30" t="n">
        <f aca="false">c_eps28</f>
        <v>13.81</v>
      </c>
      <c r="C27" s="30" t="n">
        <f aca="false">PL!$I$77</f>
        <v>13.8867488167885</v>
      </c>
      <c r="D27" s="30" t="n">
        <f aca="false">PL!$I$147</f>
        <v>10.501928796986</v>
      </c>
      <c r="E27" s="30" t="n">
        <f aca="false">PL!$I$217</f>
        <v>9.45774048501544</v>
      </c>
      <c r="F27" s="13" t="n">
        <f aca="false">D27/B27-1</f>
        <v>-0.239541723607096</v>
      </c>
      <c r="G27" s="8" t="s">
        <v>962</v>
      </c>
    </row>
    <row r="28" customFormat="false" ht="17.15" hidden="false" customHeight="false" outlineLevel="0" collapsed="false">
      <c r="A28" s="0" t="s">
        <v>992</v>
      </c>
      <c r="B28" s="46" t="n">
        <f aca="false">c_capex28</f>
        <v>292.927</v>
      </c>
      <c r="C28" s="46" t="n">
        <f aca="false">CF!$I$24</f>
        <v>292.338665274331</v>
      </c>
      <c r="D28" s="46" t="n">
        <f aca="false">CF!$I$55</f>
        <v>286.981812228425</v>
      </c>
      <c r="E28" s="46" t="n">
        <f aca="false">CF!$I$86</f>
        <v>287.040932150204</v>
      </c>
      <c r="F28" s="13" t="n">
        <f aca="false">D28/B28-1</f>
        <v>-0.0202957998804311</v>
      </c>
      <c r="G28" s="8" t="s">
        <v>962</v>
      </c>
    </row>
    <row r="29" customFormat="false" ht="17.15" hidden="false" customHeight="false" outlineLevel="0" collapsed="false">
      <c r="A29" s="0" t="s">
        <v>993</v>
      </c>
      <c r="B29" s="46" t="n">
        <f aca="false">c_fcf28</f>
        <v>41.402</v>
      </c>
      <c r="C29" s="46" t="n">
        <f aca="false">CF!$I$26</f>
        <v>19.2646511397182</v>
      </c>
      <c r="D29" s="46" t="n">
        <f aca="false">CF!$I$57</f>
        <v>-15.5451348078424</v>
      </c>
      <c r="E29" s="46" t="n">
        <f aca="false">CF!$I$88</f>
        <v>-27.6301109177159</v>
      </c>
      <c r="G29" s="8" t="s">
        <v>962</v>
      </c>
      <c r="H29" s="5" t="s">
        <v>977</v>
      </c>
    </row>
    <row r="30" customFormat="false" ht="17.15" hidden="false" customHeight="false" outlineLevel="0" collapsed="false">
      <c r="A30" s="1" t="s">
        <v>994</v>
      </c>
    </row>
    <row r="31" customFormat="false" ht="15" hidden="false" customHeight="false" outlineLevel="0" collapsed="false">
      <c r="A31" s="0" t="s">
        <v>995</v>
      </c>
      <c r="B31" s="53" t="s">
        <v>996</v>
      </c>
      <c r="C31" s="46" t="n">
        <f aca="false">PL!$G$22</f>
        <v>468.944018545779</v>
      </c>
      <c r="D31" s="46" t="n">
        <f aca="false">PL!$G$92</f>
        <v>470.959773480586</v>
      </c>
      <c r="E31" s="46" t="n">
        <f aca="false">PL!$G$162</f>
        <v>471.552907960987</v>
      </c>
      <c r="G31" s="5" t="s">
        <v>997</v>
      </c>
    </row>
    <row r="32" customFormat="false" ht="15" hidden="false" customHeight="false" outlineLevel="0" collapsed="false">
      <c r="A32" s="0" t="s">
        <v>998</v>
      </c>
      <c r="B32" s="53" t="s">
        <v>996</v>
      </c>
      <c r="C32" s="46" t="n">
        <f aca="false">PL!$H$22</f>
        <v>519.154419360281</v>
      </c>
      <c r="D32" s="46" t="n">
        <f aca="false">PL!$H$92</f>
        <v>521.386990416437</v>
      </c>
      <c r="E32" s="46" t="n">
        <f aca="false">PL!$H$162</f>
        <v>522.043922877831</v>
      </c>
      <c r="G32" s="5" t="s">
        <v>997</v>
      </c>
    </row>
    <row r="33" customFormat="false" ht="15" hidden="false" customHeight="false" outlineLevel="0" collapsed="false">
      <c r="A33" s="0" t="s">
        <v>999</v>
      </c>
      <c r="B33" s="53" t="s">
        <v>996</v>
      </c>
      <c r="C33" s="46" t="n">
        <f aca="false">PL!$G$23</f>
        <v>179.603024123267</v>
      </c>
      <c r="D33" s="46" t="n">
        <f aca="false">PL!$G$93</f>
        <v>180.394468164951</v>
      </c>
      <c r="E33" s="46" t="n">
        <f aca="false">PL!$G$163</f>
        <v>180.627350020937</v>
      </c>
      <c r="G33" s="5" t="s">
        <v>997</v>
      </c>
    </row>
    <row r="34" customFormat="false" ht="15" hidden="false" customHeight="false" outlineLevel="0" collapsed="false">
      <c r="A34" s="0" t="s">
        <v>1000</v>
      </c>
      <c r="B34" s="53" t="s">
        <v>996</v>
      </c>
      <c r="C34" s="46" t="n">
        <f aca="false">PL!$H$23</f>
        <v>198.833336211884</v>
      </c>
      <c r="D34" s="46" t="n">
        <f aca="false">PL!$H$93</f>
        <v>199.709899104949</v>
      </c>
      <c r="E34" s="46" t="n">
        <f aca="false">PL!$H$163</f>
        <v>199.967827134592</v>
      </c>
      <c r="G34" s="5" t="s">
        <v>997</v>
      </c>
    </row>
    <row r="35" customFormat="false" ht="15" hidden="false" customHeight="false" outlineLevel="0" collapsed="false">
      <c r="A35" s="0" t="s">
        <v>1001</v>
      </c>
      <c r="B35" s="53" t="s">
        <v>996</v>
      </c>
      <c r="C35" s="46" t="n">
        <f aca="false">PL!$G$24</f>
        <v>169.358932415459</v>
      </c>
      <c r="D35" s="46" t="n">
        <f aca="false">PL!$G$94</f>
        <v>166.551733438967</v>
      </c>
      <c r="E35" s="46" t="n">
        <f aca="false">PL!$G$164</f>
        <v>165.72571710258</v>
      </c>
      <c r="G35" s="5" t="s">
        <v>997</v>
      </c>
    </row>
    <row r="36" customFormat="false" ht="15" hidden="false" customHeight="false" outlineLevel="0" collapsed="false">
      <c r="A36" s="0" t="s">
        <v>1002</v>
      </c>
      <c r="B36" s="53" t="s">
        <v>996</v>
      </c>
      <c r="C36" s="46" t="n">
        <f aca="false">PL!$H$24</f>
        <v>244.100951085827</v>
      </c>
      <c r="D36" s="46" t="n">
        <f aca="false">PL!$H$94</f>
        <v>221.182967828978</v>
      </c>
      <c r="E36" s="46" t="n">
        <f aca="false">PL!$H$164</f>
        <v>214.439367277066</v>
      </c>
      <c r="G36" s="5" t="s">
        <v>997</v>
      </c>
    </row>
    <row r="37" customFormat="false" ht="15" hidden="false" customHeight="false" outlineLevel="0" collapsed="false">
      <c r="A37" s="0" t="s">
        <v>1003</v>
      </c>
      <c r="B37" s="53" t="s">
        <v>996</v>
      </c>
      <c r="C37" s="46" t="n">
        <f aca="false">PL!$G$18</f>
        <v>82.8380053805462</v>
      </c>
      <c r="D37" s="46" t="n">
        <f aca="false">PL!$G$88</f>
        <v>83.2092219944148</v>
      </c>
      <c r="E37" s="46" t="n">
        <f aca="false">PL!$G$158</f>
        <v>83.3184522235369</v>
      </c>
      <c r="G37" s="5" t="s">
        <v>997</v>
      </c>
    </row>
    <row r="38" customFormat="false" ht="15" hidden="false" customHeight="false" outlineLevel="0" collapsed="false">
      <c r="A38" s="0" t="s">
        <v>1004</v>
      </c>
      <c r="B38" s="53" t="s">
        <v>996</v>
      </c>
      <c r="C38" s="46" t="n">
        <f aca="false">PL!$H$18</f>
        <v>99.4512578764903</v>
      </c>
      <c r="D38" s="46" t="n">
        <f aca="false">PL!$H$88</f>
        <v>99.8969223878976</v>
      </c>
      <c r="E38" s="46" t="n">
        <f aca="false">PL!$H$158</f>
        <v>100.028058858826</v>
      </c>
      <c r="G38" s="5" t="s">
        <v>997</v>
      </c>
    </row>
    <row r="39" customFormat="false" ht="17.15" hidden="false" customHeight="false" outlineLevel="0" collapsed="false">
      <c r="A39" s="0" t="s">
        <v>1005</v>
      </c>
      <c r="B39" s="53" t="s">
        <v>996</v>
      </c>
      <c r="C39" s="46" t="n">
        <f aca="false">PL!$G$25</f>
        <v>26.2809855967821</v>
      </c>
      <c r="D39" s="46" t="n">
        <f aca="false">PL!$G$95</f>
        <v>23.4737866202905</v>
      </c>
      <c r="E39" s="46" t="n">
        <f aca="false">PL!$G$165</f>
        <v>22.6477702839038</v>
      </c>
      <c r="G39" s="5" t="s">
        <v>997</v>
      </c>
      <c r="H39" s="5" t="s">
        <v>1006</v>
      </c>
    </row>
    <row r="40" customFormat="false" ht="17.15" hidden="false" customHeight="false" outlineLevel="0" collapsed="false">
      <c r="A40" s="0" t="s">
        <v>1007</v>
      </c>
      <c r="B40" s="53" t="s">
        <v>996</v>
      </c>
      <c r="C40" s="46" t="n">
        <f aca="false">PL!$H$25</f>
        <v>83.0838740066237</v>
      </c>
      <c r="D40" s="46" t="n">
        <f aca="false">PL!$H$95</f>
        <v>60.1658907497746</v>
      </c>
      <c r="E40" s="46" t="n">
        <f aca="false">PL!$H$165</f>
        <v>53.4222901978634</v>
      </c>
      <c r="G40" s="5" t="s">
        <v>997</v>
      </c>
      <c r="H40" s="5" t="s">
        <v>1006</v>
      </c>
    </row>
    <row r="41" customFormat="false" ht="17.15" hidden="false" customHeight="false" outlineLevel="0" collapsed="false">
      <c r="A41" s="1" t="s">
        <v>1008</v>
      </c>
    </row>
    <row r="42" customFormat="false" ht="17.15" hidden="false" customHeight="false" outlineLevel="0" collapsed="false">
      <c r="A42" s="0" t="s">
        <v>1009</v>
      </c>
      <c r="B42" s="46" t="n">
        <f aca="false">capex_g26</f>
        <v>220</v>
      </c>
      <c r="C42" s="46" t="n">
        <f aca="false">CF!$G$24</f>
        <v>229.979646005086</v>
      </c>
      <c r="D42" s="46" t="n">
        <f aca="false">CF!$G$55</f>
        <v>227.531579528287</v>
      </c>
      <c r="E42" s="46" t="n">
        <f aca="false">CF!$G$86</f>
        <v>227.58037541324</v>
      </c>
      <c r="F42" s="13" t="n">
        <f aca="false">D42/B42-1</f>
        <v>0.0342344524013027</v>
      </c>
      <c r="G42" s="8" t="s">
        <v>1010</v>
      </c>
      <c r="H42" s="8" t="s">
        <v>1011</v>
      </c>
    </row>
    <row r="43" customFormat="false" ht="17.15" hidden="false" customHeight="false" outlineLevel="0" collapsed="false">
      <c r="A43" s="0" t="s">
        <v>1012</v>
      </c>
      <c r="B43" s="46" t="n">
        <f aca="false">(g26q3_lo+g26q3_hi)/2</f>
        <v>199.5</v>
      </c>
      <c r="C43" s="46" t="n">
        <f aca="false">PL!$F$27*Q!$J$8/Q!$O$8</f>
        <v>199.5</v>
      </c>
      <c r="D43" s="46" t="n">
        <f aca="false">PL!$F$97*Q!$J$8/Q!$O$8</f>
        <v>199.5</v>
      </c>
      <c r="E43" s="46" t="n">
        <f aca="false">PL!$F$167*Q!$J$8/Q!$O$8</f>
        <v>199.5</v>
      </c>
      <c r="F43" s="13" t="n">
        <f aca="false">D43/B43-1</f>
        <v>0</v>
      </c>
      <c r="G43" s="8" t="s">
        <v>1013</v>
      </c>
      <c r="H43" s="5" t="s">
        <v>1014</v>
      </c>
    </row>
    <row r="44" customFormat="false" ht="17.15" hidden="false" customHeight="false" outlineLevel="0" collapsed="false">
      <c r="A44" s="0" t="s">
        <v>1015</v>
      </c>
      <c r="B44" s="46" t="n">
        <f aca="false">(g26q3_oilo+g26q3_oihi)/2</f>
        <v>24.5</v>
      </c>
      <c r="C44" s="46" t="n">
        <f aca="false">PL!$F$47*Q!$J$25/Q!$O$25</f>
        <v>24.1861590684104</v>
      </c>
      <c r="D44" s="46" t="n">
        <f aca="false">PL!$F$117*Q!$J$25/Q!$O$25</f>
        <v>23.1294376821553</v>
      </c>
      <c r="E44" s="46" t="n">
        <f aca="false">PL!$F$187*Q!$J$25/Q!$O$25</f>
        <v>22.8143287528543</v>
      </c>
      <c r="F44" s="13" t="n">
        <f aca="false">D44/B44-1</f>
        <v>-0.0559413190957041</v>
      </c>
      <c r="G44" s="8" t="s">
        <v>1013</v>
      </c>
      <c r="H44" s="5" t="s">
        <v>1016</v>
      </c>
    </row>
    <row r="45" customFormat="false" ht="17.15" hidden="false" customHeight="false" outlineLevel="0" collapsed="false">
      <c r="A45" s="0" t="s">
        <v>1017</v>
      </c>
      <c r="B45" s="46" t="n">
        <f aca="false">ai_rr</f>
        <v>25</v>
      </c>
      <c r="C45" s="46" t="n">
        <f aca="false">mw_open*rpm_open/1000</f>
        <v>20.1153797604382</v>
      </c>
      <c r="D45" s="46" t="n">
        <f aca="false">mw_open*rpm_open/1000</f>
        <v>20.1153797604382</v>
      </c>
      <c r="E45" s="46" t="n">
        <f aca="false">mw_open*rpm_open/1000</f>
        <v>20.1153797604382</v>
      </c>
      <c r="F45" s="13" t="n">
        <f aca="false">D45/B45-1</f>
        <v>-0.195384809582471</v>
      </c>
      <c r="G45" s="8" t="s">
        <v>1018</v>
      </c>
      <c r="H45" s="8" t="s">
        <v>1019</v>
      </c>
    </row>
    <row r="46" customFormat="false" ht="17.15" hidden="false" customHeight="false" outlineLevel="0" collapsed="false">
      <c r="A46" s="5" t="s">
        <v>1020</v>
      </c>
      <c r="C46" s="36" t="n">
        <f aca="false">ai_rr*1000/(mw_open*he_open)</f>
        <v>1.23282411092991</v>
      </c>
      <c r="D46" s="36" t="n">
        <f aca="false">ai_rr*1000/(mw_open*he_open)</f>
        <v>1.23282411092991</v>
      </c>
      <c r="E46" s="36" t="n">
        <f aca="false">ai_rr*1000/(mw_open*he_open)</f>
        <v>1.23282411092991</v>
      </c>
      <c r="H46" s="5" t="s">
        <v>1021</v>
      </c>
    </row>
    <row r="47" customFormat="false" ht="17.15" hidden="false" customHeight="false" outlineLevel="0" collapsed="false">
      <c r="A47" s="5" t="s">
        <v>1022</v>
      </c>
      <c r="C47" s="32" t="n">
        <f aca="false">ai_rr*1000/rpm_open</f>
        <v>2585.08666598831</v>
      </c>
      <c r="D47" s="32" t="n">
        <f aca="false">ai_rr*1000/rpm_open</f>
        <v>2585.08666598831</v>
      </c>
      <c r="E47" s="32" t="n">
        <f aca="false">ai_rr*1000/rpm_open</f>
        <v>2585.08666598831</v>
      </c>
      <c r="H47" s="5" t="s">
        <v>1023</v>
      </c>
    </row>
    <row r="48" customFormat="false" ht="17.15" hidden="false" customHeight="false" outlineLevel="0" collapsed="false">
      <c r="A48" s="5" t="s">
        <v>1024</v>
      </c>
      <c r="C48" s="30" t="n">
        <f aca="false">Sens!C15-Sens!C4</f>
        <v>-3.08621571805446</v>
      </c>
      <c r="D48" s="30" t="n">
        <f aca="false">Sens!C15-Sens!C4</f>
        <v>-3.08621571805446</v>
      </c>
      <c r="E48" s="30" t="n">
        <f aca="false">Sens!C15-Sens!C4</f>
        <v>-3.08621571805446</v>
      </c>
      <c r="G48" s="8" t="s">
        <v>1025</v>
      </c>
      <c r="H48" s="5" t="s">
        <v>1026</v>
      </c>
    </row>
    <row r="49" customFormat="false" ht="17.15" hidden="false" customHeight="false" outlineLevel="0" collapsed="false">
      <c r="A49" s="5" t="s">
        <v>1027</v>
      </c>
      <c r="C49" s="13" t="n">
        <f aca="false">Thesis!$I$59</f>
        <v>0.313283832077501</v>
      </c>
      <c r="D49" s="13" t="n">
        <f aca="false">Thesis!$I$117</f>
        <v>0.219285125475351</v>
      </c>
      <c r="E49" s="13" t="n">
        <f aca="false">Thesis!$I$175</f>
        <v>0.18967957363228</v>
      </c>
      <c r="G49" s="8" t="s">
        <v>1028</v>
      </c>
      <c r="H49" s="5" t="s">
        <v>221</v>
      </c>
    </row>
    <row r="50" customFormat="false" ht="17.15" hidden="false" customHeight="false" outlineLevel="0" collapsed="false">
      <c r="A50" s="1" t="s">
        <v>1029</v>
      </c>
    </row>
    <row r="51" customFormat="false" ht="17.15" hidden="false" customHeight="false" outlineLevel="0" collapsed="false">
      <c r="A51" s="0" t="s">
        <v>1030</v>
      </c>
      <c r="B51" s="30" t="n">
        <f aca="false">v022_tp</f>
        <v>201.71</v>
      </c>
      <c r="G51" s="8" t="s">
        <v>487</v>
      </c>
    </row>
    <row r="52" customFormat="false" ht="17.15" hidden="false" customHeight="false" outlineLevel="0" collapsed="false">
      <c r="A52" s="0" t="s">
        <v>1031</v>
      </c>
      <c r="B52" s="30" t="n">
        <f aca="false">Val!B19</f>
        <v>210.788175534535</v>
      </c>
      <c r="G52" s="8" t="s">
        <v>1032</v>
      </c>
    </row>
    <row r="53" customFormat="false" ht="15" hidden="false" customHeight="false" outlineLevel="0" collapsed="false">
      <c r="A53" s="5" t="s">
        <v>1033</v>
      </c>
      <c r="B53" s="30" t="n">
        <f aca="false">B52-B51</f>
        <v>9.07817553453535</v>
      </c>
    </row>
    <row r="54" customFormat="false" ht="17.15" hidden="false" customHeight="false" outlineLevel="0" collapsed="false">
      <c r="A54" s="5" t="s">
        <v>1034</v>
      </c>
      <c r="B54" s="30" t="n">
        <f aca="false">Val!$C$179-Val!$C$180</f>
        <v>-6.01528629243364</v>
      </c>
      <c r="H54" s="5" t="s">
        <v>1035</v>
      </c>
    </row>
    <row r="55" customFormat="false" ht="17.15" hidden="false" customHeight="false" outlineLevel="0" collapsed="false">
      <c r="A55" s="5" t="s">
        <v>1036</v>
      </c>
      <c r="B55" s="30" t="n">
        <f aca="false">Val!B19-Val!$C$179</f>
        <v>11.3374783677949</v>
      </c>
      <c r="H55" s="5" t="s">
        <v>1035</v>
      </c>
    </row>
    <row r="56" customFormat="false" ht="17.15" hidden="false" customHeight="false" outlineLevel="0" collapsed="false">
      <c r="A56" s="5" t="s">
        <v>1037</v>
      </c>
      <c r="B56" s="30" t="n">
        <f aca="false">B53-B54-B55</f>
        <v>3.75598345917408</v>
      </c>
      <c r="H56" s="5" t="s">
        <v>1038</v>
      </c>
    </row>
    <row r="57" customFormat="false" ht="17.15" hidden="false" customHeight="false" outlineLevel="0" collapsed="false">
      <c r="A57" s="0" t="s">
        <v>1039</v>
      </c>
      <c r="B57" s="13" t="n">
        <f aca="false">v022_tp/v022_px-1</f>
        <v>-0.22395352416128</v>
      </c>
      <c r="H57" s="8" t="s">
        <v>1040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9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7" min="3" style="0" width="14"/>
  </cols>
  <sheetData>
    <row r="1" customFormat="false" ht="17.15" hidden="false" customHeight="false" outlineLevel="0" collapsed="false">
      <c r="A1" s="0" t="s">
        <v>1041</v>
      </c>
    </row>
    <row r="3" customFormat="false" ht="17.15" hidden="false" customHeight="false" outlineLevel="0" collapsed="false">
      <c r="A3" s="6" t="s">
        <v>1042</v>
      </c>
      <c r="B3" s="6" t="s">
        <v>1043</v>
      </c>
      <c r="C3" s="6" t="s">
        <v>1044</v>
      </c>
      <c r="D3" s="6" t="s">
        <v>1045</v>
      </c>
      <c r="E3" s="20" t="s">
        <v>1046</v>
      </c>
      <c r="F3" s="20" t="s">
        <v>825</v>
      </c>
      <c r="G3" s="6" t="s">
        <v>1047</v>
      </c>
      <c r="H3" s="6" t="s">
        <v>1048</v>
      </c>
    </row>
    <row r="4" customFormat="false" ht="17.15" hidden="false" customHeight="false" outlineLevel="0" collapsed="false">
      <c r="A4" s="5" t="s">
        <v>1049</v>
      </c>
      <c r="B4" s="5" t="s">
        <v>1050</v>
      </c>
      <c r="C4" s="30" t="n">
        <f aca="false">Val!$C$179</f>
        <v>199.45069716674</v>
      </c>
      <c r="D4" s="54" t="n">
        <f aca="false">C4/C$4-1</f>
        <v>0</v>
      </c>
      <c r="E4" s="13" t="n">
        <f aca="false">PL!$I$123</f>
        <v>0.346606134604193</v>
      </c>
      <c r="F4" s="30" t="n">
        <f aca="false">PL!$I$146</f>
        <v>12.4064954399249</v>
      </c>
      <c r="G4" s="46" t="n">
        <f aca="false">CF!$G$71</f>
        <v>10.1939914156684</v>
      </c>
      <c r="H4" s="8" t="s">
        <v>1051</v>
      </c>
    </row>
    <row r="5" customFormat="false" ht="17.15" hidden="false" customHeight="false" outlineLevel="0" collapsed="false">
      <c r="A5" s="5" t="s">
        <v>1052</v>
      </c>
      <c r="B5" s="0" t="s">
        <v>1053</v>
      </c>
      <c r="C5" s="30" t="n">
        <f aca="false">Sens!$C$537</f>
        <v>178.975101630647</v>
      </c>
      <c r="D5" s="54" t="n">
        <f aca="false">C5/C$4-1</f>
        <v>-0.102659934645282</v>
      </c>
      <c r="E5" s="13" t="n">
        <f aca="false">Sens!$I$435</f>
        <v>0.313016100672469</v>
      </c>
      <c r="F5" s="30" t="n">
        <f aca="false">Sens!$I$458</f>
        <v>11.3623071279543</v>
      </c>
      <c r="G5" s="46" t="n">
        <f aca="false">Sens!$G$490</f>
        <v>-51.5941543670482</v>
      </c>
      <c r="H5" s="5" t="s">
        <v>1054</v>
      </c>
    </row>
    <row r="6" customFormat="false" ht="17.15" hidden="false" customHeight="false" outlineLevel="0" collapsed="false">
      <c r="A6" s="5" t="s">
        <v>1055</v>
      </c>
      <c r="B6" s="5" t="s">
        <v>1056</v>
      </c>
      <c r="C6" s="30" t="n">
        <f aca="false">Sens!$C$778</f>
        <v>263.981503725834</v>
      </c>
      <c r="D6" s="54" t="n">
        <f aca="false">C6/C$4-1</f>
        <v>0.323542647259567</v>
      </c>
      <c r="E6" s="13" t="n">
        <f aca="false">Sens!$I$676</f>
        <v>0.43384844172484</v>
      </c>
      <c r="F6" s="30" t="n">
        <f aca="false">Sens!$I$699</f>
        <v>15.6870657254489</v>
      </c>
      <c r="G6" s="46" t="n">
        <f aca="false">Sens!$G$731</f>
        <v>203.767621798073</v>
      </c>
      <c r="H6" s="5" t="s">
        <v>1054</v>
      </c>
    </row>
    <row r="7" customFormat="false" ht="17.15" hidden="false" customHeight="false" outlineLevel="0" collapsed="false">
      <c r="A7" s="5" t="s">
        <v>1057</v>
      </c>
      <c r="B7" s="0" t="s">
        <v>1058</v>
      </c>
      <c r="C7" s="30" t="n">
        <f aca="false">Sens!$C$1019</f>
        <v>198.994256071939</v>
      </c>
      <c r="D7" s="54" t="n">
        <f aca="false">C7/C$4-1</f>
        <v>-0.00228849084653826</v>
      </c>
      <c r="E7" s="13" t="n">
        <f aca="false">Sens!$I$917</f>
        <v>0.354347925730501</v>
      </c>
      <c r="F7" s="30" t="n">
        <f aca="false">Sens!$I$940</f>
        <v>13.6771017635104</v>
      </c>
      <c r="G7" s="46" t="n">
        <f aca="false">Sens!$G$972</f>
        <v>-316.346653024593</v>
      </c>
      <c r="H7" s="5" t="s">
        <v>1054</v>
      </c>
    </row>
    <row r="8" customFormat="false" ht="17.15" hidden="false" customHeight="false" outlineLevel="0" collapsed="false">
      <c r="A8" s="5" t="s">
        <v>1059</v>
      </c>
      <c r="B8" s="0" t="s">
        <v>1060</v>
      </c>
      <c r="C8" s="30" t="n">
        <f aca="false">Sens!$C$1260</f>
        <v>197.350644271493</v>
      </c>
      <c r="D8" s="54" t="n">
        <f aca="false">C8/C$4-1</f>
        <v>-0.010529183026578</v>
      </c>
      <c r="E8" s="13" t="n">
        <f aca="false">Sens!$I$1158</f>
        <v>0.333062917769831</v>
      </c>
      <c r="F8" s="30" t="n">
        <f aca="false">Sens!$I$1181</f>
        <v>11.3819163988125</v>
      </c>
      <c r="G8" s="46" t="n">
        <f aca="false">Sens!$G$1213</f>
        <v>187.916739308337</v>
      </c>
      <c r="H8" s="5" t="s">
        <v>1054</v>
      </c>
    </row>
    <row r="9" customFormat="false" ht="17.15" hidden="false" customHeight="false" outlineLevel="0" collapsed="false">
      <c r="A9" s="0" t="s">
        <v>1061</v>
      </c>
      <c r="B9" s="5" t="s">
        <v>1062</v>
      </c>
      <c r="C9" s="30" t="n">
        <f aca="false">Sens!$C$1501</f>
        <v>201.352017969834</v>
      </c>
      <c r="D9" s="54" t="n">
        <f aca="false">C9/C$4-1</f>
        <v>0.0095327859471166</v>
      </c>
      <c r="E9" s="13" t="n">
        <f aca="false">Sens!$I$1399</f>
        <v>0.335902013838478</v>
      </c>
      <c r="F9" s="30" t="n">
        <f aca="false">Sens!$I$1422</f>
        <v>11.676618129939</v>
      </c>
      <c r="G9" s="46" t="n">
        <f aca="false">Sens!$G$1454</f>
        <v>142.071991686112</v>
      </c>
      <c r="H9" s="5" t="s">
        <v>1054</v>
      </c>
    </row>
    <row r="10" customFormat="false" ht="17.15" hidden="false" customHeight="false" outlineLevel="0" collapsed="false">
      <c r="A10" s="0" t="s">
        <v>1063</v>
      </c>
      <c r="B10" s="0" t="s">
        <v>1064</v>
      </c>
      <c r="C10" s="30" t="n">
        <f aca="false">Sens!$C$1742</f>
        <v>195.303623506064</v>
      </c>
      <c r="D10" s="54" t="n">
        <f aca="false">C10/C$4-1</f>
        <v>-0.0207924751308818</v>
      </c>
      <c r="E10" s="13" t="n">
        <f aca="false">Sens!$I$1640</f>
        <v>0.349783978521844</v>
      </c>
      <c r="F10" s="30" t="n">
        <f aca="false">Sens!$I$1663</f>
        <v>12.8305067712291</v>
      </c>
      <c r="G10" s="46" t="n">
        <f aca="false">Sens!$G$1695</f>
        <v>-142.78737759474</v>
      </c>
      <c r="H10" s="5" t="s">
        <v>1054</v>
      </c>
    </row>
    <row r="11" customFormat="false" ht="17.15" hidden="false" customHeight="false" outlineLevel="0" collapsed="false">
      <c r="A11" s="0" t="s">
        <v>1065</v>
      </c>
      <c r="B11" s="0" t="s">
        <v>1066</v>
      </c>
      <c r="C11" s="30" t="n">
        <f aca="false">Sens!$C$1983</f>
        <v>184.54330507338</v>
      </c>
      <c r="D11" s="54" t="n">
        <f aca="false">C11/C$4-1</f>
        <v>-0.0747422410907769</v>
      </c>
      <c r="E11" s="13" t="n">
        <f aca="false">Sens!$I$1881</f>
        <v>0.319482346142603</v>
      </c>
      <c r="F11" s="30" t="n">
        <f aca="false">Sens!$I$1904</f>
        <v>11.7237616360819</v>
      </c>
      <c r="G11" s="46" t="n">
        <f aca="false">Sens!$G$1936</f>
        <v>-23.0055128573657</v>
      </c>
      <c r="H11" s="5" t="s">
        <v>1054</v>
      </c>
    </row>
    <row r="12" customFormat="false" ht="17.15" hidden="false" customHeight="false" outlineLevel="0" collapsed="false">
      <c r="A12" s="0" t="s">
        <v>1067</v>
      </c>
      <c r="B12" s="0" t="s">
        <v>1068</v>
      </c>
      <c r="C12" s="30" t="n">
        <f aca="false">Sens!$C$2224</f>
        <v>209.983994407183</v>
      </c>
      <c r="D12" s="54" t="n">
        <f aca="false">C12/C$4-1</f>
        <v>0.052811533828016</v>
      </c>
      <c r="E12" s="13" t="n">
        <f aca="false">Sens!$I$2122</f>
        <v>0.365980269219614</v>
      </c>
      <c r="F12" s="30" t="n">
        <f aca="false">Sens!$I$2145</f>
        <v>12.8941624426699</v>
      </c>
      <c r="G12" s="46" t="n">
        <f aca="false">Sens!$G$2177</f>
        <v>10.1756605534134</v>
      </c>
      <c r="H12" s="5" t="s">
        <v>1054</v>
      </c>
    </row>
    <row r="13" customFormat="false" ht="17.15" hidden="false" customHeight="false" outlineLevel="0" collapsed="false">
      <c r="A13" s="5" t="s">
        <v>1069</v>
      </c>
      <c r="B13" s="0" t="s">
        <v>1070</v>
      </c>
      <c r="C13" s="30" t="n">
        <f aca="false">Sens!$C$2465</f>
        <v>195.319025336379</v>
      </c>
      <c r="D13" s="54" t="n">
        <f aca="false">C13/C$4-1</f>
        <v>-0.0207152538900762</v>
      </c>
      <c r="E13" s="13" t="n">
        <f aca="false">Sens!$I$2363</f>
        <v>0.33363255950797</v>
      </c>
      <c r="F13" s="30" t="n">
        <f aca="false">Sens!$I$2386</f>
        <v>11.8030651454626</v>
      </c>
      <c r="G13" s="46" t="n">
        <f aca="false">Sens!$G$2418</f>
        <v>51.2035987847425</v>
      </c>
      <c r="H13" s="5" t="s">
        <v>1054</v>
      </c>
    </row>
    <row r="14" customFormat="false" ht="17.15" hidden="false" customHeight="false" outlineLevel="0" collapsed="false">
      <c r="A14" s="5" t="s">
        <v>1071</v>
      </c>
      <c r="B14" s="0" t="s">
        <v>1072</v>
      </c>
      <c r="C14" s="30" t="n">
        <f aca="false">Sens!$C$2706</f>
        <v>178.260016305072</v>
      </c>
      <c r="D14" s="54" t="n">
        <f aca="false">C14/C$4-1</f>
        <v>-0.106245208277981</v>
      </c>
      <c r="E14" s="13" t="n">
        <f aca="false">Sens!$I$2604</f>
        <v>0.346606134604193</v>
      </c>
      <c r="F14" s="30" t="n">
        <f aca="false">Sens!$I$2627</f>
        <v>10.501928796986</v>
      </c>
      <c r="G14" s="46" t="n">
        <f aca="false">Sens!$G$2659</f>
        <v>10.1939914156684</v>
      </c>
      <c r="H14" s="5" t="s">
        <v>1054</v>
      </c>
    </row>
    <row r="15" customFormat="false" ht="17.15" hidden="false" customHeight="false" outlineLevel="0" collapsed="false">
      <c r="A15" s="5" t="s">
        <v>1073</v>
      </c>
      <c r="B15" s="5" t="s">
        <v>1074</v>
      </c>
      <c r="C15" s="30" t="n">
        <f aca="false">Sens!$C$2947</f>
        <v>196.364481448686</v>
      </c>
      <c r="D15" s="54" t="n">
        <f aca="false">C15/C$4-1</f>
        <v>-0.015473576988675</v>
      </c>
      <c r="E15" s="13" t="n">
        <f aca="false">Sens!$I$2845</f>
        <v>0.346955345262401</v>
      </c>
      <c r="F15" s="30" t="n">
        <f aca="false">Sens!$I$2868</f>
        <v>12.3302934277661</v>
      </c>
      <c r="G15" s="46" t="n">
        <f aca="false">Sens!$G$2900</f>
        <v>9.85471695547294</v>
      </c>
      <c r="H15" s="5" t="s">
        <v>1054</v>
      </c>
    </row>
    <row r="16" customFormat="false" ht="17.15" hidden="false" customHeight="false" outlineLevel="0" collapsed="false">
      <c r="A16" s="0" t="s">
        <v>1075</v>
      </c>
      <c r="B16" s="0" t="s">
        <v>1076</v>
      </c>
      <c r="C16" s="30" t="n">
        <f aca="false">Sens!$C$3188</f>
        <v>195.472059361827</v>
      </c>
      <c r="D16" s="54" t="n">
        <f aca="false">C16/C$4-1</f>
        <v>-0.0199479764244058</v>
      </c>
      <c r="E16" s="13" t="n">
        <f aca="false">Sens!$I$3086</f>
        <v>0.346240151138714</v>
      </c>
      <c r="F16" s="30" t="n">
        <f aca="false">Sens!$I$3109</f>
        <v>12.3047798874238</v>
      </c>
      <c r="G16" s="46" t="n">
        <f aca="false">Sens!$G$3141</f>
        <v>1.90771824474325</v>
      </c>
      <c r="H16" s="5" t="s">
        <v>1077</v>
      </c>
    </row>
    <row r="17" customFormat="false" ht="17.15" hidden="false" customHeight="false" outlineLevel="0" collapsed="false">
      <c r="A17" s="0" t="s">
        <v>1078</v>
      </c>
      <c r="B17" s="0" t="s">
        <v>1079</v>
      </c>
      <c r="C17" s="30" t="n">
        <f aca="false">Sens!$C$3429</f>
        <v>203.715716831375</v>
      </c>
      <c r="D17" s="54" t="n">
        <f aca="false">C17/C$4-1</f>
        <v>0.0213838293133133</v>
      </c>
      <c r="E17" s="13" t="n">
        <f aca="false">Sens!$I$3327</f>
        <v>0.346966017067345</v>
      </c>
      <c r="F17" s="30" t="n">
        <f aca="false">Sens!$I$3350</f>
        <v>12.5091093061484</v>
      </c>
      <c r="G17" s="46" t="n">
        <f aca="false">Sens!$G$3382</f>
        <v>18.760912868579</v>
      </c>
      <c r="H17" s="5" t="s">
        <v>1077</v>
      </c>
    </row>
    <row r="18" customFormat="false" ht="17.15" hidden="false" customHeight="false" outlineLevel="0" collapsed="false">
      <c r="A18" s="5" t="s">
        <v>1080</v>
      </c>
      <c r="B18" s="0" t="s">
        <v>1081</v>
      </c>
      <c r="C18" s="30" t="n">
        <f aca="false">Sens!$C$3670</f>
        <v>200.843417551178</v>
      </c>
      <c r="D18" s="54" t="n">
        <f aca="false">C18/C$4-1</f>
        <v>0.00698278022699972</v>
      </c>
      <c r="E18" s="13" t="n">
        <f aca="false">Sens!$I$3568</f>
        <v>0.346606134604193</v>
      </c>
      <c r="F18" s="30" t="n">
        <f aca="false">Sens!$I$3591</f>
        <v>12.2589375714934</v>
      </c>
      <c r="G18" s="46" t="n">
        <f aca="false">Sens!$G$3623</f>
        <v>2.08774607056802</v>
      </c>
      <c r="H18" s="5" t="s">
        <v>1077</v>
      </c>
    </row>
    <row r="19" customFormat="false" ht="17.15" hidden="false" customHeight="false" outlineLevel="0" collapsed="false">
      <c r="A19" s="5" t="s">
        <v>1082</v>
      </c>
      <c r="B19" s="0" t="s">
        <v>1083</v>
      </c>
      <c r="C19" s="30" t="n">
        <f aca="false">Sens!$C$3911</f>
        <v>198.057976782303</v>
      </c>
      <c r="D19" s="54" t="n">
        <f aca="false">C19/C$4-1</f>
        <v>-0.00698278022699961</v>
      </c>
      <c r="E19" s="13" t="n">
        <f aca="false">Sens!$I$3809</f>
        <v>0.346606134604193</v>
      </c>
      <c r="F19" s="30" t="n">
        <f aca="false">Sens!$I$3832</f>
        <v>12.5540533083564</v>
      </c>
      <c r="G19" s="46" t="n">
        <f aca="false">Sens!$G$3864</f>
        <v>18.3002367607687</v>
      </c>
      <c r="H19" s="5" t="s">
        <v>1077</v>
      </c>
    </row>
    <row r="20" customFormat="false" ht="17.15" hidden="false" customHeight="false" outlineLevel="0" collapsed="false">
      <c r="A20" s="5" t="s">
        <v>1084</v>
      </c>
      <c r="B20" s="0" t="s">
        <v>1085</v>
      </c>
      <c r="C20" s="30" t="n">
        <f aca="false">Sens!$C$4152</f>
        <v>196.272203173356</v>
      </c>
      <c r="D20" s="54" t="n">
        <f aca="false">C20/C$4-1</f>
        <v>-0.015936239073294</v>
      </c>
      <c r="E20" s="13" t="n">
        <f aca="false">Sens!$I$4050</f>
        <v>0.346606134604193</v>
      </c>
      <c r="F20" s="30" t="n">
        <f aca="false">Sens!$I$4073</f>
        <v>12.3227043970149</v>
      </c>
      <c r="G20" s="46" t="n">
        <f aca="false">Sens!$G$4105</f>
        <v>2.6164903242026</v>
      </c>
      <c r="H20" s="5" t="s">
        <v>1077</v>
      </c>
    </row>
    <row r="21" customFormat="false" ht="17.15" hidden="false" customHeight="false" outlineLevel="0" collapsed="false">
      <c r="A21" s="5" t="s">
        <v>1086</v>
      </c>
      <c r="B21" s="0" t="s">
        <v>1087</v>
      </c>
      <c r="C21" s="30" t="n">
        <f aca="false">Sens!$C$4393</f>
        <v>202.885093896291</v>
      </c>
      <c r="D21" s="54" t="n">
        <f aca="false">C21/C$4-1</f>
        <v>0.0172192766349624</v>
      </c>
      <c r="E21" s="13" t="n">
        <f aca="false">Sens!$I$4291</f>
        <v>0.346606134604193</v>
      </c>
      <c r="F21" s="30" t="n">
        <f aca="false">Sens!$I$4314</f>
        <v>12.4909834103741</v>
      </c>
      <c r="G21" s="46" t="n">
        <f aca="false">Sens!$G$4346</f>
        <v>18.0214213310727</v>
      </c>
      <c r="H21" s="5" t="s">
        <v>1077</v>
      </c>
    </row>
    <row r="22" customFormat="false" ht="17.15" hidden="false" customHeight="false" outlineLevel="0" collapsed="false">
      <c r="A22" s="5" t="s">
        <v>1088</v>
      </c>
      <c r="B22" s="0" t="s">
        <v>1089</v>
      </c>
      <c r="C22" s="30" t="n">
        <f aca="false">Sens!$C$4634</f>
        <v>194.950437844361</v>
      </c>
      <c r="D22" s="54" t="n">
        <f aca="false">C22/C$4-1</f>
        <v>-0.0225632669441959</v>
      </c>
      <c r="E22" s="13" t="n">
        <f aca="false">Sens!$I$4532</f>
        <v>0.346606134604193</v>
      </c>
      <c r="F22" s="30" t="n">
        <f aca="false">Sens!$I$4555</f>
        <v>12.1842194228261</v>
      </c>
      <c r="G22" s="46" t="n">
        <f aca="false">Sens!$G$4587</f>
        <v>-3.22447072504031</v>
      </c>
      <c r="H22" s="5" t="s">
        <v>1077</v>
      </c>
    </row>
    <row r="23" customFormat="false" ht="17.15" hidden="false" customHeight="false" outlineLevel="0" collapsed="false">
      <c r="A23" s="5" t="s">
        <v>1090</v>
      </c>
      <c r="B23" s="0" t="s">
        <v>1091</v>
      </c>
      <c r="C23" s="30" t="n">
        <f aca="false">Sens!$C$4875</f>
        <v>203.95095648912</v>
      </c>
      <c r="D23" s="54" t="n">
        <f aca="false">C23/C$4-1</f>
        <v>0.0225632669441957</v>
      </c>
      <c r="E23" s="13" t="n">
        <f aca="false">Sens!$I$4773</f>
        <v>0.346606134604193</v>
      </c>
      <c r="F23" s="30" t="n">
        <f aca="false">Sens!$I$4796</f>
        <v>12.6287714570237</v>
      </c>
      <c r="G23" s="46" t="n">
        <f aca="false">Sens!$G$4828</f>
        <v>23.612453556377</v>
      </c>
      <c r="H23" s="5" t="s">
        <v>1077</v>
      </c>
    </row>
    <row r="24" customFormat="false" ht="15" hidden="false" customHeight="false" outlineLevel="0" collapsed="false">
      <c r="A24" s="0" t="s">
        <v>1092</v>
      </c>
      <c r="C24" s="30" t="n">
        <f aca="false">Sens!$C$5116</f>
        <v>212.321215671374</v>
      </c>
      <c r="D24" s="54" t="n">
        <f aca="false">C24/C$4-1</f>
        <v>0.0645298246005812</v>
      </c>
      <c r="E24" s="13" t="n">
        <f aca="false">Sens!$I$5014</f>
        <v>0.346606134604193</v>
      </c>
      <c r="F24" s="30" t="n">
        <f aca="false">Sens!$I$5037</f>
        <v>12.4064954399249</v>
      </c>
      <c r="G24" s="46" t="n">
        <f aca="false">Sens!$G$5069</f>
        <v>10.1939914156684</v>
      </c>
      <c r="H24" s="5" t="s">
        <v>1093</v>
      </c>
    </row>
    <row r="25" customFormat="false" ht="15" hidden="false" customHeight="false" outlineLevel="0" collapsed="false">
      <c r="A25" s="0" t="s">
        <v>1094</v>
      </c>
      <c r="C25" s="30" t="n">
        <f aca="false">Sens!$C$5357</f>
        <v>189.390184292243</v>
      </c>
      <c r="D25" s="54" t="n">
        <f aca="false">C25/C$4-1</f>
        <v>-0.05044110157252</v>
      </c>
      <c r="E25" s="13" t="n">
        <f aca="false">Sens!$I$5255</f>
        <v>0.346606134604193</v>
      </c>
      <c r="F25" s="30" t="n">
        <f aca="false">Sens!$I$5278</f>
        <v>12.4064954399249</v>
      </c>
      <c r="G25" s="46" t="n">
        <f aca="false">Sens!$G$5310</f>
        <v>10.1939914156684</v>
      </c>
      <c r="H25" s="5" t="s">
        <v>1093</v>
      </c>
    </row>
    <row r="26" customFormat="false" ht="17.15" hidden="false" customHeight="false" outlineLevel="0" collapsed="false">
      <c r="A26" s="5" t="s">
        <v>1095</v>
      </c>
      <c r="C26" s="30" t="n">
        <f aca="false">Sens!$C$5598</f>
        <v>199.078987944657</v>
      </c>
      <c r="D26" s="54" t="n">
        <f aca="false">C26/C$4-1</f>
        <v>-0.00186366469189414</v>
      </c>
      <c r="E26" s="13" t="n">
        <f aca="false">Sens!$I$5496</f>
        <v>0.346606134604193</v>
      </c>
      <c r="F26" s="30" t="n">
        <f aca="false">Sens!$I$5519</f>
        <v>12.4064954399249</v>
      </c>
      <c r="G26" s="46" t="n">
        <f aca="false">Sens!$G$5551</f>
        <v>12.783711776067</v>
      </c>
      <c r="H26" s="5" t="s">
        <v>1093</v>
      </c>
    </row>
    <row r="27" customFormat="false" ht="17.15" hidden="false" customHeight="false" outlineLevel="0" collapsed="false">
      <c r="A27" s="5" t="s">
        <v>1096</v>
      </c>
      <c r="C27" s="30" t="n">
        <f aca="false">Sens!$C$5839</f>
        <v>199.831864660968</v>
      </c>
      <c r="D27" s="54" t="n">
        <f aca="false">C27/C$4-1</f>
        <v>0.00191108629672443</v>
      </c>
      <c r="E27" s="13" t="n">
        <f aca="false">Sens!$I$5737</f>
        <v>0.346606134604193</v>
      </c>
      <c r="F27" s="30" t="n">
        <f aca="false">Sens!$I$5760</f>
        <v>12.4064954399249</v>
      </c>
      <c r="G27" s="46" t="n">
        <f aca="false">Sens!$G$5792</f>
        <v>7.60425481387041</v>
      </c>
      <c r="H27" s="5" t="s">
        <v>1093</v>
      </c>
    </row>
    <row r="28" customFormat="false" ht="17.15" hidden="false" customHeight="false" outlineLevel="0" collapsed="false">
      <c r="A28" s="0" t="s">
        <v>1097</v>
      </c>
      <c r="B28" s="5" t="s">
        <v>1098</v>
      </c>
      <c r="C28" s="30" t="n">
        <f aca="false">Sens!$C$6080</f>
        <v>206.177248318227</v>
      </c>
      <c r="D28" s="54" t="n">
        <f aca="false">C28/C$4-1</f>
        <v>0.0337253829996054</v>
      </c>
      <c r="E28" s="13" t="n">
        <f aca="false">Sens!$I$5978</f>
        <v>0.346606134604193</v>
      </c>
      <c r="F28" s="30" t="n">
        <f aca="false">Sens!$I$6001</f>
        <v>12.4064954399249</v>
      </c>
      <c r="G28" s="46" t="n">
        <f aca="false">Sens!$G$6033</f>
        <v>10.1939914156684</v>
      </c>
      <c r="H28" s="5" t="s">
        <v>1093</v>
      </c>
    </row>
    <row r="29" customFormat="false" ht="17.15" hidden="false" customHeight="false" outlineLevel="0" collapsed="false">
      <c r="A29" s="5" t="s">
        <v>1099</v>
      </c>
      <c r="B29" s="5" t="s">
        <v>1100</v>
      </c>
      <c r="C29" s="30" t="n">
        <f aca="false">Sens!$C$6321</f>
        <v>174.012171717495</v>
      </c>
      <c r="D29" s="54" t="n">
        <f aca="false">C29/C$4-1</f>
        <v>-0.127542925698471</v>
      </c>
      <c r="E29" s="13" t="n">
        <f aca="false">Sens!$I$6219</f>
        <v>0.346606134604193</v>
      </c>
      <c r="F29" s="30" t="n">
        <f aca="false">Sens!$I$6242</f>
        <v>12.4064954399249</v>
      </c>
      <c r="G29" s="46" t="n">
        <f aca="false">Sens!$G$6274</f>
        <v>10.1939914156684</v>
      </c>
      <c r="H29" s="5" t="s">
        <v>1093</v>
      </c>
    </row>
    <row r="30" customFormat="false" ht="17.15" hidden="false" customHeight="false" outlineLevel="0" collapsed="false">
      <c r="A30" s="5" t="s">
        <v>1101</v>
      </c>
      <c r="C30" s="30" t="n">
        <f aca="false">Sens!$C$6562</f>
        <v>224.889222615986</v>
      </c>
      <c r="D30" s="54" t="n">
        <f aca="false">C30/C$4-1</f>
        <v>0.127542925698471</v>
      </c>
      <c r="E30" s="13" t="n">
        <f aca="false">Sens!$I$6460</f>
        <v>0.346606134604193</v>
      </c>
      <c r="F30" s="30" t="n">
        <f aca="false">Sens!$I$6483</f>
        <v>12.4064954399249</v>
      </c>
      <c r="G30" s="46" t="n">
        <f aca="false">Sens!$G$6515</f>
        <v>10.1939914156684</v>
      </c>
      <c r="H30" s="5" t="s">
        <v>1093</v>
      </c>
    </row>
    <row r="31" customFormat="false" ht="17.15" hidden="false" customHeight="false" outlineLevel="0" collapsed="false">
      <c r="A31" s="0" t="s">
        <v>1102</v>
      </c>
      <c r="B31" s="5" t="s">
        <v>1103</v>
      </c>
      <c r="C31" s="30" t="n">
        <f aca="false">Sens!$C$6803</f>
        <v>218.439476533639</v>
      </c>
      <c r="D31" s="54" t="n">
        <f aca="false">C31/C$4-1</f>
        <v>0.0952053797587087</v>
      </c>
      <c r="E31" s="13" t="n">
        <f aca="false">Sens!$I$6701</f>
        <v>0.346606134604193</v>
      </c>
      <c r="F31" s="30" t="n">
        <f aca="false">Sens!$I$6724</f>
        <v>12.4064954399249</v>
      </c>
      <c r="G31" s="46" t="n">
        <f aca="false">Sens!$G$6756</f>
        <v>10.1939914156684</v>
      </c>
      <c r="H31" s="5" t="s">
        <v>1093</v>
      </c>
    </row>
    <row r="32" customFormat="false" ht="17.15" hidden="false" customHeight="false" outlineLevel="0" collapsed="false">
      <c r="A32" s="0" t="s">
        <v>1104</v>
      </c>
      <c r="C32" s="30" t="n">
        <f aca="false">Sens!$C$7044</f>
        <v>231.978656673723</v>
      </c>
      <c r="D32" s="54" t="n">
        <f aca="false">C32/C$4-1</f>
        <v>0.16308772026898</v>
      </c>
      <c r="E32" s="13" t="n">
        <f aca="false">Sens!$I$6942</f>
        <v>0.346606134604193</v>
      </c>
      <c r="F32" s="30" t="n">
        <f aca="false">Sens!$I$6965</f>
        <v>12.4064954399249</v>
      </c>
      <c r="G32" s="46" t="n">
        <f aca="false">Sens!$G$6997</f>
        <v>10.1939914156684</v>
      </c>
      <c r="H32" s="5" t="s">
        <v>1093</v>
      </c>
    </row>
    <row r="33" customFormat="false" ht="17.15" hidden="false" customHeight="false" outlineLevel="0" collapsed="false">
      <c r="A33" s="0" t="s">
        <v>1105</v>
      </c>
      <c r="B33" s="5" t="s">
        <v>1106</v>
      </c>
      <c r="C33" s="30" t="n">
        <f aca="false">Sens!$C$7285</f>
        <v>197.22489401316</v>
      </c>
      <c r="D33" s="54" t="n">
        <f aca="false">C33/C$4-1</f>
        <v>-0.0111596659485207</v>
      </c>
      <c r="E33" s="13" t="n">
        <f aca="false">Sens!$I$7183</f>
        <v>0.346606134604193</v>
      </c>
      <c r="F33" s="30" t="n">
        <f aca="false">Sens!$I$7206</f>
        <v>12.4064954399249</v>
      </c>
      <c r="G33" s="46" t="n">
        <f aca="false">Sens!$G$7238</f>
        <v>10.1939914156684</v>
      </c>
      <c r="H33" s="5" t="s">
        <v>1093</v>
      </c>
    </row>
    <row r="34" customFormat="false" ht="17.15" hidden="false" customHeight="false" outlineLevel="0" collapsed="false">
      <c r="A34" s="0" t="s">
        <v>1107</v>
      </c>
      <c r="C34" s="30" t="n">
        <f aca="false">Sens!$C$7526</f>
        <v>201.676500320321</v>
      </c>
      <c r="D34" s="54" t="n">
        <f aca="false">C34/C$4-1</f>
        <v>0.0111596659485209</v>
      </c>
      <c r="E34" s="13" t="n">
        <f aca="false">Sens!$I$7424</f>
        <v>0.346606134604193</v>
      </c>
      <c r="F34" s="30" t="n">
        <f aca="false">Sens!$I$7447</f>
        <v>12.4064954399249</v>
      </c>
      <c r="G34" s="46" t="n">
        <f aca="false">Sens!$G$7479</f>
        <v>10.1939914156684</v>
      </c>
      <c r="H34" s="5" t="s">
        <v>1093</v>
      </c>
    </row>
    <row r="35" customFormat="false" ht="17.15" hidden="false" customHeight="false" outlineLevel="0" collapsed="false">
      <c r="A35" s="0" t="s">
        <v>1108</v>
      </c>
      <c r="B35" s="5" t="s">
        <v>1109</v>
      </c>
      <c r="C35" s="30" t="n">
        <f aca="false">Sens!$C$7767</f>
        <v>223.511842336475</v>
      </c>
      <c r="D35" s="54" t="n">
        <f aca="false">C35/C$4-1</f>
        <v>0.12063705723535</v>
      </c>
      <c r="E35" s="13" t="n">
        <f aca="false">Sens!$I$7665</f>
        <v>0.346606134604193</v>
      </c>
      <c r="F35" s="30" t="n">
        <f aca="false">Sens!$I$7688</f>
        <v>12.4064954399249</v>
      </c>
      <c r="G35" s="46" t="n">
        <f aca="false">Sens!$G$7720</f>
        <v>10.1939914156684</v>
      </c>
      <c r="H35" s="5" t="s">
        <v>1093</v>
      </c>
    </row>
    <row r="36" customFormat="false" ht="17.15" hidden="false" customHeight="false" outlineLevel="0" collapsed="false">
      <c r="A36" s="0" t="s">
        <v>1110</v>
      </c>
      <c r="C36" s="30" t="n">
        <f aca="false">Sens!$C$8008</f>
        <v>175.389551997006</v>
      </c>
      <c r="D36" s="54" t="n">
        <f aca="false">C36/C$4-1</f>
        <v>-0.12063705723535</v>
      </c>
      <c r="E36" s="13" t="n">
        <f aca="false">Sens!$I$7906</f>
        <v>0.346606134604193</v>
      </c>
      <c r="F36" s="30" t="n">
        <f aca="false">Sens!$I$7929</f>
        <v>12.4064954399249</v>
      </c>
      <c r="G36" s="46" t="n">
        <f aca="false">Sens!$G$7961</f>
        <v>10.1939914156684</v>
      </c>
      <c r="H36" s="5" t="s">
        <v>1093</v>
      </c>
    </row>
    <row r="38" customFormat="false" ht="17.15" hidden="false" customHeight="false" outlineLevel="0" collapsed="false">
      <c r="A38" s="24" t="s">
        <v>1111</v>
      </c>
      <c r="B38" s="25"/>
      <c r="C38" s="55" t="n">
        <f aca="false">Sens!$C$296-C4</f>
        <v>0</v>
      </c>
      <c r="D38" s="25"/>
      <c r="E38" s="25"/>
      <c r="F38" s="25"/>
      <c r="G38" s="25"/>
      <c r="H38" s="25"/>
    </row>
    <row r="39" customFormat="false" ht="17.15" hidden="false" customHeight="false" outlineLevel="0" collapsed="false">
      <c r="A39" s="5" t="s">
        <v>1112</v>
      </c>
    </row>
    <row r="41" customFormat="false" ht="17.15" hidden="false" customHeight="false" outlineLevel="0" collapsed="false">
      <c r="A41" s="1" t="s">
        <v>1113</v>
      </c>
    </row>
    <row r="42" customFormat="false" ht="17.15" hidden="false" customHeight="false" outlineLevel="0" collapsed="false">
      <c r="A42" s="20" t="s">
        <v>1114</v>
      </c>
      <c r="B42" s="20" t="s">
        <v>1115</v>
      </c>
      <c r="C42" s="20" t="s">
        <v>1116</v>
      </c>
      <c r="D42" s="20" t="s">
        <v>1117</v>
      </c>
    </row>
    <row r="43" customFormat="false" ht="15" hidden="false" customHeight="false" outlineLevel="0" collapsed="false">
      <c r="A43" s="0" t="s">
        <v>1092</v>
      </c>
      <c r="B43" s="30" t="n">
        <f aca="false">Sens!$C$8249</f>
        <v>210.729704288624</v>
      </c>
      <c r="C43" s="30" t="n">
        <f aca="false">Sens!$C$8490</f>
        <v>212.321215671374</v>
      </c>
      <c r="D43" s="30" t="n">
        <f aca="false">Sens!$C$8731</f>
        <v>214.300376766255</v>
      </c>
    </row>
    <row r="44" customFormat="false" ht="17.15" hidden="false" customHeight="false" outlineLevel="0" collapsed="false">
      <c r="A44" s="0" t="s">
        <v>1118</v>
      </c>
      <c r="B44" s="30" t="n">
        <f aca="false">Sens!$C$8972</f>
        <v>199.078987944657</v>
      </c>
      <c r="C44" s="30" t="n">
        <f aca="false">Sens!$C$9213</f>
        <v>199.45069716674</v>
      </c>
      <c r="D44" s="30" t="n">
        <f aca="false">Sens!$C$9454</f>
        <v>199.831864660968</v>
      </c>
    </row>
    <row r="45" customFormat="false" ht="15" hidden="false" customHeight="false" outlineLevel="0" collapsed="false">
      <c r="A45" s="0" t="s">
        <v>1094</v>
      </c>
      <c r="B45" s="30" t="n">
        <f aca="false">Sens!$C$9695</f>
        <v>189.74596213535</v>
      </c>
      <c r="C45" s="30" t="n">
        <f aca="false">Sens!$C$9936</f>
        <v>189.390184292243</v>
      </c>
      <c r="D45" s="30" t="n">
        <f aca="false">Sens!$C$10177</f>
        <v>188.874218398458</v>
      </c>
    </row>
    <row r="48" customFormat="false" ht="17.15" hidden="false" customHeight="false" outlineLevel="0" collapsed="false">
      <c r="A48" s="3" t="s">
        <v>1119</v>
      </c>
    </row>
    <row r="49" customFormat="false" ht="15" hidden="false" customHeight="false" outlineLevel="0" collapsed="false">
      <c r="A49" s="6" t="s">
        <v>1120</v>
      </c>
      <c r="B49" s="6" t="s">
        <v>1121</v>
      </c>
      <c r="C49" s="20" t="s">
        <v>1122</v>
      </c>
      <c r="D49" s="6" t="s">
        <v>1123</v>
      </c>
    </row>
    <row r="50" customFormat="false" ht="17.15" hidden="false" customHeight="false" outlineLevel="0" collapsed="false">
      <c r="A50" s="0" t="s">
        <v>1124</v>
      </c>
      <c r="B50" s="30" t="n">
        <f aca="false">Sens!$C$10418</f>
        <v>243.589215666423</v>
      </c>
      <c r="C50" s="30" t="n">
        <f aca="false">Sens!$C$10396</f>
        <v>170.25252715841</v>
      </c>
      <c r="D50" s="30" t="n">
        <f aca="false">Sens!$C$10417</f>
        <v>316.925904174436</v>
      </c>
    </row>
    <row r="51" customFormat="false" ht="17.15" hidden="false" customHeight="false" outlineLevel="0" collapsed="false">
      <c r="A51" s="0" t="s">
        <v>1125</v>
      </c>
      <c r="B51" s="30" t="n">
        <f aca="false">Sens!$C$10659</f>
        <v>178.260016305072</v>
      </c>
      <c r="C51" s="30" t="n">
        <f aca="false">Sens!$C$10637</f>
        <v>104.736612633675</v>
      </c>
      <c r="D51" s="30" t="n">
        <f aca="false">Sens!$C$10658</f>
        <v>251.783419976468</v>
      </c>
    </row>
    <row r="52" customFormat="false" ht="17.15" hidden="false" customHeight="false" outlineLevel="0" collapsed="false">
      <c r="A52" s="0" t="s">
        <v>1126</v>
      </c>
      <c r="B52" s="30" t="n">
        <f aca="false">Sens!$C$10900</f>
        <v>157.784420768978</v>
      </c>
      <c r="C52" s="30" t="n">
        <f aca="false">Sens!$C$10878</f>
        <v>84.1687655239396</v>
      </c>
      <c r="D52" s="30" t="n">
        <f aca="false">Sens!$C$10899</f>
        <v>231.400076014017</v>
      </c>
    </row>
    <row r="60" customFormat="false" ht="19.4" hidden="false" customHeight="false" outlineLevel="0" collapsed="false">
      <c r="A60" s="31" t="s">
        <v>1127</v>
      </c>
    </row>
    <row r="61" customFormat="false" ht="17.15" hidden="false" customHeight="false" outlineLevel="0" collapsed="false">
      <c r="A61" s="6" t="s">
        <v>16</v>
      </c>
      <c r="B61" s="6" t="s">
        <v>17</v>
      </c>
      <c r="C61" s="20" t="s">
        <v>494</v>
      </c>
      <c r="D61" s="20" t="s">
        <v>495</v>
      </c>
      <c r="E61" s="20" t="s">
        <v>577</v>
      </c>
      <c r="F61" s="20" t="s">
        <v>578</v>
      </c>
      <c r="G61" s="20" t="s">
        <v>579</v>
      </c>
      <c r="H61" s="20" t="s">
        <v>580</v>
      </c>
      <c r="I61" s="20" t="s">
        <v>581</v>
      </c>
      <c r="J61" s="20" t="s">
        <v>582</v>
      </c>
      <c r="K61" s="20" t="s">
        <v>583</v>
      </c>
      <c r="L61" s="20" t="s">
        <v>584</v>
      </c>
      <c r="M61" s="20" t="s">
        <v>585</v>
      </c>
      <c r="N61" s="20" t="s">
        <v>586</v>
      </c>
      <c r="O61" s="20" t="s">
        <v>587</v>
      </c>
      <c r="P61" s="6" t="s">
        <v>23</v>
      </c>
      <c r="R61" s="20" t="n">
        <v>2023</v>
      </c>
      <c r="S61" s="20" t="n">
        <v>2024</v>
      </c>
      <c r="T61" s="20" t="n">
        <v>2025</v>
      </c>
      <c r="U61" s="20" t="n">
        <v>2026</v>
      </c>
      <c r="V61" s="20" t="n">
        <v>2027</v>
      </c>
      <c r="W61" s="20" t="n">
        <v>2028</v>
      </c>
      <c r="X61" s="20" t="n">
        <v>2029</v>
      </c>
      <c r="Y61" s="20" t="n">
        <v>2030</v>
      </c>
      <c r="Z61" s="20" t="n">
        <v>2031</v>
      </c>
      <c r="AA61" s="20" t="n">
        <v>2032</v>
      </c>
    </row>
    <row r="62" customFormat="false" ht="17.15" hidden="false" customHeight="false" outlineLevel="0" collapsed="false">
      <c r="A62" s="1" t="s">
        <v>660</v>
      </c>
    </row>
    <row r="63" customFormat="false" ht="17.15" hidden="false" customHeight="false" outlineLevel="0" collapsed="false">
      <c r="A63" s="0" t="s">
        <v>516</v>
      </c>
      <c r="B63" s="0" t="s">
        <v>86</v>
      </c>
      <c r="C63" s="38" t="n">
        <f aca="false">Q!$D$10</f>
        <v>247.029</v>
      </c>
      <c r="D63" s="38" t="n">
        <f aca="false">Q!$E$10</f>
        <v>269.287</v>
      </c>
      <c r="E63" s="38" t="n">
        <f aca="false">Q!$P$10</f>
        <v>134.686</v>
      </c>
      <c r="F63" s="38" t="n">
        <f aca="false">Sens!$O$63*(1+Sens!$F$64)*Sens!$F$75</f>
        <v>158.293876822267</v>
      </c>
      <c r="G63" s="38" t="n">
        <f aca="false">Sens!$E$63+Sens!$F$63</f>
        <v>292.979876822267</v>
      </c>
      <c r="H63" s="38" t="n">
        <f aca="false">Sens!$G$63*(1+Sens!$H$64)</f>
        <v>318.184543087396</v>
      </c>
      <c r="I63" s="38" t="n">
        <f aca="false">Sens!$H$63*(1+Sens!$I$64)</f>
        <v>341.736278761793</v>
      </c>
      <c r="J63" s="38" t="n">
        <f aca="false">Sens!$I$63*(1+Sens!$J$64)</f>
        <v>362.927192787048</v>
      </c>
      <c r="K63" s="38" t="n">
        <f aca="false">Sens!$J$63*(1+Sens!$K$64)</f>
        <v>381.0735524264</v>
      </c>
      <c r="L63" s="38" t="n">
        <f aca="false">Sens!$K$63*(1+Sens!$L$64)</f>
        <v>400.12723004772</v>
      </c>
      <c r="M63" s="38" t="n">
        <f aca="false">Sens!$L$63*(1+Sens!$M$64)</f>
        <v>420.133591550106</v>
      </c>
      <c r="N63" s="38" t="n">
        <f aca="false">Q!$N$10</f>
        <v>118.892</v>
      </c>
      <c r="O63" s="38" t="n">
        <f aca="false">Q!$O$10</f>
        <v>150.395</v>
      </c>
      <c r="P63" s="8" t="s">
        <v>661</v>
      </c>
    </row>
    <row r="64" customFormat="false" ht="17.15" hidden="false" customHeight="false" outlineLevel="0" collapsed="false">
      <c r="A64" s="0" t="s">
        <v>662</v>
      </c>
      <c r="B64" s="0" t="s">
        <v>52</v>
      </c>
      <c r="E64" s="13" t="n">
        <f aca="false">Sens!$E$63/Sens!$N$63-1</f>
        <v>0.132843252699929</v>
      </c>
      <c r="F64" s="13" t="n">
        <f aca="false">Sens!$O$63/(Q!$F$10+Q!$G$10)-1</f>
        <v>0.0980382135842941</v>
      </c>
      <c r="G64" s="13" t="n">
        <f aca="false">Sens!$G$63/Sens!$D$63-1</f>
        <v>0.0879837378791657</v>
      </c>
      <c r="H64" s="13" t="n">
        <f aca="false">Sens!$F$64+(g_os-Sens!$F$64)*1/4</f>
        <v>0.0860286601882206</v>
      </c>
      <c r="I64" s="13" t="n">
        <f aca="false">Sens!$F$64+(g_os-Sens!$F$64)*2/4</f>
        <v>0.074019106792147</v>
      </c>
      <c r="J64" s="13" t="n">
        <f aca="false">Sens!$F$64+(g_os-Sens!$F$64)*3/4</f>
        <v>0.0620095533960735</v>
      </c>
      <c r="K64" s="13" t="n">
        <f aca="false">Sens!$F$64+(g_os-Sens!$F$64)*4/4</f>
        <v>0.05</v>
      </c>
      <c r="L64" s="13" t="n">
        <f aca="false">g_os</f>
        <v>0.05</v>
      </c>
      <c r="M64" s="13" t="n">
        <f aca="false">g_os</f>
        <v>0.05</v>
      </c>
      <c r="P64" s="8" t="s">
        <v>663</v>
      </c>
    </row>
    <row r="65" customFormat="false" ht="17.15" hidden="false" customHeight="false" outlineLevel="0" collapsed="false">
      <c r="A65" s="0" t="s">
        <v>517</v>
      </c>
      <c r="B65" s="0" t="s">
        <v>86</v>
      </c>
      <c r="C65" s="38" t="n">
        <f aca="false">Q!$D$11</f>
        <v>21.215</v>
      </c>
      <c r="D65" s="38" t="n">
        <f aca="false">Q!$E$11</f>
        <v>22.561</v>
      </c>
      <c r="E65" s="38" t="n">
        <f aca="false">Q!$P$11</f>
        <v>11.579</v>
      </c>
      <c r="F65" s="38" t="n">
        <f aca="false">Sens!$O$65*(1+Sens!$F$66)*Sens!$F$75</f>
        <v>11.5938724610325</v>
      </c>
      <c r="G65" s="38" t="n">
        <f aca="false">Sens!$E$65+Sens!$F$65</f>
        <v>23.1728724610325</v>
      </c>
      <c r="H65" s="38" t="n">
        <f aca="false">Sens!$G$65*(1+Sens!$H$66)</f>
        <v>24.353392759506</v>
      </c>
      <c r="I65" s="38" t="n">
        <f aca="false">Sens!$H$65*(1+Sens!$I$66)</f>
        <v>25.4240338872015</v>
      </c>
      <c r="J65" s="38" t="n">
        <f aca="false">Sens!$I$65*(1+Sens!$J$66)</f>
        <v>26.3642491017174</v>
      </c>
      <c r="K65" s="38" t="n">
        <f aca="false">Sens!$J$65*(1+Sens!$K$66)</f>
        <v>27.155176574769</v>
      </c>
      <c r="L65" s="38" t="n">
        <f aca="false">Sens!$K$65*(1+Sens!$L$66)</f>
        <v>27.969831872012</v>
      </c>
      <c r="M65" s="38" t="n">
        <f aca="false">Sens!$L$65*(1+Sens!$M$66)</f>
        <v>28.8089268281724</v>
      </c>
      <c r="N65" s="38" t="n">
        <f aca="false">Q!$N$11</f>
        <v>11.128</v>
      </c>
      <c r="O65" s="38" t="n">
        <f aca="false">Q!$O$11</f>
        <v>11.433</v>
      </c>
      <c r="P65" s="8" t="s">
        <v>661</v>
      </c>
    </row>
    <row r="66" customFormat="false" ht="17.15" hidden="false" customHeight="false" outlineLevel="0" collapsed="false">
      <c r="A66" s="0" t="s">
        <v>664</v>
      </c>
      <c r="B66" s="0" t="s">
        <v>52</v>
      </c>
      <c r="E66" s="13" t="n">
        <f aca="false">Sens!$E$65/Sens!$N$65-1</f>
        <v>0.0405283968368082</v>
      </c>
      <c r="F66" s="13" t="n">
        <f aca="false">Sens!$O$65/(Q!$F$11+Q!$G$11)-1</f>
        <v>0.0579254187100955</v>
      </c>
      <c r="G66" s="13" t="n">
        <f aca="false">Sens!$G$65/Sens!$D$65-1</f>
        <v>0.0271208040881397</v>
      </c>
      <c r="H66" s="13" t="n">
        <f aca="false">Sens!$F$66+(g_ps-Sens!$F$66)*1/4</f>
        <v>0.0509440640325716</v>
      </c>
      <c r="I66" s="13" t="n">
        <f aca="false">Sens!$F$66+(g_ps-Sens!$F$66)*2/4</f>
        <v>0.0439627093550477</v>
      </c>
      <c r="J66" s="13" t="n">
        <f aca="false">Sens!$F$66+(g_ps-Sens!$F$66)*3/4</f>
        <v>0.0369813546775239</v>
      </c>
      <c r="K66" s="13" t="n">
        <f aca="false">Sens!$F$66+(g_ps-Sens!$F$66)*4/4</f>
        <v>0.03</v>
      </c>
      <c r="L66" s="13" t="n">
        <f aca="false">g_ps</f>
        <v>0.03</v>
      </c>
      <c r="M66" s="13" t="n">
        <f aca="false">g_ps</f>
        <v>0.03</v>
      </c>
      <c r="P66" s="8" t="s">
        <v>665</v>
      </c>
    </row>
    <row r="67" customFormat="false" ht="17.15" hidden="false" customHeight="false" outlineLevel="0" collapsed="false">
      <c r="A67" s="0" t="s">
        <v>518</v>
      </c>
      <c r="B67" s="0" t="s">
        <v>86</v>
      </c>
      <c r="C67" s="38" t="n">
        <f aca="false">Q!$D$12</f>
        <v>156.146</v>
      </c>
      <c r="D67" s="38" t="n">
        <f aca="false">Q!$E$12</f>
        <v>172.162</v>
      </c>
      <c r="E67" s="38" t="n">
        <f aca="false">Q!$P$12</f>
        <v>88.358</v>
      </c>
      <c r="F67" s="38" t="n">
        <f aca="false">Sens!$O$67*(1+Sens!$F$68)*Sens!$F$75</f>
        <v>102.004388260171</v>
      </c>
      <c r="G67" s="38" t="n">
        <f aca="false">Sens!$E$67+Sens!$F$67</f>
        <v>190.362388260171</v>
      </c>
      <c r="H67" s="38" t="n">
        <f aca="false">Sens!$G$67*(1+Sens!$H$68)</f>
        <v>210.343106588311</v>
      </c>
      <c r="I67" s="38" t="n">
        <f aca="false">Sens!$H$67*(1+Sens!$I$68)</f>
        <v>229.969728494648</v>
      </c>
      <c r="J67" s="38" t="n">
        <f aca="false">Sens!$I$67*(1+Sens!$J$68)</f>
        <v>248.747636972598</v>
      </c>
      <c r="K67" s="38" t="n">
        <f aca="false">Sens!$J$67*(1+Sens!$K$68)</f>
        <v>266.15997156068</v>
      </c>
      <c r="L67" s="38" t="n">
        <f aca="false">Sens!$K$67*(1+Sens!$L$68)</f>
        <v>284.791169569927</v>
      </c>
      <c r="M67" s="38" t="n">
        <f aca="false">Sens!$L$67*(1+Sens!$M$68)</f>
        <v>304.726551439822</v>
      </c>
      <c r="N67" s="38" t="n">
        <f aca="false">Q!$N$12</f>
        <v>76.86</v>
      </c>
      <c r="O67" s="38" t="n">
        <f aca="false">Q!$O$12</f>
        <v>95.302</v>
      </c>
      <c r="P67" s="8" t="s">
        <v>661</v>
      </c>
    </row>
    <row r="68" customFormat="false" ht="17.15" hidden="false" customHeight="false" outlineLevel="0" collapsed="false">
      <c r="A68" s="0" t="s">
        <v>666</v>
      </c>
      <c r="B68" s="0" t="s">
        <v>52</v>
      </c>
      <c r="E68" s="13" t="n">
        <f aca="false">Sens!$E$67/Sens!$N$67-1</f>
        <v>0.1495966692688</v>
      </c>
      <c r="F68" s="13" t="n">
        <f aca="false">Sens!$O$67/(Q!$F$12+Q!$G$12)-1</f>
        <v>0.11661530890813</v>
      </c>
      <c r="G68" s="13" t="n">
        <f aca="false">Sens!$G$67/Sens!$D$67-1</f>
        <v>0.105716640490767</v>
      </c>
      <c r="H68" s="13" t="n">
        <f aca="false">Sens!$F$68+(g_sp-Sens!$F$68)*1/4</f>
        <v>0.104961481681098</v>
      </c>
      <c r="I68" s="13" t="n">
        <f aca="false">Sens!$F$68+(g_sp-Sens!$F$68)*2/4</f>
        <v>0.0933076544540651</v>
      </c>
      <c r="J68" s="13" t="n">
        <f aca="false">Sens!$F$68+(g_sp-Sens!$F$68)*3/4</f>
        <v>0.0816538272270325</v>
      </c>
      <c r="K68" s="13" t="n">
        <f aca="false">Sens!$F$68+(g_sp-Sens!$F$68)*4/4</f>
        <v>0.07</v>
      </c>
      <c r="L68" s="13" t="n">
        <f aca="false">g_sp</f>
        <v>0.07</v>
      </c>
      <c r="M68" s="13" t="n">
        <f aca="false">g_sp</f>
        <v>0.07</v>
      </c>
      <c r="P68" s="8" t="s">
        <v>667</v>
      </c>
    </row>
    <row r="69" customFormat="false" ht="17.15" hidden="false" customHeight="false" outlineLevel="0" collapsed="false">
      <c r="A69" s="0" t="s">
        <v>519</v>
      </c>
      <c r="B69" s="0" t="s">
        <v>86</v>
      </c>
      <c r="C69" s="38" t="n">
        <f aca="false">Q!$D$13</f>
        <v>56.214</v>
      </c>
      <c r="D69" s="38" t="n">
        <f aca="false">Q!$E$13</f>
        <v>68.635</v>
      </c>
      <c r="E69" s="38" t="n">
        <f aca="false">Q!$P$13</f>
        <v>37.052</v>
      </c>
      <c r="F69" s="38" t="n">
        <f aca="false">Sens!$O$69*(1+Sens!$F$70)*Sens!$F$75</f>
        <v>46.1572219944148</v>
      </c>
      <c r="G69" s="38" t="n">
        <f aca="false">Sens!$E$69+Sens!$F$69</f>
        <v>83.2092219944148</v>
      </c>
      <c r="H69" s="38" t="n">
        <f aca="false">Sens!$G$69*(1+Sens!$H$70)</f>
        <v>99.8969223878976</v>
      </c>
      <c r="I69" s="38" t="n">
        <f aca="false">Sens!$H$69*(1+Sens!$I$70)</f>
        <v>116.583111095496</v>
      </c>
      <c r="J69" s="38" t="n">
        <f aca="false">Sens!$I$69*(1+Sens!$J$70)</f>
        <v>132.148941941952</v>
      </c>
      <c r="K69" s="38" t="n">
        <f aca="false">Sens!$J$69*(1+Sens!$K$70)</f>
        <v>145.363836136147</v>
      </c>
      <c r="L69" s="38" t="n">
        <f aca="false">Sens!$K$69*(1+Sens!$L$70)</f>
        <v>159.900219749762</v>
      </c>
      <c r="M69" s="38" t="n">
        <f aca="false">Sens!$L$69*(1+Sens!$M$70)</f>
        <v>175.890241724738</v>
      </c>
      <c r="N69" s="38" t="n">
        <f aca="false">Q!$N$13</f>
        <v>29.615</v>
      </c>
      <c r="O69" s="38" t="n">
        <f aca="false">Q!$O$13</f>
        <v>39.02</v>
      </c>
      <c r="P69" s="8" t="s">
        <v>661</v>
      </c>
    </row>
    <row r="70" customFormat="false" ht="17.15" hidden="false" customHeight="false" outlineLevel="0" collapsed="false">
      <c r="A70" s="0" t="s">
        <v>668</v>
      </c>
      <c r="B70" s="0" t="s">
        <v>52</v>
      </c>
      <c r="E70" s="13" t="n">
        <f aca="false">Sens!$E$69/Sens!$N$69-1</f>
        <v>0.25112274185379</v>
      </c>
      <c r="F70" s="13" t="n">
        <f aca="false">Sens!$O$69/(Q!$F$13+Q!$G$13)-1</f>
        <v>0.234068123596572</v>
      </c>
      <c r="G70" s="13" t="n">
        <f aca="false">Sens!$G$69/Sens!$D$69-1</f>
        <v>0.212343876949294</v>
      </c>
      <c r="H70" s="13" t="n">
        <f aca="false">Sens!$F$70+(g_ad-Sens!$F$70)*1/4</f>
        <v>0.200551092697429</v>
      </c>
      <c r="I70" s="13" t="n">
        <f aca="false">Sens!$F$70+(g_ad-Sens!$F$70)*2/4</f>
        <v>0.167034061798286</v>
      </c>
      <c r="J70" s="13" t="n">
        <f aca="false">Sens!$F$70+(g_ad-Sens!$F$70)*3/4</f>
        <v>0.133517030899143</v>
      </c>
      <c r="K70" s="13" t="n">
        <f aca="false">Sens!$F$70+(g_ad-Sens!$F$70)*4/4</f>
        <v>0.1</v>
      </c>
      <c r="L70" s="13" t="n">
        <f aca="false">g_ad</f>
        <v>0.1</v>
      </c>
      <c r="M70" s="13" t="n">
        <f aca="false">g_ad</f>
        <v>0.1</v>
      </c>
      <c r="P70" s="8" t="s">
        <v>669</v>
      </c>
    </row>
    <row r="71" customFormat="false" ht="17.15" hidden="false" customHeight="false" outlineLevel="0" collapsed="false">
      <c r="A71" s="0" t="s">
        <v>520</v>
      </c>
      <c r="B71" s="0" t="s">
        <v>86</v>
      </c>
      <c r="C71" s="38" t="n">
        <f aca="false">Q!$D$14</f>
        <v>44.374</v>
      </c>
      <c r="D71" s="38" t="n">
        <f aca="false">Q!$E$14</f>
        <v>49.619</v>
      </c>
      <c r="E71" s="38" t="n">
        <f aca="false">Q!$P$14</f>
        <v>27.157</v>
      </c>
      <c r="F71" s="38" t="n">
        <f aca="false">Sens!$O$71*(1+Sens!$F$72)*Sens!$F$75</f>
        <v>27.7764165988154</v>
      </c>
      <c r="G71" s="38" t="n">
        <f aca="false">Sens!$E$71+Sens!$F$71</f>
        <v>54.9334165988154</v>
      </c>
      <c r="H71" s="38" t="n">
        <f aca="false">Sens!$G$71*(1+Sens!$H$72)</f>
        <v>61.1564112561829</v>
      </c>
      <c r="I71" s="38" t="n">
        <f aca="false">Sens!$H$71*(1+Sens!$I$72)</f>
        <v>67.2020282103945</v>
      </c>
      <c r="J71" s="38" t="n">
        <f aca="false">Sens!$I$71*(1+Sens!$J$72)</f>
        <v>72.8757274028885</v>
      </c>
      <c r="K71" s="38" t="n">
        <f aca="false">Sens!$J$71*(1+Sens!$K$72)</f>
        <v>77.9770283210907</v>
      </c>
      <c r="L71" s="38" t="n">
        <f aca="false">Sens!$K$71*(1+Sens!$L$72)</f>
        <v>83.4354203035671</v>
      </c>
      <c r="M71" s="38" t="n">
        <f aca="false">Sens!$L$71*(1+Sens!$M$72)</f>
        <v>89.2758997248168</v>
      </c>
      <c r="N71" s="38" t="n">
        <f aca="false">Q!$N$14</f>
        <v>23.923</v>
      </c>
      <c r="O71" s="38" t="n">
        <f aca="false">Q!$O$14</f>
        <v>25.696</v>
      </c>
      <c r="P71" s="8" t="s">
        <v>661</v>
      </c>
    </row>
    <row r="72" customFormat="false" ht="17.15" hidden="false" customHeight="false" outlineLevel="0" collapsed="false">
      <c r="A72" s="0" t="s">
        <v>670</v>
      </c>
      <c r="B72" s="0" t="s">
        <v>52</v>
      </c>
      <c r="E72" s="13" t="n">
        <f aca="false">Sens!$E$71/Sens!$N$71-1</f>
        <v>0.135183714417088</v>
      </c>
      <c r="F72" s="13" t="n">
        <f aca="false">Sens!$O$71/(Q!$F$14+Q!$G$14)-1</f>
        <v>0.127709997366804</v>
      </c>
      <c r="G72" s="13" t="n">
        <f aca="false">Sens!$G$71/Sens!$D$71-1</f>
        <v>0.107104468022641</v>
      </c>
      <c r="H72" s="13" t="n">
        <f aca="false">Sens!$F$72+(g_sub-Sens!$F$72)*1/4</f>
        <v>0.113282498025103</v>
      </c>
      <c r="I72" s="13" t="n">
        <f aca="false">Sens!$F$72+(g_sub-Sens!$F$72)*2/4</f>
        <v>0.0988549986834021</v>
      </c>
      <c r="J72" s="13" t="n">
        <f aca="false">Sens!$F$72+(g_sub-Sens!$F$72)*3/4</f>
        <v>0.084427499341701</v>
      </c>
      <c r="K72" s="13" t="n">
        <f aca="false">Sens!$F$72+(g_sub-Sens!$F$72)*4/4</f>
        <v>0.07</v>
      </c>
      <c r="L72" s="13" t="n">
        <f aca="false">g_sub</f>
        <v>0.07</v>
      </c>
      <c r="M72" s="13" t="n">
        <f aca="false">g_sub</f>
        <v>0.07</v>
      </c>
      <c r="P72" s="8" t="s">
        <v>671</v>
      </c>
    </row>
    <row r="73" customFormat="false" ht="17.15" hidden="false" customHeight="false" outlineLevel="0" collapsed="false">
      <c r="A73" s="0" t="s">
        <v>521</v>
      </c>
      <c r="B73" s="0" t="s">
        <v>86</v>
      </c>
      <c r="C73" s="38" t="n">
        <f aca="false">Q!$D$15</f>
        <v>5.425</v>
      </c>
      <c r="D73" s="38" t="n">
        <f aca="false">Q!$E$15</f>
        <v>5.935</v>
      </c>
      <c r="E73" s="38" t="n">
        <f aca="false">Q!$P$15</f>
        <v>3.474</v>
      </c>
      <c r="F73" s="38" t="n">
        <f aca="false">Sens!$O$73*(1+Sens!$F$74)*Sens!$F$75</f>
        <v>3.22246550883619</v>
      </c>
      <c r="G73" s="38" t="n">
        <f aca="false">Sens!$E$73+Sens!$F$73</f>
        <v>6.69646550883619</v>
      </c>
      <c r="H73" s="38" t="n">
        <f aca="false">Sens!$G$73*(1+Sens!$H$74)</f>
        <v>7.16251344209196</v>
      </c>
      <c r="I73" s="38" t="n">
        <f aca="false">Sens!$H$73*(1+Sens!$I$74)</f>
        <v>7.61421070299826</v>
      </c>
      <c r="J73" s="38" t="n">
        <f aca="false">Sens!$I$73*(1+Sens!$J$74)</f>
        <v>8.04465753523932</v>
      </c>
      <c r="K73" s="38" t="n">
        <f aca="false">Sens!$J$73*(1+Sens!$K$74)</f>
        <v>8.44689041200128</v>
      </c>
      <c r="L73" s="38" t="n">
        <f aca="false">Sens!$K$73*(1+Sens!$L$74)</f>
        <v>8.86923493260135</v>
      </c>
      <c r="M73" s="38" t="n">
        <f aca="false">Sens!$L$73*(1+Sens!$M$74)</f>
        <v>9.31269667923142</v>
      </c>
      <c r="N73" s="38" t="n">
        <f aca="false">Q!$N$15</f>
        <v>2.811</v>
      </c>
      <c r="O73" s="38" t="n">
        <f aca="false">Q!$O$15</f>
        <v>3.124</v>
      </c>
      <c r="P73" s="8" t="s">
        <v>661</v>
      </c>
    </row>
    <row r="74" customFormat="false" ht="17.15" hidden="false" customHeight="false" outlineLevel="0" collapsed="false">
      <c r="A74" s="0" t="s">
        <v>672</v>
      </c>
      <c r="B74" s="0" t="s">
        <v>52</v>
      </c>
      <c r="E74" s="13" t="n">
        <f aca="false">Sens!$E$73/Sens!$N$73-1</f>
        <v>0.235859124866596</v>
      </c>
      <c r="F74" s="13" t="n">
        <f aca="false">Sens!$O$73/(Q!$F$15+Q!$G$15)-1</f>
        <v>0.0761281433000345</v>
      </c>
      <c r="G74" s="13" t="n">
        <f aca="false">Sens!$G$73/Sens!$D$73-1</f>
        <v>0.128300843948811</v>
      </c>
      <c r="H74" s="13" t="n">
        <f aca="false">Sens!$F$74+(g_ot-Sens!$F$74)*1/4</f>
        <v>0.0695961074750259</v>
      </c>
      <c r="I74" s="13" t="n">
        <f aca="false">Sens!$F$74+(g_ot-Sens!$F$74)*2/4</f>
        <v>0.0630640716500172</v>
      </c>
      <c r="J74" s="13" t="n">
        <f aca="false">Sens!$F$74+(g_ot-Sens!$F$74)*3/4</f>
        <v>0.0565320358250086</v>
      </c>
      <c r="K74" s="13" t="n">
        <f aca="false">Sens!$F$74+(g_ot-Sens!$F$74)*4/4</f>
        <v>0.05</v>
      </c>
      <c r="L74" s="13" t="n">
        <f aca="false">g_ot</f>
        <v>0.05</v>
      </c>
      <c r="M74" s="13" t="n">
        <f aca="false">g_ot</f>
        <v>0.05</v>
      </c>
      <c r="P74" s="8" t="s">
        <v>673</v>
      </c>
    </row>
    <row r="75" customFormat="false" ht="17.15" hidden="false" customHeight="false" outlineLevel="0" collapsed="false">
      <c r="A75" s="0" t="s">
        <v>674</v>
      </c>
      <c r="B75" s="0" t="s">
        <v>57</v>
      </c>
      <c r="F75" s="40" t="n">
        <f aca="false">(g26q3_mid*Q!$O$8/Q!$J$8-Sens!$F$104-Sens!$F$108)/(Sens!$O$63*(1+Sens!$F$64)+Sens!$O$65*(1+Sens!$F$66)+Sens!$O$67*(1+Sens!$F$68)+Sens!$O$69*(1+Sens!$F$70)+Sens!$O$71*(1+Sens!$F$72)+Sens!$O$73*(1+Sens!$F$74))</f>
        <v>0.958546670622329</v>
      </c>
      <c r="P75" s="8" t="s">
        <v>675</v>
      </c>
    </row>
    <row r="76" customFormat="false" ht="17.15" hidden="false" customHeight="false" outlineLevel="0" collapsed="false">
      <c r="A76" s="3" t="s">
        <v>676</v>
      </c>
      <c r="B76" s="8" t="s">
        <v>86</v>
      </c>
      <c r="C76" s="38" t="n">
        <f aca="false">Sens!$C$63+Sens!$C$65+Sens!$C$67+Sens!$C$69+Sens!$C$71+Sens!$C$73</f>
        <v>530.403</v>
      </c>
      <c r="D76" s="38" t="n">
        <f aca="false">Sens!$D$63+Sens!$D$65+Sens!$D$67+Sens!$D$69+Sens!$D$71+Sens!$D$73</f>
        <v>588.199</v>
      </c>
      <c r="E76" s="38" t="n">
        <f aca="false">Sens!$E$63+Sens!$E$65+Sens!$E$67+Sens!$E$69+Sens!$E$71+Sens!$E$73</f>
        <v>302.306</v>
      </c>
      <c r="F76" s="38" t="n">
        <f aca="false">Sens!$F$63+Sens!$F$65+Sens!$F$67+Sens!$F$69+Sens!$F$71+Sens!$F$73</f>
        <v>349.048241645537</v>
      </c>
      <c r="G76" s="38" t="n">
        <f aca="false">Sens!$G$63+Sens!$G$65+Sens!$G$67+Sens!$G$69+Sens!$G$71+Sens!$G$73</f>
        <v>651.354241645537</v>
      </c>
      <c r="H76" s="38" t="n">
        <f aca="false">Sens!$H$63+Sens!$H$65+Sens!$H$67+Sens!$H$69+Sens!$H$71+Sens!$H$73</f>
        <v>721.096889521386</v>
      </c>
      <c r="I76" s="38" t="n">
        <f aca="false">Sens!$I$63+Sens!$I$65+Sens!$I$67+Sens!$I$69+Sens!$I$71+Sens!$I$73</f>
        <v>788.529391152531</v>
      </c>
      <c r="J76" s="38" t="n">
        <f aca="false">Sens!$J$63+Sens!$J$65+Sens!$J$67+Sens!$J$69+Sens!$J$71+Sens!$J$73</f>
        <v>851.108405741443</v>
      </c>
      <c r="K76" s="38" t="n">
        <f aca="false">Sens!$K$63+Sens!$K$65+Sens!$K$67+Sens!$K$69+Sens!$K$71+Sens!$K$73</f>
        <v>906.176455431088</v>
      </c>
      <c r="L76" s="38" t="n">
        <f aca="false">Sens!$L$63+Sens!$L$65+Sens!$L$67+Sens!$L$69+Sens!$L$71+Sens!$L$73</f>
        <v>965.093106475589</v>
      </c>
      <c r="M76" s="38" t="n">
        <f aca="false">Sens!$M$63+Sens!$M$65+Sens!$M$67+Sens!$M$69+Sens!$M$71+Sens!$M$73</f>
        <v>1028.14790794689</v>
      </c>
      <c r="N76" s="38" t="n">
        <f aca="false">Sens!$N$63+Sens!$N$65+Sens!$N$67+Sens!$N$69+Sens!$N$71+Sens!$N$73</f>
        <v>263.229</v>
      </c>
      <c r="O76" s="38" t="n">
        <f aca="false">Sens!$O$63+Sens!$O$65+Sens!$O$67+Sens!$O$69+Sens!$O$71+Sens!$O$73</f>
        <v>324.97</v>
      </c>
    </row>
    <row r="77" customFormat="false" ht="17.15" hidden="false" customHeight="false" outlineLevel="0" collapsed="false">
      <c r="A77" s="5" t="s">
        <v>677</v>
      </c>
      <c r="B77" s="0" t="s">
        <v>52</v>
      </c>
      <c r="C77" s="13" t="n">
        <f aca="false">Q!$D$5/(Q!$D$5+Q!$D$6)</f>
        <v>0.730570905519011</v>
      </c>
      <c r="D77" s="13" t="n">
        <f aca="false">Q!$E$5/(Q!$E$5+Q!$E$6)</f>
        <v>0.724763217890544</v>
      </c>
      <c r="E77" s="13" t="n">
        <f aca="false">Q!$P$5/(Q!$P$5+Q!$P$6)</f>
        <v>0.728797972914861</v>
      </c>
      <c r="F77" s="13" t="n">
        <f aca="false">Sens!$O$77</f>
        <v>0.718066283041511</v>
      </c>
      <c r="G77" s="13" t="n">
        <f aca="false">Sens!$G$78/Sens!$G$76</f>
        <v>0.723047066202847</v>
      </c>
      <c r="H77" s="13" t="n">
        <f aca="false">Sens!$G$77</f>
        <v>0.723047066202847</v>
      </c>
      <c r="I77" s="13" t="n">
        <f aca="false">Sens!$G$77</f>
        <v>0.723047066202847</v>
      </c>
      <c r="J77" s="13" t="n">
        <f aca="false">Sens!$G$77</f>
        <v>0.723047066202847</v>
      </c>
      <c r="K77" s="13" t="n">
        <f aca="false">Sens!$G$77</f>
        <v>0.723047066202847</v>
      </c>
      <c r="L77" s="13" t="n">
        <f aca="false">Sens!$G$77</f>
        <v>0.723047066202847</v>
      </c>
      <c r="M77" s="13" t="n">
        <f aca="false">Sens!$G$77</f>
        <v>0.723047066202847</v>
      </c>
      <c r="N77" s="13" t="n">
        <f aca="false">Q!$N$5/(Q!$N$5+Q!$N$6)</f>
        <v>0.733030935041352</v>
      </c>
      <c r="O77" s="13" t="n">
        <f aca="false">Q!$O$5/(Q!$O$5+Q!$O$6)</f>
        <v>0.718066283041511</v>
      </c>
      <c r="P77" s="8" t="s">
        <v>678</v>
      </c>
    </row>
    <row r="78" customFormat="false" ht="17.15" hidden="false" customHeight="false" outlineLevel="0" collapsed="false">
      <c r="A78" s="1" t="s">
        <v>509</v>
      </c>
      <c r="B78" s="8" t="s">
        <v>86</v>
      </c>
      <c r="C78" s="38" t="n">
        <f aca="false">Q!$D$5</f>
        <v>387.497</v>
      </c>
      <c r="D78" s="38" t="n">
        <f aca="false">Q!$E$5</f>
        <v>426.305</v>
      </c>
      <c r="E78" s="38" t="n">
        <f aca="false">Q!$P$5</f>
        <v>220.32</v>
      </c>
      <c r="F78" s="38" t="n">
        <f aca="false">Sens!$F$76*Sens!$F$77</f>
        <v>250.639773480586</v>
      </c>
      <c r="G78" s="38" t="n">
        <f aca="false">Sens!$E$78+Sens!$F$78</f>
        <v>470.959773480586</v>
      </c>
      <c r="H78" s="38" t="n">
        <f aca="false">Sens!$H$76*Sens!$H$77</f>
        <v>521.386990416437</v>
      </c>
      <c r="I78" s="38" t="n">
        <f aca="false">Sens!$I$76*Sens!$I$77</f>
        <v>570.143862887555</v>
      </c>
      <c r="J78" s="38" t="n">
        <f aca="false">Sens!$J$76*Sens!$J$77</f>
        <v>615.391435791933</v>
      </c>
      <c r="K78" s="38" t="n">
        <f aca="false">Sens!$K$76*Sens!$K$77</f>
        <v>655.208227561543</v>
      </c>
      <c r="L78" s="38" t="n">
        <f aca="false">Sens!$L$76*Sens!$L$77</f>
        <v>697.807739249767</v>
      </c>
      <c r="M78" s="38" t="n">
        <f aca="false">Sens!$M$76*Sens!$M$77</f>
        <v>743.399328463592</v>
      </c>
      <c r="N78" s="38" t="n">
        <f aca="false">Q!$N$5</f>
        <v>192.955</v>
      </c>
      <c r="O78" s="38" t="n">
        <f aca="false">Q!$O$5</f>
        <v>233.35</v>
      </c>
      <c r="P78" s="5" t="s">
        <v>679</v>
      </c>
    </row>
    <row r="79" customFormat="false" ht="17.15" hidden="false" customHeight="false" outlineLevel="0" collapsed="false">
      <c r="A79" s="1" t="s">
        <v>512</v>
      </c>
      <c r="B79" s="8" t="s">
        <v>86</v>
      </c>
      <c r="C79" s="38" t="n">
        <f aca="false">Q!$D$6</f>
        <v>142.906</v>
      </c>
      <c r="D79" s="38" t="n">
        <f aca="false">Q!$E$6</f>
        <v>161.894</v>
      </c>
      <c r="E79" s="38" t="n">
        <f aca="false">Q!$P$6</f>
        <v>81.986</v>
      </c>
      <c r="F79" s="38" t="n">
        <f aca="false">Sens!$F$76*(1-Sens!$F$77)</f>
        <v>98.408468164951</v>
      </c>
      <c r="G79" s="38" t="n">
        <f aca="false">Sens!$E$79+Sens!$F$79</f>
        <v>180.394468164951</v>
      </c>
      <c r="H79" s="38" t="n">
        <f aca="false">Sens!$H$76*(1-Sens!$H$77)</f>
        <v>199.709899104949</v>
      </c>
      <c r="I79" s="38" t="n">
        <f aca="false">Sens!$I$76*(1-Sens!$I$77)</f>
        <v>218.385528264976</v>
      </c>
      <c r="J79" s="38" t="n">
        <f aca="false">Sens!$J$76*(1-Sens!$J$77)</f>
        <v>235.71696994951</v>
      </c>
      <c r="K79" s="38" t="n">
        <f aca="false">Sens!$K$76*(1-Sens!$K$77)</f>
        <v>250.968227869545</v>
      </c>
      <c r="L79" s="38" t="n">
        <f aca="false">Sens!$L$76*(1-Sens!$L$77)</f>
        <v>267.285367225822</v>
      </c>
      <c r="M79" s="38" t="n">
        <f aca="false">Sens!$M$76*(1-Sens!$M$77)</f>
        <v>284.748579483295</v>
      </c>
      <c r="N79" s="38" t="n">
        <f aca="false">Q!$N$6</f>
        <v>70.274</v>
      </c>
      <c r="O79" s="38" t="n">
        <f aca="false">Q!$O$6</f>
        <v>91.62</v>
      </c>
      <c r="P79" s="5" t="s">
        <v>680</v>
      </c>
    </row>
    <row r="80" customFormat="false" ht="17.15" hidden="false" customHeight="false" outlineLevel="0" collapsed="false">
      <c r="A80" s="5" t="s">
        <v>681</v>
      </c>
      <c r="B80" s="0" t="s">
        <v>86</v>
      </c>
      <c r="C80" s="38" t="n">
        <f aca="false">Sens!$C$69*Sens!$C$77</f>
        <v>41.0683128828457</v>
      </c>
      <c r="D80" s="38" t="n">
        <f aca="false">Sens!$D$69*Sens!$D$77</f>
        <v>49.7441234599175</v>
      </c>
      <c r="E80" s="38" t="n">
        <f aca="false">Sens!$E$69*Sens!$E$77</f>
        <v>27.0034224924414</v>
      </c>
      <c r="F80" s="38" t="n">
        <f aca="false">Sens!$F$69*Sens!$F$77</f>
        <v>33.1439448330513</v>
      </c>
      <c r="G80" s="38" t="n">
        <f aca="false">Sens!$G$69*Sens!$G$77</f>
        <v>60.164183844083</v>
      </c>
      <c r="H80" s="38" t="n">
        <f aca="false">Sens!$H$69*Sens!$H$77</f>
        <v>72.2301766552629</v>
      </c>
      <c r="I80" s="38" t="n">
        <f aca="false">Sens!$I$69*Sens!$I$77</f>
        <v>84.2950764463991</v>
      </c>
      <c r="J80" s="38" t="n">
        <f aca="false">Sens!$J$69*Sens!$J$77</f>
        <v>95.5499047729386</v>
      </c>
      <c r="K80" s="38" t="n">
        <f aca="false">Sens!$K$69*Sens!$K$77</f>
        <v>105.104895250232</v>
      </c>
      <c r="L80" s="38" t="n">
        <f aca="false">Sens!$L$69*Sens!$L$77</f>
        <v>115.615384775256</v>
      </c>
      <c r="M80" s="38" t="n">
        <f aca="false">Sens!$M$69*Sens!$M$77</f>
        <v>127.176923252781</v>
      </c>
      <c r="N80" s="38" t="n">
        <f aca="false">Sens!$N$69*Sens!$N$77</f>
        <v>21.7087111412496</v>
      </c>
      <c r="O80" s="38" t="n">
        <f aca="false">Sens!$O$69*Sens!$O$77</f>
        <v>28.0189463642798</v>
      </c>
      <c r="P80" s="5" t="s">
        <v>682</v>
      </c>
    </row>
    <row r="81" customFormat="false" ht="15" hidden="false" customHeight="false" outlineLevel="0" collapsed="false">
      <c r="A81" s="5" t="s">
        <v>683</v>
      </c>
      <c r="B81" s="0" t="s">
        <v>86</v>
      </c>
      <c r="C81" s="38" t="n">
        <f aca="false">Sens!$C$69-Sens!$C$80</f>
        <v>15.1456871171543</v>
      </c>
      <c r="D81" s="38" t="n">
        <f aca="false">Sens!$D$69-Sens!$D$80</f>
        <v>18.8908765400825</v>
      </c>
      <c r="E81" s="38" t="n">
        <f aca="false">Sens!$E$69-Sens!$E$80</f>
        <v>10.0485775075586</v>
      </c>
      <c r="F81" s="38" t="n">
        <f aca="false">Sens!$F$69-Sens!$F$80</f>
        <v>13.0132771613635</v>
      </c>
      <c r="G81" s="38" t="n">
        <f aca="false">Sens!$G$69-Sens!$G$80</f>
        <v>23.0450381503318</v>
      </c>
      <c r="H81" s="38" t="n">
        <f aca="false">Sens!$H$69-Sens!$H$80</f>
        <v>27.6667457326347</v>
      </c>
      <c r="I81" s="38" t="n">
        <f aca="false">Sens!$I$69-Sens!$I$80</f>
        <v>32.2880346490971</v>
      </c>
      <c r="J81" s="38" t="n">
        <f aca="false">Sens!$J$69-Sens!$J$80</f>
        <v>36.5990371690132</v>
      </c>
      <c r="K81" s="38" t="n">
        <f aca="false">Sens!$K$69-Sens!$K$80</f>
        <v>40.2589408859145</v>
      </c>
      <c r="L81" s="38" t="n">
        <f aca="false">Sens!$L$69-Sens!$L$80</f>
        <v>44.2848349745059</v>
      </c>
      <c r="M81" s="38" t="n">
        <f aca="false">Sens!$M$69-Sens!$M$80</f>
        <v>48.7133184719565</v>
      </c>
      <c r="N81" s="38" t="n">
        <f aca="false">Sens!$N$69-Sens!$N$80</f>
        <v>7.90628885875037</v>
      </c>
      <c r="O81" s="38" t="n">
        <f aca="false">Sens!$O$69-Sens!$O$80</f>
        <v>11.0010536357202</v>
      </c>
    </row>
    <row r="82" customFormat="false" ht="19.4" hidden="false" customHeight="false" outlineLevel="0" collapsed="false">
      <c r="A82" s="31" t="s">
        <v>1128</v>
      </c>
    </row>
    <row r="83" customFormat="false" ht="17.15" hidden="false" customHeight="false" outlineLevel="0" collapsed="false">
      <c r="A83" s="6" t="s">
        <v>16</v>
      </c>
      <c r="B83" s="6" t="s">
        <v>17</v>
      </c>
      <c r="C83" s="20" t="s">
        <v>494</v>
      </c>
      <c r="D83" s="20" t="s">
        <v>495</v>
      </c>
      <c r="E83" s="20" t="s">
        <v>577</v>
      </c>
      <c r="F83" s="20" t="s">
        <v>578</v>
      </c>
      <c r="G83" s="20" t="s">
        <v>579</v>
      </c>
      <c r="H83" s="20" t="s">
        <v>580</v>
      </c>
      <c r="I83" s="20" t="s">
        <v>581</v>
      </c>
      <c r="J83" s="20" t="s">
        <v>582</v>
      </c>
      <c r="K83" s="20" t="s">
        <v>583</v>
      </c>
      <c r="L83" s="20" t="s">
        <v>584</v>
      </c>
      <c r="M83" s="20" t="s">
        <v>585</v>
      </c>
      <c r="N83" s="20" t="s">
        <v>586</v>
      </c>
      <c r="O83" s="20" t="s">
        <v>587</v>
      </c>
      <c r="P83" s="6" t="s">
        <v>23</v>
      </c>
      <c r="R83" s="20" t="n">
        <v>2023</v>
      </c>
      <c r="S83" s="20" t="n">
        <v>2024</v>
      </c>
      <c r="T83" s="20" t="n">
        <v>2025</v>
      </c>
      <c r="U83" s="20" t="n">
        <v>2026</v>
      </c>
      <c r="V83" s="20" t="n">
        <v>2027</v>
      </c>
      <c r="W83" s="20" t="n">
        <v>2028</v>
      </c>
      <c r="X83" s="20" t="n">
        <v>2029</v>
      </c>
      <c r="Y83" s="20" t="n">
        <v>2030</v>
      </c>
      <c r="Z83" s="20" t="n">
        <v>2031</v>
      </c>
      <c r="AA83" s="20" t="n">
        <v>2032</v>
      </c>
    </row>
    <row r="84" customFormat="false" ht="17.15" hidden="false" customHeight="false" outlineLevel="0" collapsed="false">
      <c r="A84" s="1" t="s">
        <v>588</v>
      </c>
    </row>
    <row r="85" customFormat="false" ht="17.15" hidden="false" customHeight="false" outlineLevel="0" collapsed="false">
      <c r="A85" s="5" t="s">
        <v>589</v>
      </c>
      <c r="B85" s="0" t="s">
        <v>144</v>
      </c>
      <c r="H85" s="32" t="n">
        <f aca="false">pace_B</f>
        <v>3634.3</v>
      </c>
      <c r="I85" s="32" t="n">
        <f aca="false">pace_B</f>
        <v>3634.3</v>
      </c>
      <c r="J85" s="32" t="n">
        <f aca="false">pace_B</f>
        <v>3634.3</v>
      </c>
      <c r="K85" s="32" t="n">
        <f aca="false">pace_B+(Sens!$J$86*tg-pace_B)*1/3</f>
        <v>2570.86716666667</v>
      </c>
      <c r="L85" s="32" t="n">
        <f aca="false">pace_B+(Sens!$J$86*tg-pace_B)*2/3</f>
        <v>1507.43433333333</v>
      </c>
      <c r="M85" s="32" t="n">
        <f aca="false">pace_B+(Sens!$J$86*tg-pace_B)*3/3</f>
        <v>444.0015</v>
      </c>
      <c r="P85" s="5" t="s">
        <v>590</v>
      </c>
    </row>
    <row r="86" customFormat="false" ht="17.15" hidden="false" customHeight="false" outlineLevel="0" collapsed="false">
      <c r="A86" s="15" t="s">
        <v>591</v>
      </c>
      <c r="B86" s="14" t="s">
        <v>129</v>
      </c>
      <c r="C86" s="33" t="n">
        <f aca="false">mw_ye24</f>
        <v>360</v>
      </c>
      <c r="D86" s="33" t="n">
        <f aca="false">mw_ye25</f>
        <v>1440</v>
      </c>
      <c r="E86" s="33" t="n">
        <f aca="false">mw_open</f>
        <v>2080</v>
      </c>
      <c r="F86" s="33" t="n">
        <f aca="false">Sens!$E$86+pace_B*0.5</f>
        <v>3897.15</v>
      </c>
      <c r="G86" s="33" t="n">
        <f aca="false">Sens!$F$86</f>
        <v>3897.15</v>
      </c>
      <c r="H86" s="33" t="n">
        <f aca="false">Sens!$G$86+Sens!$H$85</f>
        <v>7531.45</v>
      </c>
      <c r="I86" s="33" t="n">
        <f aca="false">Sens!$H$86+Sens!$I$85</f>
        <v>11165.75</v>
      </c>
      <c r="J86" s="33" t="n">
        <f aca="false">Sens!$I$86+Sens!$J$85</f>
        <v>14800.05</v>
      </c>
      <c r="K86" s="33" t="n">
        <f aca="false">Sens!$J$86+Sens!$K$85</f>
        <v>17370.9171666667</v>
      </c>
      <c r="L86" s="33" t="n">
        <f aca="false">Sens!$K$86+Sens!$L$85</f>
        <v>18878.3515</v>
      </c>
      <c r="M86" s="33" t="n">
        <f aca="false">Sens!$L$86+Sens!$M$85</f>
        <v>19322.353</v>
      </c>
      <c r="N86" s="33" t="n">
        <f aca="false">(mw_ye24+mw_ye25)/2</f>
        <v>900</v>
      </c>
      <c r="O86" s="33" t="n">
        <f aca="false">mw_ye25</f>
        <v>1440</v>
      </c>
      <c r="P86" s="5" t="s">
        <v>592</v>
      </c>
    </row>
    <row r="87" customFormat="false" ht="17.15" hidden="false" customHeight="false" outlineLevel="0" collapsed="false">
      <c r="A87" s="5" t="s">
        <v>593</v>
      </c>
      <c r="B87" s="0" t="s">
        <v>129</v>
      </c>
      <c r="C87" s="32" t="n">
        <f aca="false">(mw_ye23+mw_ye24)/2</f>
        <v>240</v>
      </c>
      <c r="D87" s="32" t="n">
        <f aca="false">(Sens!$C$86+Sens!$D$86)/2</f>
        <v>900</v>
      </c>
      <c r="E87" s="32" t="n">
        <f aca="false">(Sens!$D$86+Sens!$E$86)/2</f>
        <v>1760</v>
      </c>
      <c r="F87" s="32" t="n">
        <f aca="false">(Sens!$E$86+Sens!$F$86)/2</f>
        <v>2988.575</v>
      </c>
      <c r="G87" s="32" t="n">
        <f aca="false">(Sens!$E$87+Sens!$F$87)/2</f>
        <v>2374.2875</v>
      </c>
      <c r="H87" s="32" t="n">
        <f aca="false">(Sens!$G$86+Sens!$H$86)/2</f>
        <v>5714.3</v>
      </c>
      <c r="I87" s="32" t="n">
        <f aca="false">(Sens!$H$86+Sens!$I$86)/2</f>
        <v>9348.6</v>
      </c>
      <c r="J87" s="32" t="n">
        <f aca="false">(Sens!$I$86+Sens!$J$86)/2</f>
        <v>12982.9</v>
      </c>
      <c r="K87" s="32" t="n">
        <f aca="false">(Sens!$J$86+Sens!$K$86)/2</f>
        <v>16085.4835833333</v>
      </c>
      <c r="L87" s="32" t="n">
        <f aca="false">(Sens!$K$86+Sens!$L$86)/2</f>
        <v>18124.6343333333</v>
      </c>
      <c r="M87" s="32" t="n">
        <f aca="false">(Sens!$L$86+Sens!$M$86)/2</f>
        <v>19100.35225</v>
      </c>
      <c r="N87" s="32" t="n">
        <f aca="false">(Sens!$C$86+Sens!$N$86)/2</f>
        <v>630</v>
      </c>
      <c r="O87" s="32" t="n">
        <f aca="false">(Sens!$N$86+Sens!$O$86)/2</f>
        <v>1170</v>
      </c>
    </row>
    <row r="88" customFormat="false" ht="15" hidden="false" customHeight="false" outlineLevel="0" collapsed="false">
      <c r="A88" s="5" t="s">
        <v>594</v>
      </c>
      <c r="B88" s="5" t="s">
        <v>123</v>
      </c>
      <c r="C88" s="34" t="n">
        <v>1</v>
      </c>
      <c r="D88" s="34" t="n">
        <v>1</v>
      </c>
      <c r="E88" s="34" t="n">
        <v>0.5</v>
      </c>
      <c r="F88" s="34" t="n">
        <v>0.5</v>
      </c>
      <c r="G88" s="34" t="n">
        <v>1</v>
      </c>
      <c r="H88" s="34" t="n">
        <v>1</v>
      </c>
      <c r="I88" s="34" t="n">
        <v>1</v>
      </c>
      <c r="J88" s="34" t="n">
        <v>1</v>
      </c>
      <c r="K88" s="34" t="n">
        <v>1</v>
      </c>
      <c r="L88" s="34" t="n">
        <v>1</v>
      </c>
      <c r="M88" s="34" t="n">
        <v>1</v>
      </c>
      <c r="N88" s="34" t="n">
        <v>0.5</v>
      </c>
      <c r="O88" s="34" t="n">
        <v>0.5</v>
      </c>
    </row>
    <row r="89" customFormat="false" ht="17.15" hidden="false" customHeight="false" outlineLevel="0" collapsed="false">
      <c r="A89" s="5" t="s">
        <v>595</v>
      </c>
      <c r="B89" s="0" t="s">
        <v>129</v>
      </c>
      <c r="C89" s="32" t="n">
        <f aca="false">Sens!$C$86-mw_ye23</f>
        <v>240</v>
      </c>
      <c r="D89" s="32" t="n">
        <f aca="false">Sens!$D$86-Sens!$C$86</f>
        <v>1080</v>
      </c>
      <c r="E89" s="32" t="n">
        <f aca="false">Sens!$E$86-Sens!$D$86</f>
        <v>640</v>
      </c>
      <c r="F89" s="32" t="n">
        <f aca="false">Sens!$F$86-Sens!$E$86</f>
        <v>1817.15</v>
      </c>
      <c r="G89" s="32" t="n">
        <f aca="false">Sens!$E$89+Sens!$F$89</f>
        <v>2457.15</v>
      </c>
      <c r="H89" s="32" t="n">
        <f aca="false">Sens!$H$86-Sens!$G$86</f>
        <v>3634.3</v>
      </c>
      <c r="I89" s="32" t="n">
        <f aca="false">Sens!$I$86-Sens!$H$86</f>
        <v>3634.3</v>
      </c>
      <c r="J89" s="32" t="n">
        <f aca="false">Sens!$J$86-Sens!$I$86</f>
        <v>3634.3</v>
      </c>
      <c r="K89" s="32" t="n">
        <f aca="false">Sens!$K$86-Sens!$J$86</f>
        <v>2570.86716666667</v>
      </c>
      <c r="L89" s="32" t="n">
        <f aca="false">Sens!$L$86-Sens!$K$86</f>
        <v>1507.43433333333</v>
      </c>
      <c r="M89" s="32" t="n">
        <f aca="false">Sens!$M$86-Sens!$L$86</f>
        <v>444.001499999999</v>
      </c>
      <c r="N89" s="32" t="n">
        <f aca="false">Sens!$N$86-Sens!$C$86</f>
        <v>540</v>
      </c>
      <c r="O89" s="32" t="n">
        <f aca="false">Sens!$O$86-Sens!$N$86</f>
        <v>540</v>
      </c>
    </row>
    <row r="90" customFormat="false" ht="17.15" hidden="false" customHeight="false" outlineLevel="0" collapsed="false">
      <c r="A90" s="5" t="s">
        <v>596</v>
      </c>
      <c r="B90" s="0" t="s">
        <v>129</v>
      </c>
      <c r="C90" s="32" t="n">
        <f aca="false">Sens!$C$89/ext_sh</f>
        <v>300</v>
      </c>
      <c r="D90" s="32" t="n">
        <f aca="false">Sens!$D$89/ext_sh</f>
        <v>1350</v>
      </c>
      <c r="E90" s="32" t="n">
        <f aca="false">Sens!$E$89/ext_sh</f>
        <v>800</v>
      </c>
      <c r="F90" s="32" t="n">
        <f aca="false">Sens!$F$89/ext_sh</f>
        <v>2271.4375</v>
      </c>
      <c r="G90" s="32" t="n">
        <f aca="false">Sens!$G$89/ext_sh</f>
        <v>3071.4375</v>
      </c>
      <c r="H90" s="32" t="n">
        <f aca="false">Sens!$H$89/ext_sh</f>
        <v>4542.875</v>
      </c>
      <c r="I90" s="32" t="n">
        <f aca="false">Sens!$I$89/ext_sh</f>
        <v>4542.875</v>
      </c>
      <c r="J90" s="32" t="n">
        <f aca="false">Sens!$J$89/ext_sh</f>
        <v>4542.875</v>
      </c>
      <c r="K90" s="32" t="n">
        <f aca="false">Sens!$K$89/ext_sh</f>
        <v>3213.58395833333</v>
      </c>
      <c r="L90" s="32" t="n">
        <f aca="false">Sens!$L$89/ext_sh</f>
        <v>1884.29291666667</v>
      </c>
      <c r="M90" s="32" t="n">
        <f aca="false">Sens!$M$89/ext_sh</f>
        <v>555.001874999998</v>
      </c>
      <c r="N90" s="32" t="n">
        <f aca="false">Sens!$N$89/ext_sh</f>
        <v>675</v>
      </c>
      <c r="O90" s="32" t="n">
        <f aca="false">Sens!$O$89/ext_sh</f>
        <v>675</v>
      </c>
      <c r="P90" s="8" t="s">
        <v>597</v>
      </c>
      <c r="R90" s="32" t="n">
        <f aca="false">mw_ye23/ext_sh</f>
        <v>150</v>
      </c>
      <c r="S90" s="32" t="n">
        <f aca="false">Sens!$C$90</f>
        <v>300</v>
      </c>
      <c r="T90" s="32" t="n">
        <f aca="false">Sens!$D$90</f>
        <v>1350</v>
      </c>
      <c r="U90" s="32" t="n">
        <f aca="false">Sens!$G$90</f>
        <v>3071.4375</v>
      </c>
      <c r="V90" s="32" t="n">
        <f aca="false">Sens!$H$90</f>
        <v>4542.875</v>
      </c>
      <c r="W90" s="32" t="n">
        <f aca="false">Sens!$I$90</f>
        <v>4542.875</v>
      </c>
      <c r="X90" s="32" t="n">
        <f aca="false">Sens!$J$90</f>
        <v>4542.875</v>
      </c>
      <c r="Y90" s="32" t="n">
        <f aca="false">Sens!$K$90</f>
        <v>3213.58395833333</v>
      </c>
      <c r="Z90" s="32" t="n">
        <f aca="false">Sens!$L$90</f>
        <v>1884.29291666667</v>
      </c>
      <c r="AA90" s="32" t="n">
        <f aca="false">Sens!$M$90</f>
        <v>555.001874999998</v>
      </c>
    </row>
    <row r="91" customFormat="false" ht="17.15" hidden="false" customHeight="false" outlineLevel="0" collapsed="false">
      <c r="A91" s="1" t="s">
        <v>598</v>
      </c>
    </row>
    <row r="92" customFormat="false" ht="17.15" hidden="false" customHeight="false" outlineLevel="0" collapsed="false">
      <c r="A92" s="0" t="s">
        <v>599</v>
      </c>
      <c r="B92" s="0" t="s">
        <v>52</v>
      </c>
      <c r="F92" s="35" t="n">
        <f aca="false">na_vr26</f>
        <v>0</v>
      </c>
      <c r="G92" s="35" t="n">
        <f aca="false">na_vr26</f>
        <v>0</v>
      </c>
      <c r="H92" s="35" t="n">
        <f aca="false">na_vr27</f>
        <v>0.5</v>
      </c>
      <c r="I92" s="35" t="n">
        <f aca="false">na_vr28</f>
        <v>1</v>
      </c>
      <c r="J92" s="35" t="n">
        <f aca="false">na_vr28</f>
        <v>1</v>
      </c>
      <c r="K92" s="35" t="n">
        <f aca="false">na_vr28</f>
        <v>1</v>
      </c>
      <c r="L92" s="35" t="n">
        <f aca="false">na_vr28</f>
        <v>1</v>
      </c>
      <c r="M92" s="35" t="n">
        <f aca="false">na_vr28</f>
        <v>1</v>
      </c>
    </row>
    <row r="93" customFormat="false" ht="17.15" hidden="false" customHeight="false" outlineLevel="0" collapsed="false">
      <c r="A93" s="5" t="s">
        <v>600</v>
      </c>
      <c r="B93" s="0" t="s">
        <v>173</v>
      </c>
      <c r="F93" s="36" t="n">
        <f aca="false">cust_sh*tk_he_gb300*cf_chip+(1-cust_sh)*((1-Sens!$F$92)*tk_he_gb300+Sens!$F$92*tk_he_vr200)</f>
        <v>10.8864110021101</v>
      </c>
      <c r="G93" s="36" t="n">
        <f aca="false">cust_sh*tk_he_gb300*cf_chip+(1-cust_sh)*((1-Sens!$G$92)*tk_he_gb300+Sens!$G$92*tk_he_vr200)</f>
        <v>10.8864110021101</v>
      </c>
      <c r="H93" s="36" t="n">
        <f aca="false">cust_sh*tk_he_gb300*cf_chip+(1-cust_sh)*((1-Sens!$H$92)*tk_he_gb300+Sens!$H$92*tk_he_vr200)</f>
        <v>11.2211760027286</v>
      </c>
      <c r="I93" s="36" t="n">
        <f aca="false">cust_sh*tk_he_gb300*cf_chip+(1-cust_sh)*((1-Sens!$I$92)*tk_he_gb300+Sens!$I$92*tk_he_vr200)</f>
        <v>11.5559410033471</v>
      </c>
      <c r="J93" s="36" t="n">
        <f aca="false">cust_sh*tk_he_gb300*cf_chip+(1-cust_sh)*((1-Sens!$J$92)*tk_he_gb300+Sens!$J$92*tk_he_vr200)</f>
        <v>11.5559410033471</v>
      </c>
      <c r="K93" s="36" t="n">
        <f aca="false">cust_sh*tk_he_gb300*cf_chip+(1-cust_sh)*((1-Sens!$K$92)*tk_he_gb300+Sens!$K$92*tk_he_vr200)</f>
        <v>11.5559410033471</v>
      </c>
      <c r="L93" s="36" t="n">
        <f aca="false">cust_sh*tk_he_gb300*cf_chip+(1-cust_sh)*((1-Sens!$L$92)*tk_he_gb300+Sens!$L$92*tk_he_vr200)</f>
        <v>11.5559410033471</v>
      </c>
      <c r="M93" s="36" t="n">
        <f aca="false">cust_sh*tk_he_gb300*cf_chip+(1-cust_sh)*((1-Sens!$M$92)*tk_he_gb300+Sens!$M$92*tk_he_vr200)</f>
        <v>11.5559410033471</v>
      </c>
    </row>
    <row r="94" customFormat="false" ht="17.15" hidden="false" customHeight="false" outlineLevel="0" collapsed="false">
      <c r="A94" s="5" t="s">
        <v>601</v>
      </c>
      <c r="B94" s="0" t="s">
        <v>173</v>
      </c>
      <c r="F94" s="36" t="n">
        <f aca="false">cust_sh*tk_ox_gb300+(1-cust_sh)*((1-Sens!$F$92)*tk_ox_gb300+Sens!$F$92*tk_ox_vr200)</f>
        <v>1.98263481314457</v>
      </c>
      <c r="G94" s="36" t="n">
        <f aca="false">cust_sh*tk_ox_gb300+(1-cust_sh)*((1-Sens!$G$92)*tk_ox_gb300+Sens!$G$92*tk_ox_vr200)</f>
        <v>1.98263481314457</v>
      </c>
      <c r="H94" s="36" t="n">
        <f aca="false">cust_sh*tk_ox_gb300+(1-cust_sh)*((1-Sens!$H$92)*tk_ox_gb300+Sens!$H$92*tk_ox_vr200)</f>
        <v>2.01034999693694</v>
      </c>
      <c r="I94" s="36" t="n">
        <f aca="false">cust_sh*tk_ox_gb300+(1-cust_sh)*((1-Sens!$I$92)*tk_ox_gb300+Sens!$I$92*tk_ox_vr200)</f>
        <v>2.0380651807293</v>
      </c>
      <c r="J94" s="36" t="n">
        <f aca="false">cust_sh*tk_ox_gb300+(1-cust_sh)*((1-Sens!$J$92)*tk_ox_gb300+Sens!$J$92*tk_ox_vr200)</f>
        <v>2.0380651807293</v>
      </c>
      <c r="K94" s="36" t="n">
        <f aca="false">cust_sh*tk_ox_gb300+(1-cust_sh)*((1-Sens!$K$92)*tk_ox_gb300+Sens!$K$92*tk_ox_vr200)</f>
        <v>2.0380651807293</v>
      </c>
      <c r="L94" s="36" t="n">
        <f aca="false">cust_sh*tk_ox_gb300+(1-cust_sh)*((1-Sens!$L$92)*tk_ox_gb300+Sens!$L$92*tk_ox_vr200)</f>
        <v>2.0380651807293</v>
      </c>
      <c r="M94" s="36" t="n">
        <f aca="false">cust_sh*tk_ox_gb300+(1-cust_sh)*((1-Sens!$M$92)*tk_ox_gb300+Sens!$M$92*tk_ox_vr200)</f>
        <v>2.0380651807293</v>
      </c>
    </row>
    <row r="95" customFormat="false" ht="17.15" hidden="false" customHeight="false" outlineLevel="0" collapsed="false">
      <c r="A95" s="5" t="s">
        <v>602</v>
      </c>
      <c r="B95" s="0" t="s">
        <v>192</v>
      </c>
      <c r="F95" s="36" t="n">
        <f aca="false">cust_sh*tk_cx_gb300*cf_cx+(1-cust_sh)*((1-Sens!$F$92)*tk_cx_gb300+Sens!$F$92*tk_cx_vr200)</f>
        <v>32.237224</v>
      </c>
      <c r="G95" s="36" t="n">
        <f aca="false">cust_sh*tk_cx_gb300*cf_cx+(1-cust_sh)*((1-Sens!$G$92)*tk_cx_gb300+Sens!$G$92*tk_cx_vr200)</f>
        <v>32.237224</v>
      </c>
      <c r="H95" s="36" t="n">
        <f aca="false">cust_sh*tk_cx_gb300*cf_cx+(1-cust_sh)*((1-Sens!$H$92)*tk_cx_gb300+Sens!$H$92*tk_cx_vr200)</f>
        <v>33.574506</v>
      </c>
      <c r="I95" s="36" t="n">
        <f aca="false">cust_sh*tk_cx_gb300*cf_cx+(1-cust_sh)*((1-Sens!$I$92)*tk_cx_gb300+Sens!$I$92*tk_cx_vr200)</f>
        <v>34.911788</v>
      </c>
      <c r="J95" s="36" t="n">
        <f aca="false">cust_sh*tk_cx_gb300*cf_cx+(1-cust_sh)*((1-Sens!$J$92)*tk_cx_gb300+Sens!$J$92*tk_cx_vr200)</f>
        <v>34.911788</v>
      </c>
      <c r="K95" s="36" t="n">
        <f aca="false">cust_sh*tk_cx_gb300*cf_cx+(1-cust_sh)*((1-Sens!$K$92)*tk_cx_gb300+Sens!$K$92*tk_cx_vr200)</f>
        <v>34.911788</v>
      </c>
      <c r="L95" s="36" t="n">
        <f aca="false">cust_sh*tk_cx_gb300*cf_cx+(1-cust_sh)*((1-Sens!$L$92)*tk_cx_gb300+Sens!$L$92*tk_cx_vr200)</f>
        <v>34.911788</v>
      </c>
      <c r="M95" s="36" t="n">
        <f aca="false">cust_sh*tk_cx_gb300*cf_cx+(1-cust_sh)*((1-Sens!$M$92)*tk_cx_gb300+Sens!$M$92*tk_cx_vr200)</f>
        <v>34.911788</v>
      </c>
    </row>
    <row r="96" customFormat="false" ht="17.15" hidden="false" customHeight="false" outlineLevel="0" collapsed="false">
      <c r="A96" s="5" t="s">
        <v>603</v>
      </c>
      <c r="B96" s="0" t="s">
        <v>129</v>
      </c>
      <c r="F96" s="32" t="n">
        <f aca="false">Sens!$F$86-mw_open</f>
        <v>1817.15</v>
      </c>
      <c r="G96" s="32" t="n">
        <f aca="false">Sens!$F$96</f>
        <v>1817.15</v>
      </c>
      <c r="H96" s="32" t="n">
        <f aca="false">Sens!$H$86-mw_open</f>
        <v>5451.45</v>
      </c>
      <c r="I96" s="32" t="n">
        <f aca="false">Sens!$I$86-mw_open</f>
        <v>9085.75</v>
      </c>
      <c r="J96" s="32" t="n">
        <f aca="false">Sens!$J$86-mw_open</f>
        <v>12720.05</v>
      </c>
      <c r="K96" s="32" t="n">
        <f aca="false">Sens!$K$86-mw_open</f>
        <v>15290.9171666667</v>
      </c>
      <c r="L96" s="32" t="n">
        <f aca="false">Sens!$L$86-mw_open</f>
        <v>16798.3515</v>
      </c>
      <c r="M96" s="32" t="n">
        <f aca="false">Sens!$M$86-mw_open</f>
        <v>17242.353</v>
      </c>
    </row>
    <row r="97" customFormat="false" ht="17.15" hidden="false" customHeight="false" outlineLevel="0" collapsed="false">
      <c r="A97" s="0" t="s">
        <v>604</v>
      </c>
      <c r="B97" s="0" t="s">
        <v>605</v>
      </c>
      <c r="F97" s="32" t="n">
        <f aca="false">Sens!$F$89*Sens!$F$93</f>
        <v>19782.2417524844</v>
      </c>
      <c r="G97" s="32" t="n">
        <f aca="false">Sens!$F$97</f>
        <v>19782.2417524844</v>
      </c>
      <c r="H97" s="32" t="n">
        <f aca="false">Sens!$G$97+Sens!$H$89*Sens!$H$93</f>
        <v>60563.3616992009</v>
      </c>
      <c r="I97" s="32" t="n">
        <f aca="false">Sens!$H$97+Sens!$I$89*Sens!$I$93</f>
        <v>102561.118087665</v>
      </c>
      <c r="J97" s="32" t="n">
        <f aca="false">Sens!$I$97+Sens!$J$89*Sens!$J$93</f>
        <v>144558.87447613</v>
      </c>
      <c r="K97" s="32" t="n">
        <f aca="false">Sens!$J$97+Sens!$K$89*Sens!$K$93</f>
        <v>174267.663781572</v>
      </c>
      <c r="L97" s="32" t="n">
        <f aca="false">Sens!$K$97+Sens!$L$89*Sens!$L$93</f>
        <v>191687.486003992</v>
      </c>
      <c r="M97" s="32" t="n">
        <f aca="false">Sens!$L$97+Sens!$M$89*Sens!$M$93</f>
        <v>196818.341143389</v>
      </c>
    </row>
    <row r="98" customFormat="false" ht="17.15" hidden="false" customHeight="false" outlineLevel="0" collapsed="false">
      <c r="A98" s="0" t="s">
        <v>606</v>
      </c>
      <c r="B98" s="0" t="s">
        <v>605</v>
      </c>
      <c r="F98" s="32" t="n">
        <f aca="false">Sens!$F$89*Sens!$F$94</f>
        <v>3602.74485070566</v>
      </c>
      <c r="G98" s="32" t="n">
        <f aca="false">Sens!$F$98</f>
        <v>3602.74485070566</v>
      </c>
      <c r="H98" s="32" t="n">
        <f aca="false">Sens!$G$98+Sens!$H$89*Sens!$H$94</f>
        <v>10908.9598445736</v>
      </c>
      <c r="I98" s="32" t="n">
        <f aca="false">Sens!$H$98+Sens!$I$89*Sens!$I$94</f>
        <v>18315.9001308981</v>
      </c>
      <c r="J98" s="32" t="n">
        <f aca="false">Sens!$I$98+Sens!$J$89*Sens!$J$94</f>
        <v>25722.8404172225</v>
      </c>
      <c r="K98" s="32" t="n">
        <f aca="false">Sens!$J$98+Sens!$K$89*Sens!$K$94</f>
        <v>30962.4352738861</v>
      </c>
      <c r="L98" s="32" t="n">
        <f aca="false">Sens!$K$98+Sens!$L$89*Sens!$L$94</f>
        <v>34034.6847008886</v>
      </c>
      <c r="M98" s="32" t="n">
        <f aca="false">Sens!$L$98+Sens!$M$89*Sens!$M$94</f>
        <v>34939.5886982302</v>
      </c>
    </row>
    <row r="99" customFormat="false" ht="17.15" hidden="false" customHeight="false" outlineLevel="0" collapsed="false">
      <c r="A99" s="5" t="s">
        <v>607</v>
      </c>
      <c r="B99" s="0" t="s">
        <v>173</v>
      </c>
      <c r="F99" s="36" t="n">
        <f aca="false">IF(Sens!$F$96&gt;0,Sens!$F$97/Sens!$F$96,Sens!$F$93)</f>
        <v>10.8864110021101</v>
      </c>
      <c r="G99" s="36" t="n">
        <f aca="false">IF(Sens!$G$96&gt;0,Sens!$G$97/Sens!$G$96,Sens!$G$93)</f>
        <v>10.8864110021101</v>
      </c>
      <c r="H99" s="36" t="n">
        <f aca="false">IF(Sens!$H$96&gt;0,Sens!$H$97/Sens!$H$96,Sens!$H$93)</f>
        <v>11.1095876691891</v>
      </c>
      <c r="I99" s="36" t="n">
        <f aca="false">IF(Sens!$I$96&gt;0,Sens!$I$97/Sens!$I$96,Sens!$I$93)</f>
        <v>11.2881290028523</v>
      </c>
      <c r="J99" s="36" t="n">
        <f aca="false">IF(Sens!$J$96&gt;0,Sens!$J$97/Sens!$J$96,Sens!$J$93)</f>
        <v>11.3646467172794</v>
      </c>
      <c r="K99" s="36" t="n">
        <f aca="false">IF(Sens!$K$96&gt;0,Sens!$K$97/Sens!$K$96,Sens!$K$93)</f>
        <v>11.3968090914432</v>
      </c>
      <c r="L99" s="36" t="n">
        <f aca="false">IF(Sens!$L$96&gt;0,Sens!$L$97/Sens!$L$96,Sens!$L$93)</f>
        <v>11.4110891181192</v>
      </c>
      <c r="M99" s="36" t="n">
        <f aca="false">IF(Sens!$M$96&gt;0,Sens!$M$97/Sens!$M$96,Sens!$M$93)</f>
        <v>11.4148191458201</v>
      </c>
    </row>
    <row r="100" customFormat="false" ht="17.15" hidden="false" customHeight="false" outlineLevel="0" collapsed="false">
      <c r="A100" s="5" t="s">
        <v>608</v>
      </c>
      <c r="B100" s="0" t="s">
        <v>173</v>
      </c>
      <c r="F100" s="36" t="n">
        <f aca="false">IF(Sens!$F$96&gt;0,Sens!$F$98/Sens!$F$96,Sens!$F$94)</f>
        <v>1.98263481314457</v>
      </c>
      <c r="G100" s="36" t="n">
        <f aca="false">IF(Sens!$G$96&gt;0,Sens!$G$98/Sens!$G$96,Sens!$G$94)</f>
        <v>1.98263481314457</v>
      </c>
      <c r="H100" s="36" t="n">
        <f aca="false">IF(Sens!$H$96&gt;0,Sens!$H$98/Sens!$H$96,Sens!$H$94)</f>
        <v>2.00111160233948</v>
      </c>
      <c r="I100" s="36" t="n">
        <f aca="false">IF(Sens!$I$96&gt;0,Sens!$I$98/Sens!$I$96,Sens!$I$94)</f>
        <v>2.01589303369541</v>
      </c>
      <c r="J100" s="36" t="n">
        <f aca="false">IF(Sens!$J$96&gt;0,Sens!$J$98/Sens!$J$96,Sens!$J$94)</f>
        <v>2.02222793284795</v>
      </c>
      <c r="K100" s="36" t="n">
        <f aca="false">IF(Sens!$K$96&gt;0,Sens!$K$98/Sens!$K$96,Sens!$K$94)</f>
        <v>2.02489065478573</v>
      </c>
      <c r="L100" s="36" t="n">
        <f aca="false">IF(Sens!$L$96&gt;0,Sens!$L$98/Sens!$L$96,Sens!$L$94)</f>
        <v>2.0260728977417</v>
      </c>
      <c r="M100" s="36" t="n">
        <f aca="false">IF(Sens!$M$96&gt;0,Sens!$M$98/Sens!$M$96,Sens!$M$94)</f>
        <v>2.02638170661685</v>
      </c>
    </row>
    <row r="101" customFormat="false" ht="17.15" hidden="false" customHeight="false" outlineLevel="0" collapsed="false">
      <c r="A101" s="15" t="s">
        <v>609</v>
      </c>
      <c r="B101" s="14" t="s">
        <v>173</v>
      </c>
      <c r="C101" s="14"/>
      <c r="D101" s="14"/>
      <c r="E101" s="14"/>
      <c r="F101" s="37" t="n">
        <f aca="false">Sens!$F$99*k_B</f>
        <v>10.7987645808025</v>
      </c>
      <c r="G101" s="37" t="n">
        <f aca="false">Sens!$G$99*k_B</f>
        <v>10.7987645808025</v>
      </c>
      <c r="H101" s="37" t="n">
        <f aca="false">Sens!$H$99*k_B</f>
        <v>11.0201444540452</v>
      </c>
      <c r="I101" s="37" t="n">
        <f aca="false">Sens!$I$99*k_B</f>
        <v>11.1972483526393</v>
      </c>
      <c r="J101" s="37" t="n">
        <f aca="false">Sens!$J$99*k_B</f>
        <v>11.2731500234653</v>
      </c>
      <c r="K101" s="37" t="n">
        <f aca="false">Sens!$K$99*k_B</f>
        <v>11.3050534585724</v>
      </c>
      <c r="L101" s="37" t="n">
        <f aca="false">Sens!$L$99*k_B</f>
        <v>11.3192185168503</v>
      </c>
      <c r="M101" s="37" t="n">
        <f aca="false">Sens!$M$99*k_B</f>
        <v>11.3229185141234</v>
      </c>
      <c r="N101" s="14"/>
      <c r="O101" s="14"/>
      <c r="P101" s="5" t="s">
        <v>610</v>
      </c>
    </row>
    <row r="102" customFormat="false" ht="17.15" hidden="false" customHeight="false" outlineLevel="0" collapsed="false">
      <c r="A102" s="5" t="s">
        <v>611</v>
      </c>
      <c r="B102" s="0" t="s">
        <v>129</v>
      </c>
      <c r="F102" s="32" t="n">
        <f aca="false">Sens!$F$96/2</f>
        <v>908.575</v>
      </c>
      <c r="H102" s="32" t="n">
        <f aca="false">(Sens!$G$96+Sens!$H$96)/2</f>
        <v>3634.3</v>
      </c>
      <c r="I102" s="32" t="n">
        <f aca="false">(Sens!$H$96+Sens!$I$96)/2</f>
        <v>7268.6</v>
      </c>
      <c r="J102" s="32" t="n">
        <f aca="false">(Sens!$I$96+Sens!$J$96)/2</f>
        <v>10902.9</v>
      </c>
      <c r="K102" s="32" t="n">
        <f aca="false">(Sens!$J$96+Sens!$K$96)/2</f>
        <v>14005.4835833333</v>
      </c>
      <c r="L102" s="32" t="n">
        <f aca="false">(Sens!$K$96+Sens!$L$96)/2</f>
        <v>16044.6343333333</v>
      </c>
      <c r="M102" s="32" t="n">
        <f aca="false">(Sens!$L$96+Sens!$M$96)/2</f>
        <v>17020.35225</v>
      </c>
    </row>
    <row r="103" customFormat="false" ht="17.15" hidden="false" customHeight="false" outlineLevel="0" collapsed="false">
      <c r="A103" s="1" t="s">
        <v>612</v>
      </c>
    </row>
    <row r="104" customFormat="false" ht="17.15" hidden="false" customHeight="false" outlineLevel="0" collapsed="false">
      <c r="A104" s="1" t="s">
        <v>613</v>
      </c>
      <c r="B104" s="8" t="s">
        <v>86</v>
      </c>
      <c r="C104" s="38" t="n">
        <f aca="false">Sens!$C$87*rpm_open*Sens!$C$88/1000</f>
        <v>2.32100535697364</v>
      </c>
      <c r="D104" s="38" t="n">
        <f aca="false">Sens!$D$87*rpm_open*Sens!$D$88/1000</f>
        <v>8.70377008865116</v>
      </c>
      <c r="E104" s="38" t="n">
        <f aca="false">Sens!$E$87*rpm_open*Sens!$E$88/1000</f>
        <v>8.51035297557002</v>
      </c>
      <c r="F104" s="38" t="n">
        <f aca="false">(mw_open*rpm_open+Sens!$F$102*Sens!$F$101)*Sens!$F$88/1000</f>
        <v>14.9634336447205</v>
      </c>
      <c r="G104" s="38" t="n">
        <f aca="false">Sens!$E$104+Sens!$F$104</f>
        <v>23.4737866202905</v>
      </c>
      <c r="H104" s="38" t="n">
        <f aca="false">(mw_open*rpm_open+Sens!$H$102*Sens!$H$101)/1000</f>
        <v>60.1658907497746</v>
      </c>
      <c r="I104" s="38" t="n">
        <f aca="false">(mw_open*rpm_open+Sens!$I$102*Sens!$I$101)/1000</f>
        <v>101.503699136432</v>
      </c>
      <c r="J104" s="38" t="n">
        <f aca="false">(mw_open*rpm_open+Sens!$J$102*Sens!$J$101)/1000</f>
        <v>143.025407151278</v>
      </c>
      <c r="K104" s="38" t="n">
        <f aca="false">(mw_open*rpm_open+Sens!$K$102*Sens!$K$101)/1000</f>
        <v>178.44812038318</v>
      </c>
      <c r="L104" s="38" t="n">
        <f aca="false">(mw_open*rpm_open+Sens!$L$102*Sens!$L$101)/1000</f>
        <v>201.728101802396</v>
      </c>
      <c r="M104" s="38" t="n">
        <f aca="false">(mw_open*rpm_open+Sens!$M$102*Sens!$M$101)/1000</f>
        <v>212.835441368865</v>
      </c>
      <c r="N104" s="38" t="n">
        <f aca="false">Sens!$N$87*rpm_open*Sens!$N$88/1000</f>
        <v>3.04631953102791</v>
      </c>
      <c r="O104" s="38" t="n">
        <f aca="false">Sens!$O$87*rpm_open*Sens!$O$88/1000</f>
        <v>5.65745055762326</v>
      </c>
      <c r="P104" s="5" t="s">
        <v>614</v>
      </c>
    </row>
    <row r="105" customFormat="false" ht="17.15" hidden="false" customHeight="false" outlineLevel="0" collapsed="false">
      <c r="A105" s="5" t="s">
        <v>615</v>
      </c>
      <c r="B105" s="0" t="s">
        <v>173</v>
      </c>
      <c r="C105" s="36" t="n">
        <f aca="false">Sens!$C$104*1000/(Sens!$C$87*Sens!$C$88)</f>
        <v>9.67085565405685</v>
      </c>
      <c r="D105" s="36" t="n">
        <f aca="false">Sens!$D$104*1000/(Sens!$D$87*Sens!$D$88)</f>
        <v>9.67085565405685</v>
      </c>
      <c r="E105" s="36" t="n">
        <f aca="false">Sens!$E$104*1000/(Sens!$E$87*Sens!$E$88)</f>
        <v>9.67085565405685</v>
      </c>
      <c r="F105" s="36" t="n">
        <f aca="false">Sens!$F$104*1000/(Sens!$F$87*Sens!$F$88)</f>
        <v>10.0137581588017</v>
      </c>
      <c r="G105" s="36" t="n">
        <f aca="false">Sens!$G$104*1000/(Sens!$G$87*Sens!$G$88)</f>
        <v>9.88666562928478</v>
      </c>
      <c r="H105" s="36" t="n">
        <f aca="false">Sens!$H$104*1000/(Sens!$H$87*Sens!$H$88)</f>
        <v>10.5290045586992</v>
      </c>
      <c r="I105" s="36" t="n">
        <f aca="false">Sens!$I$104*1000/(Sens!$I$87*Sens!$I$88)</f>
        <v>10.8576363451674</v>
      </c>
      <c r="J105" s="36" t="n">
        <f aca="false">Sens!$J$104*1000/(Sens!$J$87*Sens!$J$88)</f>
        <v>11.0164452588619</v>
      </c>
      <c r="K105" s="36" t="n">
        <f aca="false">Sens!$K$104*1000/(Sens!$K$87*Sens!$K$88)</f>
        <v>11.0937367508227</v>
      </c>
      <c r="L105" s="36" t="n">
        <f aca="false">Sens!$L$104*1000/(Sens!$L$87*Sens!$L$88)</f>
        <v>11.1300508519168</v>
      </c>
      <c r="M105" s="36" t="n">
        <f aca="false">Sens!$M$104*1000/(Sens!$M$87*Sens!$M$88)</f>
        <v>11.1430113216297</v>
      </c>
      <c r="N105" s="36" t="n">
        <f aca="false">Sens!$N$104*1000/(Sens!$N$87*Sens!$N$88)</f>
        <v>9.67085565405685</v>
      </c>
      <c r="O105" s="36" t="n">
        <f aca="false">Sens!$O$104*1000/(Sens!$O$87*Sens!$O$88)</f>
        <v>9.67085565405685</v>
      </c>
    </row>
    <row r="106" customFormat="false" ht="17.15" hidden="false" customHeight="false" outlineLevel="0" collapsed="false">
      <c r="A106" s="0" t="s">
        <v>616</v>
      </c>
      <c r="B106" s="0" t="s">
        <v>86</v>
      </c>
      <c r="C106" s="38" t="n">
        <f aca="false">Sens!$C$87/ext_sh*(ox_open+rent_mw)*Sens!$C$88/1000</f>
        <v>0.642569210675032</v>
      </c>
      <c r="D106" s="38" t="n">
        <f aca="false">Sens!$D$87/ext_sh*(ox_open+rent_mw)*Sens!$D$88/1000</f>
        <v>2.40963454003137</v>
      </c>
      <c r="E106" s="38" t="n">
        <f aca="false">Sens!$E$87/ext_sh*(ox_open+rent_mw)*Sens!$E$88/1000</f>
        <v>2.35608710580845</v>
      </c>
      <c r="F106" s="38" t="n">
        <f aca="false">((mw_open*ox_open+Sens!$F$102*Sens!$F$100)/ext_sh+Sens!$F$87/ext_sh*rent_mw)*Sens!$F$88/1000</f>
        <v>4.05421991106232</v>
      </c>
      <c r="G106" s="38" t="n">
        <f aca="false">Sens!$E$106+Sens!$F$106</f>
        <v>6.41030701687077</v>
      </c>
      <c r="H106" s="38" t="n">
        <f aca="false">((mw_open*ox_open+Sens!$H$102*Sens!$H$100)/ext_sh+Sens!$H$87/ext_sh*rent_mw)*Sens!$H$88/1000</f>
        <v>15.8108975546616</v>
      </c>
      <c r="I106" s="38" t="n">
        <f aca="false">((mw_open*ox_open+Sens!$I$102*Sens!$I$100)/ext_sh+Sens!$I$87/ext_sh*rent_mw)*Sens!$I$88/1000</f>
        <v>26.1871623400817</v>
      </c>
      <c r="J106" s="38" t="n">
        <f aca="false">((mw_open*ox_open+Sens!$J$102*Sens!$J$100)/ext_sh+Sens!$J$87/ext_sh*rent_mw)*Sens!$J$88/1000</f>
        <v>36.5826128954935</v>
      </c>
      <c r="K106" s="38" t="n">
        <f aca="false">((mw_open*ox_open+Sens!$K$102*Sens!$K$100)/ext_sh+Sens!$K$87/ext_sh*rent_mw)*Sens!$K$88/1000</f>
        <v>45.4546361137628</v>
      </c>
      <c r="L106" s="38" t="n">
        <f aca="false">((mw_open*ox_open+Sens!$L$102*Sens!$L$100)/ext_sh+Sens!$L$87/ext_sh*rent_mw)*Sens!$L$88/1000</f>
        <v>51.2855695554452</v>
      </c>
      <c r="M106" s="38" t="n">
        <f aca="false">((mw_open*ox_open+Sens!$M$102*Sens!$M$100)/ext_sh+Sens!$M$87/ext_sh*rent_mw)*Sens!$M$88/1000</f>
        <v>54.0722927838398</v>
      </c>
      <c r="N106" s="38" t="n">
        <f aca="false">Sens!$N$87/ext_sh*(ox_open+rent_mw)*Sens!$N$88/1000</f>
        <v>0.84337208901098</v>
      </c>
      <c r="O106" s="38" t="n">
        <f aca="false">Sens!$O$87/ext_sh*(ox_open+rent_mw)*Sens!$O$88/1000</f>
        <v>1.56626245102039</v>
      </c>
    </row>
    <row r="107" customFormat="false" ht="17.15" hidden="false" customHeight="false" outlineLevel="0" collapsed="false">
      <c r="A107" s="0" t="s">
        <v>617</v>
      </c>
      <c r="B107" s="0" t="s">
        <v>86</v>
      </c>
      <c r="C107" s="38" t="n">
        <f aca="false">Q!$D$7</f>
        <v>107.556</v>
      </c>
      <c r="D107" s="38" t="n">
        <f aca="false">Q!$E$7</f>
        <v>128.725</v>
      </c>
      <c r="E107" s="38" t="n">
        <f aca="false">Q!$P$7</f>
        <v>79.819</v>
      </c>
      <c r="N107" s="38" t="n">
        <f aca="false">Q!$N$7</f>
        <v>60.14</v>
      </c>
      <c r="O107" s="38" t="n">
        <f aca="false">Q!$O$7</f>
        <v>68.585</v>
      </c>
    </row>
    <row r="108" customFormat="false" ht="17.15" hidden="false" customHeight="false" outlineLevel="0" collapsed="false">
      <c r="A108" s="1" t="s">
        <v>618</v>
      </c>
      <c r="B108" s="8" t="s">
        <v>86</v>
      </c>
      <c r="C108" s="38" t="n">
        <f aca="false">Sens!$C$107-Sens!$C$104</f>
        <v>105.234994643026</v>
      </c>
      <c r="D108" s="38" t="n">
        <f aca="false">Sens!$D$107-Sens!$D$104</f>
        <v>120.021229911349</v>
      </c>
      <c r="E108" s="38" t="n">
        <f aca="false">Sens!$E$107-Sens!$E$104</f>
        <v>71.30864702443</v>
      </c>
      <c r="F108" s="38" t="n">
        <f aca="false">Sens!$O$108*(1+Sens!$F$109)</f>
        <v>71.7692997942464</v>
      </c>
      <c r="G108" s="38" t="n">
        <f aca="false">Sens!$E$108+Sens!$F$108</f>
        <v>143.077946818676</v>
      </c>
      <c r="H108" s="38" t="n">
        <f aca="false">Sens!$G$108*(1+Sens!$H$109)</f>
        <v>161.017077079203</v>
      </c>
      <c r="I108" s="38" t="n">
        <f aca="false">Sens!$H$108*(1+Sens!$I$109)</f>
        <v>178.769759521457</v>
      </c>
      <c r="J108" s="38" t="n">
        <f aca="false">Sens!$I$108*(1+Sens!$J$109)</f>
        <v>195.775538045907</v>
      </c>
      <c r="K108" s="38" t="n">
        <f aca="false">Sens!$J$108*(1+Sens!$K$109)</f>
        <v>211.43758108958</v>
      </c>
      <c r="L108" s="38" t="n">
        <f aca="false">Sens!$K$108*(1+Sens!$L$109)</f>
        <v>228.352587576746</v>
      </c>
      <c r="M108" s="38" t="n">
        <f aca="false">Sens!$L$108*(1+Sens!$M$109)</f>
        <v>246.620794582886</v>
      </c>
      <c r="N108" s="38" t="n">
        <f aca="false">Sens!$N$107-Sens!$N$104</f>
        <v>57.0936804689721</v>
      </c>
      <c r="O108" s="38" t="n">
        <f aca="false">Sens!$O$107-Sens!$O$104</f>
        <v>62.9275494423768</v>
      </c>
      <c r="P108" s="5" t="s">
        <v>619</v>
      </c>
    </row>
    <row r="109" customFormat="false" ht="17.15" hidden="false" customHeight="false" outlineLevel="0" collapsed="false">
      <c r="A109" s="0" t="s">
        <v>620</v>
      </c>
      <c r="B109" s="0" t="s">
        <v>52</v>
      </c>
      <c r="D109" s="13" t="n">
        <f aca="false">Sens!$D$108/Sens!$C$108-1</f>
        <v>0.140506827776062</v>
      </c>
      <c r="E109" s="13" t="n">
        <f aca="false">Sens!$E$108/Sens!$N$108-1</f>
        <v>0.248976181579029</v>
      </c>
      <c r="F109" s="13" t="n">
        <f aca="false">Sens!$D$109</f>
        <v>0.140506827776062</v>
      </c>
      <c r="G109" s="13" t="n">
        <f aca="false">Sens!$G$108/Sens!$D$108-1</f>
        <v>0.19210532106993</v>
      </c>
      <c r="H109" s="13" t="n">
        <f aca="false">Sens!$F$109+(g_awso_lt-Sens!$F$109)*1/4</f>
        <v>0.125380120832046</v>
      </c>
      <c r="I109" s="13" t="n">
        <f aca="false">Sens!$F$109+(g_awso_lt-Sens!$F$109)*2/4</f>
        <v>0.110253413888031</v>
      </c>
      <c r="J109" s="13" t="n">
        <f aca="false">Sens!$F$109+(g_awso_lt-Sens!$F$109)*3/4</f>
        <v>0.0951267069440154</v>
      </c>
      <c r="K109" s="13" t="n">
        <f aca="false">Sens!$F$109+(g_awso_lt-Sens!$F$109)*4/4</f>
        <v>0.08</v>
      </c>
      <c r="L109" s="13" t="n">
        <f aca="false">g_awso_lt</f>
        <v>0.08</v>
      </c>
      <c r="M109" s="13" t="n">
        <f aca="false">g_awso_lt</f>
        <v>0.08</v>
      </c>
      <c r="P109" s="5" t="s">
        <v>621</v>
      </c>
    </row>
    <row r="110" customFormat="false" ht="17.15" hidden="false" customHeight="false" outlineLevel="0" collapsed="false">
      <c r="A110" s="1" t="s">
        <v>622</v>
      </c>
    </row>
    <row r="111" customFormat="false" ht="17.15" hidden="false" customHeight="false" outlineLevel="0" collapsed="false">
      <c r="A111" s="0" t="s">
        <v>623</v>
      </c>
      <c r="B111" s="0" t="s">
        <v>86</v>
      </c>
      <c r="F111" s="38" t="n">
        <f aca="false">cx_rt*Sens!$F$76+cx_awso*Sens!$F$108</f>
        <v>34.9734495387866</v>
      </c>
    </row>
    <row r="112" customFormat="false" ht="17.15" hidden="false" customHeight="false" outlineLevel="0" collapsed="false">
      <c r="A112" s="0" t="s">
        <v>624</v>
      </c>
      <c r="B112" s="0" t="s">
        <v>52</v>
      </c>
      <c r="C112" s="13" t="n">
        <f aca="false">tk_cx_h100/(tk_cx_h100+tk_fac*(1-colo_sh))</f>
        <v>0.730756458006641</v>
      </c>
      <c r="D112" s="13" t="n">
        <f aca="false">tk_cx_h100/(tk_cx_h100+tk_fac*(1-colo_sh))</f>
        <v>0.730756458006641</v>
      </c>
      <c r="E112" s="13" t="n">
        <f aca="false">Sens!$F$112</f>
        <v>0.760792334328868</v>
      </c>
      <c r="F112" s="13" t="n">
        <f aca="false">Sens!$F$95/(Sens!$F$95+tk_fac*(1-colo_sh))</f>
        <v>0.760792334328868</v>
      </c>
      <c r="G112" s="13" t="n">
        <f aca="false">Sens!$G$95/(Sens!$G$95+tk_fac*(1-colo_sh))</f>
        <v>0.760792334328868</v>
      </c>
      <c r="H112" s="13" t="n">
        <f aca="false">Sens!$H$95/(Sens!$H$95+tk_fac*(1-colo_sh))</f>
        <v>0.768110668862996</v>
      </c>
      <c r="I112" s="13" t="n">
        <f aca="false">Sens!$I$95/(Sens!$I$95+tk_fac*(1-colo_sh))</f>
        <v>0.77499450139483</v>
      </c>
      <c r="J112" s="13" t="n">
        <f aca="false">Sens!$J$95/(Sens!$J$95+tk_fac*(1-colo_sh))</f>
        <v>0.77499450139483</v>
      </c>
      <c r="K112" s="13" t="n">
        <f aca="false">Sens!$K$95/(Sens!$K$95+tk_fac*(1-colo_sh))</f>
        <v>0.77499450139483</v>
      </c>
      <c r="L112" s="13" t="n">
        <f aca="false">Sens!$L$95/(Sens!$L$95+tk_fac*(1-colo_sh))</f>
        <v>0.77499450139483</v>
      </c>
      <c r="M112" s="13" t="n">
        <f aca="false">Sens!$M$95/(Sens!$M$95+tk_fac*(1-colo_sh))</f>
        <v>0.77499450139483</v>
      </c>
    </row>
    <row r="113" customFormat="false" ht="17.15" hidden="false" customHeight="false" outlineLevel="0" collapsed="false">
      <c r="A113" s="1" t="s">
        <v>625</v>
      </c>
      <c r="B113" s="8" t="s">
        <v>86</v>
      </c>
      <c r="C113" s="38" t="n">
        <f aca="false">Q!$D$46-cx_rt*Q!$D$16-cx_awso*Sens!$C$108</f>
        <v>25.2781053077374</v>
      </c>
      <c r="D113" s="38" t="n">
        <f aca="false">Q!$E$46-cx_rt*Q!$E$16-cx_awso*Sens!$D$108</f>
        <v>69.5686316310026</v>
      </c>
      <c r="E113" s="38" t="n">
        <f aca="false">Q!$P$46-cx_rt*Q!$P$16-cx_awso*Sens!$E$108</f>
        <v>64.1899206485108</v>
      </c>
      <c r="F113" s="38" t="n">
        <f aca="false">MAX(Sens!$F$90*(Sens!$F$95+tk_fac*(1-colo_sh))/1000,capex_g26-Q!$P$46-Sens!$F$111)</f>
        <v>96.2481299895</v>
      </c>
      <c r="G113" s="38" t="n">
        <f aca="false">Sens!$E$113+Sens!$F$113</f>
        <v>160.438050638011</v>
      </c>
      <c r="H113" s="38" t="n">
        <f aca="false">Sens!$H$90*(Sens!$H$95+tk_fac*(1-colo_sh))/1000+Sens!$H$114</f>
        <v>198.57136494475</v>
      </c>
      <c r="I113" s="38" t="n">
        <f aca="false">Sens!$I$90*(Sens!$I$95+tk_fac*(1-colo_sh))/1000+Sens!$I$114</f>
        <v>204.6464699105</v>
      </c>
      <c r="J113" s="38" t="n">
        <f aca="false">Sens!$J$90*(Sens!$J$95+tk_fac*(1-colo_sh))/1000+Sens!$J$114</f>
        <v>209.8832381105</v>
      </c>
      <c r="K113" s="38" t="n">
        <f aca="false">Sens!$K$90*(Sens!$K$95+tk_fac*(1-colo_sh))/1000+Sens!$K$114</f>
        <v>155.238385275201</v>
      </c>
      <c r="L113" s="38" t="n">
        <f aca="false">Sens!$L$90*(Sens!$L$95+tk_fac*(1-colo_sh))/1000+Sens!$L$114</f>
        <v>132.014141639902</v>
      </c>
      <c r="M113" s="38" t="n">
        <f aca="false">Sens!$M$90*(Sens!$M$95+tk_fac*(1-colo_sh))/1000+Sens!$M$114</f>
        <v>132.230981659852</v>
      </c>
      <c r="P113" s="5" t="s">
        <v>626</v>
      </c>
      <c r="R113" s="38" t="n">
        <f aca="false">Q!$C$46-cx_rt*Q!$C$16-cx_awso*(Q!$C$7-mw_ye23/2*rpm_open/1000)</f>
        <v>1.50429979529945</v>
      </c>
      <c r="S113" s="38" t="n">
        <f aca="false">Sens!$C$113</f>
        <v>25.2781053077374</v>
      </c>
      <c r="T113" s="38" t="n">
        <f aca="false">Sens!$D$113</f>
        <v>69.5686316310026</v>
      </c>
      <c r="U113" s="38" t="n">
        <f aca="false">Sens!$G$113</f>
        <v>160.438050638011</v>
      </c>
      <c r="V113" s="38" t="n">
        <f aca="false">Sens!$H$113</f>
        <v>198.57136494475</v>
      </c>
      <c r="W113" s="38" t="n">
        <f aca="false">Sens!$I$113</f>
        <v>204.6464699105</v>
      </c>
      <c r="X113" s="38" t="n">
        <f aca="false">Sens!$J$113</f>
        <v>209.8832381105</v>
      </c>
      <c r="Y113" s="38" t="n">
        <f aca="false">Sens!$K$113</f>
        <v>155.238385275201</v>
      </c>
      <c r="Z113" s="38" t="n">
        <f aca="false">Sens!$L$113</f>
        <v>132.014141639902</v>
      </c>
      <c r="AA113" s="38" t="n">
        <f aca="false">Sens!$M$113</f>
        <v>132.230981659852</v>
      </c>
    </row>
    <row r="114" customFormat="false" ht="17.15" hidden="false" customHeight="false" outlineLevel="0" collapsed="false">
      <c r="A114" s="0" t="s">
        <v>627</v>
      </c>
      <c r="B114" s="0" t="s">
        <v>86</v>
      </c>
      <c r="H114" s="38" t="n">
        <f aca="false">SUMPRODUCT(--(Sens!$R$83:$AA$83=2027-tk_life),Sens!$R$90:$AA$90)*Sens!$H$95/1000</f>
        <v>0</v>
      </c>
      <c r="I114" s="38" t="n">
        <f aca="false">SUMPRODUCT(--(Sens!$R$83:$AA$83=2028-tk_life),Sens!$R$90:$AA$90)*Sens!$I$95/1000</f>
        <v>0</v>
      </c>
      <c r="J114" s="38" t="n">
        <f aca="false">SUMPRODUCT(--(Sens!$R$83:$AA$83=2029-tk_life),Sens!$R$90:$AA$90)*Sens!$J$95/1000</f>
        <v>5.2367682</v>
      </c>
      <c r="K114" s="38" t="n">
        <f aca="false">SUMPRODUCT(--(Sens!$R$83:$AA$83=2030-tk_life),Sens!$R$90:$AA$90)*Sens!$K$95/1000</f>
        <v>10.4735364</v>
      </c>
      <c r="L114" s="38" t="n">
        <f aca="false">SUMPRODUCT(--(Sens!$R$83:$AA$83=2031-tk_life),Sens!$R$90:$AA$90)*Sens!$L$95/1000</f>
        <v>47.1309138</v>
      </c>
      <c r="M114" s="38" t="n">
        <f aca="false">SUMPRODUCT(--(Sens!$R$83:$AA$83=2032-tk_life),Sens!$R$90:$AA$90)*Sens!$M$95/1000</f>
        <v>107.22937485525</v>
      </c>
    </row>
    <row r="115" customFormat="false" ht="17.15" hidden="false" customHeight="false" outlineLevel="0" collapsed="false">
      <c r="A115" s="5" t="s">
        <v>628</v>
      </c>
      <c r="B115" s="0" t="s">
        <v>86</v>
      </c>
      <c r="C115" s="38" t="n">
        <f aca="false">Sens!$C$113*Sens!$C$112</f>
        <v>18.472138699801</v>
      </c>
      <c r="D115" s="38" t="n">
        <f aca="false">Sens!$D$113*Sens!$D$112</f>
        <v>50.8377268390402</v>
      </c>
      <c r="E115" s="38" t="n">
        <f aca="false">Sens!$E$113*Sens!$E$112</f>
        <v>48.8351995705653</v>
      </c>
      <c r="F115" s="38" t="n">
        <f aca="false">Sens!$F$113*Sens!$F$112</f>
        <v>73.2248394895</v>
      </c>
      <c r="G115" s="38" t="n">
        <f aca="false">Sens!$E$115+Sens!$F$115</f>
        <v>122.060039060065</v>
      </c>
      <c r="H115" s="38" t="n">
        <f aca="false">(Sens!$H$113-Sens!$H$114)*Sens!$H$112+Sens!$H$114</f>
        <v>152.52478394475</v>
      </c>
      <c r="I115" s="38" t="n">
        <f aca="false">(Sens!$I$113-Sens!$I$114)*Sens!$I$112+Sens!$I$114</f>
        <v>158.5998889105</v>
      </c>
      <c r="J115" s="38" t="n">
        <f aca="false">(Sens!$J$113-Sens!$J$114)*Sens!$J$112+Sens!$J$114</f>
        <v>163.8366571105</v>
      </c>
      <c r="K115" s="38" t="n">
        <f aca="false">(Sens!$K$113-Sens!$K$114)*Sens!$K$112+Sens!$K$114</f>
        <v>122.665498273534</v>
      </c>
      <c r="L115" s="38" t="n">
        <f aca="false">(Sens!$L$113-Sens!$L$114)*Sens!$L$112+Sens!$L$114</f>
        <v>112.914948636568</v>
      </c>
      <c r="M115" s="38" t="n">
        <f aca="false">(Sens!$M$113-Sens!$M$114)*Sens!$M$112+Sens!$M$114</f>
        <v>126.605482654852</v>
      </c>
      <c r="R115" s="38" t="n">
        <f aca="false">Sens!$R$113*Sens!$C$112</f>
        <v>1.09927679019314</v>
      </c>
      <c r="S115" s="38" t="n">
        <f aca="false">Sens!$C$115</f>
        <v>18.472138699801</v>
      </c>
      <c r="T115" s="38" t="n">
        <f aca="false">Sens!$D$115</f>
        <v>50.8377268390402</v>
      </c>
      <c r="U115" s="38" t="n">
        <f aca="false">Sens!$G$115</f>
        <v>122.060039060065</v>
      </c>
      <c r="V115" s="38" t="n">
        <f aca="false">Sens!$H$115</f>
        <v>152.52478394475</v>
      </c>
      <c r="W115" s="38" t="n">
        <f aca="false">Sens!$I$115</f>
        <v>158.5998889105</v>
      </c>
      <c r="X115" s="38" t="n">
        <f aca="false">Sens!$J$115</f>
        <v>163.8366571105</v>
      </c>
      <c r="Y115" s="38" t="n">
        <f aca="false">Sens!$K$115</f>
        <v>122.665498273534</v>
      </c>
      <c r="Z115" s="38" t="n">
        <f aca="false">Sens!$L$115</f>
        <v>112.914948636568</v>
      </c>
      <c r="AA115" s="38" t="n">
        <f aca="false">Sens!$M$115</f>
        <v>126.605482654852</v>
      </c>
    </row>
    <row r="116" customFormat="false" ht="15" hidden="false" customHeight="false" outlineLevel="0" collapsed="false">
      <c r="A116" s="5" t="s">
        <v>629</v>
      </c>
      <c r="B116" s="0" t="s">
        <v>86</v>
      </c>
      <c r="C116" s="38" t="n">
        <f aca="false">Sens!$C$113-Sens!$C$115</f>
        <v>6.80596660793636</v>
      </c>
      <c r="D116" s="38" t="n">
        <f aca="false">Sens!$D$113-Sens!$D$115</f>
        <v>18.7309047919624</v>
      </c>
      <c r="E116" s="38" t="n">
        <f aca="false">Sens!$E$113-Sens!$E$115</f>
        <v>15.3547210779455</v>
      </c>
      <c r="F116" s="38" t="n">
        <f aca="false">Sens!$F$113-Sens!$F$115</f>
        <v>23.0232905</v>
      </c>
      <c r="G116" s="38" t="n">
        <f aca="false">Sens!$G$113-Sens!$G$115</f>
        <v>38.3780115779455</v>
      </c>
      <c r="H116" s="38" t="n">
        <f aca="false">Sens!$H$113-Sens!$H$115</f>
        <v>46.046581</v>
      </c>
      <c r="I116" s="38" t="n">
        <f aca="false">Sens!$I$113-Sens!$I$115</f>
        <v>46.046581</v>
      </c>
      <c r="J116" s="38" t="n">
        <f aca="false">Sens!$J$113-Sens!$J$115</f>
        <v>46.046581</v>
      </c>
      <c r="K116" s="38" t="n">
        <f aca="false">Sens!$K$113-Sens!$K$115</f>
        <v>32.5728870016667</v>
      </c>
      <c r="L116" s="38" t="n">
        <f aca="false">Sens!$L$113-Sens!$L$115</f>
        <v>19.0991930033334</v>
      </c>
      <c r="M116" s="38" t="n">
        <f aca="false">Sens!$M$113-Sens!$M$115</f>
        <v>5.62549900499998</v>
      </c>
      <c r="R116" s="38" t="n">
        <f aca="false">Sens!$R$113-Sens!$R$115</f>
        <v>0.405023005106309</v>
      </c>
      <c r="S116" s="38" t="n">
        <f aca="false">Sens!$S$113-Sens!$S$115</f>
        <v>6.80596660793636</v>
      </c>
      <c r="T116" s="38" t="n">
        <f aca="false">Sens!$T$113-Sens!$T$115</f>
        <v>18.7309047919624</v>
      </c>
      <c r="U116" s="38" t="n">
        <f aca="false">Sens!$U$113-Sens!$U$115</f>
        <v>38.3780115779455</v>
      </c>
      <c r="V116" s="38" t="n">
        <f aca="false">Sens!$V$113-Sens!$V$115</f>
        <v>46.046581</v>
      </c>
      <c r="W116" s="38" t="n">
        <f aca="false">Sens!$W$113-Sens!$W$115</f>
        <v>46.046581</v>
      </c>
      <c r="X116" s="38" t="n">
        <f aca="false">Sens!$X$113-Sens!$X$115</f>
        <v>46.046581</v>
      </c>
      <c r="Y116" s="38" t="n">
        <f aca="false">Sens!$Y$113-Sens!$Y$115</f>
        <v>32.5728870016667</v>
      </c>
      <c r="Z116" s="38" t="n">
        <f aca="false">Sens!$Z$113-Sens!$Z$115</f>
        <v>19.0991930033334</v>
      </c>
      <c r="AA116" s="38" t="n">
        <f aca="false">Sens!$AA$113-Sens!$AA$115</f>
        <v>5.62549900499998</v>
      </c>
    </row>
    <row r="117" customFormat="false" ht="17.15" hidden="false" customHeight="false" outlineLevel="0" collapsed="false">
      <c r="A117" s="0" t="s">
        <v>630</v>
      </c>
      <c r="B117" s="0" t="s">
        <v>52</v>
      </c>
      <c r="C117" s="13" t="n">
        <f aca="false">Sens!$C$113/Sens!$C$233</f>
        <v>0.325505489553393</v>
      </c>
      <c r="D117" s="13" t="n">
        <f aca="false">Sens!$D$113/Sens!$D$233</f>
        <v>0.54214956071542</v>
      </c>
      <c r="E117" s="13" t="n">
        <f aca="false">Sens!$E$113/Sens!$E$233</f>
        <v>0.666492790452817</v>
      </c>
      <c r="F117" s="13" t="n">
        <f aca="false">Sens!$F$113/Sens!$F$233</f>
        <v>0.733477910687338</v>
      </c>
      <c r="G117" s="13" t="n">
        <f aca="false">Sens!$G$113/Sens!$G$233</f>
        <v>0.705124321514523</v>
      </c>
      <c r="H117" s="13" t="n">
        <f aca="false">Sens!$H$113/Sens!$H$233</f>
        <v>0.726376041178204</v>
      </c>
      <c r="I117" s="13" t="n">
        <f aca="false">Sens!$I$113/Sens!$I$233</f>
        <v>0.713099092661699</v>
      </c>
      <c r="J117" s="13" t="n">
        <f aca="false">Sens!$J$113/Sens!$J$233</f>
        <v>0.701208348786245</v>
      </c>
      <c r="K117" s="13" t="n">
        <f aca="false">Sens!$K$113/Sens!$K$233</f>
        <v>0.618338844562383</v>
      </c>
      <c r="L117" s="13" t="n">
        <f aca="false">Sens!$L$113/Sens!$L$233</f>
        <v>0.562489158462506</v>
      </c>
      <c r="M117" s="13" t="n">
        <f aca="false">Sens!$M$113/Sens!$M$233</f>
        <v>0.545751190895923</v>
      </c>
    </row>
    <row r="118" customFormat="false" ht="17.15" hidden="false" customHeight="false" outlineLevel="0" collapsed="false">
      <c r="A118" s="0" t="s">
        <v>631</v>
      </c>
      <c r="B118" s="0" t="s">
        <v>86</v>
      </c>
      <c r="C118" s="38" t="n">
        <f aca="false">Sens!$S$118</f>
        <v>0.183212798365523</v>
      </c>
      <c r="D118" s="38" t="n">
        <f aca="false">Sens!$T$118</f>
        <v>3.2619025816657</v>
      </c>
      <c r="E118" s="38" t="n">
        <f aca="false">Sens!$G$118/2</f>
        <v>5.86742852741953</v>
      </c>
      <c r="F118" s="38" t="n">
        <f aca="false">Sens!$G$118/2</f>
        <v>5.86742852741953</v>
      </c>
      <c r="G118" s="38" t="n">
        <f aca="false">Sens!$U$118</f>
        <v>11.7348570548391</v>
      </c>
      <c r="H118" s="38" t="n">
        <f aca="false">Sens!$V$118</f>
        <v>32.0781968981833</v>
      </c>
      <c r="I118" s="38" t="n">
        <f aca="false">Sens!$W$118</f>
        <v>57.4989942223083</v>
      </c>
      <c r="J118" s="38" t="n">
        <f aca="false">Sens!$X$118</f>
        <v>83.932309040725</v>
      </c>
      <c r="K118" s="38" t="n">
        <f aca="false">Sens!$Y$118</f>
        <v>111.055205760776</v>
      </c>
      <c r="L118" s="38" t="n">
        <f aca="false">Sens!$Z$118</f>
        <v>128.420765689732</v>
      </c>
      <c r="M118" s="38" t="n">
        <f aca="false">Sens!$AA$118</f>
        <v>138.766969322653</v>
      </c>
      <c r="N118" s="38" t="n">
        <f aca="false">Sens!$D$118/2</f>
        <v>1.63095129083285</v>
      </c>
      <c r="O118" s="38" t="n">
        <f aca="false">Sens!$D$118/2</f>
        <v>1.63095129083285</v>
      </c>
      <c r="R118" s="38" t="n">
        <f aca="false">SUMPRODUCT(--(Sens!$R$83:$AA$83&lt;Sens!R$83),--(Sens!$R$83:$AA$83&gt;=Sens!R$83-tk_life),Sens!$R$115:$AA$115)/tk_life</f>
        <v>0</v>
      </c>
      <c r="S118" s="38" t="n">
        <f aca="false">SUMPRODUCT(--(Sens!$R$83:$AA$83&lt;Sens!S$83),--(Sens!$R$83:$AA$83&gt;=Sens!S$83-tk_life),Sens!$R$115:$AA$115)/tk_life</f>
        <v>0.183212798365523</v>
      </c>
      <c r="T118" s="38" t="n">
        <f aca="false">SUMPRODUCT(--(Sens!$R$83:$AA$83&lt;Sens!T$83),--(Sens!$R$83:$AA$83&gt;=Sens!T$83-tk_life),Sens!$R$115:$AA$115)/tk_life</f>
        <v>3.2619025816657</v>
      </c>
      <c r="U118" s="38" t="n">
        <f aca="false">SUMPRODUCT(--(Sens!$R$83:$AA$83&lt;Sens!U$83),--(Sens!$R$83:$AA$83&gt;=Sens!U$83-tk_life),Sens!$R$115:$AA$115)/tk_life</f>
        <v>11.7348570548391</v>
      </c>
      <c r="V118" s="38" t="n">
        <f aca="false">SUMPRODUCT(--(Sens!$R$83:$AA$83&lt;Sens!V$83),--(Sens!$R$83:$AA$83&gt;=Sens!V$83-tk_life),Sens!$R$115:$AA$115)/tk_life</f>
        <v>32.0781968981833</v>
      </c>
      <c r="W118" s="38" t="n">
        <f aca="false">SUMPRODUCT(--(Sens!$R$83:$AA$83&lt;Sens!W$83),--(Sens!$R$83:$AA$83&gt;=Sens!W$83-tk_life),Sens!$R$115:$AA$115)/tk_life</f>
        <v>57.4989942223083</v>
      </c>
      <c r="X118" s="38" t="n">
        <f aca="false">SUMPRODUCT(--(Sens!$R$83:$AA$83&lt;Sens!X$83),--(Sens!$R$83:$AA$83&gt;=Sens!X$83-tk_life),Sens!$R$115:$AA$115)/tk_life</f>
        <v>83.932309040725</v>
      </c>
      <c r="Y118" s="38" t="n">
        <f aca="false">SUMPRODUCT(--(Sens!$R$83:$AA$83&lt;Sens!Y$83),--(Sens!$R$83:$AA$83&gt;=Sens!Y$83-tk_life),Sens!$R$115:$AA$115)/tk_life</f>
        <v>111.055205760776</v>
      </c>
      <c r="Z118" s="38" t="n">
        <f aca="false">SUMPRODUCT(--(Sens!$R$83:$AA$83&lt;Sens!Z$83),--(Sens!$R$83:$AA$83&gt;=Sens!Z$83-tk_life),Sens!$R$115:$AA$115)/tk_life</f>
        <v>128.420765689732</v>
      </c>
      <c r="AA118" s="38" t="n">
        <f aca="false">SUMPRODUCT(--(Sens!$R$83:$AA$83&lt;Sens!AA$83),--(Sens!$R$83:$AA$83&gt;=Sens!AA$83-tk_life),Sens!$R$115:$AA$115)/tk_life</f>
        <v>138.766969322653</v>
      </c>
    </row>
    <row r="119" customFormat="false" ht="17.15" hidden="false" customHeight="false" outlineLevel="0" collapsed="false">
      <c r="A119" s="0" t="s">
        <v>632</v>
      </c>
      <c r="B119" s="0" t="s">
        <v>86</v>
      </c>
      <c r="C119" s="38" t="n">
        <f aca="false">Sens!$S$119</f>
        <v>0.0202511502553155</v>
      </c>
      <c r="D119" s="38" t="n">
        <f aca="false">Sens!$T$119</f>
        <v>0.360549480652134</v>
      </c>
      <c r="E119" s="38" t="n">
        <f aca="false">Sens!$G$119/2</f>
        <v>0.648547360125127</v>
      </c>
      <c r="F119" s="38" t="n">
        <f aca="false">Sens!$G$119/2</f>
        <v>0.648547360125127</v>
      </c>
      <c r="G119" s="38" t="n">
        <f aca="false">Sens!$U$119</f>
        <v>1.29709472025025</v>
      </c>
      <c r="H119" s="38" t="n">
        <f aca="false">Sens!$V$119</f>
        <v>3.21599529914753</v>
      </c>
      <c r="I119" s="38" t="n">
        <f aca="false">Sens!$W$119</f>
        <v>5.51832434914753</v>
      </c>
      <c r="J119" s="38" t="n">
        <f aca="false">Sens!$X$119</f>
        <v>7.82065339914753</v>
      </c>
      <c r="K119" s="38" t="n">
        <f aca="false">Sens!$Y$119</f>
        <v>10.1229824491475</v>
      </c>
      <c r="L119" s="38" t="n">
        <f aca="false">Sens!$Z$119</f>
        <v>11.7516267992309</v>
      </c>
      <c r="M119" s="38" t="n">
        <f aca="false">Sens!$AA$119</f>
        <v>12.7065864493975</v>
      </c>
      <c r="N119" s="38" t="n">
        <f aca="false">Sens!$D$119/2</f>
        <v>0.180274740326067</v>
      </c>
      <c r="O119" s="38" t="n">
        <f aca="false">Sens!$D$119/2</f>
        <v>0.180274740326067</v>
      </c>
      <c r="R119" s="38" t="n">
        <f aca="false">SUMPRODUCT(--(Sens!$R$83:$AA$83&lt;Sens!R$83),Sens!$R$116:$AA$116)/fac_life</f>
        <v>0</v>
      </c>
      <c r="S119" s="38" t="n">
        <f aca="false">SUMPRODUCT(--(Sens!$R$83:$AA$83&lt;Sens!S$83),Sens!$R$116:$AA$116)/fac_life</f>
        <v>0.0202511502553155</v>
      </c>
      <c r="T119" s="38" t="n">
        <f aca="false">SUMPRODUCT(--(Sens!$R$83:$AA$83&lt;Sens!T$83),Sens!$R$116:$AA$116)/fac_life</f>
        <v>0.360549480652134</v>
      </c>
      <c r="U119" s="38" t="n">
        <f aca="false">SUMPRODUCT(--(Sens!$R$83:$AA$83&lt;Sens!U$83),Sens!$R$116:$AA$116)/fac_life</f>
        <v>1.29709472025025</v>
      </c>
      <c r="V119" s="38" t="n">
        <f aca="false">SUMPRODUCT(--(Sens!$R$83:$AA$83&lt;Sens!V$83),Sens!$R$116:$AA$116)/fac_life</f>
        <v>3.21599529914753</v>
      </c>
      <c r="W119" s="38" t="n">
        <f aca="false">SUMPRODUCT(--(Sens!$R$83:$AA$83&lt;Sens!W$83),Sens!$R$116:$AA$116)/fac_life</f>
        <v>5.51832434914753</v>
      </c>
      <c r="X119" s="38" t="n">
        <f aca="false">SUMPRODUCT(--(Sens!$R$83:$AA$83&lt;Sens!X$83),Sens!$R$116:$AA$116)/fac_life</f>
        <v>7.82065339914753</v>
      </c>
      <c r="Y119" s="38" t="n">
        <f aca="false">SUMPRODUCT(--(Sens!$R$83:$AA$83&lt;Sens!Y$83),Sens!$R$116:$AA$116)/fac_life</f>
        <v>10.1229824491475</v>
      </c>
      <c r="Z119" s="38" t="n">
        <f aca="false">SUMPRODUCT(--(Sens!$R$83:$AA$83&lt;Sens!Z$83),Sens!$R$116:$AA$116)/fac_life</f>
        <v>11.7516267992309</v>
      </c>
      <c r="AA119" s="38" t="n">
        <f aca="false">SUMPRODUCT(--(Sens!$R$83:$AA$83&lt;Sens!AA$83),Sens!$R$116:$AA$116)/fac_life</f>
        <v>12.7065864493975</v>
      </c>
    </row>
    <row r="120" customFormat="false" ht="17.15" hidden="false" customHeight="false" outlineLevel="0" collapsed="false">
      <c r="A120" s="1" t="s">
        <v>633</v>
      </c>
      <c r="B120" s="8" t="s">
        <v>86</v>
      </c>
      <c r="C120" s="38" t="n">
        <f aca="false">Sens!$C$118+Sens!$C$119</f>
        <v>0.203463948620839</v>
      </c>
      <c r="D120" s="38" t="n">
        <f aca="false">Sens!$D$118+Sens!$D$119</f>
        <v>3.62245206231783</v>
      </c>
      <c r="E120" s="38" t="n">
        <f aca="false">Sens!$E$118+Sens!$E$119</f>
        <v>6.51597588754466</v>
      </c>
      <c r="F120" s="38" t="n">
        <f aca="false">Sens!$F$118+Sens!$F$119</f>
        <v>6.51597588754466</v>
      </c>
      <c r="G120" s="38" t="n">
        <f aca="false">Sens!$G$118+Sens!$G$119</f>
        <v>13.0319517750893</v>
      </c>
      <c r="H120" s="38" t="n">
        <f aca="false">Sens!$H$118+Sens!$H$119</f>
        <v>35.2941921973308</v>
      </c>
      <c r="I120" s="38" t="n">
        <f aca="false">Sens!$I$118+Sens!$I$119</f>
        <v>63.0173185714558</v>
      </c>
      <c r="J120" s="38" t="n">
        <f aca="false">Sens!$J$118+Sens!$J$119</f>
        <v>91.7529624398725</v>
      </c>
      <c r="K120" s="38" t="n">
        <f aca="false">Sens!$K$118+Sens!$K$119</f>
        <v>121.178188209924</v>
      </c>
      <c r="L120" s="38" t="n">
        <f aca="false">Sens!$L$118+Sens!$L$119</f>
        <v>140.172392488963</v>
      </c>
      <c r="M120" s="38" t="n">
        <f aca="false">Sens!$M$118+Sens!$M$119</f>
        <v>151.473555772051</v>
      </c>
      <c r="N120" s="38" t="n">
        <f aca="false">Sens!$N$118+Sens!$N$119</f>
        <v>1.81122603115892</v>
      </c>
      <c r="O120" s="38" t="n">
        <f aca="false">Sens!$O$118+Sens!$O$119</f>
        <v>1.81122603115892</v>
      </c>
      <c r="R120" s="38" t="n">
        <f aca="false">Sens!$R$118+Sens!$R$119</f>
        <v>0</v>
      </c>
      <c r="S120" s="38" t="n">
        <f aca="false">Sens!$S$118+Sens!$S$119</f>
        <v>0.203463948620839</v>
      </c>
      <c r="T120" s="38" t="n">
        <f aca="false">Sens!$T$118+Sens!$T$119</f>
        <v>3.62245206231783</v>
      </c>
      <c r="U120" s="38" t="n">
        <f aca="false">Sens!$U$118+Sens!$U$119</f>
        <v>13.0319517750893</v>
      </c>
      <c r="V120" s="38" t="n">
        <f aca="false">Sens!$V$118+Sens!$V$119</f>
        <v>35.2941921973308</v>
      </c>
      <c r="W120" s="38" t="n">
        <f aca="false">Sens!$W$118+Sens!$W$119</f>
        <v>63.0173185714558</v>
      </c>
      <c r="X120" s="38" t="n">
        <f aca="false">Sens!$X$118+Sens!$X$119</f>
        <v>91.7529624398725</v>
      </c>
      <c r="Y120" s="38" t="n">
        <f aca="false">Sens!$Y$118+Sens!$Y$119</f>
        <v>121.178188209924</v>
      </c>
      <c r="Z120" s="38" t="n">
        <f aca="false">Sens!$Z$118+Sens!$Z$119</f>
        <v>140.172392488963</v>
      </c>
      <c r="AA120" s="38" t="n">
        <f aca="false">Sens!$AA$118+Sens!$AA$119</f>
        <v>151.473555772051</v>
      </c>
    </row>
    <row r="121" customFormat="false" ht="17.15" hidden="false" customHeight="false" outlineLevel="0" collapsed="false">
      <c r="A121" s="0" t="s">
        <v>634</v>
      </c>
      <c r="B121" s="0" t="s">
        <v>86</v>
      </c>
      <c r="C121" s="38" t="n">
        <f aca="false">Sens!$S$121</f>
        <v>26.578941154416</v>
      </c>
      <c r="D121" s="38" t="n">
        <f aca="false">Sens!$T$121</f>
        <v>92.5251207231008</v>
      </c>
      <c r="G121" s="38" t="n">
        <f aca="false">Sens!$U$121</f>
        <v>239.931219586022</v>
      </c>
      <c r="H121" s="38" t="n">
        <f aca="false">Sens!$V$121</f>
        <v>403.208392333442</v>
      </c>
      <c r="I121" s="38" t="n">
        <f aca="false">Sens!$W$121</f>
        <v>544.837543672486</v>
      </c>
      <c r="J121" s="38" t="n">
        <f aca="false">Sens!$X$121</f>
        <v>662.967819343113</v>
      </c>
      <c r="K121" s="38" t="n">
        <f aca="false">Sens!$Y$121</f>
        <v>697.028016408391</v>
      </c>
      <c r="L121" s="38" t="n">
        <f aca="false">Sens!$Z$121</f>
        <v>688.86976555933</v>
      </c>
      <c r="M121" s="38" t="n">
        <f aca="false">Sens!$AA$121</f>
        <v>669.627191447132</v>
      </c>
      <c r="R121" s="38" t="n">
        <f aca="false">SUM(Sens!$R$113:$R$113)-SUM(Sens!$R$120:$R$120)</f>
        <v>1.50429979529945</v>
      </c>
      <c r="S121" s="38" t="n">
        <f aca="false">SUM(Sens!$R$113:$S$113)-SUM(Sens!$R$120:$S$120)</f>
        <v>26.578941154416</v>
      </c>
      <c r="T121" s="38" t="n">
        <f aca="false">SUM(Sens!$R$113:$T$113)-SUM(Sens!$R$120:$T$120)</f>
        <v>92.5251207231008</v>
      </c>
      <c r="U121" s="38" t="n">
        <f aca="false">SUM(Sens!$R$113:$U$113)-SUM(Sens!$R$120:$U$120)</f>
        <v>239.931219586022</v>
      </c>
      <c r="V121" s="38" t="n">
        <f aca="false">SUM(Sens!$R$113:$V$113)-SUM(Sens!$R$120:$V$120)</f>
        <v>403.208392333442</v>
      </c>
      <c r="W121" s="38" t="n">
        <f aca="false">SUM(Sens!$R$113:$W$113)-SUM(Sens!$R$120:$W$120)</f>
        <v>544.837543672486</v>
      </c>
      <c r="X121" s="38" t="n">
        <f aca="false">SUM(Sens!$R$113:$X$113)-SUM(Sens!$R$120:$X$120)</f>
        <v>662.967819343113</v>
      </c>
      <c r="Y121" s="38" t="n">
        <f aca="false">SUM(Sens!$R$113:$Y$113)-SUM(Sens!$R$120:$Y$120)</f>
        <v>697.028016408391</v>
      </c>
      <c r="Z121" s="38" t="n">
        <f aca="false">SUM(Sens!$R$113:$Z$113)-SUM(Sens!$R$120:$Z$120)</f>
        <v>688.86976555933</v>
      </c>
      <c r="AA121" s="38" t="n">
        <f aca="false">SUM(Sens!$R$113:$AA$113)-SUM(Sens!$R$120:$AA$120)</f>
        <v>669.627191447132</v>
      </c>
    </row>
    <row r="122" customFormat="false" ht="17.15" hidden="false" customHeight="false" outlineLevel="0" collapsed="false">
      <c r="A122" s="1" t="s">
        <v>635</v>
      </c>
    </row>
    <row r="123" customFormat="false" ht="17.15" hidden="false" customHeight="false" outlineLevel="0" collapsed="false">
      <c r="A123" s="0" t="s">
        <v>636</v>
      </c>
      <c r="B123" s="0" t="s">
        <v>86</v>
      </c>
      <c r="C123" s="38" t="n">
        <f aca="false">Sens!$C$104-ext_sh*Sens!$C$106</f>
        <v>1.80694998843362</v>
      </c>
      <c r="D123" s="38" t="n">
        <f aca="false">Sens!$D$104-ext_sh*Sens!$D$106</f>
        <v>6.77606245662607</v>
      </c>
      <c r="E123" s="38" t="n">
        <f aca="false">Sens!$E$104-ext_sh*Sens!$E$106</f>
        <v>6.62548329092326</v>
      </c>
      <c r="F123" s="38" t="n">
        <f aca="false">Sens!$F$104-ext_sh*Sens!$F$106</f>
        <v>11.7200577158706</v>
      </c>
      <c r="G123" s="38" t="n">
        <f aca="false">Sens!$G$104-ext_sh*Sens!$G$106</f>
        <v>18.3455410067939</v>
      </c>
      <c r="H123" s="38" t="n">
        <f aca="false">Sens!$H$104-ext_sh*Sens!$H$106</f>
        <v>47.5171727060453</v>
      </c>
      <c r="I123" s="38" t="n">
        <f aca="false">Sens!$I$104-ext_sh*Sens!$I$106</f>
        <v>80.5539692643667</v>
      </c>
      <c r="J123" s="38" t="n">
        <f aca="false">Sens!$J$104-ext_sh*Sens!$J$106</f>
        <v>113.759316834883</v>
      </c>
      <c r="K123" s="38" t="n">
        <f aca="false">Sens!$K$104-ext_sh*Sens!$K$106</f>
        <v>142.084411492169</v>
      </c>
      <c r="L123" s="38" t="n">
        <f aca="false">Sens!$L$104-ext_sh*Sens!$L$106</f>
        <v>160.69964615804</v>
      </c>
      <c r="M123" s="38" t="n">
        <f aca="false">Sens!$M$104-ext_sh*Sens!$M$106</f>
        <v>169.577607141793</v>
      </c>
      <c r="N123" s="38" t="n">
        <f aca="false">Sens!$N$104-ext_sh*Sens!$N$106</f>
        <v>2.37162185981912</v>
      </c>
      <c r="O123" s="38" t="n">
        <f aca="false">Sens!$O$104-ext_sh*Sens!$O$106</f>
        <v>4.40444059680694</v>
      </c>
    </row>
    <row r="124" customFormat="false" ht="17.15" hidden="false" customHeight="false" outlineLevel="0" collapsed="false">
      <c r="A124" s="1" t="s">
        <v>637</v>
      </c>
      <c r="B124" s="8" t="s">
        <v>86</v>
      </c>
      <c r="C124" s="38" t="n">
        <f aca="false">Sens!$C$123-ext_sh*Sens!$C$120</f>
        <v>1.64417882953695</v>
      </c>
      <c r="D124" s="38" t="n">
        <f aca="false">Sens!$D$123-ext_sh*Sens!$D$120</f>
        <v>3.8781008067718</v>
      </c>
      <c r="E124" s="38" t="n">
        <f aca="false">Sens!$E$123-ext_sh*Sens!$E$120</f>
        <v>1.41270258088753</v>
      </c>
      <c r="F124" s="38" t="n">
        <f aca="false">Sens!$F$123-ext_sh*Sens!$F$120</f>
        <v>6.50727700583486</v>
      </c>
      <c r="G124" s="38" t="n">
        <f aca="false">Sens!$G$123-ext_sh*Sens!$G$120</f>
        <v>7.9199795867224</v>
      </c>
      <c r="H124" s="38" t="n">
        <f aca="false">Sens!$H$123-ext_sh*Sens!$H$120</f>
        <v>19.2818189481807</v>
      </c>
      <c r="I124" s="38" t="n">
        <f aca="false">Sens!$I$123-ext_sh*Sens!$I$120</f>
        <v>30.140114407202</v>
      </c>
      <c r="J124" s="38" t="n">
        <f aca="false">Sens!$J$123-ext_sh*Sens!$J$120</f>
        <v>40.3569468829854</v>
      </c>
      <c r="K124" s="38" t="n">
        <f aca="false">Sens!$K$123-ext_sh*Sens!$K$120</f>
        <v>45.1418609242305</v>
      </c>
      <c r="L124" s="38" t="n">
        <f aca="false">Sens!$L$123-ext_sh*Sens!$L$120</f>
        <v>48.5617321668703</v>
      </c>
      <c r="M124" s="38" t="n">
        <f aca="false">Sens!$M$123-ext_sh*Sens!$M$120</f>
        <v>48.3987625241529</v>
      </c>
      <c r="N124" s="38" t="n">
        <f aca="false">Sens!$N$123-ext_sh*Sens!$N$120</f>
        <v>0.92264103489199</v>
      </c>
      <c r="O124" s="38" t="n">
        <f aca="false">Sens!$O$123-ext_sh*Sens!$O$120</f>
        <v>2.95545977187981</v>
      </c>
    </row>
    <row r="125" customFormat="false" ht="17.15" hidden="false" customHeight="false" outlineLevel="0" collapsed="false">
      <c r="A125" s="0" t="s">
        <v>638</v>
      </c>
      <c r="B125" s="0" t="s">
        <v>52</v>
      </c>
      <c r="C125" s="13" t="n">
        <f aca="false">Sens!$C$124/Sens!$C$104</f>
        <v>0.708390794789371</v>
      </c>
      <c r="D125" s="13" t="n">
        <f aca="false">Sens!$D$124/Sens!$D$104</f>
        <v>0.445565630441968</v>
      </c>
      <c r="E125" s="13" t="n">
        <f aca="false">Sens!$E$124/Sens!$E$104</f>
        <v>0.165998118402711</v>
      </c>
      <c r="F125" s="13" t="n">
        <f aca="false">Sens!$F$124/Sens!$F$104</f>
        <v>0.434878595403858</v>
      </c>
      <c r="G125" s="13" t="n">
        <f aca="false">Sens!$G$124/Sens!$G$104</f>
        <v>0.3373967615381</v>
      </c>
      <c r="H125" s="13" t="n">
        <f aca="false">Sens!$H$124/Sens!$H$104</f>
        <v>0.320477578041224</v>
      </c>
      <c r="I125" s="13" t="n">
        <f aca="false">Sens!$I$124/Sens!$I$104</f>
        <v>0.296936118226494</v>
      </c>
      <c r="J125" s="13" t="n">
        <f aca="false">Sens!$J$124/Sens!$J$104</f>
        <v>0.282166278613001</v>
      </c>
      <c r="K125" s="13" t="n">
        <f aca="false">Sens!$K$124/Sens!$K$104</f>
        <v>0.252969102881543</v>
      </c>
      <c r="L125" s="13" t="n">
        <f aca="false">Sens!$L$124/Sens!$L$104</f>
        <v>0.240728642826566</v>
      </c>
      <c r="M125" s="13" t="n">
        <f aca="false">Sens!$M$124/Sens!$M$104</f>
        <v>0.227399920863147</v>
      </c>
      <c r="N125" s="13" t="n">
        <f aca="false">Sens!$N$124/Sens!$N$104</f>
        <v>0.302870734830849</v>
      </c>
      <c r="O125" s="13" t="n">
        <f aca="false">Sens!$O$124/Sens!$O$104</f>
        <v>0.52240134346334</v>
      </c>
    </row>
    <row r="126" customFormat="false" ht="17.15" hidden="false" customHeight="false" outlineLevel="0" collapsed="false">
      <c r="A126" s="5" t="s">
        <v>639</v>
      </c>
      <c r="B126" s="0" t="s">
        <v>86</v>
      </c>
      <c r="C126" s="39" t="n">
        <v>0</v>
      </c>
      <c r="D126" s="39" t="n">
        <v>0</v>
      </c>
      <c r="E126" s="39" t="n">
        <v>0</v>
      </c>
      <c r="F126" s="38" t="n">
        <f aca="false">IF(internal_ai_reading=2,1,0)*(1-ext_sh)/ext_sh*(mw_open*he_open+Sens!$F$102*Sens!$F$99)*Sens!$F$88/1000</f>
        <v>3.77122048175818</v>
      </c>
      <c r="G126" s="38" t="n">
        <f aca="false">Sens!$E$126+Sens!$F$126</f>
        <v>3.77122048175818</v>
      </c>
      <c r="H126" s="38" t="n">
        <f aca="false">IF(internal_ai_reading=2,1,0)*(1-ext_sh)/ext_sh*(mw_open*he_open+Sens!$H$102*Sens!$H$99)*Sens!$H$88/1000</f>
        <v>15.1635543609893</v>
      </c>
      <c r="I126" s="38" t="n">
        <f aca="false">IF(internal_ai_reading=2,1,0)*(1-ext_sh)/ext_sh*(mw_open*he_open+Sens!$I$102*Sens!$I$99)*Sens!$I$88/1000</f>
        <v>25.5818843619889</v>
      </c>
      <c r="J126" s="38" t="n">
        <f aca="false">IF(internal_ai_reading=2,1,0)*(1-ext_sh)/ext_sh*(mw_open*he_open+Sens!$J$102*Sens!$J$99)*Sens!$J$88/1000</f>
        <v>36.0465624179122</v>
      </c>
      <c r="K126" s="38" t="n">
        <f aca="false">IF(internal_ai_reading=2,1,0)*(1-ext_sh)/ext_sh*(mw_open*he_open+Sens!$K$102*Sens!$K$99)*Sens!$K$88/1000</f>
        <v>44.9741164026038</v>
      </c>
      <c r="L126" s="38" t="n">
        <f aca="false">IF(internal_ai_reading=2,1,0)*(1-ext_sh)/ext_sh*(mw_open*he_open+Sens!$L$102*Sens!$L$99)*Sens!$L$88/1000</f>
        <v>50.8413488057813</v>
      </c>
      <c r="M126" s="38" t="n">
        <f aca="false">IF(internal_ai_reading=2,1,0)*(1-ext_sh)/ext_sh*(mw_open*he_open+Sens!$M$102*Sens!$M$99)*Sens!$M$88/1000</f>
        <v>53.6407214274315</v>
      </c>
      <c r="N126" s="39" t="n">
        <v>0</v>
      </c>
      <c r="O126" s="39" t="n">
        <v>0</v>
      </c>
      <c r="P126" s="8" t="s">
        <v>640</v>
      </c>
    </row>
    <row r="127" customFormat="false" ht="17.15" hidden="false" customHeight="false" outlineLevel="0" collapsed="false">
      <c r="A127" s="5" t="s">
        <v>641</v>
      </c>
      <c r="B127" s="0" t="s">
        <v>86</v>
      </c>
      <c r="C127" s="38" t="n">
        <f aca="false">(1-ext_sh)*(Sens!$C$106+Sens!$C$120)</f>
        <v>0.169206631859174</v>
      </c>
      <c r="D127" s="38" t="n">
        <f aca="false">(1-ext_sh)*(Sens!$D$106+Sens!$D$120)</f>
        <v>1.20641732046984</v>
      </c>
      <c r="E127" s="38" t="n">
        <f aca="false">(1-ext_sh)*(Sens!$E$106+Sens!$E$120)</f>
        <v>1.77441259867062</v>
      </c>
      <c r="F127" s="38" t="n">
        <f aca="false">(1-ext_sh)*(Sens!$F$106+Sens!$F$120)</f>
        <v>2.1140391597214</v>
      </c>
      <c r="G127" s="38" t="n">
        <f aca="false">(1-ext_sh)*(Sens!$G$106+Sens!$G$120)</f>
        <v>3.88845175839202</v>
      </c>
      <c r="H127" s="38" t="n">
        <f aca="false">(1-ext_sh)*(Sens!$H$106+Sens!$H$120)</f>
        <v>10.2210179503985</v>
      </c>
      <c r="I127" s="38" t="n">
        <f aca="false">(1-ext_sh)*(Sens!$I$106+Sens!$I$120)</f>
        <v>17.8408961823075</v>
      </c>
      <c r="J127" s="38" t="n">
        <f aca="false">(1-ext_sh)*(Sens!$J$106+Sens!$J$120)</f>
        <v>25.6671150670732</v>
      </c>
      <c r="K127" s="38" t="n">
        <f aca="false">(1-ext_sh)*(Sens!$K$106+Sens!$K$120)</f>
        <v>33.3265648647373</v>
      </c>
      <c r="L127" s="38" t="n">
        <f aca="false">(1-ext_sh)*(Sens!$L$106+Sens!$L$120)</f>
        <v>38.2915924088815</v>
      </c>
      <c r="M127" s="38" t="n">
        <f aca="false">(1-ext_sh)*(Sens!$M$106+Sens!$M$120)</f>
        <v>41.1091697111781</v>
      </c>
      <c r="N127" s="38" t="n">
        <f aca="false">(1-ext_sh)*(Sens!$N$106+Sens!$N$120)</f>
        <v>0.530919624033979</v>
      </c>
      <c r="O127" s="38" t="n">
        <f aca="false">(1-ext_sh)*(Sens!$O$106+Sens!$O$120)</f>
        <v>0.675497696435861</v>
      </c>
    </row>
    <row r="128" customFormat="false" ht="17.15" hidden="false" customHeight="false" outlineLevel="0" collapsed="false">
      <c r="A128" s="0" t="s">
        <v>642</v>
      </c>
      <c r="B128" s="0" t="s">
        <v>86</v>
      </c>
      <c r="C128" s="38" t="n">
        <f aca="false">Q!$D$24</f>
        <v>39.834</v>
      </c>
      <c r="D128" s="38" t="n">
        <f aca="false">Q!$E$24</f>
        <v>45.606</v>
      </c>
      <c r="E128" s="38" t="n">
        <f aca="false">Q!$P$24</f>
        <v>30.782</v>
      </c>
      <c r="N128" s="38" t="n">
        <f aca="false">Q!$N$24</f>
        <v>21.707</v>
      </c>
      <c r="O128" s="38" t="n">
        <f aca="false">Q!$O$24</f>
        <v>23.899</v>
      </c>
    </row>
    <row r="129" customFormat="false" ht="17.15" hidden="false" customHeight="false" outlineLevel="0" collapsed="false">
      <c r="A129" s="0" t="s">
        <v>643</v>
      </c>
      <c r="B129" s="0" t="s">
        <v>86</v>
      </c>
      <c r="C129" s="38" t="n">
        <f aca="false">Sens!$C$128-Sens!$C$124</f>
        <v>38.1898211704631</v>
      </c>
      <c r="D129" s="38" t="n">
        <f aca="false">Sens!$D$128-Sens!$D$124</f>
        <v>41.7278991932282</v>
      </c>
      <c r="E129" s="38" t="n">
        <f aca="false">Sens!$E$128-Sens!$E$124</f>
        <v>29.3692974191125</v>
      </c>
      <c r="F129" s="38" t="n">
        <f aca="false">Sens!$F$108*Sens!$F$130</f>
        <v>26.8997276714137</v>
      </c>
      <c r="G129" s="38" t="n">
        <f aca="false">Sens!$E$129+Sens!$F$129</f>
        <v>56.2690250905262</v>
      </c>
      <c r="H129" s="38" t="n">
        <f aca="false">Sens!$H$108*Sens!$H$130</f>
        <v>60.3505333937343</v>
      </c>
      <c r="I129" s="38" t="n">
        <f aca="false">Sens!$I$108*Sens!$I$130</f>
        <v>67.0043857303571</v>
      </c>
      <c r="J129" s="38" t="n">
        <f aca="false">Sens!$J$108*Sens!$J$130</f>
        <v>73.3782922956925</v>
      </c>
      <c r="K129" s="38" t="n">
        <f aca="false">Sens!$K$108*Sens!$K$130</f>
        <v>79.2485556793479</v>
      </c>
      <c r="L129" s="38" t="n">
        <f aca="false">Sens!$L$108*Sens!$L$130</f>
        <v>85.5884401336958</v>
      </c>
      <c r="M129" s="38" t="n">
        <f aca="false">Sens!$M$108*Sens!$M$130</f>
        <v>92.4355153443914</v>
      </c>
      <c r="N129" s="38" t="n">
        <f aca="false">Sens!$N$128-Sens!$N$124</f>
        <v>20.784358965108</v>
      </c>
      <c r="O129" s="38" t="n">
        <f aca="false">Sens!$O$128-Sens!$O$124</f>
        <v>20.9435402281202</v>
      </c>
      <c r="P129" s="5" t="s">
        <v>644</v>
      </c>
    </row>
    <row r="130" customFormat="false" ht="17.15" hidden="false" customHeight="false" outlineLevel="0" collapsed="false">
      <c r="A130" s="0" t="s">
        <v>645</v>
      </c>
      <c r="B130" s="0" t="s">
        <v>52</v>
      </c>
      <c r="C130" s="13" t="n">
        <f aca="false">Sens!$C$129/Sens!$C$108</f>
        <v>0.362900395443635</v>
      </c>
      <c r="D130" s="13" t="n">
        <f aca="false">Sens!$D$129/Sens!$D$108</f>
        <v>0.34767098474203</v>
      </c>
      <c r="E130" s="13" t="n">
        <f aca="false">Sens!$E$129/Sens!$E$108</f>
        <v>0.411861655558416</v>
      </c>
      <c r="F130" s="13" t="n">
        <f aca="false">(Sens!$O$129+Sens!$E$129)/(Sens!$O$108+Sens!$E$108)</f>
        <v>0.37480827803158</v>
      </c>
      <c r="G130" s="13" t="n">
        <f aca="false">Sens!$G$129/Sens!$G$108</f>
        <v>0.393275318395757</v>
      </c>
      <c r="H130" s="13" t="n">
        <f aca="false">Sens!$F$130</f>
        <v>0.37480827803158</v>
      </c>
      <c r="I130" s="13" t="n">
        <f aca="false">Sens!$F$130</f>
        <v>0.37480827803158</v>
      </c>
      <c r="J130" s="13" t="n">
        <f aca="false">Sens!$F$130</f>
        <v>0.37480827803158</v>
      </c>
      <c r="K130" s="13" t="n">
        <f aca="false">Sens!$F$130</f>
        <v>0.37480827803158</v>
      </c>
      <c r="L130" s="13" t="n">
        <f aca="false">Sens!$F$130</f>
        <v>0.37480827803158</v>
      </c>
      <c r="M130" s="13" t="n">
        <f aca="false">Sens!$F$130</f>
        <v>0.37480827803158</v>
      </c>
      <c r="N130" s="13" t="n">
        <f aca="false">Sens!$N$129/Sens!$N$108</f>
        <v>0.364039571356823</v>
      </c>
      <c r="O130" s="13" t="n">
        <f aca="false">Sens!$O$129/Sens!$O$108</f>
        <v>0.332819892300086</v>
      </c>
      <c r="P130" s="8" t="s">
        <v>646</v>
      </c>
    </row>
    <row r="131" customFormat="false" ht="17.15" hidden="false" customHeight="false" outlineLevel="0" collapsed="false">
      <c r="A131" s="0" t="s">
        <v>647</v>
      </c>
      <c r="B131" s="0" t="s">
        <v>52</v>
      </c>
      <c r="D131" s="13" t="n">
        <f aca="false">(Q!$E$31-ext_sh*Sens!$D$120)/Sens!$D$108</f>
        <v>0.154572973163571</v>
      </c>
    </row>
    <row r="132" customFormat="false" ht="17.15" hidden="false" customHeight="false" outlineLevel="0" collapsed="false">
      <c r="A132" s="0" t="s">
        <v>648</v>
      </c>
      <c r="B132" s="0" t="s">
        <v>86</v>
      </c>
      <c r="C132" s="38" t="n">
        <f aca="false">Q!$D$31</f>
        <v>13.32</v>
      </c>
      <c r="D132" s="38" t="n">
        <f aca="false">Q!$E$31</f>
        <v>21.45</v>
      </c>
      <c r="E132" s="38" t="n">
        <f aca="false">Q!$P$31</f>
        <v>15.353</v>
      </c>
      <c r="F132" s="38" t="n">
        <f aca="false">ext_sh*Sens!$F$120+Sens!$D$131*Sens!$F$108</f>
        <v>16.3063747611001</v>
      </c>
      <c r="G132" s="38" t="n">
        <f aca="false">Sens!$E$132+Sens!$F$132</f>
        <v>31.6593747611001</v>
      </c>
      <c r="H132" s="38" t="n">
        <f aca="false">ext_sh*Sens!$H$120+Sens!$D$131*Sens!$H$108</f>
        <v>53.124242092105</v>
      </c>
      <c r="I132" s="38" t="n">
        <f aca="false">ext_sh*Sens!$I$120+Sens!$D$131*Sens!$I$108</f>
        <v>78.046828098133</v>
      </c>
      <c r="J132" s="38" t="n">
        <f aca="false">ext_sh*Sens!$J$120+Sens!$D$131*Sens!$J$108</f>
        <v>103.663976940352</v>
      </c>
      <c r="K132" s="38" t="n">
        <f aca="false">ext_sh*Sens!$K$120+Sens!$D$131*Sens!$K$108</f>
        <v>129.625086115469</v>
      </c>
      <c r="L132" s="38" t="n">
        <f aca="false">ext_sh*Sens!$L$120+Sens!$D$131*Sens!$L$108</f>
        <v>147.435052382502</v>
      </c>
      <c r="M132" s="38" t="n">
        <f aca="false">ext_sh*Sens!$M$120+Sens!$D$131*Sens!$M$108</f>
        <v>159.299754080279</v>
      </c>
      <c r="N132" s="38" t="n">
        <f aca="false">Q!$N$31</f>
        <v>9.234</v>
      </c>
      <c r="O132" s="38" t="n">
        <f aca="false">Q!$O$31</f>
        <v>12.216</v>
      </c>
    </row>
    <row r="133" customFormat="false" ht="17.15" hidden="false" customHeight="false" outlineLevel="0" collapsed="false">
      <c r="A133" s="1" t="s">
        <v>649</v>
      </c>
    </row>
    <row r="134" customFormat="false" ht="17.15" hidden="false" customHeight="false" outlineLevel="0" collapsed="false">
      <c r="A134" s="15" t="s">
        <v>650</v>
      </c>
      <c r="B134" s="14" t="s">
        <v>52</v>
      </c>
      <c r="C134" s="14"/>
      <c r="D134" s="14"/>
      <c r="E134" s="14"/>
      <c r="F134" s="14"/>
      <c r="G134" s="17" t="n">
        <f aca="false">Sens!$G$124*(1-tax)/(ext_sh*(Sens!$D$121+Sens!$G$121)/2)</f>
        <v>0.0492184452944045</v>
      </c>
      <c r="H134" s="17" t="n">
        <f aca="false">Sens!$H$124*(1-tax)/(ext_sh*(Sens!$G$121+Sens!$H$121)/2)</f>
        <v>0.0619414246858107</v>
      </c>
      <c r="I134" s="17" t="n">
        <f aca="false">Sens!$I$124*(1-tax)/(ext_sh*(Sens!$H$121+Sens!$I$121)/2)</f>
        <v>0.0656831488051666</v>
      </c>
      <c r="J134" s="17" t="n">
        <f aca="false">Sens!$J$124*(1-tax)/(ext_sh*(Sens!$I$121+Sens!$J$121)/2)</f>
        <v>0.0690334849962116</v>
      </c>
      <c r="K134" s="17" t="n">
        <f aca="false">Sens!$K$124*(1-tax)/(ext_sh*(Sens!$J$121+Sens!$K$121)/2)</f>
        <v>0.0685772915331967</v>
      </c>
      <c r="L134" s="17" t="n">
        <f aca="false">Sens!$L$124*(1-tax)/(ext_sh*(Sens!$K$121+Sens!$L$121)/2)</f>
        <v>0.0723938074635756</v>
      </c>
      <c r="M134" s="17" t="n">
        <f aca="false">Sens!$M$124*(1-tax)/(ext_sh*(Sens!$L$121+Sens!$M$121)/2)</f>
        <v>0.0736061388214139</v>
      </c>
      <c r="N134" s="14"/>
      <c r="O134" s="14"/>
      <c r="P134" s="8" t="s">
        <v>651</v>
      </c>
    </row>
    <row r="135" customFormat="false" ht="17.15" hidden="false" customHeight="false" outlineLevel="0" collapsed="false">
      <c r="A135" s="5" t="s">
        <v>652</v>
      </c>
      <c r="B135" s="0" t="s">
        <v>57</v>
      </c>
      <c r="H135" s="36" t="n">
        <f aca="false">Sens!$H$104*1000/(mw_open*he_open+Sens!$H$102*Sens!$H$99)</f>
        <v>0.991949006767191</v>
      </c>
      <c r="I135" s="36" t="n">
        <f aca="false">Sens!$I$104*1000/(mw_open*he_open+Sens!$I$102*Sens!$I$99)</f>
        <v>0.991949006767191</v>
      </c>
      <c r="J135" s="36" t="n">
        <f aca="false">Sens!$J$104*1000/(mw_open*he_open+Sens!$J$102*Sens!$J$99)</f>
        <v>0.991949006767191</v>
      </c>
      <c r="K135" s="36" t="n">
        <f aca="false">Sens!$K$104*1000/(mw_open*he_open+Sens!$K$102*Sens!$K$99)</f>
        <v>0.991949006767191</v>
      </c>
      <c r="L135" s="36" t="n">
        <f aca="false">Sens!$L$104*1000/(mw_open*he_open+Sens!$L$102*Sens!$L$99)</f>
        <v>0.991949006767191</v>
      </c>
      <c r="M135" s="36" t="n">
        <f aca="false">Sens!$M$104*1000/(mw_open*he_open+Sens!$M$102*Sens!$M$99)</f>
        <v>0.991949006767191</v>
      </c>
    </row>
    <row r="136" customFormat="false" ht="17.15" hidden="false" customHeight="false" outlineLevel="0" collapsed="false">
      <c r="A136" s="5" t="s">
        <v>653</v>
      </c>
      <c r="B136" s="0" t="s">
        <v>57</v>
      </c>
      <c r="H136" s="36" t="n">
        <f aca="false">Sens!$H$135*(Sens!$H$104+wacc*ext_sh*(Sens!$G$121+Sens!$H$121)/2/(1-tax)-Sens!$H$124)/Sens!$H$104</f>
        <v>1.25551961623259</v>
      </c>
      <c r="I136" s="36" t="n">
        <f aca="false">Sens!$I$135*(Sens!$I$104+wacc*ext_sh*(Sens!$H$121+Sens!$I$121)/2/(1-tax)-Sens!$I$124)/Sens!$I$104</f>
        <v>1.2054675393263</v>
      </c>
      <c r="J136" s="36" t="n">
        <f aca="false">Sens!$J$135*(Sens!$J$104+wacc*ext_sh*(Sens!$I$121+Sens!$J$121)/2/(1-tax)-Sens!$J$124)/Sens!$J$104</f>
        <v>1.17141604927023</v>
      </c>
      <c r="K136" s="36" t="n">
        <f aca="false">Sens!$K$135*(Sens!$K$104+wacc*ext_sh*(Sens!$J$121+Sens!$K$121)/2/(1-tax)-Sens!$K$124)/Sens!$K$104</f>
        <v>1.15558527566281</v>
      </c>
      <c r="L136" s="36" t="n">
        <f aca="false">Sens!$L$135*(Sens!$L$104+wacc*ext_sh*(Sens!$K$121+Sens!$L$121)/2/(1-tax)-Sens!$L$124)/Sens!$L$104</f>
        <v>1.12686933572495</v>
      </c>
      <c r="M136" s="36" t="n">
        <f aca="false">Sens!$M$135*(Sens!$M$104+wacc*ext_sh*(Sens!$L$121+Sens!$M$121)/2/(1-tax)-Sens!$M$124)/Sens!$M$104</f>
        <v>1.11358462527531</v>
      </c>
    </row>
    <row r="137" customFormat="false" ht="17.15" hidden="false" customHeight="false" outlineLevel="0" collapsed="false">
      <c r="A137" s="5" t="s">
        <v>654</v>
      </c>
      <c r="B137" s="0" t="s">
        <v>52</v>
      </c>
      <c r="C137" s="13" t="n">
        <f aca="false">Sens!$C$105/tk_pq</f>
        <v>0.195316432429398</v>
      </c>
      <c r="D137" s="13" t="n">
        <f aca="false">Sens!$D$105/tk_pq</f>
        <v>0.195316432429398</v>
      </c>
      <c r="E137" s="13" t="n">
        <f aca="false">Sens!$E$105/tk_pq</f>
        <v>0.195316432429398</v>
      </c>
      <c r="F137" s="13" t="n">
        <f aca="false">Sens!$F$105/tk_pq</f>
        <v>0.202241827274866</v>
      </c>
      <c r="G137" s="13" t="n">
        <f aca="false">Sens!$G$105/tk_pq</f>
        <v>0.199675016194063</v>
      </c>
      <c r="H137" s="13" t="n">
        <f aca="false">Sens!$H$105/tk_pq</f>
        <v>0.212647947710325</v>
      </c>
      <c r="I137" s="13" t="n">
        <f aca="false">Sens!$I$105/tk_pq</f>
        <v>0.219285125475351</v>
      </c>
      <c r="J137" s="13" t="n">
        <f aca="false">Sens!$J$105/tk_pq</f>
        <v>0.222492493217189</v>
      </c>
      <c r="K137" s="13" t="n">
        <f aca="false">Sens!$K$105/tk_pq</f>
        <v>0.224053502812094</v>
      </c>
      <c r="L137" s="13" t="n">
        <f aca="false">Sens!$L$105/tk_pq</f>
        <v>0.224786916785614</v>
      </c>
      <c r="M137" s="13" t="n">
        <f aca="false">Sens!$M$105/tk_pq</f>
        <v>0.225048671566937</v>
      </c>
      <c r="N137" s="13" t="n">
        <f aca="false">Sens!$N$105/tk_pq</f>
        <v>0.195316432429398</v>
      </c>
      <c r="O137" s="13" t="n">
        <f aca="false">Sens!$O$105/tk_pq</f>
        <v>0.195316432429398</v>
      </c>
      <c r="P137" s="5" t="s">
        <v>655</v>
      </c>
    </row>
    <row r="140" customFormat="false" ht="17.15" hidden="false" customHeight="false" outlineLevel="0" collapsed="false">
      <c r="A140" s="1" t="s">
        <v>684</v>
      </c>
    </row>
    <row r="141" customFormat="false" ht="17.15" hidden="false" customHeight="false" outlineLevel="0" collapsed="false">
      <c r="A141" s="0" t="s">
        <v>685</v>
      </c>
      <c r="B141" s="0" t="s">
        <v>86</v>
      </c>
      <c r="C141" s="38" t="n">
        <f aca="false">Sens!$C$104</f>
        <v>2.32100535697364</v>
      </c>
      <c r="D141" s="38" t="n">
        <f aca="false">Sens!$D$104</f>
        <v>8.70377008865116</v>
      </c>
      <c r="E141" s="38" t="n">
        <f aca="false">Sens!$E$104</f>
        <v>8.51035297557002</v>
      </c>
      <c r="F141" s="38" t="n">
        <f aca="false">Sens!$F$104</f>
        <v>14.9634336447205</v>
      </c>
      <c r="G141" s="38" t="n">
        <f aca="false">Sens!$G$104</f>
        <v>23.4737866202905</v>
      </c>
      <c r="H141" s="38" t="n">
        <f aca="false">Sens!$H$104</f>
        <v>60.1658907497746</v>
      </c>
      <c r="I141" s="38" t="n">
        <f aca="false">Sens!$I$104</f>
        <v>101.503699136432</v>
      </c>
      <c r="J141" s="38" t="n">
        <f aca="false">Sens!$J$104</f>
        <v>143.025407151278</v>
      </c>
      <c r="K141" s="38" t="n">
        <f aca="false">Sens!$K$104</f>
        <v>178.44812038318</v>
      </c>
      <c r="L141" s="38" t="n">
        <f aca="false">Sens!$L$104</f>
        <v>201.728101802396</v>
      </c>
      <c r="M141" s="38" t="n">
        <f aca="false">Sens!$M$104</f>
        <v>212.835441368865</v>
      </c>
      <c r="N141" s="38" t="n">
        <f aca="false">Sens!$N$104</f>
        <v>3.04631953102791</v>
      </c>
      <c r="O141" s="38" t="n">
        <f aca="false">Sens!$O$104</f>
        <v>5.65745055762326</v>
      </c>
      <c r="P141" s="8" t="s">
        <v>686</v>
      </c>
    </row>
    <row r="142" customFormat="false" ht="17.15" hidden="false" customHeight="false" outlineLevel="0" collapsed="false">
      <c r="A142" s="0" t="s">
        <v>687</v>
      </c>
      <c r="B142" s="0" t="s">
        <v>86</v>
      </c>
      <c r="C142" s="38" t="n">
        <f aca="false">Sens!$C$108</f>
        <v>105.234994643026</v>
      </c>
      <c r="D142" s="38" t="n">
        <f aca="false">Sens!$D$108</f>
        <v>120.021229911349</v>
      </c>
      <c r="E142" s="38" t="n">
        <f aca="false">Sens!$E$108</f>
        <v>71.30864702443</v>
      </c>
      <c r="F142" s="38" t="n">
        <f aca="false">Sens!$F$108</f>
        <v>71.7692997942464</v>
      </c>
      <c r="G142" s="38" t="n">
        <f aca="false">Sens!$G$108</f>
        <v>143.077946818676</v>
      </c>
      <c r="H142" s="38" t="n">
        <f aca="false">Sens!$H$108</f>
        <v>161.017077079203</v>
      </c>
      <c r="I142" s="38" t="n">
        <f aca="false">Sens!$I$108</f>
        <v>178.769759521457</v>
      </c>
      <c r="J142" s="38" t="n">
        <f aca="false">Sens!$J$108</f>
        <v>195.775538045907</v>
      </c>
      <c r="K142" s="38" t="n">
        <f aca="false">Sens!$K$108</f>
        <v>211.43758108958</v>
      </c>
      <c r="L142" s="38" t="n">
        <f aca="false">Sens!$L$108</f>
        <v>228.352587576746</v>
      </c>
      <c r="M142" s="38" t="n">
        <f aca="false">Sens!$M$108</f>
        <v>246.620794582886</v>
      </c>
      <c r="N142" s="38" t="n">
        <f aca="false">Sens!$N$108</f>
        <v>57.0936804689721</v>
      </c>
      <c r="O142" s="38" t="n">
        <f aca="false">Sens!$O$108</f>
        <v>62.9275494423768</v>
      </c>
      <c r="P142" s="8" t="s">
        <v>686</v>
      </c>
    </row>
    <row r="143" customFormat="false" ht="17.15" hidden="false" customHeight="false" outlineLevel="0" collapsed="false">
      <c r="A143" s="1" t="s">
        <v>513</v>
      </c>
      <c r="B143" s="8" t="s">
        <v>86</v>
      </c>
      <c r="C143" s="38" t="n">
        <f aca="false">Q!$D$7</f>
        <v>107.556</v>
      </c>
      <c r="D143" s="38" t="n">
        <f aca="false">Q!$E$7</f>
        <v>128.725</v>
      </c>
      <c r="E143" s="38" t="n">
        <f aca="false">Q!$P$7</f>
        <v>79.819</v>
      </c>
      <c r="F143" s="38" t="n">
        <f aca="false">Sens!$F$141+Sens!$F$142</f>
        <v>86.7327334389669</v>
      </c>
      <c r="G143" s="38" t="n">
        <f aca="false">Sens!$G$141+Sens!$G$142</f>
        <v>166.551733438967</v>
      </c>
      <c r="H143" s="38" t="n">
        <f aca="false">Sens!$H$141+Sens!$H$142</f>
        <v>221.182967828978</v>
      </c>
      <c r="I143" s="38" t="n">
        <f aca="false">Sens!$I$141+Sens!$I$142</f>
        <v>280.27345865789</v>
      </c>
      <c r="J143" s="38" t="n">
        <f aca="false">Sens!$J$141+Sens!$J$142</f>
        <v>338.800945197185</v>
      </c>
      <c r="K143" s="38" t="n">
        <f aca="false">Sens!$K$141+Sens!$K$142</f>
        <v>389.88570147276</v>
      </c>
      <c r="L143" s="38" t="n">
        <f aca="false">Sens!$L$141+Sens!$L$142</f>
        <v>430.080689379143</v>
      </c>
      <c r="M143" s="38" t="n">
        <f aca="false">Sens!$M$141+Sens!$M$142</f>
        <v>459.456235951751</v>
      </c>
      <c r="N143" s="38" t="n">
        <f aca="false">Q!$N$7</f>
        <v>60.14</v>
      </c>
      <c r="O143" s="38" t="n">
        <f aca="false">Q!$O$7</f>
        <v>68.585</v>
      </c>
      <c r="P143" s="5" t="s">
        <v>688</v>
      </c>
    </row>
    <row r="144" customFormat="false" ht="15" hidden="false" customHeight="false" outlineLevel="0" collapsed="false">
      <c r="A144" s="3" t="s">
        <v>689</v>
      </c>
      <c r="B144" s="8" t="s">
        <v>86</v>
      </c>
      <c r="C144" s="38" t="n">
        <f aca="false">Q!$D$8</f>
        <v>637.959</v>
      </c>
      <c r="D144" s="38" t="n">
        <f aca="false">Q!$E$8</f>
        <v>716.924</v>
      </c>
      <c r="E144" s="38" t="n">
        <f aca="false">Q!$P$8</f>
        <v>382.125</v>
      </c>
      <c r="F144" s="38" t="n">
        <f aca="false">Sens!$F$76+Sens!$F$143</f>
        <v>435.780975084504</v>
      </c>
      <c r="G144" s="38" t="n">
        <f aca="false">Sens!$G$76+Sens!$G$143</f>
        <v>817.905975084504</v>
      </c>
      <c r="H144" s="38" t="n">
        <f aca="false">Sens!$H$76+Sens!$H$143</f>
        <v>942.279857350364</v>
      </c>
      <c r="I144" s="38" t="n">
        <f aca="false">Sens!$I$76+Sens!$I$143</f>
        <v>1068.80284981042</v>
      </c>
      <c r="J144" s="38" t="n">
        <f aca="false">Sens!$J$76+Sens!$J$143</f>
        <v>1189.90935093863</v>
      </c>
      <c r="K144" s="38" t="n">
        <f aca="false">Sens!$K$76+Sens!$K$143</f>
        <v>1296.06215690385</v>
      </c>
      <c r="L144" s="38" t="n">
        <f aca="false">Sens!$L$76+Sens!$L$143</f>
        <v>1395.17379585473</v>
      </c>
      <c r="M144" s="38" t="n">
        <f aca="false">Sens!$M$76+Sens!$M$143</f>
        <v>1487.60414389864</v>
      </c>
      <c r="N144" s="38" t="n">
        <f aca="false">Q!$N$8</f>
        <v>323.369</v>
      </c>
      <c r="O144" s="38" t="n">
        <f aca="false">Q!$O$8</f>
        <v>393.555</v>
      </c>
    </row>
    <row r="145" customFormat="false" ht="17.15" hidden="false" customHeight="false" outlineLevel="0" collapsed="false">
      <c r="A145" s="24" t="s">
        <v>697</v>
      </c>
      <c r="B145" s="25" t="s">
        <v>86</v>
      </c>
      <c r="C145" s="41" t="n">
        <f aca="false">Sens!$C$76-(Sens!$C$78+Sens!$C$79)</f>
        <v>0</v>
      </c>
      <c r="D145" s="41" t="n">
        <f aca="false">Sens!$D$76-(Sens!$D$78+Sens!$D$79)</f>
        <v>0</v>
      </c>
      <c r="E145" s="41" t="n">
        <f aca="false">Sens!$E$76-(Sens!$E$78+Sens!$E$79)</f>
        <v>0</v>
      </c>
      <c r="F145" s="41" t="n">
        <f aca="false">Sens!$F$76-(Sens!$F$78+Sens!$F$79)</f>
        <v>0</v>
      </c>
      <c r="G145" s="41" t="n">
        <f aca="false">Sens!$G$76-(Sens!$G$78+Sens!$G$79)</f>
        <v>0</v>
      </c>
      <c r="H145" s="41" t="n">
        <f aca="false">Sens!$H$76-(Sens!$H$78+Sens!$H$79)</f>
        <v>0</v>
      </c>
      <c r="I145" s="41" t="n">
        <f aca="false">Sens!$I$76-(Sens!$I$78+Sens!$I$79)</f>
        <v>0</v>
      </c>
      <c r="J145" s="41" t="n">
        <f aca="false">Sens!$J$76-(Sens!$J$78+Sens!$J$79)</f>
        <v>0</v>
      </c>
      <c r="K145" s="41" t="n">
        <f aca="false">Sens!$K$76-(Sens!$K$78+Sens!$K$79)</f>
        <v>0</v>
      </c>
      <c r="L145" s="41" t="n">
        <f aca="false">Sens!$L$76-(Sens!$L$78+Sens!$L$79)</f>
        <v>0</v>
      </c>
      <c r="M145" s="41" t="n">
        <f aca="false">Sens!$M$76-(Sens!$M$78+Sens!$M$79)</f>
        <v>0</v>
      </c>
      <c r="N145" s="41" t="n">
        <f aca="false">Sens!$N$76-(Sens!$N$78+Sens!$N$79)</f>
        <v>0</v>
      </c>
      <c r="O145" s="41" t="n">
        <f aca="false">Sens!$O$76-(Sens!$O$78+Sens!$O$79)</f>
        <v>0</v>
      </c>
    </row>
    <row r="146" customFormat="false" ht="17.15" hidden="false" customHeight="false" outlineLevel="0" collapsed="false">
      <c r="A146" s="24" t="s">
        <v>698</v>
      </c>
      <c r="B146" s="25" t="s">
        <v>86</v>
      </c>
      <c r="C146" s="41" t="n">
        <f aca="false">Sens!$C$141+Sens!$C$142-Sens!$C$143</f>
        <v>0</v>
      </c>
      <c r="D146" s="41" t="n">
        <f aca="false">Sens!$D$141+Sens!$D$142-Sens!$D$143</f>
        <v>0</v>
      </c>
      <c r="E146" s="41" t="n">
        <f aca="false">Sens!$E$141+Sens!$E$142-Sens!$E$143</f>
        <v>0</v>
      </c>
      <c r="F146" s="41" t="n">
        <f aca="false">Sens!$F$141+Sens!$F$142-Sens!$F$143</f>
        <v>0</v>
      </c>
      <c r="G146" s="41" t="n">
        <f aca="false">Sens!$G$141+Sens!$G$142-Sens!$G$143</f>
        <v>0</v>
      </c>
      <c r="H146" s="41" t="n">
        <f aca="false">Sens!$H$141+Sens!$H$142-Sens!$H$143</f>
        <v>0</v>
      </c>
      <c r="I146" s="41" t="n">
        <f aca="false">Sens!$I$141+Sens!$I$142-Sens!$I$143</f>
        <v>0</v>
      </c>
      <c r="J146" s="41" t="n">
        <f aca="false">Sens!$J$141+Sens!$J$142-Sens!$J$143</f>
        <v>0</v>
      </c>
      <c r="K146" s="41" t="n">
        <f aca="false">Sens!$K$141+Sens!$K$142-Sens!$K$143</f>
        <v>0</v>
      </c>
      <c r="L146" s="41" t="n">
        <f aca="false">Sens!$L$141+Sens!$L$142-Sens!$L$143</f>
        <v>0</v>
      </c>
      <c r="M146" s="41" t="n">
        <f aca="false">Sens!$M$141+Sens!$M$142-Sens!$M$143</f>
        <v>0</v>
      </c>
      <c r="N146" s="41" t="n">
        <f aca="false">Sens!$N$141+Sens!$N$142-Sens!$N$143</f>
        <v>0</v>
      </c>
      <c r="O146" s="41" t="n">
        <f aca="false">Sens!$O$141+Sens!$O$142-Sens!$O$143</f>
        <v>0</v>
      </c>
    </row>
    <row r="147" customFormat="false" ht="17.15" hidden="false" customHeight="false" outlineLevel="0" collapsed="false">
      <c r="A147" s="24" t="s">
        <v>699</v>
      </c>
      <c r="B147" s="25" t="s">
        <v>86</v>
      </c>
      <c r="C147" s="41" t="n">
        <f aca="false">Sens!$C$78+Sens!$C$79+Sens!$C$143-Sens!$C$144</f>
        <v>0</v>
      </c>
      <c r="D147" s="41" t="n">
        <f aca="false">Sens!$D$78+Sens!$D$79+Sens!$D$143-Sens!$D$144</f>
        <v>0</v>
      </c>
      <c r="E147" s="41" t="n">
        <f aca="false">Sens!$E$78+Sens!$E$79+Sens!$E$143-Sens!$E$144</f>
        <v>0</v>
      </c>
      <c r="F147" s="41" t="n">
        <f aca="false">Sens!$F$78+Sens!$F$79+Sens!$F$143-Sens!$F$144</f>
        <v>0</v>
      </c>
      <c r="G147" s="41" t="n">
        <f aca="false">Sens!$G$78+Sens!$G$79+Sens!$G$143-Sens!$G$144</f>
        <v>0</v>
      </c>
      <c r="H147" s="41" t="n">
        <f aca="false">Sens!$H$78+Sens!$H$79+Sens!$H$143-Sens!$H$144</f>
        <v>0</v>
      </c>
      <c r="I147" s="41" t="n">
        <f aca="false">Sens!$I$78+Sens!$I$79+Sens!$I$143-Sens!$I$144</f>
        <v>0</v>
      </c>
      <c r="J147" s="41" t="n">
        <f aca="false">Sens!$J$78+Sens!$J$79+Sens!$J$143-Sens!$J$144</f>
        <v>0</v>
      </c>
      <c r="K147" s="41" t="n">
        <f aca="false">Sens!$K$78+Sens!$K$79+Sens!$K$143-Sens!$K$144</f>
        <v>0</v>
      </c>
      <c r="L147" s="41" t="n">
        <f aca="false">Sens!$L$78+Sens!$L$79+Sens!$L$143-Sens!$L$144</f>
        <v>0</v>
      </c>
      <c r="M147" s="41" t="n">
        <f aca="false">Sens!$M$78+Sens!$M$79+Sens!$M$143-Sens!$M$144</f>
        <v>0</v>
      </c>
      <c r="N147" s="41" t="n">
        <f aca="false">Sens!$N$78+Sens!$N$79+Sens!$N$143-Sens!$N$144</f>
        <v>0</v>
      </c>
      <c r="O147" s="41" t="n">
        <f aca="false">Sens!$O$78+Sens!$O$79+Sens!$O$143-Sens!$O$144</f>
        <v>0</v>
      </c>
    </row>
    <row r="148" customFormat="false" ht="15" hidden="false" customHeight="false" outlineLevel="0" collapsed="false">
      <c r="A148" s="5" t="s">
        <v>693</v>
      </c>
      <c r="B148" s="0" t="s">
        <v>52</v>
      </c>
      <c r="G148" s="13" t="n">
        <f aca="false">Sens!$G$144/Sens!$D$144-1</f>
        <v>0.140854504918937</v>
      </c>
      <c r="H148" s="13" t="n">
        <f aca="false">Sens!$H$144/Sens!$G$144-1</f>
        <v>0.152063789793209</v>
      </c>
      <c r="I148" s="13" t="n">
        <f aca="false">Sens!$I$144/Sens!$H$144-1</f>
        <v>0.134273264437417</v>
      </c>
      <c r="J148" s="13" t="n">
        <f aca="false">Sens!$J$144/Sens!$I$144-1</f>
        <v>0.113310421234083</v>
      </c>
      <c r="K148" s="13" t="n">
        <f aca="false">Sens!$K$144/Sens!$J$144-1</f>
        <v>0.0892108343223652</v>
      </c>
      <c r="L148" s="13" t="n">
        <f aca="false">Sens!$L$144/Sens!$K$144-1</f>
        <v>0.076471362444261</v>
      </c>
      <c r="M148" s="13" t="n">
        <f aca="false">Sens!$M$144/Sens!$L$144-1</f>
        <v>0.066250060256672</v>
      </c>
    </row>
    <row r="149" customFormat="false" ht="17.15" hidden="false" customHeight="false" outlineLevel="0" collapsed="false">
      <c r="A149" s="0" t="s">
        <v>694</v>
      </c>
      <c r="B149" s="0" t="s">
        <v>52</v>
      </c>
      <c r="C149" s="13" t="n">
        <f aca="false">Sens!$C$143/Sens!$C$144</f>
        <v>0.168593906504964</v>
      </c>
      <c r="D149" s="13" t="n">
        <f aca="false">Sens!$D$143/Sens!$D$144</f>
        <v>0.179551807444025</v>
      </c>
      <c r="E149" s="13" t="n">
        <f aca="false">Sens!$E$143/Sens!$E$144</f>
        <v>0.208881910369643</v>
      </c>
      <c r="F149" s="13" t="n">
        <f aca="false">Sens!$F$143/Sens!$F$144</f>
        <v>0.199028269699356</v>
      </c>
      <c r="G149" s="13" t="n">
        <f aca="false">Sens!$G$143/Sens!$G$144</f>
        <v>0.203631882529968</v>
      </c>
      <c r="H149" s="13" t="n">
        <f aca="false">Sens!$H$143/Sens!$H$144</f>
        <v>0.234731715958496</v>
      </c>
      <c r="I149" s="13" t="n">
        <f aca="false">Sens!$I$143/Sens!$I$144</f>
        <v>0.262231204480418</v>
      </c>
      <c r="J149" s="13" t="n">
        <f aca="false">Sens!$J$143/Sens!$J$144</f>
        <v>0.284728366013706</v>
      </c>
      <c r="K149" s="13" t="n">
        <f aca="false">Sens!$K$143/Sens!$K$144</f>
        <v>0.300823304959505</v>
      </c>
      <c r="L149" s="13" t="n">
        <f aca="false">Sens!$L$143/Sens!$L$144</f>
        <v>0.308263164529735</v>
      </c>
      <c r="M149" s="13" t="n">
        <f aca="false">Sens!$M$143/Sens!$M$144</f>
        <v>0.308856517936036</v>
      </c>
      <c r="N149" s="13" t="n">
        <f aca="false">Sens!$N$143/Sens!$N$144</f>
        <v>0.185979484737251</v>
      </c>
      <c r="O149" s="13" t="n">
        <f aca="false">Sens!$O$143/Sens!$O$144</f>
        <v>0.174270432341096</v>
      </c>
    </row>
    <row r="150" customFormat="false" ht="17.15" hidden="false" customHeight="false" outlineLevel="0" collapsed="false">
      <c r="A150" s="0" t="s">
        <v>695</v>
      </c>
      <c r="B150" s="0" t="s">
        <v>52</v>
      </c>
      <c r="C150" s="13" t="n">
        <f aca="false">Sens!$C$141/Sens!$C$143</f>
        <v>0.0215795060896058</v>
      </c>
      <c r="D150" s="13" t="n">
        <f aca="false">Sens!$D$141/Sens!$D$143</f>
        <v>0.0676152269462122</v>
      </c>
      <c r="E150" s="13" t="n">
        <f aca="false">Sens!$E$141/Sens!$E$143</f>
        <v>0.106620641395783</v>
      </c>
      <c r="F150" s="13" t="n">
        <f aca="false">Sens!$F$141/Sens!$F$143</f>
        <v>0.172523487401099</v>
      </c>
      <c r="G150" s="13" t="n">
        <f aca="false">Sens!$G$141/Sens!$G$143</f>
        <v>0.140939911795589</v>
      </c>
      <c r="H150" s="13" t="n">
        <f aca="false">Sens!$H$141/Sens!$H$143</f>
        <v>0.272018642937714</v>
      </c>
      <c r="I150" s="13" t="n">
        <f aca="false">Sens!$I$141/Sens!$I$143</f>
        <v>0.362159512436497</v>
      </c>
      <c r="J150" s="13" t="n">
        <f aca="false">Sens!$J$141/Sens!$J$143</f>
        <v>0.422151735934609</v>
      </c>
      <c r="K150" s="13" t="n">
        <f aca="false">Sens!$K$141/Sens!$K$143</f>
        <v>0.45769342068485</v>
      </c>
      <c r="L150" s="13" t="n">
        <f aca="false">Sens!$L$141/Sens!$L$143</f>
        <v>0.469047103913472</v>
      </c>
      <c r="M150" s="13" t="n">
        <f aca="false">Sens!$M$141/Sens!$M$143</f>
        <v>0.463233328258093</v>
      </c>
      <c r="N150" s="13" t="n">
        <f aca="false">Sens!$N$141/Sens!$N$143</f>
        <v>0.0506537999838362</v>
      </c>
      <c r="O150" s="13" t="n">
        <f aca="false">Sens!$O$141/Sens!$O$143</f>
        <v>0.0824881615167056</v>
      </c>
    </row>
    <row r="153" customFormat="false" ht="19.4" hidden="false" customHeight="false" outlineLevel="0" collapsed="false">
      <c r="A153" s="31" t="s">
        <v>1129</v>
      </c>
    </row>
    <row r="154" customFormat="false" ht="17.15" hidden="false" customHeight="false" outlineLevel="0" collapsed="false">
      <c r="A154" s="6" t="s">
        <v>16</v>
      </c>
      <c r="B154" s="6" t="s">
        <v>17</v>
      </c>
      <c r="C154" s="20" t="s">
        <v>494</v>
      </c>
      <c r="D154" s="20" t="s">
        <v>495</v>
      </c>
      <c r="E154" s="20" t="s">
        <v>577</v>
      </c>
      <c r="F154" s="20" t="s">
        <v>578</v>
      </c>
      <c r="G154" s="20" t="s">
        <v>579</v>
      </c>
      <c r="H154" s="20" t="s">
        <v>580</v>
      </c>
      <c r="I154" s="20" t="s">
        <v>581</v>
      </c>
      <c r="J154" s="20" t="s">
        <v>582</v>
      </c>
      <c r="K154" s="20" t="s">
        <v>583</v>
      </c>
      <c r="L154" s="20" t="s">
        <v>584</v>
      </c>
      <c r="M154" s="20" t="s">
        <v>585</v>
      </c>
      <c r="N154" s="20" t="s">
        <v>586</v>
      </c>
      <c r="O154" s="20" t="s">
        <v>587</v>
      </c>
      <c r="P154" s="6" t="s">
        <v>23</v>
      </c>
      <c r="R154" s="20" t="n">
        <v>2023</v>
      </c>
      <c r="S154" s="20" t="n">
        <v>2024</v>
      </c>
      <c r="T154" s="20" t="n">
        <v>2025</v>
      </c>
      <c r="U154" s="20" t="n">
        <v>2026</v>
      </c>
      <c r="V154" s="20" t="n">
        <v>2027</v>
      </c>
      <c r="W154" s="20" t="n">
        <v>2028</v>
      </c>
      <c r="X154" s="20" t="n">
        <v>2029</v>
      </c>
      <c r="Y154" s="20" t="n">
        <v>2030</v>
      </c>
      <c r="Z154" s="20" t="n">
        <v>2031</v>
      </c>
      <c r="AA154" s="20" t="n">
        <v>2032</v>
      </c>
    </row>
    <row r="155" customFormat="false" ht="17.15" hidden="false" customHeight="false" outlineLevel="0" collapsed="false">
      <c r="A155" s="1" t="s">
        <v>710</v>
      </c>
    </row>
    <row r="156" customFormat="false" ht="15" hidden="false" customHeight="false" outlineLevel="0" collapsed="false">
      <c r="A156" s="0" t="s">
        <v>516</v>
      </c>
      <c r="B156" s="0" t="s">
        <v>86</v>
      </c>
      <c r="C156" s="38" t="n">
        <f aca="false">Sens!$C$63</f>
        <v>247.029</v>
      </c>
      <c r="D156" s="38" t="n">
        <f aca="false">Sens!$D$63</f>
        <v>269.287</v>
      </c>
      <c r="E156" s="38" t="n">
        <f aca="false">Sens!$E$63</f>
        <v>134.686</v>
      </c>
      <c r="F156" s="38" t="n">
        <f aca="false">Sens!$F$63</f>
        <v>158.293876822267</v>
      </c>
      <c r="G156" s="38" t="n">
        <f aca="false">Sens!$G$63</f>
        <v>292.979876822267</v>
      </c>
      <c r="H156" s="38" t="n">
        <f aca="false">Sens!$H$63</f>
        <v>318.184543087396</v>
      </c>
      <c r="I156" s="38" t="n">
        <f aca="false">Sens!$I$63</f>
        <v>341.736278761793</v>
      </c>
      <c r="J156" s="38" t="n">
        <f aca="false">Sens!$J$63</f>
        <v>362.927192787048</v>
      </c>
      <c r="K156" s="38" t="n">
        <f aca="false">Sens!$K$63</f>
        <v>381.0735524264</v>
      </c>
      <c r="L156" s="38" t="n">
        <f aca="false">Sens!$L$63</f>
        <v>400.12723004772</v>
      </c>
      <c r="M156" s="38" t="n">
        <f aca="false">Sens!$M$63</f>
        <v>420.133591550106</v>
      </c>
      <c r="N156" s="38" t="n">
        <f aca="false">Sens!$N$63</f>
        <v>118.892</v>
      </c>
      <c r="O156" s="38" t="n">
        <f aca="false">Sens!$O$63</f>
        <v>150.395</v>
      </c>
    </row>
    <row r="157" customFormat="false" ht="15" hidden="false" customHeight="false" outlineLevel="0" collapsed="false">
      <c r="A157" s="0" t="s">
        <v>517</v>
      </c>
      <c r="B157" s="0" t="s">
        <v>86</v>
      </c>
      <c r="C157" s="38" t="n">
        <f aca="false">Sens!$C$65</f>
        <v>21.215</v>
      </c>
      <c r="D157" s="38" t="n">
        <f aca="false">Sens!$D$65</f>
        <v>22.561</v>
      </c>
      <c r="E157" s="38" t="n">
        <f aca="false">Sens!$E$65</f>
        <v>11.579</v>
      </c>
      <c r="F157" s="38" t="n">
        <f aca="false">Sens!$F$65</f>
        <v>11.5938724610325</v>
      </c>
      <c r="G157" s="38" t="n">
        <f aca="false">Sens!$G$65</f>
        <v>23.1728724610325</v>
      </c>
      <c r="H157" s="38" t="n">
        <f aca="false">Sens!$H$65</f>
        <v>24.353392759506</v>
      </c>
      <c r="I157" s="38" t="n">
        <f aca="false">Sens!$I$65</f>
        <v>25.4240338872015</v>
      </c>
      <c r="J157" s="38" t="n">
        <f aca="false">Sens!$J$65</f>
        <v>26.3642491017174</v>
      </c>
      <c r="K157" s="38" t="n">
        <f aca="false">Sens!$K$65</f>
        <v>27.155176574769</v>
      </c>
      <c r="L157" s="38" t="n">
        <f aca="false">Sens!$L$65</f>
        <v>27.969831872012</v>
      </c>
      <c r="M157" s="38" t="n">
        <f aca="false">Sens!$M$65</f>
        <v>28.8089268281724</v>
      </c>
      <c r="N157" s="38" t="n">
        <f aca="false">Sens!$N$65</f>
        <v>11.128</v>
      </c>
      <c r="O157" s="38" t="n">
        <f aca="false">Sens!$O$65</f>
        <v>11.433</v>
      </c>
    </row>
    <row r="158" customFormat="false" ht="15" hidden="false" customHeight="false" outlineLevel="0" collapsed="false">
      <c r="A158" s="0" t="s">
        <v>518</v>
      </c>
      <c r="B158" s="0" t="s">
        <v>86</v>
      </c>
      <c r="C158" s="38" t="n">
        <f aca="false">Sens!$C$67</f>
        <v>156.146</v>
      </c>
      <c r="D158" s="38" t="n">
        <f aca="false">Sens!$D$67</f>
        <v>172.162</v>
      </c>
      <c r="E158" s="38" t="n">
        <f aca="false">Sens!$E$67</f>
        <v>88.358</v>
      </c>
      <c r="F158" s="38" t="n">
        <f aca="false">Sens!$F$67</f>
        <v>102.004388260171</v>
      </c>
      <c r="G158" s="38" t="n">
        <f aca="false">Sens!$G$67</f>
        <v>190.362388260171</v>
      </c>
      <c r="H158" s="38" t="n">
        <f aca="false">Sens!$H$67</f>
        <v>210.343106588311</v>
      </c>
      <c r="I158" s="38" t="n">
        <f aca="false">Sens!$I$67</f>
        <v>229.969728494648</v>
      </c>
      <c r="J158" s="38" t="n">
        <f aca="false">Sens!$J$67</f>
        <v>248.747636972598</v>
      </c>
      <c r="K158" s="38" t="n">
        <f aca="false">Sens!$K$67</f>
        <v>266.15997156068</v>
      </c>
      <c r="L158" s="38" t="n">
        <f aca="false">Sens!$L$67</f>
        <v>284.791169569927</v>
      </c>
      <c r="M158" s="38" t="n">
        <f aca="false">Sens!$M$67</f>
        <v>304.726551439822</v>
      </c>
      <c r="N158" s="38" t="n">
        <f aca="false">Sens!$N$67</f>
        <v>76.86</v>
      </c>
      <c r="O158" s="38" t="n">
        <f aca="false">Sens!$O$67</f>
        <v>95.302</v>
      </c>
    </row>
    <row r="159" customFormat="false" ht="15" hidden="false" customHeight="false" outlineLevel="0" collapsed="false">
      <c r="A159" s="0" t="s">
        <v>519</v>
      </c>
      <c r="B159" s="0" t="s">
        <v>86</v>
      </c>
      <c r="C159" s="38" t="n">
        <f aca="false">Sens!$C$69</f>
        <v>56.214</v>
      </c>
      <c r="D159" s="38" t="n">
        <f aca="false">Sens!$D$69</f>
        <v>68.635</v>
      </c>
      <c r="E159" s="38" t="n">
        <f aca="false">Sens!$E$69</f>
        <v>37.052</v>
      </c>
      <c r="F159" s="38" t="n">
        <f aca="false">Sens!$F$69</f>
        <v>46.1572219944148</v>
      </c>
      <c r="G159" s="38" t="n">
        <f aca="false">Sens!$G$69</f>
        <v>83.2092219944148</v>
      </c>
      <c r="H159" s="38" t="n">
        <f aca="false">Sens!$H$69</f>
        <v>99.8969223878976</v>
      </c>
      <c r="I159" s="38" t="n">
        <f aca="false">Sens!$I$69</f>
        <v>116.583111095496</v>
      </c>
      <c r="J159" s="38" t="n">
        <f aca="false">Sens!$J$69</f>
        <v>132.148941941952</v>
      </c>
      <c r="K159" s="38" t="n">
        <f aca="false">Sens!$K$69</f>
        <v>145.363836136147</v>
      </c>
      <c r="L159" s="38" t="n">
        <f aca="false">Sens!$L$69</f>
        <v>159.900219749762</v>
      </c>
      <c r="M159" s="38" t="n">
        <f aca="false">Sens!$M$69</f>
        <v>175.890241724738</v>
      </c>
      <c r="N159" s="38" t="n">
        <f aca="false">Sens!$N$69</f>
        <v>29.615</v>
      </c>
      <c r="O159" s="38" t="n">
        <f aca="false">Sens!$O$69</f>
        <v>39.02</v>
      </c>
    </row>
    <row r="160" customFormat="false" ht="15" hidden="false" customHeight="false" outlineLevel="0" collapsed="false">
      <c r="A160" s="0" t="s">
        <v>520</v>
      </c>
      <c r="B160" s="0" t="s">
        <v>86</v>
      </c>
      <c r="C160" s="38" t="n">
        <f aca="false">Sens!$C$71</f>
        <v>44.374</v>
      </c>
      <c r="D160" s="38" t="n">
        <f aca="false">Sens!$D$71</f>
        <v>49.619</v>
      </c>
      <c r="E160" s="38" t="n">
        <f aca="false">Sens!$E$71</f>
        <v>27.157</v>
      </c>
      <c r="F160" s="38" t="n">
        <f aca="false">Sens!$F$71</f>
        <v>27.7764165988154</v>
      </c>
      <c r="G160" s="38" t="n">
        <f aca="false">Sens!$G$71</f>
        <v>54.9334165988154</v>
      </c>
      <c r="H160" s="38" t="n">
        <f aca="false">Sens!$H$71</f>
        <v>61.1564112561829</v>
      </c>
      <c r="I160" s="38" t="n">
        <f aca="false">Sens!$I$71</f>
        <v>67.2020282103945</v>
      </c>
      <c r="J160" s="38" t="n">
        <f aca="false">Sens!$J$71</f>
        <v>72.8757274028885</v>
      </c>
      <c r="K160" s="38" t="n">
        <f aca="false">Sens!$K$71</f>
        <v>77.9770283210907</v>
      </c>
      <c r="L160" s="38" t="n">
        <f aca="false">Sens!$L$71</f>
        <v>83.4354203035671</v>
      </c>
      <c r="M160" s="38" t="n">
        <f aca="false">Sens!$M$71</f>
        <v>89.2758997248168</v>
      </c>
      <c r="N160" s="38" t="n">
        <f aca="false">Sens!$N$71</f>
        <v>23.923</v>
      </c>
      <c r="O160" s="38" t="n">
        <f aca="false">Sens!$O$71</f>
        <v>25.696</v>
      </c>
    </row>
    <row r="161" customFormat="false" ht="15" hidden="false" customHeight="false" outlineLevel="0" collapsed="false">
      <c r="A161" s="0" t="s">
        <v>521</v>
      </c>
      <c r="B161" s="0" t="s">
        <v>86</v>
      </c>
      <c r="C161" s="38" t="n">
        <f aca="false">Sens!$C$73</f>
        <v>5.425</v>
      </c>
      <c r="D161" s="38" t="n">
        <f aca="false">Sens!$D$73</f>
        <v>5.935</v>
      </c>
      <c r="E161" s="38" t="n">
        <f aca="false">Sens!$E$73</f>
        <v>3.474</v>
      </c>
      <c r="F161" s="38" t="n">
        <f aca="false">Sens!$F$73</f>
        <v>3.22246550883619</v>
      </c>
      <c r="G161" s="38" t="n">
        <f aca="false">Sens!$G$73</f>
        <v>6.69646550883619</v>
      </c>
      <c r="H161" s="38" t="n">
        <f aca="false">Sens!$H$73</f>
        <v>7.16251344209196</v>
      </c>
      <c r="I161" s="38" t="n">
        <f aca="false">Sens!$I$73</f>
        <v>7.61421070299826</v>
      </c>
      <c r="J161" s="38" t="n">
        <f aca="false">Sens!$J$73</f>
        <v>8.04465753523932</v>
      </c>
      <c r="K161" s="38" t="n">
        <f aca="false">Sens!$K$73</f>
        <v>8.44689041200128</v>
      </c>
      <c r="L161" s="38" t="n">
        <f aca="false">Sens!$L$73</f>
        <v>8.86923493260135</v>
      </c>
      <c r="M161" s="38" t="n">
        <f aca="false">Sens!$M$73</f>
        <v>9.31269667923142</v>
      </c>
      <c r="N161" s="38" t="n">
        <f aca="false">Sens!$N$73</f>
        <v>2.811</v>
      </c>
      <c r="O161" s="38" t="n">
        <f aca="false">Sens!$O$73</f>
        <v>3.124</v>
      </c>
    </row>
    <row r="162" customFormat="false" ht="17.15" hidden="false" customHeight="false" outlineLevel="0" collapsed="false">
      <c r="A162" s="0" t="s">
        <v>711</v>
      </c>
      <c r="B162" s="0" t="s">
        <v>86</v>
      </c>
      <c r="C162" s="38" t="n">
        <f aca="false">Sens!$C$143</f>
        <v>107.556</v>
      </c>
      <c r="D162" s="38" t="n">
        <f aca="false">Sens!$D$143</f>
        <v>128.725</v>
      </c>
      <c r="E162" s="38" t="n">
        <f aca="false">Sens!$E$143</f>
        <v>79.819</v>
      </c>
      <c r="F162" s="38" t="n">
        <f aca="false">Sens!$F$143</f>
        <v>86.7327334389669</v>
      </c>
      <c r="G162" s="38" t="n">
        <f aca="false">Sens!$G$143</f>
        <v>166.551733438967</v>
      </c>
      <c r="H162" s="38" t="n">
        <f aca="false">Sens!$H$143</f>
        <v>221.182967828978</v>
      </c>
      <c r="I162" s="38" t="n">
        <f aca="false">Sens!$I$143</f>
        <v>280.27345865789</v>
      </c>
      <c r="J162" s="38" t="n">
        <f aca="false">Sens!$J$143</f>
        <v>338.800945197185</v>
      </c>
      <c r="K162" s="38" t="n">
        <f aca="false">Sens!$K$143</f>
        <v>389.88570147276</v>
      </c>
      <c r="L162" s="38" t="n">
        <f aca="false">Sens!$L$143</f>
        <v>430.080689379143</v>
      </c>
      <c r="M162" s="38" t="n">
        <f aca="false">Sens!$M$143</f>
        <v>459.456235951751</v>
      </c>
      <c r="N162" s="38" t="n">
        <f aca="false">Sens!$N$143</f>
        <v>60.14</v>
      </c>
      <c r="O162" s="38" t="n">
        <f aca="false">Sens!$O$143</f>
        <v>68.585</v>
      </c>
    </row>
    <row r="163" customFormat="false" ht="15" hidden="false" customHeight="false" outlineLevel="0" collapsed="false">
      <c r="A163" s="1" t="s">
        <v>509</v>
      </c>
      <c r="B163" s="8" t="s">
        <v>86</v>
      </c>
      <c r="C163" s="38" t="n">
        <f aca="false">Sens!$C$78</f>
        <v>387.497</v>
      </c>
      <c r="D163" s="38" t="n">
        <f aca="false">Sens!$D$78</f>
        <v>426.305</v>
      </c>
      <c r="E163" s="38" t="n">
        <f aca="false">Sens!$E$78</f>
        <v>220.32</v>
      </c>
      <c r="F163" s="38" t="n">
        <f aca="false">Sens!$F$78</f>
        <v>250.639773480586</v>
      </c>
      <c r="G163" s="38" t="n">
        <f aca="false">Sens!$G$78</f>
        <v>470.959773480586</v>
      </c>
      <c r="H163" s="38" t="n">
        <f aca="false">Sens!$H$78</f>
        <v>521.386990416437</v>
      </c>
      <c r="I163" s="38" t="n">
        <f aca="false">Sens!$I$78</f>
        <v>570.143862887555</v>
      </c>
      <c r="J163" s="38" t="n">
        <f aca="false">Sens!$J$78</f>
        <v>615.391435791933</v>
      </c>
      <c r="K163" s="38" t="n">
        <f aca="false">Sens!$K$78</f>
        <v>655.208227561543</v>
      </c>
      <c r="L163" s="38" t="n">
        <f aca="false">Sens!$L$78</f>
        <v>697.807739249767</v>
      </c>
      <c r="M163" s="38" t="n">
        <f aca="false">Sens!$M$78</f>
        <v>743.399328463592</v>
      </c>
      <c r="N163" s="38" t="n">
        <f aca="false">Sens!$N$78</f>
        <v>192.955</v>
      </c>
      <c r="O163" s="38" t="n">
        <f aca="false">Sens!$O$78</f>
        <v>233.35</v>
      </c>
    </row>
    <row r="164" customFormat="false" ht="15" hidden="false" customHeight="false" outlineLevel="0" collapsed="false">
      <c r="A164" s="1" t="s">
        <v>512</v>
      </c>
      <c r="B164" s="8" t="s">
        <v>86</v>
      </c>
      <c r="C164" s="38" t="n">
        <f aca="false">Sens!$C$79</f>
        <v>142.906</v>
      </c>
      <c r="D164" s="38" t="n">
        <f aca="false">Sens!$D$79</f>
        <v>161.894</v>
      </c>
      <c r="E164" s="38" t="n">
        <f aca="false">Sens!$E$79</f>
        <v>81.986</v>
      </c>
      <c r="F164" s="38" t="n">
        <f aca="false">Sens!$F$79</f>
        <v>98.408468164951</v>
      </c>
      <c r="G164" s="38" t="n">
        <f aca="false">Sens!$G$79</f>
        <v>180.394468164951</v>
      </c>
      <c r="H164" s="38" t="n">
        <f aca="false">Sens!$H$79</f>
        <v>199.709899104949</v>
      </c>
      <c r="I164" s="38" t="n">
        <f aca="false">Sens!$I$79</f>
        <v>218.385528264976</v>
      </c>
      <c r="J164" s="38" t="n">
        <f aca="false">Sens!$J$79</f>
        <v>235.71696994951</v>
      </c>
      <c r="K164" s="38" t="n">
        <f aca="false">Sens!$K$79</f>
        <v>250.968227869545</v>
      </c>
      <c r="L164" s="38" t="n">
        <f aca="false">Sens!$L$79</f>
        <v>267.285367225822</v>
      </c>
      <c r="M164" s="38" t="n">
        <f aca="false">Sens!$M$79</f>
        <v>284.748579483295</v>
      </c>
      <c r="N164" s="38" t="n">
        <f aca="false">Sens!$N$79</f>
        <v>70.274</v>
      </c>
      <c r="O164" s="38" t="n">
        <f aca="false">Sens!$O$79</f>
        <v>91.62</v>
      </c>
    </row>
    <row r="165" customFormat="false" ht="15" hidden="false" customHeight="false" outlineLevel="0" collapsed="false">
      <c r="A165" s="1" t="s">
        <v>513</v>
      </c>
      <c r="B165" s="8" t="s">
        <v>86</v>
      </c>
      <c r="C165" s="38" t="n">
        <f aca="false">Sens!$C$143</f>
        <v>107.556</v>
      </c>
      <c r="D165" s="38" t="n">
        <f aca="false">Sens!$D$143</f>
        <v>128.725</v>
      </c>
      <c r="E165" s="38" t="n">
        <f aca="false">Sens!$E$143</f>
        <v>79.819</v>
      </c>
      <c r="F165" s="38" t="n">
        <f aca="false">Sens!$F$143</f>
        <v>86.7327334389669</v>
      </c>
      <c r="G165" s="38" t="n">
        <f aca="false">Sens!$G$143</f>
        <v>166.551733438967</v>
      </c>
      <c r="H165" s="38" t="n">
        <f aca="false">Sens!$H$143</f>
        <v>221.182967828978</v>
      </c>
      <c r="I165" s="38" t="n">
        <f aca="false">Sens!$I$143</f>
        <v>280.27345865789</v>
      </c>
      <c r="J165" s="38" t="n">
        <f aca="false">Sens!$J$143</f>
        <v>338.800945197185</v>
      </c>
      <c r="K165" s="38" t="n">
        <f aca="false">Sens!$K$143</f>
        <v>389.88570147276</v>
      </c>
      <c r="L165" s="38" t="n">
        <f aca="false">Sens!$L$143</f>
        <v>430.080689379143</v>
      </c>
      <c r="M165" s="38" t="n">
        <f aca="false">Sens!$M$143</f>
        <v>459.456235951751</v>
      </c>
      <c r="N165" s="38" t="n">
        <f aca="false">Sens!$N$143</f>
        <v>60.14</v>
      </c>
      <c r="O165" s="38" t="n">
        <f aca="false">Sens!$O$143</f>
        <v>68.585</v>
      </c>
    </row>
    <row r="166" customFormat="false" ht="17.15" hidden="false" customHeight="false" outlineLevel="0" collapsed="false">
      <c r="A166" s="0" t="s">
        <v>685</v>
      </c>
      <c r="B166" s="0" t="s">
        <v>86</v>
      </c>
      <c r="C166" s="38" t="n">
        <f aca="false">Sens!$C$141</f>
        <v>2.32100535697364</v>
      </c>
      <c r="D166" s="38" t="n">
        <f aca="false">Sens!$D$141</f>
        <v>8.70377008865116</v>
      </c>
      <c r="E166" s="38" t="n">
        <f aca="false">Sens!$E$141</f>
        <v>8.51035297557002</v>
      </c>
      <c r="F166" s="38" t="n">
        <f aca="false">Sens!$F$141</f>
        <v>14.9634336447205</v>
      </c>
      <c r="G166" s="38" t="n">
        <f aca="false">Sens!$G$141</f>
        <v>23.4737866202905</v>
      </c>
      <c r="H166" s="38" t="n">
        <f aca="false">Sens!$H$141</f>
        <v>60.1658907497746</v>
      </c>
      <c r="I166" s="38" t="n">
        <f aca="false">Sens!$I$141</f>
        <v>101.503699136432</v>
      </c>
      <c r="J166" s="38" t="n">
        <f aca="false">Sens!$J$141</f>
        <v>143.025407151278</v>
      </c>
      <c r="K166" s="38" t="n">
        <f aca="false">Sens!$K$141</f>
        <v>178.44812038318</v>
      </c>
      <c r="L166" s="38" t="n">
        <f aca="false">Sens!$L$141</f>
        <v>201.728101802396</v>
      </c>
      <c r="M166" s="38" t="n">
        <f aca="false">Sens!$M$141</f>
        <v>212.835441368865</v>
      </c>
      <c r="N166" s="38" t="n">
        <f aca="false">Sens!$N$141</f>
        <v>3.04631953102791</v>
      </c>
      <c r="O166" s="38" t="n">
        <f aca="false">Sens!$O$141</f>
        <v>5.65745055762326</v>
      </c>
    </row>
    <row r="167" customFormat="false" ht="17.15" hidden="false" customHeight="false" outlineLevel="0" collapsed="false">
      <c r="A167" s="0" t="s">
        <v>687</v>
      </c>
      <c r="B167" s="0" t="s">
        <v>86</v>
      </c>
      <c r="C167" s="38" t="n">
        <f aca="false">Sens!$C$142</f>
        <v>105.234994643026</v>
      </c>
      <c r="D167" s="38" t="n">
        <f aca="false">Sens!$D$142</f>
        <v>120.021229911349</v>
      </c>
      <c r="E167" s="38" t="n">
        <f aca="false">Sens!$E$142</f>
        <v>71.30864702443</v>
      </c>
      <c r="F167" s="38" t="n">
        <f aca="false">Sens!$F$142</f>
        <v>71.7692997942464</v>
      </c>
      <c r="G167" s="38" t="n">
        <f aca="false">Sens!$G$142</f>
        <v>143.077946818676</v>
      </c>
      <c r="H167" s="38" t="n">
        <f aca="false">Sens!$H$142</f>
        <v>161.017077079203</v>
      </c>
      <c r="I167" s="38" t="n">
        <f aca="false">Sens!$I$142</f>
        <v>178.769759521457</v>
      </c>
      <c r="J167" s="38" t="n">
        <f aca="false">Sens!$J$142</f>
        <v>195.775538045907</v>
      </c>
      <c r="K167" s="38" t="n">
        <f aca="false">Sens!$K$142</f>
        <v>211.43758108958</v>
      </c>
      <c r="L167" s="38" t="n">
        <f aca="false">Sens!$L$142</f>
        <v>228.352587576746</v>
      </c>
      <c r="M167" s="38" t="n">
        <f aca="false">Sens!$M$142</f>
        <v>246.620794582886</v>
      </c>
      <c r="N167" s="38" t="n">
        <f aca="false">Sens!$N$142</f>
        <v>57.0936804689721</v>
      </c>
      <c r="O167" s="38" t="n">
        <f aca="false">Sens!$O$142</f>
        <v>62.9275494423768</v>
      </c>
    </row>
    <row r="168" customFormat="false" ht="15" hidden="false" customHeight="false" outlineLevel="0" collapsed="false">
      <c r="A168" s="3" t="s">
        <v>514</v>
      </c>
      <c r="B168" s="8" t="s">
        <v>86</v>
      </c>
      <c r="C168" s="38" t="n">
        <f aca="false">Sens!$C$144</f>
        <v>637.959</v>
      </c>
      <c r="D168" s="38" t="n">
        <f aca="false">Sens!$D$144</f>
        <v>716.924</v>
      </c>
      <c r="E168" s="38" t="n">
        <f aca="false">Sens!$E$144</f>
        <v>382.125</v>
      </c>
      <c r="F168" s="38" t="n">
        <f aca="false">Sens!$F$144</f>
        <v>435.780975084504</v>
      </c>
      <c r="G168" s="38" t="n">
        <f aca="false">Sens!$G$144</f>
        <v>817.905975084504</v>
      </c>
      <c r="H168" s="38" t="n">
        <f aca="false">Sens!$H$144</f>
        <v>942.279857350364</v>
      </c>
      <c r="I168" s="38" t="n">
        <f aca="false">Sens!$I$144</f>
        <v>1068.80284981042</v>
      </c>
      <c r="J168" s="38" t="n">
        <f aca="false">Sens!$J$144</f>
        <v>1189.90935093863</v>
      </c>
      <c r="K168" s="38" t="n">
        <f aca="false">Sens!$K$144</f>
        <v>1296.06215690385</v>
      </c>
      <c r="L168" s="38" t="n">
        <f aca="false">Sens!$L$144</f>
        <v>1395.17379585473</v>
      </c>
      <c r="M168" s="38" t="n">
        <f aca="false">Sens!$M$144</f>
        <v>1487.60414389864</v>
      </c>
      <c r="N168" s="38" t="n">
        <f aca="false">Sens!$N$144</f>
        <v>323.369</v>
      </c>
      <c r="O168" s="38" t="n">
        <f aca="false">Sens!$O$144</f>
        <v>393.555</v>
      </c>
    </row>
    <row r="169" customFormat="false" ht="17.15" hidden="false" customHeight="false" outlineLevel="0" collapsed="false">
      <c r="A169" s="24" t="s">
        <v>697</v>
      </c>
      <c r="B169" s="25" t="s">
        <v>86</v>
      </c>
      <c r="C169" s="41" t="n">
        <f aca="false">Sens!$C$156+Sens!$C$157+Sens!$C$158+Sens!$C$159+Sens!$C$160+Sens!$C$161-(Sens!$C$163+Sens!$C$164)</f>
        <v>0</v>
      </c>
      <c r="D169" s="41" t="n">
        <f aca="false">Sens!$D$156+Sens!$D$157+Sens!$D$158+Sens!$D$159+Sens!$D$160+Sens!$D$161-(Sens!$D$163+Sens!$D$164)</f>
        <v>0</v>
      </c>
      <c r="E169" s="41" t="n">
        <f aca="false">Sens!$E$156+Sens!$E$157+Sens!$E$158+Sens!$E$159+Sens!$E$160+Sens!$E$161-(Sens!$E$163+Sens!$E$164)</f>
        <v>0</v>
      </c>
      <c r="F169" s="41" t="n">
        <f aca="false">Sens!$F$156+Sens!$F$157+Sens!$F$158+Sens!$F$159+Sens!$F$160+Sens!$F$161-(Sens!$F$163+Sens!$F$164)</f>
        <v>0</v>
      </c>
      <c r="G169" s="41" t="n">
        <f aca="false">Sens!$G$156+Sens!$G$157+Sens!$G$158+Sens!$G$159+Sens!$G$160+Sens!$G$161-(Sens!$G$163+Sens!$G$164)</f>
        <v>0</v>
      </c>
      <c r="H169" s="41" t="n">
        <f aca="false">Sens!$H$156+Sens!$H$157+Sens!$H$158+Sens!$H$159+Sens!$H$160+Sens!$H$161-(Sens!$H$163+Sens!$H$164)</f>
        <v>0</v>
      </c>
      <c r="I169" s="41" t="n">
        <f aca="false">Sens!$I$156+Sens!$I$157+Sens!$I$158+Sens!$I$159+Sens!$I$160+Sens!$I$161-(Sens!$I$163+Sens!$I$164)</f>
        <v>0</v>
      </c>
      <c r="J169" s="41" t="n">
        <f aca="false">Sens!$J$156+Sens!$J$157+Sens!$J$158+Sens!$J$159+Sens!$J$160+Sens!$J$161-(Sens!$J$163+Sens!$J$164)</f>
        <v>0</v>
      </c>
      <c r="K169" s="41" t="n">
        <f aca="false">Sens!$K$156+Sens!$K$157+Sens!$K$158+Sens!$K$159+Sens!$K$160+Sens!$K$161-(Sens!$K$163+Sens!$K$164)</f>
        <v>0</v>
      </c>
      <c r="L169" s="41" t="n">
        <f aca="false">Sens!$L$156+Sens!$L$157+Sens!$L$158+Sens!$L$159+Sens!$L$160+Sens!$L$161-(Sens!$L$163+Sens!$L$164)</f>
        <v>0</v>
      </c>
      <c r="M169" s="41" t="n">
        <f aca="false">Sens!$M$156+Sens!$M$157+Sens!$M$158+Sens!$M$159+Sens!$M$160+Sens!$M$161-(Sens!$M$163+Sens!$M$164)</f>
        <v>0</v>
      </c>
      <c r="N169" s="41" t="n">
        <f aca="false">Sens!$N$156+Sens!$N$157+Sens!$N$158+Sens!$N$159+Sens!$N$160+Sens!$N$161-(Sens!$N$163+Sens!$N$164)</f>
        <v>0</v>
      </c>
      <c r="O169" s="41" t="n">
        <f aca="false">Sens!$O$156+Sens!$O$157+Sens!$O$158+Sens!$O$159+Sens!$O$160+Sens!$O$161-(Sens!$O$163+Sens!$O$164)</f>
        <v>0</v>
      </c>
    </row>
    <row r="170" customFormat="false" ht="17.15" hidden="false" customHeight="false" outlineLevel="0" collapsed="false">
      <c r="A170" s="24" t="s">
        <v>698</v>
      </c>
      <c r="B170" s="25" t="s">
        <v>86</v>
      </c>
      <c r="C170" s="41" t="n">
        <f aca="false">Sens!$C$166+Sens!$C$167-Sens!$C$165</f>
        <v>0</v>
      </c>
      <c r="D170" s="41" t="n">
        <f aca="false">Sens!$D$166+Sens!$D$167-Sens!$D$165</f>
        <v>0</v>
      </c>
      <c r="E170" s="41" t="n">
        <f aca="false">Sens!$E$166+Sens!$E$167-Sens!$E$165</f>
        <v>0</v>
      </c>
      <c r="F170" s="41" t="n">
        <f aca="false">Sens!$F$166+Sens!$F$167-Sens!$F$165</f>
        <v>0</v>
      </c>
      <c r="G170" s="41" t="n">
        <f aca="false">Sens!$G$166+Sens!$G$167-Sens!$G$165</f>
        <v>0</v>
      </c>
      <c r="H170" s="41" t="n">
        <f aca="false">Sens!$H$166+Sens!$H$167-Sens!$H$165</f>
        <v>0</v>
      </c>
      <c r="I170" s="41" t="n">
        <f aca="false">Sens!$I$166+Sens!$I$167-Sens!$I$165</f>
        <v>0</v>
      </c>
      <c r="J170" s="41" t="n">
        <f aca="false">Sens!$J$166+Sens!$J$167-Sens!$J$165</f>
        <v>0</v>
      </c>
      <c r="K170" s="41" t="n">
        <f aca="false">Sens!$K$166+Sens!$K$167-Sens!$K$165</f>
        <v>0</v>
      </c>
      <c r="L170" s="41" t="n">
        <f aca="false">Sens!$L$166+Sens!$L$167-Sens!$L$165</f>
        <v>0</v>
      </c>
      <c r="M170" s="41" t="n">
        <f aca="false">Sens!$M$166+Sens!$M$167-Sens!$M$165</f>
        <v>0</v>
      </c>
      <c r="N170" s="41" t="n">
        <f aca="false">Sens!$N$166+Sens!$N$167-Sens!$N$165</f>
        <v>0</v>
      </c>
      <c r="O170" s="41" t="n">
        <f aca="false">Sens!$O$166+Sens!$O$167-Sens!$O$165</f>
        <v>0</v>
      </c>
    </row>
    <row r="171" customFormat="false" ht="17.15" hidden="false" customHeight="false" outlineLevel="0" collapsed="false">
      <c r="A171" s="24" t="s">
        <v>757</v>
      </c>
      <c r="B171" s="25" t="s">
        <v>86</v>
      </c>
      <c r="C171" s="41" t="n">
        <f aca="false">Sens!$C$156+Sens!$C$157+Sens!$C$158+Sens!$C$159+Sens!$C$160+Sens!$C$161+Sens!$C$162-Sens!$C$168</f>
        <v>0</v>
      </c>
      <c r="D171" s="41" t="n">
        <f aca="false">Sens!$D$156+Sens!$D$157+Sens!$D$158+Sens!$D$159+Sens!$D$160+Sens!$D$161+Sens!$D$162-Sens!$D$168</f>
        <v>0</v>
      </c>
      <c r="E171" s="41" t="n">
        <f aca="false">Sens!$E$156+Sens!$E$157+Sens!$E$158+Sens!$E$159+Sens!$E$160+Sens!$E$161+Sens!$E$162-Sens!$E$168</f>
        <v>0</v>
      </c>
      <c r="F171" s="41" t="n">
        <f aca="false">Sens!$F$156+Sens!$F$157+Sens!$F$158+Sens!$F$159+Sens!$F$160+Sens!$F$161+Sens!$F$162-Sens!$F$168</f>
        <v>0</v>
      </c>
      <c r="G171" s="41" t="n">
        <f aca="false">Sens!$G$156+Sens!$G$157+Sens!$G$158+Sens!$G$159+Sens!$G$160+Sens!$G$161+Sens!$G$162-Sens!$G$168</f>
        <v>0</v>
      </c>
      <c r="H171" s="41" t="n">
        <f aca="false">Sens!$H$156+Sens!$H$157+Sens!$H$158+Sens!$H$159+Sens!$H$160+Sens!$H$161+Sens!$H$162-Sens!$H$168</f>
        <v>0</v>
      </c>
      <c r="I171" s="41" t="n">
        <f aca="false">Sens!$I$156+Sens!$I$157+Sens!$I$158+Sens!$I$159+Sens!$I$160+Sens!$I$161+Sens!$I$162-Sens!$I$168</f>
        <v>0</v>
      </c>
      <c r="J171" s="41" t="n">
        <f aca="false">Sens!$J$156+Sens!$J$157+Sens!$J$158+Sens!$J$159+Sens!$J$160+Sens!$J$161+Sens!$J$162-Sens!$J$168</f>
        <v>0</v>
      </c>
      <c r="K171" s="41" t="n">
        <f aca="false">Sens!$K$156+Sens!$K$157+Sens!$K$158+Sens!$K$159+Sens!$K$160+Sens!$K$161+Sens!$K$162-Sens!$K$168</f>
        <v>0</v>
      </c>
      <c r="L171" s="41" t="n">
        <f aca="false">Sens!$L$156+Sens!$L$157+Sens!$L$158+Sens!$L$159+Sens!$L$160+Sens!$L$161+Sens!$L$162-Sens!$L$168</f>
        <v>0</v>
      </c>
      <c r="M171" s="41" t="n">
        <f aca="false">Sens!$M$156+Sens!$M$157+Sens!$M$158+Sens!$M$159+Sens!$M$160+Sens!$M$161+Sens!$M$162-Sens!$M$168</f>
        <v>0</v>
      </c>
      <c r="N171" s="41" t="n">
        <f aca="false">Sens!$N$156+Sens!$N$157+Sens!$N$158+Sens!$N$159+Sens!$N$160+Sens!$N$161+Sens!$N$162-Sens!$N$168</f>
        <v>0</v>
      </c>
      <c r="O171" s="41" t="n">
        <f aca="false">Sens!$O$156+Sens!$O$157+Sens!$O$158+Sens!$O$159+Sens!$O$160+Sens!$O$161+Sens!$O$162-Sens!$O$168</f>
        <v>0</v>
      </c>
    </row>
    <row r="172" customFormat="false" ht="17.15" hidden="false" customHeight="false" outlineLevel="0" collapsed="false">
      <c r="A172" s="24" t="s">
        <v>699</v>
      </c>
      <c r="B172" s="25" t="s">
        <v>86</v>
      </c>
      <c r="C172" s="41" t="n">
        <f aca="false">Sens!$C$163+Sens!$C$164+Sens!$C$165-Sens!$C$168</f>
        <v>0</v>
      </c>
      <c r="D172" s="41" t="n">
        <f aca="false">Sens!$D$163+Sens!$D$164+Sens!$D$165-Sens!$D$168</f>
        <v>0</v>
      </c>
      <c r="E172" s="41" t="n">
        <f aca="false">Sens!$E$163+Sens!$E$164+Sens!$E$165-Sens!$E$168</f>
        <v>0</v>
      </c>
      <c r="F172" s="41" t="n">
        <f aca="false">Sens!$F$163+Sens!$F$164+Sens!$F$165-Sens!$F$168</f>
        <v>0</v>
      </c>
      <c r="G172" s="41" t="n">
        <f aca="false">Sens!$G$163+Sens!$G$164+Sens!$G$165-Sens!$G$168</f>
        <v>0</v>
      </c>
      <c r="H172" s="41" t="n">
        <f aca="false">Sens!$H$163+Sens!$H$164+Sens!$H$165-Sens!$H$168</f>
        <v>0</v>
      </c>
      <c r="I172" s="41" t="n">
        <f aca="false">Sens!$I$163+Sens!$I$164+Sens!$I$165-Sens!$I$168</f>
        <v>0</v>
      </c>
      <c r="J172" s="41" t="n">
        <f aca="false">Sens!$J$163+Sens!$J$164+Sens!$J$165-Sens!$J$168</f>
        <v>0</v>
      </c>
      <c r="K172" s="41" t="n">
        <f aca="false">Sens!$K$163+Sens!$K$164+Sens!$K$165-Sens!$K$168</f>
        <v>0</v>
      </c>
      <c r="L172" s="41" t="n">
        <f aca="false">Sens!$L$163+Sens!$L$164+Sens!$L$165-Sens!$L$168</f>
        <v>0</v>
      </c>
      <c r="M172" s="41" t="n">
        <f aca="false">Sens!$M$163+Sens!$M$164+Sens!$M$165-Sens!$M$168</f>
        <v>0</v>
      </c>
      <c r="N172" s="41" t="n">
        <f aca="false">Sens!$N$163+Sens!$N$164+Sens!$N$165-Sens!$N$168</f>
        <v>0</v>
      </c>
      <c r="O172" s="41" t="n">
        <f aca="false">Sens!$O$163+Sens!$O$164+Sens!$O$165-Sens!$O$168</f>
        <v>0</v>
      </c>
    </row>
    <row r="173" customFormat="false" ht="17.15" hidden="false" customHeight="false" outlineLevel="0" collapsed="false">
      <c r="A173" s="1" t="s">
        <v>713</v>
      </c>
    </row>
    <row r="174" customFormat="false" ht="17.15" hidden="false" customHeight="false" outlineLevel="0" collapsed="false">
      <c r="A174" s="0" t="s">
        <v>714</v>
      </c>
      <c r="B174" s="0" t="s">
        <v>86</v>
      </c>
      <c r="C174" s="38" t="n">
        <f aca="false">Sens!$C$80*m_ad</f>
        <v>20.5341564414228</v>
      </c>
      <c r="D174" s="38" t="n">
        <f aca="false">Sens!$D$80*m_ad</f>
        <v>24.8720617299587</v>
      </c>
      <c r="E174" s="38" t="n">
        <f aca="false">Sens!$E$80*m_ad</f>
        <v>13.5017112462207</v>
      </c>
      <c r="F174" s="38" t="n">
        <f aca="false">Sens!$F$80*m_ad</f>
        <v>16.5719724165257</v>
      </c>
      <c r="G174" s="38" t="n">
        <f aca="false">Sens!$G$80*m_ad</f>
        <v>30.0820919220415</v>
      </c>
      <c r="H174" s="38" t="n">
        <f aca="false">Sens!$H$80*m_ad</f>
        <v>36.1150883276314</v>
      </c>
      <c r="I174" s="38" t="n">
        <f aca="false">Sens!$I$80*m_ad</f>
        <v>42.1475382231996</v>
      </c>
      <c r="J174" s="38" t="n">
        <f aca="false">Sens!$J$80*m_ad</f>
        <v>47.7749523864693</v>
      </c>
      <c r="K174" s="38" t="n">
        <f aca="false">Sens!$K$80*m_ad</f>
        <v>52.5524476251162</v>
      </c>
      <c r="L174" s="38" t="n">
        <f aca="false">Sens!$L$80*m_ad</f>
        <v>57.8076923876279</v>
      </c>
      <c r="M174" s="38" t="n">
        <f aca="false">Sens!$M$80*m_ad</f>
        <v>63.5884616263907</v>
      </c>
      <c r="N174" s="38" t="n">
        <f aca="false">Sens!$N$80*m_ad</f>
        <v>10.8543555706248</v>
      </c>
      <c r="O174" s="38" t="n">
        <f aca="false">Sens!$O$80*m_ad</f>
        <v>14.0094731821399</v>
      </c>
    </row>
    <row r="175" customFormat="false" ht="17.15" hidden="false" customHeight="false" outlineLevel="0" collapsed="false">
      <c r="A175" s="0" t="s">
        <v>715</v>
      </c>
      <c r="B175" s="0" t="s">
        <v>86</v>
      </c>
      <c r="C175" s="38" t="n">
        <f aca="false">Sens!$C$78-Sens!$C$80</f>
        <v>346.428687117154</v>
      </c>
      <c r="D175" s="38" t="n">
        <f aca="false">Sens!$D$78-Sens!$D$80</f>
        <v>376.560876540083</v>
      </c>
      <c r="E175" s="38" t="n">
        <f aca="false">Sens!$E$78-Sens!$E$80</f>
        <v>193.316577507559</v>
      </c>
      <c r="F175" s="38" t="n">
        <f aca="false">Sens!$F$78-Sens!$F$80</f>
        <v>217.495828647535</v>
      </c>
      <c r="G175" s="38" t="n">
        <f aca="false">Sens!$G$78-Sens!$G$80</f>
        <v>410.795589636503</v>
      </c>
      <c r="H175" s="38" t="n">
        <f aca="false">Sens!$H$78-Sens!$H$80</f>
        <v>449.156813761174</v>
      </c>
      <c r="I175" s="38" t="n">
        <f aca="false">Sens!$I$78-Sens!$I$80</f>
        <v>485.848786441156</v>
      </c>
      <c r="J175" s="38" t="n">
        <f aca="false">Sens!$J$78-Sens!$J$80</f>
        <v>519.841531018994</v>
      </c>
      <c r="K175" s="38" t="n">
        <f aca="false">Sens!$K$78-Sens!$K$80</f>
        <v>550.103332311311</v>
      </c>
      <c r="L175" s="38" t="n">
        <f aca="false">Sens!$L$78-Sens!$L$80</f>
        <v>582.192354474511</v>
      </c>
      <c r="M175" s="38" t="n">
        <f aca="false">Sens!$M$78-Sens!$M$80</f>
        <v>616.22240521081</v>
      </c>
      <c r="N175" s="38" t="n">
        <f aca="false">Sens!$N$78-Sens!$N$80</f>
        <v>171.24628885875</v>
      </c>
      <c r="O175" s="38" t="n">
        <f aca="false">Sens!$O$78-Sens!$O$80</f>
        <v>205.33105363572</v>
      </c>
    </row>
    <row r="176" customFormat="false" ht="17.15" hidden="false" customHeight="false" outlineLevel="0" collapsed="false">
      <c r="A176" s="0" t="s">
        <v>716</v>
      </c>
      <c r="B176" s="0" t="s">
        <v>86</v>
      </c>
      <c r="C176" s="38" t="n">
        <f aca="false">Sens!$C$127*Sens!$C$77</f>
        <v>0.123617442257179</v>
      </c>
      <c r="D176" s="38" t="n">
        <f aca="false">Sens!$D$127*Sens!$D$77</f>
        <v>0.874366899302609</v>
      </c>
      <c r="E176" s="38" t="n">
        <f aca="false">Sens!$E$127*Sens!$E$77</f>
        <v>1.29318830502574</v>
      </c>
      <c r="F176" s="38" t="n">
        <f aca="false">Sens!$F$127*Sens!$F$77</f>
        <v>1.51802024162534</v>
      </c>
      <c r="G176" s="38" t="n">
        <f aca="false">Sens!$G$127*Sens!$G$77</f>
        <v>2.81153363597665</v>
      </c>
      <c r="H176" s="38" t="n">
        <f aca="false">Sens!$H$127*Sens!$H$77</f>
        <v>7.39027704264226</v>
      </c>
      <c r="I176" s="38" t="n">
        <f aca="false">Sens!$I$127*Sens!$I$77</f>
        <v>12.899807643047</v>
      </c>
      <c r="J176" s="38" t="n">
        <f aca="false">Sens!$J$127*Sens!$J$77</f>
        <v>18.5585322471382</v>
      </c>
      <c r="K176" s="38" t="n">
        <f aca="false">Sens!$K$127*Sens!$K$77</f>
        <v>24.0966749520672</v>
      </c>
      <c r="L176" s="38" t="n">
        <f aca="false">Sens!$L$127*Sens!$L$77</f>
        <v>27.686623551477</v>
      </c>
      <c r="M176" s="38" t="n">
        <f aca="false">Sens!$M$127*Sens!$M$77</f>
        <v>29.7238645537022</v>
      </c>
      <c r="N176" s="38" t="n">
        <f aca="false">Sens!$N$127*Sens!$N$77</f>
        <v>0.389180508437431</v>
      </c>
      <c r="O176" s="38" t="n">
        <f aca="false">Sens!$O$127*Sens!$O$77</f>
        <v>0.485052120082802</v>
      </c>
    </row>
    <row r="177" customFormat="false" ht="17.15" hidden="false" customHeight="false" outlineLevel="0" collapsed="false">
      <c r="A177" s="0" t="s">
        <v>717</v>
      </c>
      <c r="B177" s="0" t="s">
        <v>52</v>
      </c>
      <c r="C177" s="28" t="n">
        <f aca="false">(Sens!$C$178-Sens!$C$174+Sens!$C$176)/Sens!$C$175</f>
        <v>0.0131526665379575</v>
      </c>
      <c r="D177" s="28" t="n">
        <f aca="false">(Sens!$D$178-Sens!$D$174+Sens!$D$176)/Sens!$D$175</f>
        <v>0.0149280116962589</v>
      </c>
      <c r="E177" s="28" t="n">
        <f aca="false">(Sens!$E$178-Sens!$E$174+Sens!$E$176)/Sens!$E$175</f>
        <v>0.0268030663774938</v>
      </c>
      <c r="F177" s="28" t="n">
        <f aca="false">Sens!$O$177+(Sens!$E$177-Sens!$N$177)</f>
        <v>0.0232379346966962</v>
      </c>
      <c r="G177" s="28" t="n">
        <f aca="false">(Sens!$G$178-Sens!$G$174+Sens!$G$176)/Sens!$G$175</f>
        <v>0.0248969268652583</v>
      </c>
      <c r="H177" s="28" t="n">
        <f aca="false">Sens!$G$177+step_na</f>
        <v>0.0278969268652583</v>
      </c>
      <c r="I177" s="28" t="n">
        <f aca="false">Sens!$H$177+step_na</f>
        <v>0.0308969268652583</v>
      </c>
      <c r="J177" s="28" t="n">
        <f aca="false">Sens!$I$177+step_na</f>
        <v>0.0338969268652583</v>
      </c>
      <c r="K177" s="28" t="n">
        <f aca="false">Sens!$J$177+step_na</f>
        <v>0.0368969268652584</v>
      </c>
      <c r="L177" s="28" t="n">
        <f aca="false">Sens!$K$177</f>
        <v>0.0368969268652584</v>
      </c>
      <c r="M177" s="28" t="n">
        <f aca="false">Sens!$L$177</f>
        <v>0.0368969268652584</v>
      </c>
      <c r="N177" s="28" t="n">
        <f aca="false">(Sens!$N$178-Sens!$N$174+Sens!$N$176)/Sens!$N$175</f>
        <v>0.0168927744775755</v>
      </c>
      <c r="O177" s="28" t="n">
        <f aca="false">(Sens!$O$178-Sens!$O$174+Sens!$O$176)/Sens!$O$175</f>
        <v>0.0133276427967779</v>
      </c>
      <c r="P177" s="8" t="s">
        <v>718</v>
      </c>
    </row>
    <row r="178" customFormat="false" ht="17.15" hidden="false" customHeight="false" outlineLevel="0" collapsed="false">
      <c r="A178" s="1" t="s">
        <v>719</v>
      </c>
      <c r="B178" s="8" t="s">
        <v>86</v>
      </c>
      <c r="C178" s="38" t="n">
        <f aca="false">Q!$D$22</f>
        <v>24.967</v>
      </c>
      <c r="D178" s="38" t="n">
        <f aca="false">Q!$E$22</f>
        <v>29.619</v>
      </c>
      <c r="E178" s="38" t="n">
        <f aca="false">Q!$P$22</f>
        <v>17.39</v>
      </c>
      <c r="F178" s="38" t="n">
        <f aca="false">Sens!$F$174+Sens!$F$175*Sens!$F$177-Sens!$F$176</f>
        <v>20.1081060378156</v>
      </c>
      <c r="G178" s="38" t="n">
        <f aca="false">Sens!$E$178+Sens!$F$178</f>
        <v>37.4981060378156</v>
      </c>
      <c r="H178" s="38" t="n">
        <f aca="false">Sens!$H$174+Sens!$H$175*Sens!$H$177-Sens!$H$176</f>
        <v>41.2549060695171</v>
      </c>
      <c r="I178" s="38" t="n">
        <f aca="false">Sens!$I$174+Sens!$I$175*Sens!$I$177-Sens!$I$176</f>
        <v>44.2589650023995</v>
      </c>
      <c r="J178" s="38" t="n">
        <f aca="false">Sens!$J$174+Sens!$J$175*Sens!$J$177-Sens!$J$176</f>
        <v>46.8374504978059</v>
      </c>
      <c r="K178" s="38" t="n">
        <f aca="false">Sens!$K$174+Sens!$K$175*Sens!$K$177-Sens!$K$176</f>
        <v>48.7528950936744</v>
      </c>
      <c r="L178" s="38" t="n">
        <f aca="false">Sens!$L$174+Sens!$L$175*Sens!$L$177-Sens!$L$176</f>
        <v>51.6021775607095</v>
      </c>
      <c r="M178" s="38" t="n">
        <f aca="false">Sens!$M$174+Sens!$M$175*Sens!$M$177-Sens!$M$176</f>
        <v>56.6013100904853</v>
      </c>
      <c r="N178" s="38" t="n">
        <f aca="false">Q!$N$22</f>
        <v>13.358</v>
      </c>
      <c r="O178" s="38" t="n">
        <f aca="false">Q!$O$22</f>
        <v>16.261</v>
      </c>
    </row>
    <row r="179" customFormat="false" ht="17.15" hidden="false" customHeight="false" outlineLevel="0" collapsed="false">
      <c r="A179" s="0" t="s">
        <v>720</v>
      </c>
      <c r="B179" s="0" t="s">
        <v>86</v>
      </c>
      <c r="C179" s="38" t="n">
        <f aca="false">Sens!$C$81*m_ad</f>
        <v>7.57284355857716</v>
      </c>
      <c r="D179" s="38" t="n">
        <f aca="false">Sens!$D$81*m_ad</f>
        <v>9.44543827004127</v>
      </c>
      <c r="E179" s="38" t="n">
        <f aca="false">Sens!$E$81*m_ad</f>
        <v>5.02428875377928</v>
      </c>
      <c r="F179" s="38" t="n">
        <f aca="false">Sens!$F$81*m_ad</f>
        <v>6.50663858068173</v>
      </c>
      <c r="G179" s="38" t="n">
        <f aca="false">Sens!$G$81*m_ad</f>
        <v>11.5225190751659</v>
      </c>
      <c r="H179" s="38" t="n">
        <f aca="false">Sens!$H$81*m_ad</f>
        <v>13.8333728663174</v>
      </c>
      <c r="I179" s="38" t="n">
        <f aca="false">Sens!$I$81*m_ad</f>
        <v>16.1440173245485</v>
      </c>
      <c r="J179" s="38" t="n">
        <f aca="false">Sens!$J$81*m_ad</f>
        <v>18.2995185845066</v>
      </c>
      <c r="K179" s="38" t="n">
        <f aca="false">Sens!$K$81*m_ad</f>
        <v>20.1294704429572</v>
      </c>
      <c r="L179" s="38" t="n">
        <f aca="false">Sens!$L$81*m_ad</f>
        <v>22.142417487253</v>
      </c>
      <c r="M179" s="38" t="n">
        <f aca="false">Sens!$M$81*m_ad</f>
        <v>24.3566592359783</v>
      </c>
      <c r="N179" s="38" t="n">
        <f aca="false">Sens!$N$81*m_ad</f>
        <v>3.95314442937518</v>
      </c>
      <c r="O179" s="38" t="n">
        <f aca="false">Sens!$O$81*m_ad</f>
        <v>5.50052681786011</v>
      </c>
    </row>
    <row r="180" customFormat="false" ht="17.15" hidden="false" customHeight="false" outlineLevel="0" collapsed="false">
      <c r="A180" s="0" t="s">
        <v>721</v>
      </c>
      <c r="B180" s="0" t="s">
        <v>86</v>
      </c>
      <c r="C180" s="38" t="n">
        <f aca="false">Sens!$C$79-Sens!$C$81</f>
        <v>127.760312882846</v>
      </c>
      <c r="D180" s="38" t="n">
        <f aca="false">Sens!$D$79-Sens!$D$81</f>
        <v>143.003123459917</v>
      </c>
      <c r="E180" s="38" t="n">
        <f aca="false">Sens!$E$79-Sens!$E$81</f>
        <v>71.9374224924414</v>
      </c>
      <c r="F180" s="38" t="n">
        <f aca="false">Sens!$F$79-Sens!$F$81</f>
        <v>85.3951910035875</v>
      </c>
      <c r="G180" s="38" t="n">
        <f aca="false">Sens!$G$79-Sens!$G$81</f>
        <v>157.349430014619</v>
      </c>
      <c r="H180" s="38" t="n">
        <f aca="false">Sens!$H$79-Sens!$H$81</f>
        <v>172.043153372315</v>
      </c>
      <c r="I180" s="38" t="n">
        <f aca="false">Sens!$I$79-Sens!$I$81</f>
        <v>186.097493615879</v>
      </c>
      <c r="J180" s="38" t="n">
        <f aca="false">Sens!$J$79-Sens!$J$81</f>
        <v>199.117932780497</v>
      </c>
      <c r="K180" s="38" t="n">
        <f aca="false">Sens!$K$79-Sens!$K$81</f>
        <v>210.70928698363</v>
      </c>
      <c r="L180" s="38" t="n">
        <f aca="false">Sens!$L$79-Sens!$L$81</f>
        <v>223.000532251316</v>
      </c>
      <c r="M180" s="38" t="n">
        <f aca="false">Sens!$M$79-Sens!$M$81</f>
        <v>236.035261011339</v>
      </c>
      <c r="N180" s="38" t="n">
        <f aca="false">Sens!$N$79-Sens!$N$81</f>
        <v>62.3677111412496</v>
      </c>
      <c r="O180" s="38" t="n">
        <f aca="false">Sens!$O$79-Sens!$O$81</f>
        <v>80.6189463642798</v>
      </c>
    </row>
    <row r="181" customFormat="false" ht="17.15" hidden="false" customHeight="false" outlineLevel="0" collapsed="false">
      <c r="A181" s="0" t="s">
        <v>722</v>
      </c>
      <c r="B181" s="0" t="s">
        <v>86</v>
      </c>
      <c r="C181" s="38" t="n">
        <f aca="false">Sens!$C$127*(1-Sens!$C$77)</f>
        <v>0.0455891896019953</v>
      </c>
      <c r="D181" s="38" t="n">
        <f aca="false">Sens!$D$127*(1-Sens!$D$77)</f>
        <v>0.332050421167231</v>
      </c>
      <c r="E181" s="38" t="n">
        <f aca="false">Sens!$E$127*(1-Sens!$E$77)</f>
        <v>0.481224293644882</v>
      </c>
      <c r="F181" s="38" t="n">
        <f aca="false">Sens!$F$127*(1-Sens!$F$77)</f>
        <v>0.596018918096053</v>
      </c>
      <c r="G181" s="38" t="n">
        <f aca="false">Sens!$G$127*(1-Sens!$G$77)</f>
        <v>1.07691812241537</v>
      </c>
      <c r="H181" s="38" t="n">
        <f aca="false">Sens!$H$127*(1-Sens!$H$77)</f>
        <v>2.83074090775622</v>
      </c>
      <c r="I181" s="38" t="n">
        <f aca="false">Sens!$I$127*(1-Sens!$I$77)</f>
        <v>4.94108853926048</v>
      </c>
      <c r="J181" s="38" t="n">
        <f aca="false">Sens!$J$127*(1-Sens!$J$77)</f>
        <v>7.10858281993502</v>
      </c>
      <c r="K181" s="38" t="n">
        <f aca="false">Sens!$K$127*(1-Sens!$K$77)</f>
        <v>9.2298899126701</v>
      </c>
      <c r="L181" s="38" t="n">
        <f aca="false">Sens!$L$127*(1-Sens!$L$77)</f>
        <v>10.6049688574045</v>
      </c>
      <c r="M181" s="38" t="n">
        <f aca="false">Sens!$M$127*(1-Sens!$M$77)</f>
        <v>11.3853051574758</v>
      </c>
      <c r="N181" s="38" t="n">
        <f aca="false">Sens!$N$127*(1-Sens!$N$77)</f>
        <v>0.141739115596548</v>
      </c>
      <c r="O181" s="38" t="n">
        <f aca="false">Sens!$O$127*(1-Sens!$O$77)</f>
        <v>0.190445576353059</v>
      </c>
    </row>
    <row r="182" customFormat="false" ht="17.15" hidden="false" customHeight="false" outlineLevel="0" collapsed="false">
      <c r="A182" s="0" t="s">
        <v>723</v>
      </c>
      <c r="B182" s="0" t="s">
        <v>52</v>
      </c>
      <c r="C182" s="28" t="n">
        <f aca="false">(Sens!$C$183-Sens!$C$179+Sens!$C$181)/Sens!$C$180</f>
        <v>-0.0292364215826579</v>
      </c>
      <c r="D182" s="28" t="n">
        <f aca="false">(Sens!$D$183-Sens!$D$179+Sens!$D$181)/Sens!$D$180</f>
        <v>-0.0305125352740778</v>
      </c>
      <c r="E182" s="28" t="n">
        <f aca="false">(Sens!$E$183-Sens!$E$179+Sens!$E$181)/Sens!$E$180</f>
        <v>-0.019490056934994</v>
      </c>
      <c r="F182" s="28" t="n">
        <f aca="false">Sens!$O$182+(Sens!$E$182-Sens!$N$182)</f>
        <v>-0.0367332293992226</v>
      </c>
      <c r="G182" s="28" t="n">
        <f aca="false">(Sens!$G$183-Sens!$G$179+Sens!$G$181)/Sens!$G$180</f>
        <v>-0.0287946542321067</v>
      </c>
      <c r="H182" s="28" t="n">
        <f aca="false">Sens!$G$182+step_in</f>
        <v>-0.0287946542321067</v>
      </c>
      <c r="I182" s="28" t="n">
        <f aca="false">Sens!$H$182+step_in</f>
        <v>-0.0287946542321067</v>
      </c>
      <c r="J182" s="28" t="n">
        <f aca="false">Sens!$I$182+step_in</f>
        <v>-0.0287946542321067</v>
      </c>
      <c r="K182" s="28" t="n">
        <f aca="false">Sens!$J$182+step_in</f>
        <v>-0.0287946542321067</v>
      </c>
      <c r="L182" s="28" t="n">
        <f aca="false">Sens!$K$182</f>
        <v>-0.0287946542321067</v>
      </c>
      <c r="M182" s="28" t="n">
        <f aca="false">Sens!$L$182</f>
        <v>-0.0287946542321067</v>
      </c>
      <c r="N182" s="28" t="n">
        <f aca="false">(Sens!$N$183-Sens!$N$179+Sens!$N$181)/Sens!$N$180</f>
        <v>-0.02085061789158</v>
      </c>
      <c r="O182" s="28" t="n">
        <f aca="false">(Sens!$O$183-Sens!$O$179+Sens!$O$181)/Sens!$O$180</f>
        <v>-0.0380937903558086</v>
      </c>
      <c r="P182" s="8" t="s">
        <v>718</v>
      </c>
    </row>
    <row r="183" customFormat="false" ht="17.15" hidden="false" customHeight="false" outlineLevel="0" collapsed="false">
      <c r="A183" s="1" t="s">
        <v>724</v>
      </c>
      <c r="B183" s="8" t="s">
        <v>86</v>
      </c>
      <c r="C183" s="38" t="n">
        <f aca="false">Q!$D$23</f>
        <v>3.792</v>
      </c>
      <c r="D183" s="38" t="n">
        <f aca="false">Q!$E$23</f>
        <v>4.75</v>
      </c>
      <c r="E183" s="38" t="n">
        <f aca="false">Q!$P$23</f>
        <v>3.141</v>
      </c>
      <c r="F183" s="38" t="n">
        <f aca="false">Sens!$F$179+Sens!$F$180*Sens!$F$182-Sens!$F$181</f>
        <v>2.77377852186047</v>
      </c>
      <c r="G183" s="38" t="n">
        <f aca="false">Sens!$E$183+Sens!$F$183</f>
        <v>5.91477852186047</v>
      </c>
      <c r="H183" s="38" t="n">
        <f aca="false">Sens!$H$179+Sens!$H$180*Sens!$H$182-Sens!$H$181</f>
        <v>6.04870884420403</v>
      </c>
      <c r="I183" s="38" t="n">
        <f aca="false">Sens!$I$179+Sens!$I$180*Sens!$I$182-Sens!$I$181</f>
        <v>5.84431580315713</v>
      </c>
      <c r="J183" s="38" t="n">
        <f aca="false">Sens!$J$179+Sens!$J$180*Sens!$J$182-Sens!$J$181</f>
        <v>5.45740373874528</v>
      </c>
      <c r="K183" s="38" t="n">
        <f aca="false">Sens!$K$179+Sens!$K$180*Sens!$K$182-Sens!$K$181</f>
        <v>4.83227946809976</v>
      </c>
      <c r="L183" s="38" t="n">
        <f aca="false">Sens!$L$179+Sens!$L$180*Sens!$L$182-Sens!$L$181</f>
        <v>5.11622541009601</v>
      </c>
      <c r="M183" s="38" t="n">
        <f aca="false">Sens!$M$179+Sens!$M$180*Sens!$M$182-Sens!$M$181</f>
        <v>6.17480035109588</v>
      </c>
      <c r="N183" s="38" t="n">
        <f aca="false">Q!$N$23</f>
        <v>2.511</v>
      </c>
      <c r="O183" s="38" t="n">
        <f aca="false">Q!$O$23</f>
        <v>2.239</v>
      </c>
    </row>
    <row r="184" customFormat="false" ht="17.15" hidden="false" customHeight="false" outlineLevel="0" collapsed="false">
      <c r="A184" s="0" t="s">
        <v>725</v>
      </c>
      <c r="B184" s="0" t="s">
        <v>86</v>
      </c>
      <c r="C184" s="38" t="n">
        <f aca="false">Sens!$C$124</f>
        <v>1.64417882953695</v>
      </c>
      <c r="D184" s="38" t="n">
        <f aca="false">Sens!$D$124</f>
        <v>3.8781008067718</v>
      </c>
      <c r="E184" s="38" t="n">
        <f aca="false">Sens!$E$124</f>
        <v>1.41270258088753</v>
      </c>
      <c r="F184" s="38" t="n">
        <f aca="false">Sens!$F$124</f>
        <v>6.50727700583486</v>
      </c>
      <c r="G184" s="38" t="n">
        <f aca="false">Sens!$G$124</f>
        <v>7.9199795867224</v>
      </c>
      <c r="H184" s="38" t="n">
        <f aca="false">Sens!$H$124</f>
        <v>19.2818189481807</v>
      </c>
      <c r="I184" s="38" t="n">
        <f aca="false">Sens!$I$124</f>
        <v>30.140114407202</v>
      </c>
      <c r="J184" s="38" t="n">
        <f aca="false">Sens!$J$124</f>
        <v>40.3569468829854</v>
      </c>
      <c r="K184" s="38" t="n">
        <f aca="false">Sens!$K$124</f>
        <v>45.1418609242305</v>
      </c>
      <c r="L184" s="38" t="n">
        <f aca="false">Sens!$L$124</f>
        <v>48.5617321668703</v>
      </c>
      <c r="M184" s="38" t="n">
        <f aca="false">Sens!$M$124</f>
        <v>48.3987625241529</v>
      </c>
      <c r="N184" s="38" t="n">
        <f aca="false">Sens!$N$124</f>
        <v>0.92264103489199</v>
      </c>
      <c r="O184" s="38" t="n">
        <f aca="false">Sens!$O$124</f>
        <v>2.95545977187981</v>
      </c>
    </row>
    <row r="185" customFormat="false" ht="17.15" hidden="false" customHeight="false" outlineLevel="0" collapsed="false">
      <c r="A185" s="0" t="s">
        <v>643</v>
      </c>
      <c r="B185" s="0" t="s">
        <v>86</v>
      </c>
      <c r="C185" s="38" t="n">
        <f aca="false">Sens!$C$129</f>
        <v>38.1898211704631</v>
      </c>
      <c r="D185" s="38" t="n">
        <f aca="false">Sens!$D$129</f>
        <v>41.7278991932282</v>
      </c>
      <c r="E185" s="38" t="n">
        <f aca="false">Sens!$E$129</f>
        <v>29.3692974191125</v>
      </c>
      <c r="F185" s="38" t="n">
        <f aca="false">Sens!$F$129</f>
        <v>26.8997276714137</v>
      </c>
      <c r="G185" s="38" t="n">
        <f aca="false">Sens!$G$129</f>
        <v>56.2690250905262</v>
      </c>
      <c r="H185" s="38" t="n">
        <f aca="false">Sens!$H$129</f>
        <v>60.3505333937343</v>
      </c>
      <c r="I185" s="38" t="n">
        <f aca="false">Sens!$I$129</f>
        <v>67.0043857303571</v>
      </c>
      <c r="J185" s="38" t="n">
        <f aca="false">Sens!$J$129</f>
        <v>73.3782922956925</v>
      </c>
      <c r="K185" s="38" t="n">
        <f aca="false">Sens!$K$129</f>
        <v>79.2485556793479</v>
      </c>
      <c r="L185" s="38" t="n">
        <f aca="false">Sens!$L$129</f>
        <v>85.5884401336958</v>
      </c>
      <c r="M185" s="38" t="n">
        <f aca="false">Sens!$M$129</f>
        <v>92.4355153443914</v>
      </c>
      <c r="N185" s="38" t="n">
        <f aca="false">Sens!$N$129</f>
        <v>20.784358965108</v>
      </c>
      <c r="O185" s="38" t="n">
        <f aca="false">Sens!$O$129</f>
        <v>20.9435402281202</v>
      </c>
    </row>
    <row r="186" customFormat="false" ht="17.15" hidden="false" customHeight="false" outlineLevel="0" collapsed="false">
      <c r="A186" s="1" t="s">
        <v>726</v>
      </c>
      <c r="B186" s="8" t="s">
        <v>86</v>
      </c>
      <c r="C186" s="38" t="n">
        <f aca="false">Q!$D$24</f>
        <v>39.834</v>
      </c>
      <c r="D186" s="38" t="n">
        <f aca="false">Q!$E$24</f>
        <v>45.606</v>
      </c>
      <c r="E186" s="38" t="n">
        <f aca="false">Q!$P$24</f>
        <v>30.782</v>
      </c>
      <c r="F186" s="38" t="n">
        <f aca="false">Sens!$F$184+Sens!$F$185</f>
        <v>33.4070046772486</v>
      </c>
      <c r="G186" s="38" t="n">
        <f aca="false">Sens!$G$184+Sens!$G$185</f>
        <v>64.1890046772486</v>
      </c>
      <c r="H186" s="38" t="n">
        <f aca="false">Sens!$H$184+Sens!$H$185</f>
        <v>79.6323523419149</v>
      </c>
      <c r="I186" s="38" t="n">
        <f aca="false">Sens!$I$184+Sens!$I$185</f>
        <v>97.1445001375591</v>
      </c>
      <c r="J186" s="38" t="n">
        <f aca="false">Sens!$J$184+Sens!$J$185</f>
        <v>113.735239178678</v>
      </c>
      <c r="K186" s="38" t="n">
        <f aca="false">Sens!$K$184+Sens!$K$185</f>
        <v>124.390416603578</v>
      </c>
      <c r="L186" s="38" t="n">
        <f aca="false">Sens!$L$184+Sens!$L$185</f>
        <v>134.150172300566</v>
      </c>
      <c r="M186" s="38" t="n">
        <f aca="false">Sens!$M$184+Sens!$M$185</f>
        <v>140.834277868544</v>
      </c>
      <c r="N186" s="38" t="n">
        <f aca="false">Q!$N$24</f>
        <v>21.707</v>
      </c>
      <c r="O186" s="38" t="n">
        <f aca="false">Q!$O$24</f>
        <v>23.899</v>
      </c>
    </row>
    <row r="187" customFormat="false" ht="17.15" hidden="false" customHeight="false" outlineLevel="0" collapsed="false">
      <c r="A187" s="5" t="s">
        <v>727</v>
      </c>
      <c r="B187" s="0" t="s">
        <v>86</v>
      </c>
      <c r="C187" s="38" t="n">
        <f aca="false">Q!$D$26</f>
        <v>0</v>
      </c>
      <c r="D187" s="38" t="n">
        <f aca="false">Q!$E$26</f>
        <v>0</v>
      </c>
      <c r="E187" s="38" t="n">
        <f aca="false">Q!$P$26</f>
        <v>0</v>
      </c>
      <c r="F187" s="39" t="n">
        <v>0</v>
      </c>
      <c r="G187" s="38" t="n">
        <f aca="false">Sens!$E$187+Sens!$F$187</f>
        <v>0</v>
      </c>
      <c r="H187" s="39" t="n">
        <v>0</v>
      </c>
      <c r="I187" s="39" t="n">
        <v>0</v>
      </c>
      <c r="J187" s="39" t="n">
        <v>0</v>
      </c>
      <c r="K187" s="39" t="n">
        <v>0</v>
      </c>
      <c r="L187" s="39" t="n">
        <v>0</v>
      </c>
      <c r="M187" s="39" t="n">
        <v>0</v>
      </c>
      <c r="N187" s="38" t="n">
        <f aca="false">Q!$N$26</f>
        <v>0</v>
      </c>
      <c r="O187" s="38" t="n">
        <f aca="false">Q!$O$26</f>
        <v>0</v>
      </c>
    </row>
    <row r="188" customFormat="false" ht="15" hidden="false" customHeight="false" outlineLevel="0" collapsed="false">
      <c r="A188" s="3" t="s">
        <v>531</v>
      </c>
      <c r="B188" s="8" t="s">
        <v>86</v>
      </c>
      <c r="C188" s="38" t="n">
        <f aca="false">Q!$D$25</f>
        <v>68.593</v>
      </c>
      <c r="D188" s="38" t="n">
        <f aca="false">Q!$E$25</f>
        <v>79.975</v>
      </c>
      <c r="E188" s="38" t="n">
        <f aca="false">Q!$P$25</f>
        <v>51.313</v>
      </c>
      <c r="F188" s="38" t="n">
        <f aca="false">Sens!$F$178+Sens!$F$183+Sens!$F$186+Sens!$F$187</f>
        <v>56.2888892369246</v>
      </c>
      <c r="G188" s="38" t="n">
        <f aca="false">Sens!$G$178+Sens!$G$183+Sens!$G$186+Sens!$G$187</f>
        <v>107.601889236925</v>
      </c>
      <c r="H188" s="38" t="n">
        <f aca="false">Sens!$H$178+Sens!$H$183+Sens!$H$186+Sens!$H$187</f>
        <v>126.935967255636</v>
      </c>
      <c r="I188" s="38" t="n">
        <f aca="false">Sens!$I$178+Sens!$I$183+Sens!$I$186+Sens!$I$187</f>
        <v>147.247780943116</v>
      </c>
      <c r="J188" s="38" t="n">
        <f aca="false">Sens!$J$178+Sens!$J$183+Sens!$J$186+Sens!$J$187</f>
        <v>166.030093415229</v>
      </c>
      <c r="K188" s="38" t="n">
        <f aca="false">Sens!$K$178+Sens!$K$183+Sens!$K$186+Sens!$K$187</f>
        <v>177.975591165353</v>
      </c>
      <c r="L188" s="38" t="n">
        <f aca="false">Sens!$L$178+Sens!$L$183+Sens!$L$186+Sens!$L$187</f>
        <v>190.868575271371</v>
      </c>
      <c r="M188" s="38" t="n">
        <f aca="false">Sens!$M$178+Sens!$M$183+Sens!$M$186+Sens!$M$187</f>
        <v>203.610388310126</v>
      </c>
      <c r="N188" s="38" t="n">
        <f aca="false">Q!$N$25</f>
        <v>37.576</v>
      </c>
      <c r="O188" s="38" t="n">
        <f aca="false">Q!$O$25</f>
        <v>42.399</v>
      </c>
    </row>
    <row r="189" customFormat="false" ht="17.15" hidden="false" customHeight="false" outlineLevel="0" collapsed="false">
      <c r="A189" s="24" t="s">
        <v>758</v>
      </c>
      <c r="B189" s="25" t="s">
        <v>86</v>
      </c>
      <c r="C189" s="41" t="n">
        <f aca="false">Sens!$C$178+Sens!$C$183+Sens!$C$186+Sens!$C$187-Sens!$C$188</f>
        <v>0</v>
      </c>
      <c r="D189" s="41" t="n">
        <f aca="false">Sens!$D$178+Sens!$D$183+Sens!$D$186+Sens!$D$187-Sens!$D$188</f>
        <v>0</v>
      </c>
      <c r="E189" s="41" t="n">
        <f aca="false">Sens!$E$178+Sens!$E$183+Sens!$E$186+Sens!$E$187-Sens!$E$188</f>
        <v>0</v>
      </c>
      <c r="F189" s="41" t="n">
        <f aca="false">Sens!$F$178+Sens!$F$183+Sens!$F$186+Sens!$F$187-Sens!$F$188</f>
        <v>0</v>
      </c>
      <c r="G189" s="41" t="n">
        <f aca="false">Sens!$G$178+Sens!$G$183+Sens!$G$186+Sens!$G$187-Sens!$G$188</f>
        <v>0</v>
      </c>
      <c r="H189" s="41" t="n">
        <f aca="false">Sens!$H$178+Sens!$H$183+Sens!$H$186+Sens!$H$187-Sens!$H$188</f>
        <v>0</v>
      </c>
      <c r="I189" s="41" t="n">
        <f aca="false">Sens!$I$178+Sens!$I$183+Sens!$I$186+Sens!$I$187-Sens!$I$188</f>
        <v>0</v>
      </c>
      <c r="J189" s="41" t="n">
        <f aca="false">Sens!$J$178+Sens!$J$183+Sens!$J$186+Sens!$J$187-Sens!$J$188</f>
        <v>0</v>
      </c>
      <c r="K189" s="41" t="n">
        <f aca="false">Sens!$K$178+Sens!$K$183+Sens!$K$186+Sens!$K$187-Sens!$K$188</f>
        <v>0</v>
      </c>
      <c r="L189" s="41" t="n">
        <f aca="false">Sens!$L$178+Sens!$L$183+Sens!$L$186+Sens!$L$187-Sens!$L$188</f>
        <v>0</v>
      </c>
      <c r="M189" s="41" t="n">
        <f aca="false">Sens!$M$178+Sens!$M$183+Sens!$M$186+Sens!$M$187-Sens!$M$188</f>
        <v>0</v>
      </c>
      <c r="N189" s="41" t="n">
        <f aca="false">Sens!$N$178+Sens!$N$183+Sens!$N$186+Sens!$N$187-Sens!$N$188</f>
        <v>0</v>
      </c>
      <c r="O189" s="41" t="n">
        <f aca="false">Sens!$O$178+Sens!$O$183+Sens!$O$186+Sens!$O$187-Sens!$O$188</f>
        <v>0</v>
      </c>
    </row>
    <row r="190" customFormat="false" ht="17.15" hidden="false" customHeight="false" outlineLevel="0" collapsed="false">
      <c r="A190" s="5" t="s">
        <v>729</v>
      </c>
      <c r="B190" s="0" t="s">
        <v>86</v>
      </c>
      <c r="C190" s="38" t="n">
        <f aca="false">Sens!$C$126</f>
        <v>0</v>
      </c>
      <c r="D190" s="38" t="n">
        <f aca="false">Sens!$D$126</f>
        <v>0</v>
      </c>
      <c r="E190" s="38" t="n">
        <f aca="false">Sens!$E$126</f>
        <v>0</v>
      </c>
      <c r="F190" s="38" t="n">
        <f aca="false">Sens!$F$126</f>
        <v>3.77122048175818</v>
      </c>
      <c r="G190" s="38" t="n">
        <f aca="false">Sens!$G$126</f>
        <v>3.77122048175818</v>
      </c>
      <c r="H190" s="38" t="n">
        <f aca="false">Sens!$H$126</f>
        <v>15.1635543609893</v>
      </c>
      <c r="I190" s="38" t="n">
        <f aca="false">Sens!$I$126</f>
        <v>25.5818843619889</v>
      </c>
      <c r="J190" s="38" t="n">
        <f aca="false">Sens!$J$126</f>
        <v>36.0465624179122</v>
      </c>
      <c r="K190" s="38" t="n">
        <f aca="false">Sens!$K$126</f>
        <v>44.9741164026038</v>
      </c>
      <c r="L190" s="38" t="n">
        <f aca="false">Sens!$L$126</f>
        <v>50.8413488057813</v>
      </c>
      <c r="M190" s="38" t="n">
        <f aca="false">Sens!$M$126</f>
        <v>53.6407214274315</v>
      </c>
      <c r="N190" s="38" t="n">
        <f aca="false">Sens!$N$126</f>
        <v>0</v>
      </c>
      <c r="O190" s="38" t="n">
        <f aca="false">Sens!$O$126</f>
        <v>0</v>
      </c>
      <c r="P190" s="5" t="s">
        <v>730</v>
      </c>
    </row>
    <row r="191" customFormat="false" ht="17.15" hidden="false" customHeight="false" outlineLevel="0" collapsed="false">
      <c r="A191" s="5" t="s">
        <v>731</v>
      </c>
      <c r="B191" s="0" t="s">
        <v>86</v>
      </c>
      <c r="C191" s="38" t="n">
        <f aca="false">Sens!$C$188+Sens!$C$190</f>
        <v>68.593</v>
      </c>
      <c r="D191" s="38" t="n">
        <f aca="false">Sens!$D$188+Sens!$D$190</f>
        <v>79.975</v>
      </c>
      <c r="E191" s="38" t="n">
        <f aca="false">Sens!$E$188+Sens!$E$190</f>
        <v>51.313</v>
      </c>
      <c r="F191" s="38" t="n">
        <f aca="false">Sens!$F$188+Sens!$F$190</f>
        <v>60.0601097186828</v>
      </c>
      <c r="G191" s="38" t="n">
        <f aca="false">Sens!$G$188+Sens!$G$190</f>
        <v>111.373109718683</v>
      </c>
      <c r="H191" s="38" t="n">
        <f aca="false">Sens!$H$188+Sens!$H$190</f>
        <v>142.099521616625</v>
      </c>
      <c r="I191" s="38" t="n">
        <f aca="false">Sens!$I$188+Sens!$I$190</f>
        <v>172.829665305105</v>
      </c>
      <c r="J191" s="38" t="n">
        <f aca="false">Sens!$J$188+Sens!$J$190</f>
        <v>202.076655833141</v>
      </c>
      <c r="K191" s="38" t="n">
        <f aca="false">Sens!$K$188+Sens!$K$190</f>
        <v>222.949707567956</v>
      </c>
      <c r="L191" s="38" t="n">
        <f aca="false">Sens!$L$188+Sens!$L$190</f>
        <v>241.709924077153</v>
      </c>
      <c r="M191" s="38" t="n">
        <f aca="false">Sens!$M$188+Sens!$M$190</f>
        <v>257.251109737557</v>
      </c>
      <c r="N191" s="38" t="n">
        <f aca="false">Sens!$N$188+Sens!$N$190</f>
        <v>37.576</v>
      </c>
      <c r="O191" s="38" t="n">
        <f aca="false">Sens!$O$188+Sens!$O$190</f>
        <v>42.399</v>
      </c>
    </row>
    <row r="192" customFormat="false" ht="17.15" hidden="false" customHeight="false" outlineLevel="0" collapsed="false">
      <c r="A192" s="0" t="s">
        <v>732</v>
      </c>
      <c r="B192" s="0" t="s">
        <v>52</v>
      </c>
      <c r="C192" s="13" t="n">
        <f aca="false">Sens!$C$178/Sens!$C$163</f>
        <v>0.0644314665661928</v>
      </c>
      <c r="D192" s="13" t="n">
        <f aca="false">Sens!$D$178/Sens!$D$163</f>
        <v>0.0694784250712518</v>
      </c>
      <c r="E192" s="13" t="n">
        <f aca="false">Sens!$E$178/Sens!$E$163</f>
        <v>0.0789306463326071</v>
      </c>
      <c r="F192" s="13" t="n">
        <f aca="false">Sens!$F$178/Sens!$F$163</f>
        <v>0.0802271154277638</v>
      </c>
      <c r="G192" s="13" t="n">
        <f aca="false">Sens!$G$178/Sens!$G$163</f>
        <v>0.0796206133714758</v>
      </c>
      <c r="H192" s="13" t="n">
        <f aca="false">Sens!$H$178/Sens!$H$163</f>
        <v>0.0791253077422711</v>
      </c>
      <c r="I192" s="13" t="n">
        <f aca="false">Sens!$I$178/Sens!$I$163</f>
        <v>0.0776277144828766</v>
      </c>
      <c r="J192" s="13" t="n">
        <f aca="false">Sens!$J$178/Sens!$J$163</f>
        <v>0.0761100135193333</v>
      </c>
      <c r="K192" s="13" t="n">
        <f aca="false">Sens!$K$178/Sens!$K$163</f>
        <v>0.074408246177121</v>
      </c>
      <c r="L192" s="13" t="n">
        <f aca="false">Sens!$L$178/Sens!$L$163</f>
        <v>0.0739489900415671</v>
      </c>
      <c r="M192" s="13" t="n">
        <f aca="false">Sens!$M$178/Sens!$M$163</f>
        <v>0.076138500430805</v>
      </c>
      <c r="N192" s="13" t="n">
        <f aca="false">Sens!$N$178/Sens!$N$163</f>
        <v>0.069228576611127</v>
      </c>
      <c r="O192" s="13" t="n">
        <f aca="false">Sens!$O$178/Sens!$O$163</f>
        <v>0.069685022498393</v>
      </c>
    </row>
    <row r="193" customFormat="false" ht="17.15" hidden="false" customHeight="false" outlineLevel="0" collapsed="false">
      <c r="A193" s="0" t="s">
        <v>733</v>
      </c>
      <c r="B193" s="0" t="s">
        <v>52</v>
      </c>
      <c r="C193" s="13" t="n">
        <f aca="false">Sens!$C$183/Sens!$C$164</f>
        <v>0.026534925055631</v>
      </c>
      <c r="D193" s="13" t="n">
        <f aca="false">Sens!$D$183/Sens!$D$164</f>
        <v>0.0293401855535103</v>
      </c>
      <c r="E193" s="13" t="n">
        <f aca="false">Sens!$E$183/Sens!$E$164</f>
        <v>0.03831141902276</v>
      </c>
      <c r="F193" s="13" t="n">
        <f aca="false">Sens!$F$183/Sens!$F$164</f>
        <v>0.028186380436398</v>
      </c>
      <c r="G193" s="13" t="n">
        <f aca="false">Sens!$G$183/Sens!$G$164</f>
        <v>0.0327880260521739</v>
      </c>
      <c r="H193" s="13" t="n">
        <f aca="false">Sens!$H$183/Sens!$H$164</f>
        <v>0.0302874763409969</v>
      </c>
      <c r="I193" s="13" t="n">
        <f aca="false">Sens!$I$183/Sens!$I$164</f>
        <v>0.0267614610253202</v>
      </c>
      <c r="J193" s="13" t="n">
        <f aca="false">Sens!$J$183/Sens!$J$164</f>
        <v>0.0231523582706593</v>
      </c>
      <c r="K193" s="13" t="n">
        <f aca="false">Sens!$K$183/Sens!$K$164</f>
        <v>0.0192545467174101</v>
      </c>
      <c r="L193" s="13" t="n">
        <f aca="false">Sens!$L$183/Sens!$L$164</f>
        <v>0.0191414347264789</v>
      </c>
      <c r="M193" s="13" t="n">
        <f aca="false">Sens!$M$183/Sens!$M$164</f>
        <v>0.0216850962428001</v>
      </c>
      <c r="N193" s="13" t="n">
        <f aca="false">Sens!$N$183/Sens!$N$164</f>
        <v>0.0357315650169337</v>
      </c>
      <c r="O193" s="13" t="n">
        <f aca="false">Sens!$O$183/Sens!$O$164</f>
        <v>0.0244378956559703</v>
      </c>
    </row>
    <row r="194" customFormat="false" ht="17.15" hidden="false" customHeight="false" outlineLevel="0" collapsed="false">
      <c r="A194" s="14" t="s">
        <v>734</v>
      </c>
      <c r="B194" s="14" t="s">
        <v>52</v>
      </c>
      <c r="C194" s="17" t="n">
        <f aca="false">Sens!$C$186/Sens!$C$165</f>
        <v>0.370355907620217</v>
      </c>
      <c r="D194" s="17" t="n">
        <f aca="false">Sens!$D$186/Sens!$D$165</f>
        <v>0.35429015342785</v>
      </c>
      <c r="E194" s="17" t="n">
        <f aca="false">Sens!$E$186/Sens!$E$165</f>
        <v>0.385647527531039</v>
      </c>
      <c r="F194" s="17" t="n">
        <f aca="false">Sens!$F$186/Sens!$F$165</f>
        <v>0.385171818673936</v>
      </c>
      <c r="G194" s="17" t="n">
        <f aca="false">Sens!$G$186/Sens!$G$165</f>
        <v>0.385399799520974</v>
      </c>
      <c r="H194" s="17" t="n">
        <f aca="false">Sens!$H$186/Sens!$H$165</f>
        <v>0.360029314750347</v>
      </c>
      <c r="I194" s="17" t="n">
        <f aca="false">Sens!$I$186/Sens!$I$165</f>
        <v>0.346606134604193</v>
      </c>
      <c r="J194" s="17" t="n">
        <f aca="false">Sens!$J$186/Sens!$J$165</f>
        <v>0.335699297156574</v>
      </c>
      <c r="K194" s="17" t="n">
        <f aca="false">Sens!$K$186/Sens!$K$165</f>
        <v>0.319043289183739</v>
      </c>
      <c r="L194" s="17" t="n">
        <f aca="false">Sens!$L$186/Sens!$L$165</f>
        <v>0.311918613444893</v>
      </c>
      <c r="M194" s="17" t="n">
        <f aca="false">Sens!$M$186/Sens!$M$165</f>
        <v>0.306523814127389</v>
      </c>
      <c r="N194" s="17" t="n">
        <f aca="false">Sens!$N$186/Sens!$N$165</f>
        <v>0.360941137346192</v>
      </c>
      <c r="O194" s="17" t="n">
        <f aca="false">Sens!$O$186/Sens!$O$165</f>
        <v>0.348458117664212</v>
      </c>
    </row>
    <row r="195" customFormat="false" ht="17.15" hidden="false" customHeight="false" outlineLevel="0" collapsed="false">
      <c r="A195" s="0" t="s">
        <v>735</v>
      </c>
      <c r="B195" s="0" t="s">
        <v>52</v>
      </c>
      <c r="C195" s="13" t="n">
        <f aca="false">Sens!$C$184/Sens!$C$166</f>
        <v>0.708390794789371</v>
      </c>
      <c r="D195" s="13" t="n">
        <f aca="false">Sens!$D$184/Sens!$D$166</f>
        <v>0.445565630441968</v>
      </c>
      <c r="E195" s="13" t="n">
        <f aca="false">Sens!$E$184/Sens!$E$166</f>
        <v>0.165998118402711</v>
      </c>
      <c r="F195" s="13" t="n">
        <f aca="false">Sens!$F$184/Sens!$F$166</f>
        <v>0.434878595403858</v>
      </c>
      <c r="G195" s="13" t="n">
        <f aca="false">Sens!$G$184/Sens!$G$166</f>
        <v>0.3373967615381</v>
      </c>
      <c r="H195" s="13" t="n">
        <f aca="false">Sens!$H$184/Sens!$H$166</f>
        <v>0.320477578041224</v>
      </c>
      <c r="I195" s="13" t="n">
        <f aca="false">Sens!$I$184/Sens!$I$166</f>
        <v>0.296936118226494</v>
      </c>
      <c r="J195" s="13" t="n">
        <f aca="false">Sens!$J$184/Sens!$J$166</f>
        <v>0.282166278613001</v>
      </c>
      <c r="K195" s="13" t="n">
        <f aca="false">Sens!$K$184/Sens!$K$166</f>
        <v>0.252969102881543</v>
      </c>
      <c r="L195" s="13" t="n">
        <f aca="false">Sens!$L$184/Sens!$L$166</f>
        <v>0.240728642826566</v>
      </c>
      <c r="M195" s="13" t="n">
        <f aca="false">Sens!$M$184/Sens!$M$166</f>
        <v>0.227399920863147</v>
      </c>
      <c r="N195" s="13" t="n">
        <f aca="false">Sens!$N$184/Sens!$N$166</f>
        <v>0.302870734830849</v>
      </c>
      <c r="O195" s="13" t="n">
        <f aca="false">Sens!$O$184/Sens!$O$166</f>
        <v>0.52240134346334</v>
      </c>
    </row>
    <row r="196" customFormat="false" ht="15" hidden="false" customHeight="false" outlineLevel="0" collapsed="false">
      <c r="A196" s="5" t="s">
        <v>736</v>
      </c>
      <c r="B196" s="0" t="s">
        <v>52</v>
      </c>
      <c r="C196" s="13" t="n">
        <f aca="false">Sens!$C$188/Sens!$C$168</f>
        <v>0.107519448742004</v>
      </c>
      <c r="D196" s="13" t="n">
        <f aca="false">Sens!$D$188/Sens!$D$168</f>
        <v>0.111552967957552</v>
      </c>
      <c r="E196" s="13" t="n">
        <f aca="false">Sens!$E$188/Sens!$E$168</f>
        <v>0.13428328426562</v>
      </c>
      <c r="F196" s="13" t="n">
        <f aca="false">Sens!$F$188/Sens!$F$168</f>
        <v>0.129167844525589</v>
      </c>
      <c r="G196" s="13" t="n">
        <f aca="false">Sens!$G$188/Sens!$G$168</f>
        <v>0.131557773771988</v>
      </c>
      <c r="H196" s="13" t="n">
        <f aca="false">Sens!$H$188/Sens!$H$168</f>
        <v>0.134711536350329</v>
      </c>
      <c r="I196" s="13" t="n">
        <f aca="false">Sens!$I$188/Sens!$I$168</f>
        <v>0.137768888779847</v>
      </c>
      <c r="J196" s="13" t="n">
        <f aca="false">Sens!$J$188/Sens!$J$168</f>
        <v>0.139531715827143</v>
      </c>
      <c r="K196" s="13" t="n">
        <f aca="false">Sens!$K$188/Sens!$K$168</f>
        <v>0.137320259076553</v>
      </c>
      <c r="L196" s="13" t="n">
        <f aca="false">Sens!$L$188/Sens!$L$168</f>
        <v>0.136806307456799</v>
      </c>
      <c r="M196" s="13" t="n">
        <f aca="false">Sens!$M$188/Sens!$M$168</f>
        <v>0.136871350584245</v>
      </c>
      <c r="N196" s="13" t="n">
        <f aca="false">Sens!$N$188/Sens!$N$168</f>
        <v>0.116201614873411</v>
      </c>
      <c r="O196" s="13" t="n">
        <f aca="false">Sens!$O$188/Sens!$O$168</f>
        <v>0.107733353660861</v>
      </c>
    </row>
    <row r="197" customFormat="false" ht="17.15" hidden="false" customHeight="false" outlineLevel="0" collapsed="false">
      <c r="A197" s="1" t="s">
        <v>737</v>
      </c>
    </row>
    <row r="198" customFormat="false" ht="17.15" hidden="false" customHeight="false" outlineLevel="0" collapsed="false">
      <c r="A198" s="5" t="s">
        <v>738</v>
      </c>
      <c r="B198" s="0" t="s">
        <v>52</v>
      </c>
      <c r="D198" s="28" t="n">
        <f aca="false">(Q!$E$29+Q!$E$30-(1-ext_sh)*Sens!$D$120)/Sens!$D$76</f>
        <v>0.0334674312393194</v>
      </c>
    </row>
    <row r="199" customFormat="false" ht="17.15" hidden="false" customHeight="false" outlineLevel="0" collapsed="false">
      <c r="A199" s="0" t="s">
        <v>535</v>
      </c>
      <c r="B199" s="0" t="s">
        <v>86</v>
      </c>
      <c r="C199" s="38" t="n">
        <f aca="false">Q!$D$29</f>
        <v>14.285</v>
      </c>
      <c r="D199" s="38" t="n">
        <f aca="false">Q!$E$29</f>
        <v>15.503</v>
      </c>
      <c r="E199" s="38" t="n">
        <f aca="false">Q!$P$29</f>
        <v>8.78</v>
      </c>
      <c r="F199" s="38" t="n">
        <f aca="false">(Sens!$D$198*Sens!$F$76+(1-ext_sh)*Sens!$F$120)*Sens!$F$77</f>
        <v>9.32404990199157</v>
      </c>
      <c r="G199" s="38" t="n">
        <f aca="false">Sens!$E$199+Sens!$F$199</f>
        <v>18.1040499019916</v>
      </c>
      <c r="H199" s="38" t="n">
        <f aca="false">(Sens!$D$198*Sens!$H$76+(1-ext_sh)*Sens!$H$120)*Sens!$H$77</f>
        <v>22.5533556752937</v>
      </c>
      <c r="I199" s="38" t="n">
        <f aca="false">(Sens!$D$198*Sens!$I$76+(1-ext_sh)*Sens!$I$120)*Sens!$I$77</f>
        <v>28.1941479903215</v>
      </c>
      <c r="J199" s="38" t="n">
        <f aca="false">(Sens!$D$198*Sens!$J$76+(1-ext_sh)*Sens!$J$120)*Sens!$J$77</f>
        <v>33.8639126241465</v>
      </c>
      <c r="K199" s="38" t="n">
        <f aca="false">(Sens!$D$198*Sens!$K$76+(1-ext_sh)*Sens!$K$120)*Sens!$K$77</f>
        <v>39.4516429979446</v>
      </c>
      <c r="L199" s="38" t="n">
        <f aca="false">(Sens!$D$198*Sens!$L$76+(1-ext_sh)*Sens!$L$120)*Sens!$L$77</f>
        <v>43.6240799619622</v>
      </c>
      <c r="M199" s="38" t="n">
        <f aca="false">(Sens!$D$198*Sens!$M$76+(1-ext_sh)*Sens!$M$120)*Sens!$M$77</f>
        <v>46.7841679303704</v>
      </c>
      <c r="N199" s="38" t="n">
        <f aca="false">Q!$N$29</f>
        <v>7.272</v>
      </c>
      <c r="O199" s="38" t="n">
        <f aca="false">Q!$O$29</f>
        <v>8.231</v>
      </c>
    </row>
    <row r="200" customFormat="false" ht="17.15" hidden="false" customHeight="false" outlineLevel="0" collapsed="false">
      <c r="A200" s="0" t="s">
        <v>537</v>
      </c>
      <c r="B200" s="0" t="s">
        <v>86</v>
      </c>
      <c r="C200" s="38" t="n">
        <f aca="false">Q!$D$30</f>
        <v>4.462</v>
      </c>
      <c r="D200" s="38" t="n">
        <f aca="false">Q!$E$30</f>
        <v>4.907</v>
      </c>
      <c r="E200" s="38" t="n">
        <f aca="false">Q!$P$30</f>
        <v>2.57</v>
      </c>
      <c r="F200" s="38" t="n">
        <f aca="false">(Sens!$D$198*Sens!$F$76+(1-ext_sh)*Sens!$F$120)*(1-Sens!$F$77)</f>
        <v>3.66089330199472</v>
      </c>
      <c r="G200" s="38" t="n">
        <f aca="false">Sens!$E$200+Sens!$F$200</f>
        <v>6.23089330199472</v>
      </c>
      <c r="H200" s="38" t="n">
        <f aca="false">(Sens!$D$198*Sens!$H$76+(1-ext_sh)*Sens!$H$120)*(1-Sens!$H$77)</f>
        <v>8.63874333111657</v>
      </c>
      <c r="I200" s="38" t="n">
        <f aca="false">(Sens!$D$198*Sens!$I$76+(1-ext_sh)*Sens!$I$120)*(1-Sens!$I$77)</f>
        <v>10.7993689025494</v>
      </c>
      <c r="J200" s="38" t="n">
        <f aca="false">(Sens!$D$198*Sens!$J$76+(1-ext_sh)*Sens!$J$120)*(1-Sens!$J$77)</f>
        <v>12.9710919101865</v>
      </c>
      <c r="K200" s="38" t="n">
        <f aca="false">(Sens!$D$198*Sens!$K$76+(1-ext_sh)*Sens!$K$120)*(1-Sens!$K$77)</f>
        <v>15.1113928568702</v>
      </c>
      <c r="L200" s="38" t="n">
        <f aca="false">(Sens!$D$198*Sens!$L$76+(1-ext_sh)*Sens!$L$120)*(1-Sens!$L$77)</f>
        <v>16.7095857163433</v>
      </c>
      <c r="M200" s="38" t="n">
        <f aca="false">(Sens!$D$198*Sens!$M$76+(1-ext_sh)*Sens!$M$120)*(1-Sens!$M$77)</f>
        <v>17.9200126371023</v>
      </c>
      <c r="N200" s="38" t="n">
        <f aca="false">Q!$N$30</f>
        <v>2.316</v>
      </c>
      <c r="O200" s="38" t="n">
        <f aca="false">Q!$O$30</f>
        <v>2.591</v>
      </c>
    </row>
    <row r="201" customFormat="false" ht="17.15" hidden="false" customHeight="false" outlineLevel="0" collapsed="false">
      <c r="A201" s="0" t="s">
        <v>538</v>
      </c>
      <c r="B201" s="0" t="s">
        <v>86</v>
      </c>
      <c r="C201" s="38" t="n">
        <f aca="false">Sens!$C$132</f>
        <v>13.32</v>
      </c>
      <c r="D201" s="38" t="n">
        <f aca="false">Sens!$D$132</f>
        <v>21.45</v>
      </c>
      <c r="E201" s="38" t="n">
        <f aca="false">Sens!$E$132</f>
        <v>15.353</v>
      </c>
      <c r="F201" s="38" t="n">
        <f aca="false">Sens!$F$132</f>
        <v>16.3063747611001</v>
      </c>
      <c r="G201" s="38" t="n">
        <f aca="false">Sens!$G$132</f>
        <v>31.6593747611001</v>
      </c>
      <c r="H201" s="38" t="n">
        <f aca="false">Sens!$H$132</f>
        <v>53.124242092105</v>
      </c>
      <c r="I201" s="38" t="n">
        <f aca="false">Sens!$I$132</f>
        <v>78.046828098133</v>
      </c>
      <c r="J201" s="38" t="n">
        <f aca="false">Sens!$J$132</f>
        <v>103.663976940352</v>
      </c>
      <c r="K201" s="38" t="n">
        <f aca="false">Sens!$K$132</f>
        <v>129.625086115469</v>
      </c>
      <c r="L201" s="38" t="n">
        <f aca="false">Sens!$L$132</f>
        <v>147.435052382502</v>
      </c>
      <c r="M201" s="38" t="n">
        <f aca="false">Sens!$M$132</f>
        <v>159.299754080279</v>
      </c>
      <c r="N201" s="38" t="n">
        <f aca="false">Sens!$N$132</f>
        <v>9.234</v>
      </c>
      <c r="O201" s="38" t="n">
        <f aca="false">Sens!$O$132</f>
        <v>12.216</v>
      </c>
    </row>
    <row r="202" customFormat="false" ht="17.15" hidden="false" customHeight="false" outlineLevel="0" collapsed="false">
      <c r="A202" s="5" t="s">
        <v>739</v>
      </c>
      <c r="B202" s="0" t="s">
        <v>86</v>
      </c>
      <c r="C202" s="38" t="n">
        <f aca="false">Sens!$C$199+Sens!$C$200+Sens!$C$201</f>
        <v>32.067</v>
      </c>
      <c r="D202" s="38" t="n">
        <f aca="false">Sens!$D$199+Sens!$D$200+Sens!$D$201</f>
        <v>41.86</v>
      </c>
      <c r="E202" s="38" t="n">
        <f aca="false">Sens!$E$199+Sens!$E$200+Sens!$E$201</f>
        <v>26.703</v>
      </c>
      <c r="F202" s="38" t="n">
        <f aca="false">Sens!$F$199+Sens!$F$200+Sens!$F$201</f>
        <v>29.2913179650864</v>
      </c>
      <c r="G202" s="38" t="n">
        <f aca="false">Sens!$G$199+Sens!$G$200+Sens!$G$201</f>
        <v>55.9943179650864</v>
      </c>
      <c r="H202" s="38" t="n">
        <f aca="false">Sens!$H$199+Sens!$H$200+Sens!$H$201</f>
        <v>84.3163410985152</v>
      </c>
      <c r="I202" s="38" t="n">
        <f aca="false">Sens!$I$199+Sens!$I$200+Sens!$I$201</f>
        <v>117.040344991004</v>
      </c>
      <c r="J202" s="38" t="n">
        <f aca="false">Sens!$J$199+Sens!$J$200+Sens!$J$201</f>
        <v>150.498981474685</v>
      </c>
      <c r="K202" s="38" t="n">
        <f aca="false">Sens!$K$199+Sens!$K$200+Sens!$K$201</f>
        <v>184.188121970284</v>
      </c>
      <c r="L202" s="38" t="n">
        <f aca="false">Sens!$L$199+Sens!$L$200+Sens!$L$201</f>
        <v>207.768718060808</v>
      </c>
      <c r="M202" s="38" t="n">
        <f aca="false">Sens!$M$199+Sens!$M$200+Sens!$M$201</f>
        <v>224.003934647752</v>
      </c>
      <c r="N202" s="38" t="n">
        <f aca="false">Sens!$N$199+Sens!$N$200+Sens!$N$201</f>
        <v>18.822</v>
      </c>
      <c r="O202" s="38" t="n">
        <f aca="false">Sens!$O$199+Sens!$O$200+Sens!$O$201</f>
        <v>23.038</v>
      </c>
    </row>
    <row r="203" customFormat="false" ht="17.15" hidden="false" customHeight="false" outlineLevel="0" collapsed="false">
      <c r="A203" s="0" t="s">
        <v>740</v>
      </c>
      <c r="B203" s="0" t="s">
        <v>86</v>
      </c>
      <c r="C203" s="38" t="n">
        <f aca="false">Sens!$C$174+Sens!$C$179</f>
        <v>28.107</v>
      </c>
      <c r="D203" s="38" t="n">
        <f aca="false">Sens!$D$174+Sens!$D$179</f>
        <v>34.3175</v>
      </c>
      <c r="E203" s="38" t="n">
        <f aca="false">Sens!$E$174+Sens!$E$179</f>
        <v>18.526</v>
      </c>
      <c r="F203" s="38" t="n">
        <f aca="false">Sens!$F$174+Sens!$F$179</f>
        <v>23.0786109972074</v>
      </c>
      <c r="G203" s="38" t="n">
        <f aca="false">Sens!$G$174+Sens!$G$179</f>
        <v>41.6046109972074</v>
      </c>
      <c r="H203" s="38" t="n">
        <f aca="false">Sens!$H$174+Sens!$H$179</f>
        <v>49.9484611939488</v>
      </c>
      <c r="I203" s="38" t="n">
        <f aca="false">Sens!$I$174+Sens!$I$179</f>
        <v>58.2915555477481</v>
      </c>
      <c r="J203" s="38" t="n">
        <f aca="false">Sens!$J$174+Sens!$J$179</f>
        <v>66.0744709709759</v>
      </c>
      <c r="K203" s="38" t="n">
        <f aca="false">Sens!$K$174+Sens!$K$179</f>
        <v>72.6819180680735</v>
      </c>
      <c r="L203" s="38" t="n">
        <f aca="false">Sens!$L$174+Sens!$L$179</f>
        <v>79.9501098748808</v>
      </c>
      <c r="M203" s="38" t="n">
        <f aca="false">Sens!$M$174+Sens!$M$179</f>
        <v>87.9451208623689</v>
      </c>
      <c r="N203" s="38" t="n">
        <f aca="false">Sens!$N$174+Sens!$N$179</f>
        <v>14.8075</v>
      </c>
      <c r="O203" s="38" t="n">
        <f aca="false">Sens!$O$174+Sens!$O$179</f>
        <v>19.51</v>
      </c>
    </row>
    <row r="204" customFormat="false" ht="17.15" hidden="false" customHeight="false" outlineLevel="0" collapsed="false">
      <c r="A204" s="0" t="s">
        <v>741</v>
      </c>
      <c r="B204" s="0" t="s">
        <v>86</v>
      </c>
      <c r="C204" s="38" t="n">
        <f aca="false">Sens!$C$178+Sens!$C$183+Sens!$C$199+Sens!$C$200-Sens!$C$203</f>
        <v>19.399</v>
      </c>
      <c r="D204" s="38" t="n">
        <f aca="false">Sens!$D$178+Sens!$D$183+Sens!$D$199+Sens!$D$200-Sens!$D$203</f>
        <v>20.4615</v>
      </c>
      <c r="E204" s="38" t="n">
        <f aca="false">Sens!$E$178+Sens!$E$183+Sens!$E$199+Sens!$E$200-Sens!$E$203</f>
        <v>13.355</v>
      </c>
      <c r="F204" s="38" t="n">
        <f aca="false">Sens!$F$178+Sens!$F$183+Sens!$F$199+Sens!$F$200-Sens!$F$203</f>
        <v>12.7882167664549</v>
      </c>
      <c r="G204" s="38" t="n">
        <f aca="false">Sens!$G$178+Sens!$G$183+Sens!$G$199+Sens!$G$200-Sens!$G$203</f>
        <v>26.1432167664549</v>
      </c>
      <c r="H204" s="38" t="n">
        <f aca="false">Sens!$H$178+Sens!$H$183+Sens!$H$199+Sens!$H$200-Sens!$H$203</f>
        <v>28.5472527261826</v>
      </c>
      <c r="I204" s="38" t="n">
        <f aca="false">Sens!$I$178+Sens!$I$183+Sens!$I$199+Sens!$I$200-Sens!$I$203</f>
        <v>30.8052421506794</v>
      </c>
      <c r="J204" s="38" t="n">
        <f aca="false">Sens!$J$178+Sens!$J$183+Sens!$J$199+Sens!$J$200-Sens!$J$203</f>
        <v>33.0553877999083</v>
      </c>
      <c r="K204" s="38" t="n">
        <f aca="false">Sens!$K$178+Sens!$K$183+Sens!$K$199+Sens!$K$200-Sens!$K$203</f>
        <v>35.4662923485155</v>
      </c>
      <c r="L204" s="38" t="n">
        <f aca="false">Sens!$L$178+Sens!$L$183+Sens!$L$199+Sens!$L$200-Sens!$L$203</f>
        <v>37.1019587742301</v>
      </c>
      <c r="M204" s="38" t="n">
        <f aca="false">Sens!$M$178+Sens!$M$183+Sens!$M$199+Sens!$M$200-Sens!$M$203</f>
        <v>39.5351701466849</v>
      </c>
      <c r="N204" s="38" t="n">
        <f aca="false">Sens!$N$178+Sens!$N$183+Sens!$N$199+Sens!$N$200-Sens!$N$203</f>
        <v>10.6495</v>
      </c>
      <c r="O204" s="38" t="n">
        <f aca="false">Sens!$O$178+Sens!$O$183+Sens!$O$199+Sens!$O$200-Sens!$O$203</f>
        <v>9.81200000000001</v>
      </c>
    </row>
    <row r="205" customFormat="false" ht="17.15" hidden="false" customHeight="false" outlineLevel="0" collapsed="false">
      <c r="A205" s="0" t="s">
        <v>742</v>
      </c>
      <c r="B205" s="0" t="s">
        <v>86</v>
      </c>
      <c r="C205" s="38" t="n">
        <f aca="false">Sens!$C$185+Sens!$C$201-ext_sh*Sens!$C$120</f>
        <v>51.3470500115664</v>
      </c>
      <c r="D205" s="38" t="n">
        <f aca="false">Sens!$D$185+Sens!$D$201-ext_sh*Sens!$D$120</f>
        <v>60.2799375433739</v>
      </c>
      <c r="E205" s="38" t="n">
        <f aca="false">Sens!$E$185+Sens!$E$201-ext_sh*Sens!$E$120</f>
        <v>39.5095167090767</v>
      </c>
      <c r="F205" s="38" t="n">
        <f aca="false">Sens!$F$185+Sens!$F$201-ext_sh*Sens!$F$120</f>
        <v>37.993321722478</v>
      </c>
      <c r="G205" s="38" t="n">
        <f aca="false">Sens!$G$185+Sens!$G$201-ext_sh*Sens!$G$120</f>
        <v>77.5028384315548</v>
      </c>
      <c r="H205" s="38" t="n">
        <f aca="false">Sens!$H$185+Sens!$H$201-ext_sh*Sens!$H$120</f>
        <v>85.2394217279746</v>
      </c>
      <c r="I205" s="38" t="n">
        <f aca="false">Sens!$I$185+Sens!$I$201-ext_sh*Sens!$I$120</f>
        <v>94.6373589713254</v>
      </c>
      <c r="J205" s="38" t="n">
        <f aca="false">Sens!$J$185+Sens!$J$201-ext_sh*Sens!$J$120</f>
        <v>103.639899284146</v>
      </c>
      <c r="K205" s="38" t="n">
        <f aca="false">Sens!$K$185+Sens!$K$201-ext_sh*Sens!$K$120</f>
        <v>111.931091226878</v>
      </c>
      <c r="L205" s="38" t="n">
        <f aca="false">Sens!$L$185+Sens!$L$201-ext_sh*Sens!$L$120</f>
        <v>120.885578525028</v>
      </c>
      <c r="M205" s="38" t="n">
        <f aca="false">Sens!$M$185+Sens!$M$201-ext_sh*Sens!$M$120</f>
        <v>130.55642480703</v>
      </c>
      <c r="N205" s="38" t="n">
        <f aca="false">Sens!$N$185+Sens!$N$201-ext_sh*Sens!$N$120</f>
        <v>28.5693781401809</v>
      </c>
      <c r="O205" s="38" t="n">
        <f aca="false">Sens!$O$185+Sens!$O$201-ext_sh*Sens!$O$120</f>
        <v>31.7105594031931</v>
      </c>
    </row>
    <row r="206" customFormat="false" ht="17.15" hidden="false" customHeight="false" outlineLevel="0" collapsed="false">
      <c r="A206" s="0" t="s">
        <v>743</v>
      </c>
      <c r="B206" s="0" t="s">
        <v>86</v>
      </c>
      <c r="C206" s="38" t="n">
        <f aca="false">Sens!$C$123</f>
        <v>1.80694998843362</v>
      </c>
      <c r="D206" s="38" t="n">
        <f aca="false">Sens!$D$123</f>
        <v>6.77606245662607</v>
      </c>
      <c r="E206" s="38" t="n">
        <f aca="false">Sens!$E$123</f>
        <v>6.62548329092326</v>
      </c>
      <c r="F206" s="38" t="n">
        <f aca="false">Sens!$F$123</f>
        <v>11.7200577158706</v>
      </c>
      <c r="G206" s="38" t="n">
        <f aca="false">Sens!$G$123</f>
        <v>18.3455410067939</v>
      </c>
      <c r="H206" s="38" t="n">
        <f aca="false">Sens!$H$123</f>
        <v>47.5171727060453</v>
      </c>
      <c r="I206" s="38" t="n">
        <f aca="false">Sens!$I$123</f>
        <v>80.5539692643667</v>
      </c>
      <c r="J206" s="38" t="n">
        <f aca="false">Sens!$J$123</f>
        <v>113.759316834883</v>
      </c>
      <c r="K206" s="38" t="n">
        <f aca="false">Sens!$K$123</f>
        <v>142.084411492169</v>
      </c>
      <c r="L206" s="38" t="n">
        <f aca="false">Sens!$L$123</f>
        <v>160.69964615804</v>
      </c>
      <c r="M206" s="38" t="n">
        <f aca="false">Sens!$M$123</f>
        <v>169.577607141793</v>
      </c>
      <c r="N206" s="38" t="n">
        <f aca="false">Sens!$N$123</f>
        <v>2.37162185981912</v>
      </c>
      <c r="O206" s="38" t="n">
        <f aca="false">Sens!$O$123</f>
        <v>4.40444059680694</v>
      </c>
    </row>
    <row r="207" customFormat="false" ht="17.15" hidden="false" customHeight="false" outlineLevel="0" collapsed="false">
      <c r="A207" s="0" t="s">
        <v>744</v>
      </c>
      <c r="B207" s="0" t="s">
        <v>86</v>
      </c>
      <c r="C207" s="38" t="n">
        <f aca="false">Sens!$C$188+Sens!$C$202</f>
        <v>100.66</v>
      </c>
      <c r="D207" s="38" t="n">
        <f aca="false">Sens!$D$188+Sens!$D$202</f>
        <v>121.835</v>
      </c>
      <c r="E207" s="38" t="n">
        <f aca="false">Sens!$E$188+Sens!$E$202</f>
        <v>78.016</v>
      </c>
      <c r="F207" s="38" t="n">
        <f aca="false">Sens!$F$188+Sens!$F$202</f>
        <v>85.580207202011</v>
      </c>
      <c r="G207" s="38" t="n">
        <f aca="false">Sens!$G$188+Sens!$G$202</f>
        <v>163.596207202011</v>
      </c>
      <c r="H207" s="38" t="n">
        <f aca="false">Sens!$H$188+Sens!$H$202</f>
        <v>211.252308354151</v>
      </c>
      <c r="I207" s="38" t="n">
        <f aca="false">Sens!$I$188+Sens!$I$202</f>
        <v>264.28812593412</v>
      </c>
      <c r="J207" s="38" t="n">
        <f aca="false">Sens!$J$188+Sens!$J$202</f>
        <v>316.529074889914</v>
      </c>
      <c r="K207" s="38" t="n">
        <f aca="false">Sens!$K$188+Sens!$K$202</f>
        <v>362.163713135636</v>
      </c>
      <c r="L207" s="38" t="n">
        <f aca="false">Sens!$L$188+Sens!$L$202</f>
        <v>398.637293332179</v>
      </c>
      <c r="M207" s="38" t="n">
        <f aca="false">Sens!$M$188+Sens!$M$202</f>
        <v>427.614322957878</v>
      </c>
      <c r="N207" s="38" t="n">
        <f aca="false">Sens!$N$188+Sens!$N$202</f>
        <v>56.398</v>
      </c>
      <c r="O207" s="38" t="n">
        <f aca="false">Sens!$O$188+Sens!$O$202</f>
        <v>65.437</v>
      </c>
    </row>
    <row r="208" customFormat="false" ht="17.15" hidden="false" customHeight="false" outlineLevel="0" collapsed="false">
      <c r="A208" s="1" t="s">
        <v>745</v>
      </c>
    </row>
    <row r="209" customFormat="false" ht="15" hidden="false" customHeight="false" outlineLevel="0" collapsed="false">
      <c r="A209" s="5" t="s">
        <v>541</v>
      </c>
      <c r="B209" s="0" t="s">
        <v>86</v>
      </c>
      <c r="C209" s="38" t="n">
        <f aca="false">Q!$D$34</f>
        <v>2.406</v>
      </c>
      <c r="D209" s="38" t="n">
        <f aca="false">Q!$E$34</f>
        <v>2.274</v>
      </c>
      <c r="E209" s="38" t="n">
        <f aca="false">Q!$P$34</f>
        <v>2.114</v>
      </c>
      <c r="F209" s="38" t="n">
        <f aca="false">Sens!$F$247</f>
        <v>3.24888962733561</v>
      </c>
      <c r="G209" s="38" t="n">
        <f aca="false">Sens!$E$209+Sens!$F$209</f>
        <v>5.36288962733561</v>
      </c>
      <c r="H209" s="38" t="n">
        <f aca="false">Sens!$H$247</f>
        <v>7.42354172302123</v>
      </c>
      <c r="I209" s="38" t="n">
        <f aca="false">Sens!$I$247</f>
        <v>8.2931747618896</v>
      </c>
      <c r="J209" s="38" t="n">
        <f aca="false">Sens!$J$247</f>
        <v>9.27718179522602</v>
      </c>
      <c r="K209" s="38" t="n">
        <f aca="false">Sens!$K$247</f>
        <v>9.27718179522602</v>
      </c>
      <c r="L209" s="38" t="n">
        <f aca="false">Sens!$L$247</f>
        <v>9.27718179522602</v>
      </c>
      <c r="M209" s="38" t="n">
        <f aca="false">Sens!$M$247</f>
        <v>9.27718179522602</v>
      </c>
      <c r="N209" s="38" t="n">
        <f aca="false">Q!$N$34</f>
        <v>1.057</v>
      </c>
      <c r="O209" s="38" t="n">
        <f aca="false">Q!$O$34</f>
        <v>1.217</v>
      </c>
    </row>
    <row r="210" customFormat="false" ht="15" hidden="false" customHeight="false" outlineLevel="0" collapsed="false">
      <c r="A210" s="5" t="s">
        <v>746</v>
      </c>
      <c r="B210" s="0" t="s">
        <v>86</v>
      </c>
      <c r="F210" s="38" t="n">
        <f aca="false">Sens!$F$248</f>
        <v>2.59</v>
      </c>
      <c r="H210" s="38" t="n">
        <f aca="false">Sens!$H$248</f>
        <v>3.80133635330174</v>
      </c>
      <c r="I210" s="38" t="n">
        <f aca="false">Sens!$I$248</f>
        <v>2.10589651022864</v>
      </c>
      <c r="J210" s="38" t="n">
        <f aca="false">Sens!$J$248</f>
        <v>2.10589651022864</v>
      </c>
      <c r="K210" s="38" t="n">
        <f aca="false">Sens!$K$248</f>
        <v>3.14850442073996</v>
      </c>
      <c r="L210" s="38" t="n">
        <f aca="false">Sens!$L$248</f>
        <v>8.25959583122945</v>
      </c>
      <c r="M210" s="38" t="n">
        <f aca="false">Sens!$M$248</f>
        <v>15.8335708401143</v>
      </c>
    </row>
    <row r="211" customFormat="false" ht="17.15" hidden="false" customHeight="false" outlineLevel="0" collapsed="false">
      <c r="A211" s="5" t="s">
        <v>747</v>
      </c>
      <c r="B211" s="0" t="s">
        <v>86</v>
      </c>
      <c r="C211" s="38" t="n">
        <f aca="false">Q!$D$39</f>
        <v>2.427</v>
      </c>
      <c r="D211" s="38" t="n">
        <f aca="false">Q!$E$39</f>
        <v>19.61</v>
      </c>
      <c r="E211" s="38" t="n">
        <f aca="false">Q!$P$39</f>
        <v>71.492</v>
      </c>
      <c r="F211" s="39" t="n">
        <v>0</v>
      </c>
      <c r="G211" s="38" t="n">
        <f aca="false">Sens!$E$211+Sens!$F$211</f>
        <v>71.492</v>
      </c>
      <c r="H211" s="39" t="n">
        <v>0</v>
      </c>
      <c r="I211" s="39" t="n">
        <v>0</v>
      </c>
      <c r="J211" s="39" t="n">
        <v>0</v>
      </c>
      <c r="K211" s="39" t="n">
        <v>0</v>
      </c>
      <c r="L211" s="39" t="n">
        <v>0</v>
      </c>
      <c r="M211" s="39" t="n">
        <v>0</v>
      </c>
      <c r="N211" s="38" t="n">
        <f aca="false">Q!$N$39</f>
        <v>6.017</v>
      </c>
      <c r="O211" s="38" t="n">
        <f aca="false">Q!$O$39</f>
        <v>13.593</v>
      </c>
      <c r="P211" s="5" t="s">
        <v>748</v>
      </c>
    </row>
    <row r="212" customFormat="false" ht="15" hidden="false" customHeight="false" outlineLevel="0" collapsed="false">
      <c r="A212" s="5" t="s">
        <v>544</v>
      </c>
      <c r="B212" s="0" t="s">
        <v>86</v>
      </c>
      <c r="C212" s="38" t="n">
        <f aca="false">Q!$D$36</f>
        <v>68.614</v>
      </c>
      <c r="D212" s="38" t="n">
        <f aca="false">Q!$E$36</f>
        <v>97.311</v>
      </c>
      <c r="E212" s="38" t="n">
        <f aca="false">Q!$P$36</f>
        <v>120.691</v>
      </c>
      <c r="F212" s="38" t="n">
        <f aca="false">Sens!$F$188-Sens!$F$209+Sens!$F$210+Sens!$F$211</f>
        <v>55.629999609589</v>
      </c>
      <c r="G212" s="38" t="n">
        <f aca="false">Sens!$E$212+Sens!$F$212</f>
        <v>176.320999609589</v>
      </c>
      <c r="H212" s="38" t="n">
        <f aca="false">Sens!$H$188-Sens!$H$209+Sens!$H$210+Sens!$H$211</f>
        <v>123.313761885917</v>
      </c>
      <c r="I212" s="38" t="n">
        <f aca="false">Sens!$I$188-Sens!$I$209+Sens!$I$210+Sens!$I$211</f>
        <v>141.060502691455</v>
      </c>
      <c r="J212" s="38" t="n">
        <f aca="false">Sens!$J$188-Sens!$J$209+Sens!$J$210+Sens!$J$211</f>
        <v>158.858808130232</v>
      </c>
      <c r="K212" s="38" t="n">
        <f aca="false">Sens!$K$188-Sens!$K$209+Sens!$K$210+Sens!$K$211</f>
        <v>171.846913790867</v>
      </c>
      <c r="L212" s="38" t="n">
        <f aca="false">Sens!$L$188-Sens!$L$209+Sens!$L$210+Sens!$L$211</f>
        <v>189.850989307375</v>
      </c>
      <c r="M212" s="38" t="n">
        <f aca="false">Sens!$M$188-Sens!$M$209+Sens!$M$210+Sens!$M$211</f>
        <v>210.166777355014</v>
      </c>
      <c r="N212" s="38" t="n">
        <f aca="false">Q!$N$36</f>
        <v>42.536</v>
      </c>
      <c r="O212" s="38" t="n">
        <f aca="false">Q!$O$36</f>
        <v>54.775</v>
      </c>
    </row>
    <row r="213" customFormat="false" ht="15" hidden="false" customHeight="false" outlineLevel="0" collapsed="false">
      <c r="A213" s="5" t="s">
        <v>545</v>
      </c>
      <c r="B213" s="0" t="s">
        <v>86</v>
      </c>
      <c r="C213" s="38" t="n">
        <f aca="false">Q!$D$37</f>
        <v>9.265</v>
      </c>
      <c r="D213" s="38" t="n">
        <f aca="false">Q!$E$37</f>
        <v>19.087</v>
      </c>
      <c r="E213" s="38" t="n">
        <f aca="false">Q!$P$37</f>
        <v>27.759</v>
      </c>
      <c r="F213" s="38" t="n">
        <f aca="false">Sens!$F$212*tax</f>
        <v>9.65650714815835</v>
      </c>
      <c r="G213" s="38" t="n">
        <f aca="false">Sens!$E$213+Sens!$F$213</f>
        <v>37.4155071481584</v>
      </c>
      <c r="H213" s="38" t="n">
        <f aca="false">Sens!$H$212*tax</f>
        <v>21.4053609828247</v>
      </c>
      <c r="I213" s="38" t="n">
        <f aca="false">Sens!$I$212*tax</f>
        <v>24.4859205846201</v>
      </c>
      <c r="J213" s="38" t="n">
        <f aca="false">Sens!$J$212*tax</f>
        <v>27.5754310088666</v>
      </c>
      <c r="K213" s="38" t="n">
        <f aca="false">Sens!$K$212*tax</f>
        <v>29.8299651816718</v>
      </c>
      <c r="L213" s="38" t="n">
        <f aca="false">Sens!$L$212*tax</f>
        <v>32.9551941074541</v>
      </c>
      <c r="M213" s="38" t="n">
        <f aca="false">Sens!$M$212*tax</f>
        <v>36.4817005586366</v>
      </c>
      <c r="N213" s="38" t="n">
        <f aca="false">Q!$N$37</f>
        <v>7.231</v>
      </c>
      <c r="O213" s="38" t="n">
        <f aca="false">Q!$O$37</f>
        <v>11.856</v>
      </c>
    </row>
    <row r="214" customFormat="false" ht="15" hidden="false" customHeight="false" outlineLevel="0" collapsed="false">
      <c r="A214" s="3" t="s">
        <v>546</v>
      </c>
      <c r="B214" s="8" t="s">
        <v>86</v>
      </c>
      <c r="C214" s="38" t="n">
        <f aca="false">Q!$D$38</f>
        <v>59.248</v>
      </c>
      <c r="D214" s="38" t="n">
        <f aca="false">Q!$E$38</f>
        <v>77.67</v>
      </c>
      <c r="E214" s="38" t="n">
        <f aca="false">Q!$P$38</f>
        <v>92.902</v>
      </c>
      <c r="F214" s="38" t="n">
        <f aca="false">Sens!$F$212-Sens!$F$213</f>
        <v>45.9734924614306</v>
      </c>
      <c r="G214" s="38" t="n">
        <f aca="false">Sens!$E$214+Sens!$F$214</f>
        <v>138.875492461431</v>
      </c>
      <c r="H214" s="38" t="n">
        <f aca="false">Sens!$H$212-Sens!$H$213</f>
        <v>101.908400903092</v>
      </c>
      <c r="I214" s="38" t="n">
        <f aca="false">Sens!$I$212-Sens!$I$213</f>
        <v>116.574582106835</v>
      </c>
      <c r="J214" s="38" t="n">
        <f aca="false">Sens!$J$212-Sens!$J$213</f>
        <v>131.283377121365</v>
      </c>
      <c r="K214" s="38" t="n">
        <f aca="false">Sens!$K$212-Sens!$K$213</f>
        <v>142.016948609195</v>
      </c>
      <c r="L214" s="38" t="n">
        <f aca="false">Sens!$L$212-Sens!$L$213</f>
        <v>156.895795199921</v>
      </c>
      <c r="M214" s="38" t="n">
        <f aca="false">Sens!$M$212-Sens!$M$213</f>
        <v>173.685076796377</v>
      </c>
      <c r="N214" s="38" t="n">
        <f aca="false">Q!$N$38</f>
        <v>35.291</v>
      </c>
      <c r="O214" s="38" t="n">
        <f aca="false">Q!$O$38</f>
        <v>42.379</v>
      </c>
    </row>
    <row r="215" customFormat="false" ht="17.15" hidden="false" customHeight="false" outlineLevel="0" collapsed="false">
      <c r="A215" s="5" t="s">
        <v>549</v>
      </c>
      <c r="B215" s="5" t="s">
        <v>33</v>
      </c>
      <c r="C215" s="22" t="n">
        <f aca="false">Q!$D$41</f>
        <v>10.721</v>
      </c>
      <c r="D215" s="22" t="n">
        <f aca="false">Q!$E$41</f>
        <v>10.827</v>
      </c>
      <c r="E215" s="22" t="n">
        <f aca="false">(Q!$L$41+Q!$M$41)/2</f>
        <v>10.8885</v>
      </c>
      <c r="F215" s="22" t="n">
        <f aca="false">Sens!$G$215</f>
        <v>10.924806</v>
      </c>
      <c r="G215" s="22" t="n">
        <f aca="false">Q!$M$41*(1+sh_g*0.25)</f>
        <v>10.924806</v>
      </c>
      <c r="H215" s="22" t="n">
        <f aca="false">Sens!$G$215*(1+sh_g)</f>
        <v>11.012204448</v>
      </c>
      <c r="I215" s="22" t="n">
        <f aca="false">Sens!$H$215*(1+sh_g)</f>
        <v>11.100302083584</v>
      </c>
      <c r="J215" s="22" t="n">
        <f aca="false">Sens!$I$215*(1+sh_g)</f>
        <v>11.1891045002527</v>
      </c>
      <c r="K215" s="22" t="n">
        <f aca="false">Sens!$J$215*(1+sh_g)</f>
        <v>11.2786173362547</v>
      </c>
      <c r="L215" s="22" t="n">
        <f aca="false">Sens!$K$215*(1+sh_g)</f>
        <v>11.3688462749447</v>
      </c>
      <c r="M215" s="22" t="n">
        <f aca="false">Sens!$L$215*(1+sh_g)</f>
        <v>11.4597970451443</v>
      </c>
      <c r="P215" s="5" t="s">
        <v>749</v>
      </c>
    </row>
    <row r="216" customFormat="false" ht="17.15" hidden="false" customHeight="false" outlineLevel="0" collapsed="false">
      <c r="A216" s="5" t="s">
        <v>750</v>
      </c>
      <c r="B216" s="0" t="s">
        <v>86</v>
      </c>
      <c r="C216" s="38" t="n">
        <f aca="false">Sens!$C$214+Sens!$C$190*(1-tax)</f>
        <v>59.248</v>
      </c>
      <c r="D216" s="38" t="n">
        <f aca="false">Sens!$D$214+Sens!$D$190*(1-tax)</f>
        <v>77.67</v>
      </c>
      <c r="E216" s="38" t="n">
        <f aca="false">Sens!$E$214+Sens!$E$190*(1-tax)</f>
        <v>92.902</v>
      </c>
      <c r="F216" s="38" t="n">
        <f aca="false">Sens!$F$214+Sens!$F$190*(1-tax)</f>
        <v>49.0900874210793</v>
      </c>
      <c r="G216" s="38" t="n">
        <f aca="false">Sens!$G$214+Sens!$G$190*(1-tax)</f>
        <v>141.992087421079</v>
      </c>
      <c r="H216" s="38" t="n">
        <f aca="false">Sens!$H$214+Sens!$H$190*(1-tax)</f>
        <v>114.439796858437</v>
      </c>
      <c r="I216" s="38" t="n">
        <f aca="false">Sens!$I$214+Sens!$I$190*(1-tax)</f>
        <v>137.715847181774</v>
      </c>
      <c r="J216" s="38" t="n">
        <f aca="false">Sens!$J$214+Sens!$J$190*(1-tax)</f>
        <v>161.072814065649</v>
      </c>
      <c r="K216" s="38" t="n">
        <f aca="false">Sens!$K$214+Sens!$K$190*(1-tax)</f>
        <v>179.184254305854</v>
      </c>
      <c r="L216" s="38" t="n">
        <f aca="false">Sens!$L$214+Sens!$L$190*(1-tax)</f>
        <v>198.911872540476</v>
      </c>
      <c r="M216" s="38" t="n">
        <f aca="false">Sens!$M$214+Sens!$M$190*(1-tax)</f>
        <v>218.014598987218</v>
      </c>
      <c r="N216" s="38" t="n">
        <f aca="false">Sens!$N$214+Sens!$N$190*(1-tax)</f>
        <v>35.291</v>
      </c>
      <c r="O216" s="38" t="n">
        <f aca="false">Sens!$O$214+Sens!$O$190*(1-tax)</f>
        <v>42.379</v>
      </c>
    </row>
    <row r="217" customFormat="false" ht="17.15" hidden="false" customHeight="false" outlineLevel="0" collapsed="false">
      <c r="A217" s="43" t="s">
        <v>751</v>
      </c>
      <c r="B217" s="14" t="s">
        <v>27</v>
      </c>
      <c r="C217" s="44" t="n">
        <f aca="false">Sens!$C$216/Sens!$C$215</f>
        <v>5.52635015390355</v>
      </c>
      <c r="D217" s="44" t="n">
        <f aca="false">Sens!$D$216/Sens!$D$215</f>
        <v>7.1737323358271</v>
      </c>
      <c r="E217" s="44" t="n">
        <f aca="false">Sens!$E$216/Sens!$E$215</f>
        <v>8.53212104513937</v>
      </c>
      <c r="F217" s="14"/>
      <c r="G217" s="44" t="n">
        <f aca="false">Sens!$G$216/Sens!$G$215</f>
        <v>12.9972182042481</v>
      </c>
      <c r="H217" s="44" t="n">
        <f aca="false">Sens!$H$216/Sens!$H$215</f>
        <v>10.3920879237963</v>
      </c>
      <c r="I217" s="44" t="n">
        <f aca="false">Sens!$I$216/Sens!$I$215</f>
        <v>12.4064954399249</v>
      </c>
      <c r="J217" s="44" t="n">
        <f aca="false">Sens!$J$216/Sens!$J$215</f>
        <v>14.3955053831172</v>
      </c>
      <c r="K217" s="44" t="n">
        <f aca="false">Sens!$K$216/Sens!$K$215</f>
        <v>15.8870763111957</v>
      </c>
      <c r="L217" s="44" t="n">
        <f aca="false">Sens!$L$216/Sens!$L$215</f>
        <v>17.4962232516811</v>
      </c>
      <c r="M217" s="44" t="n">
        <f aca="false">Sens!$M$216/Sens!$M$215</f>
        <v>19.0242984346389</v>
      </c>
      <c r="N217" s="14"/>
      <c r="O217" s="14"/>
    </row>
    <row r="218" customFormat="false" ht="17.15" hidden="false" customHeight="false" outlineLevel="0" collapsed="false">
      <c r="A218" s="0" t="s">
        <v>752</v>
      </c>
      <c r="B218" s="0" t="s">
        <v>27</v>
      </c>
      <c r="C218" s="30" t="n">
        <f aca="false">Sens!$C$214/Sens!$C$215</f>
        <v>5.52635015390355</v>
      </c>
      <c r="D218" s="30" t="n">
        <f aca="false">Sens!$D$214/Sens!$D$215</f>
        <v>7.1737323358271</v>
      </c>
      <c r="E218" s="30" t="n">
        <f aca="false">Sens!$E$214/Sens!$E$215</f>
        <v>8.53212104513937</v>
      </c>
      <c r="G218" s="30" t="n">
        <f aca="false">Sens!$G$214/Sens!$G$215</f>
        <v>12.7119412886078</v>
      </c>
      <c r="H218" s="30" t="n">
        <f aca="false">Sens!$H$214/Sens!$H$215</f>
        <v>9.25413266565353</v>
      </c>
      <c r="I218" s="30" t="n">
        <f aca="false">Sens!$I$214/Sens!$I$215</f>
        <v>10.501928796986</v>
      </c>
      <c r="J218" s="30" t="n">
        <f aca="false">Sens!$J$214/Sens!$J$215</f>
        <v>11.7331442492472</v>
      </c>
      <c r="K218" s="30" t="n">
        <f aca="false">Sens!$K$214/Sens!$K$215</f>
        <v>12.5916984657939</v>
      </c>
      <c r="L218" s="30" t="n">
        <f aca="false">Sens!$L$214/Sens!$L$215</f>
        <v>13.8005028307662</v>
      </c>
      <c r="M218" s="30" t="n">
        <f aca="false">Sens!$M$214/Sens!$M$215</f>
        <v>15.1560342746184</v>
      </c>
    </row>
    <row r="219" customFormat="false" ht="17.15" hidden="false" customHeight="false" outlineLevel="0" collapsed="false">
      <c r="A219" s="0" t="s">
        <v>753</v>
      </c>
      <c r="B219" s="0" t="s">
        <v>27</v>
      </c>
      <c r="C219" s="30" t="n">
        <f aca="false">(Sens!$C$214-Sens!$C$211*(1-tax))/Sens!$C$215</f>
        <v>5.33926775917445</v>
      </c>
      <c r="D219" s="30" t="n">
        <f aca="false">(Sens!$D$214-Sens!$D$211*(1-tax))/Sens!$D$215</f>
        <v>5.67691812755503</v>
      </c>
      <c r="E219" s="30" t="n">
        <f aca="false">(Sens!$E$214-Sens!$E$211*(1-tax))/Sens!$E$215</f>
        <v>3.10602057006846</v>
      </c>
      <c r="G219" s="30" t="n">
        <f aca="false">(Sens!$G$214-Sens!$G$211*(1-tax))/Sens!$G$215</f>
        <v>7.30387317071086</v>
      </c>
      <c r="H219" s="30" t="n">
        <f aca="false">(Sens!$H$214-Sens!$H$211*(1-tax))/Sens!$H$215</f>
        <v>9.25413266565353</v>
      </c>
      <c r="I219" s="30" t="n">
        <f aca="false">(Sens!$I$214-Sens!$I$211*(1-tax))/Sens!$I$215</f>
        <v>10.501928796986</v>
      </c>
      <c r="J219" s="30" t="n">
        <f aca="false">(Sens!$J$214-Sens!$J$211*(1-tax))/Sens!$J$215</f>
        <v>11.7331442492472</v>
      </c>
      <c r="K219" s="30" t="n">
        <f aca="false">(Sens!$K$214-Sens!$K$211*(1-tax))/Sens!$K$215</f>
        <v>12.5916984657939</v>
      </c>
      <c r="L219" s="30" t="n">
        <f aca="false">(Sens!$L$214-Sens!$L$211*(1-tax))/Sens!$L$215</f>
        <v>13.8005028307662</v>
      </c>
      <c r="M219" s="30" t="n">
        <f aca="false">(Sens!$M$214-Sens!$M$211*(1-tax))/Sens!$M$215</f>
        <v>15.1560342746184</v>
      </c>
      <c r="P219" s="5" t="s">
        <v>754</v>
      </c>
    </row>
    <row r="220" customFormat="false" ht="17.15" hidden="false" customHeight="false" outlineLevel="0" collapsed="false">
      <c r="A220" s="0" t="s">
        <v>755</v>
      </c>
      <c r="B220" s="0" t="s">
        <v>52</v>
      </c>
      <c r="H220" s="13" t="n">
        <f aca="false">Sens!$H$217/Sens!$G$217-1</f>
        <v>-0.200437527439553</v>
      </c>
      <c r="I220" s="13" t="n">
        <f aca="false">Sens!$I$217/Sens!$H$217-1</f>
        <v>0.193840499705158</v>
      </c>
      <c r="J220" s="13" t="n">
        <f aca="false">Sens!$J$217/Sens!$I$217-1</f>
        <v>0.160320047899391</v>
      </c>
      <c r="K220" s="13" t="n">
        <f aca="false">Sens!$K$217/Sens!$J$217-1</f>
        <v>0.103613654983436</v>
      </c>
      <c r="L220" s="13" t="n">
        <f aca="false">Sens!$L$217/Sens!$K$217-1</f>
        <v>0.101286536865904</v>
      </c>
      <c r="M220" s="13" t="n">
        <f aca="false">Sens!$M$217/Sens!$L$217-1</f>
        <v>0.0873374305400994</v>
      </c>
    </row>
    <row r="223" customFormat="false" ht="19.4" hidden="false" customHeight="false" outlineLevel="0" collapsed="false">
      <c r="A223" s="31" t="s">
        <v>1130</v>
      </c>
    </row>
    <row r="224" customFormat="false" ht="17.15" hidden="false" customHeight="false" outlineLevel="0" collapsed="false">
      <c r="A224" s="6" t="s">
        <v>16</v>
      </c>
      <c r="B224" s="6" t="s">
        <v>17</v>
      </c>
      <c r="C224" s="20" t="s">
        <v>494</v>
      </c>
      <c r="D224" s="20" t="s">
        <v>495</v>
      </c>
      <c r="E224" s="20" t="s">
        <v>577</v>
      </c>
      <c r="F224" s="20" t="s">
        <v>578</v>
      </c>
      <c r="G224" s="20" t="s">
        <v>579</v>
      </c>
      <c r="H224" s="20" t="s">
        <v>580</v>
      </c>
      <c r="I224" s="20" t="s">
        <v>581</v>
      </c>
      <c r="J224" s="20" t="s">
        <v>582</v>
      </c>
      <c r="K224" s="20" t="s">
        <v>583</v>
      </c>
      <c r="L224" s="20" t="s">
        <v>584</v>
      </c>
      <c r="M224" s="20" t="s">
        <v>585</v>
      </c>
      <c r="N224" s="20" t="s">
        <v>586</v>
      </c>
      <c r="O224" s="20" t="s">
        <v>587</v>
      </c>
      <c r="P224" s="6" t="s">
        <v>23</v>
      </c>
      <c r="R224" s="20" t="n">
        <v>2023</v>
      </c>
      <c r="S224" s="20" t="n">
        <v>2024</v>
      </c>
      <c r="T224" s="20" t="n">
        <v>2025</v>
      </c>
      <c r="U224" s="20" t="n">
        <v>2026</v>
      </c>
      <c r="V224" s="20" t="n">
        <v>2027</v>
      </c>
      <c r="W224" s="20" t="n">
        <v>2028</v>
      </c>
      <c r="X224" s="20" t="n">
        <v>2029</v>
      </c>
      <c r="Y224" s="20" t="n">
        <v>2030</v>
      </c>
      <c r="Z224" s="20" t="n">
        <v>2031</v>
      </c>
      <c r="AA224" s="20" t="n">
        <v>2032</v>
      </c>
    </row>
    <row r="225" customFormat="false" ht="15" hidden="false" customHeight="false" outlineLevel="0" collapsed="false">
      <c r="A225" s="5" t="s">
        <v>546</v>
      </c>
      <c r="B225" s="0" t="s">
        <v>86</v>
      </c>
      <c r="C225" s="38" t="n">
        <f aca="false">Sens!$C$214</f>
        <v>59.248</v>
      </c>
      <c r="D225" s="38" t="n">
        <f aca="false">Sens!$D$214</f>
        <v>77.67</v>
      </c>
      <c r="E225" s="38" t="n">
        <f aca="false">Sens!$E$214</f>
        <v>92.902</v>
      </c>
      <c r="F225" s="38" t="n">
        <f aca="false">Sens!$F$214</f>
        <v>45.9734924614306</v>
      </c>
      <c r="G225" s="38" t="n">
        <f aca="false">Sens!$G$214</f>
        <v>138.875492461431</v>
      </c>
      <c r="H225" s="38" t="n">
        <f aca="false">Sens!$H$214</f>
        <v>101.908400903092</v>
      </c>
      <c r="I225" s="38" t="n">
        <f aca="false">Sens!$I$214</f>
        <v>116.574582106835</v>
      </c>
      <c r="J225" s="38" t="n">
        <f aca="false">Sens!$J$214</f>
        <v>131.283377121365</v>
      </c>
      <c r="K225" s="38" t="n">
        <f aca="false">Sens!$K$214</f>
        <v>142.016948609195</v>
      </c>
      <c r="L225" s="38" t="n">
        <f aca="false">Sens!$L$214</f>
        <v>156.895795199921</v>
      </c>
      <c r="M225" s="38" t="n">
        <f aca="false">Sens!$M$214</f>
        <v>173.685076796377</v>
      </c>
    </row>
    <row r="226" customFormat="false" ht="17.15" hidden="false" customHeight="false" outlineLevel="0" collapsed="false">
      <c r="A226" s="5" t="s">
        <v>778</v>
      </c>
      <c r="B226" s="0" t="s">
        <v>86</v>
      </c>
      <c r="C226" s="38" t="n">
        <f aca="false">Sens!$C$202</f>
        <v>32.067</v>
      </c>
      <c r="D226" s="38" t="n">
        <f aca="false">Sens!$D$202</f>
        <v>41.86</v>
      </c>
      <c r="E226" s="38" t="n">
        <f aca="false">Sens!$E$202</f>
        <v>26.703</v>
      </c>
      <c r="F226" s="38" t="n">
        <f aca="false">Sens!$F$202</f>
        <v>29.2913179650864</v>
      </c>
      <c r="G226" s="38" t="n">
        <f aca="false">Sens!$G$202</f>
        <v>55.9943179650864</v>
      </c>
      <c r="H226" s="38" t="n">
        <f aca="false">Sens!$H$202</f>
        <v>84.3163410985152</v>
      </c>
      <c r="I226" s="38" t="n">
        <f aca="false">Sens!$I$202</f>
        <v>117.040344991004</v>
      </c>
      <c r="J226" s="38" t="n">
        <f aca="false">Sens!$J$202</f>
        <v>150.498981474685</v>
      </c>
      <c r="K226" s="38" t="n">
        <f aca="false">Sens!$K$202</f>
        <v>184.188121970284</v>
      </c>
      <c r="L226" s="38" t="n">
        <f aca="false">Sens!$L$202</f>
        <v>207.768718060808</v>
      </c>
      <c r="M226" s="38" t="n">
        <f aca="false">Sens!$M$202</f>
        <v>224.003934647752</v>
      </c>
    </row>
    <row r="227" customFormat="false" ht="15" hidden="false" customHeight="false" outlineLevel="0" collapsed="false">
      <c r="A227" s="5" t="s">
        <v>779</v>
      </c>
      <c r="B227" s="0" t="s">
        <v>86</v>
      </c>
      <c r="C227" s="38" t="n">
        <f aca="false">Q!$D$48</f>
        <v>22.011</v>
      </c>
      <c r="D227" s="38" t="n">
        <f aca="false">Q!$E$48</f>
        <v>19.467</v>
      </c>
      <c r="E227" s="38" t="n">
        <f aca="false">Q!$P$48</f>
        <v>10.07</v>
      </c>
      <c r="F227" s="38" t="n">
        <f aca="false">sbc_r*Sens!$F$144</f>
        <v>10.8507035798037</v>
      </c>
      <c r="G227" s="38" t="n">
        <f aca="false">Sens!$E$227+Sens!$F$227</f>
        <v>20.9207035798037</v>
      </c>
      <c r="H227" s="38" t="n">
        <f aca="false">sbc_r*Sens!$H$144</f>
        <v>23.46224366345</v>
      </c>
      <c r="I227" s="38" t="n">
        <f aca="false">sbc_r*Sens!$I$144</f>
        <v>26.6125957111676</v>
      </c>
      <c r="J227" s="38" t="n">
        <f aca="false">sbc_r*Sens!$J$144</f>
        <v>29.6280801413323</v>
      </c>
      <c r="K227" s="38" t="n">
        <f aca="false">sbc_r*Sens!$K$144</f>
        <v>32.2712258901105</v>
      </c>
      <c r="L227" s="38" t="n">
        <f aca="false">sbc_r*Sens!$L$144</f>
        <v>34.7390505016737</v>
      </c>
      <c r="M227" s="38" t="n">
        <f aca="false">sbc_r*Sens!$M$144</f>
        <v>37.0405146906692</v>
      </c>
    </row>
    <row r="228" customFormat="false" ht="17.15" hidden="false" customHeight="false" outlineLevel="0" collapsed="false">
      <c r="A228" s="5" t="s">
        <v>780</v>
      </c>
      <c r="B228" s="0" t="s">
        <v>86</v>
      </c>
      <c r="C228" s="38" t="n">
        <f aca="false">Q!$D$44-Sens!$C$225-Sens!$C$226-Sens!$C$227</f>
        <v>2.551</v>
      </c>
      <c r="D228" s="38" t="n">
        <f aca="false">Q!$E$44-Sens!$D$225-Sens!$D$226-Sens!$D$227</f>
        <v>0.51700000000001</v>
      </c>
      <c r="E228" s="38" t="n">
        <f aca="false">Q!$P$44-Sens!$E$225-Sens!$E$226-Sens!$E$227</f>
        <v>-58.256</v>
      </c>
      <c r="F228" s="38" t="n">
        <f aca="false">oth_r*Sens!$F$144</f>
        <v>5.22265251035878</v>
      </c>
      <c r="G228" s="38" t="n">
        <f aca="false">Sens!$E$228+Sens!$F$228</f>
        <v>-53.0333474896412</v>
      </c>
      <c r="H228" s="38" t="n">
        <f aca="false">oth_r*Sens!$H$144</f>
        <v>11.2928295263397</v>
      </c>
      <c r="I228" s="38" t="n">
        <f aca="false">oth_r*Sens!$I$144</f>
        <v>12.8091546115766</v>
      </c>
      <c r="J228" s="38" t="n">
        <f aca="false">oth_r*Sens!$J$144</f>
        <v>14.2605653162668</v>
      </c>
      <c r="K228" s="38" t="n">
        <f aca="false">oth_r*Sens!$K$144</f>
        <v>15.5327622460396</v>
      </c>
      <c r="L228" s="38" t="n">
        <f aca="false">oth_r*Sens!$L$144</f>
        <v>16.720573737517</v>
      </c>
      <c r="M228" s="38" t="n">
        <f aca="false">oth_r*Sens!$M$144</f>
        <v>17.8283127551536</v>
      </c>
      <c r="P228" s="8" t="s">
        <v>781</v>
      </c>
    </row>
    <row r="229" customFormat="false" ht="15" hidden="false" customHeight="false" outlineLevel="0" collapsed="false">
      <c r="A229" s="3" t="s">
        <v>552</v>
      </c>
      <c r="B229" s="8" t="s">
        <v>86</v>
      </c>
      <c r="C229" s="38" t="n">
        <f aca="false">Q!$D$44</f>
        <v>115.877</v>
      </c>
      <c r="D229" s="38" t="n">
        <f aca="false">Q!$E$44</f>
        <v>139.514</v>
      </c>
      <c r="E229" s="38" t="n">
        <f aca="false">Q!$P$44</f>
        <v>71.419</v>
      </c>
      <c r="F229" s="38" t="n">
        <f aca="false">Sens!$F$225+Sens!$F$226+Sens!$F$227+Sens!$F$228</f>
        <v>91.3381665166794</v>
      </c>
      <c r="G229" s="38" t="n">
        <f aca="false">Sens!$E$229+Sens!$F$229</f>
        <v>162.757166516679</v>
      </c>
      <c r="H229" s="38" t="n">
        <f aca="false">Sens!$H$225+Sens!$H$226+Sens!$H$227+Sens!$H$228</f>
        <v>220.979815191397</v>
      </c>
      <c r="I229" s="38" t="n">
        <f aca="false">Sens!$I$225+Sens!$I$226+Sens!$I$227+Sens!$I$228</f>
        <v>273.036677420583</v>
      </c>
      <c r="J229" s="38" t="n">
        <f aca="false">Sens!$J$225+Sens!$J$226+Sens!$J$227+Sens!$J$228</f>
        <v>325.671004053649</v>
      </c>
      <c r="K229" s="38" t="n">
        <f aca="false">Sens!$K$225+Sens!$K$226+Sens!$K$227+Sens!$K$228</f>
        <v>374.009058715629</v>
      </c>
      <c r="L229" s="38" t="n">
        <f aca="false">Sens!$L$225+Sens!$L$226+Sens!$L$227+Sens!$L$228</f>
        <v>416.124137499919</v>
      </c>
      <c r="M229" s="38" t="n">
        <f aca="false">Sens!$M$225+Sens!$M$226+Sens!$M$227+Sens!$M$228</f>
        <v>452.557838889952</v>
      </c>
    </row>
    <row r="230" customFormat="false" ht="17.15" hidden="false" customHeight="false" outlineLevel="0" collapsed="false">
      <c r="A230" s="5" t="s">
        <v>782</v>
      </c>
      <c r="B230" s="0" t="s">
        <v>86</v>
      </c>
      <c r="C230" s="38" t="n">
        <f aca="false">Sens!$C$113</f>
        <v>25.2781053077374</v>
      </c>
      <c r="D230" s="38" t="n">
        <f aca="false">Sens!$D$113</f>
        <v>69.5686316310026</v>
      </c>
      <c r="E230" s="38" t="n">
        <f aca="false">Sens!$E$113</f>
        <v>64.1899206485108</v>
      </c>
      <c r="F230" s="38" t="n">
        <f aca="false">Sens!$F$113</f>
        <v>96.2481299895</v>
      </c>
      <c r="G230" s="38" t="n">
        <f aca="false">Sens!$G$113</f>
        <v>160.438050638011</v>
      </c>
      <c r="H230" s="38" t="n">
        <f aca="false">Sens!$H$113</f>
        <v>198.57136494475</v>
      </c>
      <c r="I230" s="38" t="n">
        <f aca="false">Sens!$I$113</f>
        <v>204.6464699105</v>
      </c>
      <c r="J230" s="38" t="n">
        <f aca="false">Sens!$J$113</f>
        <v>209.8832381105</v>
      </c>
      <c r="K230" s="38" t="n">
        <f aca="false">Sens!$K$113</f>
        <v>155.238385275201</v>
      </c>
      <c r="L230" s="38" t="n">
        <f aca="false">Sens!$L$113</f>
        <v>132.014141639902</v>
      </c>
      <c r="M230" s="38" t="n">
        <f aca="false">Sens!$M$113</f>
        <v>132.230981659852</v>
      </c>
    </row>
    <row r="231" customFormat="false" ht="17.15" hidden="false" customHeight="false" outlineLevel="0" collapsed="false">
      <c r="A231" s="5" t="s">
        <v>783</v>
      </c>
      <c r="B231" s="0" t="s">
        <v>86</v>
      </c>
      <c r="C231" s="38" t="n">
        <f aca="false">cx_awso*Sens!$C$142</f>
        <v>21.0469989286053</v>
      </c>
      <c r="D231" s="38" t="n">
        <f aca="false">cx_awso*Sens!$D$142</f>
        <v>24.0042459822698</v>
      </c>
      <c r="E231" s="38" t="n">
        <f aca="false">cx_awso*Sens!$E$142</f>
        <v>14.261729404886</v>
      </c>
      <c r="F231" s="38" t="n">
        <f aca="false">cx_awso*Sens!$F$142</f>
        <v>14.3538599588493</v>
      </c>
      <c r="G231" s="38" t="n">
        <f aca="false">Sens!$E$231+Sens!$F$231</f>
        <v>28.6155893637353</v>
      </c>
      <c r="H231" s="38" t="n">
        <f aca="false">cx_awso*Sens!$H$142</f>
        <v>32.2034154158406</v>
      </c>
      <c r="I231" s="38" t="n">
        <f aca="false">cx_awso*Sens!$I$142</f>
        <v>35.7539519042915</v>
      </c>
      <c r="J231" s="38" t="n">
        <f aca="false">cx_awso*Sens!$J$142</f>
        <v>39.1551076091815</v>
      </c>
      <c r="K231" s="38" t="n">
        <f aca="false">cx_awso*Sens!$K$142</f>
        <v>42.287516217916</v>
      </c>
      <c r="L231" s="38" t="n">
        <f aca="false">cx_awso*Sens!$L$142</f>
        <v>45.6705175153492</v>
      </c>
      <c r="M231" s="38" t="n">
        <f aca="false">cx_awso*Sens!$M$142</f>
        <v>49.3241589165772</v>
      </c>
    </row>
    <row r="232" customFormat="false" ht="17.15" hidden="false" customHeight="false" outlineLevel="0" collapsed="false">
      <c r="A232" s="5" t="s">
        <v>784</v>
      </c>
      <c r="B232" s="0" t="s">
        <v>86</v>
      </c>
      <c r="C232" s="38" t="n">
        <f aca="false">Q!$D$46-Sens!$C$230-Sens!$C$231</f>
        <v>31.3328957636573</v>
      </c>
      <c r="D232" s="38" t="n">
        <f aca="false">Q!$E$46-Sens!$D$230-Sens!$D$231</f>
        <v>34.7471223867276</v>
      </c>
      <c r="E232" s="38" t="n">
        <f aca="false">Q!$P$46-Sens!$E$230-Sens!$E$231</f>
        <v>17.8583499466032</v>
      </c>
      <c r="F232" s="38" t="n">
        <f aca="false">cx_rt*Sens!$F$76</f>
        <v>20.6195895799373</v>
      </c>
      <c r="G232" s="38" t="n">
        <f aca="false">Sens!$E$232+Sens!$F$232</f>
        <v>38.4779395265405</v>
      </c>
      <c r="H232" s="38" t="n">
        <f aca="false">cx_rt*Sens!$H$76</f>
        <v>42.5978994743075</v>
      </c>
      <c r="I232" s="38" t="n">
        <f aca="false">cx_rt*Sens!$I$76</f>
        <v>46.5813904136335</v>
      </c>
      <c r="J232" s="38" t="n">
        <f aca="false">cx_rt*Sens!$J$76</f>
        <v>50.2781676586844</v>
      </c>
      <c r="K232" s="38" t="n">
        <f aca="false">cx_rt*Sens!$K$76</f>
        <v>53.5312440191755</v>
      </c>
      <c r="L232" s="38" t="n">
        <f aca="false">cx_rt*Sens!$L$76</f>
        <v>57.0116717051447</v>
      </c>
      <c r="M232" s="38" t="n">
        <f aca="false">cx_rt*Sens!$M$76</f>
        <v>60.7365554669226</v>
      </c>
    </row>
    <row r="233" customFormat="false" ht="15" hidden="false" customHeight="false" outlineLevel="0" collapsed="false">
      <c r="A233" s="3" t="s">
        <v>785</v>
      </c>
      <c r="B233" s="8" t="s">
        <v>86</v>
      </c>
      <c r="C233" s="38" t="n">
        <f aca="false">Q!$D$46</f>
        <v>77.658</v>
      </c>
      <c r="D233" s="38" t="n">
        <f aca="false">Q!$E$46</f>
        <v>128.32</v>
      </c>
      <c r="E233" s="38" t="n">
        <f aca="false">Q!$P$46</f>
        <v>96.31</v>
      </c>
      <c r="F233" s="38" t="n">
        <f aca="false">Sens!$F$230+Sens!$F$231+Sens!$F$232</f>
        <v>131.221579528287</v>
      </c>
      <c r="G233" s="38" t="n">
        <f aca="false">Sens!$E$233+Sens!$F$233</f>
        <v>227.531579528287</v>
      </c>
      <c r="H233" s="38" t="n">
        <f aca="false">Sens!$H$230+Sens!$H$231+Sens!$H$232</f>
        <v>273.372679834898</v>
      </c>
      <c r="I233" s="38" t="n">
        <f aca="false">Sens!$I$230+Sens!$I$231+Sens!$I$232</f>
        <v>286.981812228425</v>
      </c>
      <c r="J233" s="38" t="n">
        <f aca="false">Sens!$J$230+Sens!$J$231+Sens!$J$232</f>
        <v>299.316513378366</v>
      </c>
      <c r="K233" s="38" t="n">
        <f aca="false">Sens!$K$230+Sens!$K$231+Sens!$K$232</f>
        <v>251.057145512292</v>
      </c>
      <c r="L233" s="38" t="n">
        <f aca="false">Sens!$L$230+Sens!$L$231+Sens!$L$232</f>
        <v>234.696330860396</v>
      </c>
      <c r="M233" s="38" t="n">
        <f aca="false">Sens!$M$230+Sens!$M$231+Sens!$M$232</f>
        <v>242.291696043352</v>
      </c>
    </row>
    <row r="234" customFormat="false" ht="17.15" hidden="false" customHeight="false" outlineLevel="0" collapsed="false">
      <c r="A234" s="5" t="s">
        <v>560</v>
      </c>
      <c r="B234" s="0" t="s">
        <v>86</v>
      </c>
      <c r="C234" s="38" t="n">
        <f aca="false">Q!$D$50</f>
        <v>2.043</v>
      </c>
      <c r="D234" s="38" t="n">
        <f aca="false">Q!$E$50</f>
        <v>1.557</v>
      </c>
      <c r="E234" s="38" t="n">
        <f aca="false">lease_pr/2</f>
        <v>0.8</v>
      </c>
      <c r="F234" s="38" t="n">
        <f aca="false">lease_pr/2</f>
        <v>0.8</v>
      </c>
      <c r="G234" s="38" t="n">
        <f aca="false">Sens!$E$234+Sens!$F$234</f>
        <v>1.6</v>
      </c>
      <c r="H234" s="38" t="n">
        <f aca="false">lease_pr</f>
        <v>1.6</v>
      </c>
      <c r="I234" s="38" t="n">
        <f aca="false">lease_pr</f>
        <v>1.6</v>
      </c>
      <c r="J234" s="38" t="n">
        <f aca="false">lease_pr</f>
        <v>1.6</v>
      </c>
      <c r="K234" s="38" t="n">
        <f aca="false">lease_pr</f>
        <v>1.6</v>
      </c>
      <c r="L234" s="38" t="n">
        <f aca="false">lease_pr</f>
        <v>1.6</v>
      </c>
      <c r="M234" s="38" t="n">
        <f aca="false">lease_pr</f>
        <v>1.6</v>
      </c>
      <c r="P234" s="8" t="s">
        <v>786</v>
      </c>
    </row>
    <row r="235" customFormat="false" ht="15" hidden="false" customHeight="false" outlineLevel="0" collapsed="false">
      <c r="A235" s="47" t="s">
        <v>787</v>
      </c>
      <c r="B235" s="14" t="s">
        <v>86</v>
      </c>
      <c r="C235" s="48" t="n">
        <f aca="false">Sens!$C$229-Sens!$C$233-Sens!$C$234</f>
        <v>36.176</v>
      </c>
      <c r="D235" s="48" t="n">
        <f aca="false">Sens!$D$229-Sens!$D$233-Sens!$D$234</f>
        <v>9.63700000000002</v>
      </c>
      <c r="E235" s="48" t="n">
        <f aca="false">Sens!$E$229-Sens!$E$233-Sens!$E$234</f>
        <v>-25.691</v>
      </c>
      <c r="F235" s="48" t="n">
        <f aca="false">Sens!$F$229-Sens!$F$233-Sens!$F$234</f>
        <v>-40.6834130116072</v>
      </c>
      <c r="G235" s="48" t="n">
        <f aca="false">Sens!$G$229-Sens!$G$233-Sens!$G$234</f>
        <v>-66.3744130116072</v>
      </c>
      <c r="H235" s="48" t="n">
        <f aca="false">Sens!$H$229-Sens!$H$233-Sens!$H$234</f>
        <v>-53.9928646435014</v>
      </c>
      <c r="I235" s="48" t="n">
        <f aca="false">Sens!$I$229-Sens!$I$233-Sens!$I$234</f>
        <v>-15.5451348078424</v>
      </c>
      <c r="J235" s="48" t="n">
        <f aca="false">Sens!$J$229-Sens!$J$233-Sens!$J$234</f>
        <v>24.754490675283</v>
      </c>
      <c r="K235" s="48" t="n">
        <f aca="false">Sens!$K$229-Sens!$K$233-Sens!$K$234</f>
        <v>121.351913203336</v>
      </c>
      <c r="L235" s="48" t="n">
        <f aca="false">Sens!$L$229-Sens!$L$233-Sens!$L$234</f>
        <v>179.827806639524</v>
      </c>
      <c r="M235" s="48" t="n">
        <f aca="false">Sens!$M$229-Sens!$M$233-Sens!$M$234</f>
        <v>208.6661428466</v>
      </c>
      <c r="N235" s="14"/>
      <c r="O235" s="14"/>
    </row>
    <row r="236" customFormat="false" ht="17.15" hidden="false" customHeight="false" outlineLevel="0" collapsed="false">
      <c r="A236" s="5" t="s">
        <v>788</v>
      </c>
      <c r="B236" s="0" t="s">
        <v>86</v>
      </c>
      <c r="C236" s="38" t="n">
        <f aca="false">dps*Sens!$C$215</f>
        <v>0</v>
      </c>
      <c r="D236" s="38" t="n">
        <f aca="false">dps*Sens!$D$215</f>
        <v>0</v>
      </c>
      <c r="E236" s="38" t="n">
        <f aca="false">dps*Sens!$E$215</f>
        <v>0</v>
      </c>
      <c r="F236" s="38" t="n">
        <f aca="false">0</f>
        <v>0</v>
      </c>
      <c r="G236" s="38" t="n">
        <f aca="false">dps*Sens!$G$215</f>
        <v>0</v>
      </c>
      <c r="H236" s="38" t="n">
        <f aca="false">dps*Sens!$H$215</f>
        <v>0</v>
      </c>
      <c r="I236" s="38" t="n">
        <f aca="false">dps*Sens!$I$215</f>
        <v>0</v>
      </c>
      <c r="J236" s="38" t="n">
        <f aca="false">dps*Sens!$J$215</f>
        <v>0</v>
      </c>
      <c r="K236" s="38" t="n">
        <f aca="false">dps*Sens!$K$215</f>
        <v>0</v>
      </c>
      <c r="L236" s="38" t="n">
        <f aca="false">dps*Sens!$L$215</f>
        <v>0</v>
      </c>
      <c r="M236" s="38" t="n">
        <f aca="false">dps*Sens!$M$215</f>
        <v>0</v>
      </c>
      <c r="P236" s="8" t="s">
        <v>789</v>
      </c>
    </row>
    <row r="237" customFormat="false" ht="17.15" hidden="false" customHeight="false" outlineLevel="0" collapsed="false">
      <c r="A237" s="5" t="s">
        <v>790</v>
      </c>
      <c r="B237" s="0" t="s">
        <v>86</v>
      </c>
      <c r="C237" s="38" t="n">
        <f aca="false">0</f>
        <v>0</v>
      </c>
      <c r="D237" s="38" t="n">
        <f aca="false">0</f>
        <v>0</v>
      </c>
      <c r="E237" s="38" t="n">
        <f aca="false">0</f>
        <v>0</v>
      </c>
      <c r="F237" s="38" t="n">
        <f aca="false">0</f>
        <v>0</v>
      </c>
      <c r="G237" s="38" t="n">
        <f aca="false">0</f>
        <v>0</v>
      </c>
      <c r="H237" s="38" t="n">
        <f aca="false">0</f>
        <v>0</v>
      </c>
      <c r="I237" s="38" t="n">
        <f aca="false">0</f>
        <v>0</v>
      </c>
      <c r="J237" s="38" t="n">
        <f aca="false">0</f>
        <v>0</v>
      </c>
      <c r="K237" s="38" t="n">
        <f aca="false">0</f>
        <v>0</v>
      </c>
      <c r="L237" s="38" t="n">
        <f aca="false">0</f>
        <v>0</v>
      </c>
      <c r="M237" s="38" t="n">
        <f aca="false">0</f>
        <v>0</v>
      </c>
      <c r="P237" s="8" t="s">
        <v>791</v>
      </c>
    </row>
    <row r="238" customFormat="false" ht="15" hidden="false" customHeight="false" outlineLevel="0" collapsed="false">
      <c r="A238" s="3" t="s">
        <v>792</v>
      </c>
      <c r="B238" s="8" t="s">
        <v>86</v>
      </c>
      <c r="C238" s="38" t="n">
        <f aca="false">Sens!$C$235-Sens!$C$236</f>
        <v>36.176</v>
      </c>
      <c r="D238" s="38" t="n">
        <f aca="false">Sens!$D$235-Sens!$D$236</f>
        <v>9.63700000000002</v>
      </c>
      <c r="E238" s="38" t="n">
        <f aca="false">Sens!$E$235-Sens!$E$236</f>
        <v>-25.691</v>
      </c>
      <c r="F238" s="38" t="n">
        <f aca="false">Sens!$F$235-Sens!$F$236</f>
        <v>-40.6834130116072</v>
      </c>
      <c r="G238" s="38" t="n">
        <f aca="false">Sens!$G$235-Sens!$G$236</f>
        <v>-66.3744130116072</v>
      </c>
      <c r="H238" s="38" t="n">
        <f aca="false">Sens!$H$235-Sens!$H$236</f>
        <v>-53.9928646435014</v>
      </c>
      <c r="I238" s="38" t="n">
        <f aca="false">Sens!$I$235-Sens!$I$236</f>
        <v>-15.5451348078424</v>
      </c>
      <c r="J238" s="38" t="n">
        <f aca="false">Sens!$J$235-Sens!$J$236</f>
        <v>24.754490675283</v>
      </c>
      <c r="K238" s="38" t="n">
        <f aca="false">Sens!$K$235-Sens!$K$236</f>
        <v>121.351913203336</v>
      </c>
      <c r="L238" s="38" t="n">
        <f aca="false">Sens!$L$235-Sens!$L$236</f>
        <v>179.827806639524</v>
      </c>
      <c r="M238" s="38" t="n">
        <f aca="false">Sens!$M$235-Sens!$M$236</f>
        <v>208.6661428466</v>
      </c>
    </row>
    <row r="239" customFormat="false" ht="17.15" hidden="false" customHeight="false" outlineLevel="0" collapsed="false">
      <c r="A239" s="5" t="s">
        <v>793</v>
      </c>
      <c r="B239" s="0" t="s">
        <v>86</v>
      </c>
      <c r="E239" s="38" t="n">
        <f aca="false">Q!$P$53</f>
        <v>39.767</v>
      </c>
      <c r="F239" s="38" t="n">
        <f aca="false">inv_2h26</f>
        <v>21.3</v>
      </c>
      <c r="G239" s="38" t="n">
        <f aca="false">Sens!$E$239+Sens!$F$239</f>
        <v>61.067</v>
      </c>
      <c r="H239" s="39" t="n">
        <v>0</v>
      </c>
      <c r="I239" s="39" t="n">
        <v>0</v>
      </c>
      <c r="J239" s="39" t="n">
        <v>0</v>
      </c>
      <c r="K239" s="39" t="n">
        <v>0</v>
      </c>
      <c r="L239" s="39" t="n">
        <v>0</v>
      </c>
      <c r="M239" s="39" t="n">
        <v>0</v>
      </c>
    </row>
    <row r="240" customFormat="false" ht="17.15" hidden="false" customHeight="false" outlineLevel="0" collapsed="false">
      <c r="A240" s="5" t="s">
        <v>794</v>
      </c>
      <c r="B240" s="0" t="s">
        <v>86</v>
      </c>
      <c r="F240" s="38" t="n">
        <f aca="false">iss_2h26</f>
        <v>29.249999</v>
      </c>
      <c r="G240" s="38" t="n">
        <f aca="false">Sens!$F$240</f>
        <v>29.249999</v>
      </c>
      <c r="H240" s="39" t="n">
        <v>0</v>
      </c>
      <c r="I240" s="39" t="n">
        <v>0</v>
      </c>
      <c r="J240" s="39" t="n">
        <v>0</v>
      </c>
      <c r="K240" s="39" t="n">
        <v>0</v>
      </c>
      <c r="L240" s="39" t="n">
        <v>0</v>
      </c>
      <c r="M240" s="39" t="n">
        <v>0</v>
      </c>
    </row>
    <row r="241" customFormat="false" ht="17.15" hidden="false" customHeight="false" outlineLevel="0" collapsed="false">
      <c r="A241" s="5" t="s">
        <v>795</v>
      </c>
      <c r="B241" s="0" t="s">
        <v>86</v>
      </c>
      <c r="F241" s="38" t="n">
        <f aca="false">cash_q2</f>
        <v>122.988</v>
      </c>
      <c r="G241" s="38" t="n">
        <f aca="false">cash_q2</f>
        <v>122.988</v>
      </c>
      <c r="H241" s="38" t="n">
        <f aca="false">Sens!$G$244</f>
        <v>90.2545859883928</v>
      </c>
      <c r="I241" s="38" t="n">
        <f aca="false">Sens!$H$244</f>
        <v>50</v>
      </c>
      <c r="J241" s="38" t="n">
        <f aca="false">Sens!$I$244</f>
        <v>50</v>
      </c>
      <c r="K241" s="38" t="n">
        <f aca="false">Sens!$J$244</f>
        <v>74.7544906752831</v>
      </c>
      <c r="L241" s="38" t="n">
        <f aca="false">Sens!$K$244</f>
        <v>196.106403878619</v>
      </c>
      <c r="M241" s="38" t="n">
        <f aca="false">Sens!$L$244</f>
        <v>375.934210518143</v>
      </c>
    </row>
    <row r="242" customFormat="false" ht="15" hidden="false" customHeight="false" outlineLevel="0" collapsed="false">
      <c r="A242" s="5" t="s">
        <v>796</v>
      </c>
      <c r="B242" s="0" t="s">
        <v>86</v>
      </c>
      <c r="F242" s="38" t="n">
        <f aca="false">Sens!$F$241+Sens!$F$238-Sens!$F$237-Sens!$F$239+Sens!$F$240</f>
        <v>90.2545859883928</v>
      </c>
      <c r="H242" s="38" t="n">
        <f aca="false">Sens!$H$241+Sens!$H$238-Sens!$H$237-Sens!$H$239+Sens!$H$240</f>
        <v>36.2617213448915</v>
      </c>
      <c r="I242" s="38" t="n">
        <f aca="false">Sens!$I$241+Sens!$I$238-Sens!$I$237-Sens!$I$239+Sens!$I$240</f>
        <v>34.4548651921577</v>
      </c>
      <c r="J242" s="38" t="n">
        <f aca="false">Sens!$J$241+Sens!$J$238-Sens!$J$237-Sens!$J$239+Sens!$J$240</f>
        <v>74.7544906752831</v>
      </c>
      <c r="K242" s="38" t="n">
        <f aca="false">Sens!$K$241+Sens!$K$238-Sens!$K$237-Sens!$K$239+Sens!$K$240</f>
        <v>196.106403878619</v>
      </c>
      <c r="L242" s="38" t="n">
        <f aca="false">Sens!$L$241+Sens!$L$238-Sens!$L$237-Sens!$L$239+Sens!$L$240</f>
        <v>375.934210518143</v>
      </c>
      <c r="M242" s="38" t="n">
        <f aca="false">Sens!$M$241+Sens!$M$238-Sens!$M$237-Sens!$M$239+Sens!$M$240</f>
        <v>584.600353364743</v>
      </c>
    </row>
    <row r="243" customFormat="false" ht="17.15" hidden="false" customHeight="false" outlineLevel="0" collapsed="false">
      <c r="A243" s="5" t="s">
        <v>797</v>
      </c>
      <c r="B243" s="0" t="s">
        <v>86</v>
      </c>
      <c r="F243" s="38" t="n">
        <f aca="false">MAX(0,min_cash-Sens!$F$242)</f>
        <v>0</v>
      </c>
      <c r="G243" s="38" t="n">
        <f aca="false">Sens!$F$243</f>
        <v>0</v>
      </c>
      <c r="H243" s="38" t="n">
        <f aca="false">MAX(0,min_cash-Sens!$H$242)</f>
        <v>13.7382786551085</v>
      </c>
      <c r="I243" s="38" t="n">
        <f aca="false">MAX(0,min_cash-Sens!$I$242)</f>
        <v>15.5451348078424</v>
      </c>
      <c r="J243" s="38" t="n">
        <f aca="false">MAX(0,min_cash-Sens!$J$242)</f>
        <v>0</v>
      </c>
      <c r="K243" s="38" t="n">
        <f aca="false">MAX(0,min_cash-Sens!$K$242)</f>
        <v>0</v>
      </c>
      <c r="L243" s="38" t="n">
        <f aca="false">MAX(0,min_cash-Sens!$L$242)</f>
        <v>0</v>
      </c>
      <c r="M243" s="38" t="n">
        <f aca="false">MAX(0,min_cash-Sens!$M$242)</f>
        <v>0</v>
      </c>
      <c r="P243" s="5" t="s">
        <v>798</v>
      </c>
    </row>
    <row r="244" customFormat="false" ht="15" hidden="false" customHeight="false" outlineLevel="0" collapsed="false">
      <c r="A244" s="5" t="s">
        <v>799</v>
      </c>
      <c r="B244" s="0" t="s">
        <v>86</v>
      </c>
      <c r="D244" s="38" t="n">
        <f aca="false">Q!$E$61</f>
        <v>123.029</v>
      </c>
      <c r="E244" s="38" t="n">
        <f aca="false">Q!$M$61</f>
        <v>122.988</v>
      </c>
      <c r="F244" s="38" t="n">
        <f aca="false">Sens!$F$242+Sens!$F$243</f>
        <v>90.2545859883928</v>
      </c>
      <c r="G244" s="38" t="n">
        <f aca="false">Sens!$F$244</f>
        <v>90.2545859883928</v>
      </c>
      <c r="H244" s="38" t="n">
        <f aca="false">Sens!$H$242+Sens!$H$243</f>
        <v>50</v>
      </c>
      <c r="I244" s="38" t="n">
        <f aca="false">Sens!$I$242+Sens!$I$243</f>
        <v>50</v>
      </c>
      <c r="J244" s="38" t="n">
        <f aca="false">Sens!$J$242+Sens!$J$243</f>
        <v>74.7544906752831</v>
      </c>
      <c r="K244" s="38" t="n">
        <f aca="false">Sens!$K$242+Sens!$K$243</f>
        <v>196.106403878619</v>
      </c>
      <c r="L244" s="38" t="n">
        <f aca="false">Sens!$L$242+Sens!$L$243</f>
        <v>375.934210518143</v>
      </c>
      <c r="M244" s="38" t="n">
        <f aca="false">Sens!$M$242+Sens!$M$243</f>
        <v>584.600353364743</v>
      </c>
    </row>
    <row r="245" customFormat="false" ht="15" hidden="false" customHeight="false" outlineLevel="0" collapsed="false">
      <c r="A245" s="5" t="s">
        <v>800</v>
      </c>
      <c r="B245" s="0" t="s">
        <v>86</v>
      </c>
      <c r="D245" s="38" t="n">
        <f aca="false">Q!$E$62</f>
        <v>68.836</v>
      </c>
      <c r="E245" s="38" t="n">
        <f aca="false">Q!$M$62</f>
        <v>132.995</v>
      </c>
      <c r="F245" s="38" t="n">
        <f aca="false">debt_q2+Sens!$F$240+Sens!$F$243</f>
        <v>162.244999</v>
      </c>
      <c r="G245" s="38" t="n">
        <f aca="false">Sens!$F$245</f>
        <v>162.244999</v>
      </c>
      <c r="H245" s="38" t="n">
        <f aca="false">Sens!$G$245+Sens!$H$243</f>
        <v>175.983277655109</v>
      </c>
      <c r="I245" s="38" t="n">
        <f aca="false">Sens!$H$245+Sens!$I$243</f>
        <v>191.528412462951</v>
      </c>
      <c r="J245" s="38" t="n">
        <f aca="false">Sens!$I$245+Sens!$J$243</f>
        <v>191.528412462951</v>
      </c>
      <c r="K245" s="38" t="n">
        <f aca="false">Sens!$J$245+Sens!$K$243</f>
        <v>191.528412462951</v>
      </c>
      <c r="L245" s="38" t="n">
        <f aca="false">Sens!$K$245+Sens!$L$243</f>
        <v>191.528412462951</v>
      </c>
      <c r="M245" s="38" t="n">
        <f aca="false">Sens!$L$245+Sens!$M$243</f>
        <v>191.528412462951</v>
      </c>
    </row>
    <row r="246" customFormat="false" ht="15" hidden="false" customHeight="false" outlineLevel="0" collapsed="false">
      <c r="A246" s="5" t="s">
        <v>801</v>
      </c>
      <c r="B246" s="0" t="s">
        <v>86</v>
      </c>
      <c r="D246" s="38" t="n">
        <f aca="false">Sens!$D$245-Sens!$D$244</f>
        <v>-54.193</v>
      </c>
      <c r="E246" s="38" t="n">
        <f aca="false">Sens!$E$245-Sens!$E$244</f>
        <v>10.007</v>
      </c>
      <c r="F246" s="38" t="n">
        <f aca="false">Sens!$F$245-Sens!$F$244</f>
        <v>71.9904130116072</v>
      </c>
      <c r="G246" s="38" t="n">
        <f aca="false">Sens!$G$245-Sens!$G$244</f>
        <v>71.9904130116072</v>
      </c>
      <c r="H246" s="38" t="n">
        <f aca="false">Sens!$H$245-Sens!$H$244</f>
        <v>125.983277655109</v>
      </c>
      <c r="I246" s="38" t="n">
        <f aca="false">Sens!$I$245-Sens!$I$244</f>
        <v>141.528412462951</v>
      </c>
      <c r="J246" s="38" t="n">
        <f aca="false">Sens!$J$245-Sens!$J$244</f>
        <v>116.773921787668</v>
      </c>
      <c r="K246" s="38" t="n">
        <f aca="false">Sens!$K$245-Sens!$K$244</f>
        <v>-4.57799141566841</v>
      </c>
      <c r="L246" s="38" t="n">
        <f aca="false">Sens!$L$245-Sens!$L$244</f>
        <v>-184.405798055192</v>
      </c>
      <c r="M246" s="38" t="n">
        <f aca="false">Sens!$M$245-Sens!$M$244</f>
        <v>-393.071940901792</v>
      </c>
    </row>
    <row r="247" customFormat="false" ht="17.15" hidden="false" customHeight="false" outlineLevel="0" collapsed="false">
      <c r="A247" s="5" t="s">
        <v>802</v>
      </c>
      <c r="B247" s="0" t="s">
        <v>86</v>
      </c>
      <c r="F247" s="38" t="n">
        <f aca="false">debt_q2*kd_book*0.5+iss_2h26*kd_new*iss_t</f>
        <v>3.24888962733561</v>
      </c>
      <c r="H247" s="38" t="n">
        <f aca="false">debt_q2*kd_book+(Sens!$G$245-debt_q2)*kd_new</f>
        <v>7.42354172302123</v>
      </c>
      <c r="I247" s="38" t="n">
        <f aca="false">debt_q2*kd_book+(Sens!$H$245-debt_q2)*kd_new</f>
        <v>8.2931747618896</v>
      </c>
      <c r="J247" s="38" t="n">
        <f aca="false">debt_q2*kd_book+(Sens!$I$245-debt_q2)*kd_new</f>
        <v>9.27718179522602</v>
      </c>
      <c r="K247" s="38" t="n">
        <f aca="false">debt_q2*kd_book+(Sens!$J$245-debt_q2)*kd_new</f>
        <v>9.27718179522602</v>
      </c>
      <c r="L247" s="38" t="n">
        <f aca="false">debt_q2*kd_book+(Sens!$K$245-debt_q2)*kd_new</f>
        <v>9.27718179522602</v>
      </c>
      <c r="M247" s="38" t="n">
        <f aca="false">debt_q2*kd_book+(Sens!$L$245-debt_q2)*kd_new</f>
        <v>9.27718179522602</v>
      </c>
    </row>
    <row r="248" customFormat="false" ht="17.15" hidden="false" customHeight="false" outlineLevel="0" collapsed="false">
      <c r="A248" s="5" t="s">
        <v>803</v>
      </c>
      <c r="B248" s="0" t="s">
        <v>86</v>
      </c>
      <c r="F248" s="38" t="n">
        <f aca="false">cash_q2*y_cash*0.5</f>
        <v>2.59</v>
      </c>
      <c r="H248" s="38" t="n">
        <f aca="false">Sens!$G$244*y_cash</f>
        <v>3.80133635330174</v>
      </c>
      <c r="I248" s="38" t="n">
        <f aca="false">Sens!$H$244*y_cash</f>
        <v>2.10589651022864</v>
      </c>
      <c r="J248" s="38" t="n">
        <f aca="false">Sens!$I$244*y_cash</f>
        <v>2.10589651022864</v>
      </c>
      <c r="K248" s="38" t="n">
        <f aca="false">Sens!$J$244*y_cash</f>
        <v>3.14850442073996</v>
      </c>
      <c r="L248" s="38" t="n">
        <f aca="false">Sens!$K$244*y_cash</f>
        <v>8.25959583122945</v>
      </c>
      <c r="M248" s="38" t="n">
        <f aca="false">Sens!$L$244*y_cash</f>
        <v>15.8335708401143</v>
      </c>
    </row>
    <row r="249" customFormat="false" ht="17.15" hidden="false" customHeight="false" outlineLevel="0" collapsed="false">
      <c r="A249" s="47" t="s">
        <v>804</v>
      </c>
      <c r="B249" s="14" t="s">
        <v>86</v>
      </c>
      <c r="C249" s="14"/>
      <c r="D249" s="14"/>
      <c r="E249" s="14"/>
      <c r="F249" s="14"/>
      <c r="G249" s="48" t="n">
        <f aca="false">SUM(Sens!$G$238:$K$238)</f>
        <v>10.1939914156684</v>
      </c>
      <c r="H249" s="14"/>
      <c r="I249" s="14"/>
      <c r="J249" s="14"/>
      <c r="K249" s="14"/>
      <c r="L249" s="14"/>
      <c r="M249" s="14"/>
      <c r="N249" s="14"/>
      <c r="O249" s="14"/>
    </row>
    <row r="250" customFormat="false" ht="17.15" hidden="false" customHeight="false" outlineLevel="0" collapsed="false">
      <c r="A250" s="0" t="s">
        <v>770</v>
      </c>
      <c r="B250" s="0" t="s">
        <v>86</v>
      </c>
      <c r="G250" s="38" t="n">
        <f aca="false">SUM(Sens!$G$243:$K$243)</f>
        <v>29.2834134629509</v>
      </c>
    </row>
    <row r="251" customFormat="false" ht="17.15" hidden="false" customHeight="false" outlineLevel="0" collapsed="false">
      <c r="A251" s="24" t="s">
        <v>807</v>
      </c>
      <c r="B251" s="25" t="s">
        <v>86</v>
      </c>
      <c r="C251" s="25"/>
      <c r="D251" s="25"/>
      <c r="E251" s="25"/>
      <c r="F251" s="25"/>
      <c r="G251" s="41" t="n">
        <f aca="false">Sens!$G$249-(Sens!$G$238+Sens!$H$238+Sens!$I$238+Sens!$J$238+Sens!$K$238)</f>
        <v>0</v>
      </c>
      <c r="H251" s="25"/>
      <c r="I251" s="25"/>
      <c r="J251" s="25"/>
      <c r="K251" s="25"/>
      <c r="L251" s="25"/>
      <c r="M251" s="25"/>
      <c r="N251" s="25"/>
      <c r="O251" s="25"/>
    </row>
    <row r="254" customFormat="false" ht="19.4" hidden="false" customHeight="false" outlineLevel="0" collapsed="false">
      <c r="A254" s="31" t="s">
        <v>1131</v>
      </c>
    </row>
    <row r="255" customFormat="false" ht="17.15" hidden="false" customHeight="false" outlineLevel="0" collapsed="false">
      <c r="A255" s="6" t="s">
        <v>16</v>
      </c>
      <c r="B255" s="6" t="s">
        <v>17</v>
      </c>
      <c r="C255" s="20" t="s">
        <v>494</v>
      </c>
      <c r="D255" s="20" t="s">
        <v>495</v>
      </c>
      <c r="E255" s="20" t="s">
        <v>577</v>
      </c>
      <c r="F255" s="20" t="s">
        <v>578</v>
      </c>
      <c r="G255" s="20" t="s">
        <v>579</v>
      </c>
      <c r="H255" s="20" t="s">
        <v>580</v>
      </c>
      <c r="I255" s="20" t="s">
        <v>581</v>
      </c>
      <c r="J255" s="20" t="s">
        <v>582</v>
      </c>
      <c r="K255" s="20" t="s">
        <v>583</v>
      </c>
      <c r="L255" s="20" t="s">
        <v>584</v>
      </c>
      <c r="M255" s="20" t="s">
        <v>585</v>
      </c>
      <c r="N255" s="20" t="s">
        <v>586</v>
      </c>
      <c r="O255" s="20" t="s">
        <v>587</v>
      </c>
      <c r="P255" s="6" t="s">
        <v>23</v>
      </c>
      <c r="R255" s="20" t="n">
        <v>2023</v>
      </c>
      <c r="S255" s="20" t="n">
        <v>2024</v>
      </c>
      <c r="T255" s="20" t="n">
        <v>2025</v>
      </c>
      <c r="U255" s="20" t="n">
        <v>2026</v>
      </c>
      <c r="V255" s="20" t="n">
        <v>2027</v>
      </c>
      <c r="W255" s="20" t="n">
        <v>2028</v>
      </c>
      <c r="X255" s="20" t="n">
        <v>2029</v>
      </c>
      <c r="Y255" s="20" t="n">
        <v>2030</v>
      </c>
      <c r="Z255" s="20" t="n">
        <v>2031</v>
      </c>
      <c r="AA255" s="20" t="n">
        <v>2032</v>
      </c>
    </row>
    <row r="256" customFormat="false" ht="17.15" hidden="false" customHeight="false" outlineLevel="0" collapsed="false">
      <c r="A256" s="1" t="s">
        <v>909</v>
      </c>
    </row>
    <row r="257" customFormat="false" ht="17.15" hidden="false" customHeight="false" outlineLevel="0" collapsed="false">
      <c r="A257" s="0" t="s">
        <v>910</v>
      </c>
      <c r="B257" s="0" t="s">
        <v>86</v>
      </c>
      <c r="H257" s="38" t="n">
        <f aca="false">Sens!$H$191*(1-tax)</f>
        <v>117.433243423729</v>
      </c>
      <c r="I257" s="38" t="n">
        <f aca="false">Sens!$I$191*(1-tax)</f>
        <v>142.829109667048</v>
      </c>
      <c r="J257" s="38" t="n">
        <f aca="false">Sens!$J$191*(1-tax)</f>
        <v>166.999275189185</v>
      </c>
      <c r="K257" s="38" t="n">
        <f aca="false">Sens!$K$191*(1-tax)</f>
        <v>184.249088119477</v>
      </c>
      <c r="L257" s="38" t="n">
        <f aca="false">Sens!$L$191*(1-tax)</f>
        <v>199.752821326616</v>
      </c>
      <c r="M257" s="38" t="n">
        <f aca="false">Sens!$M$191*(1-tax)</f>
        <v>212.59629763103</v>
      </c>
    </row>
    <row r="258" customFormat="false" ht="15" hidden="false" customHeight="false" outlineLevel="0" collapsed="false">
      <c r="A258" s="5" t="s">
        <v>911</v>
      </c>
      <c r="B258" s="0" t="s">
        <v>86</v>
      </c>
      <c r="H258" s="38" t="n">
        <f aca="false">Sens!$H$202</f>
        <v>84.3163410985152</v>
      </c>
      <c r="I258" s="38" t="n">
        <f aca="false">Sens!$I$202</f>
        <v>117.040344991004</v>
      </c>
      <c r="J258" s="38" t="n">
        <f aca="false">Sens!$J$202</f>
        <v>150.498981474685</v>
      </c>
      <c r="K258" s="38" t="n">
        <f aca="false">Sens!$K$202</f>
        <v>184.188121970284</v>
      </c>
      <c r="L258" s="38" t="n">
        <f aca="false">Sens!$L$202</f>
        <v>207.768718060808</v>
      </c>
      <c r="M258" s="38" t="n">
        <f aca="false">Sens!$M$202</f>
        <v>224.003934647752</v>
      </c>
    </row>
    <row r="259" customFormat="false" ht="15" hidden="false" customHeight="false" outlineLevel="0" collapsed="false">
      <c r="A259" s="5" t="s">
        <v>912</v>
      </c>
      <c r="B259" s="0" t="s">
        <v>86</v>
      </c>
      <c r="H259" s="38" t="n">
        <f aca="false">Sens!$H$233</f>
        <v>273.372679834898</v>
      </c>
      <c r="I259" s="38" t="n">
        <f aca="false">Sens!$I$233</f>
        <v>286.981812228425</v>
      </c>
      <c r="J259" s="38" t="n">
        <f aca="false">Sens!$J$233</f>
        <v>299.316513378366</v>
      </c>
      <c r="K259" s="38" t="n">
        <f aca="false">Sens!$K$233</f>
        <v>251.057145512292</v>
      </c>
      <c r="L259" s="38" t="n">
        <f aca="false">Sens!$L$233</f>
        <v>234.696330860396</v>
      </c>
      <c r="M259" s="38" t="n">
        <f aca="false">Sens!$M$233</f>
        <v>242.291696043352</v>
      </c>
    </row>
    <row r="260" customFormat="false" ht="15" hidden="false" customHeight="false" outlineLevel="0" collapsed="false">
      <c r="A260" s="5" t="s">
        <v>913</v>
      </c>
      <c r="B260" s="0" t="s">
        <v>86</v>
      </c>
      <c r="H260" s="38" t="n">
        <f aca="false">Sens!$H$234</f>
        <v>1.6</v>
      </c>
      <c r="I260" s="38" t="n">
        <f aca="false">Sens!$I$234</f>
        <v>1.6</v>
      </c>
      <c r="J260" s="38" t="n">
        <f aca="false">Sens!$J$234</f>
        <v>1.6</v>
      </c>
      <c r="K260" s="38" t="n">
        <f aca="false">Sens!$K$234</f>
        <v>1.6</v>
      </c>
      <c r="L260" s="38" t="n">
        <f aca="false">Sens!$L$234</f>
        <v>1.6</v>
      </c>
      <c r="M260" s="38" t="n">
        <f aca="false">Sens!$M$234</f>
        <v>1.6</v>
      </c>
    </row>
    <row r="261" customFormat="false" ht="15" hidden="false" customHeight="false" outlineLevel="0" collapsed="false">
      <c r="A261" s="5" t="s">
        <v>914</v>
      </c>
      <c r="B261" s="0" t="s">
        <v>86</v>
      </c>
      <c r="H261" s="38" t="n">
        <f aca="false">Sens!$H$228</f>
        <v>11.2928295263397</v>
      </c>
      <c r="I261" s="38" t="n">
        <f aca="false">Sens!$I$228</f>
        <v>12.8091546115766</v>
      </c>
      <c r="J261" s="38" t="n">
        <f aca="false">Sens!$J$228</f>
        <v>14.2605653162668</v>
      </c>
      <c r="K261" s="38" t="n">
        <f aca="false">Sens!$K$228</f>
        <v>15.5327622460396</v>
      </c>
      <c r="L261" s="38" t="n">
        <f aca="false">Sens!$L$228</f>
        <v>16.720573737517</v>
      </c>
      <c r="M261" s="38" t="n">
        <f aca="false">Sens!$M$228</f>
        <v>17.8283127551536</v>
      </c>
    </row>
    <row r="262" customFormat="false" ht="17.15" hidden="false" customHeight="false" outlineLevel="0" collapsed="false">
      <c r="A262" s="1" t="s">
        <v>915</v>
      </c>
      <c r="B262" s="8" t="s">
        <v>86</v>
      </c>
      <c r="H262" s="38" t="n">
        <f aca="false">Sens!$H$257+Sens!$H$258-Sens!$H$259-Sens!$H$260+Sens!$H$261</f>
        <v>-61.930265786314</v>
      </c>
      <c r="I262" s="38" t="n">
        <f aca="false">Sens!$I$257+Sens!$I$258-Sens!$I$259-Sens!$I$260+Sens!$I$261</f>
        <v>-15.9032029587969</v>
      </c>
      <c r="J262" s="38" t="n">
        <f aca="false">Sens!$J$257+Sens!$J$258-Sens!$J$259-Sens!$J$260+Sens!$J$261</f>
        <v>30.8423086017711</v>
      </c>
      <c r="K262" s="38" t="n">
        <f aca="false">Sens!$K$257+Sens!$K$258-Sens!$K$259-Sens!$K$260+Sens!$K$261</f>
        <v>131.312826823508</v>
      </c>
      <c r="L262" s="38" t="n">
        <f aca="false">Sens!$L$257+Sens!$L$258-Sens!$L$259-Sens!$L$260+Sens!$L$261</f>
        <v>187.945782264545</v>
      </c>
      <c r="M262" s="38" t="n">
        <f aca="false">Sens!$M$257+Sens!$M$258-Sens!$M$259-Sens!$M$260+Sens!$M$261</f>
        <v>210.536848990583</v>
      </c>
    </row>
    <row r="263" customFormat="false" ht="15" hidden="false" customHeight="false" outlineLevel="0" collapsed="false">
      <c r="A263" s="5" t="s">
        <v>916</v>
      </c>
      <c r="B263" s="0" t="s">
        <v>57</v>
      </c>
      <c r="H263" s="40" t="n">
        <f aca="false">1/(1+wacc)^(2027-2026-0.5)</f>
        <v>0.947751320380232</v>
      </c>
      <c r="I263" s="40" t="n">
        <f aca="false">1/(1+wacc)^(2028-2026-0.5)</f>
        <v>0.851301099754987</v>
      </c>
      <c r="J263" s="40" t="n">
        <f aca="false">1/(1+wacc)^(2029-2026-0.5)</f>
        <v>0.764666370660713</v>
      </c>
      <c r="K263" s="40" t="n">
        <f aca="false">1/(1+wacc)^(2030-2026-0.5)</f>
        <v>0.686848235703811</v>
      </c>
      <c r="L263" s="40" t="n">
        <f aca="false">1/(1+wacc)^(2031-2026-0.5)</f>
        <v>0.616949452715975</v>
      </c>
      <c r="M263" s="40" t="n">
        <f aca="false">1/(1+wacc)^(2032-2026-0.5)</f>
        <v>0.554164089562688</v>
      </c>
    </row>
    <row r="264" customFormat="false" ht="15" hidden="false" customHeight="false" outlineLevel="0" collapsed="false">
      <c r="A264" s="5" t="s">
        <v>917</v>
      </c>
      <c r="B264" s="0" t="s">
        <v>86</v>
      </c>
      <c r="H264" s="38" t="n">
        <f aca="false">Sens!$H$262*Sens!$H$263</f>
        <v>-58.6944911704778</v>
      </c>
      <c r="I264" s="38" t="n">
        <f aca="false">Sens!$I$262*Sens!$I$263</f>
        <v>-13.5384141684505</v>
      </c>
      <c r="J264" s="38" t="n">
        <f aca="false">Sens!$J$262*Sens!$J$263</f>
        <v>23.584076181314</v>
      </c>
      <c r="K264" s="38" t="n">
        <f aca="false">Sens!$K$262*Sens!$K$263</f>
        <v>90.1919834290062</v>
      </c>
      <c r="L264" s="38" t="n">
        <f aca="false">Sens!$L$262*Sens!$L$263</f>
        <v>115.953047508387</v>
      </c>
      <c r="M264" s="38" t="n">
        <f aca="false">Sens!$M$262*Sens!$M$263</f>
        <v>116.671961240264</v>
      </c>
    </row>
    <row r="265" customFormat="false" ht="15" hidden="false" customHeight="false" outlineLevel="0" collapsed="false">
      <c r="A265" s="5" t="s">
        <v>918</v>
      </c>
      <c r="B265" s="0" t="s">
        <v>86</v>
      </c>
      <c r="C265" s="38" t="n">
        <f aca="false">SUM(Sens!$H$264:$M$264)</f>
        <v>274.168163020043</v>
      </c>
    </row>
    <row r="266" customFormat="false" ht="17.15" hidden="false" customHeight="false" outlineLevel="0" collapsed="false">
      <c r="A266" s="5" t="s">
        <v>919</v>
      </c>
      <c r="B266" s="0" t="s">
        <v>86</v>
      </c>
      <c r="C266" s="38" t="n">
        <f aca="false">Sens!$M$257*(1+tg)*(1-tg/ronic)/(wacc-tg)</f>
        <v>1932.73757828664</v>
      </c>
    </row>
    <row r="267" customFormat="false" ht="15" hidden="false" customHeight="false" outlineLevel="0" collapsed="false">
      <c r="A267" s="5" t="s">
        <v>920</v>
      </c>
      <c r="B267" s="0" t="s">
        <v>86</v>
      </c>
      <c r="C267" s="38" t="n">
        <f aca="false">Sens!$C$266/(1+wacc)^6</f>
        <v>1015.09261565031</v>
      </c>
    </row>
    <row r="268" customFormat="false" ht="17.15" hidden="false" customHeight="false" outlineLevel="0" collapsed="false">
      <c r="A268" s="5" t="s">
        <v>921</v>
      </c>
      <c r="B268" s="0" t="s">
        <v>86</v>
      </c>
      <c r="C268" s="38" t="n">
        <f aca="false">Sens!$C$265+Sens!$C$267</f>
        <v>1289.26077867035</v>
      </c>
    </row>
    <row r="269" customFormat="false" ht="17.15" hidden="false" customHeight="false" outlineLevel="0" collapsed="false">
      <c r="A269" s="5" t="s">
        <v>922</v>
      </c>
      <c r="B269" s="0" t="s">
        <v>52</v>
      </c>
      <c r="C269" s="13" t="n">
        <f aca="false">Sens!$C$267/Sens!$C$268</f>
        <v>0.787344680334726</v>
      </c>
    </row>
    <row r="270" customFormat="false" ht="17.15" hidden="false" customHeight="false" outlineLevel="0" collapsed="false">
      <c r="A270" s="5" t="s">
        <v>923</v>
      </c>
      <c r="B270" s="0" t="s">
        <v>86</v>
      </c>
      <c r="C270" s="38" t="n">
        <f aca="false">Sens!$G$246+fin_debt</f>
        <v>96.5114130116072</v>
      </c>
    </row>
    <row r="271" customFormat="false" ht="17.15" hidden="false" customHeight="false" outlineLevel="0" collapsed="false">
      <c r="A271" s="5" t="s">
        <v>924</v>
      </c>
      <c r="B271" s="0" t="s">
        <v>86</v>
      </c>
      <c r="C271" s="38" t="n">
        <f aca="false">(ant_val*ant_sh+oai_val*oai_sh)*(1-liq_disc)</f>
        <v>178.944</v>
      </c>
    </row>
    <row r="272" customFormat="false" ht="15" hidden="false" customHeight="false" outlineLevel="0" collapsed="false">
      <c r="A272" s="5" t="s">
        <v>925</v>
      </c>
      <c r="B272" s="0" t="s">
        <v>86</v>
      </c>
      <c r="C272" s="38" t="n">
        <f aca="false">Sens!$C$268-Sens!$C$270+Sens!$C$271</f>
        <v>1371.69336565874</v>
      </c>
    </row>
    <row r="273" customFormat="false" ht="17.15" hidden="false" customHeight="false" outlineLevel="0" collapsed="false">
      <c r="A273" s="5" t="s">
        <v>926</v>
      </c>
      <c r="B273" s="0" t="s">
        <v>27</v>
      </c>
      <c r="C273" s="30" t="n">
        <f aca="false">Sens!$C$272/sh_out</f>
        <v>127.169797361614</v>
      </c>
    </row>
    <row r="274" customFormat="false" ht="17.15" hidden="false" customHeight="false" outlineLevel="0" collapsed="false">
      <c r="A274" s="1" t="s">
        <v>927</v>
      </c>
      <c r="B274" s="8" t="s">
        <v>27</v>
      </c>
      <c r="C274" s="30" t="n">
        <f aca="false">Sens!$C$273*(1+ke)^tp_yf-dps*tp_yf</f>
        <v>139.297834242404</v>
      </c>
    </row>
    <row r="275" customFormat="false" ht="17.15" hidden="false" customHeight="false" outlineLevel="0" collapsed="false">
      <c r="A275" s="3" t="s">
        <v>928</v>
      </c>
    </row>
    <row r="276" customFormat="false" ht="17.15" hidden="false" customHeight="false" outlineLevel="0" collapsed="false">
      <c r="A276" s="5" t="s">
        <v>929</v>
      </c>
      <c r="B276" s="0" t="s">
        <v>86</v>
      </c>
      <c r="C276" s="38" t="n">
        <f aca="false">(1-tp_yf)*(Sens!$H$203+Sens!$H$227*Sens!$H$69/Sens!$H$144)+tp_yf*(Sens!$I$203+Sens!$I$227*Sens!$I$69/Sens!$I$144)</f>
        <v>59.634664536349</v>
      </c>
    </row>
    <row r="277" customFormat="false" ht="15" hidden="false" customHeight="false" outlineLevel="0" collapsed="false">
      <c r="A277" s="5" t="s">
        <v>930</v>
      </c>
      <c r="B277" s="0" t="s">
        <v>57</v>
      </c>
      <c r="C277" s="30" t="n">
        <f aca="false">m_ads*m_x</f>
        <v>9.11</v>
      </c>
    </row>
    <row r="278" customFormat="false" ht="17.15" hidden="false" customHeight="false" outlineLevel="0" collapsed="false">
      <c r="A278" s="5" t="s">
        <v>931</v>
      </c>
      <c r="B278" s="0" t="s">
        <v>86</v>
      </c>
      <c r="C278" s="38" t="n">
        <f aca="false">Sens!$C$276*Sens!$C$277</f>
        <v>543.271793926139</v>
      </c>
    </row>
    <row r="279" customFormat="false" ht="17.15" hidden="false" customHeight="false" outlineLevel="0" collapsed="false">
      <c r="A279" s="5" t="s">
        <v>932</v>
      </c>
      <c r="B279" s="0" t="s">
        <v>86</v>
      </c>
      <c r="C279" s="38" t="n">
        <f aca="false">(1-tp_yf)*(Sens!$H$204+Sens!$H$227*(Sens!$H$76-Sens!$H$69)/Sens!$H$144+IF(internal_ai_reading=2,1,0)*(1-ext_sh)*Sens!$H$106)+tp_yf*(Sens!$I$204+Sens!$I$227*(Sens!$I$76-Sens!$I$69)/Sens!$I$144+IF(internal_ai_reading=2,1,0)*(1-ext_sh)*Sens!$I$106)</f>
        <v>51.7770728324773</v>
      </c>
    </row>
    <row r="280" customFormat="false" ht="17.15" hidden="false" customHeight="false" outlineLevel="0" collapsed="false">
      <c r="A280" s="5" t="s">
        <v>933</v>
      </c>
      <c r="B280" s="0" t="s">
        <v>57</v>
      </c>
      <c r="C280" s="30" t="n">
        <f aca="false">m_retail*m_x</f>
        <v>17.72</v>
      </c>
    </row>
    <row r="281" customFormat="false" ht="17.15" hidden="false" customHeight="false" outlineLevel="0" collapsed="false">
      <c r="A281" s="5" t="s">
        <v>934</v>
      </c>
      <c r="B281" s="0" t="s">
        <v>86</v>
      </c>
      <c r="C281" s="38" t="n">
        <f aca="false">Sens!$C$279*Sens!$C$280</f>
        <v>917.489730591498</v>
      </c>
    </row>
    <row r="282" customFormat="false" ht="17.15" hidden="false" customHeight="false" outlineLevel="0" collapsed="false">
      <c r="A282" s="0" t="s">
        <v>935</v>
      </c>
      <c r="B282" s="0" t="s">
        <v>86</v>
      </c>
      <c r="C282" s="38" t="n">
        <f aca="false">(1-tp_yf)*(Sens!$H$205+Sens!$H$227*Sens!$H$142/Sens!$H$144)+tp_yf*(Sens!$I$205+Sens!$I$227*Sens!$I$142/Sens!$I$144)</f>
        <v>97.3363031479074</v>
      </c>
    </row>
    <row r="283" customFormat="false" ht="17.15" hidden="false" customHeight="false" outlineLevel="0" collapsed="false">
      <c r="A283" s="0" t="s">
        <v>936</v>
      </c>
      <c r="B283" s="0" t="s">
        <v>57</v>
      </c>
      <c r="C283" s="30" t="n">
        <f aca="false">m_cloud*m_x</f>
        <v>13.82</v>
      </c>
    </row>
    <row r="284" customFormat="false" ht="17.15" hidden="false" customHeight="false" outlineLevel="0" collapsed="false">
      <c r="A284" s="0" t="s">
        <v>937</v>
      </c>
      <c r="B284" s="0" t="s">
        <v>86</v>
      </c>
      <c r="C284" s="38" t="n">
        <f aca="false">Sens!$C$282*Sens!$C$283</f>
        <v>1345.18770950408</v>
      </c>
    </row>
    <row r="285" customFormat="false" ht="17.15" hidden="false" customHeight="false" outlineLevel="0" collapsed="false">
      <c r="A285" s="0" t="s">
        <v>938</v>
      </c>
      <c r="B285" s="0" t="s">
        <v>86</v>
      </c>
      <c r="H285" s="38" t="n">
        <f aca="false">Sens!$H$123-tax*Sens!$H$124-ext_sh*Sens!$H$113</f>
        <v>-114.686944664267</v>
      </c>
      <c r="I285" s="38" t="n">
        <f aca="false">Sens!$I$123-tax*Sens!$I$124-ext_sh*Sens!$I$113</f>
        <v>-88.3950641557111</v>
      </c>
      <c r="J285" s="38" t="n">
        <f aca="false">Sens!$J$123-tax*Sens!$J$124-ext_sh*Sens!$J$113</f>
        <v>-61.1526151740695</v>
      </c>
      <c r="K285" s="38" t="n">
        <f aca="false">Sens!$K$123-tax*Sens!$K$124-ext_sh*Sens!$K$113</f>
        <v>10.057774712684</v>
      </c>
      <c r="L285" s="38" t="n">
        <f aca="false">Sens!$L$123-tax*Sens!$L$124-ext_sh*Sens!$L$113</f>
        <v>46.6587675560356</v>
      </c>
      <c r="M285" s="38" t="n">
        <f aca="false">Sens!$M$123-tax*Sens!$M$124-ext_sh*Sens!$M$113</f>
        <v>55.3915455321129</v>
      </c>
    </row>
    <row r="286" customFormat="false" ht="17.15" hidden="false" customHeight="false" outlineLevel="0" collapsed="false">
      <c r="A286" s="5" t="s">
        <v>939</v>
      </c>
      <c r="B286" s="0" t="s">
        <v>86</v>
      </c>
      <c r="H286" s="38" t="n">
        <f aca="false">Sens!$H$285*Sens!$H$263</f>
        <v>-108.694703235934</v>
      </c>
      <c r="I286" s="38" t="n">
        <f aca="false">Sens!$I$285*Sens!$I$263</f>
        <v>-75.2508153286695</v>
      </c>
      <c r="J286" s="38" t="n">
        <f aca="false">Sens!$J$285*Sens!$J$263</f>
        <v>-46.761348301567</v>
      </c>
      <c r="K286" s="38" t="n">
        <f aca="false">Sens!$K$285*Sens!$K$263</f>
        <v>6.90816481651338</v>
      </c>
      <c r="L286" s="38" t="n">
        <f aca="false">Sens!$L$285*Sens!$L$263</f>
        <v>28.7861011080981</v>
      </c>
      <c r="M286" s="38" t="n">
        <f aca="false">Sens!$M$285*Sens!$M$263</f>
        <v>30.6960053992735</v>
      </c>
    </row>
    <row r="287" customFormat="false" ht="17.15" hidden="false" customHeight="false" outlineLevel="0" collapsed="false">
      <c r="A287" s="5" t="s">
        <v>940</v>
      </c>
      <c r="B287" s="0" t="s">
        <v>86</v>
      </c>
      <c r="C287" s="38" t="n">
        <f aca="false">Sens!$M$124*(1-tax)*(1+tg)*(1-tg/ronic)/(wacc-tg)</f>
        <v>363.621782500497</v>
      </c>
    </row>
    <row r="288" customFormat="false" ht="17.15" hidden="false" customHeight="false" outlineLevel="0" collapsed="false">
      <c r="A288" s="0" t="s">
        <v>941</v>
      </c>
      <c r="B288" s="0" t="s">
        <v>86</v>
      </c>
      <c r="C288" s="38" t="n">
        <f aca="false">(SUM(Sens!$H$286:$M$286)+Sens!$C$287/(1+wacc)^6)*(1+wacc)^tp_yf</f>
        <v>29.1198269558345</v>
      </c>
    </row>
    <row r="289" customFormat="false" ht="17.15" hidden="false" customHeight="false" outlineLevel="0" collapsed="false">
      <c r="A289" s="5" t="s">
        <v>942</v>
      </c>
      <c r="B289" s="0" t="s">
        <v>86</v>
      </c>
      <c r="C289" s="38" t="n">
        <f aca="false">(1-tp_yf)*(Sens!$H$206)+tp_yf*(Sens!$I$206)</f>
        <v>74.6707041238437</v>
      </c>
    </row>
    <row r="290" customFormat="false" ht="17.15" hidden="false" customHeight="false" outlineLevel="0" collapsed="false">
      <c r="A290" s="5" t="s">
        <v>943</v>
      </c>
      <c r="B290" s="0" t="s">
        <v>86</v>
      </c>
      <c r="C290" s="38" t="n">
        <f aca="false">Sens!$C$289*m_ai</f>
        <v>448.024224743062</v>
      </c>
    </row>
    <row r="291" customFormat="false" ht="17.15" hidden="false" customHeight="false" outlineLevel="0" collapsed="false">
      <c r="A291" s="0" t="s">
        <v>944</v>
      </c>
      <c r="B291" s="0" t="s">
        <v>86</v>
      </c>
      <c r="C291" s="38" t="n">
        <f aca="false">IF(ai_leg=1,Sens!$C$288,Sens!$C$290)</f>
        <v>29.1198269558345</v>
      </c>
    </row>
    <row r="292" customFormat="false" ht="17.15" hidden="false" customHeight="false" outlineLevel="0" collapsed="false">
      <c r="A292" s="5" t="s">
        <v>945</v>
      </c>
      <c r="B292" s="0" t="s">
        <v>86</v>
      </c>
      <c r="C292" s="38" t="n">
        <f aca="false">Sens!$C$278+Sens!$C$281+Sens!$C$284+Sens!$C$291</f>
        <v>2835.06906097755</v>
      </c>
    </row>
    <row r="293" customFormat="false" ht="17.15" hidden="false" customHeight="false" outlineLevel="0" collapsed="false">
      <c r="A293" s="5" t="s">
        <v>946</v>
      </c>
      <c r="B293" s="0" t="s">
        <v>86</v>
      </c>
      <c r="C293" s="38" t="n">
        <f aca="false">Sens!$H$246+fin_debt</f>
        <v>150.504277655109</v>
      </c>
    </row>
    <row r="294" customFormat="false" ht="15" hidden="false" customHeight="false" outlineLevel="0" collapsed="false">
      <c r="A294" s="5" t="s">
        <v>947</v>
      </c>
      <c r="B294" s="0" t="s">
        <v>86</v>
      </c>
      <c r="C294" s="38" t="n">
        <f aca="false">Sens!$C$292-Sens!$C$293+Sens!$C$271</f>
        <v>2863.50878332244</v>
      </c>
    </row>
    <row r="295" customFormat="false" ht="15" hidden="false" customHeight="false" outlineLevel="0" collapsed="false">
      <c r="A295" s="3" t="s">
        <v>948</v>
      </c>
      <c r="B295" s="8" t="s">
        <v>27</v>
      </c>
      <c r="C295" s="30" t="n">
        <f aca="false">Sens!$C$294/sh_val</f>
        <v>259.603560091077</v>
      </c>
    </row>
    <row r="296" customFormat="false" ht="17.15" hidden="false" customHeight="false" outlineLevel="0" collapsed="false">
      <c r="A296" s="47" t="s">
        <v>949</v>
      </c>
      <c r="B296" s="14" t="s">
        <v>27</v>
      </c>
      <c r="C296" s="44" t="n">
        <f aca="false">w_dcf*Sens!$C$274+(1-w_dcf)*Sens!$C$295</f>
        <v>199.45069716674</v>
      </c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</row>
    <row r="297" customFormat="false" ht="17.15" hidden="false" customHeight="false" outlineLevel="0" collapsed="false">
      <c r="A297" s="5" t="s">
        <v>950</v>
      </c>
      <c r="B297" s="0" t="s">
        <v>27</v>
      </c>
      <c r="C297" s="30" t="n">
        <f aca="false">v022_wdcf*Sens!$C$274+(1-v022_wdcf)*Sens!$C$295</f>
        <v>205.465983459174</v>
      </c>
    </row>
    <row r="298" customFormat="false" ht="17.15" hidden="false" customHeight="false" outlineLevel="0" collapsed="false">
      <c r="A298" s="5" t="s">
        <v>951</v>
      </c>
      <c r="B298" s="0" t="s">
        <v>27</v>
      </c>
      <c r="C298" s="30" t="n">
        <f aca="false">(Sens!$C$294-Sens!$C$291+Sens!$C$290)/sh_val</f>
        <v>297.581118824874</v>
      </c>
    </row>
    <row r="301" customFormat="false" ht="19.4" hidden="false" customHeight="false" outlineLevel="0" collapsed="false">
      <c r="A301" s="31" t="s">
        <v>1132</v>
      </c>
    </row>
    <row r="302" customFormat="false" ht="17.15" hidden="false" customHeight="false" outlineLevel="0" collapsed="false">
      <c r="A302" s="6" t="s">
        <v>16</v>
      </c>
      <c r="B302" s="6" t="s">
        <v>17</v>
      </c>
      <c r="C302" s="20" t="s">
        <v>494</v>
      </c>
      <c r="D302" s="20" t="s">
        <v>495</v>
      </c>
      <c r="E302" s="20" t="s">
        <v>577</v>
      </c>
      <c r="F302" s="20" t="s">
        <v>578</v>
      </c>
      <c r="G302" s="20" t="s">
        <v>579</v>
      </c>
      <c r="H302" s="20" t="s">
        <v>580</v>
      </c>
      <c r="I302" s="20" t="s">
        <v>581</v>
      </c>
      <c r="J302" s="20" t="s">
        <v>582</v>
      </c>
      <c r="K302" s="20" t="s">
        <v>583</v>
      </c>
      <c r="L302" s="20" t="s">
        <v>584</v>
      </c>
      <c r="M302" s="20" t="s">
        <v>585</v>
      </c>
      <c r="N302" s="20" t="s">
        <v>586</v>
      </c>
      <c r="O302" s="20" t="s">
        <v>587</v>
      </c>
      <c r="P302" s="6" t="s">
        <v>23</v>
      </c>
      <c r="R302" s="20" t="n">
        <v>2023</v>
      </c>
      <c r="S302" s="20" t="n">
        <v>2024</v>
      </c>
      <c r="T302" s="20" t="n">
        <v>2025</v>
      </c>
      <c r="U302" s="20" t="n">
        <v>2026</v>
      </c>
      <c r="V302" s="20" t="n">
        <v>2027</v>
      </c>
      <c r="W302" s="20" t="n">
        <v>2028</v>
      </c>
      <c r="X302" s="20" t="n">
        <v>2029</v>
      </c>
      <c r="Y302" s="20" t="n">
        <v>2030</v>
      </c>
      <c r="Z302" s="20" t="n">
        <v>2031</v>
      </c>
      <c r="AA302" s="20" t="n">
        <v>2032</v>
      </c>
    </row>
    <row r="303" customFormat="false" ht="17.15" hidden="false" customHeight="false" outlineLevel="0" collapsed="false">
      <c r="A303" s="1" t="s">
        <v>660</v>
      </c>
    </row>
    <row r="304" customFormat="false" ht="17.15" hidden="false" customHeight="false" outlineLevel="0" collapsed="false">
      <c r="A304" s="0" t="s">
        <v>516</v>
      </c>
      <c r="B304" s="0" t="s">
        <v>86</v>
      </c>
      <c r="C304" s="38" t="n">
        <f aca="false">Q!$D$10</f>
        <v>247.029</v>
      </c>
      <c r="D304" s="38" t="n">
        <f aca="false">Q!$E$10</f>
        <v>269.287</v>
      </c>
      <c r="E304" s="38" t="n">
        <f aca="false">Q!$P$10</f>
        <v>134.686</v>
      </c>
      <c r="F304" s="38" t="n">
        <f aca="false">Sens!$O$304*(1+Sens!$F$305)*Sens!$F$316</f>
        <v>158.668476412251</v>
      </c>
      <c r="G304" s="38" t="n">
        <f aca="false">Sens!$E$304+Sens!$F$304</f>
        <v>293.354476412251</v>
      </c>
      <c r="H304" s="38" t="n">
        <f aca="false">Sens!$G$304*(1+Sens!$H$305)</f>
        <v>318.591368978214</v>
      </c>
      <c r="I304" s="38" t="n">
        <f aca="false">Sens!$H$304*(1+Sens!$I$305)</f>
        <v>342.173217541669</v>
      </c>
      <c r="J304" s="38" t="n">
        <f aca="false">Sens!$I$304*(1+Sens!$J$305)</f>
        <v>363.391225945525</v>
      </c>
      <c r="K304" s="38" t="n">
        <f aca="false">Sens!$J$304*(1+Sens!$K$305)</f>
        <v>381.560787242802</v>
      </c>
      <c r="L304" s="38" t="n">
        <f aca="false">Sens!$K$304*(1+Sens!$L$305)</f>
        <v>400.638826604942</v>
      </c>
      <c r="M304" s="38" t="n">
        <f aca="false">Sens!$L$304*(1+Sens!$M$305)</f>
        <v>420.670767935189</v>
      </c>
      <c r="N304" s="38" t="n">
        <f aca="false">Q!$N$10</f>
        <v>118.892</v>
      </c>
      <c r="O304" s="38" t="n">
        <f aca="false">Q!$O$10</f>
        <v>150.395</v>
      </c>
      <c r="P304" s="8" t="s">
        <v>661</v>
      </c>
    </row>
    <row r="305" customFormat="false" ht="17.15" hidden="false" customHeight="false" outlineLevel="0" collapsed="false">
      <c r="A305" s="0" t="s">
        <v>662</v>
      </c>
      <c r="B305" s="0" t="s">
        <v>52</v>
      </c>
      <c r="E305" s="13" t="n">
        <f aca="false">Sens!$E$304/Sens!$N$304-1</f>
        <v>0.132843252699929</v>
      </c>
      <c r="F305" s="13" t="n">
        <f aca="false">Sens!$O$304/(Q!$F$10+Q!$G$10)-1</f>
        <v>0.0980382135842941</v>
      </c>
      <c r="G305" s="13" t="n">
        <f aca="false">Sens!$G$304/Sens!$D$304-1</f>
        <v>0.0893748172479594</v>
      </c>
      <c r="H305" s="13" t="n">
        <f aca="false">Sens!$F$305+(g_os-Sens!$F$305)*1/4</f>
        <v>0.0860286601882206</v>
      </c>
      <c r="I305" s="13" t="n">
        <f aca="false">Sens!$F$305+(g_os-Sens!$F$305)*2/4</f>
        <v>0.074019106792147</v>
      </c>
      <c r="J305" s="13" t="n">
        <f aca="false">Sens!$F$305+(g_os-Sens!$F$305)*3/4</f>
        <v>0.0620095533960735</v>
      </c>
      <c r="K305" s="13" t="n">
        <f aca="false">Sens!$F$305+(g_os-Sens!$F$305)*4/4</f>
        <v>0.05</v>
      </c>
      <c r="L305" s="13" t="n">
        <f aca="false">g_os</f>
        <v>0.05</v>
      </c>
      <c r="M305" s="13" t="n">
        <f aca="false">g_os</f>
        <v>0.05</v>
      </c>
      <c r="P305" s="8" t="s">
        <v>663</v>
      </c>
    </row>
    <row r="306" customFormat="false" ht="17.15" hidden="false" customHeight="false" outlineLevel="0" collapsed="false">
      <c r="A306" s="0" t="s">
        <v>517</v>
      </c>
      <c r="B306" s="0" t="s">
        <v>86</v>
      </c>
      <c r="C306" s="38" t="n">
        <f aca="false">Q!$D$11</f>
        <v>21.215</v>
      </c>
      <c r="D306" s="38" t="n">
        <f aca="false">Q!$E$11</f>
        <v>22.561</v>
      </c>
      <c r="E306" s="38" t="n">
        <f aca="false">Q!$P$11</f>
        <v>11.579</v>
      </c>
      <c r="F306" s="38" t="n">
        <f aca="false">Sens!$O$306*(1+Sens!$F$307)*Sens!$F$316</f>
        <v>11.6213091500405</v>
      </c>
      <c r="G306" s="38" t="n">
        <f aca="false">Sens!$E$306+Sens!$F$306</f>
        <v>23.2003091500405</v>
      </c>
      <c r="H306" s="38" t="n">
        <f aca="false">Sens!$G$306*(1+Sens!$H$307)</f>
        <v>24.3822271849556</v>
      </c>
      <c r="I306" s="38" t="n">
        <f aca="false">Sens!$H$306*(1+Sens!$I$307)</f>
        <v>25.4541359521165</v>
      </c>
      <c r="J306" s="38" t="n">
        <f aca="false">Sens!$I$306*(1+Sens!$J$307)</f>
        <v>26.3954643817717</v>
      </c>
      <c r="K306" s="38" t="n">
        <f aca="false">Sens!$J$306*(1+Sens!$K$307)</f>
        <v>27.1873283132248</v>
      </c>
      <c r="L306" s="38" t="n">
        <f aca="false">Sens!$K$306*(1+Sens!$L$307)</f>
        <v>28.0029481626215</v>
      </c>
      <c r="M306" s="38" t="n">
        <f aca="false">Sens!$L$306*(1+Sens!$M$307)</f>
        <v>28.8430366075002</v>
      </c>
      <c r="N306" s="38" t="n">
        <f aca="false">Q!$N$11</f>
        <v>11.128</v>
      </c>
      <c r="O306" s="38" t="n">
        <f aca="false">Q!$O$11</f>
        <v>11.433</v>
      </c>
      <c r="P306" s="8" t="s">
        <v>661</v>
      </c>
    </row>
    <row r="307" customFormat="false" ht="17.15" hidden="false" customHeight="false" outlineLevel="0" collapsed="false">
      <c r="A307" s="0" t="s">
        <v>664</v>
      </c>
      <c r="B307" s="0" t="s">
        <v>52</v>
      </c>
      <c r="E307" s="13" t="n">
        <f aca="false">Sens!$E$306/Sens!$N$306-1</f>
        <v>0.0405283968368082</v>
      </c>
      <c r="F307" s="13" t="n">
        <f aca="false">Sens!$O$306/(Q!$F$11+Q!$G$11)-1</f>
        <v>0.0579254187100955</v>
      </c>
      <c r="G307" s="13" t="n">
        <f aca="false">Sens!$G$306/Sens!$D$306-1</f>
        <v>0.0283369154753981</v>
      </c>
      <c r="H307" s="13" t="n">
        <f aca="false">Sens!$F$307+(g_ps-Sens!$F$307)*1/4</f>
        <v>0.0509440640325716</v>
      </c>
      <c r="I307" s="13" t="n">
        <f aca="false">Sens!$F$307+(g_ps-Sens!$F$307)*2/4</f>
        <v>0.0439627093550477</v>
      </c>
      <c r="J307" s="13" t="n">
        <f aca="false">Sens!$F$307+(g_ps-Sens!$F$307)*3/4</f>
        <v>0.0369813546775239</v>
      </c>
      <c r="K307" s="13" t="n">
        <f aca="false">Sens!$F$307+(g_ps-Sens!$F$307)*4/4</f>
        <v>0.03</v>
      </c>
      <c r="L307" s="13" t="n">
        <f aca="false">g_ps</f>
        <v>0.03</v>
      </c>
      <c r="M307" s="13" t="n">
        <f aca="false">g_ps</f>
        <v>0.03</v>
      </c>
      <c r="P307" s="8" t="s">
        <v>665</v>
      </c>
    </row>
    <row r="308" customFormat="false" ht="17.15" hidden="false" customHeight="false" outlineLevel="0" collapsed="false">
      <c r="A308" s="0" t="s">
        <v>518</v>
      </c>
      <c r="B308" s="0" t="s">
        <v>86</v>
      </c>
      <c r="C308" s="38" t="n">
        <f aca="false">Q!$D$12</f>
        <v>156.146</v>
      </c>
      <c r="D308" s="38" t="n">
        <f aca="false">Q!$E$12</f>
        <v>172.162</v>
      </c>
      <c r="E308" s="38" t="n">
        <f aca="false">Q!$P$12</f>
        <v>88.358</v>
      </c>
      <c r="F308" s="38" t="n">
        <f aca="false">Sens!$O$308*(1+Sens!$F$309)*Sens!$F$316</f>
        <v>102.245779795877</v>
      </c>
      <c r="G308" s="38" t="n">
        <f aca="false">Sens!$E$308+Sens!$F$308</f>
        <v>190.603779795877</v>
      </c>
      <c r="H308" s="38" t="n">
        <f aca="false">Sens!$G$308*(1+Sens!$H$309)</f>
        <v>210.60983493727</v>
      </c>
      <c r="I308" s="38" t="n">
        <f aca="false">Sens!$H$308*(1+Sens!$I$309)</f>
        <v>230.261344640224</v>
      </c>
      <c r="J308" s="38" t="n">
        <f aca="false">Sens!$I$308*(1+Sens!$J$309)</f>
        <v>249.063064692541</v>
      </c>
      <c r="K308" s="38" t="n">
        <f aca="false">Sens!$J$308*(1+Sens!$K$309)</f>
        <v>266.497479221019</v>
      </c>
      <c r="L308" s="38" t="n">
        <f aca="false">Sens!$K$308*(1+Sens!$L$309)</f>
        <v>285.15230276649</v>
      </c>
      <c r="M308" s="38" t="n">
        <f aca="false">Sens!$L$308*(1+Sens!$M$309)</f>
        <v>305.112963960145</v>
      </c>
      <c r="N308" s="38" t="n">
        <f aca="false">Q!$N$12</f>
        <v>76.86</v>
      </c>
      <c r="O308" s="38" t="n">
        <f aca="false">Q!$O$12</f>
        <v>95.302</v>
      </c>
      <c r="P308" s="8" t="s">
        <v>661</v>
      </c>
    </row>
    <row r="309" customFormat="false" ht="17.15" hidden="false" customHeight="false" outlineLevel="0" collapsed="false">
      <c r="A309" s="0" t="s">
        <v>666</v>
      </c>
      <c r="B309" s="0" t="s">
        <v>52</v>
      </c>
      <c r="E309" s="13" t="n">
        <f aca="false">Sens!$E$308/Sens!$N$308-1</f>
        <v>0.1495966692688</v>
      </c>
      <c r="F309" s="13" t="n">
        <f aca="false">Sens!$O$308/(Q!$F$12+Q!$G$12)-1</f>
        <v>0.11661530890813</v>
      </c>
      <c r="G309" s="13" t="n">
        <f aca="false">Sens!$G$308/Sens!$D$308-1</f>
        <v>0.107118759051804</v>
      </c>
      <c r="H309" s="13" t="n">
        <f aca="false">Sens!$F$309+(g_sp-Sens!$F$309)*1/4</f>
        <v>0.104961481681098</v>
      </c>
      <c r="I309" s="13" t="n">
        <f aca="false">Sens!$F$309+(g_sp-Sens!$F$309)*2/4</f>
        <v>0.0933076544540651</v>
      </c>
      <c r="J309" s="13" t="n">
        <f aca="false">Sens!$F$309+(g_sp-Sens!$F$309)*3/4</f>
        <v>0.0816538272270325</v>
      </c>
      <c r="K309" s="13" t="n">
        <f aca="false">Sens!$F$309+(g_sp-Sens!$F$309)*4/4</f>
        <v>0.07</v>
      </c>
      <c r="L309" s="13" t="n">
        <f aca="false">g_sp</f>
        <v>0.07</v>
      </c>
      <c r="M309" s="13" t="n">
        <f aca="false">g_sp</f>
        <v>0.07</v>
      </c>
      <c r="P309" s="8" t="s">
        <v>667</v>
      </c>
    </row>
    <row r="310" customFormat="false" ht="17.15" hidden="false" customHeight="false" outlineLevel="0" collapsed="false">
      <c r="A310" s="0" t="s">
        <v>519</v>
      </c>
      <c r="B310" s="0" t="s">
        <v>86</v>
      </c>
      <c r="C310" s="38" t="n">
        <f aca="false">Q!$D$13</f>
        <v>56.214</v>
      </c>
      <c r="D310" s="38" t="n">
        <f aca="false">Q!$E$13</f>
        <v>68.635</v>
      </c>
      <c r="E310" s="38" t="n">
        <f aca="false">Q!$P$13</f>
        <v>37.052</v>
      </c>
      <c r="F310" s="38" t="n">
        <f aca="false">Sens!$O$310*(1+Sens!$F$311)*Sens!$F$316</f>
        <v>46.2664522235369</v>
      </c>
      <c r="G310" s="38" t="n">
        <f aca="false">Sens!$E$310+Sens!$F$310</f>
        <v>83.3184522235369</v>
      </c>
      <c r="H310" s="38" t="n">
        <f aca="false">Sens!$G$310*(1+Sens!$H$311)</f>
        <v>100.028058858826</v>
      </c>
      <c r="I310" s="38" t="n">
        <f aca="false">Sens!$H$310*(1+Sens!$I$311)</f>
        <v>116.736151823813</v>
      </c>
      <c r="J310" s="38" t="n">
        <f aca="false">Sens!$I$310*(1+Sens!$J$311)</f>
        <v>132.322416213921</v>
      </c>
      <c r="K310" s="38" t="n">
        <f aca="false">Sens!$J$310*(1+Sens!$K$311)</f>
        <v>145.554657835313</v>
      </c>
      <c r="L310" s="38" t="n">
        <f aca="false">Sens!$K$310*(1+Sens!$L$311)</f>
        <v>160.110123618844</v>
      </c>
      <c r="M310" s="38" t="n">
        <f aca="false">Sens!$L$310*(1+Sens!$M$311)</f>
        <v>176.121135980728</v>
      </c>
      <c r="N310" s="38" t="n">
        <f aca="false">Q!$N$13</f>
        <v>29.615</v>
      </c>
      <c r="O310" s="38" t="n">
        <f aca="false">Q!$O$13</f>
        <v>39.02</v>
      </c>
      <c r="P310" s="8" t="s">
        <v>661</v>
      </c>
    </row>
    <row r="311" customFormat="false" ht="17.15" hidden="false" customHeight="false" outlineLevel="0" collapsed="false">
      <c r="A311" s="0" t="s">
        <v>668</v>
      </c>
      <c r="B311" s="0" t="s">
        <v>52</v>
      </c>
      <c r="E311" s="13" t="n">
        <f aca="false">Sens!$E$310/Sens!$N$310-1</f>
        <v>0.25112274185379</v>
      </c>
      <c r="F311" s="13" t="n">
        <f aca="false">Sens!$O$310/(Q!$F$13+Q!$G$13)-1</f>
        <v>0.234068123596572</v>
      </c>
      <c r="G311" s="13" t="n">
        <f aca="false">Sens!$G$310/Sens!$D$310-1</f>
        <v>0.213935342369591</v>
      </c>
      <c r="H311" s="13" t="n">
        <f aca="false">Sens!$F$311+(g_ad-Sens!$F$311)*1/4</f>
        <v>0.200551092697429</v>
      </c>
      <c r="I311" s="13" t="n">
        <f aca="false">Sens!$F$311+(g_ad-Sens!$F$311)*2/4</f>
        <v>0.167034061798286</v>
      </c>
      <c r="J311" s="13" t="n">
        <f aca="false">Sens!$F$311+(g_ad-Sens!$F$311)*3/4</f>
        <v>0.133517030899143</v>
      </c>
      <c r="K311" s="13" t="n">
        <f aca="false">Sens!$F$311+(g_ad-Sens!$F$311)*4/4</f>
        <v>0.1</v>
      </c>
      <c r="L311" s="13" t="n">
        <f aca="false">g_ad</f>
        <v>0.1</v>
      </c>
      <c r="M311" s="13" t="n">
        <f aca="false">g_ad</f>
        <v>0.1</v>
      </c>
      <c r="P311" s="8" t="s">
        <v>669</v>
      </c>
    </row>
    <row r="312" customFormat="false" ht="17.15" hidden="false" customHeight="false" outlineLevel="0" collapsed="false">
      <c r="A312" s="0" t="s">
        <v>520</v>
      </c>
      <c r="B312" s="0" t="s">
        <v>86</v>
      </c>
      <c r="C312" s="38" t="n">
        <f aca="false">Q!$D$14</f>
        <v>44.374</v>
      </c>
      <c r="D312" s="38" t="n">
        <f aca="false">Q!$E$14</f>
        <v>49.619</v>
      </c>
      <c r="E312" s="38" t="n">
        <f aca="false">Q!$P$14</f>
        <v>27.157</v>
      </c>
      <c r="F312" s="38" t="n">
        <f aca="false">Sens!$O$312*(1+Sens!$F$313)*Sens!$F$316</f>
        <v>27.8421489851719</v>
      </c>
      <c r="G312" s="38" t="n">
        <f aca="false">Sens!$E$312+Sens!$F$312</f>
        <v>54.9991489851719</v>
      </c>
      <c r="H312" s="38" t="n">
        <f aca="false">Sens!$G$312*(1+Sens!$H$313)</f>
        <v>61.229589971467</v>
      </c>
      <c r="I312" s="38" t="n">
        <f aca="false">Sens!$H$312*(1+Sens!$I$313)</f>
        <v>67.2824410074817</v>
      </c>
      <c r="J312" s="38" t="n">
        <f aca="false">Sens!$I$312*(1+Sens!$J$313)</f>
        <v>72.9629292513489</v>
      </c>
      <c r="K312" s="38" t="n">
        <f aca="false">Sens!$J$312*(1+Sens!$K$313)</f>
        <v>78.0703342989433</v>
      </c>
      <c r="L312" s="38" t="n">
        <f aca="false">Sens!$K$312*(1+Sens!$L$313)</f>
        <v>83.5352576998693</v>
      </c>
      <c r="M312" s="38" t="n">
        <f aca="false">Sens!$L$312*(1+Sens!$M$313)</f>
        <v>89.3827257388602</v>
      </c>
      <c r="N312" s="38" t="n">
        <f aca="false">Q!$N$14</f>
        <v>23.923</v>
      </c>
      <c r="O312" s="38" t="n">
        <f aca="false">Q!$O$14</f>
        <v>25.696</v>
      </c>
      <c r="P312" s="8" t="s">
        <v>661</v>
      </c>
    </row>
    <row r="313" customFormat="false" ht="17.15" hidden="false" customHeight="false" outlineLevel="0" collapsed="false">
      <c r="A313" s="0" t="s">
        <v>670</v>
      </c>
      <c r="B313" s="0" t="s">
        <v>52</v>
      </c>
      <c r="E313" s="13" t="n">
        <f aca="false">Sens!$E$312/Sens!$N$312-1</f>
        <v>0.135183714417088</v>
      </c>
      <c r="F313" s="13" t="n">
        <f aca="false">Sens!$O$312/(Q!$F$14+Q!$G$14)-1</f>
        <v>0.127709997366804</v>
      </c>
      <c r="G313" s="13" t="n">
        <f aca="false">Sens!$G$312/Sens!$D$312-1</f>
        <v>0.108429210285817</v>
      </c>
      <c r="H313" s="13" t="n">
        <f aca="false">Sens!$F$313+(g_sub-Sens!$F$313)*1/4</f>
        <v>0.113282498025103</v>
      </c>
      <c r="I313" s="13" t="n">
        <f aca="false">Sens!$F$313+(g_sub-Sens!$F$313)*2/4</f>
        <v>0.0988549986834021</v>
      </c>
      <c r="J313" s="13" t="n">
        <f aca="false">Sens!$F$313+(g_sub-Sens!$F$313)*3/4</f>
        <v>0.084427499341701</v>
      </c>
      <c r="K313" s="13" t="n">
        <f aca="false">Sens!$F$313+(g_sub-Sens!$F$313)*4/4</f>
        <v>0.07</v>
      </c>
      <c r="L313" s="13" t="n">
        <f aca="false">g_sub</f>
        <v>0.07</v>
      </c>
      <c r="M313" s="13" t="n">
        <f aca="false">g_sub</f>
        <v>0.07</v>
      </c>
      <c r="P313" s="8" t="s">
        <v>671</v>
      </c>
    </row>
    <row r="314" customFormat="false" ht="17.15" hidden="false" customHeight="false" outlineLevel="0" collapsed="false">
      <c r="A314" s="0" t="s">
        <v>521</v>
      </c>
      <c r="B314" s="0" t="s">
        <v>86</v>
      </c>
      <c r="C314" s="38" t="n">
        <f aca="false">Q!$D$15</f>
        <v>5.425</v>
      </c>
      <c r="D314" s="38" t="n">
        <f aca="false">Q!$E$15</f>
        <v>5.935</v>
      </c>
      <c r="E314" s="38" t="n">
        <f aca="false">Q!$P$15</f>
        <v>3.474</v>
      </c>
      <c r="F314" s="38" t="n">
        <f aca="false">Sens!$O$314*(1+Sens!$F$315)*Sens!$F$316</f>
        <v>3.23009141504673</v>
      </c>
      <c r="G314" s="38" t="n">
        <f aca="false">Sens!$E$314+Sens!$F$314</f>
        <v>6.70409141504673</v>
      </c>
      <c r="H314" s="38" t="n">
        <f aca="false">Sens!$G$314*(1+Sens!$H$315)</f>
        <v>7.17067008169072</v>
      </c>
      <c r="I314" s="38" t="n">
        <f aca="false">Sens!$H$314*(1+Sens!$I$315)</f>
        <v>7.62288173350109</v>
      </c>
      <c r="J314" s="38" t="n">
        <f aca="false">Sens!$I$314*(1+Sens!$J$315)</f>
        <v>8.05381875674918</v>
      </c>
      <c r="K314" s="38" t="n">
        <f aca="false">Sens!$J$314*(1+Sens!$K$315)</f>
        <v>8.45650969458664</v>
      </c>
      <c r="L314" s="38" t="n">
        <f aca="false">Sens!$K$314*(1+Sens!$L$315)</f>
        <v>8.87933517931597</v>
      </c>
      <c r="M314" s="38" t="n">
        <f aca="false">Sens!$L$314*(1+Sens!$M$315)</f>
        <v>9.32330193828177</v>
      </c>
      <c r="N314" s="38" t="n">
        <f aca="false">Q!$N$15</f>
        <v>2.811</v>
      </c>
      <c r="O314" s="38" t="n">
        <f aca="false">Q!$O$15</f>
        <v>3.124</v>
      </c>
      <c r="P314" s="8" t="s">
        <v>661</v>
      </c>
    </row>
    <row r="315" customFormat="false" ht="17.15" hidden="false" customHeight="false" outlineLevel="0" collapsed="false">
      <c r="A315" s="0" t="s">
        <v>672</v>
      </c>
      <c r="B315" s="0" t="s">
        <v>52</v>
      </c>
      <c r="E315" s="13" t="n">
        <f aca="false">Sens!$E$314/Sens!$N$314-1</f>
        <v>0.235859124866596</v>
      </c>
      <c r="F315" s="13" t="n">
        <f aca="false">Sens!$O$314/(Q!$F$15+Q!$G$15)-1</f>
        <v>0.0761281433000345</v>
      </c>
      <c r="G315" s="13" t="n">
        <f aca="false">Sens!$G$314/Sens!$D$314-1</f>
        <v>0.129585748112338</v>
      </c>
      <c r="H315" s="13" t="n">
        <f aca="false">Sens!$F$315+(g_ot-Sens!$F$315)*1/4</f>
        <v>0.0695961074750259</v>
      </c>
      <c r="I315" s="13" t="n">
        <f aca="false">Sens!$F$315+(g_ot-Sens!$F$315)*2/4</f>
        <v>0.0630640716500172</v>
      </c>
      <c r="J315" s="13" t="n">
        <f aca="false">Sens!$F$315+(g_ot-Sens!$F$315)*3/4</f>
        <v>0.0565320358250086</v>
      </c>
      <c r="K315" s="13" t="n">
        <f aca="false">Sens!$F$315+(g_ot-Sens!$F$315)*4/4</f>
        <v>0.05</v>
      </c>
      <c r="L315" s="13" t="n">
        <f aca="false">g_ot</f>
        <v>0.05</v>
      </c>
      <c r="M315" s="13" t="n">
        <f aca="false">g_ot</f>
        <v>0.05</v>
      </c>
      <c r="P315" s="8" t="s">
        <v>673</v>
      </c>
    </row>
    <row r="316" customFormat="false" ht="17.15" hidden="false" customHeight="false" outlineLevel="0" collapsed="false">
      <c r="A316" s="0" t="s">
        <v>674</v>
      </c>
      <c r="B316" s="0" t="s">
        <v>57</v>
      </c>
      <c r="F316" s="40" t="n">
        <f aca="false">(g26q3_mid*Q!$O$8/Q!$J$8-Sens!$F$345-Sens!$F$349)/(Sens!$O$304*(1+Sens!$F$305)+Sens!$O$306*(1+Sens!$F$307)+Sens!$O$308*(1+Sens!$F$309)+Sens!$O$310*(1+Sens!$F$311)+Sens!$O$312*(1+Sens!$F$313)+Sens!$O$314*(1+Sens!$F$315))</f>
        <v>0.96081505394204</v>
      </c>
      <c r="P316" s="8" t="s">
        <v>675</v>
      </c>
    </row>
    <row r="317" customFormat="false" ht="17.15" hidden="false" customHeight="false" outlineLevel="0" collapsed="false">
      <c r="A317" s="3" t="s">
        <v>676</v>
      </c>
      <c r="B317" s="8" t="s">
        <v>86</v>
      </c>
      <c r="C317" s="38" t="n">
        <f aca="false">Sens!$C$304+Sens!$C$306+Sens!$C$308+Sens!$C$310+Sens!$C$312+Sens!$C$314</f>
        <v>530.403</v>
      </c>
      <c r="D317" s="38" t="n">
        <f aca="false">Sens!$D$304+Sens!$D$306+Sens!$D$308+Sens!$D$310+Sens!$D$312+Sens!$D$314</f>
        <v>588.199</v>
      </c>
      <c r="E317" s="38" t="n">
        <f aca="false">Sens!$E$304+Sens!$E$306+Sens!$E$308+Sens!$E$310+Sens!$E$312+Sens!$E$314</f>
        <v>302.306</v>
      </c>
      <c r="F317" s="38" t="n">
        <f aca="false">Sens!$F$304+Sens!$F$306+Sens!$F$308+Sens!$F$310+Sens!$F$312+Sens!$F$314</f>
        <v>349.874257981924</v>
      </c>
      <c r="G317" s="38" t="n">
        <f aca="false">Sens!$G$304+Sens!$G$306+Sens!$G$308+Sens!$G$310+Sens!$G$312+Sens!$G$314</f>
        <v>652.180257981924</v>
      </c>
      <c r="H317" s="38" t="n">
        <f aca="false">Sens!$H$304+Sens!$H$306+Sens!$H$308+Sens!$H$310+Sens!$H$312+Sens!$H$314</f>
        <v>722.011750012423</v>
      </c>
      <c r="I317" s="38" t="n">
        <f aca="false">Sens!$I$304+Sens!$I$306+Sens!$I$308+Sens!$I$310+Sens!$I$312+Sens!$I$314</f>
        <v>789.530172698806</v>
      </c>
      <c r="J317" s="38" t="n">
        <f aca="false">Sens!$J$304+Sens!$J$306+Sens!$J$308+Sens!$J$310+Sens!$J$312+Sens!$J$314</f>
        <v>852.188919241856</v>
      </c>
      <c r="K317" s="38" t="n">
        <f aca="false">Sens!$K$304+Sens!$K$306+Sens!$K$308+Sens!$K$310+Sens!$K$312+Sens!$K$314</f>
        <v>907.327096605888</v>
      </c>
      <c r="L317" s="38" t="n">
        <f aca="false">Sens!$L$304+Sens!$L$306+Sens!$L$308+Sens!$L$310+Sens!$L$312+Sens!$L$314</f>
        <v>966.318794032083</v>
      </c>
      <c r="M317" s="38" t="n">
        <f aca="false">Sens!$M$304+Sens!$M$306+Sens!$M$308+Sens!$M$310+Sens!$M$312+Sens!$M$314</f>
        <v>1029.4539321607</v>
      </c>
      <c r="N317" s="38" t="n">
        <f aca="false">Sens!$N$304+Sens!$N$306+Sens!$N$308+Sens!$N$310+Sens!$N$312+Sens!$N$314</f>
        <v>263.229</v>
      </c>
      <c r="O317" s="38" t="n">
        <f aca="false">Sens!$O$304+Sens!$O$306+Sens!$O$308+Sens!$O$310+Sens!$O$312+Sens!$O$314</f>
        <v>324.97</v>
      </c>
    </row>
    <row r="318" customFormat="false" ht="17.15" hidden="false" customHeight="false" outlineLevel="0" collapsed="false">
      <c r="A318" s="5" t="s">
        <v>677</v>
      </c>
      <c r="B318" s="0" t="s">
        <v>52</v>
      </c>
      <c r="C318" s="13" t="n">
        <f aca="false">Q!$D$5/(Q!$D$5+Q!$D$6)</f>
        <v>0.730570905519011</v>
      </c>
      <c r="D318" s="13" t="n">
        <f aca="false">Q!$E$5/(Q!$E$5+Q!$E$6)</f>
        <v>0.724763217890544</v>
      </c>
      <c r="E318" s="13" t="n">
        <f aca="false">Q!$P$5/(Q!$P$5+Q!$P$6)</f>
        <v>0.728797972914861</v>
      </c>
      <c r="F318" s="13" t="n">
        <f aca="false">Sens!$O$318</f>
        <v>0.718066283041511</v>
      </c>
      <c r="G318" s="13" t="n">
        <f aca="false">Sens!$G$319/Sens!$G$317</f>
        <v>0.723040757811557</v>
      </c>
      <c r="H318" s="13" t="n">
        <f aca="false">Sens!$G$318</f>
        <v>0.723040757811557</v>
      </c>
      <c r="I318" s="13" t="n">
        <f aca="false">Sens!$G$318</f>
        <v>0.723040757811557</v>
      </c>
      <c r="J318" s="13" t="n">
        <f aca="false">Sens!$G$318</f>
        <v>0.723040757811557</v>
      </c>
      <c r="K318" s="13" t="n">
        <f aca="false">Sens!$G$318</f>
        <v>0.723040757811557</v>
      </c>
      <c r="L318" s="13" t="n">
        <f aca="false">Sens!$G$318</f>
        <v>0.723040757811557</v>
      </c>
      <c r="M318" s="13" t="n">
        <f aca="false">Sens!$G$318</f>
        <v>0.723040757811557</v>
      </c>
      <c r="N318" s="13" t="n">
        <f aca="false">Q!$N$5/(Q!$N$5+Q!$N$6)</f>
        <v>0.733030935041352</v>
      </c>
      <c r="O318" s="13" t="n">
        <f aca="false">Q!$O$5/(Q!$O$5+Q!$O$6)</f>
        <v>0.718066283041511</v>
      </c>
      <c r="P318" s="8" t="s">
        <v>678</v>
      </c>
    </row>
    <row r="319" customFormat="false" ht="17.15" hidden="false" customHeight="false" outlineLevel="0" collapsed="false">
      <c r="A319" s="1" t="s">
        <v>509</v>
      </c>
      <c r="B319" s="8" t="s">
        <v>86</v>
      </c>
      <c r="C319" s="38" t="n">
        <f aca="false">Q!$D$5</f>
        <v>387.497</v>
      </c>
      <c r="D319" s="38" t="n">
        <f aca="false">Q!$E$5</f>
        <v>426.305</v>
      </c>
      <c r="E319" s="38" t="n">
        <f aca="false">Q!$P$5</f>
        <v>220.32</v>
      </c>
      <c r="F319" s="38" t="n">
        <f aca="false">Sens!$F$317*Sens!$F$318</f>
        <v>251.232907960987</v>
      </c>
      <c r="G319" s="38" t="n">
        <f aca="false">Sens!$E$319+Sens!$F$319</f>
        <v>471.552907960987</v>
      </c>
      <c r="H319" s="38" t="n">
        <f aca="false">Sens!$H$317*Sens!$H$318</f>
        <v>522.043922877831</v>
      </c>
      <c r="I319" s="38" t="n">
        <f aca="false">Sens!$I$317*Sens!$I$318</f>
        <v>570.862494383234</v>
      </c>
      <c r="J319" s="38" t="n">
        <f aca="false">Sens!$J$317*Sens!$J$318</f>
        <v>616.167321967244</v>
      </c>
      <c r="K319" s="38" t="n">
        <f aca="false">Sens!$K$317*Sens!$K$318</f>
        <v>656.034471512881</v>
      </c>
      <c r="L319" s="38" t="n">
        <f aca="false">Sens!$L$317*Sens!$L$318</f>
        <v>698.687873124507</v>
      </c>
      <c r="M319" s="38" t="n">
        <f aca="false">Sens!$M$317*Sens!$M$318</f>
        <v>744.337151241562</v>
      </c>
      <c r="N319" s="38" t="n">
        <f aca="false">Q!$N$5</f>
        <v>192.955</v>
      </c>
      <c r="O319" s="38" t="n">
        <f aca="false">Q!$O$5</f>
        <v>233.35</v>
      </c>
      <c r="P319" s="5" t="s">
        <v>679</v>
      </c>
    </row>
    <row r="320" customFormat="false" ht="17.15" hidden="false" customHeight="false" outlineLevel="0" collapsed="false">
      <c r="A320" s="1" t="s">
        <v>512</v>
      </c>
      <c r="B320" s="8" t="s">
        <v>86</v>
      </c>
      <c r="C320" s="38" t="n">
        <f aca="false">Q!$D$6</f>
        <v>142.906</v>
      </c>
      <c r="D320" s="38" t="n">
        <f aca="false">Q!$E$6</f>
        <v>161.894</v>
      </c>
      <c r="E320" s="38" t="n">
        <f aca="false">Q!$P$6</f>
        <v>81.986</v>
      </c>
      <c r="F320" s="38" t="n">
        <f aca="false">Sens!$F$317*(1-Sens!$F$318)</f>
        <v>98.6413500209369</v>
      </c>
      <c r="G320" s="38" t="n">
        <f aca="false">Sens!$E$320+Sens!$F$320</f>
        <v>180.627350020937</v>
      </c>
      <c r="H320" s="38" t="n">
        <f aca="false">Sens!$H$317*(1-Sens!$H$318)</f>
        <v>199.967827134592</v>
      </c>
      <c r="I320" s="38" t="n">
        <f aca="false">Sens!$I$317*(1-Sens!$I$318)</f>
        <v>218.667678315572</v>
      </c>
      <c r="J320" s="38" t="n">
        <f aca="false">Sens!$J$317*(1-Sens!$J$318)</f>
        <v>236.021597274613</v>
      </c>
      <c r="K320" s="38" t="n">
        <f aca="false">Sens!$K$317*(1-Sens!$K$318)</f>
        <v>251.292625093007</v>
      </c>
      <c r="L320" s="38" t="n">
        <f aca="false">Sens!$L$317*(1-Sens!$L$318)</f>
        <v>267.630920907576</v>
      </c>
      <c r="M320" s="38" t="n">
        <f aca="false">Sens!$M$317*(1-Sens!$M$318)</f>
        <v>285.116780919142</v>
      </c>
      <c r="N320" s="38" t="n">
        <f aca="false">Q!$N$6</f>
        <v>70.274</v>
      </c>
      <c r="O320" s="38" t="n">
        <f aca="false">Q!$O$6</f>
        <v>91.62</v>
      </c>
      <c r="P320" s="5" t="s">
        <v>680</v>
      </c>
    </row>
    <row r="321" customFormat="false" ht="17.15" hidden="false" customHeight="false" outlineLevel="0" collapsed="false">
      <c r="A321" s="5" t="s">
        <v>681</v>
      </c>
      <c r="B321" s="0" t="s">
        <v>86</v>
      </c>
      <c r="C321" s="38" t="n">
        <f aca="false">Sens!$C$310*Sens!$C$318</f>
        <v>41.0683128828457</v>
      </c>
      <c r="D321" s="38" t="n">
        <f aca="false">Sens!$D$310*Sens!$D$318</f>
        <v>49.7441234599175</v>
      </c>
      <c r="E321" s="38" t="n">
        <f aca="false">Sens!$E$310*Sens!$E$318</f>
        <v>27.0034224924414</v>
      </c>
      <c r="F321" s="38" t="n">
        <f aca="false">Sens!$F$310*Sens!$F$318</f>
        <v>33.2223793776728</v>
      </c>
      <c r="G321" s="38" t="n">
        <f aca="false">Sens!$G$310*Sens!$G$318</f>
        <v>60.2426368353921</v>
      </c>
      <c r="H321" s="38" t="n">
        <f aca="false">Sens!$H$310*Sens!$H$318</f>
        <v>72.3243634797044</v>
      </c>
      <c r="I321" s="38" t="n">
        <f aca="false">Sens!$I$310*Sens!$I$318</f>
        <v>84.404995678695</v>
      </c>
      <c r="J321" s="38" t="n">
        <f aca="false">Sens!$J$310*Sens!$J$318</f>
        <v>95.6745000947693</v>
      </c>
      <c r="K321" s="38" t="n">
        <f aca="false">Sens!$K$310*Sens!$K$318</f>
        <v>105.241950104246</v>
      </c>
      <c r="L321" s="38" t="n">
        <f aca="false">Sens!$L$310*Sens!$L$318</f>
        <v>115.766145114671</v>
      </c>
      <c r="M321" s="38" t="n">
        <f aca="false">Sens!$M$310*Sens!$M$318</f>
        <v>127.342759626138</v>
      </c>
      <c r="N321" s="38" t="n">
        <f aca="false">Sens!$N$310*Sens!$N$318</f>
        <v>21.7087111412496</v>
      </c>
      <c r="O321" s="38" t="n">
        <f aca="false">Sens!$O$310*Sens!$O$318</f>
        <v>28.0189463642798</v>
      </c>
      <c r="P321" s="5" t="s">
        <v>682</v>
      </c>
    </row>
    <row r="322" customFormat="false" ht="15" hidden="false" customHeight="false" outlineLevel="0" collapsed="false">
      <c r="A322" s="5" t="s">
        <v>683</v>
      </c>
      <c r="B322" s="0" t="s">
        <v>86</v>
      </c>
      <c r="C322" s="38" t="n">
        <f aca="false">Sens!$C$310-Sens!$C$321</f>
        <v>15.1456871171543</v>
      </c>
      <c r="D322" s="38" t="n">
        <f aca="false">Sens!$D$310-Sens!$D$321</f>
        <v>18.8908765400825</v>
      </c>
      <c r="E322" s="38" t="n">
        <f aca="false">Sens!$E$310-Sens!$E$321</f>
        <v>10.0485775075586</v>
      </c>
      <c r="F322" s="38" t="n">
        <f aca="false">Sens!$F$310-Sens!$F$321</f>
        <v>13.0440728458641</v>
      </c>
      <c r="G322" s="38" t="n">
        <f aca="false">Sens!$G$310-Sens!$G$321</f>
        <v>23.0758153881448</v>
      </c>
      <c r="H322" s="38" t="n">
        <f aca="false">Sens!$H$310-Sens!$H$321</f>
        <v>27.7036953791214</v>
      </c>
      <c r="I322" s="38" t="n">
        <f aca="false">Sens!$I$310-Sens!$I$321</f>
        <v>32.3311561451184</v>
      </c>
      <c r="J322" s="38" t="n">
        <f aca="false">Sens!$J$310-Sens!$J$321</f>
        <v>36.6479161191512</v>
      </c>
      <c r="K322" s="38" t="n">
        <f aca="false">Sens!$K$310-Sens!$K$321</f>
        <v>40.3127077310663</v>
      </c>
      <c r="L322" s="38" t="n">
        <f aca="false">Sens!$L$310-Sens!$L$321</f>
        <v>44.343978504173</v>
      </c>
      <c r="M322" s="38" t="n">
        <f aca="false">Sens!$M$310-Sens!$M$321</f>
        <v>48.7783763545903</v>
      </c>
      <c r="N322" s="38" t="n">
        <f aca="false">Sens!$N$310-Sens!$N$321</f>
        <v>7.90628885875037</v>
      </c>
      <c r="O322" s="38" t="n">
        <f aca="false">Sens!$O$310-Sens!$O$321</f>
        <v>11.0010536357202</v>
      </c>
    </row>
    <row r="323" customFormat="false" ht="19.4" hidden="false" customHeight="false" outlineLevel="0" collapsed="false">
      <c r="A323" s="31" t="s">
        <v>1133</v>
      </c>
    </row>
    <row r="324" customFormat="false" ht="17.15" hidden="false" customHeight="false" outlineLevel="0" collapsed="false">
      <c r="A324" s="6" t="s">
        <v>16</v>
      </c>
      <c r="B324" s="6" t="s">
        <v>17</v>
      </c>
      <c r="C324" s="20" t="s">
        <v>494</v>
      </c>
      <c r="D324" s="20" t="s">
        <v>495</v>
      </c>
      <c r="E324" s="20" t="s">
        <v>577</v>
      </c>
      <c r="F324" s="20" t="s">
        <v>578</v>
      </c>
      <c r="G324" s="20" t="s">
        <v>579</v>
      </c>
      <c r="H324" s="20" t="s">
        <v>580</v>
      </c>
      <c r="I324" s="20" t="s">
        <v>581</v>
      </c>
      <c r="J324" s="20" t="s">
        <v>582</v>
      </c>
      <c r="K324" s="20" t="s">
        <v>583</v>
      </c>
      <c r="L324" s="20" t="s">
        <v>584</v>
      </c>
      <c r="M324" s="20" t="s">
        <v>585</v>
      </c>
      <c r="N324" s="20" t="s">
        <v>586</v>
      </c>
      <c r="O324" s="20" t="s">
        <v>587</v>
      </c>
      <c r="P324" s="6" t="s">
        <v>23</v>
      </c>
      <c r="R324" s="20" t="n">
        <v>2023</v>
      </c>
      <c r="S324" s="20" t="n">
        <v>2024</v>
      </c>
      <c r="T324" s="20" t="n">
        <v>2025</v>
      </c>
      <c r="U324" s="20" t="n">
        <v>2026</v>
      </c>
      <c r="V324" s="20" t="n">
        <v>2027</v>
      </c>
      <c r="W324" s="20" t="n">
        <v>2028</v>
      </c>
      <c r="X324" s="20" t="n">
        <v>2029</v>
      </c>
      <c r="Y324" s="20" t="n">
        <v>2030</v>
      </c>
      <c r="Z324" s="20" t="n">
        <v>2031</v>
      </c>
      <c r="AA324" s="20" t="n">
        <v>2032</v>
      </c>
    </row>
    <row r="325" customFormat="false" ht="17.15" hidden="false" customHeight="false" outlineLevel="0" collapsed="false">
      <c r="A325" s="1" t="s">
        <v>588</v>
      </c>
    </row>
    <row r="326" customFormat="false" ht="17.15" hidden="false" customHeight="false" outlineLevel="0" collapsed="false">
      <c r="A326" s="5" t="s">
        <v>589</v>
      </c>
      <c r="B326" s="0" t="s">
        <v>144</v>
      </c>
      <c r="H326" s="32" t="n">
        <f aca="false">pace_B</f>
        <v>3634.3</v>
      </c>
      <c r="I326" s="32" t="n">
        <f aca="false">pace_B</f>
        <v>3634.3</v>
      </c>
      <c r="J326" s="32" t="n">
        <f aca="false">pace_B</f>
        <v>3634.3</v>
      </c>
      <c r="K326" s="32" t="n">
        <f aca="false">pace_B+(Sens!$J$327*tg-pace_B)*1/3</f>
        <v>2570.86716666667</v>
      </c>
      <c r="L326" s="32" t="n">
        <f aca="false">pace_B+(Sens!$J$327*tg-pace_B)*2/3</f>
        <v>1507.43433333333</v>
      </c>
      <c r="M326" s="32" t="n">
        <f aca="false">pace_B+(Sens!$J$327*tg-pace_B)*3/3</f>
        <v>444.0015</v>
      </c>
      <c r="P326" s="5" t="s">
        <v>590</v>
      </c>
    </row>
    <row r="327" customFormat="false" ht="17.15" hidden="false" customHeight="false" outlineLevel="0" collapsed="false">
      <c r="A327" s="15" t="s">
        <v>591</v>
      </c>
      <c r="B327" s="14" t="s">
        <v>129</v>
      </c>
      <c r="C327" s="33" t="n">
        <f aca="false">mw_ye24</f>
        <v>360</v>
      </c>
      <c r="D327" s="33" t="n">
        <f aca="false">mw_ye25</f>
        <v>1440</v>
      </c>
      <c r="E327" s="33" t="n">
        <f aca="false">mw_open</f>
        <v>2080</v>
      </c>
      <c r="F327" s="33" t="n">
        <f aca="false">Sens!$E$327+pace_B*0.5</f>
        <v>3897.15</v>
      </c>
      <c r="G327" s="33" t="n">
        <f aca="false">Sens!$F$327</f>
        <v>3897.15</v>
      </c>
      <c r="H327" s="33" t="n">
        <f aca="false">Sens!$G$327+Sens!$H$326</f>
        <v>7531.45</v>
      </c>
      <c r="I327" s="33" t="n">
        <f aca="false">Sens!$H$327+Sens!$I$326</f>
        <v>11165.75</v>
      </c>
      <c r="J327" s="33" t="n">
        <f aca="false">Sens!$I$327+Sens!$J$326</f>
        <v>14800.05</v>
      </c>
      <c r="K327" s="33" t="n">
        <f aca="false">Sens!$J$327+Sens!$K$326</f>
        <v>17370.9171666667</v>
      </c>
      <c r="L327" s="33" t="n">
        <f aca="false">Sens!$K$327+Sens!$L$326</f>
        <v>18878.3515</v>
      </c>
      <c r="M327" s="33" t="n">
        <f aca="false">Sens!$L$327+Sens!$M$326</f>
        <v>19322.353</v>
      </c>
      <c r="N327" s="33" t="n">
        <f aca="false">(mw_ye24+mw_ye25)/2</f>
        <v>900</v>
      </c>
      <c r="O327" s="33" t="n">
        <f aca="false">mw_ye25</f>
        <v>1440</v>
      </c>
      <c r="P327" s="5" t="s">
        <v>592</v>
      </c>
    </row>
    <row r="328" customFormat="false" ht="17.15" hidden="false" customHeight="false" outlineLevel="0" collapsed="false">
      <c r="A328" s="5" t="s">
        <v>593</v>
      </c>
      <c r="B328" s="0" t="s">
        <v>129</v>
      </c>
      <c r="C328" s="32" t="n">
        <f aca="false">(mw_ye23+mw_ye24)/2</f>
        <v>240</v>
      </c>
      <c r="D328" s="32" t="n">
        <f aca="false">(Sens!$C$327+Sens!$D$327)/2</f>
        <v>900</v>
      </c>
      <c r="E328" s="32" t="n">
        <f aca="false">(Sens!$D$327+Sens!$E$327)/2</f>
        <v>1760</v>
      </c>
      <c r="F328" s="32" t="n">
        <f aca="false">(Sens!$E$327+Sens!$F$327)/2</f>
        <v>2988.575</v>
      </c>
      <c r="G328" s="32" t="n">
        <f aca="false">(Sens!$E$328+Sens!$F$328)/2</f>
        <v>2374.2875</v>
      </c>
      <c r="H328" s="32" t="n">
        <f aca="false">(Sens!$G$327+Sens!$H$327)/2</f>
        <v>5714.3</v>
      </c>
      <c r="I328" s="32" t="n">
        <f aca="false">(Sens!$H$327+Sens!$I$327)/2</f>
        <v>9348.6</v>
      </c>
      <c r="J328" s="32" t="n">
        <f aca="false">(Sens!$I$327+Sens!$J$327)/2</f>
        <v>12982.9</v>
      </c>
      <c r="K328" s="32" t="n">
        <f aca="false">(Sens!$J$327+Sens!$K$327)/2</f>
        <v>16085.4835833333</v>
      </c>
      <c r="L328" s="32" t="n">
        <f aca="false">(Sens!$K$327+Sens!$L$327)/2</f>
        <v>18124.6343333333</v>
      </c>
      <c r="M328" s="32" t="n">
        <f aca="false">(Sens!$L$327+Sens!$M$327)/2</f>
        <v>19100.35225</v>
      </c>
      <c r="N328" s="32" t="n">
        <f aca="false">(Sens!$C$327+Sens!$N$327)/2</f>
        <v>630</v>
      </c>
      <c r="O328" s="32" t="n">
        <f aca="false">(Sens!$N$327+Sens!$O$327)/2</f>
        <v>1170</v>
      </c>
    </row>
    <row r="329" customFormat="false" ht="15" hidden="false" customHeight="false" outlineLevel="0" collapsed="false">
      <c r="A329" s="5" t="s">
        <v>594</v>
      </c>
      <c r="B329" s="5" t="s">
        <v>123</v>
      </c>
      <c r="C329" s="34" t="n">
        <v>1</v>
      </c>
      <c r="D329" s="34" t="n">
        <v>1</v>
      </c>
      <c r="E329" s="34" t="n">
        <v>0.5</v>
      </c>
      <c r="F329" s="34" t="n">
        <v>0.5</v>
      </c>
      <c r="G329" s="34" t="n">
        <v>1</v>
      </c>
      <c r="H329" s="34" t="n">
        <v>1</v>
      </c>
      <c r="I329" s="34" t="n">
        <v>1</v>
      </c>
      <c r="J329" s="34" t="n">
        <v>1</v>
      </c>
      <c r="K329" s="34" t="n">
        <v>1</v>
      </c>
      <c r="L329" s="34" t="n">
        <v>1</v>
      </c>
      <c r="M329" s="34" t="n">
        <v>1</v>
      </c>
      <c r="N329" s="34" t="n">
        <v>0.5</v>
      </c>
      <c r="O329" s="34" t="n">
        <v>0.5</v>
      </c>
    </row>
    <row r="330" customFormat="false" ht="17.15" hidden="false" customHeight="false" outlineLevel="0" collapsed="false">
      <c r="A330" s="5" t="s">
        <v>595</v>
      </c>
      <c r="B330" s="0" t="s">
        <v>129</v>
      </c>
      <c r="C330" s="32" t="n">
        <f aca="false">Sens!$C$327-mw_ye23</f>
        <v>240</v>
      </c>
      <c r="D330" s="32" t="n">
        <f aca="false">Sens!$D$327-Sens!$C$327</f>
        <v>1080</v>
      </c>
      <c r="E330" s="32" t="n">
        <f aca="false">Sens!$E$327-Sens!$D$327</f>
        <v>640</v>
      </c>
      <c r="F330" s="32" t="n">
        <f aca="false">Sens!$F$327-Sens!$E$327</f>
        <v>1817.15</v>
      </c>
      <c r="G330" s="32" t="n">
        <f aca="false">Sens!$E$330+Sens!$F$330</f>
        <v>2457.15</v>
      </c>
      <c r="H330" s="32" t="n">
        <f aca="false">Sens!$H$327-Sens!$G$327</f>
        <v>3634.3</v>
      </c>
      <c r="I330" s="32" t="n">
        <f aca="false">Sens!$I$327-Sens!$H$327</f>
        <v>3634.3</v>
      </c>
      <c r="J330" s="32" t="n">
        <f aca="false">Sens!$J$327-Sens!$I$327</f>
        <v>3634.3</v>
      </c>
      <c r="K330" s="32" t="n">
        <f aca="false">Sens!$K$327-Sens!$J$327</f>
        <v>2570.86716666667</v>
      </c>
      <c r="L330" s="32" t="n">
        <f aca="false">Sens!$L$327-Sens!$K$327</f>
        <v>1507.43433333333</v>
      </c>
      <c r="M330" s="32" t="n">
        <f aca="false">Sens!$M$327-Sens!$L$327</f>
        <v>444.001499999999</v>
      </c>
      <c r="N330" s="32" t="n">
        <f aca="false">Sens!$N$327-Sens!$C$327</f>
        <v>540</v>
      </c>
      <c r="O330" s="32" t="n">
        <f aca="false">Sens!$O$327-Sens!$N$327</f>
        <v>540</v>
      </c>
    </row>
    <row r="331" customFormat="false" ht="17.15" hidden="false" customHeight="false" outlineLevel="0" collapsed="false">
      <c r="A331" s="5" t="s">
        <v>596</v>
      </c>
      <c r="B331" s="0" t="s">
        <v>129</v>
      </c>
      <c r="C331" s="32" t="n">
        <f aca="false">Sens!$C$330/ext_sh</f>
        <v>300</v>
      </c>
      <c r="D331" s="32" t="n">
        <f aca="false">Sens!$D$330/ext_sh</f>
        <v>1350</v>
      </c>
      <c r="E331" s="32" t="n">
        <f aca="false">Sens!$E$330/ext_sh</f>
        <v>800</v>
      </c>
      <c r="F331" s="32" t="n">
        <f aca="false">Sens!$F$330/ext_sh</f>
        <v>2271.4375</v>
      </c>
      <c r="G331" s="32" t="n">
        <f aca="false">Sens!$G$330/ext_sh</f>
        <v>3071.4375</v>
      </c>
      <c r="H331" s="32" t="n">
        <f aca="false">Sens!$H$330/ext_sh</f>
        <v>4542.875</v>
      </c>
      <c r="I331" s="32" t="n">
        <f aca="false">Sens!$I$330/ext_sh</f>
        <v>4542.875</v>
      </c>
      <c r="J331" s="32" t="n">
        <f aca="false">Sens!$J$330/ext_sh</f>
        <v>4542.875</v>
      </c>
      <c r="K331" s="32" t="n">
        <f aca="false">Sens!$K$330/ext_sh</f>
        <v>3213.58395833333</v>
      </c>
      <c r="L331" s="32" t="n">
        <f aca="false">Sens!$L$330/ext_sh</f>
        <v>1884.29291666667</v>
      </c>
      <c r="M331" s="32" t="n">
        <f aca="false">Sens!$M$330/ext_sh</f>
        <v>555.001874999998</v>
      </c>
      <c r="N331" s="32" t="n">
        <f aca="false">Sens!$N$330/ext_sh</f>
        <v>675</v>
      </c>
      <c r="O331" s="32" t="n">
        <f aca="false">Sens!$O$330/ext_sh</f>
        <v>675</v>
      </c>
      <c r="P331" s="8" t="s">
        <v>597</v>
      </c>
      <c r="R331" s="32" t="n">
        <f aca="false">mw_ye23/ext_sh</f>
        <v>150</v>
      </c>
      <c r="S331" s="32" t="n">
        <f aca="false">Sens!$C$331</f>
        <v>300</v>
      </c>
      <c r="T331" s="32" t="n">
        <f aca="false">Sens!$D$331</f>
        <v>1350</v>
      </c>
      <c r="U331" s="32" t="n">
        <f aca="false">Sens!$G$331</f>
        <v>3071.4375</v>
      </c>
      <c r="V331" s="32" t="n">
        <f aca="false">Sens!$H$331</f>
        <v>4542.875</v>
      </c>
      <c r="W331" s="32" t="n">
        <f aca="false">Sens!$I$331</f>
        <v>4542.875</v>
      </c>
      <c r="X331" s="32" t="n">
        <f aca="false">Sens!$J$331</f>
        <v>4542.875</v>
      </c>
      <c r="Y331" s="32" t="n">
        <f aca="false">Sens!$K$331</f>
        <v>3213.58395833333</v>
      </c>
      <c r="Z331" s="32" t="n">
        <f aca="false">Sens!$L$331</f>
        <v>1884.29291666667</v>
      </c>
      <c r="AA331" s="32" t="n">
        <f aca="false">Sens!$M$331</f>
        <v>555.001874999998</v>
      </c>
    </row>
    <row r="332" customFormat="false" ht="17.15" hidden="false" customHeight="false" outlineLevel="0" collapsed="false">
      <c r="A332" s="1" t="s">
        <v>598</v>
      </c>
    </row>
    <row r="333" customFormat="false" ht="17.15" hidden="false" customHeight="false" outlineLevel="0" collapsed="false">
      <c r="A333" s="0" t="s">
        <v>599</v>
      </c>
      <c r="B333" s="0" t="s">
        <v>52</v>
      </c>
      <c r="F333" s="35" t="n">
        <f aca="false">na_vr26</f>
        <v>0</v>
      </c>
      <c r="G333" s="35" t="n">
        <f aca="false">na_vr26</f>
        <v>0</v>
      </c>
      <c r="H333" s="35" t="n">
        <f aca="false">na_vr27</f>
        <v>0.5</v>
      </c>
      <c r="I333" s="35" t="n">
        <f aca="false">na_vr28</f>
        <v>1</v>
      </c>
      <c r="J333" s="35" t="n">
        <f aca="false">na_vr28</f>
        <v>1</v>
      </c>
      <c r="K333" s="35" t="n">
        <f aca="false">na_vr28</f>
        <v>1</v>
      </c>
      <c r="L333" s="35" t="n">
        <f aca="false">na_vr28</f>
        <v>1</v>
      </c>
      <c r="M333" s="35" t="n">
        <f aca="false">na_vr28</f>
        <v>1</v>
      </c>
    </row>
    <row r="334" customFormat="false" ht="17.15" hidden="false" customHeight="false" outlineLevel="0" collapsed="false">
      <c r="A334" s="5" t="s">
        <v>600</v>
      </c>
      <c r="B334" s="0" t="s">
        <v>173</v>
      </c>
      <c r="F334" s="36" t="n">
        <f aca="false">cust_sh*tk_he_gb300*cf_chip+(1-cust_sh)*((1-Sens!$F$333)*tk_he_gb300+Sens!$F$333*tk_he_vr200)</f>
        <v>10.8864110021101</v>
      </c>
      <c r="G334" s="36" t="n">
        <f aca="false">cust_sh*tk_he_gb300*cf_chip+(1-cust_sh)*((1-Sens!$G$333)*tk_he_gb300+Sens!$G$333*tk_he_vr200)</f>
        <v>10.8864110021101</v>
      </c>
      <c r="H334" s="36" t="n">
        <f aca="false">cust_sh*tk_he_gb300*cf_chip+(1-cust_sh)*((1-Sens!$H$333)*tk_he_gb300+Sens!$H$333*tk_he_vr200)</f>
        <v>11.2211760027286</v>
      </c>
      <c r="I334" s="36" t="n">
        <f aca="false">cust_sh*tk_he_gb300*cf_chip+(1-cust_sh)*((1-Sens!$I$333)*tk_he_gb300+Sens!$I$333*tk_he_vr200)</f>
        <v>11.5559410033471</v>
      </c>
      <c r="J334" s="36" t="n">
        <f aca="false">cust_sh*tk_he_gb300*cf_chip+(1-cust_sh)*((1-Sens!$J$333)*tk_he_gb300+Sens!$J$333*tk_he_vr200)</f>
        <v>11.5559410033471</v>
      </c>
      <c r="K334" s="36" t="n">
        <f aca="false">cust_sh*tk_he_gb300*cf_chip+(1-cust_sh)*((1-Sens!$K$333)*tk_he_gb300+Sens!$K$333*tk_he_vr200)</f>
        <v>11.5559410033471</v>
      </c>
      <c r="L334" s="36" t="n">
        <f aca="false">cust_sh*tk_he_gb300*cf_chip+(1-cust_sh)*((1-Sens!$L$333)*tk_he_gb300+Sens!$L$333*tk_he_vr200)</f>
        <v>11.5559410033471</v>
      </c>
      <c r="M334" s="36" t="n">
        <f aca="false">cust_sh*tk_he_gb300*cf_chip+(1-cust_sh)*((1-Sens!$M$333)*tk_he_gb300+Sens!$M$333*tk_he_vr200)</f>
        <v>11.5559410033471</v>
      </c>
    </row>
    <row r="335" customFormat="false" ht="17.15" hidden="false" customHeight="false" outlineLevel="0" collapsed="false">
      <c r="A335" s="5" t="s">
        <v>601</v>
      </c>
      <c r="B335" s="0" t="s">
        <v>173</v>
      </c>
      <c r="F335" s="36" t="n">
        <f aca="false">cust_sh*tk_ox_gb300+(1-cust_sh)*((1-Sens!$F$333)*tk_ox_gb300+Sens!$F$333*tk_ox_vr200)</f>
        <v>1.98263481314457</v>
      </c>
      <c r="G335" s="36" t="n">
        <f aca="false">cust_sh*tk_ox_gb300+(1-cust_sh)*((1-Sens!$G$333)*tk_ox_gb300+Sens!$G$333*tk_ox_vr200)</f>
        <v>1.98263481314457</v>
      </c>
      <c r="H335" s="36" t="n">
        <f aca="false">cust_sh*tk_ox_gb300+(1-cust_sh)*((1-Sens!$H$333)*tk_ox_gb300+Sens!$H$333*tk_ox_vr200)</f>
        <v>2.01034999693694</v>
      </c>
      <c r="I335" s="36" t="n">
        <f aca="false">cust_sh*tk_ox_gb300+(1-cust_sh)*((1-Sens!$I$333)*tk_ox_gb300+Sens!$I$333*tk_ox_vr200)</f>
        <v>2.0380651807293</v>
      </c>
      <c r="J335" s="36" t="n">
        <f aca="false">cust_sh*tk_ox_gb300+(1-cust_sh)*((1-Sens!$J$333)*tk_ox_gb300+Sens!$J$333*tk_ox_vr200)</f>
        <v>2.0380651807293</v>
      </c>
      <c r="K335" s="36" t="n">
        <f aca="false">cust_sh*tk_ox_gb300+(1-cust_sh)*((1-Sens!$K$333)*tk_ox_gb300+Sens!$K$333*tk_ox_vr200)</f>
        <v>2.0380651807293</v>
      </c>
      <c r="L335" s="36" t="n">
        <f aca="false">cust_sh*tk_ox_gb300+(1-cust_sh)*((1-Sens!$L$333)*tk_ox_gb300+Sens!$L$333*tk_ox_vr200)</f>
        <v>2.0380651807293</v>
      </c>
      <c r="M335" s="36" t="n">
        <f aca="false">cust_sh*tk_ox_gb300+(1-cust_sh)*((1-Sens!$M$333)*tk_ox_gb300+Sens!$M$333*tk_ox_vr200)</f>
        <v>2.0380651807293</v>
      </c>
    </row>
    <row r="336" customFormat="false" ht="17.15" hidden="false" customHeight="false" outlineLevel="0" collapsed="false">
      <c r="A336" s="5" t="s">
        <v>602</v>
      </c>
      <c r="B336" s="0" t="s">
        <v>192</v>
      </c>
      <c r="F336" s="36" t="n">
        <f aca="false">cust_sh*tk_cx_gb300*cf_cx+(1-cust_sh)*((1-Sens!$F$333)*tk_cx_gb300+Sens!$F$333*tk_cx_vr200)</f>
        <v>32.237224</v>
      </c>
      <c r="G336" s="36" t="n">
        <f aca="false">cust_sh*tk_cx_gb300*cf_cx+(1-cust_sh)*((1-Sens!$G$333)*tk_cx_gb300+Sens!$G$333*tk_cx_vr200)</f>
        <v>32.237224</v>
      </c>
      <c r="H336" s="36" t="n">
        <f aca="false">cust_sh*tk_cx_gb300*cf_cx+(1-cust_sh)*((1-Sens!$H$333)*tk_cx_gb300+Sens!$H$333*tk_cx_vr200)</f>
        <v>33.574506</v>
      </c>
      <c r="I336" s="36" t="n">
        <f aca="false">cust_sh*tk_cx_gb300*cf_cx+(1-cust_sh)*((1-Sens!$I$333)*tk_cx_gb300+Sens!$I$333*tk_cx_vr200)</f>
        <v>34.911788</v>
      </c>
      <c r="J336" s="36" t="n">
        <f aca="false">cust_sh*tk_cx_gb300*cf_cx+(1-cust_sh)*((1-Sens!$J$333)*tk_cx_gb300+Sens!$J$333*tk_cx_vr200)</f>
        <v>34.911788</v>
      </c>
      <c r="K336" s="36" t="n">
        <f aca="false">cust_sh*tk_cx_gb300*cf_cx+(1-cust_sh)*((1-Sens!$K$333)*tk_cx_gb300+Sens!$K$333*tk_cx_vr200)</f>
        <v>34.911788</v>
      </c>
      <c r="L336" s="36" t="n">
        <f aca="false">cust_sh*tk_cx_gb300*cf_cx+(1-cust_sh)*((1-Sens!$L$333)*tk_cx_gb300+Sens!$L$333*tk_cx_vr200)</f>
        <v>34.911788</v>
      </c>
      <c r="M336" s="36" t="n">
        <f aca="false">cust_sh*tk_cx_gb300*cf_cx+(1-cust_sh)*((1-Sens!$M$333)*tk_cx_gb300+Sens!$M$333*tk_cx_vr200)</f>
        <v>34.911788</v>
      </c>
    </row>
    <row r="337" customFormat="false" ht="17.15" hidden="false" customHeight="false" outlineLevel="0" collapsed="false">
      <c r="A337" s="5" t="s">
        <v>603</v>
      </c>
      <c r="B337" s="0" t="s">
        <v>129</v>
      </c>
      <c r="F337" s="32" t="n">
        <f aca="false">Sens!$F$327-mw_open</f>
        <v>1817.15</v>
      </c>
      <c r="G337" s="32" t="n">
        <f aca="false">Sens!$F$337</f>
        <v>1817.15</v>
      </c>
      <c r="H337" s="32" t="n">
        <f aca="false">Sens!$H$327-mw_open</f>
        <v>5451.45</v>
      </c>
      <c r="I337" s="32" t="n">
        <f aca="false">Sens!$I$327-mw_open</f>
        <v>9085.75</v>
      </c>
      <c r="J337" s="32" t="n">
        <f aca="false">Sens!$J$327-mw_open</f>
        <v>12720.05</v>
      </c>
      <c r="K337" s="32" t="n">
        <f aca="false">Sens!$K$327-mw_open</f>
        <v>15290.9171666667</v>
      </c>
      <c r="L337" s="32" t="n">
        <f aca="false">Sens!$L$327-mw_open</f>
        <v>16798.3515</v>
      </c>
      <c r="M337" s="32" t="n">
        <f aca="false">Sens!$M$327-mw_open</f>
        <v>17242.353</v>
      </c>
    </row>
    <row r="338" customFormat="false" ht="17.15" hidden="false" customHeight="false" outlineLevel="0" collapsed="false">
      <c r="A338" s="0" t="s">
        <v>604</v>
      </c>
      <c r="B338" s="0" t="s">
        <v>605</v>
      </c>
      <c r="F338" s="32" t="n">
        <f aca="false">Sens!$F$330*Sens!$F$334</f>
        <v>19782.2417524844</v>
      </c>
      <c r="G338" s="32" t="n">
        <f aca="false">Sens!$F$338</f>
        <v>19782.2417524844</v>
      </c>
      <c r="H338" s="32" t="n">
        <f aca="false">Sens!$G$338+Sens!$H$330*Sens!$H$334</f>
        <v>60563.3616992009</v>
      </c>
      <c r="I338" s="32" t="n">
        <f aca="false">Sens!$H$338+Sens!$I$330*Sens!$I$334</f>
        <v>102561.118087665</v>
      </c>
      <c r="J338" s="32" t="n">
        <f aca="false">Sens!$I$338+Sens!$J$330*Sens!$J$334</f>
        <v>144558.87447613</v>
      </c>
      <c r="K338" s="32" t="n">
        <f aca="false">Sens!$J$338+Sens!$K$330*Sens!$K$334</f>
        <v>174267.663781572</v>
      </c>
      <c r="L338" s="32" t="n">
        <f aca="false">Sens!$K$338+Sens!$L$330*Sens!$L$334</f>
        <v>191687.486003992</v>
      </c>
      <c r="M338" s="32" t="n">
        <f aca="false">Sens!$L$338+Sens!$M$330*Sens!$M$334</f>
        <v>196818.341143389</v>
      </c>
    </row>
    <row r="339" customFormat="false" ht="17.15" hidden="false" customHeight="false" outlineLevel="0" collapsed="false">
      <c r="A339" s="0" t="s">
        <v>606</v>
      </c>
      <c r="B339" s="0" t="s">
        <v>605</v>
      </c>
      <c r="F339" s="32" t="n">
        <f aca="false">Sens!$F$330*Sens!$F$335</f>
        <v>3602.74485070566</v>
      </c>
      <c r="G339" s="32" t="n">
        <f aca="false">Sens!$F$339</f>
        <v>3602.74485070566</v>
      </c>
      <c r="H339" s="32" t="n">
        <f aca="false">Sens!$G$339+Sens!$H$330*Sens!$H$335</f>
        <v>10908.9598445736</v>
      </c>
      <c r="I339" s="32" t="n">
        <f aca="false">Sens!$H$339+Sens!$I$330*Sens!$I$335</f>
        <v>18315.9001308981</v>
      </c>
      <c r="J339" s="32" t="n">
        <f aca="false">Sens!$I$339+Sens!$J$330*Sens!$J$335</f>
        <v>25722.8404172225</v>
      </c>
      <c r="K339" s="32" t="n">
        <f aca="false">Sens!$J$339+Sens!$K$330*Sens!$K$335</f>
        <v>30962.4352738861</v>
      </c>
      <c r="L339" s="32" t="n">
        <f aca="false">Sens!$K$339+Sens!$L$330*Sens!$L$335</f>
        <v>34034.6847008886</v>
      </c>
      <c r="M339" s="32" t="n">
        <f aca="false">Sens!$L$339+Sens!$M$330*Sens!$M$335</f>
        <v>34939.5886982302</v>
      </c>
    </row>
    <row r="340" customFormat="false" ht="17.15" hidden="false" customHeight="false" outlineLevel="0" collapsed="false">
      <c r="A340" s="5" t="s">
        <v>607</v>
      </c>
      <c r="B340" s="0" t="s">
        <v>173</v>
      </c>
      <c r="F340" s="36" t="n">
        <f aca="false">IF(Sens!$F$337&gt;0,Sens!$F$338/Sens!$F$337,Sens!$F$334)</f>
        <v>10.8864110021101</v>
      </c>
      <c r="G340" s="36" t="n">
        <f aca="false">IF(Sens!$G$337&gt;0,Sens!$G$338/Sens!$G$337,Sens!$G$334)</f>
        <v>10.8864110021101</v>
      </c>
      <c r="H340" s="36" t="n">
        <f aca="false">IF(Sens!$H$337&gt;0,Sens!$H$338/Sens!$H$337,Sens!$H$334)</f>
        <v>11.1095876691891</v>
      </c>
      <c r="I340" s="36" t="n">
        <f aca="false">IF(Sens!$I$337&gt;0,Sens!$I$338/Sens!$I$337,Sens!$I$334)</f>
        <v>11.2881290028523</v>
      </c>
      <c r="J340" s="36" t="n">
        <f aca="false">IF(Sens!$J$337&gt;0,Sens!$J$338/Sens!$J$337,Sens!$J$334)</f>
        <v>11.3646467172794</v>
      </c>
      <c r="K340" s="36" t="n">
        <f aca="false">IF(Sens!$K$337&gt;0,Sens!$K$338/Sens!$K$337,Sens!$K$334)</f>
        <v>11.3968090914432</v>
      </c>
      <c r="L340" s="36" t="n">
        <f aca="false">IF(Sens!$L$337&gt;0,Sens!$L$338/Sens!$L$337,Sens!$L$334)</f>
        <v>11.4110891181192</v>
      </c>
      <c r="M340" s="36" t="n">
        <f aca="false">IF(Sens!$M$337&gt;0,Sens!$M$338/Sens!$M$337,Sens!$M$334)</f>
        <v>11.4148191458201</v>
      </c>
    </row>
    <row r="341" customFormat="false" ht="17.15" hidden="false" customHeight="false" outlineLevel="0" collapsed="false">
      <c r="A341" s="5" t="s">
        <v>608</v>
      </c>
      <c r="B341" s="0" t="s">
        <v>173</v>
      </c>
      <c r="F341" s="36" t="n">
        <f aca="false">IF(Sens!$F$337&gt;0,Sens!$F$339/Sens!$F$337,Sens!$F$335)</f>
        <v>1.98263481314457</v>
      </c>
      <c r="G341" s="36" t="n">
        <f aca="false">IF(Sens!$G$337&gt;0,Sens!$G$339/Sens!$G$337,Sens!$G$335)</f>
        <v>1.98263481314457</v>
      </c>
      <c r="H341" s="36" t="n">
        <f aca="false">IF(Sens!$H$337&gt;0,Sens!$H$339/Sens!$H$337,Sens!$H$335)</f>
        <v>2.00111160233948</v>
      </c>
      <c r="I341" s="36" t="n">
        <f aca="false">IF(Sens!$I$337&gt;0,Sens!$I$339/Sens!$I$337,Sens!$I$335)</f>
        <v>2.01589303369541</v>
      </c>
      <c r="J341" s="36" t="n">
        <f aca="false">IF(Sens!$J$337&gt;0,Sens!$J$339/Sens!$J$337,Sens!$J$335)</f>
        <v>2.02222793284795</v>
      </c>
      <c r="K341" s="36" t="n">
        <f aca="false">IF(Sens!$K$337&gt;0,Sens!$K$339/Sens!$K$337,Sens!$K$335)</f>
        <v>2.02489065478573</v>
      </c>
      <c r="L341" s="36" t="n">
        <f aca="false">IF(Sens!$L$337&gt;0,Sens!$L$339/Sens!$L$337,Sens!$L$335)</f>
        <v>2.0260728977417</v>
      </c>
      <c r="M341" s="36" t="n">
        <f aca="false">IF(Sens!$M$337&gt;0,Sens!$M$339/Sens!$M$337,Sens!$M$335)</f>
        <v>2.02638170661685</v>
      </c>
    </row>
    <row r="342" customFormat="false" ht="17.15" hidden="false" customHeight="false" outlineLevel="0" collapsed="false">
      <c r="A342" s="15" t="s">
        <v>609</v>
      </c>
      <c r="B342" s="14" t="s">
        <v>173</v>
      </c>
      <c r="C342" s="14"/>
      <c r="D342" s="14"/>
      <c r="E342" s="14"/>
      <c r="F342" s="37" t="n">
        <f aca="false">Sens!$F$340*k_C</f>
        <v>8.98049677377134</v>
      </c>
      <c r="G342" s="37" t="n">
        <f aca="false">Sens!$G$340*k_C</f>
        <v>8.98049677377134</v>
      </c>
      <c r="H342" s="37" t="n">
        <f aca="false">Sens!$H$340*k_C</f>
        <v>9.16460128151917</v>
      </c>
      <c r="I342" s="37" t="n">
        <f aca="false">Sens!$I$340*k_C</f>
        <v>9.31188488771743</v>
      </c>
      <c r="J342" s="37" t="n">
        <f aca="false">Sens!$J$340*k_C</f>
        <v>9.37500643323097</v>
      </c>
      <c r="K342" s="37" t="n">
        <f aca="false">Sens!$K$340*k_C</f>
        <v>9.40153805116815</v>
      </c>
      <c r="L342" s="37" t="n">
        <f aca="false">Sens!$L$340*k_C</f>
        <v>9.41331803388866</v>
      </c>
      <c r="M342" s="37" t="n">
        <f aca="false">Sens!$M$340*k_C</f>
        <v>9.41639503527393</v>
      </c>
      <c r="N342" s="14"/>
      <c r="O342" s="14"/>
      <c r="P342" s="5" t="s">
        <v>610</v>
      </c>
    </row>
    <row r="343" customFormat="false" ht="17.15" hidden="false" customHeight="false" outlineLevel="0" collapsed="false">
      <c r="A343" s="5" t="s">
        <v>611</v>
      </c>
      <c r="B343" s="0" t="s">
        <v>129</v>
      </c>
      <c r="F343" s="32" t="n">
        <f aca="false">Sens!$F$337/2</f>
        <v>908.575</v>
      </c>
      <c r="H343" s="32" t="n">
        <f aca="false">(Sens!$G$337+Sens!$H$337)/2</f>
        <v>3634.3</v>
      </c>
      <c r="I343" s="32" t="n">
        <f aca="false">(Sens!$H$337+Sens!$I$337)/2</f>
        <v>7268.6</v>
      </c>
      <c r="J343" s="32" t="n">
        <f aca="false">(Sens!$I$337+Sens!$J$337)/2</f>
        <v>10902.9</v>
      </c>
      <c r="K343" s="32" t="n">
        <f aca="false">(Sens!$J$337+Sens!$K$337)/2</f>
        <v>14005.4835833333</v>
      </c>
      <c r="L343" s="32" t="n">
        <f aca="false">(Sens!$K$337+Sens!$L$337)/2</f>
        <v>16044.6343333333</v>
      </c>
      <c r="M343" s="32" t="n">
        <f aca="false">(Sens!$L$337+Sens!$M$337)/2</f>
        <v>17020.35225</v>
      </c>
    </row>
    <row r="344" customFormat="false" ht="17.15" hidden="false" customHeight="false" outlineLevel="0" collapsed="false">
      <c r="A344" s="1" t="s">
        <v>612</v>
      </c>
    </row>
    <row r="345" customFormat="false" ht="17.15" hidden="false" customHeight="false" outlineLevel="0" collapsed="false">
      <c r="A345" s="1" t="s">
        <v>613</v>
      </c>
      <c r="B345" s="8" t="s">
        <v>86</v>
      </c>
      <c r="C345" s="38" t="n">
        <f aca="false">Sens!$C$328*rpm_open*Sens!$C$329/1000</f>
        <v>2.32100535697364</v>
      </c>
      <c r="D345" s="38" t="n">
        <f aca="false">Sens!$D$328*rpm_open*Sens!$D$329/1000</f>
        <v>8.70377008865116</v>
      </c>
      <c r="E345" s="38" t="n">
        <f aca="false">Sens!$E$328*rpm_open*Sens!$E$329/1000</f>
        <v>8.51035297557002</v>
      </c>
      <c r="F345" s="38" t="n">
        <f aca="false">(mw_open*rpm_open+Sens!$F$343*Sens!$F$342)*Sens!$F$329/1000</f>
        <v>14.1374173083338</v>
      </c>
      <c r="G345" s="38" t="n">
        <f aca="false">Sens!$E$345+Sens!$F$345</f>
        <v>22.6477702839038</v>
      </c>
      <c r="H345" s="38" t="n">
        <f aca="false">(mw_open*rpm_open+Sens!$H$343*Sens!$H$342)/1000</f>
        <v>53.4222901978634</v>
      </c>
      <c r="I345" s="38" t="n">
        <f aca="false">(mw_open*rpm_open+Sens!$I$343*Sens!$I$342)/1000</f>
        <v>87.7997462553011</v>
      </c>
      <c r="J345" s="38" t="n">
        <f aca="false">(mw_open*rpm_open+Sens!$J$343*Sens!$J$342)/1000</f>
        <v>122.330137401312</v>
      </c>
      <c r="K345" s="38" t="n">
        <f aca="false">(mw_open*rpm_open+Sens!$K$343*Sens!$K$342)/1000</f>
        <v>151.788466594157</v>
      </c>
      <c r="L345" s="38" t="n">
        <f aca="false">(mw_open*rpm_open+Sens!$L$343*Sens!$L$342)/1000</f>
        <v>171.148625477554</v>
      </c>
      <c r="M345" s="38" t="n">
        <f aca="false">(mw_open*rpm_open+Sens!$M$343*Sens!$M$342)/1000</f>
        <v>180.385740185952</v>
      </c>
      <c r="N345" s="38" t="n">
        <f aca="false">Sens!$N$328*rpm_open*Sens!$N$329/1000</f>
        <v>3.04631953102791</v>
      </c>
      <c r="O345" s="38" t="n">
        <f aca="false">Sens!$O$328*rpm_open*Sens!$O$329/1000</f>
        <v>5.65745055762326</v>
      </c>
      <c r="P345" s="5" t="s">
        <v>614</v>
      </c>
    </row>
    <row r="346" customFormat="false" ht="17.15" hidden="false" customHeight="false" outlineLevel="0" collapsed="false">
      <c r="A346" s="5" t="s">
        <v>615</v>
      </c>
      <c r="B346" s="0" t="s">
        <v>173</v>
      </c>
      <c r="C346" s="36" t="n">
        <f aca="false">Sens!$C$345*1000/(Sens!$C$328*Sens!$C$329)</f>
        <v>9.67085565405685</v>
      </c>
      <c r="D346" s="36" t="n">
        <f aca="false">Sens!$D$345*1000/(Sens!$D$328*Sens!$D$329)</f>
        <v>9.67085565405685</v>
      </c>
      <c r="E346" s="36" t="n">
        <f aca="false">Sens!$E$345*1000/(Sens!$E$328*Sens!$E$329)</f>
        <v>9.67085565405685</v>
      </c>
      <c r="F346" s="36" t="n">
        <f aca="false">Sens!$F$345*1000/(Sens!$F$328*Sens!$F$329)</f>
        <v>9.46097542028142</v>
      </c>
      <c r="G346" s="36" t="n">
        <f aca="false">Sens!$G$345*1000/(Sens!$G$328*Sens!$G$329)</f>
        <v>9.53876490690525</v>
      </c>
      <c r="H346" s="36" t="n">
        <f aca="false">Sens!$H$345*1000/(Sens!$H$328*Sens!$H$329)</f>
        <v>9.34887741243255</v>
      </c>
      <c r="I346" s="36" t="n">
        <f aca="false">Sens!$I$345*1000/(Sens!$I$328*Sens!$I$329)</f>
        <v>9.39175344493305</v>
      </c>
      <c r="J346" s="36" t="n">
        <f aca="false">Sens!$J$345*1000/(Sens!$J$328*Sens!$J$329)</f>
        <v>9.42240465545542</v>
      </c>
      <c r="K346" s="36" t="n">
        <f aca="false">Sens!$K$345*1000/(Sens!$K$328*Sens!$K$329)</f>
        <v>9.43636327797009</v>
      </c>
      <c r="L346" s="36" t="n">
        <f aca="false">Sens!$L$345*1000/(Sens!$L$328*Sens!$L$329)</f>
        <v>9.4428732922237</v>
      </c>
      <c r="M346" s="36" t="n">
        <f aca="false">Sens!$M$345*1000/(Sens!$M$328*Sens!$M$329)</f>
        <v>9.44410541883864</v>
      </c>
      <c r="N346" s="36" t="n">
        <f aca="false">Sens!$N$345*1000/(Sens!$N$328*Sens!$N$329)</f>
        <v>9.67085565405685</v>
      </c>
      <c r="O346" s="36" t="n">
        <f aca="false">Sens!$O$345*1000/(Sens!$O$328*Sens!$O$329)</f>
        <v>9.67085565405685</v>
      </c>
    </row>
    <row r="347" customFormat="false" ht="17.15" hidden="false" customHeight="false" outlineLevel="0" collapsed="false">
      <c r="A347" s="0" t="s">
        <v>616</v>
      </c>
      <c r="B347" s="0" t="s">
        <v>86</v>
      </c>
      <c r="C347" s="38" t="n">
        <f aca="false">Sens!$C$328/ext_sh*(ox_open+rent_mw)*Sens!$C$329/1000</f>
        <v>0.642569210675032</v>
      </c>
      <c r="D347" s="38" t="n">
        <f aca="false">Sens!$D$328/ext_sh*(ox_open+rent_mw)*Sens!$D$329/1000</f>
        <v>2.40963454003137</v>
      </c>
      <c r="E347" s="38" t="n">
        <f aca="false">Sens!$E$328/ext_sh*(ox_open+rent_mw)*Sens!$E$329/1000</f>
        <v>2.35608710580845</v>
      </c>
      <c r="F347" s="38" t="n">
        <f aca="false">((mw_open*ox_open+Sens!$F$343*Sens!$F$341)/ext_sh+Sens!$F$328/ext_sh*rent_mw)*Sens!$F$329/1000</f>
        <v>4.05421991106232</v>
      </c>
      <c r="G347" s="38" t="n">
        <f aca="false">Sens!$E$347+Sens!$F$347</f>
        <v>6.41030701687077</v>
      </c>
      <c r="H347" s="38" t="n">
        <f aca="false">((mw_open*ox_open+Sens!$H$343*Sens!$H$341)/ext_sh+Sens!$H$328/ext_sh*rent_mw)*Sens!$H$329/1000</f>
        <v>15.8108975546616</v>
      </c>
      <c r="I347" s="38" t="n">
        <f aca="false">((mw_open*ox_open+Sens!$I$343*Sens!$I$341)/ext_sh+Sens!$I$328/ext_sh*rent_mw)*Sens!$I$329/1000</f>
        <v>26.1871623400817</v>
      </c>
      <c r="J347" s="38" t="n">
        <f aca="false">((mw_open*ox_open+Sens!$J$343*Sens!$J$341)/ext_sh+Sens!$J$328/ext_sh*rent_mw)*Sens!$J$329/1000</f>
        <v>36.5826128954935</v>
      </c>
      <c r="K347" s="38" t="n">
        <f aca="false">((mw_open*ox_open+Sens!$K$343*Sens!$K$341)/ext_sh+Sens!$K$328/ext_sh*rent_mw)*Sens!$K$329/1000</f>
        <v>45.4546361137628</v>
      </c>
      <c r="L347" s="38" t="n">
        <f aca="false">((mw_open*ox_open+Sens!$L$343*Sens!$L$341)/ext_sh+Sens!$L$328/ext_sh*rent_mw)*Sens!$L$329/1000</f>
        <v>51.2855695554452</v>
      </c>
      <c r="M347" s="38" t="n">
        <f aca="false">((mw_open*ox_open+Sens!$M$343*Sens!$M$341)/ext_sh+Sens!$M$328/ext_sh*rent_mw)*Sens!$M$329/1000</f>
        <v>54.0722927838398</v>
      </c>
      <c r="N347" s="38" t="n">
        <f aca="false">Sens!$N$328/ext_sh*(ox_open+rent_mw)*Sens!$N$329/1000</f>
        <v>0.84337208901098</v>
      </c>
      <c r="O347" s="38" t="n">
        <f aca="false">Sens!$O$328/ext_sh*(ox_open+rent_mw)*Sens!$O$329/1000</f>
        <v>1.56626245102039</v>
      </c>
    </row>
    <row r="348" customFormat="false" ht="17.15" hidden="false" customHeight="false" outlineLevel="0" collapsed="false">
      <c r="A348" s="0" t="s">
        <v>617</v>
      </c>
      <c r="B348" s="0" t="s">
        <v>86</v>
      </c>
      <c r="C348" s="38" t="n">
        <f aca="false">Q!$D$7</f>
        <v>107.556</v>
      </c>
      <c r="D348" s="38" t="n">
        <f aca="false">Q!$E$7</f>
        <v>128.725</v>
      </c>
      <c r="E348" s="38" t="n">
        <f aca="false">Q!$P$7</f>
        <v>79.819</v>
      </c>
      <c r="N348" s="38" t="n">
        <f aca="false">Q!$N$7</f>
        <v>60.14</v>
      </c>
      <c r="O348" s="38" t="n">
        <f aca="false">Q!$O$7</f>
        <v>68.585</v>
      </c>
    </row>
    <row r="349" customFormat="false" ht="17.15" hidden="false" customHeight="false" outlineLevel="0" collapsed="false">
      <c r="A349" s="1" t="s">
        <v>618</v>
      </c>
      <c r="B349" s="8" t="s">
        <v>86</v>
      </c>
      <c r="C349" s="38" t="n">
        <f aca="false">Sens!$C$348-Sens!$C$345</f>
        <v>105.234994643026</v>
      </c>
      <c r="D349" s="38" t="n">
        <f aca="false">Sens!$D$348-Sens!$D$345</f>
        <v>120.021229911349</v>
      </c>
      <c r="E349" s="38" t="n">
        <f aca="false">Sens!$E$348-Sens!$E$345</f>
        <v>71.30864702443</v>
      </c>
      <c r="F349" s="38" t="n">
        <f aca="false">Sens!$O$349*(1+Sens!$F$350)</f>
        <v>71.7692997942464</v>
      </c>
      <c r="G349" s="38" t="n">
        <f aca="false">Sens!$E$349+Sens!$F$349</f>
        <v>143.077946818676</v>
      </c>
      <c r="H349" s="38" t="n">
        <f aca="false">Sens!$G$349*(1+Sens!$H$350)</f>
        <v>161.017077079203</v>
      </c>
      <c r="I349" s="38" t="n">
        <f aca="false">Sens!$H$349*(1+Sens!$I$350)</f>
        <v>178.769759521457</v>
      </c>
      <c r="J349" s="38" t="n">
        <f aca="false">Sens!$I$349*(1+Sens!$J$350)</f>
        <v>195.775538045907</v>
      </c>
      <c r="K349" s="38" t="n">
        <f aca="false">Sens!$J$349*(1+Sens!$K$350)</f>
        <v>211.43758108958</v>
      </c>
      <c r="L349" s="38" t="n">
        <f aca="false">Sens!$K$349*(1+Sens!$L$350)</f>
        <v>228.352587576746</v>
      </c>
      <c r="M349" s="38" t="n">
        <f aca="false">Sens!$L$349*(1+Sens!$M$350)</f>
        <v>246.620794582886</v>
      </c>
      <c r="N349" s="38" t="n">
        <f aca="false">Sens!$N$348-Sens!$N$345</f>
        <v>57.0936804689721</v>
      </c>
      <c r="O349" s="38" t="n">
        <f aca="false">Sens!$O$348-Sens!$O$345</f>
        <v>62.9275494423768</v>
      </c>
      <c r="P349" s="5" t="s">
        <v>619</v>
      </c>
    </row>
    <row r="350" customFormat="false" ht="17.15" hidden="false" customHeight="false" outlineLevel="0" collapsed="false">
      <c r="A350" s="0" t="s">
        <v>620</v>
      </c>
      <c r="B350" s="0" t="s">
        <v>52</v>
      </c>
      <c r="D350" s="13" t="n">
        <f aca="false">Sens!$D$349/Sens!$C$349-1</f>
        <v>0.140506827776062</v>
      </c>
      <c r="E350" s="13" t="n">
        <f aca="false">Sens!$E$349/Sens!$N$349-1</f>
        <v>0.248976181579029</v>
      </c>
      <c r="F350" s="13" t="n">
        <f aca="false">Sens!$D$350</f>
        <v>0.140506827776062</v>
      </c>
      <c r="G350" s="13" t="n">
        <f aca="false">Sens!$G$349/Sens!$D$349-1</f>
        <v>0.19210532106993</v>
      </c>
      <c r="H350" s="13" t="n">
        <f aca="false">Sens!$F$350+(g_awso_lt-Sens!$F$350)*1/4</f>
        <v>0.125380120832046</v>
      </c>
      <c r="I350" s="13" t="n">
        <f aca="false">Sens!$F$350+(g_awso_lt-Sens!$F$350)*2/4</f>
        <v>0.110253413888031</v>
      </c>
      <c r="J350" s="13" t="n">
        <f aca="false">Sens!$F$350+(g_awso_lt-Sens!$F$350)*3/4</f>
        <v>0.0951267069440154</v>
      </c>
      <c r="K350" s="13" t="n">
        <f aca="false">Sens!$F$350+(g_awso_lt-Sens!$F$350)*4/4</f>
        <v>0.08</v>
      </c>
      <c r="L350" s="13" t="n">
        <f aca="false">g_awso_lt</f>
        <v>0.08</v>
      </c>
      <c r="M350" s="13" t="n">
        <f aca="false">g_awso_lt</f>
        <v>0.08</v>
      </c>
      <c r="P350" s="5" t="s">
        <v>621</v>
      </c>
    </row>
    <row r="351" customFormat="false" ht="17.15" hidden="false" customHeight="false" outlineLevel="0" collapsed="false">
      <c r="A351" s="1" t="s">
        <v>622</v>
      </c>
    </row>
    <row r="352" customFormat="false" ht="17.15" hidden="false" customHeight="false" outlineLevel="0" collapsed="false">
      <c r="A352" s="0" t="s">
        <v>623</v>
      </c>
      <c r="B352" s="0" t="s">
        <v>86</v>
      </c>
      <c r="F352" s="38" t="n">
        <f aca="false">cx_rt*Sens!$F$317+cx_awso*Sens!$F$349</f>
        <v>35.0222454237403</v>
      </c>
    </row>
    <row r="353" customFormat="false" ht="17.15" hidden="false" customHeight="false" outlineLevel="0" collapsed="false">
      <c r="A353" s="0" t="s">
        <v>624</v>
      </c>
      <c r="B353" s="0" t="s">
        <v>52</v>
      </c>
      <c r="C353" s="13" t="n">
        <f aca="false">tk_cx_h100/(tk_cx_h100+tk_fac*(1-colo_sh))</f>
        <v>0.730756458006641</v>
      </c>
      <c r="D353" s="13" t="n">
        <f aca="false">tk_cx_h100/(tk_cx_h100+tk_fac*(1-colo_sh))</f>
        <v>0.730756458006641</v>
      </c>
      <c r="E353" s="13" t="n">
        <f aca="false">Sens!$F$353</f>
        <v>0.760792334328868</v>
      </c>
      <c r="F353" s="13" t="n">
        <f aca="false">Sens!$F$336/(Sens!$F$336+tk_fac*(1-colo_sh))</f>
        <v>0.760792334328868</v>
      </c>
      <c r="G353" s="13" t="n">
        <f aca="false">Sens!$G$336/(Sens!$G$336+tk_fac*(1-colo_sh))</f>
        <v>0.760792334328868</v>
      </c>
      <c r="H353" s="13" t="n">
        <f aca="false">Sens!$H$336/(Sens!$H$336+tk_fac*(1-colo_sh))</f>
        <v>0.768110668862996</v>
      </c>
      <c r="I353" s="13" t="n">
        <f aca="false">Sens!$I$336/(Sens!$I$336+tk_fac*(1-colo_sh))</f>
        <v>0.77499450139483</v>
      </c>
      <c r="J353" s="13" t="n">
        <f aca="false">Sens!$J$336/(Sens!$J$336+tk_fac*(1-colo_sh))</f>
        <v>0.77499450139483</v>
      </c>
      <c r="K353" s="13" t="n">
        <f aca="false">Sens!$K$336/(Sens!$K$336+tk_fac*(1-colo_sh))</f>
        <v>0.77499450139483</v>
      </c>
      <c r="L353" s="13" t="n">
        <f aca="false">Sens!$L$336/(Sens!$L$336+tk_fac*(1-colo_sh))</f>
        <v>0.77499450139483</v>
      </c>
      <c r="M353" s="13" t="n">
        <f aca="false">Sens!$M$336/(Sens!$M$336+tk_fac*(1-colo_sh))</f>
        <v>0.77499450139483</v>
      </c>
    </row>
    <row r="354" customFormat="false" ht="17.15" hidden="false" customHeight="false" outlineLevel="0" collapsed="false">
      <c r="A354" s="1" t="s">
        <v>625</v>
      </c>
      <c r="B354" s="8" t="s">
        <v>86</v>
      </c>
      <c r="C354" s="38" t="n">
        <f aca="false">Q!$D$46-cx_rt*Q!$D$16-cx_awso*Sens!$C$349</f>
        <v>25.2781053077374</v>
      </c>
      <c r="D354" s="38" t="n">
        <f aca="false">Q!$E$46-cx_rt*Q!$E$16-cx_awso*Sens!$D$349</f>
        <v>69.5686316310026</v>
      </c>
      <c r="E354" s="38" t="n">
        <f aca="false">Q!$P$46-cx_rt*Q!$P$16-cx_awso*Sens!$E$349</f>
        <v>64.1899206485108</v>
      </c>
      <c r="F354" s="38" t="n">
        <f aca="false">MAX(Sens!$F$331*(Sens!$F$336+tk_fac*(1-colo_sh))/1000,capex_g26-Q!$P$46-Sens!$F$352)</f>
        <v>96.2481299895</v>
      </c>
      <c r="G354" s="38" t="n">
        <f aca="false">Sens!$E$354+Sens!$F$354</f>
        <v>160.438050638011</v>
      </c>
      <c r="H354" s="38" t="n">
        <f aca="false">Sens!$H$331*(Sens!$H$336+tk_fac*(1-colo_sh))/1000+Sens!$H$355</f>
        <v>198.57136494475</v>
      </c>
      <c r="I354" s="38" t="n">
        <f aca="false">Sens!$I$331*(Sens!$I$336+tk_fac*(1-colo_sh))/1000+Sens!$I$355</f>
        <v>204.6464699105</v>
      </c>
      <c r="J354" s="38" t="n">
        <f aca="false">Sens!$J$331*(Sens!$J$336+tk_fac*(1-colo_sh))/1000+Sens!$J$355</f>
        <v>209.8832381105</v>
      </c>
      <c r="K354" s="38" t="n">
        <f aca="false">Sens!$K$331*(Sens!$K$336+tk_fac*(1-colo_sh))/1000+Sens!$K$355</f>
        <v>155.238385275201</v>
      </c>
      <c r="L354" s="38" t="n">
        <f aca="false">Sens!$L$331*(Sens!$L$336+tk_fac*(1-colo_sh))/1000+Sens!$L$355</f>
        <v>132.014141639902</v>
      </c>
      <c r="M354" s="38" t="n">
        <f aca="false">Sens!$M$331*(Sens!$M$336+tk_fac*(1-colo_sh))/1000+Sens!$M$355</f>
        <v>132.230981659852</v>
      </c>
      <c r="P354" s="5" t="s">
        <v>626</v>
      </c>
      <c r="R354" s="38" t="n">
        <f aca="false">Q!$C$46-cx_rt*Q!$C$16-cx_awso*(Q!$C$7-mw_ye23/2*rpm_open/1000)</f>
        <v>1.50429979529945</v>
      </c>
      <c r="S354" s="38" t="n">
        <f aca="false">Sens!$C$354</f>
        <v>25.2781053077374</v>
      </c>
      <c r="T354" s="38" t="n">
        <f aca="false">Sens!$D$354</f>
        <v>69.5686316310026</v>
      </c>
      <c r="U354" s="38" t="n">
        <f aca="false">Sens!$G$354</f>
        <v>160.438050638011</v>
      </c>
      <c r="V354" s="38" t="n">
        <f aca="false">Sens!$H$354</f>
        <v>198.57136494475</v>
      </c>
      <c r="W354" s="38" t="n">
        <f aca="false">Sens!$I$354</f>
        <v>204.6464699105</v>
      </c>
      <c r="X354" s="38" t="n">
        <f aca="false">Sens!$J$354</f>
        <v>209.8832381105</v>
      </c>
      <c r="Y354" s="38" t="n">
        <f aca="false">Sens!$K$354</f>
        <v>155.238385275201</v>
      </c>
      <c r="Z354" s="38" t="n">
        <f aca="false">Sens!$L$354</f>
        <v>132.014141639902</v>
      </c>
      <c r="AA354" s="38" t="n">
        <f aca="false">Sens!$M$354</f>
        <v>132.230981659852</v>
      </c>
    </row>
    <row r="355" customFormat="false" ht="17.15" hidden="false" customHeight="false" outlineLevel="0" collapsed="false">
      <c r="A355" s="0" t="s">
        <v>627</v>
      </c>
      <c r="B355" s="0" t="s">
        <v>86</v>
      </c>
      <c r="H355" s="38" t="n">
        <f aca="false">SUMPRODUCT(--(Sens!$R$324:$AA$324=2027-tk_life),Sens!$R$331:$AA$331)*Sens!$H$336/1000</f>
        <v>0</v>
      </c>
      <c r="I355" s="38" t="n">
        <f aca="false">SUMPRODUCT(--(Sens!$R$324:$AA$324=2028-tk_life),Sens!$R$331:$AA$331)*Sens!$I$336/1000</f>
        <v>0</v>
      </c>
      <c r="J355" s="38" t="n">
        <f aca="false">SUMPRODUCT(--(Sens!$R$324:$AA$324=2029-tk_life),Sens!$R$331:$AA$331)*Sens!$J$336/1000</f>
        <v>5.2367682</v>
      </c>
      <c r="K355" s="38" t="n">
        <f aca="false">SUMPRODUCT(--(Sens!$R$324:$AA$324=2030-tk_life),Sens!$R$331:$AA$331)*Sens!$K$336/1000</f>
        <v>10.4735364</v>
      </c>
      <c r="L355" s="38" t="n">
        <f aca="false">SUMPRODUCT(--(Sens!$R$324:$AA$324=2031-tk_life),Sens!$R$331:$AA$331)*Sens!$L$336/1000</f>
        <v>47.1309138</v>
      </c>
      <c r="M355" s="38" t="n">
        <f aca="false">SUMPRODUCT(--(Sens!$R$324:$AA$324=2032-tk_life),Sens!$R$331:$AA$331)*Sens!$M$336/1000</f>
        <v>107.22937485525</v>
      </c>
    </row>
    <row r="356" customFormat="false" ht="17.15" hidden="false" customHeight="false" outlineLevel="0" collapsed="false">
      <c r="A356" s="5" t="s">
        <v>628</v>
      </c>
      <c r="B356" s="0" t="s">
        <v>86</v>
      </c>
      <c r="C356" s="38" t="n">
        <f aca="false">Sens!$C$354*Sens!$C$353</f>
        <v>18.472138699801</v>
      </c>
      <c r="D356" s="38" t="n">
        <f aca="false">Sens!$D$354*Sens!$D$353</f>
        <v>50.8377268390402</v>
      </c>
      <c r="E356" s="38" t="n">
        <f aca="false">Sens!$E$354*Sens!$E$353</f>
        <v>48.8351995705653</v>
      </c>
      <c r="F356" s="38" t="n">
        <f aca="false">Sens!$F$354*Sens!$F$353</f>
        <v>73.2248394895</v>
      </c>
      <c r="G356" s="38" t="n">
        <f aca="false">Sens!$E$356+Sens!$F$356</f>
        <v>122.060039060065</v>
      </c>
      <c r="H356" s="38" t="n">
        <f aca="false">(Sens!$H$354-Sens!$H$355)*Sens!$H$353+Sens!$H$355</f>
        <v>152.52478394475</v>
      </c>
      <c r="I356" s="38" t="n">
        <f aca="false">(Sens!$I$354-Sens!$I$355)*Sens!$I$353+Sens!$I$355</f>
        <v>158.5998889105</v>
      </c>
      <c r="J356" s="38" t="n">
        <f aca="false">(Sens!$J$354-Sens!$J$355)*Sens!$J$353+Sens!$J$355</f>
        <v>163.8366571105</v>
      </c>
      <c r="K356" s="38" t="n">
        <f aca="false">(Sens!$K$354-Sens!$K$355)*Sens!$K$353+Sens!$K$355</f>
        <v>122.665498273534</v>
      </c>
      <c r="L356" s="38" t="n">
        <f aca="false">(Sens!$L$354-Sens!$L$355)*Sens!$L$353+Sens!$L$355</f>
        <v>112.914948636568</v>
      </c>
      <c r="M356" s="38" t="n">
        <f aca="false">(Sens!$M$354-Sens!$M$355)*Sens!$M$353+Sens!$M$355</f>
        <v>126.605482654852</v>
      </c>
      <c r="R356" s="38" t="n">
        <f aca="false">Sens!$R$354*Sens!$C$353</f>
        <v>1.09927679019314</v>
      </c>
      <c r="S356" s="38" t="n">
        <f aca="false">Sens!$C$356</f>
        <v>18.472138699801</v>
      </c>
      <c r="T356" s="38" t="n">
        <f aca="false">Sens!$D$356</f>
        <v>50.8377268390402</v>
      </c>
      <c r="U356" s="38" t="n">
        <f aca="false">Sens!$G$356</f>
        <v>122.060039060065</v>
      </c>
      <c r="V356" s="38" t="n">
        <f aca="false">Sens!$H$356</f>
        <v>152.52478394475</v>
      </c>
      <c r="W356" s="38" t="n">
        <f aca="false">Sens!$I$356</f>
        <v>158.5998889105</v>
      </c>
      <c r="X356" s="38" t="n">
        <f aca="false">Sens!$J$356</f>
        <v>163.8366571105</v>
      </c>
      <c r="Y356" s="38" t="n">
        <f aca="false">Sens!$K$356</f>
        <v>122.665498273534</v>
      </c>
      <c r="Z356" s="38" t="n">
        <f aca="false">Sens!$L$356</f>
        <v>112.914948636568</v>
      </c>
      <c r="AA356" s="38" t="n">
        <f aca="false">Sens!$M$356</f>
        <v>126.605482654852</v>
      </c>
    </row>
    <row r="357" customFormat="false" ht="15" hidden="false" customHeight="false" outlineLevel="0" collapsed="false">
      <c r="A357" s="5" t="s">
        <v>629</v>
      </c>
      <c r="B357" s="0" t="s">
        <v>86</v>
      </c>
      <c r="C357" s="38" t="n">
        <f aca="false">Sens!$C$354-Sens!$C$356</f>
        <v>6.80596660793636</v>
      </c>
      <c r="D357" s="38" t="n">
        <f aca="false">Sens!$D$354-Sens!$D$356</f>
        <v>18.7309047919624</v>
      </c>
      <c r="E357" s="38" t="n">
        <f aca="false">Sens!$E$354-Sens!$E$356</f>
        <v>15.3547210779455</v>
      </c>
      <c r="F357" s="38" t="n">
        <f aca="false">Sens!$F$354-Sens!$F$356</f>
        <v>23.0232905</v>
      </c>
      <c r="G357" s="38" t="n">
        <f aca="false">Sens!$G$354-Sens!$G$356</f>
        <v>38.3780115779455</v>
      </c>
      <c r="H357" s="38" t="n">
        <f aca="false">Sens!$H$354-Sens!$H$356</f>
        <v>46.046581</v>
      </c>
      <c r="I357" s="38" t="n">
        <f aca="false">Sens!$I$354-Sens!$I$356</f>
        <v>46.046581</v>
      </c>
      <c r="J357" s="38" t="n">
        <f aca="false">Sens!$J$354-Sens!$J$356</f>
        <v>46.046581</v>
      </c>
      <c r="K357" s="38" t="n">
        <f aca="false">Sens!$K$354-Sens!$K$356</f>
        <v>32.5728870016667</v>
      </c>
      <c r="L357" s="38" t="n">
        <f aca="false">Sens!$L$354-Sens!$L$356</f>
        <v>19.0991930033334</v>
      </c>
      <c r="M357" s="38" t="n">
        <f aca="false">Sens!$M$354-Sens!$M$356</f>
        <v>5.62549900499998</v>
      </c>
      <c r="R357" s="38" t="n">
        <f aca="false">Sens!$R$354-Sens!$R$356</f>
        <v>0.405023005106309</v>
      </c>
      <c r="S357" s="38" t="n">
        <f aca="false">Sens!$S$354-Sens!$S$356</f>
        <v>6.80596660793636</v>
      </c>
      <c r="T357" s="38" t="n">
        <f aca="false">Sens!$T$354-Sens!$T$356</f>
        <v>18.7309047919624</v>
      </c>
      <c r="U357" s="38" t="n">
        <f aca="false">Sens!$U$354-Sens!$U$356</f>
        <v>38.3780115779455</v>
      </c>
      <c r="V357" s="38" t="n">
        <f aca="false">Sens!$V$354-Sens!$V$356</f>
        <v>46.046581</v>
      </c>
      <c r="W357" s="38" t="n">
        <f aca="false">Sens!$W$354-Sens!$W$356</f>
        <v>46.046581</v>
      </c>
      <c r="X357" s="38" t="n">
        <f aca="false">Sens!$X$354-Sens!$X$356</f>
        <v>46.046581</v>
      </c>
      <c r="Y357" s="38" t="n">
        <f aca="false">Sens!$Y$354-Sens!$Y$356</f>
        <v>32.5728870016667</v>
      </c>
      <c r="Z357" s="38" t="n">
        <f aca="false">Sens!$Z$354-Sens!$Z$356</f>
        <v>19.0991930033334</v>
      </c>
      <c r="AA357" s="38" t="n">
        <f aca="false">Sens!$AA$354-Sens!$AA$356</f>
        <v>5.62549900499998</v>
      </c>
    </row>
    <row r="358" customFormat="false" ht="17.15" hidden="false" customHeight="false" outlineLevel="0" collapsed="false">
      <c r="A358" s="0" t="s">
        <v>630</v>
      </c>
      <c r="B358" s="0" t="s">
        <v>52</v>
      </c>
      <c r="C358" s="13" t="n">
        <f aca="false">Sens!$C$354/Sens!$C$474</f>
        <v>0.325505489553393</v>
      </c>
      <c r="D358" s="13" t="n">
        <f aca="false">Sens!$D$354/Sens!$D$474</f>
        <v>0.54214956071542</v>
      </c>
      <c r="E358" s="13" t="n">
        <f aca="false">Sens!$E$354/Sens!$E$474</f>
        <v>0.666492790452817</v>
      </c>
      <c r="F358" s="13" t="n">
        <f aca="false">Sens!$F$354/Sens!$F$474</f>
        <v>0.733205261937509</v>
      </c>
      <c r="G358" s="13" t="n">
        <f aca="false">Sens!$G$354/Sens!$G$474</f>
        <v>0.704973134641717</v>
      </c>
      <c r="H358" s="13" t="n">
        <f aca="false">Sens!$H$354/Sens!$H$474</f>
        <v>0.726232469100108</v>
      </c>
      <c r="I358" s="13" t="n">
        <f aca="false">Sens!$I$354/Sens!$I$474</f>
        <v>0.71295222035933</v>
      </c>
      <c r="J358" s="13" t="n">
        <f aca="false">Sens!$J$354/Sens!$J$474</f>
        <v>0.701058846251574</v>
      </c>
      <c r="K358" s="13" t="n">
        <f aca="false">Sens!$K$354/Sens!$K$474</f>
        <v>0.618171477170346</v>
      </c>
      <c r="L358" s="13" t="n">
        <f aca="false">Sens!$L$354/Sens!$L$474</f>
        <v>0.562315678934408</v>
      </c>
      <c r="M358" s="13" t="n">
        <f aca="false">Sens!$M$354/Sens!$M$474</f>
        <v>0.545577465350118</v>
      </c>
    </row>
    <row r="359" customFormat="false" ht="17.15" hidden="false" customHeight="false" outlineLevel="0" collapsed="false">
      <c r="A359" s="0" t="s">
        <v>631</v>
      </c>
      <c r="B359" s="0" t="s">
        <v>86</v>
      </c>
      <c r="C359" s="38" t="n">
        <f aca="false">Sens!$S$359</f>
        <v>0.183212798365523</v>
      </c>
      <c r="D359" s="38" t="n">
        <f aca="false">Sens!$T$359</f>
        <v>3.2619025816657</v>
      </c>
      <c r="E359" s="38" t="n">
        <f aca="false">Sens!$G$359/2</f>
        <v>5.86742852741953</v>
      </c>
      <c r="F359" s="38" t="n">
        <f aca="false">Sens!$G$359/2</f>
        <v>5.86742852741953</v>
      </c>
      <c r="G359" s="38" t="n">
        <f aca="false">Sens!$U$359</f>
        <v>11.7348570548391</v>
      </c>
      <c r="H359" s="38" t="n">
        <f aca="false">Sens!$V$359</f>
        <v>32.0781968981833</v>
      </c>
      <c r="I359" s="38" t="n">
        <f aca="false">Sens!$W$359</f>
        <v>57.4989942223083</v>
      </c>
      <c r="J359" s="38" t="n">
        <f aca="false">Sens!$X$359</f>
        <v>83.932309040725</v>
      </c>
      <c r="K359" s="38" t="n">
        <f aca="false">Sens!$Y$359</f>
        <v>111.055205760776</v>
      </c>
      <c r="L359" s="38" t="n">
        <f aca="false">Sens!$Z$359</f>
        <v>128.420765689732</v>
      </c>
      <c r="M359" s="38" t="n">
        <f aca="false">Sens!$AA$359</f>
        <v>138.766969322653</v>
      </c>
      <c r="N359" s="38" t="n">
        <f aca="false">Sens!$D$359/2</f>
        <v>1.63095129083285</v>
      </c>
      <c r="O359" s="38" t="n">
        <f aca="false">Sens!$D$359/2</f>
        <v>1.63095129083285</v>
      </c>
      <c r="R359" s="38" t="n">
        <f aca="false">SUMPRODUCT(--(Sens!$R$324:$AA$324&lt;Sens!R$324),--(Sens!$R$324:$AA$324&gt;=Sens!R$324-tk_life),Sens!$R$356:$AA$356)/tk_life</f>
        <v>0</v>
      </c>
      <c r="S359" s="38" t="n">
        <f aca="false">SUMPRODUCT(--(Sens!$R$324:$AA$324&lt;Sens!S$324),--(Sens!$R$324:$AA$324&gt;=Sens!S$324-tk_life),Sens!$R$356:$AA$356)/tk_life</f>
        <v>0.183212798365523</v>
      </c>
      <c r="T359" s="38" t="n">
        <f aca="false">SUMPRODUCT(--(Sens!$R$324:$AA$324&lt;Sens!T$324),--(Sens!$R$324:$AA$324&gt;=Sens!T$324-tk_life),Sens!$R$356:$AA$356)/tk_life</f>
        <v>3.2619025816657</v>
      </c>
      <c r="U359" s="38" t="n">
        <f aca="false">SUMPRODUCT(--(Sens!$R$324:$AA$324&lt;Sens!U$324),--(Sens!$R$324:$AA$324&gt;=Sens!U$324-tk_life),Sens!$R$356:$AA$356)/tk_life</f>
        <v>11.7348570548391</v>
      </c>
      <c r="V359" s="38" t="n">
        <f aca="false">SUMPRODUCT(--(Sens!$R$324:$AA$324&lt;Sens!V$324),--(Sens!$R$324:$AA$324&gt;=Sens!V$324-tk_life),Sens!$R$356:$AA$356)/tk_life</f>
        <v>32.0781968981833</v>
      </c>
      <c r="W359" s="38" t="n">
        <f aca="false">SUMPRODUCT(--(Sens!$R$324:$AA$324&lt;Sens!W$324),--(Sens!$R$324:$AA$324&gt;=Sens!W$324-tk_life),Sens!$R$356:$AA$356)/tk_life</f>
        <v>57.4989942223083</v>
      </c>
      <c r="X359" s="38" t="n">
        <f aca="false">SUMPRODUCT(--(Sens!$R$324:$AA$324&lt;Sens!X$324),--(Sens!$R$324:$AA$324&gt;=Sens!X$324-tk_life),Sens!$R$356:$AA$356)/tk_life</f>
        <v>83.932309040725</v>
      </c>
      <c r="Y359" s="38" t="n">
        <f aca="false">SUMPRODUCT(--(Sens!$R$324:$AA$324&lt;Sens!Y$324),--(Sens!$R$324:$AA$324&gt;=Sens!Y$324-tk_life),Sens!$R$356:$AA$356)/tk_life</f>
        <v>111.055205760776</v>
      </c>
      <c r="Z359" s="38" t="n">
        <f aca="false">SUMPRODUCT(--(Sens!$R$324:$AA$324&lt;Sens!Z$324),--(Sens!$R$324:$AA$324&gt;=Sens!Z$324-tk_life),Sens!$R$356:$AA$356)/tk_life</f>
        <v>128.420765689732</v>
      </c>
      <c r="AA359" s="38" t="n">
        <f aca="false">SUMPRODUCT(--(Sens!$R$324:$AA$324&lt;Sens!AA$324),--(Sens!$R$324:$AA$324&gt;=Sens!AA$324-tk_life),Sens!$R$356:$AA$356)/tk_life</f>
        <v>138.766969322653</v>
      </c>
    </row>
    <row r="360" customFormat="false" ht="17.15" hidden="false" customHeight="false" outlineLevel="0" collapsed="false">
      <c r="A360" s="0" t="s">
        <v>632</v>
      </c>
      <c r="B360" s="0" t="s">
        <v>86</v>
      </c>
      <c r="C360" s="38" t="n">
        <f aca="false">Sens!$S$360</f>
        <v>0.0202511502553155</v>
      </c>
      <c r="D360" s="38" t="n">
        <f aca="false">Sens!$T$360</f>
        <v>0.360549480652134</v>
      </c>
      <c r="E360" s="38" t="n">
        <f aca="false">Sens!$G$360/2</f>
        <v>0.648547360125127</v>
      </c>
      <c r="F360" s="38" t="n">
        <f aca="false">Sens!$G$360/2</f>
        <v>0.648547360125127</v>
      </c>
      <c r="G360" s="38" t="n">
        <f aca="false">Sens!$U$360</f>
        <v>1.29709472025025</v>
      </c>
      <c r="H360" s="38" t="n">
        <f aca="false">Sens!$V$360</f>
        <v>3.21599529914753</v>
      </c>
      <c r="I360" s="38" t="n">
        <f aca="false">Sens!$W$360</f>
        <v>5.51832434914753</v>
      </c>
      <c r="J360" s="38" t="n">
        <f aca="false">Sens!$X$360</f>
        <v>7.82065339914753</v>
      </c>
      <c r="K360" s="38" t="n">
        <f aca="false">Sens!$Y$360</f>
        <v>10.1229824491475</v>
      </c>
      <c r="L360" s="38" t="n">
        <f aca="false">Sens!$Z$360</f>
        <v>11.7516267992309</v>
      </c>
      <c r="M360" s="38" t="n">
        <f aca="false">Sens!$AA$360</f>
        <v>12.7065864493975</v>
      </c>
      <c r="N360" s="38" t="n">
        <f aca="false">Sens!$D$360/2</f>
        <v>0.180274740326067</v>
      </c>
      <c r="O360" s="38" t="n">
        <f aca="false">Sens!$D$360/2</f>
        <v>0.180274740326067</v>
      </c>
      <c r="R360" s="38" t="n">
        <f aca="false">SUMPRODUCT(--(Sens!$R$324:$AA$324&lt;Sens!R$324),Sens!$R$357:$AA$357)/fac_life</f>
        <v>0</v>
      </c>
      <c r="S360" s="38" t="n">
        <f aca="false">SUMPRODUCT(--(Sens!$R$324:$AA$324&lt;Sens!S$324),Sens!$R$357:$AA$357)/fac_life</f>
        <v>0.0202511502553155</v>
      </c>
      <c r="T360" s="38" t="n">
        <f aca="false">SUMPRODUCT(--(Sens!$R$324:$AA$324&lt;Sens!T$324),Sens!$R$357:$AA$357)/fac_life</f>
        <v>0.360549480652134</v>
      </c>
      <c r="U360" s="38" t="n">
        <f aca="false">SUMPRODUCT(--(Sens!$R$324:$AA$324&lt;Sens!U$324),Sens!$R$357:$AA$357)/fac_life</f>
        <v>1.29709472025025</v>
      </c>
      <c r="V360" s="38" t="n">
        <f aca="false">SUMPRODUCT(--(Sens!$R$324:$AA$324&lt;Sens!V$324),Sens!$R$357:$AA$357)/fac_life</f>
        <v>3.21599529914753</v>
      </c>
      <c r="W360" s="38" t="n">
        <f aca="false">SUMPRODUCT(--(Sens!$R$324:$AA$324&lt;Sens!W$324),Sens!$R$357:$AA$357)/fac_life</f>
        <v>5.51832434914753</v>
      </c>
      <c r="X360" s="38" t="n">
        <f aca="false">SUMPRODUCT(--(Sens!$R$324:$AA$324&lt;Sens!X$324),Sens!$R$357:$AA$357)/fac_life</f>
        <v>7.82065339914753</v>
      </c>
      <c r="Y360" s="38" t="n">
        <f aca="false">SUMPRODUCT(--(Sens!$R$324:$AA$324&lt;Sens!Y$324),Sens!$R$357:$AA$357)/fac_life</f>
        <v>10.1229824491475</v>
      </c>
      <c r="Z360" s="38" t="n">
        <f aca="false">SUMPRODUCT(--(Sens!$R$324:$AA$324&lt;Sens!Z$324),Sens!$R$357:$AA$357)/fac_life</f>
        <v>11.7516267992309</v>
      </c>
      <c r="AA360" s="38" t="n">
        <f aca="false">SUMPRODUCT(--(Sens!$R$324:$AA$324&lt;Sens!AA$324),Sens!$R$357:$AA$357)/fac_life</f>
        <v>12.7065864493975</v>
      </c>
    </row>
    <row r="361" customFormat="false" ht="17.15" hidden="false" customHeight="false" outlineLevel="0" collapsed="false">
      <c r="A361" s="1" t="s">
        <v>633</v>
      </c>
      <c r="B361" s="8" t="s">
        <v>86</v>
      </c>
      <c r="C361" s="38" t="n">
        <f aca="false">Sens!$C$359+Sens!$C$360</f>
        <v>0.203463948620839</v>
      </c>
      <c r="D361" s="38" t="n">
        <f aca="false">Sens!$D$359+Sens!$D$360</f>
        <v>3.62245206231783</v>
      </c>
      <c r="E361" s="38" t="n">
        <f aca="false">Sens!$E$359+Sens!$E$360</f>
        <v>6.51597588754466</v>
      </c>
      <c r="F361" s="38" t="n">
        <f aca="false">Sens!$F$359+Sens!$F$360</f>
        <v>6.51597588754466</v>
      </c>
      <c r="G361" s="38" t="n">
        <f aca="false">Sens!$G$359+Sens!$G$360</f>
        <v>13.0319517750893</v>
      </c>
      <c r="H361" s="38" t="n">
        <f aca="false">Sens!$H$359+Sens!$H$360</f>
        <v>35.2941921973308</v>
      </c>
      <c r="I361" s="38" t="n">
        <f aca="false">Sens!$I$359+Sens!$I$360</f>
        <v>63.0173185714558</v>
      </c>
      <c r="J361" s="38" t="n">
        <f aca="false">Sens!$J$359+Sens!$J$360</f>
        <v>91.7529624398725</v>
      </c>
      <c r="K361" s="38" t="n">
        <f aca="false">Sens!$K$359+Sens!$K$360</f>
        <v>121.178188209924</v>
      </c>
      <c r="L361" s="38" t="n">
        <f aca="false">Sens!$L$359+Sens!$L$360</f>
        <v>140.172392488963</v>
      </c>
      <c r="M361" s="38" t="n">
        <f aca="false">Sens!$M$359+Sens!$M$360</f>
        <v>151.473555772051</v>
      </c>
      <c r="N361" s="38" t="n">
        <f aca="false">Sens!$N$359+Sens!$N$360</f>
        <v>1.81122603115892</v>
      </c>
      <c r="O361" s="38" t="n">
        <f aca="false">Sens!$O$359+Sens!$O$360</f>
        <v>1.81122603115892</v>
      </c>
      <c r="R361" s="38" t="n">
        <f aca="false">Sens!$R$359+Sens!$R$360</f>
        <v>0</v>
      </c>
      <c r="S361" s="38" t="n">
        <f aca="false">Sens!$S$359+Sens!$S$360</f>
        <v>0.203463948620839</v>
      </c>
      <c r="T361" s="38" t="n">
        <f aca="false">Sens!$T$359+Sens!$T$360</f>
        <v>3.62245206231783</v>
      </c>
      <c r="U361" s="38" t="n">
        <f aca="false">Sens!$U$359+Sens!$U$360</f>
        <v>13.0319517750893</v>
      </c>
      <c r="V361" s="38" t="n">
        <f aca="false">Sens!$V$359+Sens!$V$360</f>
        <v>35.2941921973308</v>
      </c>
      <c r="W361" s="38" t="n">
        <f aca="false">Sens!$W$359+Sens!$W$360</f>
        <v>63.0173185714558</v>
      </c>
      <c r="X361" s="38" t="n">
        <f aca="false">Sens!$X$359+Sens!$X$360</f>
        <v>91.7529624398725</v>
      </c>
      <c r="Y361" s="38" t="n">
        <f aca="false">Sens!$Y$359+Sens!$Y$360</f>
        <v>121.178188209924</v>
      </c>
      <c r="Z361" s="38" t="n">
        <f aca="false">Sens!$Z$359+Sens!$Z$360</f>
        <v>140.172392488963</v>
      </c>
      <c r="AA361" s="38" t="n">
        <f aca="false">Sens!$AA$359+Sens!$AA$360</f>
        <v>151.473555772051</v>
      </c>
    </row>
    <row r="362" customFormat="false" ht="17.15" hidden="false" customHeight="false" outlineLevel="0" collapsed="false">
      <c r="A362" s="0" t="s">
        <v>634</v>
      </c>
      <c r="B362" s="0" t="s">
        <v>86</v>
      </c>
      <c r="C362" s="38" t="n">
        <f aca="false">Sens!$S$362</f>
        <v>26.578941154416</v>
      </c>
      <c r="D362" s="38" t="n">
        <f aca="false">Sens!$T$362</f>
        <v>92.5251207231008</v>
      </c>
      <c r="G362" s="38" t="n">
        <f aca="false">Sens!$U$362</f>
        <v>239.931219586022</v>
      </c>
      <c r="H362" s="38" t="n">
        <f aca="false">Sens!$V$362</f>
        <v>403.208392333442</v>
      </c>
      <c r="I362" s="38" t="n">
        <f aca="false">Sens!$W$362</f>
        <v>544.837543672486</v>
      </c>
      <c r="J362" s="38" t="n">
        <f aca="false">Sens!$X$362</f>
        <v>662.967819343113</v>
      </c>
      <c r="K362" s="38" t="n">
        <f aca="false">Sens!$Y$362</f>
        <v>697.028016408391</v>
      </c>
      <c r="L362" s="38" t="n">
        <f aca="false">Sens!$Z$362</f>
        <v>688.86976555933</v>
      </c>
      <c r="M362" s="38" t="n">
        <f aca="false">Sens!$AA$362</f>
        <v>669.627191447132</v>
      </c>
      <c r="R362" s="38" t="n">
        <f aca="false">SUM(Sens!$R$354:$R$354)-SUM(Sens!$R$361:$R$361)</f>
        <v>1.50429979529945</v>
      </c>
      <c r="S362" s="38" t="n">
        <f aca="false">SUM(Sens!$R$354:$S$354)-SUM(Sens!$R$361:$S$361)</f>
        <v>26.578941154416</v>
      </c>
      <c r="T362" s="38" t="n">
        <f aca="false">SUM(Sens!$R$354:$T$354)-SUM(Sens!$R$361:$T$361)</f>
        <v>92.5251207231008</v>
      </c>
      <c r="U362" s="38" t="n">
        <f aca="false">SUM(Sens!$R$354:$U$354)-SUM(Sens!$R$361:$U$361)</f>
        <v>239.931219586022</v>
      </c>
      <c r="V362" s="38" t="n">
        <f aca="false">SUM(Sens!$R$354:$V$354)-SUM(Sens!$R$361:$V$361)</f>
        <v>403.208392333442</v>
      </c>
      <c r="W362" s="38" t="n">
        <f aca="false">SUM(Sens!$R$354:$W$354)-SUM(Sens!$R$361:$W$361)</f>
        <v>544.837543672486</v>
      </c>
      <c r="X362" s="38" t="n">
        <f aca="false">SUM(Sens!$R$354:$X$354)-SUM(Sens!$R$361:$X$361)</f>
        <v>662.967819343113</v>
      </c>
      <c r="Y362" s="38" t="n">
        <f aca="false">SUM(Sens!$R$354:$Y$354)-SUM(Sens!$R$361:$Y$361)</f>
        <v>697.028016408391</v>
      </c>
      <c r="Z362" s="38" t="n">
        <f aca="false">SUM(Sens!$R$354:$Z$354)-SUM(Sens!$R$361:$Z$361)</f>
        <v>688.86976555933</v>
      </c>
      <c r="AA362" s="38" t="n">
        <f aca="false">SUM(Sens!$R$354:$AA$354)-SUM(Sens!$R$361:$AA$361)</f>
        <v>669.627191447132</v>
      </c>
    </row>
    <row r="363" customFormat="false" ht="17.15" hidden="false" customHeight="false" outlineLevel="0" collapsed="false">
      <c r="A363" s="1" t="s">
        <v>635</v>
      </c>
    </row>
    <row r="364" customFormat="false" ht="17.15" hidden="false" customHeight="false" outlineLevel="0" collapsed="false">
      <c r="A364" s="0" t="s">
        <v>636</v>
      </c>
      <c r="B364" s="0" t="s">
        <v>86</v>
      </c>
      <c r="C364" s="38" t="n">
        <f aca="false">Sens!$C$345-ext_sh*Sens!$C$347</f>
        <v>1.80694998843362</v>
      </c>
      <c r="D364" s="38" t="n">
        <f aca="false">Sens!$D$345-ext_sh*Sens!$D$347</f>
        <v>6.77606245662607</v>
      </c>
      <c r="E364" s="38" t="n">
        <f aca="false">Sens!$E$345-ext_sh*Sens!$E$347</f>
        <v>6.62548329092326</v>
      </c>
      <c r="F364" s="38" t="n">
        <f aca="false">Sens!$F$345-ext_sh*Sens!$F$347</f>
        <v>10.8940413794839</v>
      </c>
      <c r="G364" s="38" t="n">
        <f aca="false">Sens!$G$345-ext_sh*Sens!$G$347</f>
        <v>17.5195246704072</v>
      </c>
      <c r="H364" s="38" t="n">
        <f aca="false">Sens!$H$345-ext_sh*Sens!$H$347</f>
        <v>40.7735721541341</v>
      </c>
      <c r="I364" s="38" t="n">
        <f aca="false">Sens!$I$345-ext_sh*Sens!$I$347</f>
        <v>66.8500163832358</v>
      </c>
      <c r="J364" s="38" t="n">
        <f aca="false">Sens!$J$345-ext_sh*Sens!$J$347</f>
        <v>93.0640470849174</v>
      </c>
      <c r="K364" s="38" t="n">
        <f aca="false">Sens!$K$345-ext_sh*Sens!$K$347</f>
        <v>115.424757703147</v>
      </c>
      <c r="L364" s="38" t="n">
        <f aca="false">Sens!$L$345-ext_sh*Sens!$L$347</f>
        <v>130.120169833198</v>
      </c>
      <c r="M364" s="38" t="n">
        <f aca="false">Sens!$M$345-ext_sh*Sens!$M$347</f>
        <v>137.12790595888</v>
      </c>
      <c r="N364" s="38" t="n">
        <f aca="false">Sens!$N$345-ext_sh*Sens!$N$347</f>
        <v>2.37162185981912</v>
      </c>
      <c r="O364" s="38" t="n">
        <f aca="false">Sens!$O$345-ext_sh*Sens!$O$347</f>
        <v>4.40444059680694</v>
      </c>
    </row>
    <row r="365" customFormat="false" ht="17.15" hidden="false" customHeight="false" outlineLevel="0" collapsed="false">
      <c r="A365" s="1" t="s">
        <v>637</v>
      </c>
      <c r="B365" s="8" t="s">
        <v>86</v>
      </c>
      <c r="C365" s="38" t="n">
        <f aca="false">Sens!$C$364-ext_sh*Sens!$C$361</f>
        <v>1.64417882953695</v>
      </c>
      <c r="D365" s="38" t="n">
        <f aca="false">Sens!$D$364-ext_sh*Sens!$D$361</f>
        <v>3.8781008067718</v>
      </c>
      <c r="E365" s="38" t="n">
        <f aca="false">Sens!$E$364-ext_sh*Sens!$E$361</f>
        <v>1.41270258088753</v>
      </c>
      <c r="F365" s="38" t="n">
        <f aca="false">Sens!$F$364-ext_sh*Sens!$F$361</f>
        <v>5.68126066944818</v>
      </c>
      <c r="G365" s="38" t="n">
        <f aca="false">Sens!$G$364-ext_sh*Sens!$G$361</f>
        <v>7.09396325033571</v>
      </c>
      <c r="H365" s="38" t="n">
        <f aca="false">Sens!$H$364-ext_sh*Sens!$H$361</f>
        <v>12.5382183962694</v>
      </c>
      <c r="I365" s="38" t="n">
        <f aca="false">Sens!$I$364-ext_sh*Sens!$I$361</f>
        <v>16.4361615260712</v>
      </c>
      <c r="J365" s="38" t="n">
        <f aca="false">Sens!$J$364-ext_sh*Sens!$J$361</f>
        <v>19.6616771330194</v>
      </c>
      <c r="K365" s="38" t="n">
        <f aca="false">Sens!$K$364-ext_sh*Sens!$K$361</f>
        <v>18.4822071352082</v>
      </c>
      <c r="L365" s="38" t="n">
        <f aca="false">Sens!$L$364-ext_sh*Sens!$L$361</f>
        <v>17.9822558420278</v>
      </c>
      <c r="M365" s="38" t="n">
        <f aca="false">Sens!$M$364-ext_sh*Sens!$M$361</f>
        <v>15.9490613412395</v>
      </c>
      <c r="N365" s="38" t="n">
        <f aca="false">Sens!$N$364-ext_sh*Sens!$N$361</f>
        <v>0.92264103489199</v>
      </c>
      <c r="O365" s="38" t="n">
        <f aca="false">Sens!$O$364-ext_sh*Sens!$O$361</f>
        <v>2.95545977187981</v>
      </c>
    </row>
    <row r="366" customFormat="false" ht="17.15" hidden="false" customHeight="false" outlineLevel="0" collapsed="false">
      <c r="A366" s="0" t="s">
        <v>638</v>
      </c>
      <c r="B366" s="0" t="s">
        <v>52</v>
      </c>
      <c r="C366" s="13" t="n">
        <f aca="false">Sens!$C$365/Sens!$C$345</f>
        <v>0.708390794789371</v>
      </c>
      <c r="D366" s="13" t="n">
        <f aca="false">Sens!$D$365/Sens!$D$345</f>
        <v>0.445565630441968</v>
      </c>
      <c r="E366" s="13" t="n">
        <f aca="false">Sens!$E$365/Sens!$E$345</f>
        <v>0.165998118402711</v>
      </c>
      <c r="F366" s="13" t="n">
        <f aca="false">Sens!$F$365/Sens!$F$345</f>
        <v>0.401859869136011</v>
      </c>
      <c r="G366" s="13" t="n">
        <f aca="false">Sens!$G$365/Sens!$G$345</f>
        <v>0.313230095563868</v>
      </c>
      <c r="H366" s="13" t="n">
        <f aca="false">Sens!$H$365/Sens!$H$345</f>
        <v>0.23470012891306</v>
      </c>
      <c r="I366" s="13" t="n">
        <f aca="false">Sens!$I$365/Sens!$I$345</f>
        <v>0.187200558396588</v>
      </c>
      <c r="J366" s="13" t="n">
        <f aca="false">Sens!$J$365/Sens!$J$345</f>
        <v>0.160726355342167</v>
      </c>
      <c r="K366" s="13" t="n">
        <f aca="false">Sens!$K$365/Sens!$K$345</f>
        <v>0.121762921451897</v>
      </c>
      <c r="L366" s="13" t="n">
        <f aca="false">Sens!$L$365/Sens!$L$345</f>
        <v>0.105068070467128</v>
      </c>
      <c r="M366" s="13" t="n">
        <f aca="false">Sens!$M$365/Sens!$M$345</f>
        <v>0.0884164198611169</v>
      </c>
      <c r="N366" s="13" t="n">
        <f aca="false">Sens!$N$365/Sens!$N$345</f>
        <v>0.302870734830849</v>
      </c>
      <c r="O366" s="13" t="n">
        <f aca="false">Sens!$O$365/Sens!$O$345</f>
        <v>0.52240134346334</v>
      </c>
    </row>
    <row r="367" customFormat="false" ht="17.15" hidden="false" customHeight="false" outlineLevel="0" collapsed="false">
      <c r="A367" s="5" t="s">
        <v>639</v>
      </c>
      <c r="B367" s="0" t="s">
        <v>86</v>
      </c>
      <c r="C367" s="39" t="n">
        <v>0</v>
      </c>
      <c r="D367" s="39" t="n">
        <v>0</v>
      </c>
      <c r="E367" s="39" t="n">
        <v>0</v>
      </c>
      <c r="F367" s="38" t="n">
        <f aca="false">IF(internal_ai_reading=2,1,0)*(1-ext_sh)/ext_sh*(mw_open*he_open+Sens!$F$343*Sens!$F$340)*Sens!$F$329/1000</f>
        <v>3.77122048175818</v>
      </c>
      <c r="G367" s="38" t="n">
        <f aca="false">Sens!$E$367+Sens!$F$367</f>
        <v>3.77122048175818</v>
      </c>
      <c r="H367" s="38" t="n">
        <f aca="false">IF(internal_ai_reading=2,1,0)*(1-ext_sh)/ext_sh*(mw_open*he_open+Sens!$H$343*Sens!$H$340)*Sens!$H$329/1000</f>
        <v>15.1635543609893</v>
      </c>
      <c r="I367" s="38" t="n">
        <f aca="false">IF(internal_ai_reading=2,1,0)*(1-ext_sh)/ext_sh*(mw_open*he_open+Sens!$I$343*Sens!$I$340)*Sens!$I$329/1000</f>
        <v>25.5818843619889</v>
      </c>
      <c r="J367" s="38" t="n">
        <f aca="false">IF(internal_ai_reading=2,1,0)*(1-ext_sh)/ext_sh*(mw_open*he_open+Sens!$J$343*Sens!$J$340)*Sens!$J$329/1000</f>
        <v>36.0465624179122</v>
      </c>
      <c r="K367" s="38" t="n">
        <f aca="false">IF(internal_ai_reading=2,1,0)*(1-ext_sh)/ext_sh*(mw_open*he_open+Sens!$K$343*Sens!$K$340)*Sens!$K$329/1000</f>
        <v>44.9741164026038</v>
      </c>
      <c r="L367" s="38" t="n">
        <f aca="false">IF(internal_ai_reading=2,1,0)*(1-ext_sh)/ext_sh*(mw_open*he_open+Sens!$L$343*Sens!$L$340)*Sens!$L$329/1000</f>
        <v>50.8413488057813</v>
      </c>
      <c r="M367" s="38" t="n">
        <f aca="false">IF(internal_ai_reading=2,1,0)*(1-ext_sh)/ext_sh*(mw_open*he_open+Sens!$M$343*Sens!$M$340)*Sens!$M$329/1000</f>
        <v>53.6407214274315</v>
      </c>
      <c r="N367" s="39" t="n">
        <v>0</v>
      </c>
      <c r="O367" s="39" t="n">
        <v>0</v>
      </c>
      <c r="P367" s="8" t="s">
        <v>640</v>
      </c>
    </row>
    <row r="368" customFormat="false" ht="17.15" hidden="false" customHeight="false" outlineLevel="0" collapsed="false">
      <c r="A368" s="5" t="s">
        <v>641</v>
      </c>
      <c r="B368" s="0" t="s">
        <v>86</v>
      </c>
      <c r="C368" s="38" t="n">
        <f aca="false">(1-ext_sh)*(Sens!$C$347+Sens!$C$361)</f>
        <v>0.169206631859174</v>
      </c>
      <c r="D368" s="38" t="n">
        <f aca="false">(1-ext_sh)*(Sens!$D$347+Sens!$D$361)</f>
        <v>1.20641732046984</v>
      </c>
      <c r="E368" s="38" t="n">
        <f aca="false">(1-ext_sh)*(Sens!$E$347+Sens!$E$361)</f>
        <v>1.77441259867062</v>
      </c>
      <c r="F368" s="38" t="n">
        <f aca="false">(1-ext_sh)*(Sens!$F$347+Sens!$F$361)</f>
        <v>2.1140391597214</v>
      </c>
      <c r="G368" s="38" t="n">
        <f aca="false">(1-ext_sh)*(Sens!$G$347+Sens!$G$361)</f>
        <v>3.88845175839202</v>
      </c>
      <c r="H368" s="38" t="n">
        <f aca="false">(1-ext_sh)*(Sens!$H$347+Sens!$H$361)</f>
        <v>10.2210179503985</v>
      </c>
      <c r="I368" s="38" t="n">
        <f aca="false">(1-ext_sh)*(Sens!$I$347+Sens!$I$361)</f>
        <v>17.8408961823075</v>
      </c>
      <c r="J368" s="38" t="n">
        <f aca="false">(1-ext_sh)*(Sens!$J$347+Sens!$J$361)</f>
        <v>25.6671150670732</v>
      </c>
      <c r="K368" s="38" t="n">
        <f aca="false">(1-ext_sh)*(Sens!$K$347+Sens!$K$361)</f>
        <v>33.3265648647373</v>
      </c>
      <c r="L368" s="38" t="n">
        <f aca="false">(1-ext_sh)*(Sens!$L$347+Sens!$L$361)</f>
        <v>38.2915924088815</v>
      </c>
      <c r="M368" s="38" t="n">
        <f aca="false">(1-ext_sh)*(Sens!$M$347+Sens!$M$361)</f>
        <v>41.1091697111781</v>
      </c>
      <c r="N368" s="38" t="n">
        <f aca="false">(1-ext_sh)*(Sens!$N$347+Sens!$N$361)</f>
        <v>0.530919624033979</v>
      </c>
      <c r="O368" s="38" t="n">
        <f aca="false">(1-ext_sh)*(Sens!$O$347+Sens!$O$361)</f>
        <v>0.675497696435861</v>
      </c>
    </row>
    <row r="369" customFormat="false" ht="17.15" hidden="false" customHeight="false" outlineLevel="0" collapsed="false">
      <c r="A369" s="0" t="s">
        <v>642</v>
      </c>
      <c r="B369" s="0" t="s">
        <v>86</v>
      </c>
      <c r="C369" s="38" t="n">
        <f aca="false">Q!$D$24</f>
        <v>39.834</v>
      </c>
      <c r="D369" s="38" t="n">
        <f aca="false">Q!$E$24</f>
        <v>45.606</v>
      </c>
      <c r="E369" s="38" t="n">
        <f aca="false">Q!$P$24</f>
        <v>30.782</v>
      </c>
      <c r="N369" s="38" t="n">
        <f aca="false">Q!$N$24</f>
        <v>21.707</v>
      </c>
      <c r="O369" s="38" t="n">
        <f aca="false">Q!$O$24</f>
        <v>23.899</v>
      </c>
    </row>
    <row r="370" customFormat="false" ht="17.15" hidden="false" customHeight="false" outlineLevel="0" collapsed="false">
      <c r="A370" s="0" t="s">
        <v>643</v>
      </c>
      <c r="B370" s="0" t="s">
        <v>86</v>
      </c>
      <c r="C370" s="38" t="n">
        <f aca="false">Sens!$C$369-Sens!$C$365</f>
        <v>38.1898211704631</v>
      </c>
      <c r="D370" s="38" t="n">
        <f aca="false">Sens!$D$369-Sens!$D$365</f>
        <v>41.7278991932282</v>
      </c>
      <c r="E370" s="38" t="n">
        <f aca="false">Sens!$E$369-Sens!$E$365</f>
        <v>29.3692974191125</v>
      </c>
      <c r="F370" s="38" t="n">
        <f aca="false">Sens!$F$349*Sens!$F$371</f>
        <v>26.8997276714137</v>
      </c>
      <c r="G370" s="38" t="n">
        <f aca="false">Sens!$E$370+Sens!$F$370</f>
        <v>56.2690250905262</v>
      </c>
      <c r="H370" s="38" t="n">
        <f aca="false">Sens!$H$349*Sens!$H$371</f>
        <v>60.3505333937343</v>
      </c>
      <c r="I370" s="38" t="n">
        <f aca="false">Sens!$I$349*Sens!$I$371</f>
        <v>67.0043857303571</v>
      </c>
      <c r="J370" s="38" t="n">
        <f aca="false">Sens!$J$349*Sens!$J$371</f>
        <v>73.3782922956925</v>
      </c>
      <c r="K370" s="38" t="n">
        <f aca="false">Sens!$K$349*Sens!$K$371</f>
        <v>79.2485556793479</v>
      </c>
      <c r="L370" s="38" t="n">
        <f aca="false">Sens!$L$349*Sens!$L$371</f>
        <v>85.5884401336958</v>
      </c>
      <c r="M370" s="38" t="n">
        <f aca="false">Sens!$M$349*Sens!$M$371</f>
        <v>92.4355153443914</v>
      </c>
      <c r="N370" s="38" t="n">
        <f aca="false">Sens!$N$369-Sens!$N$365</f>
        <v>20.784358965108</v>
      </c>
      <c r="O370" s="38" t="n">
        <f aca="false">Sens!$O$369-Sens!$O$365</f>
        <v>20.9435402281202</v>
      </c>
      <c r="P370" s="5" t="s">
        <v>644</v>
      </c>
    </row>
    <row r="371" customFormat="false" ht="17.15" hidden="false" customHeight="false" outlineLevel="0" collapsed="false">
      <c r="A371" s="0" t="s">
        <v>645</v>
      </c>
      <c r="B371" s="0" t="s">
        <v>52</v>
      </c>
      <c r="C371" s="13" t="n">
        <f aca="false">Sens!$C$370/Sens!$C$349</f>
        <v>0.362900395443635</v>
      </c>
      <c r="D371" s="13" t="n">
        <f aca="false">Sens!$D$370/Sens!$D$349</f>
        <v>0.34767098474203</v>
      </c>
      <c r="E371" s="13" t="n">
        <f aca="false">Sens!$E$370/Sens!$E$349</f>
        <v>0.411861655558416</v>
      </c>
      <c r="F371" s="13" t="n">
        <f aca="false">(Sens!$O$370+Sens!$E$370)/(Sens!$O$349+Sens!$E$349)</f>
        <v>0.37480827803158</v>
      </c>
      <c r="G371" s="13" t="n">
        <f aca="false">Sens!$G$370/Sens!$G$349</f>
        <v>0.393275318395757</v>
      </c>
      <c r="H371" s="13" t="n">
        <f aca="false">Sens!$F$371</f>
        <v>0.37480827803158</v>
      </c>
      <c r="I371" s="13" t="n">
        <f aca="false">Sens!$F$371</f>
        <v>0.37480827803158</v>
      </c>
      <c r="J371" s="13" t="n">
        <f aca="false">Sens!$F$371</f>
        <v>0.37480827803158</v>
      </c>
      <c r="K371" s="13" t="n">
        <f aca="false">Sens!$F$371</f>
        <v>0.37480827803158</v>
      </c>
      <c r="L371" s="13" t="n">
        <f aca="false">Sens!$F$371</f>
        <v>0.37480827803158</v>
      </c>
      <c r="M371" s="13" t="n">
        <f aca="false">Sens!$F$371</f>
        <v>0.37480827803158</v>
      </c>
      <c r="N371" s="13" t="n">
        <f aca="false">Sens!$N$370/Sens!$N$349</f>
        <v>0.364039571356823</v>
      </c>
      <c r="O371" s="13" t="n">
        <f aca="false">Sens!$O$370/Sens!$O$349</f>
        <v>0.332819892300086</v>
      </c>
      <c r="P371" s="8" t="s">
        <v>646</v>
      </c>
    </row>
    <row r="372" customFormat="false" ht="17.15" hidden="false" customHeight="false" outlineLevel="0" collapsed="false">
      <c r="A372" s="0" t="s">
        <v>647</v>
      </c>
      <c r="B372" s="0" t="s">
        <v>52</v>
      </c>
      <c r="D372" s="13" t="n">
        <f aca="false">(Q!$E$31-ext_sh*Sens!$D$361)/Sens!$D$349</f>
        <v>0.154572973163571</v>
      </c>
    </row>
    <row r="373" customFormat="false" ht="17.15" hidden="false" customHeight="false" outlineLevel="0" collapsed="false">
      <c r="A373" s="0" t="s">
        <v>648</v>
      </c>
      <c r="B373" s="0" t="s">
        <v>86</v>
      </c>
      <c r="C373" s="38" t="n">
        <f aca="false">Q!$D$31</f>
        <v>13.32</v>
      </c>
      <c r="D373" s="38" t="n">
        <f aca="false">Q!$E$31</f>
        <v>21.45</v>
      </c>
      <c r="E373" s="38" t="n">
        <f aca="false">Q!$P$31</f>
        <v>15.353</v>
      </c>
      <c r="F373" s="38" t="n">
        <f aca="false">ext_sh*Sens!$F$361+Sens!$D$372*Sens!$F$349</f>
        <v>16.3063747611001</v>
      </c>
      <c r="G373" s="38" t="n">
        <f aca="false">Sens!$E$373+Sens!$F$373</f>
        <v>31.6593747611001</v>
      </c>
      <c r="H373" s="38" t="n">
        <f aca="false">ext_sh*Sens!$H$361+Sens!$D$372*Sens!$H$349</f>
        <v>53.124242092105</v>
      </c>
      <c r="I373" s="38" t="n">
        <f aca="false">ext_sh*Sens!$I$361+Sens!$D$372*Sens!$I$349</f>
        <v>78.046828098133</v>
      </c>
      <c r="J373" s="38" t="n">
        <f aca="false">ext_sh*Sens!$J$361+Sens!$D$372*Sens!$J$349</f>
        <v>103.663976940352</v>
      </c>
      <c r="K373" s="38" t="n">
        <f aca="false">ext_sh*Sens!$K$361+Sens!$D$372*Sens!$K$349</f>
        <v>129.625086115469</v>
      </c>
      <c r="L373" s="38" t="n">
        <f aca="false">ext_sh*Sens!$L$361+Sens!$D$372*Sens!$L$349</f>
        <v>147.435052382502</v>
      </c>
      <c r="M373" s="38" t="n">
        <f aca="false">ext_sh*Sens!$M$361+Sens!$D$372*Sens!$M$349</f>
        <v>159.299754080279</v>
      </c>
      <c r="N373" s="38" t="n">
        <f aca="false">Q!$N$31</f>
        <v>9.234</v>
      </c>
      <c r="O373" s="38" t="n">
        <f aca="false">Q!$O$31</f>
        <v>12.216</v>
      </c>
    </row>
    <row r="374" customFormat="false" ht="17.15" hidden="false" customHeight="false" outlineLevel="0" collapsed="false">
      <c r="A374" s="1" t="s">
        <v>649</v>
      </c>
    </row>
    <row r="375" customFormat="false" ht="17.15" hidden="false" customHeight="false" outlineLevel="0" collapsed="false">
      <c r="A375" s="15" t="s">
        <v>650</v>
      </c>
      <c r="B375" s="14" t="s">
        <v>52</v>
      </c>
      <c r="C375" s="14"/>
      <c r="D375" s="14"/>
      <c r="E375" s="14"/>
      <c r="F375" s="14"/>
      <c r="G375" s="17" t="n">
        <f aca="false">Sens!$G$365*(1-tax)/(ext_sh*(Sens!$D$362+Sens!$G$362)/2)</f>
        <v>0.0440851947071316</v>
      </c>
      <c r="H375" s="17" t="n">
        <f aca="false">Sens!$H$365*(1-tax)/(ext_sh*(Sens!$G$362+Sens!$H$362)/2)</f>
        <v>0.0402781040820865</v>
      </c>
      <c r="I375" s="17" t="n">
        <f aca="false">Sens!$I$365*(1-tax)/(ext_sh*(Sens!$H$362+Sens!$I$362)/2)</f>
        <v>0.0358186710480674</v>
      </c>
      <c r="J375" s="17" t="n">
        <f aca="false">Sens!$J$365*(1-tax)/(ext_sh*(Sens!$I$362+Sens!$J$362)/2)</f>
        <v>0.0336327249258515</v>
      </c>
      <c r="K375" s="17" t="n">
        <f aca="false">Sens!$K$365*(1-tax)/(ext_sh*(Sens!$J$362+Sens!$K$362)/2)</f>
        <v>0.0280772586893461</v>
      </c>
      <c r="L375" s="17" t="n">
        <f aca="false">Sens!$L$365*(1-tax)/(ext_sh*(Sens!$K$362+Sens!$L$362)/2)</f>
        <v>0.0268071979540432</v>
      </c>
      <c r="M375" s="17" t="n">
        <f aca="false">Sens!$M$365*(1-tax)/(ext_sh*(Sens!$L$362+Sens!$M$362)/2)</f>
        <v>0.0242557611378735</v>
      </c>
      <c r="N375" s="14"/>
      <c r="O375" s="14"/>
      <c r="P375" s="8" t="s">
        <v>651</v>
      </c>
    </row>
    <row r="376" customFormat="false" ht="17.15" hidden="false" customHeight="false" outlineLevel="0" collapsed="false">
      <c r="A376" s="5" t="s">
        <v>652</v>
      </c>
      <c r="B376" s="0" t="s">
        <v>57</v>
      </c>
      <c r="H376" s="36" t="n">
        <f aca="false">Sens!$H$345*1000/(mw_open*he_open+Sens!$H$343*Sens!$H$340)</f>
        <v>0.880767940782091</v>
      </c>
      <c r="I376" s="36" t="n">
        <f aca="false">Sens!$I$345*1000/(mw_open*he_open+Sens!$I$343*Sens!$I$340)</f>
        <v>0.858026572758645</v>
      </c>
      <c r="J376" s="36" t="n">
        <f aca="false">Sens!$J$345*1000/(mw_open*he_open+Sens!$J$343*Sens!$J$340)</f>
        <v>0.848417499448742</v>
      </c>
      <c r="K376" s="36" t="n">
        <f aca="false">Sens!$K$345*1000/(mw_open*he_open+Sens!$K$343*Sens!$K$340)</f>
        <v>0.843754578941374</v>
      </c>
      <c r="L376" s="36" t="n">
        <f aca="false">Sens!$L$345*1000/(mw_open*he_open+Sens!$L$343*Sens!$L$340)</f>
        <v>0.841581849703465</v>
      </c>
      <c r="M376" s="36" t="n">
        <f aca="false">Sens!$M$345*1000/(mw_open*he_open+Sens!$M$343*Sens!$M$340)</f>
        <v>0.840712687048722</v>
      </c>
    </row>
    <row r="377" customFormat="false" ht="17.15" hidden="false" customHeight="false" outlineLevel="0" collapsed="false">
      <c r="A377" s="5" t="s">
        <v>653</v>
      </c>
      <c r="B377" s="0" t="s">
        <v>57</v>
      </c>
      <c r="H377" s="36" t="n">
        <f aca="false">Sens!$H$376*(Sens!$H$345+wacc*ext_sh*(Sens!$G$362+Sens!$H$362)/2/(1-tax)-Sens!$H$365)/Sens!$H$345</f>
        <v>1.25551961623259</v>
      </c>
      <c r="I377" s="36" t="n">
        <f aca="false">Sens!$I$376*(Sens!$I$345+wacc*ext_sh*(Sens!$H$362+Sens!$I$362)/2/(1-tax)-Sens!$I$365)/Sens!$I$345</f>
        <v>1.2054675393263</v>
      </c>
      <c r="J377" s="36" t="n">
        <f aca="false">Sens!$J$376*(Sens!$J$345+wacc*ext_sh*(Sens!$I$362+Sens!$J$362)/2/(1-tax)-Sens!$J$365)/Sens!$J$345</f>
        <v>1.17141604927023</v>
      </c>
      <c r="K377" s="36" t="n">
        <f aca="false">Sens!$K$376*(Sens!$K$345+wacc*ext_sh*(Sens!$J$362+Sens!$K$362)/2/(1-tax)-Sens!$K$365)/Sens!$K$345</f>
        <v>1.15558527566281</v>
      </c>
      <c r="L377" s="36" t="n">
        <f aca="false">Sens!$L$376*(Sens!$L$345+wacc*ext_sh*(Sens!$K$362+Sens!$L$362)/2/(1-tax)-Sens!$L$365)/Sens!$L$345</f>
        <v>1.12686933572495</v>
      </c>
      <c r="M377" s="36" t="n">
        <f aca="false">Sens!$M$376*(Sens!$M$345+wacc*ext_sh*(Sens!$L$362+Sens!$M$362)/2/(1-tax)-Sens!$M$365)/Sens!$M$345</f>
        <v>1.11358462527531</v>
      </c>
    </row>
    <row r="378" customFormat="false" ht="17.15" hidden="false" customHeight="false" outlineLevel="0" collapsed="false">
      <c r="A378" s="5" t="s">
        <v>654</v>
      </c>
      <c r="B378" s="0" t="s">
        <v>52</v>
      </c>
      <c r="C378" s="13" t="n">
        <f aca="false">Sens!$C$346/tk_pq</f>
        <v>0.195316432429398</v>
      </c>
      <c r="D378" s="13" t="n">
        <f aca="false">Sens!$D$346/tk_pq</f>
        <v>0.195316432429398</v>
      </c>
      <c r="E378" s="13" t="n">
        <f aca="false">Sens!$E$346/tk_pq</f>
        <v>0.195316432429398</v>
      </c>
      <c r="F378" s="13" t="n">
        <f aca="false">Sens!$F$346/tk_pq</f>
        <v>0.191077608072499</v>
      </c>
      <c r="G378" s="13" t="n">
        <f aca="false">Sens!$G$346/tk_pq</f>
        <v>0.192648675364927</v>
      </c>
      <c r="H378" s="13" t="n">
        <f aca="false">Sens!$H$346/tk_pq</f>
        <v>0.188813632292207</v>
      </c>
      <c r="I378" s="13" t="n">
        <f aca="false">Sens!$I$346/tk_pq</f>
        <v>0.18967957363228</v>
      </c>
      <c r="J378" s="13" t="n">
        <f aca="false">Sens!$J$346/tk_pq</f>
        <v>0.190298617624149</v>
      </c>
      <c r="K378" s="13" t="n">
        <f aca="false">Sens!$K$346/tk_pq</f>
        <v>0.190580531494929</v>
      </c>
      <c r="L378" s="13" t="n">
        <f aca="false">Sens!$L$346/tk_pq</f>
        <v>0.190712010322094</v>
      </c>
      <c r="M378" s="13" t="n">
        <f aca="false">Sens!$M$346/tk_pq</f>
        <v>0.190736894839384</v>
      </c>
      <c r="N378" s="13" t="n">
        <f aca="false">Sens!$N$346/tk_pq</f>
        <v>0.195316432429398</v>
      </c>
      <c r="O378" s="13" t="n">
        <f aca="false">Sens!$O$346/tk_pq</f>
        <v>0.195316432429398</v>
      </c>
      <c r="P378" s="5" t="s">
        <v>655</v>
      </c>
    </row>
    <row r="381" customFormat="false" ht="17.15" hidden="false" customHeight="false" outlineLevel="0" collapsed="false">
      <c r="A381" s="1" t="s">
        <v>684</v>
      </c>
    </row>
    <row r="382" customFormat="false" ht="17.15" hidden="false" customHeight="false" outlineLevel="0" collapsed="false">
      <c r="A382" s="0" t="s">
        <v>685</v>
      </c>
      <c r="B382" s="0" t="s">
        <v>86</v>
      </c>
      <c r="C382" s="38" t="n">
        <f aca="false">Sens!$C$345</f>
        <v>2.32100535697364</v>
      </c>
      <c r="D382" s="38" t="n">
        <f aca="false">Sens!$D$345</f>
        <v>8.70377008865116</v>
      </c>
      <c r="E382" s="38" t="n">
        <f aca="false">Sens!$E$345</f>
        <v>8.51035297557002</v>
      </c>
      <c r="F382" s="38" t="n">
        <f aca="false">Sens!$F$345</f>
        <v>14.1374173083338</v>
      </c>
      <c r="G382" s="38" t="n">
        <f aca="false">Sens!$G$345</f>
        <v>22.6477702839038</v>
      </c>
      <c r="H382" s="38" t="n">
        <f aca="false">Sens!$H$345</f>
        <v>53.4222901978634</v>
      </c>
      <c r="I382" s="38" t="n">
        <f aca="false">Sens!$I$345</f>
        <v>87.7997462553011</v>
      </c>
      <c r="J382" s="38" t="n">
        <f aca="false">Sens!$J$345</f>
        <v>122.330137401312</v>
      </c>
      <c r="K382" s="38" t="n">
        <f aca="false">Sens!$K$345</f>
        <v>151.788466594157</v>
      </c>
      <c r="L382" s="38" t="n">
        <f aca="false">Sens!$L$345</f>
        <v>171.148625477554</v>
      </c>
      <c r="M382" s="38" t="n">
        <f aca="false">Sens!$M$345</f>
        <v>180.385740185952</v>
      </c>
      <c r="N382" s="38" t="n">
        <f aca="false">Sens!$N$345</f>
        <v>3.04631953102791</v>
      </c>
      <c r="O382" s="38" t="n">
        <f aca="false">Sens!$O$345</f>
        <v>5.65745055762326</v>
      </c>
      <c r="P382" s="8" t="s">
        <v>686</v>
      </c>
    </row>
    <row r="383" customFormat="false" ht="17.15" hidden="false" customHeight="false" outlineLevel="0" collapsed="false">
      <c r="A383" s="0" t="s">
        <v>687</v>
      </c>
      <c r="B383" s="0" t="s">
        <v>86</v>
      </c>
      <c r="C383" s="38" t="n">
        <f aca="false">Sens!$C$349</f>
        <v>105.234994643026</v>
      </c>
      <c r="D383" s="38" t="n">
        <f aca="false">Sens!$D$349</f>
        <v>120.021229911349</v>
      </c>
      <c r="E383" s="38" t="n">
        <f aca="false">Sens!$E$349</f>
        <v>71.30864702443</v>
      </c>
      <c r="F383" s="38" t="n">
        <f aca="false">Sens!$F$349</f>
        <v>71.7692997942464</v>
      </c>
      <c r="G383" s="38" t="n">
        <f aca="false">Sens!$G$349</f>
        <v>143.077946818676</v>
      </c>
      <c r="H383" s="38" t="n">
        <f aca="false">Sens!$H$349</f>
        <v>161.017077079203</v>
      </c>
      <c r="I383" s="38" t="n">
        <f aca="false">Sens!$I$349</f>
        <v>178.769759521457</v>
      </c>
      <c r="J383" s="38" t="n">
        <f aca="false">Sens!$J$349</f>
        <v>195.775538045907</v>
      </c>
      <c r="K383" s="38" t="n">
        <f aca="false">Sens!$K$349</f>
        <v>211.43758108958</v>
      </c>
      <c r="L383" s="38" t="n">
        <f aca="false">Sens!$L$349</f>
        <v>228.352587576746</v>
      </c>
      <c r="M383" s="38" t="n">
        <f aca="false">Sens!$M$349</f>
        <v>246.620794582886</v>
      </c>
      <c r="N383" s="38" t="n">
        <f aca="false">Sens!$N$349</f>
        <v>57.0936804689721</v>
      </c>
      <c r="O383" s="38" t="n">
        <f aca="false">Sens!$O$349</f>
        <v>62.9275494423768</v>
      </c>
      <c r="P383" s="8" t="s">
        <v>686</v>
      </c>
    </row>
    <row r="384" customFormat="false" ht="17.15" hidden="false" customHeight="false" outlineLevel="0" collapsed="false">
      <c r="A384" s="1" t="s">
        <v>513</v>
      </c>
      <c r="B384" s="8" t="s">
        <v>86</v>
      </c>
      <c r="C384" s="38" t="n">
        <f aca="false">Q!$D$7</f>
        <v>107.556</v>
      </c>
      <c r="D384" s="38" t="n">
        <f aca="false">Q!$E$7</f>
        <v>128.725</v>
      </c>
      <c r="E384" s="38" t="n">
        <f aca="false">Q!$P$7</f>
        <v>79.819</v>
      </c>
      <c r="F384" s="38" t="n">
        <f aca="false">Sens!$F$382+Sens!$F$383</f>
        <v>85.9067171025802</v>
      </c>
      <c r="G384" s="38" t="n">
        <f aca="false">Sens!$G$382+Sens!$G$383</f>
        <v>165.72571710258</v>
      </c>
      <c r="H384" s="38" t="n">
        <f aca="false">Sens!$H$382+Sens!$H$383</f>
        <v>214.439367277066</v>
      </c>
      <c r="I384" s="38" t="n">
        <f aca="false">Sens!$I$382+Sens!$I$383</f>
        <v>266.569505776759</v>
      </c>
      <c r="J384" s="38" t="n">
        <f aca="false">Sens!$J$382+Sens!$J$383</f>
        <v>318.105675447219</v>
      </c>
      <c r="K384" s="38" t="n">
        <f aca="false">Sens!$K$382+Sens!$K$383</f>
        <v>363.226047683737</v>
      </c>
      <c r="L384" s="38" t="n">
        <f aca="false">Sens!$L$382+Sens!$L$383</f>
        <v>399.5012130543</v>
      </c>
      <c r="M384" s="38" t="n">
        <f aca="false">Sens!$M$382+Sens!$M$383</f>
        <v>427.006534768838</v>
      </c>
      <c r="N384" s="38" t="n">
        <f aca="false">Q!$N$7</f>
        <v>60.14</v>
      </c>
      <c r="O384" s="38" t="n">
        <f aca="false">Q!$O$7</f>
        <v>68.585</v>
      </c>
      <c r="P384" s="5" t="s">
        <v>688</v>
      </c>
    </row>
    <row r="385" customFormat="false" ht="15" hidden="false" customHeight="false" outlineLevel="0" collapsed="false">
      <c r="A385" s="3" t="s">
        <v>689</v>
      </c>
      <c r="B385" s="8" t="s">
        <v>86</v>
      </c>
      <c r="C385" s="38" t="n">
        <f aca="false">Q!$D$8</f>
        <v>637.959</v>
      </c>
      <c r="D385" s="38" t="n">
        <f aca="false">Q!$E$8</f>
        <v>716.924</v>
      </c>
      <c r="E385" s="38" t="n">
        <f aca="false">Q!$P$8</f>
        <v>382.125</v>
      </c>
      <c r="F385" s="38" t="n">
        <f aca="false">Sens!$F$317+Sens!$F$384</f>
        <v>435.780975084504</v>
      </c>
      <c r="G385" s="38" t="n">
        <f aca="false">Sens!$G$317+Sens!$G$384</f>
        <v>817.905975084504</v>
      </c>
      <c r="H385" s="38" t="n">
        <f aca="false">Sens!$H$317+Sens!$H$384</f>
        <v>936.451117289489</v>
      </c>
      <c r="I385" s="38" t="n">
        <f aca="false">Sens!$I$317+Sens!$I$384</f>
        <v>1056.09967847556</v>
      </c>
      <c r="J385" s="38" t="n">
        <f aca="false">Sens!$J$317+Sens!$J$384</f>
        <v>1170.29459468908</v>
      </c>
      <c r="K385" s="38" t="n">
        <f aca="false">Sens!$K$317+Sens!$K$384</f>
        <v>1270.55314428963</v>
      </c>
      <c r="L385" s="38" t="n">
        <f aca="false">Sens!$L$317+Sens!$L$384</f>
        <v>1365.82000708638</v>
      </c>
      <c r="M385" s="38" t="n">
        <f aca="false">Sens!$M$317+Sens!$M$384</f>
        <v>1456.46046692954</v>
      </c>
      <c r="N385" s="38" t="n">
        <f aca="false">Q!$N$8</f>
        <v>323.369</v>
      </c>
      <c r="O385" s="38" t="n">
        <f aca="false">Q!$O$8</f>
        <v>393.555</v>
      </c>
    </row>
    <row r="386" customFormat="false" ht="17.15" hidden="false" customHeight="false" outlineLevel="0" collapsed="false">
      <c r="A386" s="24" t="s">
        <v>697</v>
      </c>
      <c r="B386" s="25" t="s">
        <v>86</v>
      </c>
      <c r="C386" s="41" t="n">
        <f aca="false">Sens!$C$317-(Sens!$C$319+Sens!$C$320)</f>
        <v>0</v>
      </c>
      <c r="D386" s="41" t="n">
        <f aca="false">Sens!$D$317-(Sens!$D$319+Sens!$D$320)</f>
        <v>0</v>
      </c>
      <c r="E386" s="41" t="n">
        <f aca="false">Sens!$E$317-(Sens!$E$319+Sens!$E$320)</f>
        <v>0</v>
      </c>
      <c r="F386" s="41" t="n">
        <f aca="false">Sens!$F$317-(Sens!$F$319+Sens!$F$320)</f>
        <v>0</v>
      </c>
      <c r="G386" s="41" t="n">
        <f aca="false">Sens!$G$317-(Sens!$G$319+Sens!$G$320)</f>
        <v>0</v>
      </c>
      <c r="H386" s="41" t="n">
        <f aca="false">Sens!$H$317-(Sens!$H$319+Sens!$H$320)</f>
        <v>0</v>
      </c>
      <c r="I386" s="41" t="n">
        <f aca="false">Sens!$I$317-(Sens!$I$319+Sens!$I$320)</f>
        <v>0</v>
      </c>
      <c r="J386" s="41" t="n">
        <f aca="false">Sens!$J$317-(Sens!$J$319+Sens!$J$320)</f>
        <v>0</v>
      </c>
      <c r="K386" s="41" t="n">
        <f aca="false">Sens!$K$317-(Sens!$K$319+Sens!$K$320)</f>
        <v>0</v>
      </c>
      <c r="L386" s="41" t="n">
        <f aca="false">Sens!$L$317-(Sens!$L$319+Sens!$L$320)</f>
        <v>0</v>
      </c>
      <c r="M386" s="41" t="n">
        <f aca="false">Sens!$M$317-(Sens!$M$319+Sens!$M$320)</f>
        <v>0</v>
      </c>
      <c r="N386" s="41" t="n">
        <f aca="false">Sens!$N$317-(Sens!$N$319+Sens!$N$320)</f>
        <v>0</v>
      </c>
      <c r="O386" s="41" t="n">
        <f aca="false">Sens!$O$317-(Sens!$O$319+Sens!$O$320)</f>
        <v>0</v>
      </c>
    </row>
    <row r="387" customFormat="false" ht="17.15" hidden="false" customHeight="false" outlineLevel="0" collapsed="false">
      <c r="A387" s="24" t="s">
        <v>698</v>
      </c>
      <c r="B387" s="25" t="s">
        <v>86</v>
      </c>
      <c r="C387" s="41" t="n">
        <f aca="false">Sens!$C$382+Sens!$C$383-Sens!$C$384</f>
        <v>0</v>
      </c>
      <c r="D387" s="41" t="n">
        <f aca="false">Sens!$D$382+Sens!$D$383-Sens!$D$384</f>
        <v>0</v>
      </c>
      <c r="E387" s="41" t="n">
        <f aca="false">Sens!$E$382+Sens!$E$383-Sens!$E$384</f>
        <v>0</v>
      </c>
      <c r="F387" s="41" t="n">
        <f aca="false">Sens!$F$382+Sens!$F$383-Sens!$F$384</f>
        <v>0</v>
      </c>
      <c r="G387" s="41" t="n">
        <f aca="false">Sens!$G$382+Sens!$G$383-Sens!$G$384</f>
        <v>0</v>
      </c>
      <c r="H387" s="41" t="n">
        <f aca="false">Sens!$H$382+Sens!$H$383-Sens!$H$384</f>
        <v>0</v>
      </c>
      <c r="I387" s="41" t="n">
        <f aca="false">Sens!$I$382+Sens!$I$383-Sens!$I$384</f>
        <v>0</v>
      </c>
      <c r="J387" s="41" t="n">
        <f aca="false">Sens!$J$382+Sens!$J$383-Sens!$J$384</f>
        <v>0</v>
      </c>
      <c r="K387" s="41" t="n">
        <f aca="false">Sens!$K$382+Sens!$K$383-Sens!$K$384</f>
        <v>0</v>
      </c>
      <c r="L387" s="41" t="n">
        <f aca="false">Sens!$L$382+Sens!$L$383-Sens!$L$384</f>
        <v>0</v>
      </c>
      <c r="M387" s="41" t="n">
        <f aca="false">Sens!$M$382+Sens!$M$383-Sens!$M$384</f>
        <v>0</v>
      </c>
      <c r="N387" s="41" t="n">
        <f aca="false">Sens!$N$382+Sens!$N$383-Sens!$N$384</f>
        <v>0</v>
      </c>
      <c r="O387" s="41" t="n">
        <f aca="false">Sens!$O$382+Sens!$O$383-Sens!$O$384</f>
        <v>0</v>
      </c>
    </row>
    <row r="388" customFormat="false" ht="17.15" hidden="false" customHeight="false" outlineLevel="0" collapsed="false">
      <c r="A388" s="24" t="s">
        <v>699</v>
      </c>
      <c r="B388" s="25" t="s">
        <v>86</v>
      </c>
      <c r="C388" s="41" t="n">
        <f aca="false">Sens!$C$319+Sens!$C$320+Sens!$C$384-Sens!$C$385</f>
        <v>0</v>
      </c>
      <c r="D388" s="41" t="n">
        <f aca="false">Sens!$D$319+Sens!$D$320+Sens!$D$384-Sens!$D$385</f>
        <v>0</v>
      </c>
      <c r="E388" s="41" t="n">
        <f aca="false">Sens!$E$319+Sens!$E$320+Sens!$E$384-Sens!$E$385</f>
        <v>0</v>
      </c>
      <c r="F388" s="41" t="n">
        <f aca="false">Sens!$F$319+Sens!$F$320+Sens!$F$384-Sens!$F$385</f>
        <v>0</v>
      </c>
      <c r="G388" s="41" t="n">
        <f aca="false">Sens!$G$319+Sens!$G$320+Sens!$G$384-Sens!$G$385</f>
        <v>0</v>
      </c>
      <c r="H388" s="41" t="n">
        <f aca="false">Sens!$H$319+Sens!$H$320+Sens!$H$384-Sens!$H$385</f>
        <v>0</v>
      </c>
      <c r="I388" s="41" t="n">
        <f aca="false">Sens!$I$319+Sens!$I$320+Sens!$I$384-Sens!$I$385</f>
        <v>0</v>
      </c>
      <c r="J388" s="41" t="n">
        <f aca="false">Sens!$J$319+Sens!$J$320+Sens!$J$384-Sens!$J$385</f>
        <v>0</v>
      </c>
      <c r="K388" s="41" t="n">
        <f aca="false">Sens!$K$319+Sens!$K$320+Sens!$K$384-Sens!$K$385</f>
        <v>0</v>
      </c>
      <c r="L388" s="41" t="n">
        <f aca="false">Sens!$L$319+Sens!$L$320+Sens!$L$384-Sens!$L$385</f>
        <v>0</v>
      </c>
      <c r="M388" s="41" t="n">
        <f aca="false">Sens!$M$319+Sens!$M$320+Sens!$M$384-Sens!$M$385</f>
        <v>0</v>
      </c>
      <c r="N388" s="41" t="n">
        <f aca="false">Sens!$N$319+Sens!$N$320+Sens!$N$384-Sens!$N$385</f>
        <v>0</v>
      </c>
      <c r="O388" s="41" t="n">
        <f aca="false">Sens!$O$319+Sens!$O$320+Sens!$O$384-Sens!$O$385</f>
        <v>0</v>
      </c>
    </row>
    <row r="389" customFormat="false" ht="15" hidden="false" customHeight="false" outlineLevel="0" collapsed="false">
      <c r="A389" s="5" t="s">
        <v>693</v>
      </c>
      <c r="B389" s="0" t="s">
        <v>52</v>
      </c>
      <c r="G389" s="13" t="n">
        <f aca="false">Sens!$G$385/Sens!$D$385-1</f>
        <v>0.140854504918937</v>
      </c>
      <c r="H389" s="13" t="n">
        <f aca="false">Sens!$H$385/Sens!$G$385-1</f>
        <v>0.144937371551464</v>
      </c>
      <c r="I389" s="13" t="n">
        <f aca="false">Sens!$I$385/Sens!$H$385-1</f>
        <v>0.127768079910451</v>
      </c>
      <c r="J389" s="13" t="n">
        <f aca="false">Sens!$J$385/Sens!$I$385-1</f>
        <v>0.10812891864369</v>
      </c>
      <c r="K389" s="13" t="n">
        <f aca="false">Sens!$K$385/Sens!$J$385-1</f>
        <v>0.0856694972834475</v>
      </c>
      <c r="L389" s="13" t="n">
        <f aca="false">Sens!$L$385/Sens!$K$385-1</f>
        <v>0.0749806202321606</v>
      </c>
      <c r="M389" s="13" t="n">
        <f aca="false">Sens!$M$385/Sens!$L$385-1</f>
        <v>0.0663634002817957</v>
      </c>
    </row>
    <row r="390" customFormat="false" ht="17.15" hidden="false" customHeight="false" outlineLevel="0" collapsed="false">
      <c r="A390" s="0" t="s">
        <v>694</v>
      </c>
      <c r="B390" s="0" t="s">
        <v>52</v>
      </c>
      <c r="C390" s="13" t="n">
        <f aca="false">Sens!$C$384/Sens!$C$385</f>
        <v>0.168593906504964</v>
      </c>
      <c r="D390" s="13" t="n">
        <f aca="false">Sens!$D$384/Sens!$D$385</f>
        <v>0.179551807444025</v>
      </c>
      <c r="E390" s="13" t="n">
        <f aca="false">Sens!$E$384/Sens!$E$385</f>
        <v>0.208881910369643</v>
      </c>
      <c r="F390" s="13" t="n">
        <f aca="false">Sens!$F$384/Sens!$F$385</f>
        <v>0.197132784619433</v>
      </c>
      <c r="G390" s="13" t="n">
        <f aca="false">Sens!$G$384/Sens!$G$385</f>
        <v>0.202621966523056</v>
      </c>
      <c r="H390" s="13" t="n">
        <f aca="false">Sens!$H$384/Sens!$H$385</f>
        <v>0.228991522694479</v>
      </c>
      <c r="I390" s="13" t="n">
        <f aca="false">Sens!$I$384/Sens!$I$385</f>
        <v>0.252409418551799</v>
      </c>
      <c r="J390" s="13" t="n">
        <f aca="false">Sens!$J$384/Sens!$J$385</f>
        <v>0.27181675185959</v>
      </c>
      <c r="K390" s="13" t="n">
        <f aca="false">Sens!$K$384/Sens!$K$385</f>
        <v>0.285880247761552</v>
      </c>
      <c r="L390" s="13" t="n">
        <f aca="false">Sens!$L$384/Sens!$L$385</f>
        <v>0.292499166055219</v>
      </c>
      <c r="M390" s="13" t="n">
        <f aca="false">Sens!$M$384/Sens!$M$385</f>
        <v>0.293180999048356</v>
      </c>
      <c r="N390" s="13" t="n">
        <f aca="false">Sens!$N$384/Sens!$N$385</f>
        <v>0.185979484737251</v>
      </c>
      <c r="O390" s="13" t="n">
        <f aca="false">Sens!$O$384/Sens!$O$385</f>
        <v>0.174270432341096</v>
      </c>
    </row>
    <row r="391" customFormat="false" ht="17.15" hidden="false" customHeight="false" outlineLevel="0" collapsed="false">
      <c r="A391" s="0" t="s">
        <v>695</v>
      </c>
      <c r="B391" s="0" t="s">
        <v>52</v>
      </c>
      <c r="C391" s="13" t="n">
        <f aca="false">Sens!$C$382/Sens!$C$384</f>
        <v>0.0215795060896058</v>
      </c>
      <c r="D391" s="13" t="n">
        <f aca="false">Sens!$D$382/Sens!$D$384</f>
        <v>0.0676152269462122</v>
      </c>
      <c r="E391" s="13" t="n">
        <f aca="false">Sens!$E$382/Sens!$E$384</f>
        <v>0.106620641395783</v>
      </c>
      <c r="F391" s="13" t="n">
        <f aca="false">Sens!$F$382/Sens!$F$384</f>
        <v>0.16456707676831</v>
      </c>
      <c r="G391" s="13" t="n">
        <f aca="false">Sens!$G$382/Sens!$G$384</f>
        <v>0.136658152276302</v>
      </c>
      <c r="H391" s="13" t="n">
        <f aca="false">Sens!$H$382/Sens!$H$384</f>
        <v>0.249125386239547</v>
      </c>
      <c r="I391" s="13" t="n">
        <f aca="false">Sens!$I$382/Sens!$I$384</f>
        <v>0.329369055171787</v>
      </c>
      <c r="J391" s="13" t="n">
        <f aca="false">Sens!$J$382/Sens!$J$384</f>
        <v>0.384558173095561</v>
      </c>
      <c r="K391" s="13" t="n">
        <f aca="false">Sens!$K$382/Sens!$K$384</f>
        <v>0.417889816994403</v>
      </c>
      <c r="L391" s="13" t="n">
        <f aca="false">Sens!$L$382/Sens!$L$384</f>
        <v>0.428405771709863</v>
      </c>
      <c r="M391" s="13" t="n">
        <f aca="false">Sens!$M$382/Sens!$M$384</f>
        <v>0.422442575225704</v>
      </c>
      <c r="N391" s="13" t="n">
        <f aca="false">Sens!$N$382/Sens!$N$384</f>
        <v>0.0506537999838362</v>
      </c>
      <c r="O391" s="13" t="n">
        <f aca="false">Sens!$O$382/Sens!$O$384</f>
        <v>0.0824881615167056</v>
      </c>
    </row>
    <row r="394" customFormat="false" ht="19.4" hidden="false" customHeight="false" outlineLevel="0" collapsed="false">
      <c r="A394" s="31" t="s">
        <v>1134</v>
      </c>
    </row>
    <row r="395" customFormat="false" ht="17.15" hidden="false" customHeight="false" outlineLevel="0" collapsed="false">
      <c r="A395" s="6" t="s">
        <v>16</v>
      </c>
      <c r="B395" s="6" t="s">
        <v>17</v>
      </c>
      <c r="C395" s="20" t="s">
        <v>494</v>
      </c>
      <c r="D395" s="20" t="s">
        <v>495</v>
      </c>
      <c r="E395" s="20" t="s">
        <v>577</v>
      </c>
      <c r="F395" s="20" t="s">
        <v>578</v>
      </c>
      <c r="G395" s="20" t="s">
        <v>579</v>
      </c>
      <c r="H395" s="20" t="s">
        <v>580</v>
      </c>
      <c r="I395" s="20" t="s">
        <v>581</v>
      </c>
      <c r="J395" s="20" t="s">
        <v>582</v>
      </c>
      <c r="K395" s="20" t="s">
        <v>583</v>
      </c>
      <c r="L395" s="20" t="s">
        <v>584</v>
      </c>
      <c r="M395" s="20" t="s">
        <v>585</v>
      </c>
      <c r="N395" s="20" t="s">
        <v>586</v>
      </c>
      <c r="O395" s="20" t="s">
        <v>587</v>
      </c>
      <c r="P395" s="6" t="s">
        <v>23</v>
      </c>
      <c r="R395" s="20" t="n">
        <v>2023</v>
      </c>
      <c r="S395" s="20" t="n">
        <v>2024</v>
      </c>
      <c r="T395" s="20" t="n">
        <v>2025</v>
      </c>
      <c r="U395" s="20" t="n">
        <v>2026</v>
      </c>
      <c r="V395" s="20" t="n">
        <v>2027</v>
      </c>
      <c r="W395" s="20" t="n">
        <v>2028</v>
      </c>
      <c r="X395" s="20" t="n">
        <v>2029</v>
      </c>
      <c r="Y395" s="20" t="n">
        <v>2030</v>
      </c>
      <c r="Z395" s="20" t="n">
        <v>2031</v>
      </c>
      <c r="AA395" s="20" t="n">
        <v>2032</v>
      </c>
    </row>
    <row r="396" customFormat="false" ht="17.15" hidden="false" customHeight="false" outlineLevel="0" collapsed="false">
      <c r="A396" s="1" t="s">
        <v>710</v>
      </c>
    </row>
    <row r="397" customFormat="false" ht="15" hidden="false" customHeight="false" outlineLevel="0" collapsed="false">
      <c r="A397" s="0" t="s">
        <v>516</v>
      </c>
      <c r="B397" s="0" t="s">
        <v>86</v>
      </c>
      <c r="C397" s="38" t="n">
        <f aca="false">Sens!$C$304</f>
        <v>247.029</v>
      </c>
      <c r="D397" s="38" t="n">
        <f aca="false">Sens!$D$304</f>
        <v>269.287</v>
      </c>
      <c r="E397" s="38" t="n">
        <f aca="false">Sens!$E$304</f>
        <v>134.686</v>
      </c>
      <c r="F397" s="38" t="n">
        <f aca="false">Sens!$F$304</f>
        <v>158.668476412251</v>
      </c>
      <c r="G397" s="38" t="n">
        <f aca="false">Sens!$G$304</f>
        <v>293.354476412251</v>
      </c>
      <c r="H397" s="38" t="n">
        <f aca="false">Sens!$H$304</f>
        <v>318.591368978214</v>
      </c>
      <c r="I397" s="38" t="n">
        <f aca="false">Sens!$I$304</f>
        <v>342.173217541669</v>
      </c>
      <c r="J397" s="38" t="n">
        <f aca="false">Sens!$J$304</f>
        <v>363.391225945525</v>
      </c>
      <c r="K397" s="38" t="n">
        <f aca="false">Sens!$K$304</f>
        <v>381.560787242802</v>
      </c>
      <c r="L397" s="38" t="n">
        <f aca="false">Sens!$L$304</f>
        <v>400.638826604942</v>
      </c>
      <c r="M397" s="38" t="n">
        <f aca="false">Sens!$M$304</f>
        <v>420.670767935189</v>
      </c>
      <c r="N397" s="38" t="n">
        <f aca="false">Sens!$N$304</f>
        <v>118.892</v>
      </c>
      <c r="O397" s="38" t="n">
        <f aca="false">Sens!$O$304</f>
        <v>150.395</v>
      </c>
    </row>
    <row r="398" customFormat="false" ht="15" hidden="false" customHeight="false" outlineLevel="0" collapsed="false">
      <c r="A398" s="0" t="s">
        <v>517</v>
      </c>
      <c r="B398" s="0" t="s">
        <v>86</v>
      </c>
      <c r="C398" s="38" t="n">
        <f aca="false">Sens!$C$306</f>
        <v>21.215</v>
      </c>
      <c r="D398" s="38" t="n">
        <f aca="false">Sens!$D$306</f>
        <v>22.561</v>
      </c>
      <c r="E398" s="38" t="n">
        <f aca="false">Sens!$E$306</f>
        <v>11.579</v>
      </c>
      <c r="F398" s="38" t="n">
        <f aca="false">Sens!$F$306</f>
        <v>11.6213091500405</v>
      </c>
      <c r="G398" s="38" t="n">
        <f aca="false">Sens!$G$306</f>
        <v>23.2003091500405</v>
      </c>
      <c r="H398" s="38" t="n">
        <f aca="false">Sens!$H$306</f>
        <v>24.3822271849556</v>
      </c>
      <c r="I398" s="38" t="n">
        <f aca="false">Sens!$I$306</f>
        <v>25.4541359521165</v>
      </c>
      <c r="J398" s="38" t="n">
        <f aca="false">Sens!$J$306</f>
        <v>26.3954643817717</v>
      </c>
      <c r="K398" s="38" t="n">
        <f aca="false">Sens!$K$306</f>
        <v>27.1873283132248</v>
      </c>
      <c r="L398" s="38" t="n">
        <f aca="false">Sens!$L$306</f>
        <v>28.0029481626215</v>
      </c>
      <c r="M398" s="38" t="n">
        <f aca="false">Sens!$M$306</f>
        <v>28.8430366075002</v>
      </c>
      <c r="N398" s="38" t="n">
        <f aca="false">Sens!$N$306</f>
        <v>11.128</v>
      </c>
      <c r="O398" s="38" t="n">
        <f aca="false">Sens!$O$306</f>
        <v>11.433</v>
      </c>
    </row>
    <row r="399" customFormat="false" ht="15" hidden="false" customHeight="false" outlineLevel="0" collapsed="false">
      <c r="A399" s="0" t="s">
        <v>518</v>
      </c>
      <c r="B399" s="0" t="s">
        <v>86</v>
      </c>
      <c r="C399" s="38" t="n">
        <f aca="false">Sens!$C$308</f>
        <v>156.146</v>
      </c>
      <c r="D399" s="38" t="n">
        <f aca="false">Sens!$D$308</f>
        <v>172.162</v>
      </c>
      <c r="E399" s="38" t="n">
        <f aca="false">Sens!$E$308</f>
        <v>88.358</v>
      </c>
      <c r="F399" s="38" t="n">
        <f aca="false">Sens!$F$308</f>
        <v>102.245779795877</v>
      </c>
      <c r="G399" s="38" t="n">
        <f aca="false">Sens!$G$308</f>
        <v>190.603779795877</v>
      </c>
      <c r="H399" s="38" t="n">
        <f aca="false">Sens!$H$308</f>
        <v>210.60983493727</v>
      </c>
      <c r="I399" s="38" t="n">
        <f aca="false">Sens!$I$308</f>
        <v>230.261344640224</v>
      </c>
      <c r="J399" s="38" t="n">
        <f aca="false">Sens!$J$308</f>
        <v>249.063064692541</v>
      </c>
      <c r="K399" s="38" t="n">
        <f aca="false">Sens!$K$308</f>
        <v>266.497479221019</v>
      </c>
      <c r="L399" s="38" t="n">
        <f aca="false">Sens!$L$308</f>
        <v>285.15230276649</v>
      </c>
      <c r="M399" s="38" t="n">
        <f aca="false">Sens!$M$308</f>
        <v>305.112963960145</v>
      </c>
      <c r="N399" s="38" t="n">
        <f aca="false">Sens!$N$308</f>
        <v>76.86</v>
      </c>
      <c r="O399" s="38" t="n">
        <f aca="false">Sens!$O$308</f>
        <v>95.302</v>
      </c>
    </row>
    <row r="400" customFormat="false" ht="15" hidden="false" customHeight="false" outlineLevel="0" collapsed="false">
      <c r="A400" s="0" t="s">
        <v>519</v>
      </c>
      <c r="B400" s="0" t="s">
        <v>86</v>
      </c>
      <c r="C400" s="38" t="n">
        <f aca="false">Sens!$C$310</f>
        <v>56.214</v>
      </c>
      <c r="D400" s="38" t="n">
        <f aca="false">Sens!$D$310</f>
        <v>68.635</v>
      </c>
      <c r="E400" s="38" t="n">
        <f aca="false">Sens!$E$310</f>
        <v>37.052</v>
      </c>
      <c r="F400" s="38" t="n">
        <f aca="false">Sens!$F$310</f>
        <v>46.2664522235369</v>
      </c>
      <c r="G400" s="38" t="n">
        <f aca="false">Sens!$G$310</f>
        <v>83.3184522235369</v>
      </c>
      <c r="H400" s="38" t="n">
        <f aca="false">Sens!$H$310</f>
        <v>100.028058858826</v>
      </c>
      <c r="I400" s="38" t="n">
        <f aca="false">Sens!$I$310</f>
        <v>116.736151823813</v>
      </c>
      <c r="J400" s="38" t="n">
        <f aca="false">Sens!$J$310</f>
        <v>132.322416213921</v>
      </c>
      <c r="K400" s="38" t="n">
        <f aca="false">Sens!$K$310</f>
        <v>145.554657835313</v>
      </c>
      <c r="L400" s="38" t="n">
        <f aca="false">Sens!$L$310</f>
        <v>160.110123618844</v>
      </c>
      <c r="M400" s="38" t="n">
        <f aca="false">Sens!$M$310</f>
        <v>176.121135980728</v>
      </c>
      <c r="N400" s="38" t="n">
        <f aca="false">Sens!$N$310</f>
        <v>29.615</v>
      </c>
      <c r="O400" s="38" t="n">
        <f aca="false">Sens!$O$310</f>
        <v>39.02</v>
      </c>
    </row>
    <row r="401" customFormat="false" ht="15" hidden="false" customHeight="false" outlineLevel="0" collapsed="false">
      <c r="A401" s="0" t="s">
        <v>520</v>
      </c>
      <c r="B401" s="0" t="s">
        <v>86</v>
      </c>
      <c r="C401" s="38" t="n">
        <f aca="false">Sens!$C$312</f>
        <v>44.374</v>
      </c>
      <c r="D401" s="38" t="n">
        <f aca="false">Sens!$D$312</f>
        <v>49.619</v>
      </c>
      <c r="E401" s="38" t="n">
        <f aca="false">Sens!$E$312</f>
        <v>27.157</v>
      </c>
      <c r="F401" s="38" t="n">
        <f aca="false">Sens!$F$312</f>
        <v>27.8421489851719</v>
      </c>
      <c r="G401" s="38" t="n">
        <f aca="false">Sens!$G$312</f>
        <v>54.9991489851719</v>
      </c>
      <c r="H401" s="38" t="n">
        <f aca="false">Sens!$H$312</f>
        <v>61.229589971467</v>
      </c>
      <c r="I401" s="38" t="n">
        <f aca="false">Sens!$I$312</f>
        <v>67.2824410074817</v>
      </c>
      <c r="J401" s="38" t="n">
        <f aca="false">Sens!$J$312</f>
        <v>72.9629292513489</v>
      </c>
      <c r="K401" s="38" t="n">
        <f aca="false">Sens!$K$312</f>
        <v>78.0703342989433</v>
      </c>
      <c r="L401" s="38" t="n">
        <f aca="false">Sens!$L$312</f>
        <v>83.5352576998693</v>
      </c>
      <c r="M401" s="38" t="n">
        <f aca="false">Sens!$M$312</f>
        <v>89.3827257388602</v>
      </c>
      <c r="N401" s="38" t="n">
        <f aca="false">Sens!$N$312</f>
        <v>23.923</v>
      </c>
      <c r="O401" s="38" t="n">
        <f aca="false">Sens!$O$312</f>
        <v>25.696</v>
      </c>
    </row>
    <row r="402" customFormat="false" ht="15" hidden="false" customHeight="false" outlineLevel="0" collapsed="false">
      <c r="A402" s="0" t="s">
        <v>521</v>
      </c>
      <c r="B402" s="0" t="s">
        <v>86</v>
      </c>
      <c r="C402" s="38" t="n">
        <f aca="false">Sens!$C$314</f>
        <v>5.425</v>
      </c>
      <c r="D402" s="38" t="n">
        <f aca="false">Sens!$D$314</f>
        <v>5.935</v>
      </c>
      <c r="E402" s="38" t="n">
        <f aca="false">Sens!$E$314</f>
        <v>3.474</v>
      </c>
      <c r="F402" s="38" t="n">
        <f aca="false">Sens!$F$314</f>
        <v>3.23009141504673</v>
      </c>
      <c r="G402" s="38" t="n">
        <f aca="false">Sens!$G$314</f>
        <v>6.70409141504673</v>
      </c>
      <c r="H402" s="38" t="n">
        <f aca="false">Sens!$H$314</f>
        <v>7.17067008169072</v>
      </c>
      <c r="I402" s="38" t="n">
        <f aca="false">Sens!$I$314</f>
        <v>7.62288173350109</v>
      </c>
      <c r="J402" s="38" t="n">
        <f aca="false">Sens!$J$314</f>
        <v>8.05381875674918</v>
      </c>
      <c r="K402" s="38" t="n">
        <f aca="false">Sens!$K$314</f>
        <v>8.45650969458664</v>
      </c>
      <c r="L402" s="38" t="n">
        <f aca="false">Sens!$L$314</f>
        <v>8.87933517931597</v>
      </c>
      <c r="M402" s="38" t="n">
        <f aca="false">Sens!$M$314</f>
        <v>9.32330193828177</v>
      </c>
      <c r="N402" s="38" t="n">
        <f aca="false">Sens!$N$314</f>
        <v>2.811</v>
      </c>
      <c r="O402" s="38" t="n">
        <f aca="false">Sens!$O$314</f>
        <v>3.124</v>
      </c>
    </row>
    <row r="403" customFormat="false" ht="17.15" hidden="false" customHeight="false" outlineLevel="0" collapsed="false">
      <c r="A403" s="0" t="s">
        <v>711</v>
      </c>
      <c r="B403" s="0" t="s">
        <v>86</v>
      </c>
      <c r="C403" s="38" t="n">
        <f aca="false">Sens!$C$384</f>
        <v>107.556</v>
      </c>
      <c r="D403" s="38" t="n">
        <f aca="false">Sens!$D$384</f>
        <v>128.725</v>
      </c>
      <c r="E403" s="38" t="n">
        <f aca="false">Sens!$E$384</f>
        <v>79.819</v>
      </c>
      <c r="F403" s="38" t="n">
        <f aca="false">Sens!$F$384</f>
        <v>85.9067171025802</v>
      </c>
      <c r="G403" s="38" t="n">
        <f aca="false">Sens!$G$384</f>
        <v>165.72571710258</v>
      </c>
      <c r="H403" s="38" t="n">
        <f aca="false">Sens!$H$384</f>
        <v>214.439367277066</v>
      </c>
      <c r="I403" s="38" t="n">
        <f aca="false">Sens!$I$384</f>
        <v>266.569505776759</v>
      </c>
      <c r="J403" s="38" t="n">
        <f aca="false">Sens!$J$384</f>
        <v>318.105675447219</v>
      </c>
      <c r="K403" s="38" t="n">
        <f aca="false">Sens!$K$384</f>
        <v>363.226047683737</v>
      </c>
      <c r="L403" s="38" t="n">
        <f aca="false">Sens!$L$384</f>
        <v>399.5012130543</v>
      </c>
      <c r="M403" s="38" t="n">
        <f aca="false">Sens!$M$384</f>
        <v>427.006534768838</v>
      </c>
      <c r="N403" s="38" t="n">
        <f aca="false">Sens!$N$384</f>
        <v>60.14</v>
      </c>
      <c r="O403" s="38" t="n">
        <f aca="false">Sens!$O$384</f>
        <v>68.585</v>
      </c>
    </row>
    <row r="404" customFormat="false" ht="15" hidden="false" customHeight="false" outlineLevel="0" collapsed="false">
      <c r="A404" s="1" t="s">
        <v>509</v>
      </c>
      <c r="B404" s="8" t="s">
        <v>86</v>
      </c>
      <c r="C404" s="38" t="n">
        <f aca="false">Sens!$C$319</f>
        <v>387.497</v>
      </c>
      <c r="D404" s="38" t="n">
        <f aca="false">Sens!$D$319</f>
        <v>426.305</v>
      </c>
      <c r="E404" s="38" t="n">
        <f aca="false">Sens!$E$319</f>
        <v>220.32</v>
      </c>
      <c r="F404" s="38" t="n">
        <f aca="false">Sens!$F$319</f>
        <v>251.232907960987</v>
      </c>
      <c r="G404" s="38" t="n">
        <f aca="false">Sens!$G$319</f>
        <v>471.552907960987</v>
      </c>
      <c r="H404" s="38" t="n">
        <f aca="false">Sens!$H$319</f>
        <v>522.043922877831</v>
      </c>
      <c r="I404" s="38" t="n">
        <f aca="false">Sens!$I$319</f>
        <v>570.862494383234</v>
      </c>
      <c r="J404" s="38" t="n">
        <f aca="false">Sens!$J$319</f>
        <v>616.167321967244</v>
      </c>
      <c r="K404" s="38" t="n">
        <f aca="false">Sens!$K$319</f>
        <v>656.034471512881</v>
      </c>
      <c r="L404" s="38" t="n">
        <f aca="false">Sens!$L$319</f>
        <v>698.687873124507</v>
      </c>
      <c r="M404" s="38" t="n">
        <f aca="false">Sens!$M$319</f>
        <v>744.337151241562</v>
      </c>
      <c r="N404" s="38" t="n">
        <f aca="false">Sens!$N$319</f>
        <v>192.955</v>
      </c>
      <c r="O404" s="38" t="n">
        <f aca="false">Sens!$O$319</f>
        <v>233.35</v>
      </c>
    </row>
    <row r="405" customFormat="false" ht="15" hidden="false" customHeight="false" outlineLevel="0" collapsed="false">
      <c r="A405" s="1" t="s">
        <v>512</v>
      </c>
      <c r="B405" s="8" t="s">
        <v>86</v>
      </c>
      <c r="C405" s="38" t="n">
        <f aca="false">Sens!$C$320</f>
        <v>142.906</v>
      </c>
      <c r="D405" s="38" t="n">
        <f aca="false">Sens!$D$320</f>
        <v>161.894</v>
      </c>
      <c r="E405" s="38" t="n">
        <f aca="false">Sens!$E$320</f>
        <v>81.986</v>
      </c>
      <c r="F405" s="38" t="n">
        <f aca="false">Sens!$F$320</f>
        <v>98.6413500209369</v>
      </c>
      <c r="G405" s="38" t="n">
        <f aca="false">Sens!$G$320</f>
        <v>180.627350020937</v>
      </c>
      <c r="H405" s="38" t="n">
        <f aca="false">Sens!$H$320</f>
        <v>199.967827134592</v>
      </c>
      <c r="I405" s="38" t="n">
        <f aca="false">Sens!$I$320</f>
        <v>218.667678315572</v>
      </c>
      <c r="J405" s="38" t="n">
        <f aca="false">Sens!$J$320</f>
        <v>236.021597274613</v>
      </c>
      <c r="K405" s="38" t="n">
        <f aca="false">Sens!$K$320</f>
        <v>251.292625093007</v>
      </c>
      <c r="L405" s="38" t="n">
        <f aca="false">Sens!$L$320</f>
        <v>267.630920907576</v>
      </c>
      <c r="M405" s="38" t="n">
        <f aca="false">Sens!$M$320</f>
        <v>285.116780919142</v>
      </c>
      <c r="N405" s="38" t="n">
        <f aca="false">Sens!$N$320</f>
        <v>70.274</v>
      </c>
      <c r="O405" s="38" t="n">
        <f aca="false">Sens!$O$320</f>
        <v>91.62</v>
      </c>
    </row>
    <row r="406" customFormat="false" ht="15" hidden="false" customHeight="false" outlineLevel="0" collapsed="false">
      <c r="A406" s="1" t="s">
        <v>513</v>
      </c>
      <c r="B406" s="8" t="s">
        <v>86</v>
      </c>
      <c r="C406" s="38" t="n">
        <f aca="false">Sens!$C$384</f>
        <v>107.556</v>
      </c>
      <c r="D406" s="38" t="n">
        <f aca="false">Sens!$D$384</f>
        <v>128.725</v>
      </c>
      <c r="E406" s="38" t="n">
        <f aca="false">Sens!$E$384</f>
        <v>79.819</v>
      </c>
      <c r="F406" s="38" t="n">
        <f aca="false">Sens!$F$384</f>
        <v>85.9067171025802</v>
      </c>
      <c r="G406" s="38" t="n">
        <f aca="false">Sens!$G$384</f>
        <v>165.72571710258</v>
      </c>
      <c r="H406" s="38" t="n">
        <f aca="false">Sens!$H$384</f>
        <v>214.439367277066</v>
      </c>
      <c r="I406" s="38" t="n">
        <f aca="false">Sens!$I$384</f>
        <v>266.569505776759</v>
      </c>
      <c r="J406" s="38" t="n">
        <f aca="false">Sens!$J$384</f>
        <v>318.105675447219</v>
      </c>
      <c r="K406" s="38" t="n">
        <f aca="false">Sens!$K$384</f>
        <v>363.226047683737</v>
      </c>
      <c r="L406" s="38" t="n">
        <f aca="false">Sens!$L$384</f>
        <v>399.5012130543</v>
      </c>
      <c r="M406" s="38" t="n">
        <f aca="false">Sens!$M$384</f>
        <v>427.006534768838</v>
      </c>
      <c r="N406" s="38" t="n">
        <f aca="false">Sens!$N$384</f>
        <v>60.14</v>
      </c>
      <c r="O406" s="38" t="n">
        <f aca="false">Sens!$O$384</f>
        <v>68.585</v>
      </c>
    </row>
    <row r="407" customFormat="false" ht="17.15" hidden="false" customHeight="false" outlineLevel="0" collapsed="false">
      <c r="A407" s="0" t="s">
        <v>685</v>
      </c>
      <c r="B407" s="0" t="s">
        <v>86</v>
      </c>
      <c r="C407" s="38" t="n">
        <f aca="false">Sens!$C$382</f>
        <v>2.32100535697364</v>
      </c>
      <c r="D407" s="38" t="n">
        <f aca="false">Sens!$D$382</f>
        <v>8.70377008865116</v>
      </c>
      <c r="E407" s="38" t="n">
        <f aca="false">Sens!$E$382</f>
        <v>8.51035297557002</v>
      </c>
      <c r="F407" s="38" t="n">
        <f aca="false">Sens!$F$382</f>
        <v>14.1374173083338</v>
      </c>
      <c r="G407" s="38" t="n">
        <f aca="false">Sens!$G$382</f>
        <v>22.6477702839038</v>
      </c>
      <c r="H407" s="38" t="n">
        <f aca="false">Sens!$H$382</f>
        <v>53.4222901978634</v>
      </c>
      <c r="I407" s="38" t="n">
        <f aca="false">Sens!$I$382</f>
        <v>87.7997462553011</v>
      </c>
      <c r="J407" s="38" t="n">
        <f aca="false">Sens!$J$382</f>
        <v>122.330137401312</v>
      </c>
      <c r="K407" s="38" t="n">
        <f aca="false">Sens!$K$382</f>
        <v>151.788466594157</v>
      </c>
      <c r="L407" s="38" t="n">
        <f aca="false">Sens!$L$382</f>
        <v>171.148625477554</v>
      </c>
      <c r="M407" s="38" t="n">
        <f aca="false">Sens!$M$382</f>
        <v>180.385740185952</v>
      </c>
      <c r="N407" s="38" t="n">
        <f aca="false">Sens!$N$382</f>
        <v>3.04631953102791</v>
      </c>
      <c r="O407" s="38" t="n">
        <f aca="false">Sens!$O$382</f>
        <v>5.65745055762326</v>
      </c>
    </row>
    <row r="408" customFormat="false" ht="17.15" hidden="false" customHeight="false" outlineLevel="0" collapsed="false">
      <c r="A408" s="0" t="s">
        <v>687</v>
      </c>
      <c r="B408" s="0" t="s">
        <v>86</v>
      </c>
      <c r="C408" s="38" t="n">
        <f aca="false">Sens!$C$383</f>
        <v>105.234994643026</v>
      </c>
      <c r="D408" s="38" t="n">
        <f aca="false">Sens!$D$383</f>
        <v>120.021229911349</v>
      </c>
      <c r="E408" s="38" t="n">
        <f aca="false">Sens!$E$383</f>
        <v>71.30864702443</v>
      </c>
      <c r="F408" s="38" t="n">
        <f aca="false">Sens!$F$383</f>
        <v>71.7692997942464</v>
      </c>
      <c r="G408" s="38" t="n">
        <f aca="false">Sens!$G$383</f>
        <v>143.077946818676</v>
      </c>
      <c r="H408" s="38" t="n">
        <f aca="false">Sens!$H$383</f>
        <v>161.017077079203</v>
      </c>
      <c r="I408" s="38" t="n">
        <f aca="false">Sens!$I$383</f>
        <v>178.769759521457</v>
      </c>
      <c r="J408" s="38" t="n">
        <f aca="false">Sens!$J$383</f>
        <v>195.775538045907</v>
      </c>
      <c r="K408" s="38" t="n">
        <f aca="false">Sens!$K$383</f>
        <v>211.43758108958</v>
      </c>
      <c r="L408" s="38" t="n">
        <f aca="false">Sens!$L$383</f>
        <v>228.352587576746</v>
      </c>
      <c r="M408" s="38" t="n">
        <f aca="false">Sens!$M$383</f>
        <v>246.620794582886</v>
      </c>
      <c r="N408" s="38" t="n">
        <f aca="false">Sens!$N$383</f>
        <v>57.0936804689721</v>
      </c>
      <c r="O408" s="38" t="n">
        <f aca="false">Sens!$O$383</f>
        <v>62.9275494423768</v>
      </c>
    </row>
    <row r="409" customFormat="false" ht="15" hidden="false" customHeight="false" outlineLevel="0" collapsed="false">
      <c r="A409" s="3" t="s">
        <v>514</v>
      </c>
      <c r="B409" s="8" t="s">
        <v>86</v>
      </c>
      <c r="C409" s="38" t="n">
        <f aca="false">Sens!$C$385</f>
        <v>637.959</v>
      </c>
      <c r="D409" s="38" t="n">
        <f aca="false">Sens!$D$385</f>
        <v>716.924</v>
      </c>
      <c r="E409" s="38" t="n">
        <f aca="false">Sens!$E$385</f>
        <v>382.125</v>
      </c>
      <c r="F409" s="38" t="n">
        <f aca="false">Sens!$F$385</f>
        <v>435.780975084504</v>
      </c>
      <c r="G409" s="38" t="n">
        <f aca="false">Sens!$G$385</f>
        <v>817.905975084504</v>
      </c>
      <c r="H409" s="38" t="n">
        <f aca="false">Sens!$H$385</f>
        <v>936.451117289489</v>
      </c>
      <c r="I409" s="38" t="n">
        <f aca="false">Sens!$I$385</f>
        <v>1056.09967847556</v>
      </c>
      <c r="J409" s="38" t="n">
        <f aca="false">Sens!$J$385</f>
        <v>1170.29459468908</v>
      </c>
      <c r="K409" s="38" t="n">
        <f aca="false">Sens!$K$385</f>
        <v>1270.55314428963</v>
      </c>
      <c r="L409" s="38" t="n">
        <f aca="false">Sens!$L$385</f>
        <v>1365.82000708638</v>
      </c>
      <c r="M409" s="38" t="n">
        <f aca="false">Sens!$M$385</f>
        <v>1456.46046692954</v>
      </c>
      <c r="N409" s="38" t="n">
        <f aca="false">Sens!$N$385</f>
        <v>323.369</v>
      </c>
      <c r="O409" s="38" t="n">
        <f aca="false">Sens!$O$385</f>
        <v>393.555</v>
      </c>
    </row>
    <row r="410" customFormat="false" ht="17.15" hidden="false" customHeight="false" outlineLevel="0" collapsed="false">
      <c r="A410" s="24" t="s">
        <v>697</v>
      </c>
      <c r="B410" s="25" t="s">
        <v>86</v>
      </c>
      <c r="C410" s="41" t="n">
        <f aca="false">Sens!$C$397+Sens!$C$398+Sens!$C$399+Sens!$C$400+Sens!$C$401+Sens!$C$402-(Sens!$C$404+Sens!$C$405)</f>
        <v>0</v>
      </c>
      <c r="D410" s="41" t="n">
        <f aca="false">Sens!$D$397+Sens!$D$398+Sens!$D$399+Sens!$D$400+Sens!$D$401+Sens!$D$402-(Sens!$D$404+Sens!$D$405)</f>
        <v>0</v>
      </c>
      <c r="E410" s="41" t="n">
        <f aca="false">Sens!$E$397+Sens!$E$398+Sens!$E$399+Sens!$E$400+Sens!$E$401+Sens!$E$402-(Sens!$E$404+Sens!$E$405)</f>
        <v>0</v>
      </c>
      <c r="F410" s="41" t="n">
        <f aca="false">Sens!$F$397+Sens!$F$398+Sens!$F$399+Sens!$F$400+Sens!$F$401+Sens!$F$402-(Sens!$F$404+Sens!$F$405)</f>
        <v>0</v>
      </c>
      <c r="G410" s="41" t="n">
        <f aca="false">Sens!$G$397+Sens!$G$398+Sens!$G$399+Sens!$G$400+Sens!$G$401+Sens!$G$402-(Sens!$G$404+Sens!$G$405)</f>
        <v>0</v>
      </c>
      <c r="H410" s="41" t="n">
        <f aca="false">Sens!$H$397+Sens!$H$398+Sens!$H$399+Sens!$H$400+Sens!$H$401+Sens!$H$402-(Sens!$H$404+Sens!$H$405)</f>
        <v>0</v>
      </c>
      <c r="I410" s="41" t="n">
        <f aca="false">Sens!$I$397+Sens!$I$398+Sens!$I$399+Sens!$I$400+Sens!$I$401+Sens!$I$402-(Sens!$I$404+Sens!$I$405)</f>
        <v>0</v>
      </c>
      <c r="J410" s="41" t="n">
        <f aca="false">Sens!$J$397+Sens!$J$398+Sens!$J$399+Sens!$J$400+Sens!$J$401+Sens!$J$402-(Sens!$J$404+Sens!$J$405)</f>
        <v>0</v>
      </c>
      <c r="K410" s="41" t="n">
        <f aca="false">Sens!$K$397+Sens!$K$398+Sens!$K$399+Sens!$K$400+Sens!$K$401+Sens!$K$402-(Sens!$K$404+Sens!$K$405)</f>
        <v>0</v>
      </c>
      <c r="L410" s="41" t="n">
        <f aca="false">Sens!$L$397+Sens!$L$398+Sens!$L$399+Sens!$L$400+Sens!$L$401+Sens!$L$402-(Sens!$L$404+Sens!$L$405)</f>
        <v>0</v>
      </c>
      <c r="M410" s="41" t="n">
        <f aca="false">Sens!$M$397+Sens!$M$398+Sens!$M$399+Sens!$M$400+Sens!$M$401+Sens!$M$402-(Sens!$M$404+Sens!$M$405)</f>
        <v>0</v>
      </c>
      <c r="N410" s="41" t="n">
        <f aca="false">Sens!$N$397+Sens!$N$398+Sens!$N$399+Sens!$N$400+Sens!$N$401+Sens!$N$402-(Sens!$N$404+Sens!$N$405)</f>
        <v>0</v>
      </c>
      <c r="O410" s="41" t="n">
        <f aca="false">Sens!$O$397+Sens!$O$398+Sens!$O$399+Sens!$O$400+Sens!$O$401+Sens!$O$402-(Sens!$O$404+Sens!$O$405)</f>
        <v>0</v>
      </c>
    </row>
    <row r="411" customFormat="false" ht="17.15" hidden="false" customHeight="false" outlineLevel="0" collapsed="false">
      <c r="A411" s="24" t="s">
        <v>698</v>
      </c>
      <c r="B411" s="25" t="s">
        <v>86</v>
      </c>
      <c r="C411" s="41" t="n">
        <f aca="false">Sens!$C$407+Sens!$C$408-Sens!$C$406</f>
        <v>0</v>
      </c>
      <c r="D411" s="41" t="n">
        <f aca="false">Sens!$D$407+Sens!$D$408-Sens!$D$406</f>
        <v>0</v>
      </c>
      <c r="E411" s="41" t="n">
        <f aca="false">Sens!$E$407+Sens!$E$408-Sens!$E$406</f>
        <v>0</v>
      </c>
      <c r="F411" s="41" t="n">
        <f aca="false">Sens!$F$407+Sens!$F$408-Sens!$F$406</f>
        <v>0</v>
      </c>
      <c r="G411" s="41" t="n">
        <f aca="false">Sens!$G$407+Sens!$G$408-Sens!$G$406</f>
        <v>0</v>
      </c>
      <c r="H411" s="41" t="n">
        <f aca="false">Sens!$H$407+Sens!$H$408-Sens!$H$406</f>
        <v>0</v>
      </c>
      <c r="I411" s="41" t="n">
        <f aca="false">Sens!$I$407+Sens!$I$408-Sens!$I$406</f>
        <v>0</v>
      </c>
      <c r="J411" s="41" t="n">
        <f aca="false">Sens!$J$407+Sens!$J$408-Sens!$J$406</f>
        <v>0</v>
      </c>
      <c r="K411" s="41" t="n">
        <f aca="false">Sens!$K$407+Sens!$K$408-Sens!$K$406</f>
        <v>0</v>
      </c>
      <c r="L411" s="41" t="n">
        <f aca="false">Sens!$L$407+Sens!$L$408-Sens!$L$406</f>
        <v>0</v>
      </c>
      <c r="M411" s="41" t="n">
        <f aca="false">Sens!$M$407+Sens!$M$408-Sens!$M$406</f>
        <v>0</v>
      </c>
      <c r="N411" s="41" t="n">
        <f aca="false">Sens!$N$407+Sens!$N$408-Sens!$N$406</f>
        <v>0</v>
      </c>
      <c r="O411" s="41" t="n">
        <f aca="false">Sens!$O$407+Sens!$O$408-Sens!$O$406</f>
        <v>0</v>
      </c>
    </row>
    <row r="412" customFormat="false" ht="17.15" hidden="false" customHeight="false" outlineLevel="0" collapsed="false">
      <c r="A412" s="24" t="s">
        <v>757</v>
      </c>
      <c r="B412" s="25" t="s">
        <v>86</v>
      </c>
      <c r="C412" s="41" t="n">
        <f aca="false">Sens!$C$397+Sens!$C$398+Sens!$C$399+Sens!$C$400+Sens!$C$401+Sens!$C$402+Sens!$C$403-Sens!$C$409</f>
        <v>0</v>
      </c>
      <c r="D412" s="41" t="n">
        <f aca="false">Sens!$D$397+Sens!$D$398+Sens!$D$399+Sens!$D$400+Sens!$D$401+Sens!$D$402+Sens!$D$403-Sens!$D$409</f>
        <v>0</v>
      </c>
      <c r="E412" s="41" t="n">
        <f aca="false">Sens!$E$397+Sens!$E$398+Sens!$E$399+Sens!$E$400+Sens!$E$401+Sens!$E$402+Sens!$E$403-Sens!$E$409</f>
        <v>0</v>
      </c>
      <c r="F412" s="41" t="n">
        <f aca="false">Sens!$F$397+Sens!$F$398+Sens!$F$399+Sens!$F$400+Sens!$F$401+Sens!$F$402+Sens!$F$403-Sens!$F$409</f>
        <v>0</v>
      </c>
      <c r="G412" s="41" t="n">
        <f aca="false">Sens!$G$397+Sens!$G$398+Sens!$G$399+Sens!$G$400+Sens!$G$401+Sens!$G$402+Sens!$G$403-Sens!$G$409</f>
        <v>0</v>
      </c>
      <c r="H412" s="41" t="n">
        <f aca="false">Sens!$H$397+Sens!$H$398+Sens!$H$399+Sens!$H$400+Sens!$H$401+Sens!$H$402+Sens!$H$403-Sens!$H$409</f>
        <v>0</v>
      </c>
      <c r="I412" s="41" t="n">
        <f aca="false">Sens!$I$397+Sens!$I$398+Sens!$I$399+Sens!$I$400+Sens!$I$401+Sens!$I$402+Sens!$I$403-Sens!$I$409</f>
        <v>0</v>
      </c>
      <c r="J412" s="41" t="n">
        <f aca="false">Sens!$J$397+Sens!$J$398+Sens!$J$399+Sens!$J$400+Sens!$J$401+Sens!$J$402+Sens!$J$403-Sens!$J$409</f>
        <v>0</v>
      </c>
      <c r="K412" s="41" t="n">
        <f aca="false">Sens!$K$397+Sens!$K$398+Sens!$K$399+Sens!$K$400+Sens!$K$401+Sens!$K$402+Sens!$K$403-Sens!$K$409</f>
        <v>0</v>
      </c>
      <c r="L412" s="41" t="n">
        <f aca="false">Sens!$L$397+Sens!$L$398+Sens!$L$399+Sens!$L$400+Sens!$L$401+Sens!$L$402+Sens!$L$403-Sens!$L$409</f>
        <v>0</v>
      </c>
      <c r="M412" s="41" t="n">
        <f aca="false">Sens!$M$397+Sens!$M$398+Sens!$M$399+Sens!$M$400+Sens!$M$401+Sens!$M$402+Sens!$M$403-Sens!$M$409</f>
        <v>0</v>
      </c>
      <c r="N412" s="41" t="n">
        <f aca="false">Sens!$N$397+Sens!$N$398+Sens!$N$399+Sens!$N$400+Sens!$N$401+Sens!$N$402+Sens!$N$403-Sens!$N$409</f>
        <v>0</v>
      </c>
      <c r="O412" s="41" t="n">
        <f aca="false">Sens!$O$397+Sens!$O$398+Sens!$O$399+Sens!$O$400+Sens!$O$401+Sens!$O$402+Sens!$O$403-Sens!$O$409</f>
        <v>0</v>
      </c>
    </row>
    <row r="413" customFormat="false" ht="17.15" hidden="false" customHeight="false" outlineLevel="0" collapsed="false">
      <c r="A413" s="24" t="s">
        <v>699</v>
      </c>
      <c r="B413" s="25" t="s">
        <v>86</v>
      </c>
      <c r="C413" s="41" t="n">
        <f aca="false">Sens!$C$404+Sens!$C$405+Sens!$C$406-Sens!$C$409</f>
        <v>0</v>
      </c>
      <c r="D413" s="41" t="n">
        <f aca="false">Sens!$D$404+Sens!$D$405+Sens!$D$406-Sens!$D$409</f>
        <v>0</v>
      </c>
      <c r="E413" s="41" t="n">
        <f aca="false">Sens!$E$404+Sens!$E$405+Sens!$E$406-Sens!$E$409</f>
        <v>0</v>
      </c>
      <c r="F413" s="41" t="n">
        <f aca="false">Sens!$F$404+Sens!$F$405+Sens!$F$406-Sens!$F$409</f>
        <v>0</v>
      </c>
      <c r="G413" s="41" t="n">
        <f aca="false">Sens!$G$404+Sens!$G$405+Sens!$G$406-Sens!$G$409</f>
        <v>0</v>
      </c>
      <c r="H413" s="41" t="n">
        <f aca="false">Sens!$H$404+Sens!$H$405+Sens!$H$406-Sens!$H$409</f>
        <v>0</v>
      </c>
      <c r="I413" s="41" t="n">
        <f aca="false">Sens!$I$404+Sens!$I$405+Sens!$I$406-Sens!$I$409</f>
        <v>0</v>
      </c>
      <c r="J413" s="41" t="n">
        <f aca="false">Sens!$J$404+Sens!$J$405+Sens!$J$406-Sens!$J$409</f>
        <v>0</v>
      </c>
      <c r="K413" s="41" t="n">
        <f aca="false">Sens!$K$404+Sens!$K$405+Sens!$K$406-Sens!$K$409</f>
        <v>0</v>
      </c>
      <c r="L413" s="41" t="n">
        <f aca="false">Sens!$L$404+Sens!$L$405+Sens!$L$406-Sens!$L$409</f>
        <v>0</v>
      </c>
      <c r="M413" s="41" t="n">
        <f aca="false">Sens!$M$404+Sens!$M$405+Sens!$M$406-Sens!$M$409</f>
        <v>0</v>
      </c>
      <c r="N413" s="41" t="n">
        <f aca="false">Sens!$N$404+Sens!$N$405+Sens!$N$406-Sens!$N$409</f>
        <v>0</v>
      </c>
      <c r="O413" s="41" t="n">
        <f aca="false">Sens!$O$404+Sens!$O$405+Sens!$O$406-Sens!$O$409</f>
        <v>0</v>
      </c>
    </row>
    <row r="414" customFormat="false" ht="17.15" hidden="false" customHeight="false" outlineLevel="0" collapsed="false">
      <c r="A414" s="1" t="s">
        <v>713</v>
      </c>
    </row>
    <row r="415" customFormat="false" ht="17.15" hidden="false" customHeight="false" outlineLevel="0" collapsed="false">
      <c r="A415" s="0" t="s">
        <v>714</v>
      </c>
      <c r="B415" s="0" t="s">
        <v>86</v>
      </c>
      <c r="C415" s="38" t="n">
        <f aca="false">Sens!$C$321*m_ad</f>
        <v>20.5341564414228</v>
      </c>
      <c r="D415" s="38" t="n">
        <f aca="false">Sens!$D$321*m_ad</f>
        <v>24.8720617299587</v>
      </c>
      <c r="E415" s="38" t="n">
        <f aca="false">Sens!$E$321*m_ad</f>
        <v>13.5017112462207</v>
      </c>
      <c r="F415" s="38" t="n">
        <f aca="false">Sens!$F$321*m_ad</f>
        <v>16.6111896888364</v>
      </c>
      <c r="G415" s="38" t="n">
        <f aca="false">Sens!$G$321*m_ad</f>
        <v>30.1213184176961</v>
      </c>
      <c r="H415" s="38" t="n">
        <f aca="false">Sens!$H$321*m_ad</f>
        <v>36.1621817398522</v>
      </c>
      <c r="I415" s="38" t="n">
        <f aca="false">Sens!$I$321*m_ad</f>
        <v>42.2024978393475</v>
      </c>
      <c r="J415" s="38" t="n">
        <f aca="false">Sens!$J$321*m_ad</f>
        <v>47.8372500473847</v>
      </c>
      <c r="K415" s="38" t="n">
        <f aca="false">Sens!$K$321*m_ad</f>
        <v>52.6209750521231</v>
      </c>
      <c r="L415" s="38" t="n">
        <f aca="false">Sens!$L$321*m_ad</f>
        <v>57.8830725573355</v>
      </c>
      <c r="M415" s="38" t="n">
        <f aca="false">Sens!$M$321*m_ad</f>
        <v>63.671379813069</v>
      </c>
      <c r="N415" s="38" t="n">
        <f aca="false">Sens!$N$321*m_ad</f>
        <v>10.8543555706248</v>
      </c>
      <c r="O415" s="38" t="n">
        <f aca="false">Sens!$O$321*m_ad</f>
        <v>14.0094731821399</v>
      </c>
    </row>
    <row r="416" customFormat="false" ht="17.15" hidden="false" customHeight="false" outlineLevel="0" collapsed="false">
      <c r="A416" s="0" t="s">
        <v>715</v>
      </c>
      <c r="B416" s="0" t="s">
        <v>86</v>
      </c>
      <c r="C416" s="38" t="n">
        <f aca="false">Sens!$C$319-Sens!$C$321</f>
        <v>346.428687117154</v>
      </c>
      <c r="D416" s="38" t="n">
        <f aca="false">Sens!$D$319-Sens!$D$321</f>
        <v>376.560876540083</v>
      </c>
      <c r="E416" s="38" t="n">
        <f aca="false">Sens!$E$319-Sens!$E$321</f>
        <v>193.316577507559</v>
      </c>
      <c r="F416" s="38" t="n">
        <f aca="false">Sens!$F$319-Sens!$F$321</f>
        <v>218.010528583314</v>
      </c>
      <c r="G416" s="38" t="n">
        <f aca="false">Sens!$G$319-Sens!$G$321</f>
        <v>411.310271125595</v>
      </c>
      <c r="H416" s="38" t="n">
        <f aca="false">Sens!$H$319-Sens!$H$321</f>
        <v>449.719559398126</v>
      </c>
      <c r="I416" s="38" t="n">
        <f aca="false">Sens!$I$319-Sens!$I$321</f>
        <v>486.457498704539</v>
      </c>
      <c r="J416" s="38" t="n">
        <f aca="false">Sens!$J$319-Sens!$J$321</f>
        <v>520.492821872474</v>
      </c>
      <c r="K416" s="38" t="n">
        <f aca="false">Sens!$K$319-Sens!$K$321</f>
        <v>550.792521408635</v>
      </c>
      <c r="L416" s="38" t="n">
        <f aca="false">Sens!$L$319-Sens!$L$321</f>
        <v>582.921728009836</v>
      </c>
      <c r="M416" s="38" t="n">
        <f aca="false">Sens!$M$319-Sens!$M$321</f>
        <v>616.994391615424</v>
      </c>
      <c r="N416" s="38" t="n">
        <f aca="false">Sens!$N$319-Sens!$N$321</f>
        <v>171.24628885875</v>
      </c>
      <c r="O416" s="38" t="n">
        <f aca="false">Sens!$O$319-Sens!$O$321</f>
        <v>205.33105363572</v>
      </c>
    </row>
    <row r="417" customFormat="false" ht="17.15" hidden="false" customHeight="false" outlineLevel="0" collapsed="false">
      <c r="A417" s="0" t="s">
        <v>716</v>
      </c>
      <c r="B417" s="0" t="s">
        <v>86</v>
      </c>
      <c r="C417" s="38" t="n">
        <f aca="false">Sens!$C$368*Sens!$C$318</f>
        <v>0.123617442257179</v>
      </c>
      <c r="D417" s="38" t="n">
        <f aca="false">Sens!$D$368*Sens!$D$318</f>
        <v>0.874366899302609</v>
      </c>
      <c r="E417" s="38" t="n">
        <f aca="false">Sens!$E$368*Sens!$E$318</f>
        <v>1.29318830502574</v>
      </c>
      <c r="F417" s="38" t="n">
        <f aca="false">Sens!$F$368*Sens!$F$318</f>
        <v>1.51802024162534</v>
      </c>
      <c r="G417" s="38" t="n">
        <f aca="false">Sens!$G$368*Sens!$G$318</f>
        <v>2.81150910610145</v>
      </c>
      <c r="H417" s="38" t="n">
        <f aca="false">Sens!$H$368*Sens!$H$318</f>
        <v>7.39021256446164</v>
      </c>
      <c r="I417" s="38" t="n">
        <f aca="false">Sens!$I$368*Sens!$I$318</f>
        <v>12.8996950956929</v>
      </c>
      <c r="J417" s="38" t="n">
        <f aca="false">Sens!$J$368*Sens!$J$318</f>
        <v>18.558370328933</v>
      </c>
      <c r="K417" s="38" t="n">
        <f aca="false">Sens!$K$368*Sens!$K$318</f>
        <v>24.0964647150556</v>
      </c>
      <c r="L417" s="38" t="n">
        <f aca="false">Sens!$L$368*Sens!$L$318</f>
        <v>27.686381993129</v>
      </c>
      <c r="M417" s="38" t="n">
        <f aca="false">Sens!$M$368*Sens!$M$318</f>
        <v>29.7236052209741</v>
      </c>
      <c r="N417" s="38" t="n">
        <f aca="false">Sens!$N$368*Sens!$N$318</f>
        <v>0.389180508437431</v>
      </c>
      <c r="O417" s="38" t="n">
        <f aca="false">Sens!$O$368*Sens!$O$318</f>
        <v>0.485052120082802</v>
      </c>
    </row>
    <row r="418" customFormat="false" ht="17.15" hidden="false" customHeight="false" outlineLevel="0" collapsed="false">
      <c r="A418" s="0" t="s">
        <v>717</v>
      </c>
      <c r="B418" s="0" t="s">
        <v>52</v>
      </c>
      <c r="C418" s="28" t="n">
        <f aca="false">(Sens!$C$419-Sens!$C$415+Sens!$C$417)/Sens!$C$416</f>
        <v>0.0131526665379575</v>
      </c>
      <c r="D418" s="28" t="n">
        <f aca="false">(Sens!$D$419-Sens!$D$415+Sens!$D$417)/Sens!$D$416</f>
        <v>0.0149280116962589</v>
      </c>
      <c r="E418" s="28" t="n">
        <f aca="false">(Sens!$E$419-Sens!$E$415+Sens!$E$417)/Sens!$E$416</f>
        <v>0.0268030663774938</v>
      </c>
      <c r="F418" s="28" t="n">
        <f aca="false">Sens!$O$418+(Sens!$E$418-Sens!$N$418)</f>
        <v>0.0232379346966962</v>
      </c>
      <c r="G418" s="28" t="n">
        <f aca="false">(Sens!$G$419-Sens!$G$415+Sens!$G$417)/Sens!$G$416</f>
        <v>0.0248947699117902</v>
      </c>
      <c r="H418" s="28" t="n">
        <f aca="false">Sens!$G$418+step_na</f>
        <v>0.0278947699117902</v>
      </c>
      <c r="I418" s="28" t="n">
        <f aca="false">Sens!$H$418+step_na</f>
        <v>0.0308947699117902</v>
      </c>
      <c r="J418" s="28" t="n">
        <f aca="false">Sens!$I$418+step_na</f>
        <v>0.0338947699117902</v>
      </c>
      <c r="K418" s="28" t="n">
        <f aca="false">Sens!$J$418+step_na</f>
        <v>0.0368947699117902</v>
      </c>
      <c r="L418" s="28" t="n">
        <f aca="false">Sens!$K$418</f>
        <v>0.0368947699117902</v>
      </c>
      <c r="M418" s="28" t="n">
        <f aca="false">Sens!$L$418</f>
        <v>0.0368947699117902</v>
      </c>
      <c r="N418" s="28" t="n">
        <f aca="false">(Sens!$N$419-Sens!$N$415+Sens!$N$417)/Sens!$N$416</f>
        <v>0.0168927744775755</v>
      </c>
      <c r="O418" s="28" t="n">
        <f aca="false">(Sens!$O$419-Sens!$O$415+Sens!$O$417)/Sens!$O$416</f>
        <v>0.0133276427967779</v>
      </c>
      <c r="P418" s="8" t="s">
        <v>718</v>
      </c>
    </row>
    <row r="419" customFormat="false" ht="17.15" hidden="false" customHeight="false" outlineLevel="0" collapsed="false">
      <c r="A419" s="1" t="s">
        <v>719</v>
      </c>
      <c r="B419" s="8" t="s">
        <v>86</v>
      </c>
      <c r="C419" s="38" t="n">
        <f aca="false">Q!$D$22</f>
        <v>24.967</v>
      </c>
      <c r="D419" s="38" t="n">
        <f aca="false">Q!$E$22</f>
        <v>29.619</v>
      </c>
      <c r="E419" s="38" t="n">
        <f aca="false">Q!$P$22</f>
        <v>17.39</v>
      </c>
      <c r="F419" s="38" t="n">
        <f aca="false">Sens!$F$415+Sens!$F$416*Sens!$F$418-Sens!$F$417</f>
        <v>20.1592838736223</v>
      </c>
      <c r="G419" s="38" t="n">
        <f aca="false">Sens!$E$419+Sens!$F$419</f>
        <v>37.5492838736223</v>
      </c>
      <c r="H419" s="38" t="n">
        <f aca="false">Sens!$H$415+Sens!$H$416*Sens!$H$418-Sens!$H$417</f>
        <v>41.3167928096329</v>
      </c>
      <c r="I419" s="38" t="n">
        <f aca="false">Sens!$I$415+Sens!$I$416*Sens!$I$418-Sens!$I$417</f>
        <v>44.3317952379963</v>
      </c>
      <c r="J419" s="38" t="n">
        <f aca="false">Sens!$J$415+Sens!$J$416*Sens!$J$418-Sens!$J$417</f>
        <v>46.9208641565576</v>
      </c>
      <c r="K419" s="38" t="n">
        <f aca="false">Sens!$K$415+Sens!$K$416*Sens!$K$418-Sens!$K$417</f>
        <v>48.8458736835738</v>
      </c>
      <c r="L419" s="38" t="n">
        <f aca="false">Sens!$L$415+Sens!$L$416*Sens!$L$418-Sens!$L$417</f>
        <v>51.7034535957125</v>
      </c>
      <c r="M419" s="38" t="n">
        <f aca="false">Sens!$M$415+Sens!$M$416*Sens!$M$418-Sens!$M$417</f>
        <v>56.711640707611</v>
      </c>
      <c r="N419" s="38" t="n">
        <f aca="false">Q!$N$22</f>
        <v>13.358</v>
      </c>
      <c r="O419" s="38" t="n">
        <f aca="false">Q!$O$22</f>
        <v>16.261</v>
      </c>
    </row>
    <row r="420" customFormat="false" ht="17.15" hidden="false" customHeight="false" outlineLevel="0" collapsed="false">
      <c r="A420" s="0" t="s">
        <v>720</v>
      </c>
      <c r="B420" s="0" t="s">
        <v>86</v>
      </c>
      <c r="C420" s="38" t="n">
        <f aca="false">Sens!$C$322*m_ad</f>
        <v>7.57284355857716</v>
      </c>
      <c r="D420" s="38" t="n">
        <f aca="false">Sens!$D$322*m_ad</f>
        <v>9.44543827004127</v>
      </c>
      <c r="E420" s="38" t="n">
        <f aca="false">Sens!$E$322*m_ad</f>
        <v>5.02428875377928</v>
      </c>
      <c r="F420" s="38" t="n">
        <f aca="false">Sens!$F$322*m_ad</f>
        <v>6.52203642293204</v>
      </c>
      <c r="G420" s="38" t="n">
        <f aca="false">Sens!$G$322*m_ad</f>
        <v>11.5379076940724</v>
      </c>
      <c r="H420" s="38" t="n">
        <f aca="false">Sens!$H$322*m_ad</f>
        <v>13.8518476895607</v>
      </c>
      <c r="I420" s="38" t="n">
        <f aca="false">Sens!$I$322*m_ad</f>
        <v>16.1655780725592</v>
      </c>
      <c r="J420" s="38" t="n">
        <f aca="false">Sens!$J$322*m_ad</f>
        <v>18.3239580595756</v>
      </c>
      <c r="K420" s="38" t="n">
        <f aca="false">Sens!$K$322*m_ad</f>
        <v>20.1563538655332</v>
      </c>
      <c r="L420" s="38" t="n">
        <f aca="false">Sens!$L$322*m_ad</f>
        <v>22.1719892520865</v>
      </c>
      <c r="M420" s="38" t="n">
        <f aca="false">Sens!$M$322*m_ad</f>
        <v>24.3891881772951</v>
      </c>
      <c r="N420" s="38" t="n">
        <f aca="false">Sens!$N$322*m_ad</f>
        <v>3.95314442937518</v>
      </c>
      <c r="O420" s="38" t="n">
        <f aca="false">Sens!$O$322*m_ad</f>
        <v>5.50052681786011</v>
      </c>
    </row>
    <row r="421" customFormat="false" ht="17.15" hidden="false" customHeight="false" outlineLevel="0" collapsed="false">
      <c r="A421" s="0" t="s">
        <v>721</v>
      </c>
      <c r="B421" s="0" t="s">
        <v>86</v>
      </c>
      <c r="C421" s="38" t="n">
        <f aca="false">Sens!$C$320-Sens!$C$322</f>
        <v>127.760312882846</v>
      </c>
      <c r="D421" s="38" t="n">
        <f aca="false">Sens!$D$320-Sens!$D$322</f>
        <v>143.003123459917</v>
      </c>
      <c r="E421" s="38" t="n">
        <f aca="false">Sens!$E$320-Sens!$E$322</f>
        <v>71.9374224924414</v>
      </c>
      <c r="F421" s="38" t="n">
        <f aca="false">Sens!$F$320-Sens!$F$322</f>
        <v>85.5972771750728</v>
      </c>
      <c r="G421" s="38" t="n">
        <f aca="false">Sens!$G$320-Sens!$G$322</f>
        <v>157.551534632792</v>
      </c>
      <c r="H421" s="38" t="n">
        <f aca="false">Sens!$H$320-Sens!$H$322</f>
        <v>172.264131755471</v>
      </c>
      <c r="I421" s="38" t="n">
        <f aca="false">Sens!$I$320-Sens!$I$322</f>
        <v>186.336522170453</v>
      </c>
      <c r="J421" s="38" t="n">
        <f aca="false">Sens!$J$320-Sens!$J$322</f>
        <v>199.373681155462</v>
      </c>
      <c r="K421" s="38" t="n">
        <f aca="false">Sens!$K$320-Sens!$K$322</f>
        <v>210.979917361941</v>
      </c>
      <c r="L421" s="38" t="n">
        <f aca="false">Sens!$L$320-Sens!$L$322</f>
        <v>223.286942403403</v>
      </c>
      <c r="M421" s="38" t="n">
        <f aca="false">Sens!$M$320-Sens!$M$322</f>
        <v>236.338404564551</v>
      </c>
      <c r="N421" s="38" t="n">
        <f aca="false">Sens!$N$320-Sens!$N$322</f>
        <v>62.3677111412496</v>
      </c>
      <c r="O421" s="38" t="n">
        <f aca="false">Sens!$O$320-Sens!$O$322</f>
        <v>80.6189463642798</v>
      </c>
    </row>
    <row r="422" customFormat="false" ht="17.15" hidden="false" customHeight="false" outlineLevel="0" collapsed="false">
      <c r="A422" s="0" t="s">
        <v>722</v>
      </c>
      <c r="B422" s="0" t="s">
        <v>86</v>
      </c>
      <c r="C422" s="38" t="n">
        <f aca="false">Sens!$C$368*(1-Sens!$C$318)</f>
        <v>0.0455891896019953</v>
      </c>
      <c r="D422" s="38" t="n">
        <f aca="false">Sens!$D$368*(1-Sens!$D$318)</f>
        <v>0.332050421167231</v>
      </c>
      <c r="E422" s="38" t="n">
        <f aca="false">Sens!$E$368*(1-Sens!$E$318)</f>
        <v>0.481224293644882</v>
      </c>
      <c r="F422" s="38" t="n">
        <f aca="false">Sens!$F$368*(1-Sens!$F$318)</f>
        <v>0.596018918096053</v>
      </c>
      <c r="G422" s="38" t="n">
        <f aca="false">Sens!$G$368*(1-Sens!$G$318)</f>
        <v>1.07694265229057</v>
      </c>
      <c r="H422" s="38" t="n">
        <f aca="false">Sens!$H$368*(1-Sens!$H$318)</f>
        <v>2.83080538593684</v>
      </c>
      <c r="I422" s="38" t="n">
        <f aca="false">Sens!$I$368*(1-Sens!$I$318)</f>
        <v>4.94120108661457</v>
      </c>
      <c r="J422" s="38" t="n">
        <f aca="false">Sens!$J$368*(1-Sens!$J$318)</f>
        <v>7.10874473814016</v>
      </c>
      <c r="K422" s="38" t="n">
        <f aca="false">Sens!$K$368*(1-Sens!$K$318)</f>
        <v>9.23010014968163</v>
      </c>
      <c r="L422" s="38" t="n">
        <f aca="false">Sens!$L$368*(1-Sens!$L$318)</f>
        <v>10.6052104157526</v>
      </c>
      <c r="M422" s="38" t="n">
        <f aca="false">Sens!$M$368*(1-Sens!$M$318)</f>
        <v>11.385564490204</v>
      </c>
      <c r="N422" s="38" t="n">
        <f aca="false">Sens!$N$368*(1-Sens!$N$318)</f>
        <v>0.141739115596548</v>
      </c>
      <c r="O422" s="38" t="n">
        <f aca="false">Sens!$O$368*(1-Sens!$O$318)</f>
        <v>0.190445576353059</v>
      </c>
    </row>
    <row r="423" customFormat="false" ht="17.15" hidden="false" customHeight="false" outlineLevel="0" collapsed="false">
      <c r="A423" s="0" t="s">
        <v>723</v>
      </c>
      <c r="B423" s="0" t="s">
        <v>52</v>
      </c>
      <c r="C423" s="28" t="n">
        <f aca="false">(Sens!$C$424-Sens!$C$420+Sens!$C$422)/Sens!$C$421</f>
        <v>-0.0292364215826579</v>
      </c>
      <c r="D423" s="28" t="n">
        <f aca="false">(Sens!$D$424-Sens!$D$420+Sens!$D$422)/Sens!$D$421</f>
        <v>-0.0305125352740778</v>
      </c>
      <c r="E423" s="28" t="n">
        <f aca="false">(Sens!$E$424-Sens!$E$420+Sens!$E$422)/Sens!$E$421</f>
        <v>-0.019490056934994</v>
      </c>
      <c r="F423" s="28" t="n">
        <f aca="false">Sens!$O$423+(Sens!$E$423-Sens!$N$423)</f>
        <v>-0.0367332293992226</v>
      </c>
      <c r="G423" s="28" t="n">
        <f aca="false">(Sens!$G$424-Sens!$G$420+Sens!$G$422)/Sens!$G$421</f>
        <v>-0.0288046191739351</v>
      </c>
      <c r="H423" s="28" t="n">
        <f aca="false">Sens!$G$423+step_in</f>
        <v>-0.0288046191739351</v>
      </c>
      <c r="I423" s="28" t="n">
        <f aca="false">Sens!$H$423+step_in</f>
        <v>-0.0288046191739351</v>
      </c>
      <c r="J423" s="28" t="n">
        <f aca="false">Sens!$I$423+step_in</f>
        <v>-0.0288046191739351</v>
      </c>
      <c r="K423" s="28" t="n">
        <f aca="false">Sens!$J$423+step_in</f>
        <v>-0.0288046191739351</v>
      </c>
      <c r="L423" s="28" t="n">
        <f aca="false">Sens!$K$423</f>
        <v>-0.0288046191739351</v>
      </c>
      <c r="M423" s="28" t="n">
        <f aca="false">Sens!$L$423</f>
        <v>-0.0288046191739351</v>
      </c>
      <c r="N423" s="28" t="n">
        <f aca="false">(Sens!$N$424-Sens!$N$420+Sens!$N$422)/Sens!$N$421</f>
        <v>-0.02085061789158</v>
      </c>
      <c r="O423" s="28" t="n">
        <f aca="false">(Sens!$O$424-Sens!$O$420+Sens!$O$422)/Sens!$O$421</f>
        <v>-0.0380937903558086</v>
      </c>
      <c r="P423" s="8" t="s">
        <v>718</v>
      </c>
    </row>
    <row r="424" customFormat="false" ht="17.15" hidden="false" customHeight="false" outlineLevel="0" collapsed="false">
      <c r="A424" s="1" t="s">
        <v>724</v>
      </c>
      <c r="B424" s="8" t="s">
        <v>86</v>
      </c>
      <c r="C424" s="38" t="n">
        <f aca="false">Q!$D$23</f>
        <v>3.792</v>
      </c>
      <c r="D424" s="38" t="n">
        <f aca="false">Q!$E$23</f>
        <v>4.75</v>
      </c>
      <c r="E424" s="38" t="n">
        <f aca="false">Q!$P$23</f>
        <v>3.141</v>
      </c>
      <c r="F424" s="38" t="n">
        <f aca="false">Sens!$F$420+Sens!$F$421*Sens!$F$423-Sens!$F$422</f>
        <v>2.7817530864152</v>
      </c>
      <c r="G424" s="38" t="n">
        <f aca="false">Sens!$E$424+Sens!$F$424</f>
        <v>5.9227530864152</v>
      </c>
      <c r="H424" s="38" t="n">
        <f aca="false">Sens!$H$420+Sens!$H$421*Sens!$H$423-Sens!$H$422</f>
        <v>6.05903959107893</v>
      </c>
      <c r="I424" s="38" t="n">
        <f aca="false">Sens!$I$420+Sens!$I$421*Sens!$I$423-Sens!$I$422</f>
        <v>5.85702442662921</v>
      </c>
      <c r="J424" s="38" t="n">
        <f aca="false">Sens!$J$420+Sens!$J$421*Sens!$J$423-Sens!$J$422</f>
        <v>5.47233036244681</v>
      </c>
      <c r="K424" s="38" t="n">
        <f aca="false">Sens!$K$420+Sens!$K$421*Sens!$K$423-Sens!$K$422</f>
        <v>4.84905754289254</v>
      </c>
      <c r="L424" s="38" t="n">
        <f aca="false">Sens!$L$420+Sens!$L$421*Sens!$L$423-Sens!$L$422</f>
        <v>5.13508349389151</v>
      </c>
      <c r="M424" s="38" t="n">
        <f aca="false">Sens!$M$420+Sens!$M$421*Sens!$M$423-Sens!$M$422</f>
        <v>6.19598594743386</v>
      </c>
      <c r="N424" s="38" t="n">
        <f aca="false">Q!$N$23</f>
        <v>2.511</v>
      </c>
      <c r="O424" s="38" t="n">
        <f aca="false">Q!$O$23</f>
        <v>2.239</v>
      </c>
    </row>
    <row r="425" customFormat="false" ht="17.15" hidden="false" customHeight="false" outlineLevel="0" collapsed="false">
      <c r="A425" s="0" t="s">
        <v>725</v>
      </c>
      <c r="B425" s="0" t="s">
        <v>86</v>
      </c>
      <c r="C425" s="38" t="n">
        <f aca="false">Sens!$C$365</f>
        <v>1.64417882953695</v>
      </c>
      <c r="D425" s="38" t="n">
        <f aca="false">Sens!$D$365</f>
        <v>3.8781008067718</v>
      </c>
      <c r="E425" s="38" t="n">
        <f aca="false">Sens!$E$365</f>
        <v>1.41270258088753</v>
      </c>
      <c r="F425" s="38" t="n">
        <f aca="false">Sens!$F$365</f>
        <v>5.68126066944818</v>
      </c>
      <c r="G425" s="38" t="n">
        <f aca="false">Sens!$G$365</f>
        <v>7.09396325033571</v>
      </c>
      <c r="H425" s="38" t="n">
        <f aca="false">Sens!$H$365</f>
        <v>12.5382183962694</v>
      </c>
      <c r="I425" s="38" t="n">
        <f aca="false">Sens!$I$365</f>
        <v>16.4361615260712</v>
      </c>
      <c r="J425" s="38" t="n">
        <f aca="false">Sens!$J$365</f>
        <v>19.6616771330194</v>
      </c>
      <c r="K425" s="38" t="n">
        <f aca="false">Sens!$K$365</f>
        <v>18.4822071352082</v>
      </c>
      <c r="L425" s="38" t="n">
        <f aca="false">Sens!$L$365</f>
        <v>17.9822558420278</v>
      </c>
      <c r="M425" s="38" t="n">
        <f aca="false">Sens!$M$365</f>
        <v>15.9490613412395</v>
      </c>
      <c r="N425" s="38" t="n">
        <f aca="false">Sens!$N$365</f>
        <v>0.92264103489199</v>
      </c>
      <c r="O425" s="38" t="n">
        <f aca="false">Sens!$O$365</f>
        <v>2.95545977187981</v>
      </c>
    </row>
    <row r="426" customFormat="false" ht="17.15" hidden="false" customHeight="false" outlineLevel="0" collapsed="false">
      <c r="A426" s="0" t="s">
        <v>643</v>
      </c>
      <c r="B426" s="0" t="s">
        <v>86</v>
      </c>
      <c r="C426" s="38" t="n">
        <f aca="false">Sens!$C$370</f>
        <v>38.1898211704631</v>
      </c>
      <c r="D426" s="38" t="n">
        <f aca="false">Sens!$D$370</f>
        <v>41.7278991932282</v>
      </c>
      <c r="E426" s="38" t="n">
        <f aca="false">Sens!$E$370</f>
        <v>29.3692974191125</v>
      </c>
      <c r="F426" s="38" t="n">
        <f aca="false">Sens!$F$370</f>
        <v>26.8997276714137</v>
      </c>
      <c r="G426" s="38" t="n">
        <f aca="false">Sens!$G$370</f>
        <v>56.2690250905262</v>
      </c>
      <c r="H426" s="38" t="n">
        <f aca="false">Sens!$H$370</f>
        <v>60.3505333937343</v>
      </c>
      <c r="I426" s="38" t="n">
        <f aca="false">Sens!$I$370</f>
        <v>67.0043857303571</v>
      </c>
      <c r="J426" s="38" t="n">
        <f aca="false">Sens!$J$370</f>
        <v>73.3782922956925</v>
      </c>
      <c r="K426" s="38" t="n">
        <f aca="false">Sens!$K$370</f>
        <v>79.2485556793479</v>
      </c>
      <c r="L426" s="38" t="n">
        <f aca="false">Sens!$L$370</f>
        <v>85.5884401336958</v>
      </c>
      <c r="M426" s="38" t="n">
        <f aca="false">Sens!$M$370</f>
        <v>92.4355153443914</v>
      </c>
      <c r="N426" s="38" t="n">
        <f aca="false">Sens!$N$370</f>
        <v>20.784358965108</v>
      </c>
      <c r="O426" s="38" t="n">
        <f aca="false">Sens!$O$370</f>
        <v>20.9435402281202</v>
      </c>
    </row>
    <row r="427" customFormat="false" ht="17.15" hidden="false" customHeight="false" outlineLevel="0" collapsed="false">
      <c r="A427" s="1" t="s">
        <v>726</v>
      </c>
      <c r="B427" s="8" t="s">
        <v>86</v>
      </c>
      <c r="C427" s="38" t="n">
        <f aca="false">Q!$D$24</f>
        <v>39.834</v>
      </c>
      <c r="D427" s="38" t="n">
        <f aca="false">Q!$E$24</f>
        <v>45.606</v>
      </c>
      <c r="E427" s="38" t="n">
        <f aca="false">Q!$P$24</f>
        <v>30.782</v>
      </c>
      <c r="F427" s="38" t="n">
        <f aca="false">Sens!$F$425+Sens!$F$426</f>
        <v>32.5809883408619</v>
      </c>
      <c r="G427" s="38" t="n">
        <f aca="false">Sens!$G$425+Sens!$G$426</f>
        <v>63.3629883408619</v>
      </c>
      <c r="H427" s="38" t="n">
        <f aca="false">Sens!$H$425+Sens!$H$426</f>
        <v>72.8887517900037</v>
      </c>
      <c r="I427" s="38" t="n">
        <f aca="false">Sens!$I$425+Sens!$I$426</f>
        <v>83.4405472564282</v>
      </c>
      <c r="J427" s="38" t="n">
        <f aca="false">Sens!$J$425+Sens!$J$426</f>
        <v>93.0399694287119</v>
      </c>
      <c r="K427" s="38" t="n">
        <f aca="false">Sens!$K$425+Sens!$K$426</f>
        <v>97.7307628145561</v>
      </c>
      <c r="L427" s="38" t="n">
        <f aca="false">Sens!$L$425+Sens!$L$426</f>
        <v>103.570695975724</v>
      </c>
      <c r="M427" s="38" t="n">
        <f aca="false">Sens!$M$425+Sens!$M$426</f>
        <v>108.384576685631</v>
      </c>
      <c r="N427" s="38" t="n">
        <f aca="false">Q!$N$24</f>
        <v>21.707</v>
      </c>
      <c r="O427" s="38" t="n">
        <f aca="false">Q!$O$24</f>
        <v>23.899</v>
      </c>
    </row>
    <row r="428" customFormat="false" ht="17.15" hidden="false" customHeight="false" outlineLevel="0" collapsed="false">
      <c r="A428" s="5" t="s">
        <v>727</v>
      </c>
      <c r="B428" s="0" t="s">
        <v>86</v>
      </c>
      <c r="C428" s="38" t="n">
        <f aca="false">Q!$D$26</f>
        <v>0</v>
      </c>
      <c r="D428" s="38" t="n">
        <f aca="false">Q!$E$26</f>
        <v>0</v>
      </c>
      <c r="E428" s="38" t="n">
        <f aca="false">Q!$P$26</f>
        <v>0</v>
      </c>
      <c r="F428" s="39" t="n">
        <v>0</v>
      </c>
      <c r="G428" s="38" t="n">
        <f aca="false">Sens!$E$428+Sens!$F$428</f>
        <v>0</v>
      </c>
      <c r="H428" s="39" t="n">
        <v>0</v>
      </c>
      <c r="I428" s="39" t="n">
        <v>0</v>
      </c>
      <c r="J428" s="39" t="n">
        <v>0</v>
      </c>
      <c r="K428" s="39" t="n">
        <v>0</v>
      </c>
      <c r="L428" s="39" t="n">
        <v>0</v>
      </c>
      <c r="M428" s="39" t="n">
        <v>0</v>
      </c>
      <c r="N428" s="38" t="n">
        <f aca="false">Q!$N$26</f>
        <v>0</v>
      </c>
      <c r="O428" s="38" t="n">
        <f aca="false">Q!$O$26</f>
        <v>0</v>
      </c>
    </row>
    <row r="429" customFormat="false" ht="15" hidden="false" customHeight="false" outlineLevel="0" collapsed="false">
      <c r="A429" s="3" t="s">
        <v>531</v>
      </c>
      <c r="B429" s="8" t="s">
        <v>86</v>
      </c>
      <c r="C429" s="38" t="n">
        <f aca="false">Q!$D$25</f>
        <v>68.593</v>
      </c>
      <c r="D429" s="38" t="n">
        <f aca="false">Q!$E$25</f>
        <v>79.975</v>
      </c>
      <c r="E429" s="38" t="n">
        <f aca="false">Q!$P$25</f>
        <v>51.313</v>
      </c>
      <c r="F429" s="38" t="n">
        <f aca="false">Sens!$F$419+Sens!$F$424+Sens!$F$427+Sens!$F$428</f>
        <v>55.5220253008994</v>
      </c>
      <c r="G429" s="38" t="n">
        <f aca="false">Sens!$G$419+Sens!$G$424+Sens!$G$427+Sens!$G$428</f>
        <v>106.835025300899</v>
      </c>
      <c r="H429" s="38" t="n">
        <f aca="false">Sens!$H$419+Sens!$H$424+Sens!$H$427+Sens!$H$428</f>
        <v>120.264584190716</v>
      </c>
      <c r="I429" s="38" t="n">
        <f aca="false">Sens!$I$419+Sens!$I$424+Sens!$I$427+Sens!$I$428</f>
        <v>133.629366921054</v>
      </c>
      <c r="J429" s="38" t="n">
        <f aca="false">Sens!$J$419+Sens!$J$424+Sens!$J$427+Sens!$J$428</f>
        <v>145.433163947716</v>
      </c>
      <c r="K429" s="38" t="n">
        <f aca="false">Sens!$K$419+Sens!$K$424+Sens!$K$427+Sens!$K$428</f>
        <v>151.425694041023</v>
      </c>
      <c r="L429" s="38" t="n">
        <f aca="false">Sens!$L$419+Sens!$L$424+Sens!$L$427+Sens!$L$428</f>
        <v>160.409233065328</v>
      </c>
      <c r="M429" s="38" t="n">
        <f aca="false">Sens!$M$419+Sens!$M$424+Sens!$M$427+Sens!$M$428</f>
        <v>171.292203340676</v>
      </c>
      <c r="N429" s="38" t="n">
        <f aca="false">Q!$N$25</f>
        <v>37.576</v>
      </c>
      <c r="O429" s="38" t="n">
        <f aca="false">Q!$O$25</f>
        <v>42.399</v>
      </c>
    </row>
    <row r="430" customFormat="false" ht="17.15" hidden="false" customHeight="false" outlineLevel="0" collapsed="false">
      <c r="A430" s="24" t="s">
        <v>758</v>
      </c>
      <c r="B430" s="25" t="s">
        <v>86</v>
      </c>
      <c r="C430" s="41" t="n">
        <f aca="false">Sens!$C$419+Sens!$C$424+Sens!$C$427+Sens!$C$428-Sens!$C$429</f>
        <v>0</v>
      </c>
      <c r="D430" s="41" t="n">
        <f aca="false">Sens!$D$419+Sens!$D$424+Sens!$D$427+Sens!$D$428-Sens!$D$429</f>
        <v>0</v>
      </c>
      <c r="E430" s="41" t="n">
        <f aca="false">Sens!$E$419+Sens!$E$424+Sens!$E$427+Sens!$E$428-Sens!$E$429</f>
        <v>0</v>
      </c>
      <c r="F430" s="41" t="n">
        <f aca="false">Sens!$F$419+Sens!$F$424+Sens!$F$427+Sens!$F$428-Sens!$F$429</f>
        <v>0</v>
      </c>
      <c r="G430" s="41" t="n">
        <f aca="false">Sens!$G$419+Sens!$G$424+Sens!$G$427+Sens!$G$428-Sens!$G$429</f>
        <v>0</v>
      </c>
      <c r="H430" s="41" t="n">
        <f aca="false">Sens!$H$419+Sens!$H$424+Sens!$H$427+Sens!$H$428-Sens!$H$429</f>
        <v>0</v>
      </c>
      <c r="I430" s="41" t="n">
        <f aca="false">Sens!$I$419+Sens!$I$424+Sens!$I$427+Sens!$I$428-Sens!$I$429</f>
        <v>0</v>
      </c>
      <c r="J430" s="41" t="n">
        <f aca="false">Sens!$J$419+Sens!$J$424+Sens!$J$427+Sens!$J$428-Sens!$J$429</f>
        <v>0</v>
      </c>
      <c r="K430" s="41" t="n">
        <f aca="false">Sens!$K$419+Sens!$K$424+Sens!$K$427+Sens!$K$428-Sens!$K$429</f>
        <v>0</v>
      </c>
      <c r="L430" s="41" t="n">
        <f aca="false">Sens!$L$419+Sens!$L$424+Sens!$L$427+Sens!$L$428-Sens!$L$429</f>
        <v>0</v>
      </c>
      <c r="M430" s="41" t="n">
        <f aca="false">Sens!$M$419+Sens!$M$424+Sens!$M$427+Sens!$M$428-Sens!$M$429</f>
        <v>0</v>
      </c>
      <c r="N430" s="41" t="n">
        <f aca="false">Sens!$N$419+Sens!$N$424+Sens!$N$427+Sens!$N$428-Sens!$N$429</f>
        <v>0</v>
      </c>
      <c r="O430" s="41" t="n">
        <f aca="false">Sens!$O$419+Sens!$O$424+Sens!$O$427+Sens!$O$428-Sens!$O$429</f>
        <v>0</v>
      </c>
    </row>
    <row r="431" customFormat="false" ht="17.15" hidden="false" customHeight="false" outlineLevel="0" collapsed="false">
      <c r="A431" s="5" t="s">
        <v>729</v>
      </c>
      <c r="B431" s="0" t="s">
        <v>86</v>
      </c>
      <c r="C431" s="38" t="n">
        <f aca="false">Sens!$C$367</f>
        <v>0</v>
      </c>
      <c r="D431" s="38" t="n">
        <f aca="false">Sens!$D$367</f>
        <v>0</v>
      </c>
      <c r="E431" s="38" t="n">
        <f aca="false">Sens!$E$367</f>
        <v>0</v>
      </c>
      <c r="F431" s="38" t="n">
        <f aca="false">Sens!$F$367</f>
        <v>3.77122048175818</v>
      </c>
      <c r="G431" s="38" t="n">
        <f aca="false">Sens!$G$367</f>
        <v>3.77122048175818</v>
      </c>
      <c r="H431" s="38" t="n">
        <f aca="false">Sens!$H$367</f>
        <v>15.1635543609893</v>
      </c>
      <c r="I431" s="38" t="n">
        <f aca="false">Sens!$I$367</f>
        <v>25.5818843619889</v>
      </c>
      <c r="J431" s="38" t="n">
        <f aca="false">Sens!$J$367</f>
        <v>36.0465624179122</v>
      </c>
      <c r="K431" s="38" t="n">
        <f aca="false">Sens!$K$367</f>
        <v>44.9741164026038</v>
      </c>
      <c r="L431" s="38" t="n">
        <f aca="false">Sens!$L$367</f>
        <v>50.8413488057813</v>
      </c>
      <c r="M431" s="38" t="n">
        <f aca="false">Sens!$M$367</f>
        <v>53.6407214274315</v>
      </c>
      <c r="N431" s="38" t="n">
        <f aca="false">Sens!$N$367</f>
        <v>0</v>
      </c>
      <c r="O431" s="38" t="n">
        <f aca="false">Sens!$O$367</f>
        <v>0</v>
      </c>
      <c r="P431" s="5" t="s">
        <v>730</v>
      </c>
    </row>
    <row r="432" customFormat="false" ht="17.15" hidden="false" customHeight="false" outlineLevel="0" collapsed="false">
      <c r="A432" s="5" t="s">
        <v>731</v>
      </c>
      <c r="B432" s="0" t="s">
        <v>86</v>
      </c>
      <c r="C432" s="38" t="n">
        <f aca="false">Sens!$C$429+Sens!$C$431</f>
        <v>68.593</v>
      </c>
      <c r="D432" s="38" t="n">
        <f aca="false">Sens!$D$429+Sens!$D$431</f>
        <v>79.975</v>
      </c>
      <c r="E432" s="38" t="n">
        <f aca="false">Sens!$E$429+Sens!$E$431</f>
        <v>51.313</v>
      </c>
      <c r="F432" s="38" t="n">
        <f aca="false">Sens!$F$429+Sens!$F$431</f>
        <v>59.2932457826576</v>
      </c>
      <c r="G432" s="38" t="n">
        <f aca="false">Sens!$G$429+Sens!$G$431</f>
        <v>110.606245782658</v>
      </c>
      <c r="H432" s="38" t="n">
        <f aca="false">Sens!$H$429+Sens!$H$431</f>
        <v>135.428138551705</v>
      </c>
      <c r="I432" s="38" t="n">
        <f aca="false">Sens!$I$429+Sens!$I$431</f>
        <v>159.211251283043</v>
      </c>
      <c r="J432" s="38" t="n">
        <f aca="false">Sens!$J$429+Sens!$J$431</f>
        <v>181.479726365628</v>
      </c>
      <c r="K432" s="38" t="n">
        <f aca="false">Sens!$K$429+Sens!$K$431</f>
        <v>196.399810443626</v>
      </c>
      <c r="L432" s="38" t="n">
        <f aca="false">Sens!$L$429+Sens!$L$431</f>
        <v>211.250581871109</v>
      </c>
      <c r="M432" s="38" t="n">
        <f aca="false">Sens!$M$429+Sens!$M$431</f>
        <v>224.932924768107</v>
      </c>
      <c r="N432" s="38" t="n">
        <f aca="false">Sens!$N$429+Sens!$N$431</f>
        <v>37.576</v>
      </c>
      <c r="O432" s="38" t="n">
        <f aca="false">Sens!$O$429+Sens!$O$431</f>
        <v>42.399</v>
      </c>
    </row>
    <row r="433" customFormat="false" ht="17.15" hidden="false" customHeight="false" outlineLevel="0" collapsed="false">
      <c r="A433" s="0" t="s">
        <v>732</v>
      </c>
      <c r="B433" s="0" t="s">
        <v>52</v>
      </c>
      <c r="C433" s="13" t="n">
        <f aca="false">Sens!$C$419/Sens!$C$404</f>
        <v>0.0644314665661928</v>
      </c>
      <c r="D433" s="13" t="n">
        <f aca="false">Sens!$D$419/Sens!$D$404</f>
        <v>0.0694784250712518</v>
      </c>
      <c r="E433" s="13" t="n">
        <f aca="false">Sens!$E$419/Sens!$E$404</f>
        <v>0.0789306463326071</v>
      </c>
      <c r="F433" s="13" t="n">
        <f aca="false">Sens!$F$419/Sens!$F$404</f>
        <v>0.0802414143801289</v>
      </c>
      <c r="G433" s="13" t="n">
        <f aca="false">Sens!$G$419/Sens!$G$404</f>
        <v>0.0796289944133457</v>
      </c>
      <c r="H433" s="13" t="n">
        <f aca="false">Sens!$H$419/Sens!$H$404</f>
        <v>0.0791442846070674</v>
      </c>
      <c r="I433" s="13" t="n">
        <f aca="false">Sens!$I$419/Sens!$I$404</f>
        <v>0.0776575719620411</v>
      </c>
      <c r="J433" s="13" t="n">
        <f aca="false">Sens!$J$419/Sens!$J$404</f>
        <v>0.0761495497793568</v>
      </c>
      <c r="K433" s="13" t="n">
        <f aca="false">Sens!$K$419/Sens!$K$404</f>
        <v>0.0744562607677161</v>
      </c>
      <c r="L433" s="13" t="n">
        <f aca="false">Sens!$L$419/Sens!$L$404</f>
        <v>0.0740007885989155</v>
      </c>
      <c r="M433" s="13" t="n">
        <f aca="false">Sens!$M$419/Sens!$M$404</f>
        <v>0.0761907968895753</v>
      </c>
      <c r="N433" s="13" t="n">
        <f aca="false">Sens!$N$419/Sens!$N$404</f>
        <v>0.069228576611127</v>
      </c>
      <c r="O433" s="13" t="n">
        <f aca="false">Sens!$O$419/Sens!$O$404</f>
        <v>0.069685022498393</v>
      </c>
    </row>
    <row r="434" customFormat="false" ht="17.15" hidden="false" customHeight="false" outlineLevel="0" collapsed="false">
      <c r="A434" s="0" t="s">
        <v>733</v>
      </c>
      <c r="B434" s="0" t="s">
        <v>52</v>
      </c>
      <c r="C434" s="13" t="n">
        <f aca="false">Sens!$C$424/Sens!$C$405</f>
        <v>0.026534925055631</v>
      </c>
      <c r="D434" s="13" t="n">
        <f aca="false">Sens!$D$424/Sens!$D$405</f>
        <v>0.0293401855535103</v>
      </c>
      <c r="E434" s="13" t="n">
        <f aca="false">Sens!$E$424/Sens!$E$405</f>
        <v>0.03831141902276</v>
      </c>
      <c r="F434" s="13" t="n">
        <f aca="false">Sens!$F$424/Sens!$F$405</f>
        <v>0.0282006793887631</v>
      </c>
      <c r="G434" s="13" t="n">
        <f aca="false">Sens!$G$424/Sens!$G$405</f>
        <v>0.0327899018931999</v>
      </c>
      <c r="H434" s="13" t="n">
        <f aca="false">Sens!$H$424/Sens!$H$405</f>
        <v>0.0303000721561113</v>
      </c>
      <c r="I434" s="13" t="n">
        <f aca="false">Sens!$I$424/Sens!$I$405</f>
        <v>0.0267850487632498</v>
      </c>
      <c r="J434" s="13" t="n">
        <f aca="false">Sens!$J$424/Sens!$J$405</f>
        <v>0.0231857187038681</v>
      </c>
      <c r="K434" s="13" t="n">
        <f aca="false">Sens!$K$424/Sens!$K$405</f>
        <v>0.0192964578291855</v>
      </c>
      <c r="L434" s="13" t="n">
        <f aca="false">Sens!$L$424/Sens!$L$405</f>
        <v>0.0191871831419093</v>
      </c>
      <c r="M434" s="13" t="n">
        <f aca="false">Sens!$M$424/Sens!$M$405</f>
        <v>0.0217313969646389</v>
      </c>
      <c r="N434" s="13" t="n">
        <f aca="false">Sens!$N$424/Sens!$N$405</f>
        <v>0.0357315650169337</v>
      </c>
      <c r="O434" s="13" t="n">
        <f aca="false">Sens!$O$424/Sens!$O$405</f>
        <v>0.0244378956559703</v>
      </c>
    </row>
    <row r="435" customFormat="false" ht="17.15" hidden="false" customHeight="false" outlineLevel="0" collapsed="false">
      <c r="A435" s="14" t="s">
        <v>734</v>
      </c>
      <c r="B435" s="14" t="s">
        <v>52</v>
      </c>
      <c r="C435" s="17" t="n">
        <f aca="false">Sens!$C$427/Sens!$C$406</f>
        <v>0.370355907620217</v>
      </c>
      <c r="D435" s="17" t="n">
        <f aca="false">Sens!$D$427/Sens!$D$406</f>
        <v>0.35429015342785</v>
      </c>
      <c r="E435" s="17" t="n">
        <f aca="false">Sens!$E$427/Sens!$E$406</f>
        <v>0.385647527531039</v>
      </c>
      <c r="F435" s="17" t="n">
        <f aca="false">Sens!$F$427/Sens!$F$406</f>
        <v>0.379260079301568</v>
      </c>
      <c r="G435" s="17" t="n">
        <f aca="false">Sens!$G$427/Sens!$G$406</f>
        <v>0.382336486145006</v>
      </c>
      <c r="H435" s="17" t="n">
        <f aca="false">Sens!$H$427/Sens!$H$406</f>
        <v>0.33990378126712</v>
      </c>
      <c r="I435" s="17" t="n">
        <f aca="false">Sens!$I$427/Sens!$I$406</f>
        <v>0.313016100672469</v>
      </c>
      <c r="J435" s="17" t="n">
        <f aca="false">Sens!$J$427/Sens!$J$406</f>
        <v>0.292481324949354</v>
      </c>
      <c r="K435" s="17" t="n">
        <f aca="false">Sens!$K$427/Sens!$K$406</f>
        <v>0.269063200279212</v>
      </c>
      <c r="L435" s="17" t="n">
        <f aca="false">Sens!$L$427/Sens!$L$406</f>
        <v>0.259250016248752</v>
      </c>
      <c r="M435" s="17" t="n">
        <f aca="false">Sens!$M$427/Sens!$M$406</f>
        <v>0.253824163942375</v>
      </c>
      <c r="N435" s="17" t="n">
        <f aca="false">Sens!$N$427/Sens!$N$406</f>
        <v>0.360941137346192</v>
      </c>
      <c r="O435" s="17" t="n">
        <f aca="false">Sens!$O$427/Sens!$O$406</f>
        <v>0.348458117664212</v>
      </c>
    </row>
    <row r="436" customFormat="false" ht="17.15" hidden="false" customHeight="false" outlineLevel="0" collapsed="false">
      <c r="A436" s="0" t="s">
        <v>735</v>
      </c>
      <c r="B436" s="0" t="s">
        <v>52</v>
      </c>
      <c r="C436" s="13" t="n">
        <f aca="false">Sens!$C$425/Sens!$C$407</f>
        <v>0.708390794789371</v>
      </c>
      <c r="D436" s="13" t="n">
        <f aca="false">Sens!$D$425/Sens!$D$407</f>
        <v>0.445565630441968</v>
      </c>
      <c r="E436" s="13" t="n">
        <f aca="false">Sens!$E$425/Sens!$E$407</f>
        <v>0.165998118402711</v>
      </c>
      <c r="F436" s="13" t="n">
        <f aca="false">Sens!$F$425/Sens!$F$407</f>
        <v>0.401859869136011</v>
      </c>
      <c r="G436" s="13" t="n">
        <f aca="false">Sens!$G$425/Sens!$G$407</f>
        <v>0.313230095563868</v>
      </c>
      <c r="H436" s="13" t="n">
        <f aca="false">Sens!$H$425/Sens!$H$407</f>
        <v>0.23470012891306</v>
      </c>
      <c r="I436" s="13" t="n">
        <f aca="false">Sens!$I$425/Sens!$I$407</f>
        <v>0.187200558396588</v>
      </c>
      <c r="J436" s="13" t="n">
        <f aca="false">Sens!$J$425/Sens!$J$407</f>
        <v>0.160726355342167</v>
      </c>
      <c r="K436" s="13" t="n">
        <f aca="false">Sens!$K$425/Sens!$K$407</f>
        <v>0.121762921451897</v>
      </c>
      <c r="L436" s="13" t="n">
        <f aca="false">Sens!$L$425/Sens!$L$407</f>
        <v>0.105068070467128</v>
      </c>
      <c r="M436" s="13" t="n">
        <f aca="false">Sens!$M$425/Sens!$M$407</f>
        <v>0.0884164198611169</v>
      </c>
      <c r="N436" s="13" t="n">
        <f aca="false">Sens!$N$425/Sens!$N$407</f>
        <v>0.302870734830849</v>
      </c>
      <c r="O436" s="13" t="n">
        <f aca="false">Sens!$O$425/Sens!$O$407</f>
        <v>0.52240134346334</v>
      </c>
    </row>
    <row r="437" customFormat="false" ht="15" hidden="false" customHeight="false" outlineLevel="0" collapsed="false">
      <c r="A437" s="5" t="s">
        <v>736</v>
      </c>
      <c r="B437" s="0" t="s">
        <v>52</v>
      </c>
      <c r="C437" s="13" t="n">
        <f aca="false">Sens!$C$429/Sens!$C$409</f>
        <v>0.107519448742004</v>
      </c>
      <c r="D437" s="13" t="n">
        <f aca="false">Sens!$D$429/Sens!$D$409</f>
        <v>0.111552967957552</v>
      </c>
      <c r="E437" s="13" t="n">
        <f aca="false">Sens!$E$429/Sens!$E$409</f>
        <v>0.13428328426562</v>
      </c>
      <c r="F437" s="13" t="n">
        <f aca="false">Sens!$F$429/Sens!$F$409</f>
        <v>0.127408098277197</v>
      </c>
      <c r="G437" s="13" t="n">
        <f aca="false">Sens!$G$429/Sens!$G$409</f>
        <v>0.130620179525968</v>
      </c>
      <c r="H437" s="13" t="n">
        <f aca="false">Sens!$H$429/Sens!$H$409</f>
        <v>0.128425907097869</v>
      </c>
      <c r="I437" s="13" t="n">
        <f aca="false">Sens!$I$429/Sens!$I$409</f>
        <v>0.126531017520943</v>
      </c>
      <c r="J437" s="13" t="n">
        <f aca="false">Sens!$J$429/Sens!$J$409</f>
        <v>0.124270559402485</v>
      </c>
      <c r="K437" s="13" t="n">
        <f aca="false">Sens!$K$429/Sens!$K$409</f>
        <v>0.119180921098492</v>
      </c>
      <c r="L437" s="13" t="n">
        <f aca="false">Sens!$L$429/Sens!$L$409</f>
        <v>0.117445367788629</v>
      </c>
      <c r="M437" s="13" t="n">
        <f aca="false">Sens!$M$429/Sens!$M$409</f>
        <v>0.117608549789057</v>
      </c>
      <c r="N437" s="13" t="n">
        <f aca="false">Sens!$N$429/Sens!$N$409</f>
        <v>0.116201614873411</v>
      </c>
      <c r="O437" s="13" t="n">
        <f aca="false">Sens!$O$429/Sens!$O$409</f>
        <v>0.107733353660861</v>
      </c>
    </row>
    <row r="438" customFormat="false" ht="17.15" hidden="false" customHeight="false" outlineLevel="0" collapsed="false">
      <c r="A438" s="1" t="s">
        <v>737</v>
      </c>
    </row>
    <row r="439" customFormat="false" ht="17.15" hidden="false" customHeight="false" outlineLevel="0" collapsed="false">
      <c r="A439" s="5" t="s">
        <v>738</v>
      </c>
      <c r="B439" s="0" t="s">
        <v>52</v>
      </c>
      <c r="D439" s="28" t="n">
        <f aca="false">(Q!$E$29+Q!$E$30-(1-ext_sh)*Sens!$D$361)/Sens!$D$317</f>
        <v>0.0334674312393194</v>
      </c>
    </row>
    <row r="440" customFormat="false" ht="17.15" hidden="false" customHeight="false" outlineLevel="0" collapsed="false">
      <c r="A440" s="0" t="s">
        <v>535</v>
      </c>
      <c r="B440" s="0" t="s">
        <v>86</v>
      </c>
      <c r="C440" s="38" t="n">
        <f aca="false">Q!$D$29</f>
        <v>14.285</v>
      </c>
      <c r="D440" s="38" t="n">
        <f aca="false">Q!$E$29</f>
        <v>15.503</v>
      </c>
      <c r="E440" s="38" t="n">
        <f aca="false">Q!$P$29</f>
        <v>8.78</v>
      </c>
      <c r="F440" s="38" t="n">
        <f aca="false">(Sens!$D$439*Sens!$F$317+(1-ext_sh)*Sens!$F$361)*Sens!$F$318</f>
        <v>9.34390058943005</v>
      </c>
      <c r="G440" s="38" t="n">
        <f aca="false">Sens!$E$440+Sens!$F$440</f>
        <v>18.1239005894301</v>
      </c>
      <c r="H440" s="38" t="n">
        <f aca="false">(Sens!$D$439*Sens!$H$317+(1-ext_sh)*Sens!$H$361)*Sens!$H$318</f>
        <v>22.5752969873593</v>
      </c>
      <c r="I440" s="38" t="n">
        <f aca="false">(Sens!$D$439*Sens!$I$317+(1-ext_sh)*Sens!$I$361)*Sens!$I$318</f>
        <v>28.2181192329088</v>
      </c>
      <c r="J440" s="38" t="n">
        <f aca="false">(Sens!$D$439*Sens!$J$317+(1-ext_sh)*Sens!$J$361)*Sens!$J$318</f>
        <v>33.8897637786504</v>
      </c>
      <c r="K440" s="38" t="n">
        <f aca="false">(Sens!$D$439*Sens!$K$317+(1-ext_sh)*Sens!$K$361)*Sens!$K$318</f>
        <v>39.4791423726875</v>
      </c>
      <c r="L440" s="38" t="n">
        <f aca="false">(Sens!$D$439*Sens!$L$317+(1-ext_sh)*Sens!$L$361)*Sens!$L$318</f>
        <v>43.6533589294364</v>
      </c>
      <c r="M440" s="38" t="n">
        <f aca="false">(Sens!$D$439*Sens!$M$317+(1-ext_sh)*Sens!$M$361)*Sens!$M$318</f>
        <v>46.8153633388148</v>
      </c>
      <c r="N440" s="38" t="n">
        <f aca="false">Q!$N$29</f>
        <v>7.272</v>
      </c>
      <c r="O440" s="38" t="n">
        <f aca="false">Q!$O$29</f>
        <v>8.231</v>
      </c>
    </row>
    <row r="441" customFormat="false" ht="17.15" hidden="false" customHeight="false" outlineLevel="0" collapsed="false">
      <c r="A441" s="0" t="s">
        <v>537</v>
      </c>
      <c r="B441" s="0" t="s">
        <v>86</v>
      </c>
      <c r="C441" s="38" t="n">
        <f aca="false">Q!$D$30</f>
        <v>4.462</v>
      </c>
      <c r="D441" s="38" t="n">
        <f aca="false">Q!$E$30</f>
        <v>4.907</v>
      </c>
      <c r="E441" s="38" t="n">
        <f aca="false">Q!$P$30</f>
        <v>2.57</v>
      </c>
      <c r="F441" s="38" t="n">
        <f aca="false">(Sens!$D$439*Sens!$F$317+(1-ext_sh)*Sens!$F$361)*(1-Sens!$F$318)</f>
        <v>3.66868725949682</v>
      </c>
      <c r="G441" s="38" t="n">
        <f aca="false">Sens!$E$441+Sens!$F$441</f>
        <v>6.23868725949682</v>
      </c>
      <c r="H441" s="38" t="n">
        <f aca="false">(Sens!$D$439*Sens!$H$317+(1-ext_sh)*Sens!$H$361)*(1-Sens!$H$318)</f>
        <v>8.64742004962828</v>
      </c>
      <c r="I441" s="38" t="n">
        <f aca="false">(Sens!$D$439*Sens!$I$317+(1-ext_sh)*Sens!$I$361)*(1-Sens!$I$318)</f>
        <v>10.8088912475476</v>
      </c>
      <c r="J441" s="38" t="n">
        <f aca="false">(Sens!$D$439*Sens!$J$317+(1-ext_sh)*Sens!$J$361)*(1-Sens!$J$318)</f>
        <v>12.9814027669608</v>
      </c>
      <c r="K441" s="38" t="n">
        <f aca="false">(Sens!$D$439*Sens!$K$317+(1-ext_sh)*Sens!$K$361)*(1-Sens!$K$318)</f>
        <v>15.1224024865261</v>
      </c>
      <c r="L441" s="38" t="n">
        <f aca="false">(Sens!$D$439*Sens!$L$317+(1-ext_sh)*Sens!$L$361)*(1-Sens!$L$318)</f>
        <v>16.7213273628868</v>
      </c>
      <c r="M441" s="38" t="n">
        <f aca="false">(Sens!$D$439*Sens!$M$317+(1-ext_sh)*Sens!$M$361)*(1-Sens!$M$318)</f>
        <v>17.9325265042307</v>
      </c>
      <c r="N441" s="38" t="n">
        <f aca="false">Q!$N$30</f>
        <v>2.316</v>
      </c>
      <c r="O441" s="38" t="n">
        <f aca="false">Q!$O$30</f>
        <v>2.591</v>
      </c>
    </row>
    <row r="442" customFormat="false" ht="17.15" hidden="false" customHeight="false" outlineLevel="0" collapsed="false">
      <c r="A442" s="0" t="s">
        <v>538</v>
      </c>
      <c r="B442" s="0" t="s">
        <v>86</v>
      </c>
      <c r="C442" s="38" t="n">
        <f aca="false">Sens!$C$373</f>
        <v>13.32</v>
      </c>
      <c r="D442" s="38" t="n">
        <f aca="false">Sens!$D$373</f>
        <v>21.45</v>
      </c>
      <c r="E442" s="38" t="n">
        <f aca="false">Sens!$E$373</f>
        <v>15.353</v>
      </c>
      <c r="F442" s="38" t="n">
        <f aca="false">Sens!$F$373</f>
        <v>16.3063747611001</v>
      </c>
      <c r="G442" s="38" t="n">
        <f aca="false">Sens!$G$373</f>
        <v>31.6593747611001</v>
      </c>
      <c r="H442" s="38" t="n">
        <f aca="false">Sens!$H$373</f>
        <v>53.124242092105</v>
      </c>
      <c r="I442" s="38" t="n">
        <f aca="false">Sens!$I$373</f>
        <v>78.046828098133</v>
      </c>
      <c r="J442" s="38" t="n">
        <f aca="false">Sens!$J$373</f>
        <v>103.663976940352</v>
      </c>
      <c r="K442" s="38" t="n">
        <f aca="false">Sens!$K$373</f>
        <v>129.625086115469</v>
      </c>
      <c r="L442" s="38" t="n">
        <f aca="false">Sens!$L$373</f>
        <v>147.435052382502</v>
      </c>
      <c r="M442" s="38" t="n">
        <f aca="false">Sens!$M$373</f>
        <v>159.299754080279</v>
      </c>
      <c r="N442" s="38" t="n">
        <f aca="false">Sens!$N$373</f>
        <v>9.234</v>
      </c>
      <c r="O442" s="38" t="n">
        <f aca="false">Sens!$O$373</f>
        <v>12.216</v>
      </c>
    </row>
    <row r="443" customFormat="false" ht="17.15" hidden="false" customHeight="false" outlineLevel="0" collapsed="false">
      <c r="A443" s="5" t="s">
        <v>739</v>
      </c>
      <c r="B443" s="0" t="s">
        <v>86</v>
      </c>
      <c r="C443" s="38" t="n">
        <f aca="false">Sens!$C$440+Sens!$C$441+Sens!$C$442</f>
        <v>32.067</v>
      </c>
      <c r="D443" s="38" t="n">
        <f aca="false">Sens!$D$440+Sens!$D$441+Sens!$D$442</f>
        <v>41.86</v>
      </c>
      <c r="E443" s="38" t="n">
        <f aca="false">Sens!$E$440+Sens!$E$441+Sens!$E$442</f>
        <v>26.703</v>
      </c>
      <c r="F443" s="38" t="n">
        <f aca="false">Sens!$F$440+Sens!$F$441+Sens!$F$442</f>
        <v>29.3189626100269</v>
      </c>
      <c r="G443" s="38" t="n">
        <f aca="false">Sens!$G$440+Sens!$G$441+Sens!$G$442</f>
        <v>56.0219626100269</v>
      </c>
      <c r="H443" s="38" t="n">
        <f aca="false">Sens!$H$440+Sens!$H$441+Sens!$H$442</f>
        <v>84.3469591290926</v>
      </c>
      <c r="I443" s="38" t="n">
        <f aca="false">Sens!$I$440+Sens!$I$441+Sens!$I$442</f>
        <v>117.073838578589</v>
      </c>
      <c r="J443" s="38" t="n">
        <f aca="false">Sens!$J$440+Sens!$J$441+Sens!$J$442</f>
        <v>150.535143485963</v>
      </c>
      <c r="K443" s="38" t="n">
        <f aca="false">Sens!$K$440+Sens!$K$441+Sens!$K$442</f>
        <v>184.226630974683</v>
      </c>
      <c r="L443" s="38" t="n">
        <f aca="false">Sens!$L$440+Sens!$L$441+Sens!$L$442</f>
        <v>207.809738674826</v>
      </c>
      <c r="M443" s="38" t="n">
        <f aca="false">Sens!$M$440+Sens!$M$441+Sens!$M$442</f>
        <v>224.047643923325</v>
      </c>
      <c r="N443" s="38" t="n">
        <f aca="false">Sens!$N$440+Sens!$N$441+Sens!$N$442</f>
        <v>18.822</v>
      </c>
      <c r="O443" s="38" t="n">
        <f aca="false">Sens!$O$440+Sens!$O$441+Sens!$O$442</f>
        <v>23.038</v>
      </c>
    </row>
    <row r="444" customFormat="false" ht="17.15" hidden="false" customHeight="false" outlineLevel="0" collapsed="false">
      <c r="A444" s="0" t="s">
        <v>740</v>
      </c>
      <c r="B444" s="0" t="s">
        <v>86</v>
      </c>
      <c r="C444" s="38" t="n">
        <f aca="false">Sens!$C$415+Sens!$C$420</f>
        <v>28.107</v>
      </c>
      <c r="D444" s="38" t="n">
        <f aca="false">Sens!$D$415+Sens!$D$420</f>
        <v>34.3175</v>
      </c>
      <c r="E444" s="38" t="n">
        <f aca="false">Sens!$E$415+Sens!$E$420</f>
        <v>18.526</v>
      </c>
      <c r="F444" s="38" t="n">
        <f aca="false">Sens!$F$415+Sens!$F$420</f>
        <v>23.1332261117684</v>
      </c>
      <c r="G444" s="38" t="n">
        <f aca="false">Sens!$G$415+Sens!$G$420</f>
        <v>41.6592261117685</v>
      </c>
      <c r="H444" s="38" t="n">
        <f aca="false">Sens!$H$415+Sens!$H$420</f>
        <v>50.0140294294129</v>
      </c>
      <c r="I444" s="38" t="n">
        <f aca="false">Sens!$I$415+Sens!$I$420</f>
        <v>58.3680759119067</v>
      </c>
      <c r="J444" s="38" t="n">
        <f aca="false">Sens!$J$415+Sens!$J$420</f>
        <v>66.1612081069603</v>
      </c>
      <c r="K444" s="38" t="n">
        <f aca="false">Sens!$K$415+Sens!$K$420</f>
        <v>72.7773289176563</v>
      </c>
      <c r="L444" s="38" t="n">
        <f aca="false">Sens!$L$415+Sens!$L$420</f>
        <v>80.0550618094219</v>
      </c>
      <c r="M444" s="38" t="n">
        <f aca="false">Sens!$M$415+Sens!$M$420</f>
        <v>88.0605679903641</v>
      </c>
      <c r="N444" s="38" t="n">
        <f aca="false">Sens!$N$415+Sens!$N$420</f>
        <v>14.8075</v>
      </c>
      <c r="O444" s="38" t="n">
        <f aca="false">Sens!$O$415+Sens!$O$420</f>
        <v>19.51</v>
      </c>
    </row>
    <row r="445" customFormat="false" ht="17.15" hidden="false" customHeight="false" outlineLevel="0" collapsed="false">
      <c r="A445" s="0" t="s">
        <v>741</v>
      </c>
      <c r="B445" s="0" t="s">
        <v>86</v>
      </c>
      <c r="C445" s="38" t="n">
        <f aca="false">Sens!$C$419+Sens!$C$424+Sens!$C$440+Sens!$C$441-Sens!$C$444</f>
        <v>19.399</v>
      </c>
      <c r="D445" s="38" t="n">
        <f aca="false">Sens!$D$419+Sens!$D$424+Sens!$D$440+Sens!$D$441-Sens!$D$444</f>
        <v>20.4615</v>
      </c>
      <c r="E445" s="38" t="n">
        <f aca="false">Sens!$E$419+Sens!$E$424+Sens!$E$440+Sens!$E$441-Sens!$E$444</f>
        <v>13.355</v>
      </c>
      <c r="F445" s="38" t="n">
        <f aca="false">Sens!$F$419+Sens!$F$424+Sens!$F$440+Sens!$F$441-Sens!$F$444</f>
        <v>12.820398697196</v>
      </c>
      <c r="G445" s="38" t="n">
        <f aca="false">Sens!$G$419+Sens!$G$424+Sens!$G$440+Sens!$G$441-Sens!$G$444</f>
        <v>26.175398697196</v>
      </c>
      <c r="H445" s="38" t="n">
        <f aca="false">Sens!$H$419+Sens!$H$424+Sens!$H$440+Sens!$H$441-Sens!$H$444</f>
        <v>28.5845200082866</v>
      </c>
      <c r="I445" s="38" t="n">
        <f aca="false">Sens!$I$419+Sens!$I$424+Sens!$I$440+Sens!$I$441-Sens!$I$444</f>
        <v>30.8477542331752</v>
      </c>
      <c r="J445" s="38" t="n">
        <f aca="false">Sens!$J$419+Sens!$J$424+Sens!$J$440+Sens!$J$441-Sens!$J$444</f>
        <v>33.1031529576554</v>
      </c>
      <c r="K445" s="38" t="n">
        <f aca="false">Sens!$K$419+Sens!$K$424+Sens!$K$440+Sens!$K$441-Sens!$K$444</f>
        <v>35.5191471680237</v>
      </c>
      <c r="L445" s="38" t="n">
        <f aca="false">Sens!$L$419+Sens!$L$424+Sens!$L$440+Sens!$L$441-Sens!$L$444</f>
        <v>37.1581615725054</v>
      </c>
      <c r="M445" s="38" t="n">
        <f aca="false">Sens!$M$419+Sens!$M$424+Sens!$M$440+Sens!$M$441-Sens!$M$444</f>
        <v>39.5949485077261</v>
      </c>
      <c r="N445" s="38" t="n">
        <f aca="false">Sens!$N$419+Sens!$N$424+Sens!$N$440+Sens!$N$441-Sens!$N$444</f>
        <v>10.6495</v>
      </c>
      <c r="O445" s="38" t="n">
        <f aca="false">Sens!$O$419+Sens!$O$424+Sens!$O$440+Sens!$O$441-Sens!$O$444</f>
        <v>9.81200000000001</v>
      </c>
    </row>
    <row r="446" customFormat="false" ht="17.15" hidden="false" customHeight="false" outlineLevel="0" collapsed="false">
      <c r="A446" s="0" t="s">
        <v>742</v>
      </c>
      <c r="B446" s="0" t="s">
        <v>86</v>
      </c>
      <c r="C446" s="38" t="n">
        <f aca="false">Sens!$C$426+Sens!$C$442-ext_sh*Sens!$C$361</f>
        <v>51.3470500115664</v>
      </c>
      <c r="D446" s="38" t="n">
        <f aca="false">Sens!$D$426+Sens!$D$442-ext_sh*Sens!$D$361</f>
        <v>60.2799375433739</v>
      </c>
      <c r="E446" s="38" t="n">
        <f aca="false">Sens!$E$426+Sens!$E$442-ext_sh*Sens!$E$361</f>
        <v>39.5095167090767</v>
      </c>
      <c r="F446" s="38" t="n">
        <f aca="false">Sens!$F$426+Sens!$F$442-ext_sh*Sens!$F$361</f>
        <v>37.993321722478</v>
      </c>
      <c r="G446" s="38" t="n">
        <f aca="false">Sens!$G$426+Sens!$G$442-ext_sh*Sens!$G$361</f>
        <v>77.5028384315548</v>
      </c>
      <c r="H446" s="38" t="n">
        <f aca="false">Sens!$H$426+Sens!$H$442-ext_sh*Sens!$H$361</f>
        <v>85.2394217279746</v>
      </c>
      <c r="I446" s="38" t="n">
        <f aca="false">Sens!$I$426+Sens!$I$442-ext_sh*Sens!$I$361</f>
        <v>94.6373589713254</v>
      </c>
      <c r="J446" s="38" t="n">
        <f aca="false">Sens!$J$426+Sens!$J$442-ext_sh*Sens!$J$361</f>
        <v>103.639899284146</v>
      </c>
      <c r="K446" s="38" t="n">
        <f aca="false">Sens!$K$426+Sens!$K$442-ext_sh*Sens!$K$361</f>
        <v>111.931091226878</v>
      </c>
      <c r="L446" s="38" t="n">
        <f aca="false">Sens!$L$426+Sens!$L$442-ext_sh*Sens!$L$361</f>
        <v>120.885578525028</v>
      </c>
      <c r="M446" s="38" t="n">
        <f aca="false">Sens!$M$426+Sens!$M$442-ext_sh*Sens!$M$361</f>
        <v>130.55642480703</v>
      </c>
      <c r="N446" s="38" t="n">
        <f aca="false">Sens!$N$426+Sens!$N$442-ext_sh*Sens!$N$361</f>
        <v>28.5693781401809</v>
      </c>
      <c r="O446" s="38" t="n">
        <f aca="false">Sens!$O$426+Sens!$O$442-ext_sh*Sens!$O$361</f>
        <v>31.7105594031931</v>
      </c>
    </row>
    <row r="447" customFormat="false" ht="17.15" hidden="false" customHeight="false" outlineLevel="0" collapsed="false">
      <c r="A447" s="0" t="s">
        <v>743</v>
      </c>
      <c r="B447" s="0" t="s">
        <v>86</v>
      </c>
      <c r="C447" s="38" t="n">
        <f aca="false">Sens!$C$364</f>
        <v>1.80694998843362</v>
      </c>
      <c r="D447" s="38" t="n">
        <f aca="false">Sens!$D$364</f>
        <v>6.77606245662607</v>
      </c>
      <c r="E447" s="38" t="n">
        <f aca="false">Sens!$E$364</f>
        <v>6.62548329092326</v>
      </c>
      <c r="F447" s="38" t="n">
        <f aca="false">Sens!$F$364</f>
        <v>10.8940413794839</v>
      </c>
      <c r="G447" s="38" t="n">
        <f aca="false">Sens!$G$364</f>
        <v>17.5195246704072</v>
      </c>
      <c r="H447" s="38" t="n">
        <f aca="false">Sens!$H$364</f>
        <v>40.7735721541341</v>
      </c>
      <c r="I447" s="38" t="n">
        <f aca="false">Sens!$I$364</f>
        <v>66.8500163832358</v>
      </c>
      <c r="J447" s="38" t="n">
        <f aca="false">Sens!$J$364</f>
        <v>93.0640470849174</v>
      </c>
      <c r="K447" s="38" t="n">
        <f aca="false">Sens!$K$364</f>
        <v>115.424757703147</v>
      </c>
      <c r="L447" s="38" t="n">
        <f aca="false">Sens!$L$364</f>
        <v>130.120169833198</v>
      </c>
      <c r="M447" s="38" t="n">
        <f aca="false">Sens!$M$364</f>
        <v>137.12790595888</v>
      </c>
      <c r="N447" s="38" t="n">
        <f aca="false">Sens!$N$364</f>
        <v>2.37162185981912</v>
      </c>
      <c r="O447" s="38" t="n">
        <f aca="false">Sens!$O$364</f>
        <v>4.40444059680694</v>
      </c>
    </row>
    <row r="448" customFormat="false" ht="17.15" hidden="false" customHeight="false" outlineLevel="0" collapsed="false">
      <c r="A448" s="0" t="s">
        <v>744</v>
      </c>
      <c r="B448" s="0" t="s">
        <v>86</v>
      </c>
      <c r="C448" s="38" t="n">
        <f aca="false">Sens!$C$429+Sens!$C$443</f>
        <v>100.66</v>
      </c>
      <c r="D448" s="38" t="n">
        <f aca="false">Sens!$D$429+Sens!$D$443</f>
        <v>121.835</v>
      </c>
      <c r="E448" s="38" t="n">
        <f aca="false">Sens!$E$429+Sens!$E$443</f>
        <v>78.016</v>
      </c>
      <c r="F448" s="38" t="n">
        <f aca="false">Sens!$F$429+Sens!$F$443</f>
        <v>84.8409879109264</v>
      </c>
      <c r="G448" s="38" t="n">
        <f aca="false">Sens!$G$429+Sens!$G$443</f>
        <v>162.856987910926</v>
      </c>
      <c r="H448" s="38" t="n">
        <f aca="false">Sens!$H$429+Sens!$H$443</f>
        <v>204.611543319808</v>
      </c>
      <c r="I448" s="38" t="n">
        <f aca="false">Sens!$I$429+Sens!$I$443</f>
        <v>250.703205499643</v>
      </c>
      <c r="J448" s="38" t="n">
        <f aca="false">Sens!$J$429+Sens!$J$443</f>
        <v>295.968307433679</v>
      </c>
      <c r="K448" s="38" t="n">
        <f aca="false">Sens!$K$429+Sens!$K$443</f>
        <v>335.652325015705</v>
      </c>
      <c r="L448" s="38" t="n">
        <f aca="false">Sens!$L$429+Sens!$L$443</f>
        <v>368.218971740153</v>
      </c>
      <c r="M448" s="38" t="n">
        <f aca="false">Sens!$M$429+Sens!$M$443</f>
        <v>395.339847264001</v>
      </c>
      <c r="N448" s="38" t="n">
        <f aca="false">Sens!$N$429+Sens!$N$443</f>
        <v>56.398</v>
      </c>
      <c r="O448" s="38" t="n">
        <f aca="false">Sens!$O$429+Sens!$O$443</f>
        <v>65.437</v>
      </c>
    </row>
    <row r="449" customFormat="false" ht="17.15" hidden="false" customHeight="false" outlineLevel="0" collapsed="false">
      <c r="A449" s="1" t="s">
        <v>745</v>
      </c>
    </row>
    <row r="450" customFormat="false" ht="15" hidden="false" customHeight="false" outlineLevel="0" collapsed="false">
      <c r="A450" s="5" t="s">
        <v>541</v>
      </c>
      <c r="B450" s="0" t="s">
        <v>86</v>
      </c>
      <c r="C450" s="38" t="n">
        <f aca="false">Q!$D$34</f>
        <v>2.406</v>
      </c>
      <c r="D450" s="38" t="n">
        <f aca="false">Q!$E$34</f>
        <v>2.274</v>
      </c>
      <c r="E450" s="38" t="n">
        <f aca="false">Q!$P$34</f>
        <v>2.114</v>
      </c>
      <c r="F450" s="38" t="n">
        <f aca="false">Sens!$F$488</f>
        <v>3.24888962733561</v>
      </c>
      <c r="G450" s="38" t="n">
        <f aca="false">Sens!$E$450+Sens!$F$450</f>
        <v>5.36288962733561</v>
      </c>
      <c r="H450" s="38" t="n">
        <f aca="false">Sens!$H$488</f>
        <v>7.42354172302123</v>
      </c>
      <c r="I450" s="38" t="n">
        <f aca="false">Sens!$I$488</f>
        <v>8.70015845851935</v>
      </c>
      <c r="J450" s="38" t="n">
        <f aca="false">Sens!$J$488</f>
        <v>10.4491444796108</v>
      </c>
      <c r="K450" s="38" t="n">
        <f aca="false">Sens!$K$488</f>
        <v>10.4491444796108</v>
      </c>
      <c r="L450" s="38" t="n">
        <f aca="false">Sens!$L$488</f>
        <v>10.4491444796108</v>
      </c>
      <c r="M450" s="38" t="n">
        <f aca="false">Sens!$M$488</f>
        <v>10.4491444796108</v>
      </c>
      <c r="N450" s="38" t="n">
        <f aca="false">Q!$N$34</f>
        <v>1.057</v>
      </c>
      <c r="O450" s="38" t="n">
        <f aca="false">Q!$O$34</f>
        <v>1.217</v>
      </c>
    </row>
    <row r="451" customFormat="false" ht="15" hidden="false" customHeight="false" outlineLevel="0" collapsed="false">
      <c r="A451" s="5" t="s">
        <v>746</v>
      </c>
      <c r="B451" s="0" t="s">
        <v>86</v>
      </c>
      <c r="F451" s="38" t="n">
        <f aca="false">Sens!$F$489</f>
        <v>2.59</v>
      </c>
      <c r="H451" s="38" t="n">
        <f aca="false">Sens!$H$489</f>
        <v>3.77375334343987</v>
      </c>
      <c r="I451" s="38" t="n">
        <f aca="false">Sens!$I$489</f>
        <v>2.10589651022864</v>
      </c>
      <c r="J451" s="38" t="n">
        <f aca="false">Sens!$J$489</f>
        <v>2.10589651022864</v>
      </c>
      <c r="K451" s="38" t="n">
        <f aca="false">Sens!$K$489</f>
        <v>2.35916014245896</v>
      </c>
      <c r="L451" s="38" t="n">
        <f aca="false">Sens!$L$489</f>
        <v>6.43699600140942</v>
      </c>
      <c r="M451" s="38" t="n">
        <f aca="false">Sens!$M$489</f>
        <v>12.799621611954</v>
      </c>
    </row>
    <row r="452" customFormat="false" ht="17.15" hidden="false" customHeight="false" outlineLevel="0" collapsed="false">
      <c r="A452" s="5" t="s">
        <v>747</v>
      </c>
      <c r="B452" s="0" t="s">
        <v>86</v>
      </c>
      <c r="C452" s="38" t="n">
        <f aca="false">Q!$D$39</f>
        <v>2.427</v>
      </c>
      <c r="D452" s="38" t="n">
        <f aca="false">Q!$E$39</f>
        <v>19.61</v>
      </c>
      <c r="E452" s="38" t="n">
        <f aca="false">Q!$P$39</f>
        <v>71.492</v>
      </c>
      <c r="F452" s="39" t="n">
        <v>0</v>
      </c>
      <c r="G452" s="38" t="n">
        <f aca="false">Sens!$E$452+Sens!$F$452</f>
        <v>71.492</v>
      </c>
      <c r="H452" s="39" t="n">
        <v>0</v>
      </c>
      <c r="I452" s="39" t="n">
        <v>0</v>
      </c>
      <c r="J452" s="39" t="n">
        <v>0</v>
      </c>
      <c r="K452" s="39" t="n">
        <v>0</v>
      </c>
      <c r="L452" s="39" t="n">
        <v>0</v>
      </c>
      <c r="M452" s="39" t="n">
        <v>0</v>
      </c>
      <c r="N452" s="38" t="n">
        <f aca="false">Q!$N$39</f>
        <v>6.017</v>
      </c>
      <c r="O452" s="38" t="n">
        <f aca="false">Q!$O$39</f>
        <v>13.593</v>
      </c>
      <c r="P452" s="5" t="s">
        <v>748</v>
      </c>
    </row>
    <row r="453" customFormat="false" ht="15" hidden="false" customHeight="false" outlineLevel="0" collapsed="false">
      <c r="A453" s="5" t="s">
        <v>544</v>
      </c>
      <c r="B453" s="0" t="s">
        <v>86</v>
      </c>
      <c r="C453" s="38" t="n">
        <f aca="false">Q!$D$36</f>
        <v>68.614</v>
      </c>
      <c r="D453" s="38" t="n">
        <f aca="false">Q!$E$36</f>
        <v>97.311</v>
      </c>
      <c r="E453" s="38" t="n">
        <f aca="false">Q!$P$36</f>
        <v>120.691</v>
      </c>
      <c r="F453" s="38" t="n">
        <f aca="false">Sens!$F$429-Sens!$F$450+Sens!$F$451+Sens!$F$452</f>
        <v>54.8631356735638</v>
      </c>
      <c r="G453" s="38" t="n">
        <f aca="false">Sens!$E$453+Sens!$F$453</f>
        <v>175.554135673564</v>
      </c>
      <c r="H453" s="38" t="n">
        <f aca="false">Sens!$H$429-Sens!$H$450+Sens!$H$451+Sens!$H$452</f>
        <v>116.614795811134</v>
      </c>
      <c r="I453" s="38" t="n">
        <f aca="false">Sens!$I$429-Sens!$I$450+Sens!$I$451+Sens!$I$452</f>
        <v>127.035104972763</v>
      </c>
      <c r="J453" s="38" t="n">
        <f aca="false">Sens!$J$429-Sens!$J$450+Sens!$J$451+Sens!$J$452</f>
        <v>137.089915978334</v>
      </c>
      <c r="K453" s="38" t="n">
        <f aca="false">Sens!$K$429-Sens!$K$450+Sens!$K$451+Sens!$K$452</f>
        <v>143.335709703871</v>
      </c>
      <c r="L453" s="38" t="n">
        <f aca="false">Sens!$L$429-Sens!$L$450+Sens!$L$451+Sens!$L$452</f>
        <v>156.397084587126</v>
      </c>
      <c r="M453" s="38" t="n">
        <f aca="false">Sens!$M$429-Sens!$M$450+Sens!$M$451+Sens!$M$452</f>
        <v>173.642680473019</v>
      </c>
      <c r="N453" s="38" t="n">
        <f aca="false">Q!$N$36</f>
        <v>42.536</v>
      </c>
      <c r="O453" s="38" t="n">
        <f aca="false">Q!$O$36</f>
        <v>54.775</v>
      </c>
    </row>
    <row r="454" customFormat="false" ht="15" hidden="false" customHeight="false" outlineLevel="0" collapsed="false">
      <c r="A454" s="5" t="s">
        <v>545</v>
      </c>
      <c r="B454" s="0" t="s">
        <v>86</v>
      </c>
      <c r="C454" s="38" t="n">
        <f aca="false">Q!$D$37</f>
        <v>9.265</v>
      </c>
      <c r="D454" s="38" t="n">
        <f aca="false">Q!$E$37</f>
        <v>19.087</v>
      </c>
      <c r="E454" s="38" t="n">
        <f aca="false">Q!$P$37</f>
        <v>27.759</v>
      </c>
      <c r="F454" s="38" t="n">
        <f aca="false">Sens!$F$453*tax</f>
        <v>9.52339143484069</v>
      </c>
      <c r="G454" s="38" t="n">
        <f aca="false">Sens!$E$454+Sens!$F$454</f>
        <v>37.2823914348407</v>
      </c>
      <c r="H454" s="38" t="n">
        <f aca="false">Sens!$H$453*tax</f>
        <v>20.2425241278833</v>
      </c>
      <c r="I454" s="38" t="n">
        <f aca="false">Sens!$I$453*tax</f>
        <v>22.0513285609494</v>
      </c>
      <c r="J454" s="38" t="n">
        <f aca="false">Sens!$J$453*tax</f>
        <v>23.7966881696153</v>
      </c>
      <c r="K454" s="38" t="n">
        <f aca="false">Sens!$K$453*tax</f>
        <v>24.8808613168352</v>
      </c>
      <c r="L454" s="38" t="n">
        <f aca="false">Sens!$L$453*tax</f>
        <v>27.1481138929648</v>
      </c>
      <c r="M454" s="38" t="n">
        <f aca="false">Sens!$M$453*tax</f>
        <v>30.141682491115</v>
      </c>
      <c r="N454" s="38" t="n">
        <f aca="false">Q!$N$37</f>
        <v>7.231</v>
      </c>
      <c r="O454" s="38" t="n">
        <f aca="false">Q!$O$37</f>
        <v>11.856</v>
      </c>
    </row>
    <row r="455" customFormat="false" ht="15" hidden="false" customHeight="false" outlineLevel="0" collapsed="false">
      <c r="A455" s="3" t="s">
        <v>546</v>
      </c>
      <c r="B455" s="8" t="s">
        <v>86</v>
      </c>
      <c r="C455" s="38" t="n">
        <f aca="false">Q!$D$38</f>
        <v>59.248</v>
      </c>
      <c r="D455" s="38" t="n">
        <f aca="false">Q!$E$38</f>
        <v>77.67</v>
      </c>
      <c r="E455" s="38" t="n">
        <f aca="false">Q!$P$38</f>
        <v>92.902</v>
      </c>
      <c r="F455" s="38" t="n">
        <f aca="false">Sens!$F$453-Sens!$F$454</f>
        <v>45.3397442387231</v>
      </c>
      <c r="G455" s="38" t="n">
        <f aca="false">Sens!$E$455+Sens!$F$455</f>
        <v>138.241744238723</v>
      </c>
      <c r="H455" s="38" t="n">
        <f aca="false">Sens!$H$453-Sens!$H$454</f>
        <v>96.3722716832509</v>
      </c>
      <c r="I455" s="38" t="n">
        <f aca="false">Sens!$I$453-Sens!$I$454</f>
        <v>104.983776411814</v>
      </c>
      <c r="J455" s="38" t="n">
        <f aca="false">Sens!$J$453-Sens!$J$454</f>
        <v>113.293227808719</v>
      </c>
      <c r="K455" s="38" t="n">
        <f aca="false">Sens!$K$453-Sens!$K$454</f>
        <v>118.454848387036</v>
      </c>
      <c r="L455" s="38" t="n">
        <f aca="false">Sens!$L$453-Sens!$L$454</f>
        <v>129.248970694161</v>
      </c>
      <c r="M455" s="38" t="n">
        <f aca="false">Sens!$M$453-Sens!$M$454</f>
        <v>143.500997981904</v>
      </c>
      <c r="N455" s="38" t="n">
        <f aca="false">Q!$N$38</f>
        <v>35.291</v>
      </c>
      <c r="O455" s="38" t="n">
        <f aca="false">Q!$O$38</f>
        <v>42.379</v>
      </c>
    </row>
    <row r="456" customFormat="false" ht="17.15" hidden="false" customHeight="false" outlineLevel="0" collapsed="false">
      <c r="A456" s="5" t="s">
        <v>549</v>
      </c>
      <c r="B456" s="5" t="s">
        <v>33</v>
      </c>
      <c r="C456" s="22" t="n">
        <f aca="false">Q!$D$41</f>
        <v>10.721</v>
      </c>
      <c r="D456" s="22" t="n">
        <f aca="false">Q!$E$41</f>
        <v>10.827</v>
      </c>
      <c r="E456" s="22" t="n">
        <f aca="false">(Q!$L$41+Q!$M$41)/2</f>
        <v>10.8885</v>
      </c>
      <c r="F456" s="22" t="n">
        <f aca="false">Sens!$G$456</f>
        <v>10.924806</v>
      </c>
      <c r="G456" s="22" t="n">
        <f aca="false">Q!$M$41*(1+sh_g*0.25)</f>
        <v>10.924806</v>
      </c>
      <c r="H456" s="22" t="n">
        <f aca="false">Sens!$G$456*(1+sh_g)</f>
        <v>11.012204448</v>
      </c>
      <c r="I456" s="22" t="n">
        <f aca="false">Sens!$H$456*(1+sh_g)</f>
        <v>11.100302083584</v>
      </c>
      <c r="J456" s="22" t="n">
        <f aca="false">Sens!$I$456*(1+sh_g)</f>
        <v>11.1891045002527</v>
      </c>
      <c r="K456" s="22" t="n">
        <f aca="false">Sens!$J$456*(1+sh_g)</f>
        <v>11.2786173362547</v>
      </c>
      <c r="L456" s="22" t="n">
        <f aca="false">Sens!$K$456*(1+sh_g)</f>
        <v>11.3688462749447</v>
      </c>
      <c r="M456" s="22" t="n">
        <f aca="false">Sens!$L$456*(1+sh_g)</f>
        <v>11.4597970451443</v>
      </c>
      <c r="P456" s="5" t="s">
        <v>749</v>
      </c>
    </row>
    <row r="457" customFormat="false" ht="17.15" hidden="false" customHeight="false" outlineLevel="0" collapsed="false">
      <c r="A457" s="5" t="s">
        <v>750</v>
      </c>
      <c r="B457" s="0" t="s">
        <v>86</v>
      </c>
      <c r="C457" s="38" t="n">
        <f aca="false">Sens!$C$455+Sens!$C$431*(1-tax)</f>
        <v>59.248</v>
      </c>
      <c r="D457" s="38" t="n">
        <f aca="false">Sens!$D$455+Sens!$D$431*(1-tax)</f>
        <v>77.67</v>
      </c>
      <c r="E457" s="38" t="n">
        <f aca="false">Sens!$E$455+Sens!$E$431*(1-tax)</f>
        <v>92.902</v>
      </c>
      <c r="F457" s="38" t="n">
        <f aca="false">Sens!$F$455+Sens!$F$431*(1-tax)</f>
        <v>48.4563391983718</v>
      </c>
      <c r="G457" s="38" t="n">
        <f aca="false">Sens!$G$455+Sens!$G$431*(1-tax)</f>
        <v>141.358339198372</v>
      </c>
      <c r="H457" s="38" t="n">
        <f aca="false">Sens!$H$455+Sens!$H$431*(1-tax)</f>
        <v>108.903667638596</v>
      </c>
      <c r="I457" s="38" t="n">
        <f aca="false">Sens!$I$455+Sens!$I$431*(1-tax)</f>
        <v>126.125041486753</v>
      </c>
      <c r="J457" s="38" t="n">
        <f aca="false">Sens!$J$455+Sens!$J$431*(1-tax)</f>
        <v>143.082664753002</v>
      </c>
      <c r="K457" s="38" t="n">
        <f aca="false">Sens!$K$455+Sens!$K$431*(1-tax)</f>
        <v>155.622154083694</v>
      </c>
      <c r="L457" s="38" t="n">
        <f aca="false">Sens!$L$455+Sens!$L$431*(1-tax)</f>
        <v>171.265048034717</v>
      </c>
      <c r="M457" s="38" t="n">
        <f aca="false">Sens!$M$455+Sens!$M$431*(1-tax)</f>
        <v>187.830520172744</v>
      </c>
      <c r="N457" s="38" t="n">
        <f aca="false">Sens!$N$455+Sens!$N$431*(1-tax)</f>
        <v>35.291</v>
      </c>
      <c r="O457" s="38" t="n">
        <f aca="false">Sens!$O$455+Sens!$O$431*(1-tax)</f>
        <v>42.379</v>
      </c>
    </row>
    <row r="458" customFormat="false" ht="17.15" hidden="false" customHeight="false" outlineLevel="0" collapsed="false">
      <c r="A458" s="43" t="s">
        <v>751</v>
      </c>
      <c r="B458" s="14" t="s">
        <v>27</v>
      </c>
      <c r="C458" s="44" t="n">
        <f aca="false">Sens!$C$457/Sens!$C$456</f>
        <v>5.52635015390355</v>
      </c>
      <c r="D458" s="44" t="n">
        <f aca="false">Sens!$D$457/Sens!$D$456</f>
        <v>7.1737323358271</v>
      </c>
      <c r="E458" s="44" t="n">
        <f aca="false">Sens!$E$457/Sens!$E$456</f>
        <v>8.53212104513937</v>
      </c>
      <c r="F458" s="14"/>
      <c r="G458" s="44" t="n">
        <f aca="false">Sens!$G$457/Sens!$G$456</f>
        <v>12.939208183502</v>
      </c>
      <c r="H458" s="44" t="n">
        <f aca="false">Sens!$H$457/Sens!$H$456</f>
        <v>9.88936122216423</v>
      </c>
      <c r="I458" s="44" t="n">
        <f aca="false">Sens!$I$457/Sens!$I$456</f>
        <v>11.3623071279543</v>
      </c>
      <c r="J458" s="44" t="n">
        <f aca="false">Sens!$J$457/Sens!$J$456</f>
        <v>12.7876779370298</v>
      </c>
      <c r="K458" s="44" t="n">
        <f aca="false">Sens!$K$457/Sens!$K$456</f>
        <v>13.7979815649435</v>
      </c>
      <c r="L458" s="44" t="n">
        <f aca="false">Sens!$L$457/Sens!$L$456</f>
        <v>15.0644176104448</v>
      </c>
      <c r="M458" s="44" t="n">
        <f aca="false">Sens!$M$457/Sens!$M$456</f>
        <v>16.3903880175898</v>
      </c>
      <c r="N458" s="14"/>
      <c r="O458" s="14"/>
    </row>
    <row r="459" customFormat="false" ht="17.15" hidden="false" customHeight="false" outlineLevel="0" collapsed="false">
      <c r="A459" s="0" t="s">
        <v>752</v>
      </c>
      <c r="B459" s="0" t="s">
        <v>27</v>
      </c>
      <c r="C459" s="30" t="n">
        <f aca="false">Sens!$C$455/Sens!$C$456</f>
        <v>5.52635015390355</v>
      </c>
      <c r="D459" s="30" t="n">
        <f aca="false">Sens!$D$455/Sens!$D$456</f>
        <v>7.1737323358271</v>
      </c>
      <c r="E459" s="30" t="n">
        <f aca="false">Sens!$E$455/Sens!$E$456</f>
        <v>8.53212104513937</v>
      </c>
      <c r="G459" s="30" t="n">
        <f aca="false">Sens!$G$455/Sens!$G$456</f>
        <v>12.6539312678617</v>
      </c>
      <c r="H459" s="30" t="n">
        <f aca="false">Sens!$H$455/Sens!$H$456</f>
        <v>8.75140596402146</v>
      </c>
      <c r="I459" s="30" t="n">
        <f aca="false">Sens!$I$455/Sens!$I$456</f>
        <v>9.45774048501544</v>
      </c>
      <c r="J459" s="30" t="n">
        <f aca="false">Sens!$J$455/Sens!$J$456</f>
        <v>10.1253168031598</v>
      </c>
      <c r="K459" s="30" t="n">
        <f aca="false">Sens!$K$455/Sens!$K$456</f>
        <v>10.5026037195417</v>
      </c>
      <c r="L459" s="30" t="n">
        <f aca="false">Sens!$L$455/Sens!$L$456</f>
        <v>11.3686971895299</v>
      </c>
      <c r="M459" s="30" t="n">
        <f aca="false">Sens!$M$455/Sens!$M$456</f>
        <v>12.5221238575693</v>
      </c>
    </row>
    <row r="460" customFormat="false" ht="17.15" hidden="false" customHeight="false" outlineLevel="0" collapsed="false">
      <c r="A460" s="0" t="s">
        <v>753</v>
      </c>
      <c r="B460" s="0" t="s">
        <v>27</v>
      </c>
      <c r="C460" s="30" t="n">
        <f aca="false">(Sens!$C$455-Sens!$C$452*(1-tax))/Sens!$C$456</f>
        <v>5.33926775917445</v>
      </c>
      <c r="D460" s="30" t="n">
        <f aca="false">(Sens!$D$455-Sens!$D$452*(1-tax))/Sens!$D$456</f>
        <v>5.67691812755503</v>
      </c>
      <c r="E460" s="30" t="n">
        <f aca="false">(Sens!$E$455-Sens!$E$452*(1-tax))/Sens!$E$456</f>
        <v>3.10602057006846</v>
      </c>
      <c r="G460" s="30" t="n">
        <f aca="false">(Sens!$G$455-Sens!$G$452*(1-tax))/Sens!$G$456</f>
        <v>7.24586314996472</v>
      </c>
      <c r="H460" s="30" t="n">
        <f aca="false">(Sens!$H$455-Sens!$H$452*(1-tax))/Sens!$H$456</f>
        <v>8.75140596402146</v>
      </c>
      <c r="I460" s="30" t="n">
        <f aca="false">(Sens!$I$455-Sens!$I$452*(1-tax))/Sens!$I$456</f>
        <v>9.45774048501544</v>
      </c>
      <c r="J460" s="30" t="n">
        <f aca="false">(Sens!$J$455-Sens!$J$452*(1-tax))/Sens!$J$456</f>
        <v>10.1253168031598</v>
      </c>
      <c r="K460" s="30" t="n">
        <f aca="false">(Sens!$K$455-Sens!$K$452*(1-tax))/Sens!$K$456</f>
        <v>10.5026037195417</v>
      </c>
      <c r="L460" s="30" t="n">
        <f aca="false">(Sens!$L$455-Sens!$L$452*(1-tax))/Sens!$L$456</f>
        <v>11.3686971895299</v>
      </c>
      <c r="M460" s="30" t="n">
        <f aca="false">(Sens!$M$455-Sens!$M$452*(1-tax))/Sens!$M$456</f>
        <v>12.5221238575693</v>
      </c>
      <c r="P460" s="5" t="s">
        <v>754</v>
      </c>
    </row>
    <row r="461" customFormat="false" ht="17.15" hidden="false" customHeight="false" outlineLevel="0" collapsed="false">
      <c r="A461" s="0" t="s">
        <v>755</v>
      </c>
      <c r="B461" s="0" t="s">
        <v>52</v>
      </c>
      <c r="H461" s="13" t="n">
        <f aca="false">Sens!$H$458/Sens!$G$458-1</f>
        <v>-0.235705842126139</v>
      </c>
      <c r="I461" s="13" t="n">
        <f aca="false">Sens!$I$458/Sens!$H$458-1</f>
        <v>0.148942471884727</v>
      </c>
      <c r="J461" s="13" t="n">
        <f aca="false">Sens!$J$458/Sens!$I$458-1</f>
        <v>0.125447305113652</v>
      </c>
      <c r="K461" s="13" t="n">
        <f aca="false">Sens!$K$458/Sens!$J$458-1</f>
        <v>0.0790060269650741</v>
      </c>
      <c r="L461" s="13" t="n">
        <f aca="false">Sens!$L$458/Sens!$K$458-1</f>
        <v>0.0917841525980065</v>
      </c>
      <c r="M461" s="13" t="n">
        <f aca="false">Sens!$M$458/Sens!$L$458-1</f>
        <v>0.0880200244997011</v>
      </c>
    </row>
    <row r="464" customFormat="false" ht="19.4" hidden="false" customHeight="false" outlineLevel="0" collapsed="false">
      <c r="A464" s="31" t="s">
        <v>1135</v>
      </c>
    </row>
    <row r="465" customFormat="false" ht="17.15" hidden="false" customHeight="false" outlineLevel="0" collapsed="false">
      <c r="A465" s="6" t="s">
        <v>16</v>
      </c>
      <c r="B465" s="6" t="s">
        <v>17</v>
      </c>
      <c r="C465" s="20" t="s">
        <v>494</v>
      </c>
      <c r="D465" s="20" t="s">
        <v>495</v>
      </c>
      <c r="E465" s="20" t="s">
        <v>577</v>
      </c>
      <c r="F465" s="20" t="s">
        <v>578</v>
      </c>
      <c r="G465" s="20" t="s">
        <v>579</v>
      </c>
      <c r="H465" s="20" t="s">
        <v>580</v>
      </c>
      <c r="I465" s="20" t="s">
        <v>581</v>
      </c>
      <c r="J465" s="20" t="s">
        <v>582</v>
      </c>
      <c r="K465" s="20" t="s">
        <v>583</v>
      </c>
      <c r="L465" s="20" t="s">
        <v>584</v>
      </c>
      <c r="M465" s="20" t="s">
        <v>585</v>
      </c>
      <c r="N465" s="20" t="s">
        <v>586</v>
      </c>
      <c r="O465" s="20" t="s">
        <v>587</v>
      </c>
      <c r="P465" s="6" t="s">
        <v>23</v>
      </c>
      <c r="R465" s="20" t="n">
        <v>2023</v>
      </c>
      <c r="S465" s="20" t="n">
        <v>2024</v>
      </c>
      <c r="T465" s="20" t="n">
        <v>2025</v>
      </c>
      <c r="U465" s="20" t="n">
        <v>2026</v>
      </c>
      <c r="V465" s="20" t="n">
        <v>2027</v>
      </c>
      <c r="W465" s="20" t="n">
        <v>2028</v>
      </c>
      <c r="X465" s="20" t="n">
        <v>2029</v>
      </c>
      <c r="Y465" s="20" t="n">
        <v>2030</v>
      </c>
      <c r="Z465" s="20" t="n">
        <v>2031</v>
      </c>
      <c r="AA465" s="20" t="n">
        <v>2032</v>
      </c>
    </row>
    <row r="466" customFormat="false" ht="15" hidden="false" customHeight="false" outlineLevel="0" collapsed="false">
      <c r="A466" s="5" t="s">
        <v>546</v>
      </c>
      <c r="B466" s="0" t="s">
        <v>86</v>
      </c>
      <c r="C466" s="38" t="n">
        <f aca="false">Sens!$C$455</f>
        <v>59.248</v>
      </c>
      <c r="D466" s="38" t="n">
        <f aca="false">Sens!$D$455</f>
        <v>77.67</v>
      </c>
      <c r="E466" s="38" t="n">
        <f aca="false">Sens!$E$455</f>
        <v>92.902</v>
      </c>
      <c r="F466" s="38" t="n">
        <f aca="false">Sens!$F$455</f>
        <v>45.3397442387231</v>
      </c>
      <c r="G466" s="38" t="n">
        <f aca="false">Sens!$G$455</f>
        <v>138.241744238723</v>
      </c>
      <c r="H466" s="38" t="n">
        <f aca="false">Sens!$H$455</f>
        <v>96.3722716832509</v>
      </c>
      <c r="I466" s="38" t="n">
        <f aca="false">Sens!$I$455</f>
        <v>104.983776411814</v>
      </c>
      <c r="J466" s="38" t="n">
        <f aca="false">Sens!$J$455</f>
        <v>113.293227808719</v>
      </c>
      <c r="K466" s="38" t="n">
        <f aca="false">Sens!$K$455</f>
        <v>118.454848387036</v>
      </c>
      <c r="L466" s="38" t="n">
        <f aca="false">Sens!$L$455</f>
        <v>129.248970694161</v>
      </c>
      <c r="M466" s="38" t="n">
        <f aca="false">Sens!$M$455</f>
        <v>143.500997981904</v>
      </c>
    </row>
    <row r="467" customFormat="false" ht="17.15" hidden="false" customHeight="false" outlineLevel="0" collapsed="false">
      <c r="A467" s="5" t="s">
        <v>778</v>
      </c>
      <c r="B467" s="0" t="s">
        <v>86</v>
      </c>
      <c r="C467" s="38" t="n">
        <f aca="false">Sens!$C$443</f>
        <v>32.067</v>
      </c>
      <c r="D467" s="38" t="n">
        <f aca="false">Sens!$D$443</f>
        <v>41.86</v>
      </c>
      <c r="E467" s="38" t="n">
        <f aca="false">Sens!$E$443</f>
        <v>26.703</v>
      </c>
      <c r="F467" s="38" t="n">
        <f aca="false">Sens!$F$443</f>
        <v>29.3189626100269</v>
      </c>
      <c r="G467" s="38" t="n">
        <f aca="false">Sens!$G$443</f>
        <v>56.0219626100269</v>
      </c>
      <c r="H467" s="38" t="n">
        <f aca="false">Sens!$H$443</f>
        <v>84.3469591290926</v>
      </c>
      <c r="I467" s="38" t="n">
        <f aca="false">Sens!$I$443</f>
        <v>117.073838578589</v>
      </c>
      <c r="J467" s="38" t="n">
        <f aca="false">Sens!$J$443</f>
        <v>150.535143485963</v>
      </c>
      <c r="K467" s="38" t="n">
        <f aca="false">Sens!$K$443</f>
        <v>184.226630974683</v>
      </c>
      <c r="L467" s="38" t="n">
        <f aca="false">Sens!$L$443</f>
        <v>207.809738674826</v>
      </c>
      <c r="M467" s="38" t="n">
        <f aca="false">Sens!$M$443</f>
        <v>224.047643923325</v>
      </c>
    </row>
    <row r="468" customFormat="false" ht="15" hidden="false" customHeight="false" outlineLevel="0" collapsed="false">
      <c r="A468" s="5" t="s">
        <v>779</v>
      </c>
      <c r="B468" s="0" t="s">
        <v>86</v>
      </c>
      <c r="C468" s="38" t="n">
        <f aca="false">Q!$D$48</f>
        <v>22.011</v>
      </c>
      <c r="D468" s="38" t="n">
        <f aca="false">Q!$E$48</f>
        <v>19.467</v>
      </c>
      <c r="E468" s="38" t="n">
        <f aca="false">Q!$P$48</f>
        <v>10.07</v>
      </c>
      <c r="F468" s="38" t="n">
        <f aca="false">sbc_r*Sens!$F$385</f>
        <v>10.8507035798037</v>
      </c>
      <c r="G468" s="38" t="n">
        <f aca="false">Sens!$E$468+Sens!$F$468</f>
        <v>20.9207035798037</v>
      </c>
      <c r="H468" s="38" t="n">
        <f aca="false">sbc_r*Sens!$H$385</f>
        <v>23.3171112821385</v>
      </c>
      <c r="I468" s="38" t="n">
        <f aca="false">sbc_r*Sens!$I$385</f>
        <v>26.2962938197157</v>
      </c>
      <c r="J468" s="38" t="n">
        <f aca="false">sbc_r*Sens!$J$385</f>
        <v>29.1396836347783</v>
      </c>
      <c r="K468" s="38" t="n">
        <f aca="false">sbc_r*Sens!$K$385</f>
        <v>31.6360656827684</v>
      </c>
      <c r="L468" s="38" t="n">
        <f aca="false">sbc_r*Sens!$L$385</f>
        <v>34.0081575093678</v>
      </c>
      <c r="M468" s="38" t="n">
        <f aca="false">sbc_r*Sens!$M$385</f>
        <v>36.2650544790083</v>
      </c>
    </row>
    <row r="469" customFormat="false" ht="17.15" hidden="false" customHeight="false" outlineLevel="0" collapsed="false">
      <c r="A469" s="5" t="s">
        <v>780</v>
      </c>
      <c r="B469" s="0" t="s">
        <v>86</v>
      </c>
      <c r="C469" s="38" t="n">
        <f aca="false">Q!$D$44-Sens!$C$466-Sens!$C$467-Sens!$C$468</f>
        <v>2.551</v>
      </c>
      <c r="D469" s="38" t="n">
        <f aca="false">Q!$E$44-Sens!$D$466-Sens!$D$467-Sens!$D$468</f>
        <v>0.51700000000001</v>
      </c>
      <c r="E469" s="38" t="n">
        <f aca="false">Q!$P$44-Sens!$E$466-Sens!$E$467-Sens!$E$468</f>
        <v>-58.256</v>
      </c>
      <c r="F469" s="38" t="n">
        <f aca="false">oth_r*Sens!$F$385</f>
        <v>5.22265251035878</v>
      </c>
      <c r="G469" s="38" t="n">
        <f aca="false">Sens!$E$469+Sens!$F$469</f>
        <v>-53.0333474896412</v>
      </c>
      <c r="H469" s="38" t="n">
        <f aca="false">oth_r*Sens!$H$385</f>
        <v>11.222974517398</v>
      </c>
      <c r="I469" s="38" t="n">
        <f aca="false">oth_r*Sens!$I$385</f>
        <v>12.6569124223699</v>
      </c>
      <c r="J469" s="38" t="n">
        <f aca="false">oth_r*Sens!$J$385</f>
        <v>14.0254906759686</v>
      </c>
      <c r="K469" s="38" t="n">
        <f aca="false">oth_r*Sens!$K$385</f>
        <v>15.2270474113325</v>
      </c>
      <c r="L469" s="38" t="n">
        <f aca="false">oth_r*Sens!$L$385</f>
        <v>16.3687808705387</v>
      </c>
      <c r="M469" s="38" t="n">
        <f aca="false">oth_r*Sens!$M$385</f>
        <v>17.4550688275753</v>
      </c>
      <c r="P469" s="8" t="s">
        <v>781</v>
      </c>
    </row>
    <row r="470" customFormat="false" ht="15" hidden="false" customHeight="false" outlineLevel="0" collapsed="false">
      <c r="A470" s="3" t="s">
        <v>552</v>
      </c>
      <c r="B470" s="8" t="s">
        <v>86</v>
      </c>
      <c r="C470" s="38" t="n">
        <f aca="false">Q!$D$44</f>
        <v>115.877</v>
      </c>
      <c r="D470" s="38" t="n">
        <f aca="false">Q!$E$44</f>
        <v>139.514</v>
      </c>
      <c r="E470" s="38" t="n">
        <f aca="false">Q!$P$44</f>
        <v>71.419</v>
      </c>
      <c r="F470" s="38" t="n">
        <f aca="false">Sens!$F$466+Sens!$F$467+Sens!$F$468+Sens!$F$469</f>
        <v>90.7320629389125</v>
      </c>
      <c r="G470" s="38" t="n">
        <f aca="false">Sens!$E$470+Sens!$F$470</f>
        <v>162.151062938913</v>
      </c>
      <c r="H470" s="38" t="n">
        <f aca="false">Sens!$H$466+Sens!$H$467+Sens!$H$468+Sens!$H$469</f>
        <v>215.25931661188</v>
      </c>
      <c r="I470" s="38" t="n">
        <f aca="false">Sens!$I$466+Sens!$I$467+Sens!$I$468+Sens!$I$469</f>
        <v>261.010821232489</v>
      </c>
      <c r="J470" s="38" t="n">
        <f aca="false">Sens!$J$466+Sens!$J$467+Sens!$J$468+Sens!$J$469</f>
        <v>306.993545605429</v>
      </c>
      <c r="K470" s="38" t="n">
        <f aca="false">Sens!$K$466+Sens!$K$467+Sens!$K$468+Sens!$K$469</f>
        <v>349.544592455819</v>
      </c>
      <c r="L470" s="38" t="n">
        <f aca="false">Sens!$L$466+Sens!$L$467+Sens!$L$468+Sens!$L$469</f>
        <v>387.435647748894</v>
      </c>
      <c r="M470" s="38" t="n">
        <f aca="false">Sens!$M$466+Sens!$M$467+Sens!$M$468+Sens!$M$469</f>
        <v>421.268765211812</v>
      </c>
    </row>
    <row r="471" customFormat="false" ht="17.15" hidden="false" customHeight="false" outlineLevel="0" collapsed="false">
      <c r="A471" s="5" t="s">
        <v>782</v>
      </c>
      <c r="B471" s="0" t="s">
        <v>86</v>
      </c>
      <c r="C471" s="38" t="n">
        <f aca="false">Sens!$C$354</f>
        <v>25.2781053077374</v>
      </c>
      <c r="D471" s="38" t="n">
        <f aca="false">Sens!$D$354</f>
        <v>69.5686316310026</v>
      </c>
      <c r="E471" s="38" t="n">
        <f aca="false">Sens!$E$354</f>
        <v>64.1899206485108</v>
      </c>
      <c r="F471" s="38" t="n">
        <f aca="false">Sens!$F$354</f>
        <v>96.2481299895</v>
      </c>
      <c r="G471" s="38" t="n">
        <f aca="false">Sens!$G$354</f>
        <v>160.438050638011</v>
      </c>
      <c r="H471" s="38" t="n">
        <f aca="false">Sens!$H$354</f>
        <v>198.57136494475</v>
      </c>
      <c r="I471" s="38" t="n">
        <f aca="false">Sens!$I$354</f>
        <v>204.6464699105</v>
      </c>
      <c r="J471" s="38" t="n">
        <f aca="false">Sens!$J$354</f>
        <v>209.8832381105</v>
      </c>
      <c r="K471" s="38" t="n">
        <f aca="false">Sens!$K$354</f>
        <v>155.238385275201</v>
      </c>
      <c r="L471" s="38" t="n">
        <f aca="false">Sens!$L$354</f>
        <v>132.014141639902</v>
      </c>
      <c r="M471" s="38" t="n">
        <f aca="false">Sens!$M$354</f>
        <v>132.230981659852</v>
      </c>
    </row>
    <row r="472" customFormat="false" ht="17.15" hidden="false" customHeight="false" outlineLevel="0" collapsed="false">
      <c r="A472" s="5" t="s">
        <v>783</v>
      </c>
      <c r="B472" s="0" t="s">
        <v>86</v>
      </c>
      <c r="C472" s="38" t="n">
        <f aca="false">cx_awso*Sens!$C$383</f>
        <v>21.0469989286053</v>
      </c>
      <c r="D472" s="38" t="n">
        <f aca="false">cx_awso*Sens!$D$383</f>
        <v>24.0042459822698</v>
      </c>
      <c r="E472" s="38" t="n">
        <f aca="false">cx_awso*Sens!$E$383</f>
        <v>14.261729404886</v>
      </c>
      <c r="F472" s="38" t="n">
        <f aca="false">cx_awso*Sens!$F$383</f>
        <v>14.3538599588493</v>
      </c>
      <c r="G472" s="38" t="n">
        <f aca="false">Sens!$E$472+Sens!$F$472</f>
        <v>28.6155893637353</v>
      </c>
      <c r="H472" s="38" t="n">
        <f aca="false">cx_awso*Sens!$H$383</f>
        <v>32.2034154158406</v>
      </c>
      <c r="I472" s="38" t="n">
        <f aca="false">cx_awso*Sens!$I$383</f>
        <v>35.7539519042915</v>
      </c>
      <c r="J472" s="38" t="n">
        <f aca="false">cx_awso*Sens!$J$383</f>
        <v>39.1551076091815</v>
      </c>
      <c r="K472" s="38" t="n">
        <f aca="false">cx_awso*Sens!$K$383</f>
        <v>42.287516217916</v>
      </c>
      <c r="L472" s="38" t="n">
        <f aca="false">cx_awso*Sens!$L$383</f>
        <v>45.6705175153492</v>
      </c>
      <c r="M472" s="38" t="n">
        <f aca="false">cx_awso*Sens!$M$383</f>
        <v>49.3241589165772</v>
      </c>
    </row>
    <row r="473" customFormat="false" ht="17.15" hidden="false" customHeight="false" outlineLevel="0" collapsed="false">
      <c r="A473" s="5" t="s">
        <v>784</v>
      </c>
      <c r="B473" s="0" t="s">
        <v>86</v>
      </c>
      <c r="C473" s="38" t="n">
        <f aca="false">Q!$D$46-Sens!$C$471-Sens!$C$472</f>
        <v>31.3328957636573</v>
      </c>
      <c r="D473" s="38" t="n">
        <f aca="false">Q!$E$46-Sens!$D$471-Sens!$D$472</f>
        <v>34.7471223867276</v>
      </c>
      <c r="E473" s="38" t="n">
        <f aca="false">Q!$P$46-Sens!$E$471-Sens!$E$472</f>
        <v>17.8583499466032</v>
      </c>
      <c r="F473" s="38" t="n">
        <f aca="false">cx_rt*Sens!$F$317</f>
        <v>20.668385464891</v>
      </c>
      <c r="G473" s="38" t="n">
        <f aca="false">Sens!$E$473+Sens!$F$473</f>
        <v>38.5267354114942</v>
      </c>
      <c r="H473" s="38" t="n">
        <f aca="false">cx_rt*Sens!$H$317</f>
        <v>42.6519437169003</v>
      </c>
      <c r="I473" s="38" t="n">
        <f aca="false">cx_rt*Sens!$I$317</f>
        <v>46.640510335413</v>
      </c>
      <c r="J473" s="38" t="n">
        <f aca="false">cx_rt*Sens!$J$317</f>
        <v>50.3419976462216</v>
      </c>
      <c r="K473" s="38" t="n">
        <f aca="false">cx_rt*Sens!$K$317</f>
        <v>53.5992167116214</v>
      </c>
      <c r="L473" s="38" t="n">
        <f aca="false">cx_rt*Sens!$L$317</f>
        <v>57.0840776689994</v>
      </c>
      <c r="M473" s="38" t="n">
        <f aca="false">cx_rt*Sens!$M$317</f>
        <v>60.8137072186215</v>
      </c>
    </row>
    <row r="474" customFormat="false" ht="15" hidden="false" customHeight="false" outlineLevel="0" collapsed="false">
      <c r="A474" s="3" t="s">
        <v>785</v>
      </c>
      <c r="B474" s="8" t="s">
        <v>86</v>
      </c>
      <c r="C474" s="38" t="n">
        <f aca="false">Q!$D$46</f>
        <v>77.658</v>
      </c>
      <c r="D474" s="38" t="n">
        <f aca="false">Q!$E$46</f>
        <v>128.32</v>
      </c>
      <c r="E474" s="38" t="n">
        <f aca="false">Q!$P$46</f>
        <v>96.31</v>
      </c>
      <c r="F474" s="38" t="n">
        <f aca="false">Sens!$F$471+Sens!$F$472+Sens!$F$473</f>
        <v>131.27037541324</v>
      </c>
      <c r="G474" s="38" t="n">
        <f aca="false">Sens!$E$474+Sens!$F$474</f>
        <v>227.58037541324</v>
      </c>
      <c r="H474" s="38" t="n">
        <f aca="false">Sens!$H$471+Sens!$H$472+Sens!$H$473</f>
        <v>273.426724077491</v>
      </c>
      <c r="I474" s="38" t="n">
        <f aca="false">Sens!$I$471+Sens!$I$472+Sens!$I$473</f>
        <v>287.040932150204</v>
      </c>
      <c r="J474" s="38" t="n">
        <f aca="false">Sens!$J$471+Sens!$J$472+Sens!$J$473</f>
        <v>299.380343365903</v>
      </c>
      <c r="K474" s="38" t="n">
        <f aca="false">Sens!$K$471+Sens!$K$472+Sens!$K$473</f>
        <v>251.125118204738</v>
      </c>
      <c r="L474" s="38" t="n">
        <f aca="false">Sens!$L$471+Sens!$L$472+Sens!$L$473</f>
        <v>234.76873682425</v>
      </c>
      <c r="M474" s="38" t="n">
        <f aca="false">Sens!$M$471+Sens!$M$472+Sens!$M$473</f>
        <v>242.368847795051</v>
      </c>
    </row>
    <row r="475" customFormat="false" ht="17.15" hidden="false" customHeight="false" outlineLevel="0" collapsed="false">
      <c r="A475" s="5" t="s">
        <v>560</v>
      </c>
      <c r="B475" s="0" t="s">
        <v>86</v>
      </c>
      <c r="C475" s="38" t="n">
        <f aca="false">Q!$D$50</f>
        <v>2.043</v>
      </c>
      <c r="D475" s="38" t="n">
        <f aca="false">Q!$E$50</f>
        <v>1.557</v>
      </c>
      <c r="E475" s="38" t="n">
        <f aca="false">lease_pr/2</f>
        <v>0.8</v>
      </c>
      <c r="F475" s="38" t="n">
        <f aca="false">lease_pr/2</f>
        <v>0.8</v>
      </c>
      <c r="G475" s="38" t="n">
        <f aca="false">Sens!$E$475+Sens!$F$475</f>
        <v>1.6</v>
      </c>
      <c r="H475" s="38" t="n">
        <f aca="false">lease_pr</f>
        <v>1.6</v>
      </c>
      <c r="I475" s="38" t="n">
        <f aca="false">lease_pr</f>
        <v>1.6</v>
      </c>
      <c r="J475" s="38" t="n">
        <f aca="false">lease_pr</f>
        <v>1.6</v>
      </c>
      <c r="K475" s="38" t="n">
        <f aca="false">lease_pr</f>
        <v>1.6</v>
      </c>
      <c r="L475" s="38" t="n">
        <f aca="false">lease_pr</f>
        <v>1.6</v>
      </c>
      <c r="M475" s="38" t="n">
        <f aca="false">lease_pr</f>
        <v>1.6</v>
      </c>
      <c r="P475" s="8" t="s">
        <v>786</v>
      </c>
    </row>
    <row r="476" customFormat="false" ht="15" hidden="false" customHeight="false" outlineLevel="0" collapsed="false">
      <c r="A476" s="47" t="s">
        <v>787</v>
      </c>
      <c r="B476" s="14" t="s">
        <v>86</v>
      </c>
      <c r="C476" s="48" t="n">
        <f aca="false">Sens!$C$470-Sens!$C$474-Sens!$C$475</f>
        <v>36.176</v>
      </c>
      <c r="D476" s="48" t="n">
        <f aca="false">Sens!$D$470-Sens!$D$474-Sens!$D$475</f>
        <v>9.63700000000002</v>
      </c>
      <c r="E476" s="48" t="n">
        <f aca="false">Sens!$E$470-Sens!$E$474-Sens!$E$475</f>
        <v>-25.691</v>
      </c>
      <c r="F476" s="48" t="n">
        <f aca="false">Sens!$F$470-Sens!$F$474-Sens!$F$475</f>
        <v>-41.3383124743278</v>
      </c>
      <c r="G476" s="48" t="n">
        <f aca="false">Sens!$G$470-Sens!$G$474-Sens!$G$475</f>
        <v>-67.0293124743278</v>
      </c>
      <c r="H476" s="48" t="n">
        <f aca="false">Sens!$H$470-Sens!$H$474-Sens!$H$475</f>
        <v>-59.7674074656109</v>
      </c>
      <c r="I476" s="48" t="n">
        <f aca="false">Sens!$I$470-Sens!$I$474-Sens!$I$475</f>
        <v>-27.6301109177159</v>
      </c>
      <c r="J476" s="48" t="n">
        <f aca="false">Sens!$J$470-Sens!$J$474-Sens!$J$475</f>
        <v>6.01320223952561</v>
      </c>
      <c r="K476" s="48" t="n">
        <f aca="false">Sens!$K$470-Sens!$K$474-Sens!$K$475</f>
        <v>96.8194742510808</v>
      </c>
      <c r="L476" s="48" t="n">
        <f aca="false">Sens!$L$470-Sens!$L$474-Sens!$L$475</f>
        <v>151.066910924643</v>
      </c>
      <c r="M476" s="48" t="n">
        <f aca="false">Sens!$M$470-Sens!$M$474-Sens!$M$475</f>
        <v>177.299917416761</v>
      </c>
      <c r="N476" s="14"/>
      <c r="O476" s="14"/>
    </row>
    <row r="477" customFormat="false" ht="17.15" hidden="false" customHeight="false" outlineLevel="0" collapsed="false">
      <c r="A477" s="5" t="s">
        <v>788</v>
      </c>
      <c r="B477" s="0" t="s">
        <v>86</v>
      </c>
      <c r="C477" s="38" t="n">
        <f aca="false">dps*Sens!$C$456</f>
        <v>0</v>
      </c>
      <c r="D477" s="38" t="n">
        <f aca="false">dps*Sens!$D$456</f>
        <v>0</v>
      </c>
      <c r="E477" s="38" t="n">
        <f aca="false">dps*Sens!$E$456</f>
        <v>0</v>
      </c>
      <c r="F477" s="38" t="n">
        <f aca="false">0</f>
        <v>0</v>
      </c>
      <c r="G477" s="38" t="n">
        <f aca="false">dps*Sens!$G$456</f>
        <v>0</v>
      </c>
      <c r="H477" s="38" t="n">
        <f aca="false">dps*Sens!$H$456</f>
        <v>0</v>
      </c>
      <c r="I477" s="38" t="n">
        <f aca="false">dps*Sens!$I$456</f>
        <v>0</v>
      </c>
      <c r="J477" s="38" t="n">
        <f aca="false">dps*Sens!$J$456</f>
        <v>0</v>
      </c>
      <c r="K477" s="38" t="n">
        <f aca="false">dps*Sens!$K$456</f>
        <v>0</v>
      </c>
      <c r="L477" s="38" t="n">
        <f aca="false">dps*Sens!$L$456</f>
        <v>0</v>
      </c>
      <c r="M477" s="38" t="n">
        <f aca="false">dps*Sens!$M$456</f>
        <v>0</v>
      </c>
      <c r="P477" s="8" t="s">
        <v>789</v>
      </c>
    </row>
    <row r="478" customFormat="false" ht="17.15" hidden="false" customHeight="false" outlineLevel="0" collapsed="false">
      <c r="A478" s="5" t="s">
        <v>790</v>
      </c>
      <c r="B478" s="0" t="s">
        <v>86</v>
      </c>
      <c r="C478" s="38" t="n">
        <f aca="false">0</f>
        <v>0</v>
      </c>
      <c r="D478" s="38" t="n">
        <f aca="false">0</f>
        <v>0</v>
      </c>
      <c r="E478" s="38" t="n">
        <f aca="false">0</f>
        <v>0</v>
      </c>
      <c r="F478" s="38" t="n">
        <f aca="false">0</f>
        <v>0</v>
      </c>
      <c r="G478" s="38" t="n">
        <f aca="false">0</f>
        <v>0</v>
      </c>
      <c r="H478" s="38" t="n">
        <f aca="false">0</f>
        <v>0</v>
      </c>
      <c r="I478" s="38" t="n">
        <f aca="false">0</f>
        <v>0</v>
      </c>
      <c r="J478" s="38" t="n">
        <f aca="false">0</f>
        <v>0</v>
      </c>
      <c r="K478" s="38" t="n">
        <f aca="false">0</f>
        <v>0</v>
      </c>
      <c r="L478" s="38" t="n">
        <f aca="false">0</f>
        <v>0</v>
      </c>
      <c r="M478" s="38" t="n">
        <f aca="false">0</f>
        <v>0</v>
      </c>
      <c r="P478" s="8" t="s">
        <v>791</v>
      </c>
    </row>
    <row r="479" customFormat="false" ht="15" hidden="false" customHeight="false" outlineLevel="0" collapsed="false">
      <c r="A479" s="3" t="s">
        <v>792</v>
      </c>
      <c r="B479" s="8" t="s">
        <v>86</v>
      </c>
      <c r="C479" s="38" t="n">
        <f aca="false">Sens!$C$476-Sens!$C$477</f>
        <v>36.176</v>
      </c>
      <c r="D479" s="38" t="n">
        <f aca="false">Sens!$D$476-Sens!$D$477</f>
        <v>9.63700000000002</v>
      </c>
      <c r="E479" s="38" t="n">
        <f aca="false">Sens!$E$476-Sens!$E$477</f>
        <v>-25.691</v>
      </c>
      <c r="F479" s="38" t="n">
        <f aca="false">Sens!$F$476-Sens!$F$477</f>
        <v>-41.3383124743278</v>
      </c>
      <c r="G479" s="38" t="n">
        <f aca="false">Sens!$G$476-Sens!$G$477</f>
        <v>-67.0293124743278</v>
      </c>
      <c r="H479" s="38" t="n">
        <f aca="false">Sens!$H$476-Sens!$H$477</f>
        <v>-59.7674074656109</v>
      </c>
      <c r="I479" s="38" t="n">
        <f aca="false">Sens!$I$476-Sens!$I$477</f>
        <v>-27.6301109177159</v>
      </c>
      <c r="J479" s="38" t="n">
        <f aca="false">Sens!$J$476-Sens!$J$477</f>
        <v>6.01320223952561</v>
      </c>
      <c r="K479" s="38" t="n">
        <f aca="false">Sens!$K$476-Sens!$K$477</f>
        <v>96.8194742510808</v>
      </c>
      <c r="L479" s="38" t="n">
        <f aca="false">Sens!$L$476-Sens!$L$477</f>
        <v>151.066910924643</v>
      </c>
      <c r="M479" s="38" t="n">
        <f aca="false">Sens!$M$476-Sens!$M$477</f>
        <v>177.299917416761</v>
      </c>
    </row>
    <row r="480" customFormat="false" ht="17.15" hidden="false" customHeight="false" outlineLevel="0" collapsed="false">
      <c r="A480" s="5" t="s">
        <v>793</v>
      </c>
      <c r="B480" s="0" t="s">
        <v>86</v>
      </c>
      <c r="E480" s="38" t="n">
        <f aca="false">Q!$P$53</f>
        <v>39.767</v>
      </c>
      <c r="F480" s="38" t="n">
        <f aca="false">inv_2h26</f>
        <v>21.3</v>
      </c>
      <c r="G480" s="38" t="n">
        <f aca="false">Sens!$E$480+Sens!$F$480</f>
        <v>61.067</v>
      </c>
      <c r="H480" s="39" t="n">
        <v>0</v>
      </c>
      <c r="I480" s="39" t="n">
        <v>0</v>
      </c>
      <c r="J480" s="39" t="n">
        <v>0</v>
      </c>
      <c r="K480" s="39" t="n">
        <v>0</v>
      </c>
      <c r="L480" s="39" t="n">
        <v>0</v>
      </c>
      <c r="M480" s="39" t="n">
        <v>0</v>
      </c>
    </row>
    <row r="481" customFormat="false" ht="17.15" hidden="false" customHeight="false" outlineLevel="0" collapsed="false">
      <c r="A481" s="5" t="s">
        <v>794</v>
      </c>
      <c r="B481" s="0" t="s">
        <v>86</v>
      </c>
      <c r="F481" s="38" t="n">
        <f aca="false">iss_2h26</f>
        <v>29.249999</v>
      </c>
      <c r="G481" s="38" t="n">
        <f aca="false">Sens!$F$481</f>
        <v>29.249999</v>
      </c>
      <c r="H481" s="39" t="n">
        <v>0</v>
      </c>
      <c r="I481" s="39" t="n">
        <v>0</v>
      </c>
      <c r="J481" s="39" t="n">
        <v>0</v>
      </c>
      <c r="K481" s="39" t="n">
        <v>0</v>
      </c>
      <c r="L481" s="39" t="n">
        <v>0</v>
      </c>
      <c r="M481" s="39" t="n">
        <v>0</v>
      </c>
    </row>
    <row r="482" customFormat="false" ht="17.15" hidden="false" customHeight="false" outlineLevel="0" collapsed="false">
      <c r="A482" s="5" t="s">
        <v>795</v>
      </c>
      <c r="B482" s="0" t="s">
        <v>86</v>
      </c>
      <c r="F482" s="38" t="n">
        <f aca="false">cash_q2</f>
        <v>122.988</v>
      </c>
      <c r="G482" s="38" t="n">
        <f aca="false">cash_q2</f>
        <v>122.988</v>
      </c>
      <c r="H482" s="38" t="n">
        <f aca="false">Sens!$G$485</f>
        <v>89.5996865256723</v>
      </c>
      <c r="I482" s="38" t="n">
        <f aca="false">Sens!$H$485</f>
        <v>50</v>
      </c>
      <c r="J482" s="38" t="n">
        <f aca="false">Sens!$I$485</f>
        <v>50</v>
      </c>
      <c r="K482" s="38" t="n">
        <f aca="false">Sens!$J$485</f>
        <v>56.0132022395256</v>
      </c>
      <c r="L482" s="38" t="n">
        <f aca="false">Sens!$K$485</f>
        <v>152.832676490606</v>
      </c>
      <c r="M482" s="38" t="n">
        <f aca="false">Sens!$L$485</f>
        <v>303.89958741525</v>
      </c>
    </row>
    <row r="483" customFormat="false" ht="15" hidden="false" customHeight="false" outlineLevel="0" collapsed="false">
      <c r="A483" s="5" t="s">
        <v>796</v>
      </c>
      <c r="B483" s="0" t="s">
        <v>86</v>
      </c>
      <c r="F483" s="38" t="n">
        <f aca="false">Sens!$F$482+Sens!$F$479-Sens!$F$478-Sens!$F$480+Sens!$F$481</f>
        <v>89.5996865256723</v>
      </c>
      <c r="H483" s="38" t="n">
        <f aca="false">Sens!$H$482+Sens!$H$479-Sens!$H$478-Sens!$H$480+Sens!$H$481</f>
        <v>29.8322790600613</v>
      </c>
      <c r="I483" s="38" t="n">
        <f aca="false">Sens!$I$482+Sens!$I$479-Sens!$I$478-Sens!$I$480+Sens!$I$481</f>
        <v>22.3698890822841</v>
      </c>
      <c r="J483" s="38" t="n">
        <f aca="false">Sens!$J$482+Sens!$J$479-Sens!$J$478-Sens!$J$480+Sens!$J$481</f>
        <v>56.0132022395256</v>
      </c>
      <c r="K483" s="38" t="n">
        <f aca="false">Sens!$K$482+Sens!$K$479-Sens!$K$478-Sens!$K$480+Sens!$K$481</f>
        <v>152.832676490606</v>
      </c>
      <c r="L483" s="38" t="n">
        <f aca="false">Sens!$L$482+Sens!$L$479-Sens!$L$478-Sens!$L$480+Sens!$L$481</f>
        <v>303.89958741525</v>
      </c>
      <c r="M483" s="38" t="n">
        <f aca="false">Sens!$M$482+Sens!$M$479-Sens!$M$478-Sens!$M$480+Sens!$M$481</f>
        <v>481.199504832011</v>
      </c>
    </row>
    <row r="484" customFormat="false" ht="17.15" hidden="false" customHeight="false" outlineLevel="0" collapsed="false">
      <c r="A484" s="5" t="s">
        <v>797</v>
      </c>
      <c r="B484" s="0" t="s">
        <v>86</v>
      </c>
      <c r="F484" s="38" t="n">
        <f aca="false">MAX(0,min_cash-Sens!$F$483)</f>
        <v>0</v>
      </c>
      <c r="G484" s="38" t="n">
        <f aca="false">Sens!$F$484</f>
        <v>0</v>
      </c>
      <c r="H484" s="38" t="n">
        <f aca="false">MAX(0,min_cash-Sens!$H$483)</f>
        <v>20.1677209399387</v>
      </c>
      <c r="I484" s="38" t="n">
        <f aca="false">MAX(0,min_cash-Sens!$I$483)</f>
        <v>27.6301109177159</v>
      </c>
      <c r="J484" s="38" t="n">
        <f aca="false">MAX(0,min_cash-Sens!$J$483)</f>
        <v>0</v>
      </c>
      <c r="K484" s="38" t="n">
        <f aca="false">MAX(0,min_cash-Sens!$K$483)</f>
        <v>0</v>
      </c>
      <c r="L484" s="38" t="n">
        <f aca="false">MAX(0,min_cash-Sens!$L$483)</f>
        <v>0</v>
      </c>
      <c r="M484" s="38" t="n">
        <f aca="false">MAX(0,min_cash-Sens!$M$483)</f>
        <v>0</v>
      </c>
      <c r="P484" s="5" t="s">
        <v>798</v>
      </c>
    </row>
    <row r="485" customFormat="false" ht="15" hidden="false" customHeight="false" outlineLevel="0" collapsed="false">
      <c r="A485" s="5" t="s">
        <v>799</v>
      </c>
      <c r="B485" s="0" t="s">
        <v>86</v>
      </c>
      <c r="D485" s="38" t="n">
        <f aca="false">Q!$E$61</f>
        <v>123.029</v>
      </c>
      <c r="E485" s="38" t="n">
        <f aca="false">Q!$M$61</f>
        <v>122.988</v>
      </c>
      <c r="F485" s="38" t="n">
        <f aca="false">Sens!$F$483+Sens!$F$484</f>
        <v>89.5996865256723</v>
      </c>
      <c r="G485" s="38" t="n">
        <f aca="false">Sens!$F$485</f>
        <v>89.5996865256723</v>
      </c>
      <c r="H485" s="38" t="n">
        <f aca="false">Sens!$H$483+Sens!$H$484</f>
        <v>50</v>
      </c>
      <c r="I485" s="38" t="n">
        <f aca="false">Sens!$I$483+Sens!$I$484</f>
        <v>50</v>
      </c>
      <c r="J485" s="38" t="n">
        <f aca="false">Sens!$J$483+Sens!$J$484</f>
        <v>56.0132022395256</v>
      </c>
      <c r="K485" s="38" t="n">
        <f aca="false">Sens!$K$483+Sens!$K$484</f>
        <v>152.832676490606</v>
      </c>
      <c r="L485" s="38" t="n">
        <f aca="false">Sens!$L$483+Sens!$L$484</f>
        <v>303.89958741525</v>
      </c>
      <c r="M485" s="38" t="n">
        <f aca="false">Sens!$M$483+Sens!$M$484</f>
        <v>481.199504832011</v>
      </c>
    </row>
    <row r="486" customFormat="false" ht="15" hidden="false" customHeight="false" outlineLevel="0" collapsed="false">
      <c r="A486" s="5" t="s">
        <v>800</v>
      </c>
      <c r="B486" s="0" t="s">
        <v>86</v>
      </c>
      <c r="D486" s="38" t="n">
        <f aca="false">Q!$E$62</f>
        <v>68.836</v>
      </c>
      <c r="E486" s="38" t="n">
        <f aca="false">Q!$M$62</f>
        <v>132.995</v>
      </c>
      <c r="F486" s="38" t="n">
        <f aca="false">debt_q2+Sens!$F$481+Sens!$F$484</f>
        <v>162.244999</v>
      </c>
      <c r="G486" s="38" t="n">
        <f aca="false">Sens!$F$486</f>
        <v>162.244999</v>
      </c>
      <c r="H486" s="38" t="n">
        <f aca="false">Sens!$G$486+Sens!$H$484</f>
        <v>182.412719939939</v>
      </c>
      <c r="I486" s="38" t="n">
        <f aca="false">Sens!$H$486+Sens!$I$484</f>
        <v>210.042830857655</v>
      </c>
      <c r="J486" s="38" t="n">
        <f aca="false">Sens!$I$486+Sens!$J$484</f>
        <v>210.042830857655</v>
      </c>
      <c r="K486" s="38" t="n">
        <f aca="false">Sens!$J$486+Sens!$K$484</f>
        <v>210.042830857655</v>
      </c>
      <c r="L486" s="38" t="n">
        <f aca="false">Sens!$K$486+Sens!$L$484</f>
        <v>210.042830857655</v>
      </c>
      <c r="M486" s="38" t="n">
        <f aca="false">Sens!$L$486+Sens!$M$484</f>
        <v>210.042830857655</v>
      </c>
    </row>
    <row r="487" customFormat="false" ht="15" hidden="false" customHeight="false" outlineLevel="0" collapsed="false">
      <c r="A487" s="5" t="s">
        <v>801</v>
      </c>
      <c r="B487" s="0" t="s">
        <v>86</v>
      </c>
      <c r="D487" s="38" t="n">
        <f aca="false">Sens!$D$486-Sens!$D$485</f>
        <v>-54.193</v>
      </c>
      <c r="E487" s="38" t="n">
        <f aca="false">Sens!$E$486-Sens!$E$485</f>
        <v>10.007</v>
      </c>
      <c r="F487" s="38" t="n">
        <f aca="false">Sens!$F$486-Sens!$F$485</f>
        <v>72.6453124743278</v>
      </c>
      <c r="G487" s="38" t="n">
        <f aca="false">Sens!$G$486-Sens!$G$485</f>
        <v>72.6453124743278</v>
      </c>
      <c r="H487" s="38" t="n">
        <f aca="false">Sens!$H$486-Sens!$H$485</f>
        <v>132.412719939939</v>
      </c>
      <c r="I487" s="38" t="n">
        <f aca="false">Sens!$I$486-Sens!$I$485</f>
        <v>160.042830857655</v>
      </c>
      <c r="J487" s="38" t="n">
        <f aca="false">Sens!$J$486-Sens!$J$485</f>
        <v>154.029628618129</v>
      </c>
      <c r="K487" s="38" t="n">
        <f aca="false">Sens!$K$486-Sens!$K$485</f>
        <v>57.2101543670482</v>
      </c>
      <c r="L487" s="38" t="n">
        <f aca="false">Sens!$L$486-Sens!$L$485</f>
        <v>-93.8567565575951</v>
      </c>
      <c r="M487" s="38" t="n">
        <f aca="false">Sens!$M$486-Sens!$M$485</f>
        <v>-271.156673974356</v>
      </c>
    </row>
    <row r="488" customFormat="false" ht="17.15" hidden="false" customHeight="false" outlineLevel="0" collapsed="false">
      <c r="A488" s="5" t="s">
        <v>802</v>
      </c>
      <c r="B488" s="0" t="s">
        <v>86</v>
      </c>
      <c r="F488" s="38" t="n">
        <f aca="false">debt_q2*kd_book*0.5+iss_2h26*kd_new*iss_t</f>
        <v>3.24888962733561</v>
      </c>
      <c r="H488" s="38" t="n">
        <f aca="false">debt_q2*kd_book+(Sens!$G$486-debt_q2)*kd_new</f>
        <v>7.42354172302123</v>
      </c>
      <c r="I488" s="38" t="n">
        <f aca="false">debt_q2*kd_book+(Sens!$H$486-debt_q2)*kd_new</f>
        <v>8.70015845851935</v>
      </c>
      <c r="J488" s="38" t="n">
        <f aca="false">debt_q2*kd_book+(Sens!$I$486-debt_q2)*kd_new</f>
        <v>10.4491444796108</v>
      </c>
      <c r="K488" s="38" t="n">
        <f aca="false">debt_q2*kd_book+(Sens!$J$486-debt_q2)*kd_new</f>
        <v>10.4491444796108</v>
      </c>
      <c r="L488" s="38" t="n">
        <f aca="false">debt_q2*kd_book+(Sens!$K$486-debt_q2)*kd_new</f>
        <v>10.4491444796108</v>
      </c>
      <c r="M488" s="38" t="n">
        <f aca="false">debt_q2*kd_book+(Sens!$L$486-debt_q2)*kd_new</f>
        <v>10.4491444796108</v>
      </c>
    </row>
    <row r="489" customFormat="false" ht="17.15" hidden="false" customHeight="false" outlineLevel="0" collapsed="false">
      <c r="A489" s="5" t="s">
        <v>803</v>
      </c>
      <c r="B489" s="0" t="s">
        <v>86</v>
      </c>
      <c r="F489" s="38" t="n">
        <f aca="false">cash_q2*y_cash*0.5</f>
        <v>2.59</v>
      </c>
      <c r="H489" s="38" t="n">
        <f aca="false">Sens!$G$485*y_cash</f>
        <v>3.77375334343987</v>
      </c>
      <c r="I489" s="38" t="n">
        <f aca="false">Sens!$H$485*y_cash</f>
        <v>2.10589651022864</v>
      </c>
      <c r="J489" s="38" t="n">
        <f aca="false">Sens!$I$485*y_cash</f>
        <v>2.10589651022864</v>
      </c>
      <c r="K489" s="38" t="n">
        <f aca="false">Sens!$J$485*y_cash</f>
        <v>2.35916014245896</v>
      </c>
      <c r="L489" s="38" t="n">
        <f aca="false">Sens!$K$485*y_cash</f>
        <v>6.43699600140942</v>
      </c>
      <c r="M489" s="38" t="n">
        <f aca="false">Sens!$L$485*y_cash</f>
        <v>12.799621611954</v>
      </c>
    </row>
    <row r="490" customFormat="false" ht="17.15" hidden="false" customHeight="false" outlineLevel="0" collapsed="false">
      <c r="A490" s="47" t="s">
        <v>804</v>
      </c>
      <c r="B490" s="14" t="s">
        <v>86</v>
      </c>
      <c r="C490" s="14"/>
      <c r="D490" s="14"/>
      <c r="E490" s="14"/>
      <c r="F490" s="14"/>
      <c r="G490" s="48" t="n">
        <f aca="false">SUM(Sens!$G$479:$K$479)</f>
        <v>-51.5941543670482</v>
      </c>
      <c r="H490" s="14"/>
      <c r="I490" s="14"/>
      <c r="J490" s="14"/>
      <c r="K490" s="14"/>
      <c r="L490" s="14"/>
      <c r="M490" s="14"/>
      <c r="N490" s="14"/>
      <c r="O490" s="14"/>
    </row>
    <row r="491" customFormat="false" ht="17.15" hidden="false" customHeight="false" outlineLevel="0" collapsed="false">
      <c r="A491" s="0" t="s">
        <v>770</v>
      </c>
      <c r="B491" s="0" t="s">
        <v>86</v>
      </c>
      <c r="G491" s="38" t="n">
        <f aca="false">SUM(Sens!$G$484:$K$484)</f>
        <v>47.7978318576546</v>
      </c>
    </row>
    <row r="492" customFormat="false" ht="17.15" hidden="false" customHeight="false" outlineLevel="0" collapsed="false">
      <c r="A492" s="24" t="s">
        <v>807</v>
      </c>
      <c r="B492" s="25" t="s">
        <v>86</v>
      </c>
      <c r="C492" s="25"/>
      <c r="D492" s="25"/>
      <c r="E492" s="25"/>
      <c r="F492" s="25"/>
      <c r="G492" s="41" t="n">
        <f aca="false">Sens!$G$490-(Sens!$G$479+Sens!$H$479+Sens!$I$479+Sens!$J$479+Sens!$K$479)</f>
        <v>0</v>
      </c>
      <c r="H492" s="25"/>
      <c r="I492" s="25"/>
      <c r="J492" s="25"/>
      <c r="K492" s="25"/>
      <c r="L492" s="25"/>
      <c r="M492" s="25"/>
      <c r="N492" s="25"/>
      <c r="O492" s="25"/>
    </row>
    <row r="495" customFormat="false" ht="19.4" hidden="false" customHeight="false" outlineLevel="0" collapsed="false">
      <c r="A495" s="31" t="s">
        <v>1136</v>
      </c>
    </row>
    <row r="496" customFormat="false" ht="17.15" hidden="false" customHeight="false" outlineLevel="0" collapsed="false">
      <c r="A496" s="6" t="s">
        <v>16</v>
      </c>
      <c r="B496" s="6" t="s">
        <v>17</v>
      </c>
      <c r="C496" s="20" t="s">
        <v>494</v>
      </c>
      <c r="D496" s="20" t="s">
        <v>495</v>
      </c>
      <c r="E496" s="20" t="s">
        <v>577</v>
      </c>
      <c r="F496" s="20" t="s">
        <v>578</v>
      </c>
      <c r="G496" s="20" t="s">
        <v>579</v>
      </c>
      <c r="H496" s="20" t="s">
        <v>580</v>
      </c>
      <c r="I496" s="20" t="s">
        <v>581</v>
      </c>
      <c r="J496" s="20" t="s">
        <v>582</v>
      </c>
      <c r="K496" s="20" t="s">
        <v>583</v>
      </c>
      <c r="L496" s="20" t="s">
        <v>584</v>
      </c>
      <c r="M496" s="20" t="s">
        <v>585</v>
      </c>
      <c r="N496" s="20" t="s">
        <v>586</v>
      </c>
      <c r="O496" s="20" t="s">
        <v>587</v>
      </c>
      <c r="P496" s="6" t="s">
        <v>23</v>
      </c>
      <c r="R496" s="20" t="n">
        <v>2023</v>
      </c>
      <c r="S496" s="20" t="n">
        <v>2024</v>
      </c>
      <c r="T496" s="20" t="n">
        <v>2025</v>
      </c>
      <c r="U496" s="20" t="n">
        <v>2026</v>
      </c>
      <c r="V496" s="20" t="n">
        <v>2027</v>
      </c>
      <c r="W496" s="20" t="n">
        <v>2028</v>
      </c>
      <c r="X496" s="20" t="n">
        <v>2029</v>
      </c>
      <c r="Y496" s="20" t="n">
        <v>2030</v>
      </c>
      <c r="Z496" s="20" t="n">
        <v>2031</v>
      </c>
      <c r="AA496" s="20" t="n">
        <v>2032</v>
      </c>
    </row>
    <row r="497" customFormat="false" ht="17.15" hidden="false" customHeight="false" outlineLevel="0" collapsed="false">
      <c r="A497" s="1" t="s">
        <v>909</v>
      </c>
    </row>
    <row r="498" customFormat="false" ht="17.15" hidden="false" customHeight="false" outlineLevel="0" collapsed="false">
      <c r="A498" s="0" t="s">
        <v>910</v>
      </c>
      <c r="B498" s="0" t="s">
        <v>86</v>
      </c>
      <c r="H498" s="38" t="n">
        <f aca="false">Sens!$H$432*(1-tax)</f>
        <v>111.91990923004</v>
      </c>
      <c r="I498" s="38" t="n">
        <f aca="false">Sens!$I$432*(1-tax)</f>
        <v>131.574641596334</v>
      </c>
      <c r="J498" s="38" t="n">
        <f aca="false">Sens!$J$432*(1-tax)</f>
        <v>149.977653973138</v>
      </c>
      <c r="K498" s="38" t="n">
        <f aca="false">Sens!$K$432*(1-tax)</f>
        <v>162.30784231931</v>
      </c>
      <c r="L498" s="38" t="n">
        <f aca="false">Sens!$L$432*(1-tax)</f>
        <v>174.580749618596</v>
      </c>
      <c r="M498" s="38" t="n">
        <f aca="false">Sens!$M$432*(1-tax)</f>
        <v>185.888049500753</v>
      </c>
    </row>
    <row r="499" customFormat="false" ht="15" hidden="false" customHeight="false" outlineLevel="0" collapsed="false">
      <c r="A499" s="5" t="s">
        <v>911</v>
      </c>
      <c r="B499" s="0" t="s">
        <v>86</v>
      </c>
      <c r="H499" s="38" t="n">
        <f aca="false">Sens!$H$443</f>
        <v>84.3469591290926</v>
      </c>
      <c r="I499" s="38" t="n">
        <f aca="false">Sens!$I$443</f>
        <v>117.073838578589</v>
      </c>
      <c r="J499" s="38" t="n">
        <f aca="false">Sens!$J$443</f>
        <v>150.535143485963</v>
      </c>
      <c r="K499" s="38" t="n">
        <f aca="false">Sens!$K$443</f>
        <v>184.226630974683</v>
      </c>
      <c r="L499" s="38" t="n">
        <f aca="false">Sens!$L$443</f>
        <v>207.809738674826</v>
      </c>
      <c r="M499" s="38" t="n">
        <f aca="false">Sens!$M$443</f>
        <v>224.047643923325</v>
      </c>
    </row>
    <row r="500" customFormat="false" ht="15" hidden="false" customHeight="false" outlineLevel="0" collapsed="false">
      <c r="A500" s="5" t="s">
        <v>912</v>
      </c>
      <c r="B500" s="0" t="s">
        <v>86</v>
      </c>
      <c r="H500" s="38" t="n">
        <f aca="false">Sens!$H$474</f>
        <v>273.426724077491</v>
      </c>
      <c r="I500" s="38" t="n">
        <f aca="false">Sens!$I$474</f>
        <v>287.040932150204</v>
      </c>
      <c r="J500" s="38" t="n">
        <f aca="false">Sens!$J$474</f>
        <v>299.380343365903</v>
      </c>
      <c r="K500" s="38" t="n">
        <f aca="false">Sens!$K$474</f>
        <v>251.125118204738</v>
      </c>
      <c r="L500" s="38" t="n">
        <f aca="false">Sens!$L$474</f>
        <v>234.76873682425</v>
      </c>
      <c r="M500" s="38" t="n">
        <f aca="false">Sens!$M$474</f>
        <v>242.368847795051</v>
      </c>
    </row>
    <row r="501" customFormat="false" ht="15" hidden="false" customHeight="false" outlineLevel="0" collapsed="false">
      <c r="A501" s="5" t="s">
        <v>913</v>
      </c>
      <c r="B501" s="0" t="s">
        <v>86</v>
      </c>
      <c r="H501" s="38" t="n">
        <f aca="false">Sens!$H$475</f>
        <v>1.6</v>
      </c>
      <c r="I501" s="38" t="n">
        <f aca="false">Sens!$I$475</f>
        <v>1.6</v>
      </c>
      <c r="J501" s="38" t="n">
        <f aca="false">Sens!$J$475</f>
        <v>1.6</v>
      </c>
      <c r="K501" s="38" t="n">
        <f aca="false">Sens!$K$475</f>
        <v>1.6</v>
      </c>
      <c r="L501" s="38" t="n">
        <f aca="false">Sens!$L$475</f>
        <v>1.6</v>
      </c>
      <c r="M501" s="38" t="n">
        <f aca="false">Sens!$M$475</f>
        <v>1.6</v>
      </c>
    </row>
    <row r="502" customFormat="false" ht="15" hidden="false" customHeight="false" outlineLevel="0" collapsed="false">
      <c r="A502" s="5" t="s">
        <v>914</v>
      </c>
      <c r="B502" s="0" t="s">
        <v>86</v>
      </c>
      <c r="H502" s="38" t="n">
        <f aca="false">Sens!$H$469</f>
        <v>11.222974517398</v>
      </c>
      <c r="I502" s="38" t="n">
        <f aca="false">Sens!$I$469</f>
        <v>12.6569124223699</v>
      </c>
      <c r="J502" s="38" t="n">
        <f aca="false">Sens!$J$469</f>
        <v>14.0254906759686</v>
      </c>
      <c r="K502" s="38" t="n">
        <f aca="false">Sens!$K$469</f>
        <v>15.2270474113325</v>
      </c>
      <c r="L502" s="38" t="n">
        <f aca="false">Sens!$L$469</f>
        <v>16.3687808705387</v>
      </c>
      <c r="M502" s="38" t="n">
        <f aca="false">Sens!$M$469</f>
        <v>17.4550688275753</v>
      </c>
    </row>
    <row r="503" customFormat="false" ht="17.15" hidden="false" customHeight="false" outlineLevel="0" collapsed="false">
      <c r="A503" s="1" t="s">
        <v>915</v>
      </c>
      <c r="B503" s="8" t="s">
        <v>86</v>
      </c>
      <c r="H503" s="38" t="n">
        <f aca="false">Sens!$H$498+Sens!$H$499-Sens!$H$500-Sens!$H$501+Sens!$H$502</f>
        <v>-67.5368812009599</v>
      </c>
      <c r="I503" s="38" t="n">
        <f aca="false">Sens!$I$498+Sens!$I$499-Sens!$I$500-Sens!$I$501+Sens!$I$502</f>
        <v>-27.3355395529108</v>
      </c>
      <c r="J503" s="38" t="n">
        <f aca="false">Sens!$J$498+Sens!$J$499-Sens!$J$500-Sens!$J$501+Sens!$J$502</f>
        <v>13.557944769166</v>
      </c>
      <c r="K503" s="38" t="n">
        <f aca="false">Sens!$K$498+Sens!$K$499-Sens!$K$500-Sens!$K$501+Sens!$K$502</f>
        <v>109.036402500587</v>
      </c>
      <c r="L503" s="38" t="n">
        <f aca="false">Sens!$L$498+Sens!$L$499-Sens!$L$500-Sens!$L$501+Sens!$L$502</f>
        <v>162.39053233971</v>
      </c>
      <c r="M503" s="38" t="n">
        <f aca="false">Sens!$M$498+Sens!$M$499-Sens!$M$500-Sens!$M$501+Sens!$M$502</f>
        <v>183.421914456602</v>
      </c>
    </row>
    <row r="504" customFormat="false" ht="15" hidden="false" customHeight="false" outlineLevel="0" collapsed="false">
      <c r="A504" s="5" t="s">
        <v>916</v>
      </c>
      <c r="B504" s="0" t="s">
        <v>57</v>
      </c>
      <c r="H504" s="40" t="n">
        <f aca="false">1/(1+wacc)^(2027-2026-0.5)</f>
        <v>0.947751320380232</v>
      </c>
      <c r="I504" s="40" t="n">
        <f aca="false">1/(1+wacc)^(2028-2026-0.5)</f>
        <v>0.851301099754987</v>
      </c>
      <c r="J504" s="40" t="n">
        <f aca="false">1/(1+wacc)^(2029-2026-0.5)</f>
        <v>0.764666370660713</v>
      </c>
      <c r="K504" s="40" t="n">
        <f aca="false">1/(1+wacc)^(2030-2026-0.5)</f>
        <v>0.686848235703811</v>
      </c>
      <c r="L504" s="40" t="n">
        <f aca="false">1/(1+wacc)^(2031-2026-0.5)</f>
        <v>0.616949452715975</v>
      </c>
      <c r="M504" s="40" t="n">
        <f aca="false">1/(1+wacc)^(2032-2026-0.5)</f>
        <v>0.554164089562688</v>
      </c>
    </row>
    <row r="505" customFormat="false" ht="15" hidden="false" customHeight="false" outlineLevel="0" collapsed="false">
      <c r="A505" s="5" t="s">
        <v>917</v>
      </c>
      <c r="B505" s="0" t="s">
        <v>86</v>
      </c>
      <c r="H505" s="38" t="n">
        <f aca="false">Sens!$H$503*Sens!$H$504</f>
        <v>-64.0081683325726</v>
      </c>
      <c r="I505" s="38" t="n">
        <f aca="false">Sens!$I$503*Sens!$I$504</f>
        <v>-23.2707748837889</v>
      </c>
      <c r="J505" s="38" t="n">
        <f aca="false">Sens!$J$503*Sens!$J$504</f>
        <v>10.3673044202566</v>
      </c>
      <c r="K505" s="38" t="n">
        <f aca="false">Sens!$K$503*Sens!$K$504</f>
        <v>74.8914606850188</v>
      </c>
      <c r="L505" s="38" t="n">
        <f aca="false">Sens!$L$503*Sens!$L$504</f>
        <v>100.18675005324</v>
      </c>
      <c r="M505" s="38" t="n">
        <f aca="false">Sens!$M$503*Sens!$M$504</f>
        <v>101.645838230688</v>
      </c>
    </row>
    <row r="506" customFormat="false" ht="15" hidden="false" customHeight="false" outlineLevel="0" collapsed="false">
      <c r="A506" s="5" t="s">
        <v>918</v>
      </c>
      <c r="B506" s="0" t="s">
        <v>86</v>
      </c>
      <c r="C506" s="38" t="n">
        <f aca="false">SUM(Sens!$H$505:$M$505)</f>
        <v>199.812410172842</v>
      </c>
    </row>
    <row r="507" customFormat="false" ht="17.15" hidden="false" customHeight="false" outlineLevel="0" collapsed="false">
      <c r="A507" s="5" t="s">
        <v>919</v>
      </c>
      <c r="B507" s="0" t="s">
        <v>86</v>
      </c>
      <c r="C507" s="38" t="n">
        <f aca="false">Sens!$M$498*(1+tg)*(1-tg/ronic)/(wacc-tg)</f>
        <v>1689.92979947396</v>
      </c>
    </row>
    <row r="508" customFormat="false" ht="15" hidden="false" customHeight="false" outlineLevel="0" collapsed="false">
      <c r="A508" s="5" t="s">
        <v>920</v>
      </c>
      <c r="B508" s="0" t="s">
        <v>86</v>
      </c>
      <c r="C508" s="38" t="n">
        <f aca="false">Sens!$C$507/(1+wacc)^6</f>
        <v>887.567603427123</v>
      </c>
    </row>
    <row r="509" customFormat="false" ht="17.15" hidden="false" customHeight="false" outlineLevel="0" collapsed="false">
      <c r="A509" s="5" t="s">
        <v>921</v>
      </c>
      <c r="B509" s="0" t="s">
        <v>86</v>
      </c>
      <c r="C509" s="38" t="n">
        <f aca="false">Sens!$C$506+Sens!$C$508</f>
        <v>1087.38001359996</v>
      </c>
    </row>
    <row r="510" customFormat="false" ht="17.15" hidden="false" customHeight="false" outlineLevel="0" collapsed="false">
      <c r="A510" s="5" t="s">
        <v>922</v>
      </c>
      <c r="B510" s="0" t="s">
        <v>52</v>
      </c>
      <c r="C510" s="13" t="n">
        <f aca="false">Sens!$C$508/Sens!$C$509</f>
        <v>0.816244176209081</v>
      </c>
    </row>
    <row r="511" customFormat="false" ht="17.15" hidden="false" customHeight="false" outlineLevel="0" collapsed="false">
      <c r="A511" s="5" t="s">
        <v>923</v>
      </c>
      <c r="B511" s="0" t="s">
        <v>86</v>
      </c>
      <c r="C511" s="38" t="n">
        <f aca="false">Sens!$G$487+fin_debt</f>
        <v>97.1663124743278</v>
      </c>
    </row>
    <row r="512" customFormat="false" ht="17.15" hidden="false" customHeight="false" outlineLevel="0" collapsed="false">
      <c r="A512" s="5" t="s">
        <v>924</v>
      </c>
      <c r="B512" s="0" t="s">
        <v>86</v>
      </c>
      <c r="C512" s="38" t="n">
        <f aca="false">(ant_val*ant_sh+oai_val*oai_sh)*(1-liq_disc)</f>
        <v>178.944</v>
      </c>
    </row>
    <row r="513" customFormat="false" ht="15" hidden="false" customHeight="false" outlineLevel="0" collapsed="false">
      <c r="A513" s="5" t="s">
        <v>925</v>
      </c>
      <c r="B513" s="0" t="s">
        <v>86</v>
      </c>
      <c r="C513" s="38" t="n">
        <f aca="false">Sens!$C$509-Sens!$C$511+Sens!$C$512</f>
        <v>1169.15770112564</v>
      </c>
    </row>
    <row r="514" customFormat="false" ht="17.15" hidden="false" customHeight="false" outlineLevel="0" collapsed="false">
      <c r="A514" s="5" t="s">
        <v>926</v>
      </c>
      <c r="B514" s="0" t="s">
        <v>27</v>
      </c>
      <c r="C514" s="30" t="n">
        <f aca="false">Sens!$C$513/sh_out</f>
        <v>108.39270033541</v>
      </c>
    </row>
    <row r="515" customFormat="false" ht="17.15" hidden="false" customHeight="false" outlineLevel="0" collapsed="false">
      <c r="A515" s="1" t="s">
        <v>927</v>
      </c>
      <c r="B515" s="8" t="s">
        <v>27</v>
      </c>
      <c r="C515" s="30" t="n">
        <f aca="false">Sens!$C$514*(1+ke)^tp_yf-dps*tp_yf</f>
        <v>118.729987132669</v>
      </c>
    </row>
    <row r="516" customFormat="false" ht="17.15" hidden="false" customHeight="false" outlineLevel="0" collapsed="false">
      <c r="A516" s="3" t="s">
        <v>928</v>
      </c>
    </row>
    <row r="517" customFormat="false" ht="17.15" hidden="false" customHeight="false" outlineLevel="0" collapsed="false">
      <c r="A517" s="5" t="s">
        <v>929</v>
      </c>
      <c r="B517" s="0" t="s">
        <v>86</v>
      </c>
      <c r="C517" s="38" t="n">
        <f aca="false">(1-tp_yf)*(Sens!$H$444+Sens!$H$468*Sens!$H$310/Sens!$H$385)+tp_yf*(Sens!$I$444+Sens!$I$468*Sens!$I$310/Sens!$I$385)</f>
        <v>59.7129480236211</v>
      </c>
    </row>
    <row r="518" customFormat="false" ht="15" hidden="false" customHeight="false" outlineLevel="0" collapsed="false">
      <c r="A518" s="5" t="s">
        <v>930</v>
      </c>
      <c r="B518" s="0" t="s">
        <v>57</v>
      </c>
      <c r="C518" s="30" t="n">
        <f aca="false">m_ads*m_x</f>
        <v>9.11</v>
      </c>
    </row>
    <row r="519" customFormat="false" ht="17.15" hidden="false" customHeight="false" outlineLevel="0" collapsed="false">
      <c r="A519" s="5" t="s">
        <v>931</v>
      </c>
      <c r="B519" s="0" t="s">
        <v>86</v>
      </c>
      <c r="C519" s="38" t="n">
        <f aca="false">Sens!$C$517*Sens!$C$518</f>
        <v>543.984956495188</v>
      </c>
    </row>
    <row r="520" customFormat="false" ht="17.15" hidden="false" customHeight="false" outlineLevel="0" collapsed="false">
      <c r="A520" s="5" t="s">
        <v>932</v>
      </c>
      <c r="B520" s="0" t="s">
        <v>86</v>
      </c>
      <c r="C520" s="38" t="n">
        <f aca="false">(1-tp_yf)*(Sens!$H$445+Sens!$H$468*(Sens!$H$317-Sens!$H$310)/Sens!$H$385+IF(internal_ai_reading=2,1,0)*(1-ext_sh)*Sens!$H$347)+tp_yf*(Sens!$I$445+Sens!$I$468*(Sens!$I$317-Sens!$I$310)/Sens!$I$385+IF(internal_ai_reading=2,1,0)*(1-ext_sh)*Sens!$I$347)</f>
        <v>51.8394753237407</v>
      </c>
    </row>
    <row r="521" customFormat="false" ht="17.15" hidden="false" customHeight="false" outlineLevel="0" collapsed="false">
      <c r="A521" s="5" t="s">
        <v>933</v>
      </c>
      <c r="B521" s="0" t="s">
        <v>57</v>
      </c>
      <c r="C521" s="30" t="n">
        <f aca="false">m_retail*m_x</f>
        <v>17.72</v>
      </c>
    </row>
    <row r="522" customFormat="false" ht="17.15" hidden="false" customHeight="false" outlineLevel="0" collapsed="false">
      <c r="A522" s="5" t="s">
        <v>934</v>
      </c>
      <c r="B522" s="0" t="s">
        <v>86</v>
      </c>
      <c r="C522" s="38" t="n">
        <f aca="false">Sens!$C$520*Sens!$C$521</f>
        <v>918.595502736685</v>
      </c>
    </row>
    <row r="523" customFormat="false" ht="17.15" hidden="false" customHeight="false" outlineLevel="0" collapsed="false">
      <c r="A523" s="0" t="s">
        <v>935</v>
      </c>
      <c r="B523" s="0" t="s">
        <v>86</v>
      </c>
      <c r="C523" s="38" t="n">
        <f aca="false">(1-tp_yf)*(Sens!$H$446+Sens!$H$468*Sens!$H$383/Sens!$H$385)+tp_yf*(Sens!$I$446+Sens!$I$468*Sens!$I$383/Sens!$I$385)</f>
        <v>97.3363031479074</v>
      </c>
    </row>
    <row r="524" customFormat="false" ht="17.15" hidden="false" customHeight="false" outlineLevel="0" collapsed="false">
      <c r="A524" s="0" t="s">
        <v>936</v>
      </c>
      <c r="B524" s="0" t="s">
        <v>57</v>
      </c>
      <c r="C524" s="30" t="n">
        <f aca="false">m_cloud*m_x</f>
        <v>13.82</v>
      </c>
    </row>
    <row r="525" customFormat="false" ht="17.15" hidden="false" customHeight="false" outlineLevel="0" collapsed="false">
      <c r="A525" s="0" t="s">
        <v>937</v>
      </c>
      <c r="B525" s="0" t="s">
        <v>86</v>
      </c>
      <c r="C525" s="38" t="n">
        <f aca="false">Sens!$C$523*Sens!$C$524</f>
        <v>1345.18770950408</v>
      </c>
    </row>
    <row r="526" customFormat="false" ht="17.15" hidden="false" customHeight="false" outlineLevel="0" collapsed="false">
      <c r="A526" s="0" t="s">
        <v>938</v>
      </c>
      <c r="B526" s="0" t="s">
        <v>86</v>
      </c>
      <c r="H526" s="38" t="n">
        <f aca="false">Sens!$H$364-tax*Sens!$H$365-ext_sh*Sens!$H$354</f>
        <v>-120.259960506653</v>
      </c>
      <c r="I526" s="38" t="n">
        <f aca="false">Sens!$I$364-tax*Sens!$I$365-ext_sh*Sens!$I$354</f>
        <v>-99.720222863134</v>
      </c>
      <c r="J526" s="38" t="n">
        <f aca="false">Sens!$J$364-tax*Sens!$J$365-ext_sh*Sens!$J$354</f>
        <v>-78.2555063211933</v>
      </c>
      <c r="K526" s="38" t="n">
        <f aca="false">Sens!$K$364-tax*Sens!$K$365-ext_sh*Sens!$K$354</f>
        <v>-11.9741756934904</v>
      </c>
      <c r="L526" s="38" t="n">
        <f aca="false">Sens!$L$364-tax*Sens!$L$365-ext_sh*Sens!$L$354</f>
        <v>21.3874151533598</v>
      </c>
      <c r="M526" s="38" t="n">
        <f aca="false">Sens!$M$364-tax*Sens!$M$365-ext_sh*Sens!$M$354</f>
        <v>28.5746103680292</v>
      </c>
    </row>
    <row r="527" customFormat="false" ht="17.15" hidden="false" customHeight="false" outlineLevel="0" collapsed="false">
      <c r="A527" s="5" t="s">
        <v>939</v>
      </c>
      <c r="B527" s="0" t="s">
        <v>86</v>
      </c>
      <c r="H527" s="38" t="n">
        <f aca="false">Sens!$H$526*Sens!$H$504</f>
        <v>-113.976536359055</v>
      </c>
      <c r="I527" s="38" t="n">
        <f aca="false">Sens!$I$526*Sens!$I$504</f>
        <v>-84.8919353911984</v>
      </c>
      <c r="J527" s="38" t="n">
        <f aca="false">Sens!$J$526*Sens!$J$504</f>
        <v>-59.8393540028434</v>
      </c>
      <c r="K527" s="38" t="n">
        <f aca="false">Sens!$K$526*Sens!$K$504</f>
        <v>-8.22444144908136</v>
      </c>
      <c r="L527" s="38" t="n">
        <f aca="false">Sens!$L$526*Sens!$L$504</f>
        <v>13.1949540738747</v>
      </c>
      <c r="M527" s="38" t="n">
        <f aca="false">Sens!$M$526*Sens!$M$504</f>
        <v>15.8350229392074</v>
      </c>
    </row>
    <row r="528" customFormat="false" ht="17.15" hidden="false" customHeight="false" outlineLevel="0" collapsed="false">
      <c r="A528" s="5" t="s">
        <v>940</v>
      </c>
      <c r="B528" s="0" t="s">
        <v>86</v>
      </c>
      <c r="C528" s="38" t="n">
        <f aca="false">Sens!$M$365*(1-tax)*(1+tg)*(1-tg/ronic)/(wacc-tg)</f>
        <v>119.825917268383</v>
      </c>
    </row>
    <row r="529" customFormat="false" ht="17.15" hidden="false" customHeight="false" outlineLevel="0" collapsed="false">
      <c r="A529" s="0" t="s">
        <v>941</v>
      </c>
      <c r="B529" s="0" t="s">
        <v>86</v>
      </c>
      <c r="C529" s="38" t="n">
        <f aca="false">(SUM(Sens!$H$527:$M$527)+Sens!$C$528/(1+wacc)^6)*(1+wacc)^tp_yf</f>
        <v>-191.104349749416</v>
      </c>
    </row>
    <row r="530" customFormat="false" ht="17.15" hidden="false" customHeight="false" outlineLevel="0" collapsed="false">
      <c r="A530" s="5" t="s">
        <v>942</v>
      </c>
      <c r="B530" s="0" t="s">
        <v>86</v>
      </c>
      <c r="C530" s="38" t="n">
        <f aca="false">(1-tp_yf)*(Sens!$H$447)+tp_yf*(Sens!$I$447)</f>
        <v>62.206266041067</v>
      </c>
    </row>
    <row r="531" customFormat="false" ht="17.15" hidden="false" customHeight="false" outlineLevel="0" collapsed="false">
      <c r="A531" s="5" t="s">
        <v>943</v>
      </c>
      <c r="B531" s="0" t="s">
        <v>86</v>
      </c>
      <c r="C531" s="38" t="n">
        <f aca="false">Sens!$C$530*m_ai</f>
        <v>373.237596246402</v>
      </c>
    </row>
    <row r="532" customFormat="false" ht="17.15" hidden="false" customHeight="false" outlineLevel="0" collapsed="false">
      <c r="A532" s="0" t="s">
        <v>944</v>
      </c>
      <c r="B532" s="0" t="s">
        <v>86</v>
      </c>
      <c r="C532" s="38" t="n">
        <f aca="false">IF(ai_leg=1,Sens!$C$529,Sens!$C$531)</f>
        <v>-191.104349749416</v>
      </c>
    </row>
    <row r="533" customFormat="false" ht="17.15" hidden="false" customHeight="false" outlineLevel="0" collapsed="false">
      <c r="A533" s="5" t="s">
        <v>945</v>
      </c>
      <c r="B533" s="0" t="s">
        <v>86</v>
      </c>
      <c r="C533" s="38" t="n">
        <f aca="false">Sens!$C$519+Sens!$C$522+Sens!$C$525+Sens!$C$532</f>
        <v>2616.66381898654</v>
      </c>
    </row>
    <row r="534" customFormat="false" ht="17.15" hidden="false" customHeight="false" outlineLevel="0" collapsed="false">
      <c r="A534" s="5" t="s">
        <v>946</v>
      </c>
      <c r="B534" s="0" t="s">
        <v>86</v>
      </c>
      <c r="C534" s="38" t="n">
        <f aca="false">Sens!$H$487+fin_debt</f>
        <v>156.933719939939</v>
      </c>
    </row>
    <row r="535" customFormat="false" ht="15" hidden="false" customHeight="false" outlineLevel="0" collapsed="false">
      <c r="A535" s="5" t="s">
        <v>947</v>
      </c>
      <c r="B535" s="0" t="s">
        <v>86</v>
      </c>
      <c r="C535" s="38" t="n">
        <f aca="false">Sens!$C$533-Sens!$C$534+Sens!$C$512</f>
        <v>2638.6740990466</v>
      </c>
    </row>
    <row r="536" customFormat="false" ht="15" hidden="false" customHeight="false" outlineLevel="0" collapsed="false">
      <c r="A536" s="3" t="s">
        <v>948</v>
      </c>
      <c r="B536" s="8" t="s">
        <v>27</v>
      </c>
      <c r="C536" s="30" t="n">
        <f aca="false">Sens!$C$535/sh_val</f>
        <v>239.220216128625</v>
      </c>
    </row>
    <row r="537" customFormat="false" ht="17.15" hidden="false" customHeight="false" outlineLevel="0" collapsed="false">
      <c r="A537" s="47" t="s">
        <v>949</v>
      </c>
      <c r="B537" s="14" t="s">
        <v>27</v>
      </c>
      <c r="C537" s="44" t="n">
        <f aca="false">w_dcf*Sens!$C$515+(1-w_dcf)*Sens!$C$536</f>
        <v>178.975101630647</v>
      </c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</row>
    <row r="538" customFormat="false" ht="17.15" hidden="false" customHeight="false" outlineLevel="0" collapsed="false">
      <c r="A538" s="5" t="s">
        <v>950</v>
      </c>
      <c r="B538" s="0" t="s">
        <v>27</v>
      </c>
      <c r="C538" s="30" t="n">
        <f aca="false">v022_wdcf*Sens!$C$515+(1-v022_wdcf)*Sens!$C$536</f>
        <v>184.999613080445</v>
      </c>
    </row>
    <row r="539" customFormat="false" ht="17.15" hidden="false" customHeight="false" outlineLevel="0" collapsed="false">
      <c r="A539" s="5" t="s">
        <v>951</v>
      </c>
      <c r="B539" s="0" t="s">
        <v>27</v>
      </c>
      <c r="C539" s="30" t="n">
        <f aca="false">(Sens!$C$535-Sens!$C$532+Sens!$C$531)/sh_val</f>
        <v>290.383033977312</v>
      </c>
    </row>
    <row r="542" customFormat="false" ht="19.4" hidden="false" customHeight="false" outlineLevel="0" collapsed="false">
      <c r="A542" s="31" t="s">
        <v>1137</v>
      </c>
    </row>
    <row r="543" customFormat="false" ht="17.15" hidden="false" customHeight="false" outlineLevel="0" collapsed="false">
      <c r="A543" s="6" t="s">
        <v>16</v>
      </c>
      <c r="B543" s="6" t="s">
        <v>17</v>
      </c>
      <c r="C543" s="20" t="s">
        <v>494</v>
      </c>
      <c r="D543" s="20" t="s">
        <v>495</v>
      </c>
      <c r="E543" s="20" t="s">
        <v>577</v>
      </c>
      <c r="F543" s="20" t="s">
        <v>578</v>
      </c>
      <c r="G543" s="20" t="s">
        <v>579</v>
      </c>
      <c r="H543" s="20" t="s">
        <v>580</v>
      </c>
      <c r="I543" s="20" t="s">
        <v>581</v>
      </c>
      <c r="J543" s="20" t="s">
        <v>582</v>
      </c>
      <c r="K543" s="20" t="s">
        <v>583</v>
      </c>
      <c r="L543" s="20" t="s">
        <v>584</v>
      </c>
      <c r="M543" s="20" t="s">
        <v>585</v>
      </c>
      <c r="N543" s="20" t="s">
        <v>586</v>
      </c>
      <c r="O543" s="20" t="s">
        <v>587</v>
      </c>
      <c r="P543" s="6" t="s">
        <v>23</v>
      </c>
      <c r="R543" s="20" t="n">
        <v>2023</v>
      </c>
      <c r="S543" s="20" t="n">
        <v>2024</v>
      </c>
      <c r="T543" s="20" t="n">
        <v>2025</v>
      </c>
      <c r="U543" s="20" t="n">
        <v>2026</v>
      </c>
      <c r="V543" s="20" t="n">
        <v>2027</v>
      </c>
      <c r="W543" s="20" t="n">
        <v>2028</v>
      </c>
      <c r="X543" s="20" t="n">
        <v>2029</v>
      </c>
      <c r="Y543" s="20" t="n">
        <v>2030</v>
      </c>
      <c r="Z543" s="20" t="n">
        <v>2031</v>
      </c>
      <c r="AA543" s="20" t="n">
        <v>2032</v>
      </c>
    </row>
    <row r="544" customFormat="false" ht="17.15" hidden="false" customHeight="false" outlineLevel="0" collapsed="false">
      <c r="A544" s="1" t="s">
        <v>660</v>
      </c>
    </row>
    <row r="545" customFormat="false" ht="17.15" hidden="false" customHeight="false" outlineLevel="0" collapsed="false">
      <c r="A545" s="0" t="s">
        <v>516</v>
      </c>
      <c r="B545" s="0" t="s">
        <v>86</v>
      </c>
      <c r="C545" s="38" t="n">
        <f aca="false">Q!$D$10</f>
        <v>247.029</v>
      </c>
      <c r="D545" s="38" t="n">
        <f aca="false">Q!$E$10</f>
        <v>269.287</v>
      </c>
      <c r="E545" s="38" t="n">
        <f aca="false">Q!$P$10</f>
        <v>134.686</v>
      </c>
      <c r="F545" s="38" t="n">
        <f aca="false">Sens!$O$545*(1+Sens!$F$546)*Sens!$F$557</f>
        <v>157.113290224242</v>
      </c>
      <c r="G545" s="38" t="n">
        <f aca="false">Sens!$E$545+Sens!$F$545</f>
        <v>291.799290224242</v>
      </c>
      <c r="H545" s="38" t="n">
        <f aca="false">Sens!$G$545*(1+Sens!$H$546)</f>
        <v>316.902392206107</v>
      </c>
      <c r="I545" s="38" t="n">
        <f aca="false">Sens!$H$545*(1+Sens!$I$546)</f>
        <v>340.359224217498</v>
      </c>
      <c r="J545" s="38" t="n">
        <f aca="false">Sens!$I$545*(1+Sens!$J$546)</f>
        <v>361.464747705459</v>
      </c>
      <c r="K545" s="38" t="n">
        <f aca="false">Sens!$J$545*(1+Sens!$K$546)</f>
        <v>379.537985090732</v>
      </c>
      <c r="L545" s="38" t="n">
        <f aca="false">Sens!$K$545*(1+Sens!$L$546)</f>
        <v>398.514884345269</v>
      </c>
      <c r="M545" s="38" t="n">
        <f aca="false">Sens!$L$545*(1+Sens!$M$546)</f>
        <v>418.440628562532</v>
      </c>
      <c r="N545" s="38" t="n">
        <f aca="false">Q!$N$10</f>
        <v>118.892</v>
      </c>
      <c r="O545" s="38" t="n">
        <f aca="false">Q!$O$10</f>
        <v>150.395</v>
      </c>
      <c r="P545" s="8" t="s">
        <v>661</v>
      </c>
    </row>
    <row r="546" customFormat="false" ht="17.15" hidden="false" customHeight="false" outlineLevel="0" collapsed="false">
      <c r="A546" s="0" t="s">
        <v>662</v>
      </c>
      <c r="B546" s="0" t="s">
        <v>52</v>
      </c>
      <c r="E546" s="13" t="n">
        <f aca="false">Sens!$E$545/Sens!$N$545-1</f>
        <v>0.132843252699929</v>
      </c>
      <c r="F546" s="13" t="n">
        <f aca="false">Sens!$O$545/(Q!$F$10+Q!$G$10)-1</f>
        <v>0.0980382135842941</v>
      </c>
      <c r="G546" s="13" t="n">
        <f aca="false">Sens!$G$545/Sens!$D$545-1</f>
        <v>0.083599617598481</v>
      </c>
      <c r="H546" s="13" t="n">
        <f aca="false">Sens!$F$546+(g_os-Sens!$F$546)*1/4</f>
        <v>0.0860286601882206</v>
      </c>
      <c r="I546" s="13" t="n">
        <f aca="false">Sens!$F$546+(g_os-Sens!$F$546)*2/4</f>
        <v>0.074019106792147</v>
      </c>
      <c r="J546" s="13" t="n">
        <f aca="false">Sens!$F$546+(g_os-Sens!$F$546)*3/4</f>
        <v>0.0620095533960735</v>
      </c>
      <c r="K546" s="13" t="n">
        <f aca="false">Sens!$F$546+(g_os-Sens!$F$546)*4/4</f>
        <v>0.05</v>
      </c>
      <c r="L546" s="13" t="n">
        <f aca="false">g_os</f>
        <v>0.05</v>
      </c>
      <c r="M546" s="13" t="n">
        <f aca="false">g_os</f>
        <v>0.05</v>
      </c>
      <c r="P546" s="8" t="s">
        <v>663</v>
      </c>
    </row>
    <row r="547" customFormat="false" ht="17.15" hidden="false" customHeight="false" outlineLevel="0" collapsed="false">
      <c r="A547" s="0" t="s">
        <v>517</v>
      </c>
      <c r="B547" s="0" t="s">
        <v>86</v>
      </c>
      <c r="C547" s="38" t="n">
        <f aca="false">Q!$D$11</f>
        <v>21.215</v>
      </c>
      <c r="D547" s="38" t="n">
        <f aca="false">Q!$E$11</f>
        <v>22.561</v>
      </c>
      <c r="E547" s="38" t="n">
        <f aca="false">Q!$P$11</f>
        <v>11.579</v>
      </c>
      <c r="F547" s="38" t="n">
        <f aca="false">Sens!$O$547*(1+Sens!$F$548)*Sens!$F$557</f>
        <v>11.507403099605</v>
      </c>
      <c r="G547" s="38" t="n">
        <f aca="false">Sens!$E$547+Sens!$F$547</f>
        <v>23.086403099605</v>
      </c>
      <c r="H547" s="38" t="n">
        <f aca="false">Sens!$G$547*(1+Sens!$H$548)</f>
        <v>24.2625182973931</v>
      </c>
      <c r="I547" s="38" t="n">
        <f aca="false">Sens!$H$547*(1+Sens!$I$548)</f>
        <v>25.3291643375229</v>
      </c>
      <c r="J547" s="38" t="n">
        <f aca="false">Sens!$I$547*(1+Sens!$J$548)</f>
        <v>26.2658711475741</v>
      </c>
      <c r="K547" s="38" t="n">
        <f aca="false">Sens!$J$547*(1+Sens!$K$548)</f>
        <v>27.0538472820013</v>
      </c>
      <c r="L547" s="38" t="n">
        <f aca="false">Sens!$K$547*(1+Sens!$L$548)</f>
        <v>27.8654627004614</v>
      </c>
      <c r="M547" s="38" t="n">
        <f aca="false">Sens!$L$547*(1+Sens!$M$548)</f>
        <v>28.7014265814752</v>
      </c>
      <c r="N547" s="38" t="n">
        <f aca="false">Q!$N$11</f>
        <v>11.128</v>
      </c>
      <c r="O547" s="38" t="n">
        <f aca="false">Q!$O$11</f>
        <v>11.433</v>
      </c>
      <c r="P547" s="8" t="s">
        <v>661</v>
      </c>
    </row>
    <row r="548" customFormat="false" ht="17.15" hidden="false" customHeight="false" outlineLevel="0" collapsed="false">
      <c r="A548" s="0" t="s">
        <v>664</v>
      </c>
      <c r="B548" s="0" t="s">
        <v>52</v>
      </c>
      <c r="E548" s="13" t="n">
        <f aca="false">Sens!$E$547/Sens!$N$547-1</f>
        <v>0.0405283968368082</v>
      </c>
      <c r="F548" s="13" t="n">
        <f aca="false">Sens!$O$547/(Q!$F$11+Q!$G$11)-1</f>
        <v>0.0579254187100955</v>
      </c>
      <c r="G548" s="13" t="n">
        <f aca="false">Sens!$G$547/Sens!$D$547-1</f>
        <v>0.0232881122115611</v>
      </c>
      <c r="H548" s="13" t="n">
        <f aca="false">Sens!$F$548+(g_ps-Sens!$F$548)*1/4</f>
        <v>0.0509440640325716</v>
      </c>
      <c r="I548" s="13" t="n">
        <f aca="false">Sens!$F$548+(g_ps-Sens!$F$548)*2/4</f>
        <v>0.0439627093550477</v>
      </c>
      <c r="J548" s="13" t="n">
        <f aca="false">Sens!$F$548+(g_ps-Sens!$F$548)*3/4</f>
        <v>0.0369813546775239</v>
      </c>
      <c r="K548" s="13" t="n">
        <f aca="false">Sens!$F$548+(g_ps-Sens!$F$548)*4/4</f>
        <v>0.03</v>
      </c>
      <c r="L548" s="13" t="n">
        <f aca="false">g_ps</f>
        <v>0.03</v>
      </c>
      <c r="M548" s="13" t="n">
        <f aca="false">g_ps</f>
        <v>0.03</v>
      </c>
      <c r="P548" s="8" t="s">
        <v>665</v>
      </c>
    </row>
    <row r="549" customFormat="false" ht="17.15" hidden="false" customHeight="false" outlineLevel="0" collapsed="false">
      <c r="A549" s="0" t="s">
        <v>518</v>
      </c>
      <c r="B549" s="0" t="s">
        <v>86</v>
      </c>
      <c r="C549" s="38" t="n">
        <f aca="false">Q!$D$12</f>
        <v>156.146</v>
      </c>
      <c r="D549" s="38" t="n">
        <f aca="false">Q!$E$12</f>
        <v>172.162</v>
      </c>
      <c r="E549" s="38" t="n">
        <f aca="false">Q!$P$12</f>
        <v>88.358</v>
      </c>
      <c r="F549" s="38" t="n">
        <f aca="false">Sens!$O$549*(1+Sens!$F$550)*Sens!$F$557</f>
        <v>101.243619643361</v>
      </c>
      <c r="G549" s="38" t="n">
        <f aca="false">Sens!$E$549+Sens!$F$549</f>
        <v>189.601619643361</v>
      </c>
      <c r="H549" s="38" t="n">
        <f aca="false">Sens!$G$549*(1+Sens!$H$550)</f>
        <v>209.502486570264</v>
      </c>
      <c r="I549" s="38" t="n">
        <f aca="false">Sens!$H$549*(1+Sens!$I$550)</f>
        <v>229.050672194429</v>
      </c>
      <c r="J549" s="38" t="n">
        <f aca="false">Sens!$I$549*(1+Sens!$J$550)</f>
        <v>247.753536208029</v>
      </c>
      <c r="K549" s="38" t="n">
        <f aca="false">Sens!$J$549*(1+Sens!$K$550)</f>
        <v>265.096283742591</v>
      </c>
      <c r="L549" s="38" t="n">
        <f aca="false">Sens!$K$549*(1+Sens!$L$550)</f>
        <v>283.653023604572</v>
      </c>
      <c r="M549" s="38" t="n">
        <f aca="false">Sens!$L$549*(1+Sens!$M$550)</f>
        <v>303.508735256893</v>
      </c>
      <c r="N549" s="38" t="n">
        <f aca="false">Q!$N$12</f>
        <v>76.86</v>
      </c>
      <c r="O549" s="38" t="n">
        <f aca="false">Q!$O$12</f>
        <v>95.302</v>
      </c>
      <c r="P549" s="8" t="s">
        <v>661</v>
      </c>
    </row>
    <row r="550" customFormat="false" ht="17.15" hidden="false" customHeight="false" outlineLevel="0" collapsed="false">
      <c r="A550" s="0" t="s">
        <v>666</v>
      </c>
      <c r="B550" s="0" t="s">
        <v>52</v>
      </c>
      <c r="E550" s="13" t="n">
        <f aca="false">Sens!$E$549/Sens!$N$549-1</f>
        <v>0.1495966692688</v>
      </c>
      <c r="F550" s="13" t="n">
        <f aca="false">Sens!$O$549/(Q!$F$12+Q!$G$12)-1</f>
        <v>0.11661530890813</v>
      </c>
      <c r="G550" s="13" t="n">
        <f aca="false">Sens!$G$549/Sens!$D$549-1</f>
        <v>0.101297729135122</v>
      </c>
      <c r="H550" s="13" t="n">
        <f aca="false">Sens!$F$550+(g_sp-Sens!$F$550)*1/4</f>
        <v>0.104961481681098</v>
      </c>
      <c r="I550" s="13" t="n">
        <f aca="false">Sens!$F$550+(g_sp-Sens!$F$550)*2/4</f>
        <v>0.0933076544540651</v>
      </c>
      <c r="J550" s="13" t="n">
        <f aca="false">Sens!$F$550+(g_sp-Sens!$F$550)*3/4</f>
        <v>0.0816538272270325</v>
      </c>
      <c r="K550" s="13" t="n">
        <f aca="false">Sens!$F$550+(g_sp-Sens!$F$550)*4/4</f>
        <v>0.07</v>
      </c>
      <c r="L550" s="13" t="n">
        <f aca="false">g_sp</f>
        <v>0.07</v>
      </c>
      <c r="M550" s="13" t="n">
        <f aca="false">g_sp</f>
        <v>0.07</v>
      </c>
      <c r="P550" s="8" t="s">
        <v>667</v>
      </c>
    </row>
    <row r="551" customFormat="false" ht="17.15" hidden="false" customHeight="false" outlineLevel="0" collapsed="false">
      <c r="A551" s="0" t="s">
        <v>519</v>
      </c>
      <c r="B551" s="0" t="s">
        <v>86</v>
      </c>
      <c r="C551" s="38" t="n">
        <f aca="false">Q!$D$13</f>
        <v>56.214</v>
      </c>
      <c r="D551" s="38" t="n">
        <f aca="false">Q!$E$13</f>
        <v>68.635</v>
      </c>
      <c r="E551" s="38" t="n">
        <f aca="false">Q!$P$13</f>
        <v>37.052</v>
      </c>
      <c r="F551" s="38" t="n">
        <f aca="false">Sens!$O$551*(1+Sens!$F$552)*Sens!$F$557</f>
        <v>45.8129724328866</v>
      </c>
      <c r="G551" s="38" t="n">
        <f aca="false">Sens!$E$551+Sens!$F$551</f>
        <v>82.8649724328866</v>
      </c>
      <c r="H551" s="38" t="n">
        <f aca="false">Sens!$G$551*(1+Sens!$H$552)</f>
        <v>99.4836332006443</v>
      </c>
      <c r="I551" s="38" t="n">
        <f aca="false">Sens!$H$551*(1+Sens!$I$552)</f>
        <v>116.100788536599</v>
      </c>
      <c r="J551" s="38" t="n">
        <f aca="false">Sens!$I$551*(1+Sens!$J$552)</f>
        <v>131.602221107055</v>
      </c>
      <c r="K551" s="38" t="n">
        <f aca="false">Sens!$J$551*(1+Sens!$K$552)</f>
        <v>144.76244321776</v>
      </c>
      <c r="L551" s="38" t="n">
        <f aca="false">Sens!$K$551*(1+Sens!$L$552)</f>
        <v>159.238687539536</v>
      </c>
      <c r="M551" s="38" t="n">
        <f aca="false">Sens!$L$551*(1+Sens!$M$552)</f>
        <v>175.16255629349</v>
      </c>
      <c r="N551" s="38" t="n">
        <f aca="false">Q!$N$13</f>
        <v>29.615</v>
      </c>
      <c r="O551" s="38" t="n">
        <f aca="false">Q!$O$13</f>
        <v>39.02</v>
      </c>
      <c r="P551" s="8" t="s">
        <v>661</v>
      </c>
    </row>
    <row r="552" customFormat="false" ht="17.15" hidden="false" customHeight="false" outlineLevel="0" collapsed="false">
      <c r="A552" s="0" t="s">
        <v>668</v>
      </c>
      <c r="B552" s="0" t="s">
        <v>52</v>
      </c>
      <c r="E552" s="13" t="n">
        <f aca="false">Sens!$E$551/Sens!$N$551-1</f>
        <v>0.25112274185379</v>
      </c>
      <c r="F552" s="13" t="n">
        <f aca="false">Sens!$O$551/(Q!$F$13+Q!$G$13)-1</f>
        <v>0.234068123596572</v>
      </c>
      <c r="G552" s="13" t="n">
        <f aca="false">Sens!$G$551/Sens!$D$551-1</f>
        <v>0.20732822077492</v>
      </c>
      <c r="H552" s="13" t="n">
        <f aca="false">Sens!$F$552+(g_ad-Sens!$F$552)*1/4</f>
        <v>0.200551092697429</v>
      </c>
      <c r="I552" s="13" t="n">
        <f aca="false">Sens!$F$552+(g_ad-Sens!$F$552)*2/4</f>
        <v>0.167034061798286</v>
      </c>
      <c r="J552" s="13" t="n">
        <f aca="false">Sens!$F$552+(g_ad-Sens!$F$552)*3/4</f>
        <v>0.133517030899143</v>
      </c>
      <c r="K552" s="13" t="n">
        <f aca="false">Sens!$F$552+(g_ad-Sens!$F$552)*4/4</f>
        <v>0.1</v>
      </c>
      <c r="L552" s="13" t="n">
        <f aca="false">g_ad</f>
        <v>0.1</v>
      </c>
      <c r="M552" s="13" t="n">
        <f aca="false">g_ad</f>
        <v>0.1</v>
      </c>
      <c r="P552" s="8" t="s">
        <v>669</v>
      </c>
    </row>
    <row r="553" customFormat="false" ht="17.15" hidden="false" customHeight="false" outlineLevel="0" collapsed="false">
      <c r="A553" s="0" t="s">
        <v>520</v>
      </c>
      <c r="B553" s="0" t="s">
        <v>86</v>
      </c>
      <c r="C553" s="38" t="n">
        <f aca="false">Q!$D$14</f>
        <v>44.374</v>
      </c>
      <c r="D553" s="38" t="n">
        <f aca="false">Q!$E$14</f>
        <v>49.619</v>
      </c>
      <c r="E553" s="38" t="n">
        <f aca="false">Q!$P$14</f>
        <v>27.157</v>
      </c>
      <c r="F553" s="38" t="n">
        <f aca="false">Sens!$O$553*(1+Sens!$F$554)*Sens!$F$557</f>
        <v>27.5692546678803</v>
      </c>
      <c r="G553" s="38" t="n">
        <f aca="false">Sens!$E$553+Sens!$F$553</f>
        <v>54.7262546678803</v>
      </c>
      <c r="H553" s="38" t="n">
        <f aca="false">Sens!$G$553*(1+Sens!$H$554)</f>
        <v>60.9257815042157</v>
      </c>
      <c r="I553" s="38" t="n">
        <f aca="false">Sens!$H$553*(1+Sens!$I$554)</f>
        <v>66.9485995546002</v>
      </c>
      <c r="J553" s="38" t="n">
        <f aca="false">Sens!$I$553*(1+Sens!$J$554)</f>
        <v>72.600902399424</v>
      </c>
      <c r="K553" s="38" t="n">
        <f aca="false">Sens!$J$553*(1+Sens!$K$554)</f>
        <v>77.6829655673837</v>
      </c>
      <c r="L553" s="38" t="n">
        <f aca="false">Sens!$K$553*(1+Sens!$L$554)</f>
        <v>83.1207731571006</v>
      </c>
      <c r="M553" s="38" t="n">
        <f aca="false">Sens!$L$553*(1+Sens!$M$554)</f>
        <v>88.9392272780976</v>
      </c>
      <c r="N553" s="38" t="n">
        <f aca="false">Q!$N$14</f>
        <v>23.923</v>
      </c>
      <c r="O553" s="38" t="n">
        <f aca="false">Q!$O$14</f>
        <v>25.696</v>
      </c>
      <c r="P553" s="8" t="s">
        <v>661</v>
      </c>
    </row>
    <row r="554" customFormat="false" ht="17.15" hidden="false" customHeight="false" outlineLevel="0" collapsed="false">
      <c r="A554" s="0" t="s">
        <v>670</v>
      </c>
      <c r="B554" s="0" t="s">
        <v>52</v>
      </c>
      <c r="E554" s="13" t="n">
        <f aca="false">Sens!$E$553/Sens!$N$553-1</f>
        <v>0.135183714417088</v>
      </c>
      <c r="F554" s="13" t="n">
        <f aca="false">Sens!$O$553/(Q!$F$14+Q!$G$14)-1</f>
        <v>0.127709997366804</v>
      </c>
      <c r="G554" s="13" t="n">
        <f aca="false">Sens!$G$553/Sens!$D$553-1</f>
        <v>0.102929415503744</v>
      </c>
      <c r="H554" s="13" t="n">
        <f aca="false">Sens!$F$554+(g_sub-Sens!$F$554)*1/4</f>
        <v>0.113282498025103</v>
      </c>
      <c r="I554" s="13" t="n">
        <f aca="false">Sens!$F$554+(g_sub-Sens!$F$554)*2/4</f>
        <v>0.0988549986834021</v>
      </c>
      <c r="J554" s="13" t="n">
        <f aca="false">Sens!$F$554+(g_sub-Sens!$F$554)*3/4</f>
        <v>0.084427499341701</v>
      </c>
      <c r="K554" s="13" t="n">
        <f aca="false">Sens!$F$554+(g_sub-Sens!$F$554)*4/4</f>
        <v>0.07</v>
      </c>
      <c r="L554" s="13" t="n">
        <f aca="false">g_sub</f>
        <v>0.07</v>
      </c>
      <c r="M554" s="13" t="n">
        <f aca="false">g_sub</f>
        <v>0.07</v>
      </c>
      <c r="P554" s="8" t="s">
        <v>671</v>
      </c>
    </row>
    <row r="555" customFormat="false" ht="17.15" hidden="false" customHeight="false" outlineLevel="0" collapsed="false">
      <c r="A555" s="0" t="s">
        <v>521</v>
      </c>
      <c r="B555" s="0" t="s">
        <v>86</v>
      </c>
      <c r="C555" s="38" t="n">
        <f aca="false">Q!$D$15</f>
        <v>5.425</v>
      </c>
      <c r="D555" s="38" t="n">
        <f aca="false">Q!$E$15</f>
        <v>5.935</v>
      </c>
      <c r="E555" s="38" t="n">
        <f aca="false">Q!$P$15</f>
        <v>3.474</v>
      </c>
      <c r="F555" s="38" t="n">
        <f aca="false">Sens!$O$555*(1+Sens!$F$556)*Sens!$F$557</f>
        <v>3.19843173274389</v>
      </c>
      <c r="G555" s="38" t="n">
        <f aca="false">Sens!$E$555+Sens!$F$555</f>
        <v>6.67243173274389</v>
      </c>
      <c r="H555" s="38" t="n">
        <f aca="false">Sens!$G$555*(1+Sens!$H$556)</f>
        <v>7.1368070087357</v>
      </c>
      <c r="I555" s="38" t="n">
        <f aca="false">Sens!$H$555*(1+Sens!$I$556)</f>
        <v>7.58688311728696</v>
      </c>
      <c r="J555" s="38" t="n">
        <f aca="false">Sens!$I$555*(1+Sens!$J$556)</f>
        <v>8.01578506547358</v>
      </c>
      <c r="K555" s="38" t="n">
        <f aca="false">Sens!$J$555*(1+Sens!$K$556)</f>
        <v>8.41657431874726</v>
      </c>
      <c r="L555" s="38" t="n">
        <f aca="false">Sens!$K$555*(1+Sens!$L$556)</f>
        <v>8.83740303468462</v>
      </c>
      <c r="M555" s="38" t="n">
        <f aca="false">Sens!$L$555*(1+Sens!$M$556)</f>
        <v>9.27927318641885</v>
      </c>
      <c r="N555" s="38" t="n">
        <f aca="false">Q!$N$15</f>
        <v>2.811</v>
      </c>
      <c r="O555" s="38" t="n">
        <f aca="false">Q!$O$15</f>
        <v>3.124</v>
      </c>
      <c r="P555" s="8" t="s">
        <v>661</v>
      </c>
    </row>
    <row r="556" customFormat="false" ht="17.15" hidden="false" customHeight="false" outlineLevel="0" collapsed="false">
      <c r="A556" s="0" t="s">
        <v>672</v>
      </c>
      <c r="B556" s="0" t="s">
        <v>52</v>
      </c>
      <c r="E556" s="13" t="n">
        <f aca="false">Sens!$E$555/Sens!$N$555-1</f>
        <v>0.235859124866596</v>
      </c>
      <c r="F556" s="13" t="n">
        <f aca="false">Sens!$O$555/(Q!$F$15+Q!$G$15)-1</f>
        <v>0.0761281433000345</v>
      </c>
      <c r="G556" s="13" t="n">
        <f aca="false">Sens!$G$555/Sens!$D$555-1</f>
        <v>0.124251345028456</v>
      </c>
      <c r="H556" s="13" t="n">
        <f aca="false">Sens!$F$556+(g_ot-Sens!$F$556)*1/4</f>
        <v>0.0695961074750259</v>
      </c>
      <c r="I556" s="13" t="n">
        <f aca="false">Sens!$F$556+(g_ot-Sens!$F$556)*2/4</f>
        <v>0.0630640716500172</v>
      </c>
      <c r="J556" s="13" t="n">
        <f aca="false">Sens!$F$556+(g_ot-Sens!$F$556)*3/4</f>
        <v>0.0565320358250086</v>
      </c>
      <c r="K556" s="13" t="n">
        <f aca="false">Sens!$F$556+(g_ot-Sens!$F$556)*4/4</f>
        <v>0.05</v>
      </c>
      <c r="L556" s="13" t="n">
        <f aca="false">g_ot</f>
        <v>0.05</v>
      </c>
      <c r="M556" s="13" t="n">
        <f aca="false">g_ot</f>
        <v>0.05</v>
      </c>
      <c r="P556" s="8" t="s">
        <v>673</v>
      </c>
    </row>
    <row r="557" customFormat="false" ht="17.15" hidden="false" customHeight="false" outlineLevel="0" collapsed="false">
      <c r="A557" s="0" t="s">
        <v>674</v>
      </c>
      <c r="B557" s="0" t="s">
        <v>57</v>
      </c>
      <c r="F557" s="40" t="n">
        <f aca="false">(g26q3_mid*Q!$O$8/Q!$J$8-Sens!$F$586-Sens!$F$590)/(Sens!$O$545*(1+Sens!$F$546)+Sens!$O$547*(1+Sens!$F$548)+Sens!$O$549*(1+Sens!$F$550)+Sens!$O$551*(1+Sens!$F$552)+Sens!$O$553*(1+Sens!$F$554)+Sens!$O$555*(1+Sens!$F$556))</f>
        <v>0.951397642652103</v>
      </c>
      <c r="P557" s="8" t="s">
        <v>675</v>
      </c>
    </row>
    <row r="558" customFormat="false" ht="17.15" hidden="false" customHeight="false" outlineLevel="0" collapsed="false">
      <c r="A558" s="3" t="s">
        <v>676</v>
      </c>
      <c r="B558" s="8" t="s">
        <v>86</v>
      </c>
      <c r="C558" s="38" t="n">
        <f aca="false">Sens!$C$545+Sens!$C$547+Sens!$C$549+Sens!$C$551+Sens!$C$553+Sens!$C$555</f>
        <v>530.403</v>
      </c>
      <c r="D558" s="38" t="n">
        <f aca="false">Sens!$D$545+Sens!$D$547+Sens!$D$549+Sens!$D$551+Sens!$D$553+Sens!$D$555</f>
        <v>588.199</v>
      </c>
      <c r="E558" s="38" t="n">
        <f aca="false">Sens!$E$545+Sens!$E$547+Sens!$E$549+Sens!$E$551+Sens!$E$553+Sens!$E$555</f>
        <v>302.306</v>
      </c>
      <c r="F558" s="38" t="n">
        <f aca="false">Sens!$F$545+Sens!$F$547+Sens!$F$549+Sens!$F$551+Sens!$F$553+Sens!$F$555</f>
        <v>346.444971800719</v>
      </c>
      <c r="G558" s="38" t="n">
        <f aca="false">Sens!$G$545+Sens!$G$547+Sens!$G$549+Sens!$G$551+Sens!$G$553+Sens!$G$555</f>
        <v>648.750971800719</v>
      </c>
      <c r="H558" s="38" t="n">
        <f aca="false">Sens!$H$545+Sens!$H$547+Sens!$H$549+Sens!$H$551+Sens!$H$553+Sens!$H$555</f>
        <v>718.21361878736</v>
      </c>
      <c r="I558" s="38" t="n">
        <f aca="false">Sens!$I$545+Sens!$I$547+Sens!$I$549+Sens!$I$551+Sens!$I$553+Sens!$I$555</f>
        <v>785.375331957936</v>
      </c>
      <c r="J558" s="38" t="n">
        <f aca="false">Sens!$J$545+Sens!$J$547+Sens!$J$549+Sens!$J$551+Sens!$J$553+Sens!$J$555</f>
        <v>847.703063633015</v>
      </c>
      <c r="K558" s="38" t="n">
        <f aca="false">Sens!$K$545+Sens!$K$547+Sens!$K$549+Sens!$K$551+Sens!$K$553+Sens!$K$555</f>
        <v>902.550099219216</v>
      </c>
      <c r="L558" s="38" t="n">
        <f aca="false">Sens!$L$545+Sens!$L$547+Sens!$L$549+Sens!$L$551+Sens!$L$553+Sens!$L$555</f>
        <v>961.230234381624</v>
      </c>
      <c r="M558" s="38" t="n">
        <f aca="false">Sens!$M$545+Sens!$M$547+Sens!$M$549+Sens!$M$551+Sens!$M$553+Sens!$M$555</f>
        <v>1024.03184715891</v>
      </c>
      <c r="N558" s="38" t="n">
        <f aca="false">Sens!$N$545+Sens!$N$547+Sens!$N$549+Sens!$N$551+Sens!$N$553+Sens!$N$555</f>
        <v>263.229</v>
      </c>
      <c r="O558" s="38" t="n">
        <f aca="false">Sens!$O$545+Sens!$O$547+Sens!$O$549+Sens!$O$551+Sens!$O$553+Sens!$O$555</f>
        <v>324.97</v>
      </c>
    </row>
    <row r="559" customFormat="false" ht="17.15" hidden="false" customHeight="false" outlineLevel="0" collapsed="false">
      <c r="A559" s="5" t="s">
        <v>677</v>
      </c>
      <c r="B559" s="0" t="s">
        <v>52</v>
      </c>
      <c r="C559" s="13" t="n">
        <f aca="false">Q!$D$5/(Q!$D$5+Q!$D$6)</f>
        <v>0.730570905519011</v>
      </c>
      <c r="D559" s="13" t="n">
        <f aca="false">Q!$E$5/(Q!$E$5+Q!$E$6)</f>
        <v>0.724763217890544</v>
      </c>
      <c r="E559" s="13" t="n">
        <f aca="false">Q!$P$5/(Q!$P$5+Q!$P$6)</f>
        <v>0.728797972914861</v>
      </c>
      <c r="F559" s="13" t="n">
        <f aca="false">Sens!$O$559</f>
        <v>0.718066283041511</v>
      </c>
      <c r="G559" s="13" t="n">
        <f aca="false">Sens!$G$560/Sens!$G$558</f>
        <v>0.723067052797351</v>
      </c>
      <c r="H559" s="13" t="n">
        <f aca="false">Sens!$G$559</f>
        <v>0.723067052797351</v>
      </c>
      <c r="I559" s="13" t="n">
        <f aca="false">Sens!$G$559</f>
        <v>0.723067052797351</v>
      </c>
      <c r="J559" s="13" t="n">
        <f aca="false">Sens!$G$559</f>
        <v>0.723067052797351</v>
      </c>
      <c r="K559" s="13" t="n">
        <f aca="false">Sens!$G$559</f>
        <v>0.723067052797351</v>
      </c>
      <c r="L559" s="13" t="n">
        <f aca="false">Sens!$G$559</f>
        <v>0.723067052797351</v>
      </c>
      <c r="M559" s="13" t="n">
        <f aca="false">Sens!$G$559</f>
        <v>0.723067052797351</v>
      </c>
      <c r="N559" s="13" t="n">
        <f aca="false">Q!$N$5/(Q!$N$5+Q!$N$6)</f>
        <v>0.733030935041352</v>
      </c>
      <c r="O559" s="13" t="n">
        <f aca="false">Q!$O$5/(Q!$O$5+Q!$O$6)</f>
        <v>0.718066283041511</v>
      </c>
      <c r="P559" s="8" t="s">
        <v>678</v>
      </c>
    </row>
    <row r="560" customFormat="false" ht="17.15" hidden="false" customHeight="false" outlineLevel="0" collapsed="false">
      <c r="A560" s="1" t="s">
        <v>509</v>
      </c>
      <c r="B560" s="8" t="s">
        <v>86</v>
      </c>
      <c r="C560" s="38" t="n">
        <f aca="false">Q!$D$5</f>
        <v>387.497</v>
      </c>
      <c r="D560" s="38" t="n">
        <f aca="false">Q!$E$5</f>
        <v>426.305</v>
      </c>
      <c r="E560" s="38" t="n">
        <f aca="false">Q!$P$5</f>
        <v>220.32</v>
      </c>
      <c r="F560" s="38" t="n">
        <f aca="false">Sens!$F$558*Sens!$F$559</f>
        <v>248.770453179363</v>
      </c>
      <c r="G560" s="38" t="n">
        <f aca="false">Sens!$E$560+Sens!$F$560</f>
        <v>469.090453179363</v>
      </c>
      <c r="H560" s="38" t="n">
        <f aca="false">Sens!$H$558*Sens!$H$559</f>
        <v>519.316604615497</v>
      </c>
      <c r="I560" s="38" t="n">
        <f aca="false">Sens!$I$558*Sens!$I$559</f>
        <v>567.879026618566</v>
      </c>
      <c r="J560" s="38" t="n">
        <f aca="false">Sens!$J$558*Sens!$J$559</f>
        <v>612.94615586841</v>
      </c>
      <c r="K560" s="38" t="n">
        <f aca="false">Sens!$K$558*Sens!$K$559</f>
        <v>652.604240244395</v>
      </c>
      <c r="L560" s="38" t="n">
        <f aca="false">Sens!$L$558*Sens!$L$559</f>
        <v>695.033912634028</v>
      </c>
      <c r="M560" s="38" t="n">
        <f aca="false">Sens!$M$558*Sens!$M$559</f>
        <v>740.443689695818</v>
      </c>
      <c r="N560" s="38" t="n">
        <f aca="false">Q!$N$5</f>
        <v>192.955</v>
      </c>
      <c r="O560" s="38" t="n">
        <f aca="false">Q!$O$5</f>
        <v>233.35</v>
      </c>
      <c r="P560" s="5" t="s">
        <v>679</v>
      </c>
    </row>
    <row r="561" customFormat="false" ht="17.15" hidden="false" customHeight="false" outlineLevel="0" collapsed="false">
      <c r="A561" s="1" t="s">
        <v>512</v>
      </c>
      <c r="B561" s="8" t="s">
        <v>86</v>
      </c>
      <c r="C561" s="38" t="n">
        <f aca="false">Q!$D$6</f>
        <v>142.906</v>
      </c>
      <c r="D561" s="38" t="n">
        <f aca="false">Q!$E$6</f>
        <v>161.894</v>
      </c>
      <c r="E561" s="38" t="n">
        <f aca="false">Q!$P$6</f>
        <v>81.986</v>
      </c>
      <c r="F561" s="38" t="n">
        <f aca="false">Sens!$F$558*(1-Sens!$F$559)</f>
        <v>97.6745186213554</v>
      </c>
      <c r="G561" s="38" t="n">
        <f aca="false">Sens!$E$561+Sens!$F$561</f>
        <v>179.660518621355</v>
      </c>
      <c r="H561" s="38" t="n">
        <f aca="false">Sens!$H$558*(1-Sens!$H$559)</f>
        <v>198.897014171863</v>
      </c>
      <c r="I561" s="38" t="n">
        <f aca="false">Sens!$I$558*(1-Sens!$I$559)</f>
        <v>217.49630533937</v>
      </c>
      <c r="J561" s="38" t="n">
        <f aca="false">Sens!$J$558*(1-Sens!$J$559)</f>
        <v>234.756907764605</v>
      </c>
      <c r="K561" s="38" t="n">
        <f aca="false">Sens!$K$558*(1-Sens!$K$559)</f>
        <v>249.94585897482</v>
      </c>
      <c r="L561" s="38" t="n">
        <f aca="false">Sens!$L$558*(1-Sens!$L$559)</f>
        <v>266.196321747596</v>
      </c>
      <c r="M561" s="38" t="n">
        <f aca="false">Sens!$M$558*(1-Sens!$M$559)</f>
        <v>283.588157463088</v>
      </c>
      <c r="N561" s="38" t="n">
        <f aca="false">Q!$N$6</f>
        <v>70.274</v>
      </c>
      <c r="O561" s="38" t="n">
        <f aca="false">Q!$O$6</f>
        <v>91.62</v>
      </c>
      <c r="P561" s="5" t="s">
        <v>680</v>
      </c>
    </row>
    <row r="562" customFormat="false" ht="17.15" hidden="false" customHeight="false" outlineLevel="0" collapsed="false">
      <c r="A562" s="5" t="s">
        <v>681</v>
      </c>
      <c r="B562" s="0" t="s">
        <v>86</v>
      </c>
      <c r="C562" s="38" t="n">
        <f aca="false">Sens!$C$551*Sens!$C$559</f>
        <v>41.0683128828457</v>
      </c>
      <c r="D562" s="38" t="n">
        <f aca="false">Sens!$D$551*Sens!$D$559</f>
        <v>49.7441234599175</v>
      </c>
      <c r="E562" s="38" t="n">
        <f aca="false">Sens!$E$551*Sens!$E$559</f>
        <v>27.0034224924414</v>
      </c>
      <c r="F562" s="38" t="n">
        <f aca="false">Sens!$F$551*Sens!$F$559</f>
        <v>32.8967508299661</v>
      </c>
      <c r="G562" s="38" t="n">
        <f aca="false">Sens!$G$551*Sens!$G$559</f>
        <v>59.9169313971811</v>
      </c>
      <c r="H562" s="38" t="n">
        <f aca="false">Sens!$H$551*Sens!$H$559</f>
        <v>71.9333374599626</v>
      </c>
      <c r="I562" s="38" t="n">
        <f aca="false">Sens!$I$551*Sens!$I$559</f>
        <v>83.948654994607</v>
      </c>
      <c r="J562" s="38" t="n">
        <f aca="false">Sens!$J$551*Sens!$J$559</f>
        <v>95.1572301574634</v>
      </c>
      <c r="K562" s="38" t="n">
        <f aca="false">Sens!$K$551*Sens!$K$559</f>
        <v>104.67295317321</v>
      </c>
      <c r="L562" s="38" t="n">
        <f aca="false">Sens!$L$551*Sens!$L$559</f>
        <v>115.140248490531</v>
      </c>
      <c r="M562" s="38" t="n">
        <f aca="false">Sens!$M$551*Sens!$M$559</f>
        <v>126.654273339584</v>
      </c>
      <c r="N562" s="38" t="n">
        <f aca="false">Sens!$N$551*Sens!$N$559</f>
        <v>21.7087111412496</v>
      </c>
      <c r="O562" s="38" t="n">
        <f aca="false">Sens!$O$551*Sens!$O$559</f>
        <v>28.0189463642798</v>
      </c>
      <c r="P562" s="5" t="s">
        <v>682</v>
      </c>
    </row>
    <row r="563" customFormat="false" ht="15" hidden="false" customHeight="false" outlineLevel="0" collapsed="false">
      <c r="A563" s="5" t="s">
        <v>683</v>
      </c>
      <c r="B563" s="0" t="s">
        <v>86</v>
      </c>
      <c r="C563" s="38" t="n">
        <f aca="false">Sens!$C$551-Sens!$C$562</f>
        <v>15.1456871171543</v>
      </c>
      <c r="D563" s="38" t="n">
        <f aca="false">Sens!$D$551-Sens!$D$562</f>
        <v>18.8908765400825</v>
      </c>
      <c r="E563" s="38" t="n">
        <f aca="false">Sens!$E$551-Sens!$E$562</f>
        <v>10.0485775075586</v>
      </c>
      <c r="F563" s="38" t="n">
        <f aca="false">Sens!$F$551-Sens!$F$562</f>
        <v>12.9162216029205</v>
      </c>
      <c r="G563" s="38" t="n">
        <f aca="false">Sens!$G$551-Sens!$G$562</f>
        <v>22.9480410357055</v>
      </c>
      <c r="H563" s="38" t="n">
        <f aca="false">Sens!$H$551-Sens!$H$562</f>
        <v>27.5502957406817</v>
      </c>
      <c r="I563" s="38" t="n">
        <f aca="false">Sens!$I$551-Sens!$I$562</f>
        <v>32.1521335419918</v>
      </c>
      <c r="J563" s="38" t="n">
        <f aca="false">Sens!$J$551-Sens!$J$562</f>
        <v>36.4449909495913</v>
      </c>
      <c r="K563" s="38" t="n">
        <f aca="false">Sens!$K$551-Sens!$K$562</f>
        <v>40.0894900445504</v>
      </c>
      <c r="L563" s="38" t="n">
        <f aca="false">Sens!$L$551-Sens!$L$562</f>
        <v>44.0984390490055</v>
      </c>
      <c r="M563" s="38" t="n">
        <f aca="false">Sens!$M$551-Sens!$M$562</f>
        <v>48.508282953906</v>
      </c>
      <c r="N563" s="38" t="n">
        <f aca="false">Sens!$N$551-Sens!$N$562</f>
        <v>7.90628885875037</v>
      </c>
      <c r="O563" s="38" t="n">
        <f aca="false">Sens!$O$551-Sens!$O$562</f>
        <v>11.0010536357202</v>
      </c>
    </row>
    <row r="564" customFormat="false" ht="19.4" hidden="false" customHeight="false" outlineLevel="0" collapsed="false">
      <c r="A564" s="31" t="s">
        <v>1138</v>
      </c>
    </row>
    <row r="565" customFormat="false" ht="17.15" hidden="false" customHeight="false" outlineLevel="0" collapsed="false">
      <c r="A565" s="6" t="s">
        <v>16</v>
      </c>
      <c r="B565" s="6" t="s">
        <v>17</v>
      </c>
      <c r="C565" s="20" t="s">
        <v>494</v>
      </c>
      <c r="D565" s="20" t="s">
        <v>495</v>
      </c>
      <c r="E565" s="20" t="s">
        <v>577</v>
      </c>
      <c r="F565" s="20" t="s">
        <v>578</v>
      </c>
      <c r="G565" s="20" t="s">
        <v>579</v>
      </c>
      <c r="H565" s="20" t="s">
        <v>580</v>
      </c>
      <c r="I565" s="20" t="s">
        <v>581</v>
      </c>
      <c r="J565" s="20" t="s">
        <v>582</v>
      </c>
      <c r="K565" s="20" t="s">
        <v>583</v>
      </c>
      <c r="L565" s="20" t="s">
        <v>584</v>
      </c>
      <c r="M565" s="20" t="s">
        <v>585</v>
      </c>
      <c r="N565" s="20" t="s">
        <v>586</v>
      </c>
      <c r="O565" s="20" t="s">
        <v>587</v>
      </c>
      <c r="P565" s="6" t="s">
        <v>23</v>
      </c>
      <c r="R565" s="20" t="n">
        <v>2023</v>
      </c>
      <c r="S565" s="20" t="n">
        <v>2024</v>
      </c>
      <c r="T565" s="20" t="n">
        <v>2025</v>
      </c>
      <c r="U565" s="20" t="n">
        <v>2026</v>
      </c>
      <c r="V565" s="20" t="n">
        <v>2027</v>
      </c>
      <c r="W565" s="20" t="n">
        <v>2028</v>
      </c>
      <c r="X565" s="20" t="n">
        <v>2029</v>
      </c>
      <c r="Y565" s="20" t="n">
        <v>2030</v>
      </c>
      <c r="Z565" s="20" t="n">
        <v>2031</v>
      </c>
      <c r="AA565" s="20" t="n">
        <v>2032</v>
      </c>
    </row>
    <row r="566" customFormat="false" ht="17.15" hidden="false" customHeight="false" outlineLevel="0" collapsed="false">
      <c r="A566" s="1" t="s">
        <v>588</v>
      </c>
    </row>
    <row r="567" customFormat="false" ht="17.15" hidden="false" customHeight="false" outlineLevel="0" collapsed="false">
      <c r="A567" s="5" t="s">
        <v>589</v>
      </c>
      <c r="B567" s="0" t="s">
        <v>144</v>
      </c>
      <c r="H567" s="32" t="n">
        <f aca="false">pace_B</f>
        <v>3634.3</v>
      </c>
      <c r="I567" s="32" t="n">
        <f aca="false">pace_B</f>
        <v>3634.3</v>
      </c>
      <c r="J567" s="32" t="n">
        <f aca="false">pace_B</f>
        <v>3634.3</v>
      </c>
      <c r="K567" s="32" t="n">
        <f aca="false">pace_B+(Sens!$J$568*tg-pace_B)*1/3</f>
        <v>2570.86716666667</v>
      </c>
      <c r="L567" s="32" t="n">
        <f aca="false">pace_B+(Sens!$J$568*tg-pace_B)*2/3</f>
        <v>1507.43433333333</v>
      </c>
      <c r="M567" s="32" t="n">
        <f aca="false">pace_B+(Sens!$J$568*tg-pace_B)*3/3</f>
        <v>444.0015</v>
      </c>
      <c r="P567" s="5" t="s">
        <v>590</v>
      </c>
    </row>
    <row r="568" customFormat="false" ht="17.15" hidden="false" customHeight="false" outlineLevel="0" collapsed="false">
      <c r="A568" s="15" t="s">
        <v>591</v>
      </c>
      <c r="B568" s="14" t="s">
        <v>129</v>
      </c>
      <c r="C568" s="33" t="n">
        <f aca="false">mw_ye24</f>
        <v>360</v>
      </c>
      <c r="D568" s="33" t="n">
        <f aca="false">mw_ye25</f>
        <v>1440</v>
      </c>
      <c r="E568" s="33" t="n">
        <f aca="false">mw_open</f>
        <v>2080</v>
      </c>
      <c r="F568" s="33" t="n">
        <f aca="false">Sens!$E$568+pace_B*0.5</f>
        <v>3897.15</v>
      </c>
      <c r="G568" s="33" t="n">
        <f aca="false">Sens!$F$568</f>
        <v>3897.15</v>
      </c>
      <c r="H568" s="33" t="n">
        <f aca="false">Sens!$G$568+Sens!$H$567</f>
        <v>7531.45</v>
      </c>
      <c r="I568" s="33" t="n">
        <f aca="false">Sens!$H$568+Sens!$I$567</f>
        <v>11165.75</v>
      </c>
      <c r="J568" s="33" t="n">
        <f aca="false">Sens!$I$568+Sens!$J$567</f>
        <v>14800.05</v>
      </c>
      <c r="K568" s="33" t="n">
        <f aca="false">Sens!$J$568+Sens!$K$567</f>
        <v>17370.9171666667</v>
      </c>
      <c r="L568" s="33" t="n">
        <f aca="false">Sens!$K$568+Sens!$L$567</f>
        <v>18878.3515</v>
      </c>
      <c r="M568" s="33" t="n">
        <f aca="false">Sens!$L$568+Sens!$M$567</f>
        <v>19322.353</v>
      </c>
      <c r="N568" s="33" t="n">
        <f aca="false">(mw_ye24+mw_ye25)/2</f>
        <v>900</v>
      </c>
      <c r="O568" s="33" t="n">
        <f aca="false">mw_ye25</f>
        <v>1440</v>
      </c>
      <c r="P568" s="5" t="s">
        <v>592</v>
      </c>
    </row>
    <row r="569" customFormat="false" ht="17.15" hidden="false" customHeight="false" outlineLevel="0" collapsed="false">
      <c r="A569" s="5" t="s">
        <v>593</v>
      </c>
      <c r="B569" s="0" t="s">
        <v>129</v>
      </c>
      <c r="C569" s="32" t="n">
        <f aca="false">(mw_ye23+mw_ye24)/2</f>
        <v>240</v>
      </c>
      <c r="D569" s="32" t="n">
        <f aca="false">(Sens!$C$568+Sens!$D$568)/2</f>
        <v>900</v>
      </c>
      <c r="E569" s="32" t="n">
        <f aca="false">(Sens!$D$568+Sens!$E$568)/2</f>
        <v>1760</v>
      </c>
      <c r="F569" s="32" t="n">
        <f aca="false">(Sens!$E$568+Sens!$F$568)/2</f>
        <v>2988.575</v>
      </c>
      <c r="G569" s="32" t="n">
        <f aca="false">(Sens!$E$569+Sens!$F$569)/2</f>
        <v>2374.2875</v>
      </c>
      <c r="H569" s="32" t="n">
        <f aca="false">(Sens!$G$568+Sens!$H$568)/2</f>
        <v>5714.3</v>
      </c>
      <c r="I569" s="32" t="n">
        <f aca="false">(Sens!$H$568+Sens!$I$568)/2</f>
        <v>9348.6</v>
      </c>
      <c r="J569" s="32" t="n">
        <f aca="false">(Sens!$I$568+Sens!$J$568)/2</f>
        <v>12982.9</v>
      </c>
      <c r="K569" s="32" t="n">
        <f aca="false">(Sens!$J$568+Sens!$K$568)/2</f>
        <v>16085.4835833333</v>
      </c>
      <c r="L569" s="32" t="n">
        <f aca="false">(Sens!$K$568+Sens!$L$568)/2</f>
        <v>18124.6343333333</v>
      </c>
      <c r="M569" s="32" t="n">
        <f aca="false">(Sens!$L$568+Sens!$M$568)/2</f>
        <v>19100.35225</v>
      </c>
      <c r="N569" s="32" t="n">
        <f aca="false">(Sens!$C$568+Sens!$N$568)/2</f>
        <v>630</v>
      </c>
      <c r="O569" s="32" t="n">
        <f aca="false">(Sens!$N$568+Sens!$O$568)/2</f>
        <v>1170</v>
      </c>
    </row>
    <row r="570" customFormat="false" ht="15" hidden="false" customHeight="false" outlineLevel="0" collapsed="false">
      <c r="A570" s="5" t="s">
        <v>594</v>
      </c>
      <c r="B570" s="5" t="s">
        <v>123</v>
      </c>
      <c r="C570" s="34" t="n">
        <v>1</v>
      </c>
      <c r="D570" s="34" t="n">
        <v>1</v>
      </c>
      <c r="E570" s="34" t="n">
        <v>0.5</v>
      </c>
      <c r="F570" s="34" t="n">
        <v>0.5</v>
      </c>
      <c r="G570" s="34" t="n">
        <v>1</v>
      </c>
      <c r="H570" s="34" t="n">
        <v>1</v>
      </c>
      <c r="I570" s="34" t="n">
        <v>1</v>
      </c>
      <c r="J570" s="34" t="n">
        <v>1</v>
      </c>
      <c r="K570" s="34" t="n">
        <v>1</v>
      </c>
      <c r="L570" s="34" t="n">
        <v>1</v>
      </c>
      <c r="M570" s="34" t="n">
        <v>1</v>
      </c>
      <c r="N570" s="34" t="n">
        <v>0.5</v>
      </c>
      <c r="O570" s="34" t="n">
        <v>0.5</v>
      </c>
    </row>
    <row r="571" customFormat="false" ht="17.15" hidden="false" customHeight="false" outlineLevel="0" collapsed="false">
      <c r="A571" s="5" t="s">
        <v>595</v>
      </c>
      <c r="B571" s="0" t="s">
        <v>129</v>
      </c>
      <c r="C571" s="32" t="n">
        <f aca="false">Sens!$C$568-mw_ye23</f>
        <v>240</v>
      </c>
      <c r="D571" s="32" t="n">
        <f aca="false">Sens!$D$568-Sens!$C$568</f>
        <v>1080</v>
      </c>
      <c r="E571" s="32" t="n">
        <f aca="false">Sens!$E$568-Sens!$D$568</f>
        <v>640</v>
      </c>
      <c r="F571" s="32" t="n">
        <f aca="false">Sens!$F$568-Sens!$E$568</f>
        <v>1817.15</v>
      </c>
      <c r="G571" s="32" t="n">
        <f aca="false">Sens!$E$571+Sens!$F$571</f>
        <v>2457.15</v>
      </c>
      <c r="H571" s="32" t="n">
        <f aca="false">Sens!$H$568-Sens!$G$568</f>
        <v>3634.3</v>
      </c>
      <c r="I571" s="32" t="n">
        <f aca="false">Sens!$I$568-Sens!$H$568</f>
        <v>3634.3</v>
      </c>
      <c r="J571" s="32" t="n">
        <f aca="false">Sens!$J$568-Sens!$I$568</f>
        <v>3634.3</v>
      </c>
      <c r="K571" s="32" t="n">
        <f aca="false">Sens!$K$568-Sens!$J$568</f>
        <v>2570.86716666667</v>
      </c>
      <c r="L571" s="32" t="n">
        <f aca="false">Sens!$L$568-Sens!$K$568</f>
        <v>1507.43433333333</v>
      </c>
      <c r="M571" s="32" t="n">
        <f aca="false">Sens!$M$568-Sens!$L$568</f>
        <v>444.001499999999</v>
      </c>
      <c r="N571" s="32" t="n">
        <f aca="false">Sens!$N$568-Sens!$C$568</f>
        <v>540</v>
      </c>
      <c r="O571" s="32" t="n">
        <f aca="false">Sens!$O$568-Sens!$N$568</f>
        <v>540</v>
      </c>
    </row>
    <row r="572" customFormat="false" ht="17.15" hidden="false" customHeight="false" outlineLevel="0" collapsed="false">
      <c r="A572" s="5" t="s">
        <v>596</v>
      </c>
      <c r="B572" s="0" t="s">
        <v>129</v>
      </c>
      <c r="C572" s="32" t="n">
        <f aca="false">Sens!$C$571/ext_sh</f>
        <v>300</v>
      </c>
      <c r="D572" s="32" t="n">
        <f aca="false">Sens!$D$571/ext_sh</f>
        <v>1350</v>
      </c>
      <c r="E572" s="32" t="n">
        <f aca="false">Sens!$E$571/ext_sh</f>
        <v>800</v>
      </c>
      <c r="F572" s="32" t="n">
        <f aca="false">Sens!$F$571/ext_sh</f>
        <v>2271.4375</v>
      </c>
      <c r="G572" s="32" t="n">
        <f aca="false">Sens!$G$571/ext_sh</f>
        <v>3071.4375</v>
      </c>
      <c r="H572" s="32" t="n">
        <f aca="false">Sens!$H$571/ext_sh</f>
        <v>4542.875</v>
      </c>
      <c r="I572" s="32" t="n">
        <f aca="false">Sens!$I$571/ext_sh</f>
        <v>4542.875</v>
      </c>
      <c r="J572" s="32" t="n">
        <f aca="false">Sens!$J$571/ext_sh</f>
        <v>4542.875</v>
      </c>
      <c r="K572" s="32" t="n">
        <f aca="false">Sens!$K$571/ext_sh</f>
        <v>3213.58395833333</v>
      </c>
      <c r="L572" s="32" t="n">
        <f aca="false">Sens!$L$571/ext_sh</f>
        <v>1884.29291666667</v>
      </c>
      <c r="M572" s="32" t="n">
        <f aca="false">Sens!$M$571/ext_sh</f>
        <v>555.001874999998</v>
      </c>
      <c r="N572" s="32" t="n">
        <f aca="false">Sens!$N$571/ext_sh</f>
        <v>675</v>
      </c>
      <c r="O572" s="32" t="n">
        <f aca="false">Sens!$O$571/ext_sh</f>
        <v>675</v>
      </c>
      <c r="P572" s="8" t="s">
        <v>597</v>
      </c>
      <c r="R572" s="32" t="n">
        <f aca="false">mw_ye23/ext_sh</f>
        <v>150</v>
      </c>
      <c r="S572" s="32" t="n">
        <f aca="false">Sens!$C$572</f>
        <v>300</v>
      </c>
      <c r="T572" s="32" t="n">
        <f aca="false">Sens!$D$572</f>
        <v>1350</v>
      </c>
      <c r="U572" s="32" t="n">
        <f aca="false">Sens!$G$572</f>
        <v>3071.4375</v>
      </c>
      <c r="V572" s="32" t="n">
        <f aca="false">Sens!$H$572</f>
        <v>4542.875</v>
      </c>
      <c r="W572" s="32" t="n">
        <f aca="false">Sens!$I$572</f>
        <v>4542.875</v>
      </c>
      <c r="X572" s="32" t="n">
        <f aca="false">Sens!$J$572</f>
        <v>4542.875</v>
      </c>
      <c r="Y572" s="32" t="n">
        <f aca="false">Sens!$K$572</f>
        <v>3213.58395833333</v>
      </c>
      <c r="Z572" s="32" t="n">
        <f aca="false">Sens!$L$572</f>
        <v>1884.29291666667</v>
      </c>
      <c r="AA572" s="32" t="n">
        <f aca="false">Sens!$M$572</f>
        <v>555.001874999998</v>
      </c>
    </row>
    <row r="573" customFormat="false" ht="17.15" hidden="false" customHeight="false" outlineLevel="0" collapsed="false">
      <c r="A573" s="1" t="s">
        <v>598</v>
      </c>
    </row>
    <row r="574" customFormat="false" ht="17.15" hidden="false" customHeight="false" outlineLevel="0" collapsed="false">
      <c r="A574" s="0" t="s">
        <v>599</v>
      </c>
      <c r="B574" s="0" t="s">
        <v>52</v>
      </c>
      <c r="F574" s="35" t="n">
        <f aca="false">na_vr26</f>
        <v>0</v>
      </c>
      <c r="G574" s="35" t="n">
        <f aca="false">na_vr26</f>
        <v>0</v>
      </c>
      <c r="H574" s="35" t="n">
        <f aca="false">na_vr27</f>
        <v>0.5</v>
      </c>
      <c r="I574" s="35" t="n">
        <f aca="false">na_vr28</f>
        <v>1</v>
      </c>
      <c r="J574" s="35" t="n">
        <f aca="false">na_vr28</f>
        <v>1</v>
      </c>
      <c r="K574" s="35" t="n">
        <f aca="false">na_vr28</f>
        <v>1</v>
      </c>
      <c r="L574" s="35" t="n">
        <f aca="false">na_vr28</f>
        <v>1</v>
      </c>
      <c r="M574" s="35" t="n">
        <f aca="false">na_vr28</f>
        <v>1</v>
      </c>
    </row>
    <row r="575" customFormat="false" ht="17.15" hidden="false" customHeight="false" outlineLevel="0" collapsed="false">
      <c r="A575" s="5" t="s">
        <v>600</v>
      </c>
      <c r="B575" s="0" t="s">
        <v>173</v>
      </c>
      <c r="F575" s="36" t="n">
        <f aca="false">cust_sh*tk_he_gb300*cf_chip+(1-cust_sh)*((1-Sens!$F$574)*tk_he_gb300+Sens!$F$574*tk_he_vr200)</f>
        <v>10.8864110021101</v>
      </c>
      <c r="G575" s="36" t="n">
        <f aca="false">cust_sh*tk_he_gb300*cf_chip+(1-cust_sh)*((1-Sens!$G$574)*tk_he_gb300+Sens!$G$574*tk_he_vr200)</f>
        <v>10.8864110021101</v>
      </c>
      <c r="H575" s="36" t="n">
        <f aca="false">cust_sh*tk_he_gb300*cf_chip+(1-cust_sh)*((1-Sens!$H$574)*tk_he_gb300+Sens!$H$574*tk_he_vr200)</f>
        <v>11.2211760027286</v>
      </c>
      <c r="I575" s="36" t="n">
        <f aca="false">cust_sh*tk_he_gb300*cf_chip+(1-cust_sh)*((1-Sens!$I$574)*tk_he_gb300+Sens!$I$574*tk_he_vr200)</f>
        <v>11.5559410033471</v>
      </c>
      <c r="J575" s="36" t="n">
        <f aca="false">cust_sh*tk_he_gb300*cf_chip+(1-cust_sh)*((1-Sens!$J$574)*tk_he_gb300+Sens!$J$574*tk_he_vr200)</f>
        <v>11.5559410033471</v>
      </c>
      <c r="K575" s="36" t="n">
        <f aca="false">cust_sh*tk_he_gb300*cf_chip+(1-cust_sh)*((1-Sens!$K$574)*tk_he_gb300+Sens!$K$574*tk_he_vr200)</f>
        <v>11.5559410033471</v>
      </c>
      <c r="L575" s="36" t="n">
        <f aca="false">cust_sh*tk_he_gb300*cf_chip+(1-cust_sh)*((1-Sens!$L$574)*tk_he_gb300+Sens!$L$574*tk_he_vr200)</f>
        <v>11.5559410033471</v>
      </c>
      <c r="M575" s="36" t="n">
        <f aca="false">cust_sh*tk_he_gb300*cf_chip+(1-cust_sh)*((1-Sens!$M$574)*tk_he_gb300+Sens!$M$574*tk_he_vr200)</f>
        <v>11.5559410033471</v>
      </c>
    </row>
    <row r="576" customFormat="false" ht="17.15" hidden="false" customHeight="false" outlineLevel="0" collapsed="false">
      <c r="A576" s="5" t="s">
        <v>601</v>
      </c>
      <c r="B576" s="0" t="s">
        <v>173</v>
      </c>
      <c r="F576" s="36" t="n">
        <f aca="false">cust_sh*tk_ox_gb300+(1-cust_sh)*((1-Sens!$F$574)*tk_ox_gb300+Sens!$F$574*tk_ox_vr200)</f>
        <v>1.98263481314457</v>
      </c>
      <c r="G576" s="36" t="n">
        <f aca="false">cust_sh*tk_ox_gb300+(1-cust_sh)*((1-Sens!$G$574)*tk_ox_gb300+Sens!$G$574*tk_ox_vr200)</f>
        <v>1.98263481314457</v>
      </c>
      <c r="H576" s="36" t="n">
        <f aca="false">cust_sh*tk_ox_gb300+(1-cust_sh)*((1-Sens!$H$574)*tk_ox_gb300+Sens!$H$574*tk_ox_vr200)</f>
        <v>2.01034999693694</v>
      </c>
      <c r="I576" s="36" t="n">
        <f aca="false">cust_sh*tk_ox_gb300+(1-cust_sh)*((1-Sens!$I$574)*tk_ox_gb300+Sens!$I$574*tk_ox_vr200)</f>
        <v>2.0380651807293</v>
      </c>
      <c r="J576" s="36" t="n">
        <f aca="false">cust_sh*tk_ox_gb300+(1-cust_sh)*((1-Sens!$J$574)*tk_ox_gb300+Sens!$J$574*tk_ox_vr200)</f>
        <v>2.0380651807293</v>
      </c>
      <c r="K576" s="36" t="n">
        <f aca="false">cust_sh*tk_ox_gb300+(1-cust_sh)*((1-Sens!$K$574)*tk_ox_gb300+Sens!$K$574*tk_ox_vr200)</f>
        <v>2.0380651807293</v>
      </c>
      <c r="L576" s="36" t="n">
        <f aca="false">cust_sh*tk_ox_gb300+(1-cust_sh)*((1-Sens!$L$574)*tk_ox_gb300+Sens!$L$574*tk_ox_vr200)</f>
        <v>2.0380651807293</v>
      </c>
      <c r="M576" s="36" t="n">
        <f aca="false">cust_sh*tk_ox_gb300+(1-cust_sh)*((1-Sens!$M$574)*tk_ox_gb300+Sens!$M$574*tk_ox_vr200)</f>
        <v>2.0380651807293</v>
      </c>
    </row>
    <row r="577" customFormat="false" ht="17.15" hidden="false" customHeight="false" outlineLevel="0" collapsed="false">
      <c r="A577" s="5" t="s">
        <v>602</v>
      </c>
      <c r="B577" s="0" t="s">
        <v>192</v>
      </c>
      <c r="F577" s="36" t="n">
        <f aca="false">cust_sh*tk_cx_gb300*cf_cx+(1-cust_sh)*((1-Sens!$F$574)*tk_cx_gb300+Sens!$F$574*tk_cx_vr200)</f>
        <v>32.237224</v>
      </c>
      <c r="G577" s="36" t="n">
        <f aca="false">cust_sh*tk_cx_gb300*cf_cx+(1-cust_sh)*((1-Sens!$G$574)*tk_cx_gb300+Sens!$G$574*tk_cx_vr200)</f>
        <v>32.237224</v>
      </c>
      <c r="H577" s="36" t="n">
        <f aca="false">cust_sh*tk_cx_gb300*cf_cx+(1-cust_sh)*((1-Sens!$H$574)*tk_cx_gb300+Sens!$H$574*tk_cx_vr200)</f>
        <v>33.574506</v>
      </c>
      <c r="I577" s="36" t="n">
        <f aca="false">cust_sh*tk_cx_gb300*cf_cx+(1-cust_sh)*((1-Sens!$I$574)*tk_cx_gb300+Sens!$I$574*tk_cx_vr200)</f>
        <v>34.911788</v>
      </c>
      <c r="J577" s="36" t="n">
        <f aca="false">cust_sh*tk_cx_gb300*cf_cx+(1-cust_sh)*((1-Sens!$J$574)*tk_cx_gb300+Sens!$J$574*tk_cx_vr200)</f>
        <v>34.911788</v>
      </c>
      <c r="K577" s="36" t="n">
        <f aca="false">cust_sh*tk_cx_gb300*cf_cx+(1-cust_sh)*((1-Sens!$K$574)*tk_cx_gb300+Sens!$K$574*tk_cx_vr200)</f>
        <v>34.911788</v>
      </c>
      <c r="L577" s="36" t="n">
        <f aca="false">cust_sh*tk_cx_gb300*cf_cx+(1-cust_sh)*((1-Sens!$L$574)*tk_cx_gb300+Sens!$L$574*tk_cx_vr200)</f>
        <v>34.911788</v>
      </c>
      <c r="M577" s="36" t="n">
        <f aca="false">cust_sh*tk_cx_gb300*cf_cx+(1-cust_sh)*((1-Sens!$M$574)*tk_cx_gb300+Sens!$M$574*tk_cx_vr200)</f>
        <v>34.911788</v>
      </c>
    </row>
    <row r="578" customFormat="false" ht="17.15" hidden="false" customHeight="false" outlineLevel="0" collapsed="false">
      <c r="A578" s="5" t="s">
        <v>603</v>
      </c>
      <c r="B578" s="0" t="s">
        <v>129</v>
      </c>
      <c r="F578" s="32" t="n">
        <f aca="false">Sens!$F$568-mw_open</f>
        <v>1817.15</v>
      </c>
      <c r="G578" s="32" t="n">
        <f aca="false">Sens!$F$578</f>
        <v>1817.15</v>
      </c>
      <c r="H578" s="32" t="n">
        <f aca="false">Sens!$H$568-mw_open</f>
        <v>5451.45</v>
      </c>
      <c r="I578" s="32" t="n">
        <f aca="false">Sens!$I$568-mw_open</f>
        <v>9085.75</v>
      </c>
      <c r="J578" s="32" t="n">
        <f aca="false">Sens!$J$568-mw_open</f>
        <v>12720.05</v>
      </c>
      <c r="K578" s="32" t="n">
        <f aca="false">Sens!$K$568-mw_open</f>
        <v>15290.9171666667</v>
      </c>
      <c r="L578" s="32" t="n">
        <f aca="false">Sens!$L$568-mw_open</f>
        <v>16798.3515</v>
      </c>
      <c r="M578" s="32" t="n">
        <f aca="false">Sens!$M$568-mw_open</f>
        <v>17242.353</v>
      </c>
    </row>
    <row r="579" customFormat="false" ht="17.15" hidden="false" customHeight="false" outlineLevel="0" collapsed="false">
      <c r="A579" s="0" t="s">
        <v>604</v>
      </c>
      <c r="B579" s="0" t="s">
        <v>605</v>
      </c>
      <c r="F579" s="32" t="n">
        <f aca="false">Sens!$F$571*Sens!$F$575</f>
        <v>19782.2417524844</v>
      </c>
      <c r="G579" s="32" t="n">
        <f aca="false">Sens!$F$579</f>
        <v>19782.2417524844</v>
      </c>
      <c r="H579" s="32" t="n">
        <f aca="false">Sens!$G$579+Sens!$H$571*Sens!$H$575</f>
        <v>60563.3616992009</v>
      </c>
      <c r="I579" s="32" t="n">
        <f aca="false">Sens!$H$579+Sens!$I$571*Sens!$I$575</f>
        <v>102561.118087665</v>
      </c>
      <c r="J579" s="32" t="n">
        <f aca="false">Sens!$I$579+Sens!$J$571*Sens!$J$575</f>
        <v>144558.87447613</v>
      </c>
      <c r="K579" s="32" t="n">
        <f aca="false">Sens!$J$579+Sens!$K$571*Sens!$K$575</f>
        <v>174267.663781572</v>
      </c>
      <c r="L579" s="32" t="n">
        <f aca="false">Sens!$K$579+Sens!$L$571*Sens!$L$575</f>
        <v>191687.486003992</v>
      </c>
      <c r="M579" s="32" t="n">
        <f aca="false">Sens!$L$579+Sens!$M$571*Sens!$M$575</f>
        <v>196818.341143389</v>
      </c>
    </row>
    <row r="580" customFormat="false" ht="17.15" hidden="false" customHeight="false" outlineLevel="0" collapsed="false">
      <c r="A580" s="0" t="s">
        <v>606</v>
      </c>
      <c r="B580" s="0" t="s">
        <v>605</v>
      </c>
      <c r="F580" s="32" t="n">
        <f aca="false">Sens!$F$571*Sens!$F$576</f>
        <v>3602.74485070566</v>
      </c>
      <c r="G580" s="32" t="n">
        <f aca="false">Sens!$F$580</f>
        <v>3602.74485070566</v>
      </c>
      <c r="H580" s="32" t="n">
        <f aca="false">Sens!$G$580+Sens!$H$571*Sens!$H$576</f>
        <v>10908.9598445736</v>
      </c>
      <c r="I580" s="32" t="n">
        <f aca="false">Sens!$H$580+Sens!$I$571*Sens!$I$576</f>
        <v>18315.9001308981</v>
      </c>
      <c r="J580" s="32" t="n">
        <f aca="false">Sens!$I$580+Sens!$J$571*Sens!$J$576</f>
        <v>25722.8404172225</v>
      </c>
      <c r="K580" s="32" t="n">
        <f aca="false">Sens!$J$580+Sens!$K$571*Sens!$K$576</f>
        <v>30962.4352738861</v>
      </c>
      <c r="L580" s="32" t="n">
        <f aca="false">Sens!$K$580+Sens!$L$571*Sens!$L$576</f>
        <v>34034.6847008886</v>
      </c>
      <c r="M580" s="32" t="n">
        <f aca="false">Sens!$L$580+Sens!$M$571*Sens!$M$576</f>
        <v>34939.5886982302</v>
      </c>
    </row>
    <row r="581" customFormat="false" ht="17.15" hidden="false" customHeight="false" outlineLevel="0" collapsed="false">
      <c r="A581" s="5" t="s">
        <v>607</v>
      </c>
      <c r="B581" s="0" t="s">
        <v>173</v>
      </c>
      <c r="F581" s="36" t="n">
        <f aca="false">IF(Sens!$F$578&gt;0,Sens!$F$579/Sens!$F$578,Sens!$F$575)</f>
        <v>10.8864110021101</v>
      </c>
      <c r="G581" s="36" t="n">
        <f aca="false">IF(Sens!$G$578&gt;0,Sens!$G$579/Sens!$G$578,Sens!$G$575)</f>
        <v>10.8864110021101</v>
      </c>
      <c r="H581" s="36" t="n">
        <f aca="false">IF(Sens!$H$578&gt;0,Sens!$H$579/Sens!$H$578,Sens!$H$575)</f>
        <v>11.1095876691891</v>
      </c>
      <c r="I581" s="36" t="n">
        <f aca="false">IF(Sens!$I$578&gt;0,Sens!$I$579/Sens!$I$578,Sens!$I$575)</f>
        <v>11.2881290028523</v>
      </c>
      <c r="J581" s="36" t="n">
        <f aca="false">IF(Sens!$J$578&gt;0,Sens!$J$579/Sens!$J$578,Sens!$J$575)</f>
        <v>11.3646467172794</v>
      </c>
      <c r="K581" s="36" t="n">
        <f aca="false">IF(Sens!$K$578&gt;0,Sens!$K$579/Sens!$K$578,Sens!$K$575)</f>
        <v>11.3968090914432</v>
      </c>
      <c r="L581" s="36" t="n">
        <f aca="false">IF(Sens!$L$578&gt;0,Sens!$L$579/Sens!$L$578,Sens!$L$575)</f>
        <v>11.4110891181192</v>
      </c>
      <c r="M581" s="36" t="n">
        <f aca="false">IF(Sens!$M$578&gt;0,Sens!$M$579/Sens!$M$578,Sens!$M$575)</f>
        <v>11.4148191458201</v>
      </c>
    </row>
    <row r="582" customFormat="false" ht="17.15" hidden="false" customHeight="false" outlineLevel="0" collapsed="false">
      <c r="A582" s="5" t="s">
        <v>608</v>
      </c>
      <c r="B582" s="0" t="s">
        <v>173</v>
      </c>
      <c r="F582" s="36" t="n">
        <f aca="false">IF(Sens!$F$578&gt;0,Sens!$F$580/Sens!$F$578,Sens!$F$576)</f>
        <v>1.98263481314457</v>
      </c>
      <c r="G582" s="36" t="n">
        <f aca="false">IF(Sens!$G$578&gt;0,Sens!$G$580/Sens!$G$578,Sens!$G$576)</f>
        <v>1.98263481314457</v>
      </c>
      <c r="H582" s="36" t="n">
        <f aca="false">IF(Sens!$H$578&gt;0,Sens!$H$580/Sens!$H$578,Sens!$H$576)</f>
        <v>2.00111160233948</v>
      </c>
      <c r="I582" s="36" t="n">
        <f aca="false">IF(Sens!$I$578&gt;0,Sens!$I$580/Sens!$I$578,Sens!$I$576)</f>
        <v>2.01589303369541</v>
      </c>
      <c r="J582" s="36" t="n">
        <f aca="false">IF(Sens!$J$578&gt;0,Sens!$J$580/Sens!$J$578,Sens!$J$576)</f>
        <v>2.02222793284795</v>
      </c>
      <c r="K582" s="36" t="n">
        <f aca="false">IF(Sens!$K$578&gt;0,Sens!$K$580/Sens!$K$578,Sens!$K$576)</f>
        <v>2.02489065478573</v>
      </c>
      <c r="L582" s="36" t="n">
        <f aca="false">IF(Sens!$L$578&gt;0,Sens!$L$580/Sens!$L$578,Sens!$L$576)</f>
        <v>2.0260728977417</v>
      </c>
      <c r="M582" s="36" t="n">
        <f aca="false">IF(Sens!$M$578&gt;0,Sens!$M$580/Sens!$M$578,Sens!$M$576)</f>
        <v>2.02638170661685</v>
      </c>
    </row>
    <row r="583" customFormat="false" ht="17.15" hidden="false" customHeight="false" outlineLevel="0" collapsed="false">
      <c r="A583" s="15" t="s">
        <v>609</v>
      </c>
      <c r="B583" s="14" t="s">
        <v>173</v>
      </c>
      <c r="C583" s="14"/>
      <c r="D583" s="14"/>
      <c r="E583" s="14"/>
      <c r="F583" s="37" t="n">
        <f aca="false">Sens!$F$581*k_A</f>
        <v>16.5292102673303</v>
      </c>
      <c r="G583" s="37" t="n">
        <f aca="false">Sens!$G$581*k_A</f>
        <v>16.5292102673303</v>
      </c>
      <c r="H583" s="37" t="n">
        <f aca="false">Sens!$H$581*k_A</f>
        <v>16.8680670362136</v>
      </c>
      <c r="I583" s="37" t="n">
        <f aca="false">Sens!$I$581*k_A</f>
        <v>17.1391524513203</v>
      </c>
      <c r="J583" s="37" t="n">
        <f aca="false">Sens!$J$581*k_A</f>
        <v>17.2553319149374</v>
      </c>
      <c r="K583" s="37" t="n">
        <f aca="false">Sens!$K$581*k_A</f>
        <v>17.3041651479604</v>
      </c>
      <c r="L583" s="37" t="n">
        <f aca="false">Sens!$L$581*k_A</f>
        <v>17.3258470010069</v>
      </c>
      <c r="M583" s="37" t="n">
        <f aca="false">Sens!$M$581*k_A</f>
        <v>17.3315104296758</v>
      </c>
      <c r="N583" s="14"/>
      <c r="O583" s="14"/>
      <c r="P583" s="5" t="s">
        <v>610</v>
      </c>
    </row>
    <row r="584" customFormat="false" ht="17.15" hidden="false" customHeight="false" outlineLevel="0" collapsed="false">
      <c r="A584" s="5" t="s">
        <v>611</v>
      </c>
      <c r="B584" s="0" t="s">
        <v>129</v>
      </c>
      <c r="F584" s="32" t="n">
        <f aca="false">Sens!$F$578/2</f>
        <v>908.575</v>
      </c>
      <c r="H584" s="32" t="n">
        <f aca="false">(Sens!$G$578+Sens!$H$578)/2</f>
        <v>3634.3</v>
      </c>
      <c r="I584" s="32" t="n">
        <f aca="false">(Sens!$H$578+Sens!$I$578)/2</f>
        <v>7268.6</v>
      </c>
      <c r="J584" s="32" t="n">
        <f aca="false">(Sens!$I$578+Sens!$J$578)/2</f>
        <v>10902.9</v>
      </c>
      <c r="K584" s="32" t="n">
        <f aca="false">(Sens!$J$578+Sens!$K$578)/2</f>
        <v>14005.4835833333</v>
      </c>
      <c r="L584" s="32" t="n">
        <f aca="false">(Sens!$K$578+Sens!$L$578)/2</f>
        <v>16044.6343333333</v>
      </c>
      <c r="M584" s="32" t="n">
        <f aca="false">(Sens!$L$578+Sens!$M$578)/2</f>
        <v>17020.35225</v>
      </c>
    </row>
    <row r="585" customFormat="false" ht="17.15" hidden="false" customHeight="false" outlineLevel="0" collapsed="false">
      <c r="A585" s="1" t="s">
        <v>612</v>
      </c>
    </row>
    <row r="586" customFormat="false" ht="17.15" hidden="false" customHeight="false" outlineLevel="0" collapsed="false">
      <c r="A586" s="1" t="s">
        <v>613</v>
      </c>
      <c r="B586" s="8" t="s">
        <v>86</v>
      </c>
      <c r="C586" s="38" t="n">
        <f aca="false">Sens!$C$569*rpm_open*Sens!$C$570/1000</f>
        <v>2.32100535697364</v>
      </c>
      <c r="D586" s="38" t="n">
        <f aca="false">Sens!$D$569*rpm_open*Sens!$D$570/1000</f>
        <v>8.70377008865116</v>
      </c>
      <c r="E586" s="38" t="n">
        <f aca="false">Sens!$E$569*rpm_open*Sens!$E$570/1000</f>
        <v>8.51035297557002</v>
      </c>
      <c r="F586" s="38" t="n">
        <f aca="false">(mw_open*rpm_open+Sens!$F$584*Sens!$F$583)*Sens!$F$570/1000</f>
        <v>17.5667034895389</v>
      </c>
      <c r="G586" s="38" t="n">
        <f aca="false">Sens!$E$586+Sens!$F$586</f>
        <v>26.077056465109</v>
      </c>
      <c r="H586" s="38" t="n">
        <f aca="false">(mw_open*rpm_open+Sens!$H$584*Sens!$H$583)/1000</f>
        <v>81.4189957901494</v>
      </c>
      <c r="I586" s="38" t="n">
        <f aca="false">(mw_open*rpm_open+Sens!$I$584*Sens!$I$583)/1000</f>
        <v>144.693023268105</v>
      </c>
      <c r="J586" s="38" t="n">
        <f aca="false">(mw_open*rpm_open+Sens!$J$584*Sens!$J$583)/1000</f>
        <v>208.248538095809</v>
      </c>
      <c r="K586" s="38" t="n">
        <f aca="false">(mw_open*rpm_open+Sens!$K$584*Sens!$K$583)/1000</f>
        <v>262.468580663487</v>
      </c>
      <c r="L586" s="38" t="n">
        <f aca="false">(mw_open*rpm_open+Sens!$L$584*Sens!$L$583)/1000</f>
        <v>298.102259406873</v>
      </c>
      <c r="M586" s="38" t="n">
        <f aca="false">(mw_open*rpm_open+Sens!$M$584*Sens!$M$583)/1000</f>
        <v>315.103792298069</v>
      </c>
      <c r="N586" s="38" t="n">
        <f aca="false">Sens!$N$569*rpm_open*Sens!$N$570/1000</f>
        <v>3.04631953102791</v>
      </c>
      <c r="O586" s="38" t="n">
        <f aca="false">Sens!$O$569*rpm_open*Sens!$O$570/1000</f>
        <v>5.65745055762326</v>
      </c>
      <c r="P586" s="5" t="s">
        <v>614</v>
      </c>
    </row>
    <row r="587" customFormat="false" ht="17.15" hidden="false" customHeight="false" outlineLevel="0" collapsed="false">
      <c r="A587" s="5" t="s">
        <v>615</v>
      </c>
      <c r="B587" s="0" t="s">
        <v>173</v>
      </c>
      <c r="C587" s="36" t="n">
        <f aca="false">Sens!$C$586*1000/(Sens!$C$569*Sens!$C$570)</f>
        <v>9.67085565405685</v>
      </c>
      <c r="D587" s="36" t="n">
        <f aca="false">Sens!$D$586*1000/(Sens!$D$569*Sens!$D$570)</f>
        <v>9.67085565405685</v>
      </c>
      <c r="E587" s="36" t="n">
        <f aca="false">Sens!$E$586*1000/(Sens!$E$569*Sens!$E$570)</f>
        <v>9.67085565405685</v>
      </c>
      <c r="F587" s="36" t="n">
        <f aca="false">Sens!$F$586*1000/(Sens!$F$569*Sens!$F$570)</f>
        <v>11.7559060686374</v>
      </c>
      <c r="G587" s="36" t="n">
        <f aca="false">Sens!$G$586*1000/(Sens!$G$569*Sens!$G$570)</f>
        <v>10.9831081809212</v>
      </c>
      <c r="H587" s="36" t="n">
        <f aca="false">Sens!$H$586*1000/(Sens!$H$569*Sens!$H$570)</f>
        <v>14.2482886425545</v>
      </c>
      <c r="I587" s="36" t="n">
        <f aca="false">Sens!$I$586*1000/(Sens!$I$569*Sens!$I$570)</f>
        <v>15.4775071420432</v>
      </c>
      <c r="J587" s="36" t="n">
        <f aca="false">Sens!$J$586*1000/(Sens!$J$569*Sens!$J$570)</f>
        <v>16.0402173702185</v>
      </c>
      <c r="K587" s="36" t="n">
        <f aca="false">Sens!$K$586*1000/(Sens!$K$569*Sens!$K$570)</f>
        <v>16.3171084850342</v>
      </c>
      <c r="L587" s="36" t="n">
        <f aca="false">Sens!$L$586*1000/(Sens!$L$569*Sens!$L$570)</f>
        <v>16.4473530292762</v>
      </c>
      <c r="M587" s="36" t="n">
        <f aca="false">Sens!$M$586*1000/(Sens!$M$569*Sens!$M$570)</f>
        <v>16.4972764990797</v>
      </c>
      <c r="N587" s="36" t="n">
        <f aca="false">Sens!$N$586*1000/(Sens!$N$569*Sens!$N$570)</f>
        <v>9.67085565405685</v>
      </c>
      <c r="O587" s="36" t="n">
        <f aca="false">Sens!$O$586*1000/(Sens!$O$569*Sens!$O$570)</f>
        <v>9.67085565405685</v>
      </c>
    </row>
    <row r="588" customFormat="false" ht="17.15" hidden="false" customHeight="false" outlineLevel="0" collapsed="false">
      <c r="A588" s="0" t="s">
        <v>616</v>
      </c>
      <c r="B588" s="0" t="s">
        <v>86</v>
      </c>
      <c r="C588" s="38" t="n">
        <f aca="false">Sens!$C$569/ext_sh*(ox_open+rent_mw)*Sens!$C$570/1000</f>
        <v>0.642569210675032</v>
      </c>
      <c r="D588" s="38" t="n">
        <f aca="false">Sens!$D$569/ext_sh*(ox_open+rent_mw)*Sens!$D$570/1000</f>
        <v>2.40963454003137</v>
      </c>
      <c r="E588" s="38" t="n">
        <f aca="false">Sens!$E$569/ext_sh*(ox_open+rent_mw)*Sens!$E$570/1000</f>
        <v>2.35608710580845</v>
      </c>
      <c r="F588" s="38" t="n">
        <f aca="false">((mw_open*ox_open+Sens!$F$584*Sens!$F$582)/ext_sh+Sens!$F$569/ext_sh*rent_mw)*Sens!$F$570/1000</f>
        <v>4.05421991106232</v>
      </c>
      <c r="G588" s="38" t="n">
        <f aca="false">Sens!$E$588+Sens!$F$588</f>
        <v>6.41030701687077</v>
      </c>
      <c r="H588" s="38" t="n">
        <f aca="false">((mw_open*ox_open+Sens!$H$584*Sens!$H$582)/ext_sh+Sens!$H$569/ext_sh*rent_mw)*Sens!$H$570/1000</f>
        <v>15.8108975546616</v>
      </c>
      <c r="I588" s="38" t="n">
        <f aca="false">((mw_open*ox_open+Sens!$I$584*Sens!$I$582)/ext_sh+Sens!$I$569/ext_sh*rent_mw)*Sens!$I$570/1000</f>
        <v>26.1871623400817</v>
      </c>
      <c r="J588" s="38" t="n">
        <f aca="false">((mw_open*ox_open+Sens!$J$584*Sens!$J$582)/ext_sh+Sens!$J$569/ext_sh*rent_mw)*Sens!$J$570/1000</f>
        <v>36.5826128954935</v>
      </c>
      <c r="K588" s="38" t="n">
        <f aca="false">((mw_open*ox_open+Sens!$K$584*Sens!$K$582)/ext_sh+Sens!$K$569/ext_sh*rent_mw)*Sens!$K$570/1000</f>
        <v>45.4546361137628</v>
      </c>
      <c r="L588" s="38" t="n">
        <f aca="false">((mw_open*ox_open+Sens!$L$584*Sens!$L$582)/ext_sh+Sens!$L$569/ext_sh*rent_mw)*Sens!$L$570/1000</f>
        <v>51.2855695554452</v>
      </c>
      <c r="M588" s="38" t="n">
        <f aca="false">((mw_open*ox_open+Sens!$M$584*Sens!$M$582)/ext_sh+Sens!$M$569/ext_sh*rent_mw)*Sens!$M$570/1000</f>
        <v>54.0722927838398</v>
      </c>
      <c r="N588" s="38" t="n">
        <f aca="false">Sens!$N$569/ext_sh*(ox_open+rent_mw)*Sens!$N$570/1000</f>
        <v>0.84337208901098</v>
      </c>
      <c r="O588" s="38" t="n">
        <f aca="false">Sens!$O$569/ext_sh*(ox_open+rent_mw)*Sens!$O$570/1000</f>
        <v>1.56626245102039</v>
      </c>
    </row>
    <row r="589" customFormat="false" ht="17.15" hidden="false" customHeight="false" outlineLevel="0" collapsed="false">
      <c r="A589" s="0" t="s">
        <v>617</v>
      </c>
      <c r="B589" s="0" t="s">
        <v>86</v>
      </c>
      <c r="C589" s="38" t="n">
        <f aca="false">Q!$D$7</f>
        <v>107.556</v>
      </c>
      <c r="D589" s="38" t="n">
        <f aca="false">Q!$E$7</f>
        <v>128.725</v>
      </c>
      <c r="E589" s="38" t="n">
        <f aca="false">Q!$P$7</f>
        <v>79.819</v>
      </c>
      <c r="N589" s="38" t="n">
        <f aca="false">Q!$N$7</f>
        <v>60.14</v>
      </c>
      <c r="O589" s="38" t="n">
        <f aca="false">Q!$O$7</f>
        <v>68.585</v>
      </c>
    </row>
    <row r="590" customFormat="false" ht="17.15" hidden="false" customHeight="false" outlineLevel="0" collapsed="false">
      <c r="A590" s="1" t="s">
        <v>618</v>
      </c>
      <c r="B590" s="8" t="s">
        <v>86</v>
      </c>
      <c r="C590" s="38" t="n">
        <f aca="false">Sens!$C$589-Sens!$C$586</f>
        <v>105.234994643026</v>
      </c>
      <c r="D590" s="38" t="n">
        <f aca="false">Sens!$D$589-Sens!$D$586</f>
        <v>120.021229911349</v>
      </c>
      <c r="E590" s="38" t="n">
        <f aca="false">Sens!$E$589-Sens!$E$586</f>
        <v>71.30864702443</v>
      </c>
      <c r="F590" s="38" t="n">
        <f aca="false">Sens!$O$590*(1+Sens!$F$591)</f>
        <v>71.7692997942464</v>
      </c>
      <c r="G590" s="38" t="n">
        <f aca="false">Sens!$E$590+Sens!$F$590</f>
        <v>143.077946818676</v>
      </c>
      <c r="H590" s="38" t="n">
        <f aca="false">Sens!$G$590*(1+Sens!$H$591)</f>
        <v>161.017077079203</v>
      </c>
      <c r="I590" s="38" t="n">
        <f aca="false">Sens!$H$590*(1+Sens!$I$591)</f>
        <v>178.769759521457</v>
      </c>
      <c r="J590" s="38" t="n">
        <f aca="false">Sens!$I$590*(1+Sens!$J$591)</f>
        <v>195.775538045907</v>
      </c>
      <c r="K590" s="38" t="n">
        <f aca="false">Sens!$J$590*(1+Sens!$K$591)</f>
        <v>211.43758108958</v>
      </c>
      <c r="L590" s="38" t="n">
        <f aca="false">Sens!$K$590*(1+Sens!$L$591)</f>
        <v>228.352587576746</v>
      </c>
      <c r="M590" s="38" t="n">
        <f aca="false">Sens!$L$590*(1+Sens!$M$591)</f>
        <v>246.620794582886</v>
      </c>
      <c r="N590" s="38" t="n">
        <f aca="false">Sens!$N$589-Sens!$N$586</f>
        <v>57.0936804689721</v>
      </c>
      <c r="O590" s="38" t="n">
        <f aca="false">Sens!$O$589-Sens!$O$586</f>
        <v>62.9275494423768</v>
      </c>
      <c r="P590" s="5" t="s">
        <v>619</v>
      </c>
    </row>
    <row r="591" customFormat="false" ht="17.15" hidden="false" customHeight="false" outlineLevel="0" collapsed="false">
      <c r="A591" s="0" t="s">
        <v>620</v>
      </c>
      <c r="B591" s="0" t="s">
        <v>52</v>
      </c>
      <c r="D591" s="13" t="n">
        <f aca="false">Sens!$D$590/Sens!$C$590-1</f>
        <v>0.140506827776062</v>
      </c>
      <c r="E591" s="13" t="n">
        <f aca="false">Sens!$E$590/Sens!$N$590-1</f>
        <v>0.248976181579029</v>
      </c>
      <c r="F591" s="13" t="n">
        <f aca="false">Sens!$D$591</f>
        <v>0.140506827776062</v>
      </c>
      <c r="G591" s="13" t="n">
        <f aca="false">Sens!$G$590/Sens!$D$590-1</f>
        <v>0.19210532106993</v>
      </c>
      <c r="H591" s="13" t="n">
        <f aca="false">Sens!$F$591+(g_awso_lt-Sens!$F$591)*1/4</f>
        <v>0.125380120832046</v>
      </c>
      <c r="I591" s="13" t="n">
        <f aca="false">Sens!$F$591+(g_awso_lt-Sens!$F$591)*2/4</f>
        <v>0.110253413888031</v>
      </c>
      <c r="J591" s="13" t="n">
        <f aca="false">Sens!$F$591+(g_awso_lt-Sens!$F$591)*3/4</f>
        <v>0.0951267069440154</v>
      </c>
      <c r="K591" s="13" t="n">
        <f aca="false">Sens!$F$591+(g_awso_lt-Sens!$F$591)*4/4</f>
        <v>0.08</v>
      </c>
      <c r="L591" s="13" t="n">
        <f aca="false">g_awso_lt</f>
        <v>0.08</v>
      </c>
      <c r="M591" s="13" t="n">
        <f aca="false">g_awso_lt</f>
        <v>0.08</v>
      </c>
      <c r="P591" s="5" t="s">
        <v>621</v>
      </c>
    </row>
    <row r="592" customFormat="false" ht="17.15" hidden="false" customHeight="false" outlineLevel="0" collapsed="false">
      <c r="A592" s="1" t="s">
        <v>622</v>
      </c>
    </row>
    <row r="593" customFormat="false" ht="17.15" hidden="false" customHeight="false" outlineLevel="0" collapsed="false">
      <c r="A593" s="0" t="s">
        <v>623</v>
      </c>
      <c r="B593" s="0" t="s">
        <v>86</v>
      </c>
      <c r="F593" s="38" t="n">
        <f aca="false">cx_rt*Sens!$F$558+cx_awso*Sens!$F$590</f>
        <v>34.819664619221</v>
      </c>
    </row>
    <row r="594" customFormat="false" ht="17.15" hidden="false" customHeight="false" outlineLevel="0" collapsed="false">
      <c r="A594" s="0" t="s">
        <v>624</v>
      </c>
      <c r="B594" s="0" t="s">
        <v>52</v>
      </c>
      <c r="C594" s="13" t="n">
        <f aca="false">tk_cx_h100/(tk_cx_h100+tk_fac*(1-colo_sh))</f>
        <v>0.730756458006641</v>
      </c>
      <c r="D594" s="13" t="n">
        <f aca="false">tk_cx_h100/(tk_cx_h100+tk_fac*(1-colo_sh))</f>
        <v>0.730756458006641</v>
      </c>
      <c r="E594" s="13" t="n">
        <f aca="false">Sens!$F$594</f>
        <v>0.760792334328868</v>
      </c>
      <c r="F594" s="13" t="n">
        <f aca="false">Sens!$F$577/(Sens!$F$577+tk_fac*(1-colo_sh))</f>
        <v>0.760792334328868</v>
      </c>
      <c r="G594" s="13" t="n">
        <f aca="false">Sens!$G$577/(Sens!$G$577+tk_fac*(1-colo_sh))</f>
        <v>0.760792334328868</v>
      </c>
      <c r="H594" s="13" t="n">
        <f aca="false">Sens!$H$577/(Sens!$H$577+tk_fac*(1-colo_sh))</f>
        <v>0.768110668862996</v>
      </c>
      <c r="I594" s="13" t="n">
        <f aca="false">Sens!$I$577/(Sens!$I$577+tk_fac*(1-colo_sh))</f>
        <v>0.77499450139483</v>
      </c>
      <c r="J594" s="13" t="n">
        <f aca="false">Sens!$J$577/(Sens!$J$577+tk_fac*(1-colo_sh))</f>
        <v>0.77499450139483</v>
      </c>
      <c r="K594" s="13" t="n">
        <f aca="false">Sens!$K$577/(Sens!$K$577+tk_fac*(1-colo_sh))</f>
        <v>0.77499450139483</v>
      </c>
      <c r="L594" s="13" t="n">
        <f aca="false">Sens!$L$577/(Sens!$L$577+tk_fac*(1-colo_sh))</f>
        <v>0.77499450139483</v>
      </c>
      <c r="M594" s="13" t="n">
        <f aca="false">Sens!$M$577/(Sens!$M$577+tk_fac*(1-colo_sh))</f>
        <v>0.77499450139483</v>
      </c>
    </row>
    <row r="595" customFormat="false" ht="17.15" hidden="false" customHeight="false" outlineLevel="0" collapsed="false">
      <c r="A595" s="1" t="s">
        <v>625</v>
      </c>
      <c r="B595" s="8" t="s">
        <v>86</v>
      </c>
      <c r="C595" s="38" t="n">
        <f aca="false">Q!$D$46-cx_rt*Q!$D$16-cx_awso*Sens!$C$590</f>
        <v>25.2781053077374</v>
      </c>
      <c r="D595" s="38" t="n">
        <f aca="false">Q!$E$46-cx_rt*Q!$E$16-cx_awso*Sens!$D$590</f>
        <v>69.5686316310026</v>
      </c>
      <c r="E595" s="38" t="n">
        <f aca="false">Q!$P$46-cx_rt*Q!$P$16-cx_awso*Sens!$E$590</f>
        <v>64.1899206485108</v>
      </c>
      <c r="F595" s="38" t="n">
        <f aca="false">MAX(Sens!$F$572*(Sens!$F$577+tk_fac*(1-colo_sh))/1000,capex_g26-Q!$P$46-Sens!$F$593)</f>
        <v>96.2481299895</v>
      </c>
      <c r="G595" s="38" t="n">
        <f aca="false">Sens!$E$595+Sens!$F$595</f>
        <v>160.438050638011</v>
      </c>
      <c r="H595" s="38" t="n">
        <f aca="false">Sens!$H$572*(Sens!$H$577+tk_fac*(1-colo_sh))/1000+Sens!$H$596</f>
        <v>198.57136494475</v>
      </c>
      <c r="I595" s="38" t="n">
        <f aca="false">Sens!$I$572*(Sens!$I$577+tk_fac*(1-colo_sh))/1000+Sens!$I$596</f>
        <v>204.6464699105</v>
      </c>
      <c r="J595" s="38" t="n">
        <f aca="false">Sens!$J$572*(Sens!$J$577+tk_fac*(1-colo_sh))/1000+Sens!$J$596</f>
        <v>209.8832381105</v>
      </c>
      <c r="K595" s="38" t="n">
        <f aca="false">Sens!$K$572*(Sens!$K$577+tk_fac*(1-colo_sh))/1000+Sens!$K$596</f>
        <v>155.238385275201</v>
      </c>
      <c r="L595" s="38" t="n">
        <f aca="false">Sens!$L$572*(Sens!$L$577+tk_fac*(1-colo_sh))/1000+Sens!$L$596</f>
        <v>132.014141639902</v>
      </c>
      <c r="M595" s="38" t="n">
        <f aca="false">Sens!$M$572*(Sens!$M$577+tk_fac*(1-colo_sh))/1000+Sens!$M$596</f>
        <v>132.230981659852</v>
      </c>
      <c r="P595" s="5" t="s">
        <v>626</v>
      </c>
      <c r="R595" s="38" t="n">
        <f aca="false">Q!$C$46-cx_rt*Q!$C$16-cx_awso*(Q!$C$7-mw_ye23/2*rpm_open/1000)</f>
        <v>1.50429979529945</v>
      </c>
      <c r="S595" s="38" t="n">
        <f aca="false">Sens!$C$595</f>
        <v>25.2781053077374</v>
      </c>
      <c r="T595" s="38" t="n">
        <f aca="false">Sens!$D$595</f>
        <v>69.5686316310026</v>
      </c>
      <c r="U595" s="38" t="n">
        <f aca="false">Sens!$G$595</f>
        <v>160.438050638011</v>
      </c>
      <c r="V595" s="38" t="n">
        <f aca="false">Sens!$H$595</f>
        <v>198.57136494475</v>
      </c>
      <c r="W595" s="38" t="n">
        <f aca="false">Sens!$I$595</f>
        <v>204.6464699105</v>
      </c>
      <c r="X595" s="38" t="n">
        <f aca="false">Sens!$J$595</f>
        <v>209.8832381105</v>
      </c>
      <c r="Y595" s="38" t="n">
        <f aca="false">Sens!$K$595</f>
        <v>155.238385275201</v>
      </c>
      <c r="Z595" s="38" t="n">
        <f aca="false">Sens!$L$595</f>
        <v>132.014141639902</v>
      </c>
      <c r="AA595" s="38" t="n">
        <f aca="false">Sens!$M$595</f>
        <v>132.230981659852</v>
      </c>
    </row>
    <row r="596" customFormat="false" ht="17.15" hidden="false" customHeight="false" outlineLevel="0" collapsed="false">
      <c r="A596" s="0" t="s">
        <v>627</v>
      </c>
      <c r="B596" s="0" t="s">
        <v>86</v>
      </c>
      <c r="H596" s="38" t="n">
        <f aca="false">SUMPRODUCT(--(Sens!$R$565:$AA$565=2027-tk_life),Sens!$R$572:$AA$572)*Sens!$H$577/1000</f>
        <v>0</v>
      </c>
      <c r="I596" s="38" t="n">
        <f aca="false">SUMPRODUCT(--(Sens!$R$565:$AA$565=2028-tk_life),Sens!$R$572:$AA$572)*Sens!$I$577/1000</f>
        <v>0</v>
      </c>
      <c r="J596" s="38" t="n">
        <f aca="false">SUMPRODUCT(--(Sens!$R$565:$AA$565=2029-tk_life),Sens!$R$572:$AA$572)*Sens!$J$577/1000</f>
        <v>5.2367682</v>
      </c>
      <c r="K596" s="38" t="n">
        <f aca="false">SUMPRODUCT(--(Sens!$R$565:$AA$565=2030-tk_life),Sens!$R$572:$AA$572)*Sens!$K$577/1000</f>
        <v>10.4735364</v>
      </c>
      <c r="L596" s="38" t="n">
        <f aca="false">SUMPRODUCT(--(Sens!$R$565:$AA$565=2031-tk_life),Sens!$R$572:$AA$572)*Sens!$L$577/1000</f>
        <v>47.1309138</v>
      </c>
      <c r="M596" s="38" t="n">
        <f aca="false">SUMPRODUCT(--(Sens!$R$565:$AA$565=2032-tk_life),Sens!$R$572:$AA$572)*Sens!$M$577/1000</f>
        <v>107.22937485525</v>
      </c>
    </row>
    <row r="597" customFormat="false" ht="17.15" hidden="false" customHeight="false" outlineLevel="0" collapsed="false">
      <c r="A597" s="5" t="s">
        <v>628</v>
      </c>
      <c r="B597" s="0" t="s">
        <v>86</v>
      </c>
      <c r="C597" s="38" t="n">
        <f aca="false">Sens!$C$595*Sens!$C$594</f>
        <v>18.472138699801</v>
      </c>
      <c r="D597" s="38" t="n">
        <f aca="false">Sens!$D$595*Sens!$D$594</f>
        <v>50.8377268390402</v>
      </c>
      <c r="E597" s="38" t="n">
        <f aca="false">Sens!$E$595*Sens!$E$594</f>
        <v>48.8351995705653</v>
      </c>
      <c r="F597" s="38" t="n">
        <f aca="false">Sens!$F$595*Sens!$F$594</f>
        <v>73.2248394895</v>
      </c>
      <c r="G597" s="38" t="n">
        <f aca="false">Sens!$E$597+Sens!$F$597</f>
        <v>122.060039060065</v>
      </c>
      <c r="H597" s="38" t="n">
        <f aca="false">(Sens!$H$595-Sens!$H$596)*Sens!$H$594+Sens!$H$596</f>
        <v>152.52478394475</v>
      </c>
      <c r="I597" s="38" t="n">
        <f aca="false">(Sens!$I$595-Sens!$I$596)*Sens!$I$594+Sens!$I$596</f>
        <v>158.5998889105</v>
      </c>
      <c r="J597" s="38" t="n">
        <f aca="false">(Sens!$J$595-Sens!$J$596)*Sens!$J$594+Sens!$J$596</f>
        <v>163.8366571105</v>
      </c>
      <c r="K597" s="38" t="n">
        <f aca="false">(Sens!$K$595-Sens!$K$596)*Sens!$K$594+Sens!$K$596</f>
        <v>122.665498273534</v>
      </c>
      <c r="L597" s="38" t="n">
        <f aca="false">(Sens!$L$595-Sens!$L$596)*Sens!$L$594+Sens!$L$596</f>
        <v>112.914948636568</v>
      </c>
      <c r="M597" s="38" t="n">
        <f aca="false">(Sens!$M$595-Sens!$M$596)*Sens!$M$594+Sens!$M$596</f>
        <v>126.605482654852</v>
      </c>
      <c r="R597" s="38" t="n">
        <f aca="false">Sens!$R$595*Sens!$C$594</f>
        <v>1.09927679019314</v>
      </c>
      <c r="S597" s="38" t="n">
        <f aca="false">Sens!$C$597</f>
        <v>18.472138699801</v>
      </c>
      <c r="T597" s="38" t="n">
        <f aca="false">Sens!$D$597</f>
        <v>50.8377268390402</v>
      </c>
      <c r="U597" s="38" t="n">
        <f aca="false">Sens!$G$597</f>
        <v>122.060039060065</v>
      </c>
      <c r="V597" s="38" t="n">
        <f aca="false">Sens!$H$597</f>
        <v>152.52478394475</v>
      </c>
      <c r="W597" s="38" t="n">
        <f aca="false">Sens!$I$597</f>
        <v>158.5998889105</v>
      </c>
      <c r="X597" s="38" t="n">
        <f aca="false">Sens!$J$597</f>
        <v>163.8366571105</v>
      </c>
      <c r="Y597" s="38" t="n">
        <f aca="false">Sens!$K$597</f>
        <v>122.665498273534</v>
      </c>
      <c r="Z597" s="38" t="n">
        <f aca="false">Sens!$L$597</f>
        <v>112.914948636568</v>
      </c>
      <c r="AA597" s="38" t="n">
        <f aca="false">Sens!$M$597</f>
        <v>126.605482654852</v>
      </c>
    </row>
    <row r="598" customFormat="false" ht="15" hidden="false" customHeight="false" outlineLevel="0" collapsed="false">
      <c r="A598" s="5" t="s">
        <v>629</v>
      </c>
      <c r="B598" s="0" t="s">
        <v>86</v>
      </c>
      <c r="C598" s="38" t="n">
        <f aca="false">Sens!$C$595-Sens!$C$597</f>
        <v>6.80596660793636</v>
      </c>
      <c r="D598" s="38" t="n">
        <f aca="false">Sens!$D$595-Sens!$D$597</f>
        <v>18.7309047919624</v>
      </c>
      <c r="E598" s="38" t="n">
        <f aca="false">Sens!$E$595-Sens!$E$597</f>
        <v>15.3547210779455</v>
      </c>
      <c r="F598" s="38" t="n">
        <f aca="false">Sens!$F$595-Sens!$F$597</f>
        <v>23.0232905</v>
      </c>
      <c r="G598" s="38" t="n">
        <f aca="false">Sens!$G$595-Sens!$G$597</f>
        <v>38.3780115779455</v>
      </c>
      <c r="H598" s="38" t="n">
        <f aca="false">Sens!$H$595-Sens!$H$597</f>
        <v>46.046581</v>
      </c>
      <c r="I598" s="38" t="n">
        <f aca="false">Sens!$I$595-Sens!$I$597</f>
        <v>46.046581</v>
      </c>
      <c r="J598" s="38" t="n">
        <f aca="false">Sens!$J$595-Sens!$J$597</f>
        <v>46.046581</v>
      </c>
      <c r="K598" s="38" t="n">
        <f aca="false">Sens!$K$595-Sens!$K$597</f>
        <v>32.5728870016667</v>
      </c>
      <c r="L598" s="38" t="n">
        <f aca="false">Sens!$L$595-Sens!$L$597</f>
        <v>19.0991930033334</v>
      </c>
      <c r="M598" s="38" t="n">
        <f aca="false">Sens!$M$595-Sens!$M$597</f>
        <v>5.62549900499998</v>
      </c>
      <c r="R598" s="38" t="n">
        <f aca="false">Sens!$R$595-Sens!$R$597</f>
        <v>0.405023005106309</v>
      </c>
      <c r="S598" s="38" t="n">
        <f aca="false">Sens!$S$595-Sens!$S$597</f>
        <v>6.80596660793636</v>
      </c>
      <c r="T598" s="38" t="n">
        <f aca="false">Sens!$T$595-Sens!$T$597</f>
        <v>18.7309047919624</v>
      </c>
      <c r="U598" s="38" t="n">
        <f aca="false">Sens!$U$595-Sens!$U$597</f>
        <v>38.3780115779455</v>
      </c>
      <c r="V598" s="38" t="n">
        <f aca="false">Sens!$V$595-Sens!$V$597</f>
        <v>46.046581</v>
      </c>
      <c r="W598" s="38" t="n">
        <f aca="false">Sens!$W$595-Sens!$W$597</f>
        <v>46.046581</v>
      </c>
      <c r="X598" s="38" t="n">
        <f aca="false">Sens!$X$595-Sens!$X$597</f>
        <v>46.046581</v>
      </c>
      <c r="Y598" s="38" t="n">
        <f aca="false">Sens!$Y$595-Sens!$Y$597</f>
        <v>32.5728870016667</v>
      </c>
      <c r="Z598" s="38" t="n">
        <f aca="false">Sens!$Z$595-Sens!$Z$597</f>
        <v>19.0991930033334</v>
      </c>
      <c r="AA598" s="38" t="n">
        <f aca="false">Sens!$AA$595-Sens!$AA$597</f>
        <v>5.62549900499998</v>
      </c>
    </row>
    <row r="599" customFormat="false" ht="17.15" hidden="false" customHeight="false" outlineLevel="0" collapsed="false">
      <c r="A599" s="0" t="s">
        <v>630</v>
      </c>
      <c r="B599" s="0" t="s">
        <v>52</v>
      </c>
      <c r="C599" s="13" t="n">
        <f aca="false">Sens!$C$595/Sens!$C$715</f>
        <v>0.325505489553393</v>
      </c>
      <c r="D599" s="13" t="n">
        <f aca="false">Sens!$D$595/Sens!$D$715</f>
        <v>0.54214956071542</v>
      </c>
      <c r="E599" s="13" t="n">
        <f aca="false">Sens!$E$595/Sens!$E$715</f>
        <v>0.666492790452817</v>
      </c>
      <c r="F599" s="13" t="n">
        <f aca="false">Sens!$F$595/Sens!$F$715</f>
        <v>0.734338517534618</v>
      </c>
      <c r="G599" s="13" t="n">
        <f aca="false">Sens!$G$595/Sens!$G$715</f>
        <v>0.705601225986459</v>
      </c>
      <c r="H599" s="13" t="n">
        <f aca="false">Sens!$H$595/Sens!$H$715</f>
        <v>0.72682889398043</v>
      </c>
      <c r="I599" s="13" t="n">
        <f aca="false">Sens!$I$595/Sens!$I$715</f>
        <v>0.713562370972107</v>
      </c>
      <c r="J599" s="13" t="n">
        <f aca="false">Sens!$J$595/Sens!$J$715</f>
        <v>0.701679937814668</v>
      </c>
      <c r="K599" s="13" t="n">
        <f aca="false">Sens!$K$595/Sens!$K$715</f>
        <v>0.618866912380593</v>
      </c>
      <c r="L599" s="13" t="n">
        <f aca="false">Sens!$L$595/Sens!$L$715</f>
        <v>0.563036596808309</v>
      </c>
      <c r="M599" s="13" t="n">
        <f aca="false">Sens!$M$595/Sens!$M$715</f>
        <v>0.546299428168236</v>
      </c>
    </row>
    <row r="600" customFormat="false" ht="17.15" hidden="false" customHeight="false" outlineLevel="0" collapsed="false">
      <c r="A600" s="0" t="s">
        <v>631</v>
      </c>
      <c r="B600" s="0" t="s">
        <v>86</v>
      </c>
      <c r="C600" s="38" t="n">
        <f aca="false">Sens!$S$600</f>
        <v>0.183212798365523</v>
      </c>
      <c r="D600" s="38" t="n">
        <f aca="false">Sens!$T$600</f>
        <v>3.2619025816657</v>
      </c>
      <c r="E600" s="38" t="n">
        <f aca="false">Sens!$G$600/2</f>
        <v>5.86742852741953</v>
      </c>
      <c r="F600" s="38" t="n">
        <f aca="false">Sens!$G$600/2</f>
        <v>5.86742852741953</v>
      </c>
      <c r="G600" s="38" t="n">
        <f aca="false">Sens!$U$600</f>
        <v>11.7348570548391</v>
      </c>
      <c r="H600" s="38" t="n">
        <f aca="false">Sens!$V$600</f>
        <v>32.0781968981833</v>
      </c>
      <c r="I600" s="38" t="n">
        <f aca="false">Sens!$W$600</f>
        <v>57.4989942223083</v>
      </c>
      <c r="J600" s="38" t="n">
        <f aca="false">Sens!$X$600</f>
        <v>83.932309040725</v>
      </c>
      <c r="K600" s="38" t="n">
        <f aca="false">Sens!$Y$600</f>
        <v>111.055205760776</v>
      </c>
      <c r="L600" s="38" t="n">
        <f aca="false">Sens!$Z$600</f>
        <v>128.420765689732</v>
      </c>
      <c r="M600" s="38" t="n">
        <f aca="false">Sens!$AA$600</f>
        <v>138.766969322653</v>
      </c>
      <c r="N600" s="38" t="n">
        <f aca="false">Sens!$D$600/2</f>
        <v>1.63095129083285</v>
      </c>
      <c r="O600" s="38" t="n">
        <f aca="false">Sens!$D$600/2</f>
        <v>1.63095129083285</v>
      </c>
      <c r="R600" s="38" t="n">
        <f aca="false">SUMPRODUCT(--(Sens!$R$565:$AA$565&lt;Sens!R$565),--(Sens!$R$565:$AA$565&gt;=Sens!R$565-tk_life),Sens!$R$597:$AA$597)/tk_life</f>
        <v>0</v>
      </c>
      <c r="S600" s="38" t="n">
        <f aca="false">SUMPRODUCT(--(Sens!$R$565:$AA$565&lt;Sens!S$565),--(Sens!$R$565:$AA$565&gt;=Sens!S$565-tk_life),Sens!$R$597:$AA$597)/tk_life</f>
        <v>0.183212798365523</v>
      </c>
      <c r="T600" s="38" t="n">
        <f aca="false">SUMPRODUCT(--(Sens!$R$565:$AA$565&lt;Sens!T$565),--(Sens!$R$565:$AA$565&gt;=Sens!T$565-tk_life),Sens!$R$597:$AA$597)/tk_life</f>
        <v>3.2619025816657</v>
      </c>
      <c r="U600" s="38" t="n">
        <f aca="false">SUMPRODUCT(--(Sens!$R$565:$AA$565&lt;Sens!U$565),--(Sens!$R$565:$AA$565&gt;=Sens!U$565-tk_life),Sens!$R$597:$AA$597)/tk_life</f>
        <v>11.7348570548391</v>
      </c>
      <c r="V600" s="38" t="n">
        <f aca="false">SUMPRODUCT(--(Sens!$R$565:$AA$565&lt;Sens!V$565),--(Sens!$R$565:$AA$565&gt;=Sens!V$565-tk_life),Sens!$R$597:$AA$597)/tk_life</f>
        <v>32.0781968981833</v>
      </c>
      <c r="W600" s="38" t="n">
        <f aca="false">SUMPRODUCT(--(Sens!$R$565:$AA$565&lt;Sens!W$565),--(Sens!$R$565:$AA$565&gt;=Sens!W$565-tk_life),Sens!$R$597:$AA$597)/tk_life</f>
        <v>57.4989942223083</v>
      </c>
      <c r="X600" s="38" t="n">
        <f aca="false">SUMPRODUCT(--(Sens!$R$565:$AA$565&lt;Sens!X$565),--(Sens!$R$565:$AA$565&gt;=Sens!X$565-tk_life),Sens!$R$597:$AA$597)/tk_life</f>
        <v>83.932309040725</v>
      </c>
      <c r="Y600" s="38" t="n">
        <f aca="false">SUMPRODUCT(--(Sens!$R$565:$AA$565&lt;Sens!Y$565),--(Sens!$R$565:$AA$565&gt;=Sens!Y$565-tk_life),Sens!$R$597:$AA$597)/tk_life</f>
        <v>111.055205760776</v>
      </c>
      <c r="Z600" s="38" t="n">
        <f aca="false">SUMPRODUCT(--(Sens!$R$565:$AA$565&lt;Sens!Z$565),--(Sens!$R$565:$AA$565&gt;=Sens!Z$565-tk_life),Sens!$R$597:$AA$597)/tk_life</f>
        <v>128.420765689732</v>
      </c>
      <c r="AA600" s="38" t="n">
        <f aca="false">SUMPRODUCT(--(Sens!$R$565:$AA$565&lt;Sens!AA$565),--(Sens!$R$565:$AA$565&gt;=Sens!AA$565-tk_life),Sens!$R$597:$AA$597)/tk_life</f>
        <v>138.766969322653</v>
      </c>
    </row>
    <row r="601" customFormat="false" ht="17.15" hidden="false" customHeight="false" outlineLevel="0" collapsed="false">
      <c r="A601" s="0" t="s">
        <v>632</v>
      </c>
      <c r="B601" s="0" t="s">
        <v>86</v>
      </c>
      <c r="C601" s="38" t="n">
        <f aca="false">Sens!$S$601</f>
        <v>0.0202511502553155</v>
      </c>
      <c r="D601" s="38" t="n">
        <f aca="false">Sens!$T$601</f>
        <v>0.360549480652134</v>
      </c>
      <c r="E601" s="38" t="n">
        <f aca="false">Sens!$G$601/2</f>
        <v>0.648547360125127</v>
      </c>
      <c r="F601" s="38" t="n">
        <f aca="false">Sens!$G$601/2</f>
        <v>0.648547360125127</v>
      </c>
      <c r="G601" s="38" t="n">
        <f aca="false">Sens!$U$601</f>
        <v>1.29709472025025</v>
      </c>
      <c r="H601" s="38" t="n">
        <f aca="false">Sens!$V$601</f>
        <v>3.21599529914753</v>
      </c>
      <c r="I601" s="38" t="n">
        <f aca="false">Sens!$W$601</f>
        <v>5.51832434914753</v>
      </c>
      <c r="J601" s="38" t="n">
        <f aca="false">Sens!$X$601</f>
        <v>7.82065339914753</v>
      </c>
      <c r="K601" s="38" t="n">
        <f aca="false">Sens!$Y$601</f>
        <v>10.1229824491475</v>
      </c>
      <c r="L601" s="38" t="n">
        <f aca="false">Sens!$Z$601</f>
        <v>11.7516267992309</v>
      </c>
      <c r="M601" s="38" t="n">
        <f aca="false">Sens!$AA$601</f>
        <v>12.7065864493975</v>
      </c>
      <c r="N601" s="38" t="n">
        <f aca="false">Sens!$D$601/2</f>
        <v>0.180274740326067</v>
      </c>
      <c r="O601" s="38" t="n">
        <f aca="false">Sens!$D$601/2</f>
        <v>0.180274740326067</v>
      </c>
      <c r="R601" s="38" t="n">
        <f aca="false">SUMPRODUCT(--(Sens!$R$565:$AA$565&lt;Sens!R$565),Sens!$R$598:$AA$598)/fac_life</f>
        <v>0</v>
      </c>
      <c r="S601" s="38" t="n">
        <f aca="false">SUMPRODUCT(--(Sens!$R$565:$AA$565&lt;Sens!S$565),Sens!$R$598:$AA$598)/fac_life</f>
        <v>0.0202511502553155</v>
      </c>
      <c r="T601" s="38" t="n">
        <f aca="false">SUMPRODUCT(--(Sens!$R$565:$AA$565&lt;Sens!T$565),Sens!$R$598:$AA$598)/fac_life</f>
        <v>0.360549480652134</v>
      </c>
      <c r="U601" s="38" t="n">
        <f aca="false">SUMPRODUCT(--(Sens!$R$565:$AA$565&lt;Sens!U$565),Sens!$R$598:$AA$598)/fac_life</f>
        <v>1.29709472025025</v>
      </c>
      <c r="V601" s="38" t="n">
        <f aca="false">SUMPRODUCT(--(Sens!$R$565:$AA$565&lt;Sens!V$565),Sens!$R$598:$AA$598)/fac_life</f>
        <v>3.21599529914753</v>
      </c>
      <c r="W601" s="38" t="n">
        <f aca="false">SUMPRODUCT(--(Sens!$R$565:$AA$565&lt;Sens!W$565),Sens!$R$598:$AA$598)/fac_life</f>
        <v>5.51832434914753</v>
      </c>
      <c r="X601" s="38" t="n">
        <f aca="false">SUMPRODUCT(--(Sens!$R$565:$AA$565&lt;Sens!X$565),Sens!$R$598:$AA$598)/fac_life</f>
        <v>7.82065339914753</v>
      </c>
      <c r="Y601" s="38" t="n">
        <f aca="false">SUMPRODUCT(--(Sens!$R$565:$AA$565&lt;Sens!Y$565),Sens!$R$598:$AA$598)/fac_life</f>
        <v>10.1229824491475</v>
      </c>
      <c r="Z601" s="38" t="n">
        <f aca="false">SUMPRODUCT(--(Sens!$R$565:$AA$565&lt;Sens!Z$565),Sens!$R$598:$AA$598)/fac_life</f>
        <v>11.7516267992309</v>
      </c>
      <c r="AA601" s="38" t="n">
        <f aca="false">SUMPRODUCT(--(Sens!$R$565:$AA$565&lt;Sens!AA$565),Sens!$R$598:$AA$598)/fac_life</f>
        <v>12.7065864493975</v>
      </c>
    </row>
    <row r="602" customFormat="false" ht="17.15" hidden="false" customHeight="false" outlineLevel="0" collapsed="false">
      <c r="A602" s="1" t="s">
        <v>633</v>
      </c>
      <c r="B602" s="8" t="s">
        <v>86</v>
      </c>
      <c r="C602" s="38" t="n">
        <f aca="false">Sens!$C$600+Sens!$C$601</f>
        <v>0.203463948620839</v>
      </c>
      <c r="D602" s="38" t="n">
        <f aca="false">Sens!$D$600+Sens!$D$601</f>
        <v>3.62245206231783</v>
      </c>
      <c r="E602" s="38" t="n">
        <f aca="false">Sens!$E$600+Sens!$E$601</f>
        <v>6.51597588754466</v>
      </c>
      <c r="F602" s="38" t="n">
        <f aca="false">Sens!$F$600+Sens!$F$601</f>
        <v>6.51597588754466</v>
      </c>
      <c r="G602" s="38" t="n">
        <f aca="false">Sens!$G$600+Sens!$G$601</f>
        <v>13.0319517750893</v>
      </c>
      <c r="H602" s="38" t="n">
        <f aca="false">Sens!$H$600+Sens!$H$601</f>
        <v>35.2941921973308</v>
      </c>
      <c r="I602" s="38" t="n">
        <f aca="false">Sens!$I$600+Sens!$I$601</f>
        <v>63.0173185714558</v>
      </c>
      <c r="J602" s="38" t="n">
        <f aca="false">Sens!$J$600+Sens!$J$601</f>
        <v>91.7529624398725</v>
      </c>
      <c r="K602" s="38" t="n">
        <f aca="false">Sens!$K$600+Sens!$K$601</f>
        <v>121.178188209924</v>
      </c>
      <c r="L602" s="38" t="n">
        <f aca="false">Sens!$L$600+Sens!$L$601</f>
        <v>140.172392488963</v>
      </c>
      <c r="M602" s="38" t="n">
        <f aca="false">Sens!$M$600+Sens!$M$601</f>
        <v>151.473555772051</v>
      </c>
      <c r="N602" s="38" t="n">
        <f aca="false">Sens!$N$600+Sens!$N$601</f>
        <v>1.81122603115892</v>
      </c>
      <c r="O602" s="38" t="n">
        <f aca="false">Sens!$O$600+Sens!$O$601</f>
        <v>1.81122603115892</v>
      </c>
      <c r="R602" s="38" t="n">
        <f aca="false">Sens!$R$600+Sens!$R$601</f>
        <v>0</v>
      </c>
      <c r="S602" s="38" t="n">
        <f aca="false">Sens!$S$600+Sens!$S$601</f>
        <v>0.203463948620839</v>
      </c>
      <c r="T602" s="38" t="n">
        <f aca="false">Sens!$T$600+Sens!$T$601</f>
        <v>3.62245206231783</v>
      </c>
      <c r="U602" s="38" t="n">
        <f aca="false">Sens!$U$600+Sens!$U$601</f>
        <v>13.0319517750893</v>
      </c>
      <c r="V602" s="38" t="n">
        <f aca="false">Sens!$V$600+Sens!$V$601</f>
        <v>35.2941921973308</v>
      </c>
      <c r="W602" s="38" t="n">
        <f aca="false">Sens!$W$600+Sens!$W$601</f>
        <v>63.0173185714558</v>
      </c>
      <c r="X602" s="38" t="n">
        <f aca="false">Sens!$X$600+Sens!$X$601</f>
        <v>91.7529624398725</v>
      </c>
      <c r="Y602" s="38" t="n">
        <f aca="false">Sens!$Y$600+Sens!$Y$601</f>
        <v>121.178188209924</v>
      </c>
      <c r="Z602" s="38" t="n">
        <f aca="false">Sens!$Z$600+Sens!$Z$601</f>
        <v>140.172392488963</v>
      </c>
      <c r="AA602" s="38" t="n">
        <f aca="false">Sens!$AA$600+Sens!$AA$601</f>
        <v>151.473555772051</v>
      </c>
    </row>
    <row r="603" customFormat="false" ht="17.15" hidden="false" customHeight="false" outlineLevel="0" collapsed="false">
      <c r="A603" s="0" t="s">
        <v>634</v>
      </c>
      <c r="B603" s="0" t="s">
        <v>86</v>
      </c>
      <c r="C603" s="38" t="n">
        <f aca="false">Sens!$S$603</f>
        <v>26.578941154416</v>
      </c>
      <c r="D603" s="38" t="n">
        <f aca="false">Sens!$T$603</f>
        <v>92.5251207231008</v>
      </c>
      <c r="G603" s="38" t="n">
        <f aca="false">Sens!$U$603</f>
        <v>239.931219586022</v>
      </c>
      <c r="H603" s="38" t="n">
        <f aca="false">Sens!$V$603</f>
        <v>403.208392333442</v>
      </c>
      <c r="I603" s="38" t="n">
        <f aca="false">Sens!$W$603</f>
        <v>544.837543672486</v>
      </c>
      <c r="J603" s="38" t="n">
        <f aca="false">Sens!$X$603</f>
        <v>662.967819343113</v>
      </c>
      <c r="K603" s="38" t="n">
        <f aca="false">Sens!$Y$603</f>
        <v>697.028016408391</v>
      </c>
      <c r="L603" s="38" t="n">
        <f aca="false">Sens!$Z$603</f>
        <v>688.86976555933</v>
      </c>
      <c r="M603" s="38" t="n">
        <f aca="false">Sens!$AA$603</f>
        <v>669.627191447132</v>
      </c>
      <c r="R603" s="38" t="n">
        <f aca="false">SUM(Sens!$R$595:$R$595)-SUM(Sens!$R$602:$R$602)</f>
        <v>1.50429979529945</v>
      </c>
      <c r="S603" s="38" t="n">
        <f aca="false">SUM(Sens!$R$595:$S$595)-SUM(Sens!$R$602:$S$602)</f>
        <v>26.578941154416</v>
      </c>
      <c r="T603" s="38" t="n">
        <f aca="false">SUM(Sens!$R$595:$T$595)-SUM(Sens!$R$602:$T$602)</f>
        <v>92.5251207231008</v>
      </c>
      <c r="U603" s="38" t="n">
        <f aca="false">SUM(Sens!$R$595:$U$595)-SUM(Sens!$R$602:$U$602)</f>
        <v>239.931219586022</v>
      </c>
      <c r="V603" s="38" t="n">
        <f aca="false">SUM(Sens!$R$595:$V$595)-SUM(Sens!$R$602:$V$602)</f>
        <v>403.208392333442</v>
      </c>
      <c r="W603" s="38" t="n">
        <f aca="false">SUM(Sens!$R$595:$W$595)-SUM(Sens!$R$602:$W$602)</f>
        <v>544.837543672486</v>
      </c>
      <c r="X603" s="38" t="n">
        <f aca="false">SUM(Sens!$R$595:$X$595)-SUM(Sens!$R$602:$X$602)</f>
        <v>662.967819343113</v>
      </c>
      <c r="Y603" s="38" t="n">
        <f aca="false">SUM(Sens!$R$595:$Y$595)-SUM(Sens!$R$602:$Y$602)</f>
        <v>697.028016408391</v>
      </c>
      <c r="Z603" s="38" t="n">
        <f aca="false">SUM(Sens!$R$595:$Z$595)-SUM(Sens!$R$602:$Z$602)</f>
        <v>688.86976555933</v>
      </c>
      <c r="AA603" s="38" t="n">
        <f aca="false">SUM(Sens!$R$595:$AA$595)-SUM(Sens!$R$602:$AA$602)</f>
        <v>669.627191447132</v>
      </c>
    </row>
    <row r="604" customFormat="false" ht="17.15" hidden="false" customHeight="false" outlineLevel="0" collapsed="false">
      <c r="A604" s="1" t="s">
        <v>635</v>
      </c>
    </row>
    <row r="605" customFormat="false" ht="17.15" hidden="false" customHeight="false" outlineLevel="0" collapsed="false">
      <c r="A605" s="0" t="s">
        <v>636</v>
      </c>
      <c r="B605" s="0" t="s">
        <v>86</v>
      </c>
      <c r="C605" s="38" t="n">
        <f aca="false">Sens!$C$586-ext_sh*Sens!$C$588</f>
        <v>1.80694998843362</v>
      </c>
      <c r="D605" s="38" t="n">
        <f aca="false">Sens!$D$586-ext_sh*Sens!$D$588</f>
        <v>6.77606245662607</v>
      </c>
      <c r="E605" s="38" t="n">
        <f aca="false">Sens!$E$586-ext_sh*Sens!$E$588</f>
        <v>6.62548329092326</v>
      </c>
      <c r="F605" s="38" t="n">
        <f aca="false">Sens!$F$586-ext_sh*Sens!$F$588</f>
        <v>14.3233275606891</v>
      </c>
      <c r="G605" s="38" t="n">
        <f aca="false">Sens!$G$586-ext_sh*Sens!$G$588</f>
        <v>20.9488108516123</v>
      </c>
      <c r="H605" s="38" t="n">
        <f aca="false">Sens!$H$586-ext_sh*Sens!$H$588</f>
        <v>68.7702777464201</v>
      </c>
      <c r="I605" s="38" t="n">
        <f aca="false">Sens!$I$586-ext_sh*Sens!$I$588</f>
        <v>123.743293396039</v>
      </c>
      <c r="J605" s="38" t="n">
        <f aca="false">Sens!$J$586-ext_sh*Sens!$J$588</f>
        <v>178.982447779414</v>
      </c>
      <c r="K605" s="38" t="n">
        <f aca="false">Sens!$K$586-ext_sh*Sens!$K$588</f>
        <v>226.104871772476</v>
      </c>
      <c r="L605" s="38" t="n">
        <f aca="false">Sens!$L$586-ext_sh*Sens!$L$588</f>
        <v>257.073803762517</v>
      </c>
      <c r="M605" s="38" t="n">
        <f aca="false">Sens!$M$586-ext_sh*Sens!$M$588</f>
        <v>271.845958070998</v>
      </c>
      <c r="N605" s="38" t="n">
        <f aca="false">Sens!$N$586-ext_sh*Sens!$N$588</f>
        <v>2.37162185981912</v>
      </c>
      <c r="O605" s="38" t="n">
        <f aca="false">Sens!$O$586-ext_sh*Sens!$O$588</f>
        <v>4.40444059680694</v>
      </c>
    </row>
    <row r="606" customFormat="false" ht="17.15" hidden="false" customHeight="false" outlineLevel="0" collapsed="false">
      <c r="A606" s="1" t="s">
        <v>637</v>
      </c>
      <c r="B606" s="8" t="s">
        <v>86</v>
      </c>
      <c r="C606" s="38" t="n">
        <f aca="false">Sens!$C$605-ext_sh*Sens!$C$602</f>
        <v>1.64417882953695</v>
      </c>
      <c r="D606" s="38" t="n">
        <f aca="false">Sens!$D$605-ext_sh*Sens!$D$602</f>
        <v>3.8781008067718</v>
      </c>
      <c r="E606" s="38" t="n">
        <f aca="false">Sens!$E$605-ext_sh*Sens!$E$602</f>
        <v>1.41270258088753</v>
      </c>
      <c r="F606" s="38" t="n">
        <f aca="false">Sens!$F$605-ext_sh*Sens!$F$602</f>
        <v>9.11054685065335</v>
      </c>
      <c r="G606" s="38" t="n">
        <f aca="false">Sens!$G$605-ext_sh*Sens!$G$602</f>
        <v>10.5232494315409</v>
      </c>
      <c r="H606" s="38" t="n">
        <f aca="false">Sens!$H$605-ext_sh*Sens!$H$602</f>
        <v>40.5349239885555</v>
      </c>
      <c r="I606" s="38" t="n">
        <f aca="false">Sens!$I$605-ext_sh*Sens!$I$602</f>
        <v>73.3294385388747</v>
      </c>
      <c r="J606" s="38" t="n">
        <f aca="false">Sens!$J$605-ext_sh*Sens!$J$602</f>
        <v>105.580077827516</v>
      </c>
      <c r="K606" s="38" t="n">
        <f aca="false">Sens!$K$605-ext_sh*Sens!$K$602</f>
        <v>129.162321204538</v>
      </c>
      <c r="L606" s="38" t="n">
        <f aca="false">Sens!$L$605-ext_sh*Sens!$L$602</f>
        <v>144.935889771347</v>
      </c>
      <c r="M606" s="38" t="n">
        <f aca="false">Sens!$M$605-ext_sh*Sens!$M$602</f>
        <v>150.667113453357</v>
      </c>
      <c r="N606" s="38" t="n">
        <f aca="false">Sens!$N$605-ext_sh*Sens!$N$602</f>
        <v>0.92264103489199</v>
      </c>
      <c r="O606" s="38" t="n">
        <f aca="false">Sens!$O$605-ext_sh*Sens!$O$602</f>
        <v>2.95545977187981</v>
      </c>
    </row>
    <row r="607" customFormat="false" ht="17.15" hidden="false" customHeight="false" outlineLevel="0" collapsed="false">
      <c r="A607" s="0" t="s">
        <v>638</v>
      </c>
      <c r="B607" s="0" t="s">
        <v>52</v>
      </c>
      <c r="C607" s="13" t="n">
        <f aca="false">Sens!$C$606/Sens!$C$586</f>
        <v>0.708390794789371</v>
      </c>
      <c r="D607" s="13" t="n">
        <f aca="false">Sens!$D$606/Sens!$D$586</f>
        <v>0.445565630441968</v>
      </c>
      <c r="E607" s="13" t="n">
        <f aca="false">Sens!$E$606/Sens!$E$586</f>
        <v>0.165998118402711</v>
      </c>
      <c r="F607" s="13" t="n">
        <f aca="false">Sens!$F$606/Sens!$F$586</f>
        <v>0.51862586831267</v>
      </c>
      <c r="G607" s="13" t="n">
        <f aca="false">Sens!$G$606/Sens!$G$586</f>
        <v>0.40354437417509</v>
      </c>
      <c r="H607" s="13" t="n">
        <f aca="false">Sens!$H$606/Sens!$H$586</f>
        <v>0.497855857778335</v>
      </c>
      <c r="I607" s="13" t="n">
        <f aca="false">Sens!$I$606/Sens!$I$586</f>
        <v>0.506793187968718</v>
      </c>
      <c r="J607" s="13" t="n">
        <f aca="false">Sens!$J$606/Sens!$J$586</f>
        <v>0.506990727488046</v>
      </c>
      <c r="K607" s="13" t="n">
        <f aca="false">Sens!$K$606/Sens!$K$586</f>
        <v>0.492105839403832</v>
      </c>
      <c r="L607" s="13" t="n">
        <f aca="false">Sens!$L$606/Sens!$L$586</f>
        <v>0.486195207173949</v>
      </c>
      <c r="M607" s="13" t="n">
        <f aca="false">Sens!$M$606/Sens!$M$586</f>
        <v>0.478150746312932</v>
      </c>
      <c r="N607" s="13" t="n">
        <f aca="false">Sens!$N$606/Sens!$N$586</f>
        <v>0.302870734830849</v>
      </c>
      <c r="O607" s="13" t="n">
        <f aca="false">Sens!$O$606/Sens!$O$586</f>
        <v>0.52240134346334</v>
      </c>
    </row>
    <row r="608" customFormat="false" ht="17.15" hidden="false" customHeight="false" outlineLevel="0" collapsed="false">
      <c r="A608" s="5" t="s">
        <v>639</v>
      </c>
      <c r="B608" s="0" t="s">
        <v>86</v>
      </c>
      <c r="C608" s="39" t="n">
        <v>0</v>
      </c>
      <c r="D608" s="39" t="n">
        <v>0</v>
      </c>
      <c r="E608" s="39" t="n">
        <v>0</v>
      </c>
      <c r="F608" s="38" t="n">
        <f aca="false">IF(internal_ai_reading=2,1,0)*(1-ext_sh)/ext_sh*(mw_open*he_open+Sens!$F$584*Sens!$F$581)*Sens!$F$570/1000</f>
        <v>3.77122048175818</v>
      </c>
      <c r="G608" s="38" t="n">
        <f aca="false">Sens!$E$608+Sens!$F$608</f>
        <v>3.77122048175818</v>
      </c>
      <c r="H608" s="38" t="n">
        <f aca="false">IF(internal_ai_reading=2,1,0)*(1-ext_sh)/ext_sh*(mw_open*he_open+Sens!$H$584*Sens!$H$581)*Sens!$H$570/1000</f>
        <v>15.1635543609893</v>
      </c>
      <c r="I608" s="38" t="n">
        <f aca="false">IF(internal_ai_reading=2,1,0)*(1-ext_sh)/ext_sh*(mw_open*he_open+Sens!$I$584*Sens!$I$581)*Sens!$I$570/1000</f>
        <v>25.5818843619889</v>
      </c>
      <c r="J608" s="38" t="n">
        <f aca="false">IF(internal_ai_reading=2,1,0)*(1-ext_sh)/ext_sh*(mw_open*he_open+Sens!$J$584*Sens!$J$581)*Sens!$J$570/1000</f>
        <v>36.0465624179122</v>
      </c>
      <c r="K608" s="38" t="n">
        <f aca="false">IF(internal_ai_reading=2,1,0)*(1-ext_sh)/ext_sh*(mw_open*he_open+Sens!$K$584*Sens!$K$581)*Sens!$K$570/1000</f>
        <v>44.9741164026038</v>
      </c>
      <c r="L608" s="38" t="n">
        <f aca="false">IF(internal_ai_reading=2,1,0)*(1-ext_sh)/ext_sh*(mw_open*he_open+Sens!$L$584*Sens!$L$581)*Sens!$L$570/1000</f>
        <v>50.8413488057813</v>
      </c>
      <c r="M608" s="38" t="n">
        <f aca="false">IF(internal_ai_reading=2,1,0)*(1-ext_sh)/ext_sh*(mw_open*he_open+Sens!$M$584*Sens!$M$581)*Sens!$M$570/1000</f>
        <v>53.6407214274315</v>
      </c>
      <c r="N608" s="39" t="n">
        <v>0</v>
      </c>
      <c r="O608" s="39" t="n">
        <v>0</v>
      </c>
      <c r="P608" s="8" t="s">
        <v>640</v>
      </c>
    </row>
    <row r="609" customFormat="false" ht="17.15" hidden="false" customHeight="false" outlineLevel="0" collapsed="false">
      <c r="A609" s="5" t="s">
        <v>641</v>
      </c>
      <c r="B609" s="0" t="s">
        <v>86</v>
      </c>
      <c r="C609" s="38" t="n">
        <f aca="false">(1-ext_sh)*(Sens!$C$588+Sens!$C$602)</f>
        <v>0.169206631859174</v>
      </c>
      <c r="D609" s="38" t="n">
        <f aca="false">(1-ext_sh)*(Sens!$D$588+Sens!$D$602)</f>
        <v>1.20641732046984</v>
      </c>
      <c r="E609" s="38" t="n">
        <f aca="false">(1-ext_sh)*(Sens!$E$588+Sens!$E$602)</f>
        <v>1.77441259867062</v>
      </c>
      <c r="F609" s="38" t="n">
        <f aca="false">(1-ext_sh)*(Sens!$F$588+Sens!$F$602)</f>
        <v>2.1140391597214</v>
      </c>
      <c r="G609" s="38" t="n">
        <f aca="false">(1-ext_sh)*(Sens!$G$588+Sens!$G$602)</f>
        <v>3.88845175839202</v>
      </c>
      <c r="H609" s="38" t="n">
        <f aca="false">(1-ext_sh)*(Sens!$H$588+Sens!$H$602)</f>
        <v>10.2210179503985</v>
      </c>
      <c r="I609" s="38" t="n">
        <f aca="false">(1-ext_sh)*(Sens!$I$588+Sens!$I$602)</f>
        <v>17.8408961823075</v>
      </c>
      <c r="J609" s="38" t="n">
        <f aca="false">(1-ext_sh)*(Sens!$J$588+Sens!$J$602)</f>
        <v>25.6671150670732</v>
      </c>
      <c r="K609" s="38" t="n">
        <f aca="false">(1-ext_sh)*(Sens!$K$588+Sens!$K$602)</f>
        <v>33.3265648647373</v>
      </c>
      <c r="L609" s="38" t="n">
        <f aca="false">(1-ext_sh)*(Sens!$L$588+Sens!$L$602)</f>
        <v>38.2915924088815</v>
      </c>
      <c r="M609" s="38" t="n">
        <f aca="false">(1-ext_sh)*(Sens!$M$588+Sens!$M$602)</f>
        <v>41.1091697111781</v>
      </c>
      <c r="N609" s="38" t="n">
        <f aca="false">(1-ext_sh)*(Sens!$N$588+Sens!$N$602)</f>
        <v>0.530919624033979</v>
      </c>
      <c r="O609" s="38" t="n">
        <f aca="false">(1-ext_sh)*(Sens!$O$588+Sens!$O$602)</f>
        <v>0.675497696435861</v>
      </c>
    </row>
    <row r="610" customFormat="false" ht="17.15" hidden="false" customHeight="false" outlineLevel="0" collapsed="false">
      <c r="A610" s="0" t="s">
        <v>642</v>
      </c>
      <c r="B610" s="0" t="s">
        <v>86</v>
      </c>
      <c r="C610" s="38" t="n">
        <f aca="false">Q!$D$24</f>
        <v>39.834</v>
      </c>
      <c r="D610" s="38" t="n">
        <f aca="false">Q!$E$24</f>
        <v>45.606</v>
      </c>
      <c r="E610" s="38" t="n">
        <f aca="false">Q!$P$24</f>
        <v>30.782</v>
      </c>
      <c r="N610" s="38" t="n">
        <f aca="false">Q!$N$24</f>
        <v>21.707</v>
      </c>
      <c r="O610" s="38" t="n">
        <f aca="false">Q!$O$24</f>
        <v>23.899</v>
      </c>
    </row>
    <row r="611" customFormat="false" ht="17.15" hidden="false" customHeight="false" outlineLevel="0" collapsed="false">
      <c r="A611" s="0" t="s">
        <v>643</v>
      </c>
      <c r="B611" s="0" t="s">
        <v>86</v>
      </c>
      <c r="C611" s="38" t="n">
        <f aca="false">Sens!$C$610-Sens!$C$606</f>
        <v>38.1898211704631</v>
      </c>
      <c r="D611" s="38" t="n">
        <f aca="false">Sens!$D$610-Sens!$D$606</f>
        <v>41.7278991932282</v>
      </c>
      <c r="E611" s="38" t="n">
        <f aca="false">Sens!$E$610-Sens!$E$606</f>
        <v>29.3692974191125</v>
      </c>
      <c r="F611" s="38" t="n">
        <f aca="false">Sens!$F$590*Sens!$F$612</f>
        <v>26.8997276714137</v>
      </c>
      <c r="G611" s="38" t="n">
        <f aca="false">Sens!$E$611+Sens!$F$611</f>
        <v>56.2690250905262</v>
      </c>
      <c r="H611" s="38" t="n">
        <f aca="false">Sens!$H$590*Sens!$H$612</f>
        <v>60.3505333937343</v>
      </c>
      <c r="I611" s="38" t="n">
        <f aca="false">Sens!$I$590*Sens!$I$612</f>
        <v>67.0043857303571</v>
      </c>
      <c r="J611" s="38" t="n">
        <f aca="false">Sens!$J$590*Sens!$J$612</f>
        <v>73.3782922956925</v>
      </c>
      <c r="K611" s="38" t="n">
        <f aca="false">Sens!$K$590*Sens!$K$612</f>
        <v>79.2485556793479</v>
      </c>
      <c r="L611" s="38" t="n">
        <f aca="false">Sens!$L$590*Sens!$L$612</f>
        <v>85.5884401336958</v>
      </c>
      <c r="M611" s="38" t="n">
        <f aca="false">Sens!$M$590*Sens!$M$612</f>
        <v>92.4355153443914</v>
      </c>
      <c r="N611" s="38" t="n">
        <f aca="false">Sens!$N$610-Sens!$N$606</f>
        <v>20.784358965108</v>
      </c>
      <c r="O611" s="38" t="n">
        <f aca="false">Sens!$O$610-Sens!$O$606</f>
        <v>20.9435402281202</v>
      </c>
      <c r="P611" s="5" t="s">
        <v>644</v>
      </c>
    </row>
    <row r="612" customFormat="false" ht="17.15" hidden="false" customHeight="false" outlineLevel="0" collapsed="false">
      <c r="A612" s="0" t="s">
        <v>645</v>
      </c>
      <c r="B612" s="0" t="s">
        <v>52</v>
      </c>
      <c r="C612" s="13" t="n">
        <f aca="false">Sens!$C$611/Sens!$C$590</f>
        <v>0.362900395443635</v>
      </c>
      <c r="D612" s="13" t="n">
        <f aca="false">Sens!$D$611/Sens!$D$590</f>
        <v>0.34767098474203</v>
      </c>
      <c r="E612" s="13" t="n">
        <f aca="false">Sens!$E$611/Sens!$E$590</f>
        <v>0.411861655558416</v>
      </c>
      <c r="F612" s="13" t="n">
        <f aca="false">(Sens!$O$611+Sens!$E$611)/(Sens!$O$590+Sens!$E$590)</f>
        <v>0.37480827803158</v>
      </c>
      <c r="G612" s="13" t="n">
        <f aca="false">Sens!$G$611/Sens!$G$590</f>
        <v>0.393275318395757</v>
      </c>
      <c r="H612" s="13" t="n">
        <f aca="false">Sens!$F$612</f>
        <v>0.37480827803158</v>
      </c>
      <c r="I612" s="13" t="n">
        <f aca="false">Sens!$F$612</f>
        <v>0.37480827803158</v>
      </c>
      <c r="J612" s="13" t="n">
        <f aca="false">Sens!$F$612</f>
        <v>0.37480827803158</v>
      </c>
      <c r="K612" s="13" t="n">
        <f aca="false">Sens!$F$612</f>
        <v>0.37480827803158</v>
      </c>
      <c r="L612" s="13" t="n">
        <f aca="false">Sens!$F$612</f>
        <v>0.37480827803158</v>
      </c>
      <c r="M612" s="13" t="n">
        <f aca="false">Sens!$F$612</f>
        <v>0.37480827803158</v>
      </c>
      <c r="N612" s="13" t="n">
        <f aca="false">Sens!$N$611/Sens!$N$590</f>
        <v>0.364039571356823</v>
      </c>
      <c r="O612" s="13" t="n">
        <f aca="false">Sens!$O$611/Sens!$O$590</f>
        <v>0.332819892300086</v>
      </c>
      <c r="P612" s="8" t="s">
        <v>646</v>
      </c>
    </row>
    <row r="613" customFormat="false" ht="17.15" hidden="false" customHeight="false" outlineLevel="0" collapsed="false">
      <c r="A613" s="0" t="s">
        <v>647</v>
      </c>
      <c r="B613" s="0" t="s">
        <v>52</v>
      </c>
      <c r="D613" s="13" t="n">
        <f aca="false">(Q!$E$31-ext_sh*Sens!$D$602)/Sens!$D$590</f>
        <v>0.154572973163571</v>
      </c>
    </row>
    <row r="614" customFormat="false" ht="17.15" hidden="false" customHeight="false" outlineLevel="0" collapsed="false">
      <c r="A614" s="0" t="s">
        <v>648</v>
      </c>
      <c r="B614" s="0" t="s">
        <v>86</v>
      </c>
      <c r="C614" s="38" t="n">
        <f aca="false">Q!$D$31</f>
        <v>13.32</v>
      </c>
      <c r="D614" s="38" t="n">
        <f aca="false">Q!$E$31</f>
        <v>21.45</v>
      </c>
      <c r="E614" s="38" t="n">
        <f aca="false">Q!$P$31</f>
        <v>15.353</v>
      </c>
      <c r="F614" s="38" t="n">
        <f aca="false">ext_sh*Sens!$F$602+Sens!$D$613*Sens!$F$590</f>
        <v>16.3063747611001</v>
      </c>
      <c r="G614" s="38" t="n">
        <f aca="false">Sens!$E$614+Sens!$F$614</f>
        <v>31.6593747611001</v>
      </c>
      <c r="H614" s="38" t="n">
        <f aca="false">ext_sh*Sens!$H$602+Sens!$D$613*Sens!$H$590</f>
        <v>53.124242092105</v>
      </c>
      <c r="I614" s="38" t="n">
        <f aca="false">ext_sh*Sens!$I$602+Sens!$D$613*Sens!$I$590</f>
        <v>78.046828098133</v>
      </c>
      <c r="J614" s="38" t="n">
        <f aca="false">ext_sh*Sens!$J$602+Sens!$D$613*Sens!$J$590</f>
        <v>103.663976940352</v>
      </c>
      <c r="K614" s="38" t="n">
        <f aca="false">ext_sh*Sens!$K$602+Sens!$D$613*Sens!$K$590</f>
        <v>129.625086115469</v>
      </c>
      <c r="L614" s="38" t="n">
        <f aca="false">ext_sh*Sens!$L$602+Sens!$D$613*Sens!$L$590</f>
        <v>147.435052382502</v>
      </c>
      <c r="M614" s="38" t="n">
        <f aca="false">ext_sh*Sens!$M$602+Sens!$D$613*Sens!$M$590</f>
        <v>159.299754080279</v>
      </c>
      <c r="N614" s="38" t="n">
        <f aca="false">Q!$N$31</f>
        <v>9.234</v>
      </c>
      <c r="O614" s="38" t="n">
        <f aca="false">Q!$O$31</f>
        <v>12.216</v>
      </c>
    </row>
    <row r="615" customFormat="false" ht="17.15" hidden="false" customHeight="false" outlineLevel="0" collapsed="false">
      <c r="A615" s="1" t="s">
        <v>649</v>
      </c>
    </row>
    <row r="616" customFormat="false" ht="17.15" hidden="false" customHeight="false" outlineLevel="0" collapsed="false">
      <c r="A616" s="15" t="s">
        <v>650</v>
      </c>
      <c r="B616" s="14" t="s">
        <v>52</v>
      </c>
      <c r="C616" s="14"/>
      <c r="D616" s="14"/>
      <c r="E616" s="14"/>
      <c r="F616" s="14"/>
      <c r="G616" s="17" t="n">
        <f aca="false">Sens!$G$606*(1-tax)/(ext_sh*(Sens!$D$603+Sens!$G$603)/2)</f>
        <v>0.0653963777045556</v>
      </c>
      <c r="H616" s="17" t="n">
        <f aca="false">Sens!$H$606*(1-tax)/(ext_sh*(Sens!$G$603+Sens!$H$603)/2)</f>
        <v>0.130215460902825</v>
      </c>
      <c r="I616" s="17" t="n">
        <f aca="false">Sens!$I$606*(1-tax)/(ext_sh*(Sens!$H$603+Sens!$I$603)/2)</f>
        <v>0.159803919728895</v>
      </c>
      <c r="J616" s="17" t="n">
        <f aca="false">Sens!$J$606*(1-tax)/(ext_sh*(Sens!$I$603+Sens!$J$603)/2)</f>
        <v>0.180602381536389</v>
      </c>
      <c r="K616" s="17" t="n">
        <f aca="false">Sens!$K$606*(1-tax)/(ext_sh*(Sens!$J$603+Sens!$K$603)/2)</f>
        <v>0.196217036138923</v>
      </c>
      <c r="L616" s="17" t="n">
        <f aca="false">Sens!$L$606*(1-tax)/(ext_sh*(Sens!$K$603+Sens!$L$603)/2)</f>
        <v>0.216064387131295</v>
      </c>
      <c r="M616" s="17" t="n">
        <f aca="false">Sens!$M$606*(1-tax)/(ext_sh*(Sens!$L$603+Sens!$M$603)/2)</f>
        <v>0.229138595498907</v>
      </c>
      <c r="N616" s="14"/>
      <c r="O616" s="14"/>
      <c r="P616" s="8" t="s">
        <v>651</v>
      </c>
    </row>
    <row r="617" customFormat="false" ht="17.15" hidden="false" customHeight="false" outlineLevel="0" collapsed="false">
      <c r="A617" s="5" t="s">
        <v>652</v>
      </c>
      <c r="B617" s="0" t="s">
        <v>57</v>
      </c>
      <c r="H617" s="36" t="n">
        <f aca="false">Sens!$H$586*1000/(mw_open*he_open+Sens!$H$584*Sens!$H$581)</f>
        <v>1.34234681809848</v>
      </c>
      <c r="I617" s="36" t="n">
        <f aca="false">Sens!$I$586*1000/(mw_open*he_open+Sens!$I$584*Sens!$I$581)</f>
        <v>1.41401842433369</v>
      </c>
      <c r="J617" s="36" t="n">
        <f aca="false">Sens!$J$586*1000/(mw_open*he_open+Sens!$J$584*Sens!$J$581)</f>
        <v>1.44430234207525</v>
      </c>
      <c r="K617" s="36" t="n">
        <f aca="false">Sens!$K$586*1000/(mw_open*he_open+Sens!$K$584*Sens!$K$581)</f>
        <v>1.45899798405095</v>
      </c>
      <c r="L617" s="36" t="n">
        <f aca="false">Sens!$L$586*1000/(mw_open*he_open+Sens!$L$584*Sens!$L$581)</f>
        <v>1.46584554899228</v>
      </c>
      <c r="M617" s="36" t="n">
        <f aca="false">Sens!$M$586*1000/(mw_open*he_open+Sens!$M$584*Sens!$M$581)</f>
        <v>1.46858479860474</v>
      </c>
    </row>
    <row r="618" customFormat="false" ht="17.15" hidden="false" customHeight="false" outlineLevel="0" collapsed="false">
      <c r="A618" s="5" t="s">
        <v>653</v>
      </c>
      <c r="B618" s="0" t="s">
        <v>57</v>
      </c>
      <c r="H618" s="36" t="n">
        <f aca="false">Sens!$H$617*(Sens!$H$586+wacc*ext_sh*(Sens!$G$603+Sens!$H$603)/2/(1-tax)-Sens!$H$606)/Sens!$H$586</f>
        <v>1.25551961623259</v>
      </c>
      <c r="I618" s="36" t="n">
        <f aca="false">Sens!$I$617*(Sens!$I$586+wacc*ext_sh*(Sens!$H$603+Sens!$I$603)/2/(1-tax)-Sens!$I$606)/Sens!$I$586</f>
        <v>1.2054675393263</v>
      </c>
      <c r="J618" s="36" t="n">
        <f aca="false">Sens!$J$617*(Sens!$J$586+wacc*ext_sh*(Sens!$I$603+Sens!$J$603)/2/(1-tax)-Sens!$J$606)/Sens!$J$586</f>
        <v>1.17141604927023</v>
      </c>
      <c r="K618" s="36" t="n">
        <f aca="false">Sens!$K$617*(Sens!$K$586+wacc*ext_sh*(Sens!$J$603+Sens!$K$603)/2/(1-tax)-Sens!$K$606)/Sens!$K$586</f>
        <v>1.15558527566281</v>
      </c>
      <c r="L618" s="36" t="n">
        <f aca="false">Sens!$L$617*(Sens!$L$586+wacc*ext_sh*(Sens!$K$603+Sens!$L$603)/2/(1-tax)-Sens!$L$606)/Sens!$L$586</f>
        <v>1.12686933572495</v>
      </c>
      <c r="M618" s="36" t="n">
        <f aca="false">Sens!$M$617*(Sens!$M$586+wacc*ext_sh*(Sens!$L$603+Sens!$M$603)/2/(1-tax)-Sens!$M$606)/Sens!$M$586</f>
        <v>1.11358462527531</v>
      </c>
    </row>
    <row r="619" customFormat="false" ht="17.15" hidden="false" customHeight="false" outlineLevel="0" collapsed="false">
      <c r="A619" s="5" t="s">
        <v>654</v>
      </c>
      <c r="B619" s="0" t="s">
        <v>52</v>
      </c>
      <c r="C619" s="13" t="n">
        <f aca="false">Sens!$C$587/tk_pq</f>
        <v>0.195316432429398</v>
      </c>
      <c r="D619" s="13" t="n">
        <f aca="false">Sens!$D$587/tk_pq</f>
        <v>0.195316432429398</v>
      </c>
      <c r="E619" s="13" t="n">
        <f aca="false">Sens!$E$587/tk_pq</f>
        <v>0.195316432429398</v>
      </c>
      <c r="F619" s="13" t="n">
        <f aca="false">Sens!$F$587/tk_pq</f>
        <v>0.237426936709385</v>
      </c>
      <c r="G619" s="13" t="n">
        <f aca="false">Sens!$G$587/tk_pq</f>
        <v>0.221819204382786</v>
      </c>
      <c r="H619" s="13" t="n">
        <f aca="false">Sens!$H$587/tk_pq</f>
        <v>0.287764082666319</v>
      </c>
      <c r="I619" s="13" t="n">
        <f aca="false">Sens!$I$587/tk_pq</f>
        <v>0.312589866504342</v>
      </c>
      <c r="J619" s="13" t="n">
        <f aca="false">Sens!$J$587/tk_pq</f>
        <v>0.323954585221101</v>
      </c>
      <c r="K619" s="13" t="n">
        <f aca="false">Sens!$K$587/tk_pq</f>
        <v>0.329546787881527</v>
      </c>
      <c r="L619" s="13" t="n">
        <f aca="false">Sens!$L$587/tk_pq</f>
        <v>0.33217725830056</v>
      </c>
      <c r="M619" s="13" t="n">
        <f aca="false">Sens!$M$587/tk_pq</f>
        <v>0.333185532476634</v>
      </c>
      <c r="N619" s="13" t="n">
        <f aca="false">Sens!$N$587/tk_pq</f>
        <v>0.195316432429398</v>
      </c>
      <c r="O619" s="13" t="n">
        <f aca="false">Sens!$O$587/tk_pq</f>
        <v>0.195316432429398</v>
      </c>
      <c r="P619" s="5" t="s">
        <v>655</v>
      </c>
    </row>
    <row r="622" customFormat="false" ht="17.15" hidden="false" customHeight="false" outlineLevel="0" collapsed="false">
      <c r="A622" s="1" t="s">
        <v>684</v>
      </c>
    </row>
    <row r="623" customFormat="false" ht="17.15" hidden="false" customHeight="false" outlineLevel="0" collapsed="false">
      <c r="A623" s="0" t="s">
        <v>685</v>
      </c>
      <c r="B623" s="0" t="s">
        <v>86</v>
      </c>
      <c r="C623" s="38" t="n">
        <f aca="false">Sens!$C$586</f>
        <v>2.32100535697364</v>
      </c>
      <c r="D623" s="38" t="n">
        <f aca="false">Sens!$D$586</f>
        <v>8.70377008865116</v>
      </c>
      <c r="E623" s="38" t="n">
        <f aca="false">Sens!$E$586</f>
        <v>8.51035297557002</v>
      </c>
      <c r="F623" s="38" t="n">
        <f aca="false">Sens!$F$586</f>
        <v>17.5667034895389</v>
      </c>
      <c r="G623" s="38" t="n">
        <f aca="false">Sens!$G$586</f>
        <v>26.077056465109</v>
      </c>
      <c r="H623" s="38" t="n">
        <f aca="false">Sens!$H$586</f>
        <v>81.4189957901494</v>
      </c>
      <c r="I623" s="38" t="n">
        <f aca="false">Sens!$I$586</f>
        <v>144.693023268105</v>
      </c>
      <c r="J623" s="38" t="n">
        <f aca="false">Sens!$J$586</f>
        <v>208.248538095809</v>
      </c>
      <c r="K623" s="38" t="n">
        <f aca="false">Sens!$K$586</f>
        <v>262.468580663487</v>
      </c>
      <c r="L623" s="38" t="n">
        <f aca="false">Sens!$L$586</f>
        <v>298.102259406873</v>
      </c>
      <c r="M623" s="38" t="n">
        <f aca="false">Sens!$M$586</f>
        <v>315.103792298069</v>
      </c>
      <c r="N623" s="38" t="n">
        <f aca="false">Sens!$N$586</f>
        <v>3.04631953102791</v>
      </c>
      <c r="O623" s="38" t="n">
        <f aca="false">Sens!$O$586</f>
        <v>5.65745055762326</v>
      </c>
      <c r="P623" s="8" t="s">
        <v>686</v>
      </c>
    </row>
    <row r="624" customFormat="false" ht="17.15" hidden="false" customHeight="false" outlineLevel="0" collapsed="false">
      <c r="A624" s="0" t="s">
        <v>687</v>
      </c>
      <c r="B624" s="0" t="s">
        <v>86</v>
      </c>
      <c r="C624" s="38" t="n">
        <f aca="false">Sens!$C$590</f>
        <v>105.234994643026</v>
      </c>
      <c r="D624" s="38" t="n">
        <f aca="false">Sens!$D$590</f>
        <v>120.021229911349</v>
      </c>
      <c r="E624" s="38" t="n">
        <f aca="false">Sens!$E$590</f>
        <v>71.30864702443</v>
      </c>
      <c r="F624" s="38" t="n">
        <f aca="false">Sens!$F$590</f>
        <v>71.7692997942464</v>
      </c>
      <c r="G624" s="38" t="n">
        <f aca="false">Sens!$G$590</f>
        <v>143.077946818676</v>
      </c>
      <c r="H624" s="38" t="n">
        <f aca="false">Sens!$H$590</f>
        <v>161.017077079203</v>
      </c>
      <c r="I624" s="38" t="n">
        <f aca="false">Sens!$I$590</f>
        <v>178.769759521457</v>
      </c>
      <c r="J624" s="38" t="n">
        <f aca="false">Sens!$J$590</f>
        <v>195.775538045907</v>
      </c>
      <c r="K624" s="38" t="n">
        <f aca="false">Sens!$K$590</f>
        <v>211.43758108958</v>
      </c>
      <c r="L624" s="38" t="n">
        <f aca="false">Sens!$L$590</f>
        <v>228.352587576746</v>
      </c>
      <c r="M624" s="38" t="n">
        <f aca="false">Sens!$M$590</f>
        <v>246.620794582886</v>
      </c>
      <c r="N624" s="38" t="n">
        <f aca="false">Sens!$N$590</f>
        <v>57.0936804689721</v>
      </c>
      <c r="O624" s="38" t="n">
        <f aca="false">Sens!$O$590</f>
        <v>62.9275494423768</v>
      </c>
      <c r="P624" s="8" t="s">
        <v>686</v>
      </c>
    </row>
    <row r="625" customFormat="false" ht="17.15" hidden="false" customHeight="false" outlineLevel="0" collapsed="false">
      <c r="A625" s="1" t="s">
        <v>513</v>
      </c>
      <c r="B625" s="8" t="s">
        <v>86</v>
      </c>
      <c r="C625" s="38" t="n">
        <f aca="false">Q!$D$7</f>
        <v>107.556</v>
      </c>
      <c r="D625" s="38" t="n">
        <f aca="false">Q!$E$7</f>
        <v>128.725</v>
      </c>
      <c r="E625" s="38" t="n">
        <f aca="false">Q!$P$7</f>
        <v>79.819</v>
      </c>
      <c r="F625" s="38" t="n">
        <f aca="false">Sens!$F$623+Sens!$F$624</f>
        <v>89.3360032837853</v>
      </c>
      <c r="G625" s="38" t="n">
        <f aca="false">Sens!$G$623+Sens!$G$624</f>
        <v>169.155003283785</v>
      </c>
      <c r="H625" s="38" t="n">
        <f aca="false">Sens!$H$623+Sens!$H$624</f>
        <v>242.436072869352</v>
      </c>
      <c r="I625" s="38" t="n">
        <f aca="false">Sens!$I$623+Sens!$I$624</f>
        <v>323.462782789562</v>
      </c>
      <c r="J625" s="38" t="n">
        <f aca="false">Sens!$J$623+Sens!$J$624</f>
        <v>404.024076141716</v>
      </c>
      <c r="K625" s="38" t="n">
        <f aca="false">Sens!$K$623+Sens!$K$624</f>
        <v>473.906161753067</v>
      </c>
      <c r="L625" s="38" t="n">
        <f aca="false">Sens!$L$623+Sens!$L$624</f>
        <v>526.454846983619</v>
      </c>
      <c r="M625" s="38" t="n">
        <f aca="false">Sens!$M$623+Sens!$M$624</f>
        <v>561.724586880955</v>
      </c>
      <c r="N625" s="38" t="n">
        <f aca="false">Q!$N$7</f>
        <v>60.14</v>
      </c>
      <c r="O625" s="38" t="n">
        <f aca="false">Q!$O$7</f>
        <v>68.585</v>
      </c>
      <c r="P625" s="5" t="s">
        <v>688</v>
      </c>
    </row>
    <row r="626" customFormat="false" ht="15" hidden="false" customHeight="false" outlineLevel="0" collapsed="false">
      <c r="A626" s="3" t="s">
        <v>689</v>
      </c>
      <c r="B626" s="8" t="s">
        <v>86</v>
      </c>
      <c r="C626" s="38" t="n">
        <f aca="false">Q!$D$8</f>
        <v>637.959</v>
      </c>
      <c r="D626" s="38" t="n">
        <f aca="false">Q!$E$8</f>
        <v>716.924</v>
      </c>
      <c r="E626" s="38" t="n">
        <f aca="false">Q!$P$8</f>
        <v>382.125</v>
      </c>
      <c r="F626" s="38" t="n">
        <f aca="false">Sens!$F$558+Sens!$F$625</f>
        <v>435.780975084504</v>
      </c>
      <c r="G626" s="38" t="n">
        <f aca="false">Sens!$G$558+Sens!$G$625</f>
        <v>817.905975084504</v>
      </c>
      <c r="H626" s="38" t="n">
        <f aca="false">Sens!$H$558+Sens!$H$625</f>
        <v>960.649691656713</v>
      </c>
      <c r="I626" s="38" t="n">
        <f aca="false">Sens!$I$558+Sens!$I$625</f>
        <v>1108.8381147475</v>
      </c>
      <c r="J626" s="38" t="n">
        <f aca="false">Sens!$J$558+Sens!$J$625</f>
        <v>1251.72713977473</v>
      </c>
      <c r="K626" s="38" t="n">
        <f aca="false">Sens!$K$558+Sens!$K$625</f>
        <v>1376.45626097228</v>
      </c>
      <c r="L626" s="38" t="n">
        <f aca="false">Sens!$L$558+Sens!$L$625</f>
        <v>1487.68508136524</v>
      </c>
      <c r="M626" s="38" t="n">
        <f aca="false">Sens!$M$558+Sens!$M$625</f>
        <v>1585.75643403986</v>
      </c>
      <c r="N626" s="38" t="n">
        <f aca="false">Q!$N$8</f>
        <v>323.369</v>
      </c>
      <c r="O626" s="38" t="n">
        <f aca="false">Q!$O$8</f>
        <v>393.555</v>
      </c>
    </row>
    <row r="627" customFormat="false" ht="17.15" hidden="false" customHeight="false" outlineLevel="0" collapsed="false">
      <c r="A627" s="24" t="s">
        <v>697</v>
      </c>
      <c r="B627" s="25" t="s">
        <v>86</v>
      </c>
      <c r="C627" s="41" t="n">
        <f aca="false">Sens!$C$558-(Sens!$C$560+Sens!$C$561)</f>
        <v>0</v>
      </c>
      <c r="D627" s="41" t="n">
        <f aca="false">Sens!$D$558-(Sens!$D$560+Sens!$D$561)</f>
        <v>0</v>
      </c>
      <c r="E627" s="41" t="n">
        <f aca="false">Sens!$E$558-(Sens!$E$560+Sens!$E$561)</f>
        <v>0</v>
      </c>
      <c r="F627" s="41" t="n">
        <f aca="false">Sens!$F$558-(Sens!$F$560+Sens!$F$561)</f>
        <v>0</v>
      </c>
      <c r="G627" s="41" t="n">
        <f aca="false">Sens!$G$558-(Sens!$G$560+Sens!$G$561)</f>
        <v>0</v>
      </c>
      <c r="H627" s="41" t="n">
        <f aca="false">Sens!$H$558-(Sens!$H$560+Sens!$H$561)</f>
        <v>0</v>
      </c>
      <c r="I627" s="41" t="n">
        <f aca="false">Sens!$I$558-(Sens!$I$560+Sens!$I$561)</f>
        <v>0</v>
      </c>
      <c r="J627" s="41" t="n">
        <f aca="false">Sens!$J$558-(Sens!$J$560+Sens!$J$561)</f>
        <v>0</v>
      </c>
      <c r="K627" s="41" t="n">
        <f aca="false">Sens!$K$558-(Sens!$K$560+Sens!$K$561)</f>
        <v>0</v>
      </c>
      <c r="L627" s="41" t="n">
        <f aca="false">Sens!$L$558-(Sens!$L$560+Sens!$L$561)</f>
        <v>0</v>
      </c>
      <c r="M627" s="41" t="n">
        <f aca="false">Sens!$M$558-(Sens!$M$560+Sens!$M$561)</f>
        <v>0</v>
      </c>
      <c r="N627" s="41" t="n">
        <f aca="false">Sens!$N$558-(Sens!$N$560+Sens!$N$561)</f>
        <v>0</v>
      </c>
      <c r="O627" s="41" t="n">
        <f aca="false">Sens!$O$558-(Sens!$O$560+Sens!$O$561)</f>
        <v>0</v>
      </c>
    </row>
    <row r="628" customFormat="false" ht="17.15" hidden="false" customHeight="false" outlineLevel="0" collapsed="false">
      <c r="A628" s="24" t="s">
        <v>698</v>
      </c>
      <c r="B628" s="25" t="s">
        <v>86</v>
      </c>
      <c r="C628" s="41" t="n">
        <f aca="false">Sens!$C$623+Sens!$C$624-Sens!$C$625</f>
        <v>0</v>
      </c>
      <c r="D628" s="41" t="n">
        <f aca="false">Sens!$D$623+Sens!$D$624-Sens!$D$625</f>
        <v>0</v>
      </c>
      <c r="E628" s="41" t="n">
        <f aca="false">Sens!$E$623+Sens!$E$624-Sens!$E$625</f>
        <v>0</v>
      </c>
      <c r="F628" s="41" t="n">
        <f aca="false">Sens!$F$623+Sens!$F$624-Sens!$F$625</f>
        <v>0</v>
      </c>
      <c r="G628" s="41" t="n">
        <f aca="false">Sens!$G$623+Sens!$G$624-Sens!$G$625</f>
        <v>0</v>
      </c>
      <c r="H628" s="41" t="n">
        <f aca="false">Sens!$H$623+Sens!$H$624-Sens!$H$625</f>
        <v>0</v>
      </c>
      <c r="I628" s="41" t="n">
        <f aca="false">Sens!$I$623+Sens!$I$624-Sens!$I$625</f>
        <v>0</v>
      </c>
      <c r="J628" s="41" t="n">
        <f aca="false">Sens!$J$623+Sens!$J$624-Sens!$J$625</f>
        <v>0</v>
      </c>
      <c r="K628" s="41" t="n">
        <f aca="false">Sens!$K$623+Sens!$K$624-Sens!$K$625</f>
        <v>0</v>
      </c>
      <c r="L628" s="41" t="n">
        <f aca="false">Sens!$L$623+Sens!$L$624-Sens!$L$625</f>
        <v>0</v>
      </c>
      <c r="M628" s="41" t="n">
        <f aca="false">Sens!$M$623+Sens!$M$624-Sens!$M$625</f>
        <v>0</v>
      </c>
      <c r="N628" s="41" t="n">
        <f aca="false">Sens!$N$623+Sens!$N$624-Sens!$N$625</f>
        <v>0</v>
      </c>
      <c r="O628" s="41" t="n">
        <f aca="false">Sens!$O$623+Sens!$O$624-Sens!$O$625</f>
        <v>0</v>
      </c>
    </row>
    <row r="629" customFormat="false" ht="17.15" hidden="false" customHeight="false" outlineLevel="0" collapsed="false">
      <c r="A629" s="24" t="s">
        <v>699</v>
      </c>
      <c r="B629" s="25" t="s">
        <v>86</v>
      </c>
      <c r="C629" s="41" t="n">
        <f aca="false">Sens!$C$560+Sens!$C$561+Sens!$C$625-Sens!$C$626</f>
        <v>0</v>
      </c>
      <c r="D629" s="41" t="n">
        <f aca="false">Sens!$D$560+Sens!$D$561+Sens!$D$625-Sens!$D$626</f>
        <v>0</v>
      </c>
      <c r="E629" s="41" t="n">
        <f aca="false">Sens!$E$560+Sens!$E$561+Sens!$E$625-Sens!$E$626</f>
        <v>0</v>
      </c>
      <c r="F629" s="41" t="n">
        <f aca="false">Sens!$F$560+Sens!$F$561+Sens!$F$625-Sens!$F$626</f>
        <v>0</v>
      </c>
      <c r="G629" s="41" t="n">
        <f aca="false">Sens!$G$560+Sens!$G$561+Sens!$G$625-Sens!$G$626</f>
        <v>0</v>
      </c>
      <c r="H629" s="41" t="n">
        <f aca="false">Sens!$H$560+Sens!$H$561+Sens!$H$625-Sens!$H$626</f>
        <v>0</v>
      </c>
      <c r="I629" s="41" t="n">
        <f aca="false">Sens!$I$560+Sens!$I$561+Sens!$I$625-Sens!$I$626</f>
        <v>0</v>
      </c>
      <c r="J629" s="41" t="n">
        <f aca="false">Sens!$J$560+Sens!$J$561+Sens!$J$625-Sens!$J$626</f>
        <v>0</v>
      </c>
      <c r="K629" s="41" t="n">
        <f aca="false">Sens!$K$560+Sens!$K$561+Sens!$K$625-Sens!$K$626</f>
        <v>0</v>
      </c>
      <c r="L629" s="41" t="n">
        <f aca="false">Sens!$L$560+Sens!$L$561+Sens!$L$625-Sens!$L$626</f>
        <v>0</v>
      </c>
      <c r="M629" s="41" t="n">
        <f aca="false">Sens!$M$560+Sens!$M$561+Sens!$M$625-Sens!$M$626</f>
        <v>0</v>
      </c>
      <c r="N629" s="41" t="n">
        <f aca="false">Sens!$N$560+Sens!$N$561+Sens!$N$625-Sens!$N$626</f>
        <v>0</v>
      </c>
      <c r="O629" s="41" t="n">
        <f aca="false">Sens!$O$560+Sens!$O$561+Sens!$O$625-Sens!$O$626</f>
        <v>0</v>
      </c>
    </row>
    <row r="630" customFormat="false" ht="15" hidden="false" customHeight="false" outlineLevel="0" collapsed="false">
      <c r="A630" s="5" t="s">
        <v>693</v>
      </c>
      <c r="B630" s="0" t="s">
        <v>52</v>
      </c>
      <c r="G630" s="13" t="n">
        <f aca="false">Sens!$G$626/Sens!$D$626-1</f>
        <v>0.140854504918937</v>
      </c>
      <c r="H630" s="13" t="n">
        <f aca="false">Sens!$H$626/Sens!$G$626-1</f>
        <v>0.174523381562851</v>
      </c>
      <c r="I630" s="13" t="n">
        <f aca="false">Sens!$I$626/Sens!$H$626-1</f>
        <v>0.154258544376591</v>
      </c>
      <c r="J630" s="13" t="n">
        <f aca="false">Sens!$J$626/Sens!$I$626-1</f>
        <v>0.128863738652933</v>
      </c>
      <c r="K630" s="13" t="n">
        <f aca="false">Sens!$K$626/Sens!$J$626-1</f>
        <v>0.0996456154334069</v>
      </c>
      <c r="L630" s="13" t="n">
        <f aca="false">Sens!$L$626/Sens!$K$626-1</f>
        <v>0.080808103785581</v>
      </c>
      <c r="M630" s="13" t="n">
        <f aca="false">Sens!$M$626/Sens!$L$626-1</f>
        <v>0.0659221188026022</v>
      </c>
    </row>
    <row r="631" customFormat="false" ht="17.15" hidden="false" customHeight="false" outlineLevel="0" collapsed="false">
      <c r="A631" s="0" t="s">
        <v>694</v>
      </c>
      <c r="B631" s="0" t="s">
        <v>52</v>
      </c>
      <c r="C631" s="13" t="n">
        <f aca="false">Sens!$C$625/Sens!$C$626</f>
        <v>0.168593906504964</v>
      </c>
      <c r="D631" s="13" t="n">
        <f aca="false">Sens!$D$625/Sens!$D$626</f>
        <v>0.179551807444025</v>
      </c>
      <c r="E631" s="13" t="n">
        <f aca="false">Sens!$E$625/Sens!$E$626</f>
        <v>0.208881910369643</v>
      </c>
      <c r="F631" s="13" t="n">
        <f aca="false">Sens!$F$625/Sens!$F$626</f>
        <v>0.205002073040159</v>
      </c>
      <c r="G631" s="13" t="n">
        <f aca="false">Sens!$G$625/Sens!$G$626</f>
        <v>0.206814729854869</v>
      </c>
      <c r="H631" s="13" t="n">
        <f aca="false">Sens!$H$625/Sens!$H$626</f>
        <v>0.25236678362042</v>
      </c>
      <c r="I631" s="13" t="n">
        <f aca="false">Sens!$I$625/Sens!$I$626</f>
        <v>0.291713261374696</v>
      </c>
      <c r="J631" s="13" t="n">
        <f aca="false">Sens!$J$625/Sens!$J$626</f>
        <v>0.322773281255552</v>
      </c>
      <c r="K631" s="13" t="n">
        <f aca="false">Sens!$K$625/Sens!$K$626</f>
        <v>0.344294384928959</v>
      </c>
      <c r="L631" s="13" t="n">
        <f aca="false">Sens!$L$625/Sens!$L$626</f>
        <v>0.353875194137521</v>
      </c>
      <c r="M631" s="13" t="n">
        <f aca="false">Sens!$M$625/Sens!$M$626</f>
        <v>0.35423131498821</v>
      </c>
      <c r="N631" s="13" t="n">
        <f aca="false">Sens!$N$625/Sens!$N$626</f>
        <v>0.185979484737251</v>
      </c>
      <c r="O631" s="13" t="n">
        <f aca="false">Sens!$O$625/Sens!$O$626</f>
        <v>0.174270432341096</v>
      </c>
    </row>
    <row r="632" customFormat="false" ht="17.15" hidden="false" customHeight="false" outlineLevel="0" collapsed="false">
      <c r="A632" s="0" t="s">
        <v>695</v>
      </c>
      <c r="B632" s="0" t="s">
        <v>52</v>
      </c>
      <c r="C632" s="13" t="n">
        <f aca="false">Sens!$C$623/Sens!$C$625</f>
        <v>0.0215795060896058</v>
      </c>
      <c r="D632" s="13" t="n">
        <f aca="false">Sens!$D$623/Sens!$D$625</f>
        <v>0.0676152269462122</v>
      </c>
      <c r="E632" s="13" t="n">
        <f aca="false">Sens!$E$623/Sens!$E$625</f>
        <v>0.106620641395783</v>
      </c>
      <c r="F632" s="13" t="n">
        <f aca="false">Sens!$F$623/Sens!$F$625</f>
        <v>0.196636326271911</v>
      </c>
      <c r="G632" s="13" t="n">
        <f aca="false">Sens!$G$623/Sens!$G$625</f>
        <v>0.154160716259515</v>
      </c>
      <c r="H632" s="13" t="n">
        <f aca="false">Sens!$H$623/Sens!$H$625</f>
        <v>0.335836968593472</v>
      </c>
      <c r="I632" s="13" t="n">
        <f aca="false">Sens!$I$623/Sens!$I$625</f>
        <v>0.44732510497889</v>
      </c>
      <c r="J632" s="13" t="n">
        <f aca="false">Sens!$J$623/Sens!$J$625</f>
        <v>0.515435961352866</v>
      </c>
      <c r="K632" s="13" t="n">
        <f aca="false">Sens!$K$623/Sens!$K$625</f>
        <v>0.553840827248515</v>
      </c>
      <c r="L632" s="13" t="n">
        <f aca="false">Sens!$L$623/Sens!$L$625</f>
        <v>0.566244685778624</v>
      </c>
      <c r="M632" s="13" t="n">
        <f aca="false">Sens!$M$623/Sens!$M$625</f>
        <v>0.560957806827937</v>
      </c>
      <c r="N632" s="13" t="n">
        <f aca="false">Sens!$N$623/Sens!$N$625</f>
        <v>0.0506537999838362</v>
      </c>
      <c r="O632" s="13" t="n">
        <f aca="false">Sens!$O$623/Sens!$O$625</f>
        <v>0.0824881615167056</v>
      </c>
    </row>
    <row r="635" customFormat="false" ht="19.4" hidden="false" customHeight="false" outlineLevel="0" collapsed="false">
      <c r="A635" s="31" t="s">
        <v>1139</v>
      </c>
    </row>
    <row r="636" customFormat="false" ht="17.15" hidden="false" customHeight="false" outlineLevel="0" collapsed="false">
      <c r="A636" s="6" t="s">
        <v>16</v>
      </c>
      <c r="B636" s="6" t="s">
        <v>17</v>
      </c>
      <c r="C636" s="20" t="s">
        <v>494</v>
      </c>
      <c r="D636" s="20" t="s">
        <v>495</v>
      </c>
      <c r="E636" s="20" t="s">
        <v>577</v>
      </c>
      <c r="F636" s="20" t="s">
        <v>578</v>
      </c>
      <c r="G636" s="20" t="s">
        <v>579</v>
      </c>
      <c r="H636" s="20" t="s">
        <v>580</v>
      </c>
      <c r="I636" s="20" t="s">
        <v>581</v>
      </c>
      <c r="J636" s="20" t="s">
        <v>582</v>
      </c>
      <c r="K636" s="20" t="s">
        <v>583</v>
      </c>
      <c r="L636" s="20" t="s">
        <v>584</v>
      </c>
      <c r="M636" s="20" t="s">
        <v>585</v>
      </c>
      <c r="N636" s="20" t="s">
        <v>586</v>
      </c>
      <c r="O636" s="20" t="s">
        <v>587</v>
      </c>
      <c r="P636" s="6" t="s">
        <v>23</v>
      </c>
      <c r="R636" s="20" t="n">
        <v>2023</v>
      </c>
      <c r="S636" s="20" t="n">
        <v>2024</v>
      </c>
      <c r="T636" s="20" t="n">
        <v>2025</v>
      </c>
      <c r="U636" s="20" t="n">
        <v>2026</v>
      </c>
      <c r="V636" s="20" t="n">
        <v>2027</v>
      </c>
      <c r="W636" s="20" t="n">
        <v>2028</v>
      </c>
      <c r="X636" s="20" t="n">
        <v>2029</v>
      </c>
      <c r="Y636" s="20" t="n">
        <v>2030</v>
      </c>
      <c r="Z636" s="20" t="n">
        <v>2031</v>
      </c>
      <c r="AA636" s="20" t="n">
        <v>2032</v>
      </c>
    </row>
    <row r="637" customFormat="false" ht="17.15" hidden="false" customHeight="false" outlineLevel="0" collapsed="false">
      <c r="A637" s="1" t="s">
        <v>710</v>
      </c>
    </row>
    <row r="638" customFormat="false" ht="15" hidden="false" customHeight="false" outlineLevel="0" collapsed="false">
      <c r="A638" s="0" t="s">
        <v>516</v>
      </c>
      <c r="B638" s="0" t="s">
        <v>86</v>
      </c>
      <c r="C638" s="38" t="n">
        <f aca="false">Sens!$C$545</f>
        <v>247.029</v>
      </c>
      <c r="D638" s="38" t="n">
        <f aca="false">Sens!$D$545</f>
        <v>269.287</v>
      </c>
      <c r="E638" s="38" t="n">
        <f aca="false">Sens!$E$545</f>
        <v>134.686</v>
      </c>
      <c r="F638" s="38" t="n">
        <f aca="false">Sens!$F$545</f>
        <v>157.113290224242</v>
      </c>
      <c r="G638" s="38" t="n">
        <f aca="false">Sens!$G$545</f>
        <v>291.799290224242</v>
      </c>
      <c r="H638" s="38" t="n">
        <f aca="false">Sens!$H$545</f>
        <v>316.902392206107</v>
      </c>
      <c r="I638" s="38" t="n">
        <f aca="false">Sens!$I$545</f>
        <v>340.359224217498</v>
      </c>
      <c r="J638" s="38" t="n">
        <f aca="false">Sens!$J$545</f>
        <v>361.464747705459</v>
      </c>
      <c r="K638" s="38" t="n">
        <f aca="false">Sens!$K$545</f>
        <v>379.537985090732</v>
      </c>
      <c r="L638" s="38" t="n">
        <f aca="false">Sens!$L$545</f>
        <v>398.514884345269</v>
      </c>
      <c r="M638" s="38" t="n">
        <f aca="false">Sens!$M$545</f>
        <v>418.440628562532</v>
      </c>
      <c r="N638" s="38" t="n">
        <f aca="false">Sens!$N$545</f>
        <v>118.892</v>
      </c>
      <c r="O638" s="38" t="n">
        <f aca="false">Sens!$O$545</f>
        <v>150.395</v>
      </c>
    </row>
    <row r="639" customFormat="false" ht="15" hidden="false" customHeight="false" outlineLevel="0" collapsed="false">
      <c r="A639" s="0" t="s">
        <v>517</v>
      </c>
      <c r="B639" s="0" t="s">
        <v>86</v>
      </c>
      <c r="C639" s="38" t="n">
        <f aca="false">Sens!$C$547</f>
        <v>21.215</v>
      </c>
      <c r="D639" s="38" t="n">
        <f aca="false">Sens!$D$547</f>
        <v>22.561</v>
      </c>
      <c r="E639" s="38" t="n">
        <f aca="false">Sens!$E$547</f>
        <v>11.579</v>
      </c>
      <c r="F639" s="38" t="n">
        <f aca="false">Sens!$F$547</f>
        <v>11.507403099605</v>
      </c>
      <c r="G639" s="38" t="n">
        <f aca="false">Sens!$G$547</f>
        <v>23.086403099605</v>
      </c>
      <c r="H639" s="38" t="n">
        <f aca="false">Sens!$H$547</f>
        <v>24.2625182973931</v>
      </c>
      <c r="I639" s="38" t="n">
        <f aca="false">Sens!$I$547</f>
        <v>25.3291643375229</v>
      </c>
      <c r="J639" s="38" t="n">
        <f aca="false">Sens!$J$547</f>
        <v>26.2658711475741</v>
      </c>
      <c r="K639" s="38" t="n">
        <f aca="false">Sens!$K$547</f>
        <v>27.0538472820013</v>
      </c>
      <c r="L639" s="38" t="n">
        <f aca="false">Sens!$L$547</f>
        <v>27.8654627004614</v>
      </c>
      <c r="M639" s="38" t="n">
        <f aca="false">Sens!$M$547</f>
        <v>28.7014265814752</v>
      </c>
      <c r="N639" s="38" t="n">
        <f aca="false">Sens!$N$547</f>
        <v>11.128</v>
      </c>
      <c r="O639" s="38" t="n">
        <f aca="false">Sens!$O$547</f>
        <v>11.433</v>
      </c>
    </row>
    <row r="640" customFormat="false" ht="15" hidden="false" customHeight="false" outlineLevel="0" collapsed="false">
      <c r="A640" s="0" t="s">
        <v>518</v>
      </c>
      <c r="B640" s="0" t="s">
        <v>86</v>
      </c>
      <c r="C640" s="38" t="n">
        <f aca="false">Sens!$C$549</f>
        <v>156.146</v>
      </c>
      <c r="D640" s="38" t="n">
        <f aca="false">Sens!$D$549</f>
        <v>172.162</v>
      </c>
      <c r="E640" s="38" t="n">
        <f aca="false">Sens!$E$549</f>
        <v>88.358</v>
      </c>
      <c r="F640" s="38" t="n">
        <f aca="false">Sens!$F$549</f>
        <v>101.243619643361</v>
      </c>
      <c r="G640" s="38" t="n">
        <f aca="false">Sens!$G$549</f>
        <v>189.601619643361</v>
      </c>
      <c r="H640" s="38" t="n">
        <f aca="false">Sens!$H$549</f>
        <v>209.502486570264</v>
      </c>
      <c r="I640" s="38" t="n">
        <f aca="false">Sens!$I$549</f>
        <v>229.050672194429</v>
      </c>
      <c r="J640" s="38" t="n">
        <f aca="false">Sens!$J$549</f>
        <v>247.753536208029</v>
      </c>
      <c r="K640" s="38" t="n">
        <f aca="false">Sens!$K$549</f>
        <v>265.096283742591</v>
      </c>
      <c r="L640" s="38" t="n">
        <f aca="false">Sens!$L$549</f>
        <v>283.653023604572</v>
      </c>
      <c r="M640" s="38" t="n">
        <f aca="false">Sens!$M$549</f>
        <v>303.508735256893</v>
      </c>
      <c r="N640" s="38" t="n">
        <f aca="false">Sens!$N$549</f>
        <v>76.86</v>
      </c>
      <c r="O640" s="38" t="n">
        <f aca="false">Sens!$O$549</f>
        <v>95.302</v>
      </c>
    </row>
    <row r="641" customFormat="false" ht="15" hidden="false" customHeight="false" outlineLevel="0" collapsed="false">
      <c r="A641" s="0" t="s">
        <v>519</v>
      </c>
      <c r="B641" s="0" t="s">
        <v>86</v>
      </c>
      <c r="C641" s="38" t="n">
        <f aca="false">Sens!$C$551</f>
        <v>56.214</v>
      </c>
      <c r="D641" s="38" t="n">
        <f aca="false">Sens!$D$551</f>
        <v>68.635</v>
      </c>
      <c r="E641" s="38" t="n">
        <f aca="false">Sens!$E$551</f>
        <v>37.052</v>
      </c>
      <c r="F641" s="38" t="n">
        <f aca="false">Sens!$F$551</f>
        <v>45.8129724328866</v>
      </c>
      <c r="G641" s="38" t="n">
        <f aca="false">Sens!$G$551</f>
        <v>82.8649724328866</v>
      </c>
      <c r="H641" s="38" t="n">
        <f aca="false">Sens!$H$551</f>
        <v>99.4836332006443</v>
      </c>
      <c r="I641" s="38" t="n">
        <f aca="false">Sens!$I$551</f>
        <v>116.100788536599</v>
      </c>
      <c r="J641" s="38" t="n">
        <f aca="false">Sens!$J$551</f>
        <v>131.602221107055</v>
      </c>
      <c r="K641" s="38" t="n">
        <f aca="false">Sens!$K$551</f>
        <v>144.76244321776</v>
      </c>
      <c r="L641" s="38" t="n">
        <f aca="false">Sens!$L$551</f>
        <v>159.238687539536</v>
      </c>
      <c r="M641" s="38" t="n">
        <f aca="false">Sens!$M$551</f>
        <v>175.16255629349</v>
      </c>
      <c r="N641" s="38" t="n">
        <f aca="false">Sens!$N$551</f>
        <v>29.615</v>
      </c>
      <c r="O641" s="38" t="n">
        <f aca="false">Sens!$O$551</f>
        <v>39.02</v>
      </c>
    </row>
    <row r="642" customFormat="false" ht="15" hidden="false" customHeight="false" outlineLevel="0" collapsed="false">
      <c r="A642" s="0" t="s">
        <v>520</v>
      </c>
      <c r="B642" s="0" t="s">
        <v>86</v>
      </c>
      <c r="C642" s="38" t="n">
        <f aca="false">Sens!$C$553</f>
        <v>44.374</v>
      </c>
      <c r="D642" s="38" t="n">
        <f aca="false">Sens!$D$553</f>
        <v>49.619</v>
      </c>
      <c r="E642" s="38" t="n">
        <f aca="false">Sens!$E$553</f>
        <v>27.157</v>
      </c>
      <c r="F642" s="38" t="n">
        <f aca="false">Sens!$F$553</f>
        <v>27.5692546678803</v>
      </c>
      <c r="G642" s="38" t="n">
        <f aca="false">Sens!$G$553</f>
        <v>54.7262546678803</v>
      </c>
      <c r="H642" s="38" t="n">
        <f aca="false">Sens!$H$553</f>
        <v>60.9257815042157</v>
      </c>
      <c r="I642" s="38" t="n">
        <f aca="false">Sens!$I$553</f>
        <v>66.9485995546002</v>
      </c>
      <c r="J642" s="38" t="n">
        <f aca="false">Sens!$J$553</f>
        <v>72.600902399424</v>
      </c>
      <c r="K642" s="38" t="n">
        <f aca="false">Sens!$K$553</f>
        <v>77.6829655673837</v>
      </c>
      <c r="L642" s="38" t="n">
        <f aca="false">Sens!$L$553</f>
        <v>83.1207731571006</v>
      </c>
      <c r="M642" s="38" t="n">
        <f aca="false">Sens!$M$553</f>
        <v>88.9392272780976</v>
      </c>
      <c r="N642" s="38" t="n">
        <f aca="false">Sens!$N$553</f>
        <v>23.923</v>
      </c>
      <c r="O642" s="38" t="n">
        <f aca="false">Sens!$O$553</f>
        <v>25.696</v>
      </c>
    </row>
    <row r="643" customFormat="false" ht="15" hidden="false" customHeight="false" outlineLevel="0" collapsed="false">
      <c r="A643" s="0" t="s">
        <v>521</v>
      </c>
      <c r="B643" s="0" t="s">
        <v>86</v>
      </c>
      <c r="C643" s="38" t="n">
        <f aca="false">Sens!$C$555</f>
        <v>5.425</v>
      </c>
      <c r="D643" s="38" t="n">
        <f aca="false">Sens!$D$555</f>
        <v>5.935</v>
      </c>
      <c r="E643" s="38" t="n">
        <f aca="false">Sens!$E$555</f>
        <v>3.474</v>
      </c>
      <c r="F643" s="38" t="n">
        <f aca="false">Sens!$F$555</f>
        <v>3.19843173274389</v>
      </c>
      <c r="G643" s="38" t="n">
        <f aca="false">Sens!$G$555</f>
        <v>6.67243173274389</v>
      </c>
      <c r="H643" s="38" t="n">
        <f aca="false">Sens!$H$555</f>
        <v>7.1368070087357</v>
      </c>
      <c r="I643" s="38" t="n">
        <f aca="false">Sens!$I$555</f>
        <v>7.58688311728696</v>
      </c>
      <c r="J643" s="38" t="n">
        <f aca="false">Sens!$J$555</f>
        <v>8.01578506547358</v>
      </c>
      <c r="K643" s="38" t="n">
        <f aca="false">Sens!$K$555</f>
        <v>8.41657431874726</v>
      </c>
      <c r="L643" s="38" t="n">
        <f aca="false">Sens!$L$555</f>
        <v>8.83740303468462</v>
      </c>
      <c r="M643" s="38" t="n">
        <f aca="false">Sens!$M$555</f>
        <v>9.27927318641885</v>
      </c>
      <c r="N643" s="38" t="n">
        <f aca="false">Sens!$N$555</f>
        <v>2.811</v>
      </c>
      <c r="O643" s="38" t="n">
        <f aca="false">Sens!$O$555</f>
        <v>3.124</v>
      </c>
    </row>
    <row r="644" customFormat="false" ht="17.15" hidden="false" customHeight="false" outlineLevel="0" collapsed="false">
      <c r="A644" s="0" t="s">
        <v>711</v>
      </c>
      <c r="B644" s="0" t="s">
        <v>86</v>
      </c>
      <c r="C644" s="38" t="n">
        <f aca="false">Sens!$C$625</f>
        <v>107.556</v>
      </c>
      <c r="D644" s="38" t="n">
        <f aca="false">Sens!$D$625</f>
        <v>128.725</v>
      </c>
      <c r="E644" s="38" t="n">
        <f aca="false">Sens!$E$625</f>
        <v>79.819</v>
      </c>
      <c r="F644" s="38" t="n">
        <f aca="false">Sens!$F$625</f>
        <v>89.3360032837853</v>
      </c>
      <c r="G644" s="38" t="n">
        <f aca="false">Sens!$G$625</f>
        <v>169.155003283785</v>
      </c>
      <c r="H644" s="38" t="n">
        <f aca="false">Sens!$H$625</f>
        <v>242.436072869352</v>
      </c>
      <c r="I644" s="38" t="n">
        <f aca="false">Sens!$I$625</f>
        <v>323.462782789562</v>
      </c>
      <c r="J644" s="38" t="n">
        <f aca="false">Sens!$J$625</f>
        <v>404.024076141716</v>
      </c>
      <c r="K644" s="38" t="n">
        <f aca="false">Sens!$K$625</f>
        <v>473.906161753067</v>
      </c>
      <c r="L644" s="38" t="n">
        <f aca="false">Sens!$L$625</f>
        <v>526.454846983619</v>
      </c>
      <c r="M644" s="38" t="n">
        <f aca="false">Sens!$M$625</f>
        <v>561.724586880955</v>
      </c>
      <c r="N644" s="38" t="n">
        <f aca="false">Sens!$N$625</f>
        <v>60.14</v>
      </c>
      <c r="O644" s="38" t="n">
        <f aca="false">Sens!$O$625</f>
        <v>68.585</v>
      </c>
    </row>
    <row r="645" customFormat="false" ht="15" hidden="false" customHeight="false" outlineLevel="0" collapsed="false">
      <c r="A645" s="1" t="s">
        <v>509</v>
      </c>
      <c r="B645" s="8" t="s">
        <v>86</v>
      </c>
      <c r="C645" s="38" t="n">
        <f aca="false">Sens!$C$560</f>
        <v>387.497</v>
      </c>
      <c r="D645" s="38" t="n">
        <f aca="false">Sens!$D$560</f>
        <v>426.305</v>
      </c>
      <c r="E645" s="38" t="n">
        <f aca="false">Sens!$E$560</f>
        <v>220.32</v>
      </c>
      <c r="F645" s="38" t="n">
        <f aca="false">Sens!$F$560</f>
        <v>248.770453179363</v>
      </c>
      <c r="G645" s="38" t="n">
        <f aca="false">Sens!$G$560</f>
        <v>469.090453179363</v>
      </c>
      <c r="H645" s="38" t="n">
        <f aca="false">Sens!$H$560</f>
        <v>519.316604615497</v>
      </c>
      <c r="I645" s="38" t="n">
        <f aca="false">Sens!$I$560</f>
        <v>567.879026618566</v>
      </c>
      <c r="J645" s="38" t="n">
        <f aca="false">Sens!$J$560</f>
        <v>612.94615586841</v>
      </c>
      <c r="K645" s="38" t="n">
        <f aca="false">Sens!$K$560</f>
        <v>652.604240244395</v>
      </c>
      <c r="L645" s="38" t="n">
        <f aca="false">Sens!$L$560</f>
        <v>695.033912634028</v>
      </c>
      <c r="M645" s="38" t="n">
        <f aca="false">Sens!$M$560</f>
        <v>740.443689695818</v>
      </c>
      <c r="N645" s="38" t="n">
        <f aca="false">Sens!$N$560</f>
        <v>192.955</v>
      </c>
      <c r="O645" s="38" t="n">
        <f aca="false">Sens!$O$560</f>
        <v>233.35</v>
      </c>
    </row>
    <row r="646" customFormat="false" ht="15" hidden="false" customHeight="false" outlineLevel="0" collapsed="false">
      <c r="A646" s="1" t="s">
        <v>512</v>
      </c>
      <c r="B646" s="8" t="s">
        <v>86</v>
      </c>
      <c r="C646" s="38" t="n">
        <f aca="false">Sens!$C$561</f>
        <v>142.906</v>
      </c>
      <c r="D646" s="38" t="n">
        <f aca="false">Sens!$D$561</f>
        <v>161.894</v>
      </c>
      <c r="E646" s="38" t="n">
        <f aca="false">Sens!$E$561</f>
        <v>81.986</v>
      </c>
      <c r="F646" s="38" t="n">
        <f aca="false">Sens!$F$561</f>
        <v>97.6745186213554</v>
      </c>
      <c r="G646" s="38" t="n">
        <f aca="false">Sens!$G$561</f>
        <v>179.660518621355</v>
      </c>
      <c r="H646" s="38" t="n">
        <f aca="false">Sens!$H$561</f>
        <v>198.897014171863</v>
      </c>
      <c r="I646" s="38" t="n">
        <f aca="false">Sens!$I$561</f>
        <v>217.49630533937</v>
      </c>
      <c r="J646" s="38" t="n">
        <f aca="false">Sens!$J$561</f>
        <v>234.756907764605</v>
      </c>
      <c r="K646" s="38" t="n">
        <f aca="false">Sens!$K$561</f>
        <v>249.94585897482</v>
      </c>
      <c r="L646" s="38" t="n">
        <f aca="false">Sens!$L$561</f>
        <v>266.196321747596</v>
      </c>
      <c r="M646" s="38" t="n">
        <f aca="false">Sens!$M$561</f>
        <v>283.588157463088</v>
      </c>
      <c r="N646" s="38" t="n">
        <f aca="false">Sens!$N$561</f>
        <v>70.274</v>
      </c>
      <c r="O646" s="38" t="n">
        <f aca="false">Sens!$O$561</f>
        <v>91.62</v>
      </c>
    </row>
    <row r="647" customFormat="false" ht="15" hidden="false" customHeight="false" outlineLevel="0" collapsed="false">
      <c r="A647" s="1" t="s">
        <v>513</v>
      </c>
      <c r="B647" s="8" t="s">
        <v>86</v>
      </c>
      <c r="C647" s="38" t="n">
        <f aca="false">Sens!$C$625</f>
        <v>107.556</v>
      </c>
      <c r="D647" s="38" t="n">
        <f aca="false">Sens!$D$625</f>
        <v>128.725</v>
      </c>
      <c r="E647" s="38" t="n">
        <f aca="false">Sens!$E$625</f>
        <v>79.819</v>
      </c>
      <c r="F647" s="38" t="n">
        <f aca="false">Sens!$F$625</f>
        <v>89.3360032837853</v>
      </c>
      <c r="G647" s="38" t="n">
        <f aca="false">Sens!$G$625</f>
        <v>169.155003283785</v>
      </c>
      <c r="H647" s="38" t="n">
        <f aca="false">Sens!$H$625</f>
        <v>242.436072869352</v>
      </c>
      <c r="I647" s="38" t="n">
        <f aca="false">Sens!$I$625</f>
        <v>323.462782789562</v>
      </c>
      <c r="J647" s="38" t="n">
        <f aca="false">Sens!$J$625</f>
        <v>404.024076141716</v>
      </c>
      <c r="K647" s="38" t="n">
        <f aca="false">Sens!$K$625</f>
        <v>473.906161753067</v>
      </c>
      <c r="L647" s="38" t="n">
        <f aca="false">Sens!$L$625</f>
        <v>526.454846983619</v>
      </c>
      <c r="M647" s="38" t="n">
        <f aca="false">Sens!$M$625</f>
        <v>561.724586880955</v>
      </c>
      <c r="N647" s="38" t="n">
        <f aca="false">Sens!$N$625</f>
        <v>60.14</v>
      </c>
      <c r="O647" s="38" t="n">
        <f aca="false">Sens!$O$625</f>
        <v>68.585</v>
      </c>
    </row>
    <row r="648" customFormat="false" ht="17.15" hidden="false" customHeight="false" outlineLevel="0" collapsed="false">
      <c r="A648" s="0" t="s">
        <v>685</v>
      </c>
      <c r="B648" s="0" t="s">
        <v>86</v>
      </c>
      <c r="C648" s="38" t="n">
        <f aca="false">Sens!$C$623</f>
        <v>2.32100535697364</v>
      </c>
      <c r="D648" s="38" t="n">
        <f aca="false">Sens!$D$623</f>
        <v>8.70377008865116</v>
      </c>
      <c r="E648" s="38" t="n">
        <f aca="false">Sens!$E$623</f>
        <v>8.51035297557002</v>
      </c>
      <c r="F648" s="38" t="n">
        <f aca="false">Sens!$F$623</f>
        <v>17.5667034895389</v>
      </c>
      <c r="G648" s="38" t="n">
        <f aca="false">Sens!$G$623</f>
        <v>26.077056465109</v>
      </c>
      <c r="H648" s="38" t="n">
        <f aca="false">Sens!$H$623</f>
        <v>81.4189957901494</v>
      </c>
      <c r="I648" s="38" t="n">
        <f aca="false">Sens!$I$623</f>
        <v>144.693023268105</v>
      </c>
      <c r="J648" s="38" t="n">
        <f aca="false">Sens!$J$623</f>
        <v>208.248538095809</v>
      </c>
      <c r="K648" s="38" t="n">
        <f aca="false">Sens!$K$623</f>
        <v>262.468580663487</v>
      </c>
      <c r="L648" s="38" t="n">
        <f aca="false">Sens!$L$623</f>
        <v>298.102259406873</v>
      </c>
      <c r="M648" s="38" t="n">
        <f aca="false">Sens!$M$623</f>
        <v>315.103792298069</v>
      </c>
      <c r="N648" s="38" t="n">
        <f aca="false">Sens!$N$623</f>
        <v>3.04631953102791</v>
      </c>
      <c r="O648" s="38" t="n">
        <f aca="false">Sens!$O$623</f>
        <v>5.65745055762326</v>
      </c>
    </row>
    <row r="649" customFormat="false" ht="17.15" hidden="false" customHeight="false" outlineLevel="0" collapsed="false">
      <c r="A649" s="0" t="s">
        <v>687</v>
      </c>
      <c r="B649" s="0" t="s">
        <v>86</v>
      </c>
      <c r="C649" s="38" t="n">
        <f aca="false">Sens!$C$624</f>
        <v>105.234994643026</v>
      </c>
      <c r="D649" s="38" t="n">
        <f aca="false">Sens!$D$624</f>
        <v>120.021229911349</v>
      </c>
      <c r="E649" s="38" t="n">
        <f aca="false">Sens!$E$624</f>
        <v>71.30864702443</v>
      </c>
      <c r="F649" s="38" t="n">
        <f aca="false">Sens!$F$624</f>
        <v>71.7692997942464</v>
      </c>
      <c r="G649" s="38" t="n">
        <f aca="false">Sens!$G$624</f>
        <v>143.077946818676</v>
      </c>
      <c r="H649" s="38" t="n">
        <f aca="false">Sens!$H$624</f>
        <v>161.017077079203</v>
      </c>
      <c r="I649" s="38" t="n">
        <f aca="false">Sens!$I$624</f>
        <v>178.769759521457</v>
      </c>
      <c r="J649" s="38" t="n">
        <f aca="false">Sens!$J$624</f>
        <v>195.775538045907</v>
      </c>
      <c r="K649" s="38" t="n">
        <f aca="false">Sens!$K$624</f>
        <v>211.43758108958</v>
      </c>
      <c r="L649" s="38" t="n">
        <f aca="false">Sens!$L$624</f>
        <v>228.352587576746</v>
      </c>
      <c r="M649" s="38" t="n">
        <f aca="false">Sens!$M$624</f>
        <v>246.620794582886</v>
      </c>
      <c r="N649" s="38" t="n">
        <f aca="false">Sens!$N$624</f>
        <v>57.0936804689721</v>
      </c>
      <c r="O649" s="38" t="n">
        <f aca="false">Sens!$O$624</f>
        <v>62.9275494423768</v>
      </c>
    </row>
    <row r="650" customFormat="false" ht="15" hidden="false" customHeight="false" outlineLevel="0" collapsed="false">
      <c r="A650" s="3" t="s">
        <v>514</v>
      </c>
      <c r="B650" s="8" t="s">
        <v>86</v>
      </c>
      <c r="C650" s="38" t="n">
        <f aca="false">Sens!$C$626</f>
        <v>637.959</v>
      </c>
      <c r="D650" s="38" t="n">
        <f aca="false">Sens!$D$626</f>
        <v>716.924</v>
      </c>
      <c r="E650" s="38" t="n">
        <f aca="false">Sens!$E$626</f>
        <v>382.125</v>
      </c>
      <c r="F650" s="38" t="n">
        <f aca="false">Sens!$F$626</f>
        <v>435.780975084504</v>
      </c>
      <c r="G650" s="38" t="n">
        <f aca="false">Sens!$G$626</f>
        <v>817.905975084504</v>
      </c>
      <c r="H650" s="38" t="n">
        <f aca="false">Sens!$H$626</f>
        <v>960.649691656713</v>
      </c>
      <c r="I650" s="38" t="n">
        <f aca="false">Sens!$I$626</f>
        <v>1108.8381147475</v>
      </c>
      <c r="J650" s="38" t="n">
        <f aca="false">Sens!$J$626</f>
        <v>1251.72713977473</v>
      </c>
      <c r="K650" s="38" t="n">
        <f aca="false">Sens!$K$626</f>
        <v>1376.45626097228</v>
      </c>
      <c r="L650" s="38" t="n">
        <f aca="false">Sens!$L$626</f>
        <v>1487.68508136524</v>
      </c>
      <c r="M650" s="38" t="n">
        <f aca="false">Sens!$M$626</f>
        <v>1585.75643403986</v>
      </c>
      <c r="N650" s="38" t="n">
        <f aca="false">Sens!$N$626</f>
        <v>323.369</v>
      </c>
      <c r="O650" s="38" t="n">
        <f aca="false">Sens!$O$626</f>
        <v>393.555</v>
      </c>
    </row>
    <row r="651" customFormat="false" ht="17.15" hidden="false" customHeight="false" outlineLevel="0" collapsed="false">
      <c r="A651" s="24" t="s">
        <v>697</v>
      </c>
      <c r="B651" s="25" t="s">
        <v>86</v>
      </c>
      <c r="C651" s="41" t="n">
        <f aca="false">Sens!$C$638+Sens!$C$639+Sens!$C$640+Sens!$C$641+Sens!$C$642+Sens!$C$643-(Sens!$C$645+Sens!$C$646)</f>
        <v>0</v>
      </c>
      <c r="D651" s="41" t="n">
        <f aca="false">Sens!$D$638+Sens!$D$639+Sens!$D$640+Sens!$D$641+Sens!$D$642+Sens!$D$643-(Sens!$D$645+Sens!$D$646)</f>
        <v>0</v>
      </c>
      <c r="E651" s="41" t="n">
        <f aca="false">Sens!$E$638+Sens!$E$639+Sens!$E$640+Sens!$E$641+Sens!$E$642+Sens!$E$643-(Sens!$E$645+Sens!$E$646)</f>
        <v>0</v>
      </c>
      <c r="F651" s="41" t="n">
        <f aca="false">Sens!$F$638+Sens!$F$639+Sens!$F$640+Sens!$F$641+Sens!$F$642+Sens!$F$643-(Sens!$F$645+Sens!$F$646)</f>
        <v>0</v>
      </c>
      <c r="G651" s="41" t="n">
        <f aca="false">Sens!$G$638+Sens!$G$639+Sens!$G$640+Sens!$G$641+Sens!$G$642+Sens!$G$643-(Sens!$G$645+Sens!$G$646)</f>
        <v>0</v>
      </c>
      <c r="H651" s="41" t="n">
        <f aca="false">Sens!$H$638+Sens!$H$639+Sens!$H$640+Sens!$H$641+Sens!$H$642+Sens!$H$643-(Sens!$H$645+Sens!$H$646)</f>
        <v>0</v>
      </c>
      <c r="I651" s="41" t="n">
        <f aca="false">Sens!$I$638+Sens!$I$639+Sens!$I$640+Sens!$I$641+Sens!$I$642+Sens!$I$643-(Sens!$I$645+Sens!$I$646)</f>
        <v>0</v>
      </c>
      <c r="J651" s="41" t="n">
        <f aca="false">Sens!$J$638+Sens!$J$639+Sens!$J$640+Sens!$J$641+Sens!$J$642+Sens!$J$643-(Sens!$J$645+Sens!$J$646)</f>
        <v>0</v>
      </c>
      <c r="K651" s="41" t="n">
        <f aca="false">Sens!$K$638+Sens!$K$639+Sens!$K$640+Sens!$K$641+Sens!$K$642+Sens!$K$643-(Sens!$K$645+Sens!$K$646)</f>
        <v>0</v>
      </c>
      <c r="L651" s="41" t="n">
        <f aca="false">Sens!$L$638+Sens!$L$639+Sens!$L$640+Sens!$L$641+Sens!$L$642+Sens!$L$643-(Sens!$L$645+Sens!$L$646)</f>
        <v>0</v>
      </c>
      <c r="M651" s="41" t="n">
        <f aca="false">Sens!$M$638+Sens!$M$639+Sens!$M$640+Sens!$M$641+Sens!$M$642+Sens!$M$643-(Sens!$M$645+Sens!$M$646)</f>
        <v>0</v>
      </c>
      <c r="N651" s="41" t="n">
        <f aca="false">Sens!$N$638+Sens!$N$639+Sens!$N$640+Sens!$N$641+Sens!$N$642+Sens!$N$643-(Sens!$N$645+Sens!$N$646)</f>
        <v>0</v>
      </c>
      <c r="O651" s="41" t="n">
        <f aca="false">Sens!$O$638+Sens!$O$639+Sens!$O$640+Sens!$O$641+Sens!$O$642+Sens!$O$643-(Sens!$O$645+Sens!$O$646)</f>
        <v>0</v>
      </c>
    </row>
    <row r="652" customFormat="false" ht="17.15" hidden="false" customHeight="false" outlineLevel="0" collapsed="false">
      <c r="A652" s="24" t="s">
        <v>698</v>
      </c>
      <c r="B652" s="25" t="s">
        <v>86</v>
      </c>
      <c r="C652" s="41" t="n">
        <f aca="false">Sens!$C$648+Sens!$C$649-Sens!$C$647</f>
        <v>0</v>
      </c>
      <c r="D652" s="41" t="n">
        <f aca="false">Sens!$D$648+Sens!$D$649-Sens!$D$647</f>
        <v>0</v>
      </c>
      <c r="E652" s="41" t="n">
        <f aca="false">Sens!$E$648+Sens!$E$649-Sens!$E$647</f>
        <v>0</v>
      </c>
      <c r="F652" s="41" t="n">
        <f aca="false">Sens!$F$648+Sens!$F$649-Sens!$F$647</f>
        <v>0</v>
      </c>
      <c r="G652" s="41" t="n">
        <f aca="false">Sens!$G$648+Sens!$G$649-Sens!$G$647</f>
        <v>0</v>
      </c>
      <c r="H652" s="41" t="n">
        <f aca="false">Sens!$H$648+Sens!$H$649-Sens!$H$647</f>
        <v>0</v>
      </c>
      <c r="I652" s="41" t="n">
        <f aca="false">Sens!$I$648+Sens!$I$649-Sens!$I$647</f>
        <v>0</v>
      </c>
      <c r="J652" s="41" t="n">
        <f aca="false">Sens!$J$648+Sens!$J$649-Sens!$J$647</f>
        <v>0</v>
      </c>
      <c r="K652" s="41" t="n">
        <f aca="false">Sens!$K$648+Sens!$K$649-Sens!$K$647</f>
        <v>0</v>
      </c>
      <c r="L652" s="41" t="n">
        <f aca="false">Sens!$L$648+Sens!$L$649-Sens!$L$647</f>
        <v>0</v>
      </c>
      <c r="M652" s="41" t="n">
        <f aca="false">Sens!$M$648+Sens!$M$649-Sens!$M$647</f>
        <v>0</v>
      </c>
      <c r="N652" s="41" t="n">
        <f aca="false">Sens!$N$648+Sens!$N$649-Sens!$N$647</f>
        <v>0</v>
      </c>
      <c r="O652" s="41" t="n">
        <f aca="false">Sens!$O$648+Sens!$O$649-Sens!$O$647</f>
        <v>0</v>
      </c>
    </row>
    <row r="653" customFormat="false" ht="17.15" hidden="false" customHeight="false" outlineLevel="0" collapsed="false">
      <c r="A653" s="24" t="s">
        <v>757</v>
      </c>
      <c r="B653" s="25" t="s">
        <v>86</v>
      </c>
      <c r="C653" s="41" t="n">
        <f aca="false">Sens!$C$638+Sens!$C$639+Sens!$C$640+Sens!$C$641+Sens!$C$642+Sens!$C$643+Sens!$C$644-Sens!$C$650</f>
        <v>0</v>
      </c>
      <c r="D653" s="41" t="n">
        <f aca="false">Sens!$D$638+Sens!$D$639+Sens!$D$640+Sens!$D$641+Sens!$D$642+Sens!$D$643+Sens!$D$644-Sens!$D$650</f>
        <v>0</v>
      </c>
      <c r="E653" s="41" t="n">
        <f aca="false">Sens!$E$638+Sens!$E$639+Sens!$E$640+Sens!$E$641+Sens!$E$642+Sens!$E$643+Sens!$E$644-Sens!$E$650</f>
        <v>0</v>
      </c>
      <c r="F653" s="41" t="n">
        <f aca="false">Sens!$F$638+Sens!$F$639+Sens!$F$640+Sens!$F$641+Sens!$F$642+Sens!$F$643+Sens!$F$644-Sens!$F$650</f>
        <v>0</v>
      </c>
      <c r="G653" s="41" t="n">
        <f aca="false">Sens!$G$638+Sens!$G$639+Sens!$G$640+Sens!$G$641+Sens!$G$642+Sens!$G$643+Sens!$G$644-Sens!$G$650</f>
        <v>0</v>
      </c>
      <c r="H653" s="41" t="n">
        <f aca="false">Sens!$H$638+Sens!$H$639+Sens!$H$640+Sens!$H$641+Sens!$H$642+Sens!$H$643+Sens!$H$644-Sens!$H$650</f>
        <v>0</v>
      </c>
      <c r="I653" s="41" t="n">
        <f aca="false">Sens!$I$638+Sens!$I$639+Sens!$I$640+Sens!$I$641+Sens!$I$642+Sens!$I$643+Sens!$I$644-Sens!$I$650</f>
        <v>0</v>
      </c>
      <c r="J653" s="41" t="n">
        <f aca="false">Sens!$J$638+Sens!$J$639+Sens!$J$640+Sens!$J$641+Sens!$J$642+Sens!$J$643+Sens!$J$644-Sens!$J$650</f>
        <v>0</v>
      </c>
      <c r="K653" s="41" t="n">
        <f aca="false">Sens!$K$638+Sens!$K$639+Sens!$K$640+Sens!$K$641+Sens!$K$642+Sens!$K$643+Sens!$K$644-Sens!$K$650</f>
        <v>0</v>
      </c>
      <c r="L653" s="41" t="n">
        <f aca="false">Sens!$L$638+Sens!$L$639+Sens!$L$640+Sens!$L$641+Sens!$L$642+Sens!$L$643+Sens!$L$644-Sens!$L$650</f>
        <v>0</v>
      </c>
      <c r="M653" s="41" t="n">
        <f aca="false">Sens!$M$638+Sens!$M$639+Sens!$M$640+Sens!$M$641+Sens!$M$642+Sens!$M$643+Sens!$M$644-Sens!$M$650</f>
        <v>0</v>
      </c>
      <c r="N653" s="41" t="n">
        <f aca="false">Sens!$N$638+Sens!$N$639+Sens!$N$640+Sens!$N$641+Sens!$N$642+Sens!$N$643+Sens!$N$644-Sens!$N$650</f>
        <v>0</v>
      </c>
      <c r="O653" s="41" t="n">
        <f aca="false">Sens!$O$638+Sens!$O$639+Sens!$O$640+Sens!$O$641+Sens!$O$642+Sens!$O$643+Sens!$O$644-Sens!$O$650</f>
        <v>0</v>
      </c>
    </row>
    <row r="654" customFormat="false" ht="17.15" hidden="false" customHeight="false" outlineLevel="0" collapsed="false">
      <c r="A654" s="24" t="s">
        <v>699</v>
      </c>
      <c r="B654" s="25" t="s">
        <v>86</v>
      </c>
      <c r="C654" s="41" t="n">
        <f aca="false">Sens!$C$645+Sens!$C$646+Sens!$C$647-Sens!$C$650</f>
        <v>0</v>
      </c>
      <c r="D654" s="41" t="n">
        <f aca="false">Sens!$D$645+Sens!$D$646+Sens!$D$647-Sens!$D$650</f>
        <v>0</v>
      </c>
      <c r="E654" s="41" t="n">
        <f aca="false">Sens!$E$645+Sens!$E$646+Sens!$E$647-Sens!$E$650</f>
        <v>0</v>
      </c>
      <c r="F654" s="41" t="n">
        <f aca="false">Sens!$F$645+Sens!$F$646+Sens!$F$647-Sens!$F$650</f>
        <v>0</v>
      </c>
      <c r="G654" s="41" t="n">
        <f aca="false">Sens!$G$645+Sens!$G$646+Sens!$G$647-Sens!$G$650</f>
        <v>0</v>
      </c>
      <c r="H654" s="41" t="n">
        <f aca="false">Sens!$H$645+Sens!$H$646+Sens!$H$647-Sens!$H$650</f>
        <v>0</v>
      </c>
      <c r="I654" s="41" t="n">
        <f aca="false">Sens!$I$645+Sens!$I$646+Sens!$I$647-Sens!$I$650</f>
        <v>0</v>
      </c>
      <c r="J654" s="41" t="n">
        <f aca="false">Sens!$J$645+Sens!$J$646+Sens!$J$647-Sens!$J$650</f>
        <v>0</v>
      </c>
      <c r="K654" s="41" t="n">
        <f aca="false">Sens!$K$645+Sens!$K$646+Sens!$K$647-Sens!$K$650</f>
        <v>0</v>
      </c>
      <c r="L654" s="41" t="n">
        <f aca="false">Sens!$L$645+Sens!$L$646+Sens!$L$647-Sens!$L$650</f>
        <v>0</v>
      </c>
      <c r="M654" s="41" t="n">
        <f aca="false">Sens!$M$645+Sens!$M$646+Sens!$M$647-Sens!$M$650</f>
        <v>0</v>
      </c>
      <c r="N654" s="41" t="n">
        <f aca="false">Sens!$N$645+Sens!$N$646+Sens!$N$647-Sens!$N$650</f>
        <v>0</v>
      </c>
      <c r="O654" s="41" t="n">
        <f aca="false">Sens!$O$645+Sens!$O$646+Sens!$O$647-Sens!$O$650</f>
        <v>0</v>
      </c>
    </row>
    <row r="655" customFormat="false" ht="17.15" hidden="false" customHeight="false" outlineLevel="0" collapsed="false">
      <c r="A655" s="1" t="s">
        <v>713</v>
      </c>
    </row>
    <row r="656" customFormat="false" ht="17.15" hidden="false" customHeight="false" outlineLevel="0" collapsed="false">
      <c r="A656" s="0" t="s">
        <v>714</v>
      </c>
      <c r="B656" s="0" t="s">
        <v>86</v>
      </c>
      <c r="C656" s="38" t="n">
        <f aca="false">Sens!$C$562*m_ad</f>
        <v>20.5341564414228</v>
      </c>
      <c r="D656" s="38" t="n">
        <f aca="false">Sens!$D$562*m_ad</f>
        <v>24.8720617299587</v>
      </c>
      <c r="E656" s="38" t="n">
        <f aca="false">Sens!$E$562*m_ad</f>
        <v>13.5017112462207</v>
      </c>
      <c r="F656" s="38" t="n">
        <f aca="false">Sens!$F$562*m_ad</f>
        <v>16.4483754149831</v>
      </c>
      <c r="G656" s="38" t="n">
        <f aca="false">Sens!$G$562*m_ad</f>
        <v>29.9584656985905</v>
      </c>
      <c r="H656" s="38" t="n">
        <f aca="false">Sens!$H$562*m_ad</f>
        <v>35.9666687299813</v>
      </c>
      <c r="I656" s="38" t="n">
        <f aca="false">Sens!$I$562*m_ad</f>
        <v>41.9743274973035</v>
      </c>
      <c r="J656" s="38" t="n">
        <f aca="false">Sens!$J$562*m_ad</f>
        <v>47.5786150787317</v>
      </c>
      <c r="K656" s="38" t="n">
        <f aca="false">Sens!$K$562*m_ad</f>
        <v>52.3364765866049</v>
      </c>
      <c r="L656" s="38" t="n">
        <f aca="false">Sens!$L$562*m_ad</f>
        <v>57.5701242452654</v>
      </c>
      <c r="M656" s="38" t="n">
        <f aca="false">Sens!$M$562*m_ad</f>
        <v>63.3271366697919</v>
      </c>
      <c r="N656" s="38" t="n">
        <f aca="false">Sens!$N$562*m_ad</f>
        <v>10.8543555706248</v>
      </c>
      <c r="O656" s="38" t="n">
        <f aca="false">Sens!$O$562*m_ad</f>
        <v>14.0094731821399</v>
      </c>
    </row>
    <row r="657" customFormat="false" ht="17.15" hidden="false" customHeight="false" outlineLevel="0" collapsed="false">
      <c r="A657" s="0" t="s">
        <v>715</v>
      </c>
      <c r="B657" s="0" t="s">
        <v>86</v>
      </c>
      <c r="C657" s="38" t="n">
        <f aca="false">Sens!$C$560-Sens!$C$562</f>
        <v>346.428687117154</v>
      </c>
      <c r="D657" s="38" t="n">
        <f aca="false">Sens!$D$560-Sens!$D$562</f>
        <v>376.560876540083</v>
      </c>
      <c r="E657" s="38" t="n">
        <f aca="false">Sens!$E$560-Sens!$E$562</f>
        <v>193.316577507559</v>
      </c>
      <c r="F657" s="38" t="n">
        <f aca="false">Sens!$F$560-Sens!$F$562</f>
        <v>215.873702349397</v>
      </c>
      <c r="G657" s="38" t="n">
        <f aca="false">Sens!$G$560-Sens!$G$562</f>
        <v>409.173521782182</v>
      </c>
      <c r="H657" s="38" t="n">
        <f aca="false">Sens!$H$560-Sens!$H$562</f>
        <v>447.383267155534</v>
      </c>
      <c r="I657" s="38" t="n">
        <f aca="false">Sens!$I$560-Sens!$I$562</f>
        <v>483.930371623959</v>
      </c>
      <c r="J657" s="38" t="n">
        <f aca="false">Sens!$J$560-Sens!$J$562</f>
        <v>517.788925710946</v>
      </c>
      <c r="K657" s="38" t="n">
        <f aca="false">Sens!$K$560-Sens!$K$562</f>
        <v>547.931287071186</v>
      </c>
      <c r="L657" s="38" t="n">
        <f aca="false">Sens!$L$560-Sens!$L$562</f>
        <v>579.893664143497</v>
      </c>
      <c r="M657" s="38" t="n">
        <f aca="false">Sens!$M$560-Sens!$M$562</f>
        <v>613.789416356234</v>
      </c>
      <c r="N657" s="38" t="n">
        <f aca="false">Sens!$N$560-Sens!$N$562</f>
        <v>171.24628885875</v>
      </c>
      <c r="O657" s="38" t="n">
        <f aca="false">Sens!$O$560-Sens!$O$562</f>
        <v>205.33105363572</v>
      </c>
    </row>
    <row r="658" customFormat="false" ht="17.15" hidden="false" customHeight="false" outlineLevel="0" collapsed="false">
      <c r="A658" s="0" t="s">
        <v>716</v>
      </c>
      <c r="B658" s="0" t="s">
        <v>86</v>
      </c>
      <c r="C658" s="38" t="n">
        <f aca="false">Sens!$C$609*Sens!$C$559</f>
        <v>0.123617442257179</v>
      </c>
      <c r="D658" s="38" t="n">
        <f aca="false">Sens!$D$609*Sens!$D$559</f>
        <v>0.874366899302609</v>
      </c>
      <c r="E658" s="38" t="n">
        <f aca="false">Sens!$E$609*Sens!$E$559</f>
        <v>1.29318830502574</v>
      </c>
      <c r="F658" s="38" t="n">
        <f aca="false">Sens!$F$609*Sens!$F$559</f>
        <v>1.51802024162534</v>
      </c>
      <c r="G658" s="38" t="n">
        <f aca="false">Sens!$G$609*Sens!$G$559</f>
        <v>2.81161135288519</v>
      </c>
      <c r="H658" s="38" t="n">
        <f aca="false">Sens!$H$609*Sens!$H$559</f>
        <v>7.39048132598345</v>
      </c>
      <c r="I658" s="38" t="n">
        <f aca="false">Sens!$I$609*Sens!$I$559</f>
        <v>12.9001642218046</v>
      </c>
      <c r="J658" s="38" t="n">
        <f aca="false">Sens!$J$609*Sens!$J$559</f>
        <v>18.5590452453591</v>
      </c>
      <c r="K658" s="38" t="n">
        <f aca="false">Sens!$K$609*Sens!$K$559</f>
        <v>24.0973410366053</v>
      </c>
      <c r="L658" s="38" t="n">
        <f aca="false">Sens!$L$609*Sens!$L$559</f>
        <v>27.6873888700074</v>
      </c>
      <c r="M658" s="38" t="n">
        <f aca="false">Sens!$M$609*Sens!$M$559</f>
        <v>29.7246861860077</v>
      </c>
      <c r="N658" s="38" t="n">
        <f aca="false">Sens!$N$609*Sens!$N$559</f>
        <v>0.389180508437431</v>
      </c>
      <c r="O658" s="38" t="n">
        <f aca="false">Sens!$O$609*Sens!$O$559</f>
        <v>0.485052120082802</v>
      </c>
    </row>
    <row r="659" customFormat="false" ht="17.15" hidden="false" customHeight="false" outlineLevel="0" collapsed="false">
      <c r="A659" s="0" t="s">
        <v>717</v>
      </c>
      <c r="B659" s="0" t="s">
        <v>52</v>
      </c>
      <c r="C659" s="28" t="n">
        <f aca="false">(Sens!$C$660-Sens!$C$656+Sens!$C$658)/Sens!$C$657</f>
        <v>0.0131526665379575</v>
      </c>
      <c r="D659" s="28" t="n">
        <f aca="false">(Sens!$D$660-Sens!$D$656+Sens!$D$658)/Sens!$D$657</f>
        <v>0.0149280116962589</v>
      </c>
      <c r="E659" s="28" t="n">
        <f aca="false">(Sens!$E$660-Sens!$E$656+Sens!$E$658)/Sens!$E$657</f>
        <v>0.0268030663774938</v>
      </c>
      <c r="F659" s="28" t="n">
        <f aca="false">Sens!$O$659+(Sens!$E$659-Sens!$N$659)</f>
        <v>0.0232379346966962</v>
      </c>
      <c r="G659" s="28" t="n">
        <f aca="false">(Sens!$G$660-Sens!$G$656+Sens!$G$658)/Sens!$G$657</f>
        <v>0.0249037615659945</v>
      </c>
      <c r="H659" s="28" t="n">
        <f aca="false">Sens!$G$659+step_na</f>
        <v>0.0279037615659945</v>
      </c>
      <c r="I659" s="28" t="n">
        <f aca="false">Sens!$H$659+step_na</f>
        <v>0.0309037615659944</v>
      </c>
      <c r="J659" s="28" t="n">
        <f aca="false">Sens!$I$659+step_na</f>
        <v>0.0339037615659945</v>
      </c>
      <c r="K659" s="28" t="n">
        <f aca="false">Sens!$J$659+step_na</f>
        <v>0.0369037615659945</v>
      </c>
      <c r="L659" s="28" t="n">
        <f aca="false">Sens!$K$659</f>
        <v>0.0369037615659945</v>
      </c>
      <c r="M659" s="28" t="n">
        <f aca="false">Sens!$L$659</f>
        <v>0.0369037615659945</v>
      </c>
      <c r="N659" s="28" t="n">
        <f aca="false">(Sens!$N$660-Sens!$N$656+Sens!$N$658)/Sens!$N$657</f>
        <v>0.0168927744775755</v>
      </c>
      <c r="O659" s="28" t="n">
        <f aca="false">(Sens!$O$660-Sens!$O$656+Sens!$O$658)/Sens!$O$657</f>
        <v>0.0133276427967779</v>
      </c>
      <c r="P659" s="8" t="s">
        <v>718</v>
      </c>
    </row>
    <row r="660" customFormat="false" ht="17.15" hidden="false" customHeight="false" outlineLevel="0" collapsed="false">
      <c r="A660" s="1" t="s">
        <v>719</v>
      </c>
      <c r="B660" s="8" t="s">
        <v>86</v>
      </c>
      <c r="C660" s="38" t="n">
        <f aca="false">Q!$D$22</f>
        <v>24.967</v>
      </c>
      <c r="D660" s="38" t="n">
        <f aca="false">Q!$E$22</f>
        <v>29.619</v>
      </c>
      <c r="E660" s="38" t="n">
        <f aca="false">Q!$P$22</f>
        <v>17.39</v>
      </c>
      <c r="F660" s="38" t="n">
        <f aca="false">Sens!$F$656+Sens!$F$657*Sens!$F$659-Sens!$F$658</f>
        <v>19.9468141712871</v>
      </c>
      <c r="G660" s="38" t="n">
        <f aca="false">Sens!$E$660+Sens!$F$660</f>
        <v>37.3368141712871</v>
      </c>
      <c r="H660" s="38" t="n">
        <f aca="false">Sens!$H$656+Sens!$H$657*Sens!$H$659-Sens!$H$658</f>
        <v>41.0598634193215</v>
      </c>
      <c r="I660" s="38" t="n">
        <f aca="false">Sens!$I$656+Sens!$I$657*Sens!$I$659-Sens!$I$658</f>
        <v>44.0294320947088</v>
      </c>
      <c r="J660" s="38" t="n">
        <f aca="false">Sens!$J$656+Sens!$J$657*Sens!$J$659-Sens!$J$658</f>
        <v>46.5745621121889</v>
      </c>
      <c r="K660" s="38" t="n">
        <f aca="false">Sens!$K$656+Sens!$K$657*Sens!$K$659-Sens!$K$658</f>
        <v>48.459861122623</v>
      </c>
      <c r="L660" s="38" t="n">
        <f aca="false">Sens!$L$656+Sens!$L$657*Sens!$L$659-Sens!$L$658</f>
        <v>51.2829928904405</v>
      </c>
      <c r="M660" s="38" t="n">
        <f aca="false">Sens!$M$656+Sens!$M$657*Sens!$M$659-Sens!$M$658</f>
        <v>56.2535887567256</v>
      </c>
      <c r="N660" s="38" t="n">
        <f aca="false">Q!$N$22</f>
        <v>13.358</v>
      </c>
      <c r="O660" s="38" t="n">
        <f aca="false">Q!$O$22</f>
        <v>16.261</v>
      </c>
    </row>
    <row r="661" customFormat="false" ht="17.15" hidden="false" customHeight="false" outlineLevel="0" collapsed="false">
      <c r="A661" s="0" t="s">
        <v>720</v>
      </c>
      <c r="B661" s="0" t="s">
        <v>86</v>
      </c>
      <c r="C661" s="38" t="n">
        <f aca="false">Sens!$C$563*m_ad</f>
        <v>7.57284355857716</v>
      </c>
      <c r="D661" s="38" t="n">
        <f aca="false">Sens!$D$563*m_ad</f>
        <v>9.44543827004127</v>
      </c>
      <c r="E661" s="38" t="n">
        <f aca="false">Sens!$E$563*m_ad</f>
        <v>5.02428875377928</v>
      </c>
      <c r="F661" s="38" t="n">
        <f aca="false">Sens!$F$563*m_ad</f>
        <v>6.45811080146025</v>
      </c>
      <c r="G661" s="38" t="n">
        <f aca="false">Sens!$G$563*m_ad</f>
        <v>11.4740205178528</v>
      </c>
      <c r="H661" s="38" t="n">
        <f aca="false">Sens!$H$563*m_ad</f>
        <v>13.7751478703409</v>
      </c>
      <c r="I661" s="38" t="n">
        <f aca="false">Sens!$I$563*m_ad</f>
        <v>16.0760667709959</v>
      </c>
      <c r="J661" s="38" t="n">
        <f aca="false">Sens!$J$563*m_ad</f>
        <v>18.2224954747956</v>
      </c>
      <c r="K661" s="38" t="n">
        <f aca="false">Sens!$K$563*m_ad</f>
        <v>20.0447450222752</v>
      </c>
      <c r="L661" s="38" t="n">
        <f aca="false">Sens!$L$563*m_ad</f>
        <v>22.0492195245027</v>
      </c>
      <c r="M661" s="38" t="n">
        <f aca="false">Sens!$M$563*m_ad</f>
        <v>24.254141476953</v>
      </c>
      <c r="N661" s="38" t="n">
        <f aca="false">Sens!$N$563*m_ad</f>
        <v>3.95314442937518</v>
      </c>
      <c r="O661" s="38" t="n">
        <f aca="false">Sens!$O$563*m_ad</f>
        <v>5.50052681786011</v>
      </c>
    </row>
    <row r="662" customFormat="false" ht="17.15" hidden="false" customHeight="false" outlineLevel="0" collapsed="false">
      <c r="A662" s="0" t="s">
        <v>721</v>
      </c>
      <c r="B662" s="0" t="s">
        <v>86</v>
      </c>
      <c r="C662" s="38" t="n">
        <f aca="false">Sens!$C$561-Sens!$C$563</f>
        <v>127.760312882846</v>
      </c>
      <c r="D662" s="38" t="n">
        <f aca="false">Sens!$D$561-Sens!$D$563</f>
        <v>143.003123459917</v>
      </c>
      <c r="E662" s="38" t="n">
        <f aca="false">Sens!$E$561-Sens!$E$563</f>
        <v>71.9374224924414</v>
      </c>
      <c r="F662" s="38" t="n">
        <f aca="false">Sens!$F$561-Sens!$F$563</f>
        <v>84.7582970184349</v>
      </c>
      <c r="G662" s="38" t="n">
        <f aca="false">Sens!$G$561-Sens!$G$563</f>
        <v>156.71247758565</v>
      </c>
      <c r="H662" s="38" t="n">
        <f aca="false">Sens!$H$561-Sens!$H$563</f>
        <v>171.346718431182</v>
      </c>
      <c r="I662" s="38" t="n">
        <f aca="false">Sens!$I$561-Sens!$I$563</f>
        <v>185.344171797378</v>
      </c>
      <c r="J662" s="38" t="n">
        <f aca="false">Sens!$J$561-Sens!$J$563</f>
        <v>198.311916815014</v>
      </c>
      <c r="K662" s="38" t="n">
        <f aca="false">Sens!$K$561-Sens!$K$563</f>
        <v>209.85636893027</v>
      </c>
      <c r="L662" s="38" t="n">
        <f aca="false">Sens!$L$561-Sens!$L$563</f>
        <v>222.09788269859</v>
      </c>
      <c r="M662" s="38" t="n">
        <f aca="false">Sens!$M$561-Sens!$M$563</f>
        <v>235.079874509182</v>
      </c>
      <c r="N662" s="38" t="n">
        <f aca="false">Sens!$N$561-Sens!$N$563</f>
        <v>62.3677111412496</v>
      </c>
      <c r="O662" s="38" t="n">
        <f aca="false">Sens!$O$561-Sens!$O$563</f>
        <v>80.6189463642798</v>
      </c>
    </row>
    <row r="663" customFormat="false" ht="17.15" hidden="false" customHeight="false" outlineLevel="0" collapsed="false">
      <c r="A663" s="0" t="s">
        <v>722</v>
      </c>
      <c r="B663" s="0" t="s">
        <v>86</v>
      </c>
      <c r="C663" s="38" t="n">
        <f aca="false">Sens!$C$609*(1-Sens!$C$559)</f>
        <v>0.0455891896019953</v>
      </c>
      <c r="D663" s="38" t="n">
        <f aca="false">Sens!$D$609*(1-Sens!$D$559)</f>
        <v>0.332050421167231</v>
      </c>
      <c r="E663" s="38" t="n">
        <f aca="false">Sens!$E$609*(1-Sens!$E$559)</f>
        <v>0.481224293644882</v>
      </c>
      <c r="F663" s="38" t="n">
        <f aca="false">Sens!$F$609*(1-Sens!$F$559)</f>
        <v>0.596018918096053</v>
      </c>
      <c r="G663" s="38" t="n">
        <f aca="false">Sens!$G$609*(1-Sens!$G$559)</f>
        <v>1.07684040550682</v>
      </c>
      <c r="H663" s="38" t="n">
        <f aca="false">Sens!$H$609*(1-Sens!$H$559)</f>
        <v>2.83053662441503</v>
      </c>
      <c r="I663" s="38" t="n">
        <f aca="false">Sens!$I$609*(1-Sens!$I$559)</f>
        <v>4.9407319605029</v>
      </c>
      <c r="J663" s="38" t="n">
        <f aca="false">Sens!$J$609*(1-Sens!$J$559)</f>
        <v>7.10806982171409</v>
      </c>
      <c r="K663" s="38" t="n">
        <f aca="false">Sens!$K$609*(1-Sens!$K$559)</f>
        <v>9.22922382813193</v>
      </c>
      <c r="L663" s="38" t="n">
        <f aca="false">Sens!$L$609*(1-Sens!$L$559)</f>
        <v>10.6042035388741</v>
      </c>
      <c r="M663" s="38" t="n">
        <f aca="false">Sens!$M$609*(1-Sens!$M$559)</f>
        <v>11.3844835251704</v>
      </c>
      <c r="N663" s="38" t="n">
        <f aca="false">Sens!$N$609*(1-Sens!$N$559)</f>
        <v>0.141739115596548</v>
      </c>
      <c r="O663" s="38" t="n">
        <f aca="false">Sens!$O$609*(1-Sens!$O$559)</f>
        <v>0.190445576353059</v>
      </c>
    </row>
    <row r="664" customFormat="false" ht="17.15" hidden="false" customHeight="false" outlineLevel="0" collapsed="false">
      <c r="A664" s="0" t="s">
        <v>723</v>
      </c>
      <c r="B664" s="0" t="s">
        <v>52</v>
      </c>
      <c r="C664" s="28" t="n">
        <f aca="false">(Sens!$C$665-Sens!$C$661+Sens!$C$663)/Sens!$C$662</f>
        <v>-0.0292364215826579</v>
      </c>
      <c r="D664" s="28" t="n">
        <f aca="false">(Sens!$D$665-Sens!$D$661+Sens!$D$663)/Sens!$D$662</f>
        <v>-0.0305125352740778</v>
      </c>
      <c r="E664" s="28" t="n">
        <f aca="false">(Sens!$E$665-Sens!$E$661+Sens!$E$663)/Sens!$E$662</f>
        <v>-0.019490056934994</v>
      </c>
      <c r="F664" s="28" t="n">
        <f aca="false">Sens!$O$664+(Sens!$E$664-Sens!$N$664)</f>
        <v>-0.0367332293992226</v>
      </c>
      <c r="G664" s="28" t="n">
        <f aca="false">(Sens!$G$665-Sens!$G$661+Sens!$G$663)/Sens!$G$662</f>
        <v>-0.0287630842565411</v>
      </c>
      <c r="H664" s="28" t="n">
        <f aca="false">Sens!$G$664+step_in</f>
        <v>-0.0287630842565411</v>
      </c>
      <c r="I664" s="28" t="n">
        <f aca="false">Sens!$H$664+step_in</f>
        <v>-0.0287630842565411</v>
      </c>
      <c r="J664" s="28" t="n">
        <f aca="false">Sens!$I$664+step_in</f>
        <v>-0.0287630842565411</v>
      </c>
      <c r="K664" s="28" t="n">
        <f aca="false">Sens!$J$664+step_in</f>
        <v>-0.0287630842565411</v>
      </c>
      <c r="L664" s="28" t="n">
        <f aca="false">Sens!$K$664</f>
        <v>-0.0287630842565411</v>
      </c>
      <c r="M664" s="28" t="n">
        <f aca="false">Sens!$L$664</f>
        <v>-0.0287630842565411</v>
      </c>
      <c r="N664" s="28" t="n">
        <f aca="false">(Sens!$N$665-Sens!$N$661+Sens!$N$663)/Sens!$N$662</f>
        <v>-0.02085061789158</v>
      </c>
      <c r="O664" s="28" t="n">
        <f aca="false">(Sens!$O$665-Sens!$O$661+Sens!$O$663)/Sens!$O$662</f>
        <v>-0.0380937903558086</v>
      </c>
      <c r="P664" s="8" t="s">
        <v>718</v>
      </c>
    </row>
    <row r="665" customFormat="false" ht="17.15" hidden="false" customHeight="false" outlineLevel="0" collapsed="false">
      <c r="A665" s="1" t="s">
        <v>724</v>
      </c>
      <c r="B665" s="8" t="s">
        <v>86</v>
      </c>
      <c r="C665" s="38" t="n">
        <f aca="false">Q!$D$23</f>
        <v>3.792</v>
      </c>
      <c r="D665" s="38" t="n">
        <f aca="false">Q!$E$23</f>
        <v>4.75</v>
      </c>
      <c r="E665" s="38" t="n">
        <f aca="false">Q!$P$23</f>
        <v>3.141</v>
      </c>
      <c r="F665" s="38" t="n">
        <f aca="false">Sens!$F$661+Sens!$F$662*Sens!$F$664-Sens!$F$663</f>
        <v>2.74864591549858</v>
      </c>
      <c r="G665" s="38" t="n">
        <f aca="false">Sens!$E$665+Sens!$F$665</f>
        <v>5.88964591549858</v>
      </c>
      <c r="H665" s="38" t="n">
        <f aca="false">Sens!$H$661+Sens!$H$662*Sens!$H$664-Sens!$H$663</f>
        <v>6.01615114660792</v>
      </c>
      <c r="I665" s="38" t="n">
        <f aca="false">Sens!$I$661+Sens!$I$662*Sens!$I$664-Sens!$I$663</f>
        <v>5.80426478062618</v>
      </c>
      <c r="J665" s="38" t="n">
        <f aca="false">Sens!$J$661+Sens!$J$662*Sens!$J$664-Sens!$J$663</f>
        <v>5.41036328065513</v>
      </c>
      <c r="K665" s="38" t="n">
        <f aca="false">Sens!$K$661+Sens!$K$662*Sens!$K$664-Sens!$K$663</f>
        <v>4.77940477283013</v>
      </c>
      <c r="L665" s="38" t="n">
        <f aca="false">Sens!$L$661+Sens!$L$662*Sens!$L$664-Sens!$L$663</f>
        <v>5.05679587236964</v>
      </c>
      <c r="M665" s="38" t="n">
        <f aca="false">Sens!$M$661+Sens!$M$662*Sens!$M$664-Sens!$M$663</f>
        <v>6.10803571425788</v>
      </c>
      <c r="N665" s="38" t="n">
        <f aca="false">Q!$N$23</f>
        <v>2.511</v>
      </c>
      <c r="O665" s="38" t="n">
        <f aca="false">Q!$O$23</f>
        <v>2.239</v>
      </c>
    </row>
    <row r="666" customFormat="false" ht="17.15" hidden="false" customHeight="false" outlineLevel="0" collapsed="false">
      <c r="A666" s="0" t="s">
        <v>725</v>
      </c>
      <c r="B666" s="0" t="s">
        <v>86</v>
      </c>
      <c r="C666" s="38" t="n">
        <f aca="false">Sens!$C$606</f>
        <v>1.64417882953695</v>
      </c>
      <c r="D666" s="38" t="n">
        <f aca="false">Sens!$D$606</f>
        <v>3.8781008067718</v>
      </c>
      <c r="E666" s="38" t="n">
        <f aca="false">Sens!$E$606</f>
        <v>1.41270258088753</v>
      </c>
      <c r="F666" s="38" t="n">
        <f aca="false">Sens!$F$606</f>
        <v>9.11054685065335</v>
      </c>
      <c r="G666" s="38" t="n">
        <f aca="false">Sens!$G$606</f>
        <v>10.5232494315409</v>
      </c>
      <c r="H666" s="38" t="n">
        <f aca="false">Sens!$H$606</f>
        <v>40.5349239885555</v>
      </c>
      <c r="I666" s="38" t="n">
        <f aca="false">Sens!$I$606</f>
        <v>73.3294385388747</v>
      </c>
      <c r="J666" s="38" t="n">
        <f aca="false">Sens!$J$606</f>
        <v>105.580077827516</v>
      </c>
      <c r="K666" s="38" t="n">
        <f aca="false">Sens!$K$606</f>
        <v>129.162321204538</v>
      </c>
      <c r="L666" s="38" t="n">
        <f aca="false">Sens!$L$606</f>
        <v>144.935889771347</v>
      </c>
      <c r="M666" s="38" t="n">
        <f aca="false">Sens!$M$606</f>
        <v>150.667113453357</v>
      </c>
      <c r="N666" s="38" t="n">
        <f aca="false">Sens!$N$606</f>
        <v>0.92264103489199</v>
      </c>
      <c r="O666" s="38" t="n">
        <f aca="false">Sens!$O$606</f>
        <v>2.95545977187981</v>
      </c>
    </row>
    <row r="667" customFormat="false" ht="17.15" hidden="false" customHeight="false" outlineLevel="0" collapsed="false">
      <c r="A667" s="0" t="s">
        <v>643</v>
      </c>
      <c r="B667" s="0" t="s">
        <v>86</v>
      </c>
      <c r="C667" s="38" t="n">
        <f aca="false">Sens!$C$611</f>
        <v>38.1898211704631</v>
      </c>
      <c r="D667" s="38" t="n">
        <f aca="false">Sens!$D$611</f>
        <v>41.7278991932282</v>
      </c>
      <c r="E667" s="38" t="n">
        <f aca="false">Sens!$E$611</f>
        <v>29.3692974191125</v>
      </c>
      <c r="F667" s="38" t="n">
        <f aca="false">Sens!$F$611</f>
        <v>26.8997276714137</v>
      </c>
      <c r="G667" s="38" t="n">
        <f aca="false">Sens!$G$611</f>
        <v>56.2690250905262</v>
      </c>
      <c r="H667" s="38" t="n">
        <f aca="false">Sens!$H$611</f>
        <v>60.3505333937343</v>
      </c>
      <c r="I667" s="38" t="n">
        <f aca="false">Sens!$I$611</f>
        <v>67.0043857303571</v>
      </c>
      <c r="J667" s="38" t="n">
        <f aca="false">Sens!$J$611</f>
        <v>73.3782922956925</v>
      </c>
      <c r="K667" s="38" t="n">
        <f aca="false">Sens!$K$611</f>
        <v>79.2485556793479</v>
      </c>
      <c r="L667" s="38" t="n">
        <f aca="false">Sens!$L$611</f>
        <v>85.5884401336958</v>
      </c>
      <c r="M667" s="38" t="n">
        <f aca="false">Sens!$M$611</f>
        <v>92.4355153443914</v>
      </c>
      <c r="N667" s="38" t="n">
        <f aca="false">Sens!$N$611</f>
        <v>20.784358965108</v>
      </c>
      <c r="O667" s="38" t="n">
        <f aca="false">Sens!$O$611</f>
        <v>20.9435402281202</v>
      </c>
    </row>
    <row r="668" customFormat="false" ht="17.15" hidden="false" customHeight="false" outlineLevel="0" collapsed="false">
      <c r="A668" s="1" t="s">
        <v>726</v>
      </c>
      <c r="B668" s="8" t="s">
        <v>86</v>
      </c>
      <c r="C668" s="38" t="n">
        <f aca="false">Q!$D$24</f>
        <v>39.834</v>
      </c>
      <c r="D668" s="38" t="n">
        <f aca="false">Q!$E$24</f>
        <v>45.606</v>
      </c>
      <c r="E668" s="38" t="n">
        <f aca="false">Q!$P$24</f>
        <v>30.782</v>
      </c>
      <c r="F668" s="38" t="n">
        <f aca="false">Sens!$F$666+Sens!$F$667</f>
        <v>36.0102745220671</v>
      </c>
      <c r="G668" s="38" t="n">
        <f aca="false">Sens!$G$666+Sens!$G$667</f>
        <v>66.7922745220671</v>
      </c>
      <c r="H668" s="38" t="n">
        <f aca="false">Sens!$H$666+Sens!$H$667</f>
        <v>100.88545738229</v>
      </c>
      <c r="I668" s="38" t="n">
        <f aca="false">Sens!$I$666+Sens!$I$667</f>
        <v>140.333824269232</v>
      </c>
      <c r="J668" s="38" t="n">
        <f aca="false">Sens!$J$666+Sens!$J$667</f>
        <v>178.958370123209</v>
      </c>
      <c r="K668" s="38" t="n">
        <f aca="false">Sens!$K$666+Sens!$K$667</f>
        <v>208.410876883886</v>
      </c>
      <c r="L668" s="38" t="n">
        <f aca="false">Sens!$L$666+Sens!$L$667</f>
        <v>230.524329905043</v>
      </c>
      <c r="M668" s="38" t="n">
        <f aca="false">Sens!$M$666+Sens!$M$667</f>
        <v>243.102628797748</v>
      </c>
      <c r="N668" s="38" t="n">
        <f aca="false">Q!$N$24</f>
        <v>21.707</v>
      </c>
      <c r="O668" s="38" t="n">
        <f aca="false">Q!$O$24</f>
        <v>23.899</v>
      </c>
    </row>
    <row r="669" customFormat="false" ht="17.15" hidden="false" customHeight="false" outlineLevel="0" collapsed="false">
      <c r="A669" s="5" t="s">
        <v>727</v>
      </c>
      <c r="B669" s="0" t="s">
        <v>86</v>
      </c>
      <c r="C669" s="38" t="n">
        <f aca="false">Q!$D$26</f>
        <v>0</v>
      </c>
      <c r="D669" s="38" t="n">
        <f aca="false">Q!$E$26</f>
        <v>0</v>
      </c>
      <c r="E669" s="38" t="n">
        <f aca="false">Q!$P$26</f>
        <v>0</v>
      </c>
      <c r="F669" s="39" t="n">
        <v>0</v>
      </c>
      <c r="G669" s="38" t="n">
        <f aca="false">Sens!$E$669+Sens!$F$669</f>
        <v>0</v>
      </c>
      <c r="H669" s="39" t="n">
        <v>0</v>
      </c>
      <c r="I669" s="39" t="n">
        <v>0</v>
      </c>
      <c r="J669" s="39" t="n">
        <v>0</v>
      </c>
      <c r="K669" s="39" t="n">
        <v>0</v>
      </c>
      <c r="L669" s="39" t="n">
        <v>0</v>
      </c>
      <c r="M669" s="39" t="n">
        <v>0</v>
      </c>
      <c r="N669" s="38" t="n">
        <f aca="false">Q!$N$26</f>
        <v>0</v>
      </c>
      <c r="O669" s="38" t="n">
        <f aca="false">Q!$O$26</f>
        <v>0</v>
      </c>
    </row>
    <row r="670" customFormat="false" ht="15" hidden="false" customHeight="false" outlineLevel="0" collapsed="false">
      <c r="A670" s="3" t="s">
        <v>531</v>
      </c>
      <c r="B670" s="8" t="s">
        <v>86</v>
      </c>
      <c r="C670" s="38" t="n">
        <f aca="false">Q!$D$25</f>
        <v>68.593</v>
      </c>
      <c r="D670" s="38" t="n">
        <f aca="false">Q!$E$25</f>
        <v>79.975</v>
      </c>
      <c r="E670" s="38" t="n">
        <f aca="false">Q!$P$25</f>
        <v>51.313</v>
      </c>
      <c r="F670" s="38" t="n">
        <f aca="false">Sens!$F$660+Sens!$F$665+Sens!$F$668+Sens!$F$669</f>
        <v>58.7057346088527</v>
      </c>
      <c r="G670" s="38" t="n">
        <f aca="false">Sens!$G$660+Sens!$G$665+Sens!$G$668+Sens!$G$669</f>
        <v>110.018734608853</v>
      </c>
      <c r="H670" s="38" t="n">
        <f aca="false">Sens!$H$660+Sens!$H$665+Sens!$H$668+Sens!$H$669</f>
        <v>147.961471948219</v>
      </c>
      <c r="I670" s="38" t="n">
        <f aca="false">Sens!$I$660+Sens!$I$665+Sens!$I$668+Sens!$I$669</f>
        <v>190.167521144567</v>
      </c>
      <c r="J670" s="38" t="n">
        <f aca="false">Sens!$J$660+Sens!$J$665+Sens!$J$668+Sens!$J$669</f>
        <v>230.943295516053</v>
      </c>
      <c r="K670" s="38" t="n">
        <f aca="false">Sens!$K$660+Sens!$K$665+Sens!$K$668+Sens!$K$669</f>
        <v>261.650142779339</v>
      </c>
      <c r="L670" s="38" t="n">
        <f aca="false">Sens!$L$660+Sens!$L$665+Sens!$L$668+Sens!$L$669</f>
        <v>286.864118667853</v>
      </c>
      <c r="M670" s="38" t="n">
        <f aca="false">Sens!$M$660+Sens!$M$665+Sens!$M$668+Sens!$M$669</f>
        <v>305.464253268732</v>
      </c>
      <c r="N670" s="38" t="n">
        <f aca="false">Q!$N$25</f>
        <v>37.576</v>
      </c>
      <c r="O670" s="38" t="n">
        <f aca="false">Q!$O$25</f>
        <v>42.399</v>
      </c>
    </row>
    <row r="671" customFormat="false" ht="17.15" hidden="false" customHeight="false" outlineLevel="0" collapsed="false">
      <c r="A671" s="24" t="s">
        <v>758</v>
      </c>
      <c r="B671" s="25" t="s">
        <v>86</v>
      </c>
      <c r="C671" s="41" t="n">
        <f aca="false">Sens!$C$660+Sens!$C$665+Sens!$C$668+Sens!$C$669-Sens!$C$670</f>
        <v>0</v>
      </c>
      <c r="D671" s="41" t="n">
        <f aca="false">Sens!$D$660+Sens!$D$665+Sens!$D$668+Sens!$D$669-Sens!$D$670</f>
        <v>0</v>
      </c>
      <c r="E671" s="41" t="n">
        <f aca="false">Sens!$E$660+Sens!$E$665+Sens!$E$668+Sens!$E$669-Sens!$E$670</f>
        <v>0</v>
      </c>
      <c r="F671" s="41" t="n">
        <f aca="false">Sens!$F$660+Sens!$F$665+Sens!$F$668+Sens!$F$669-Sens!$F$670</f>
        <v>0</v>
      </c>
      <c r="G671" s="41" t="n">
        <f aca="false">Sens!$G$660+Sens!$G$665+Sens!$G$668+Sens!$G$669-Sens!$G$670</f>
        <v>0</v>
      </c>
      <c r="H671" s="41" t="n">
        <f aca="false">Sens!$H$660+Sens!$H$665+Sens!$H$668+Sens!$H$669-Sens!$H$670</f>
        <v>0</v>
      </c>
      <c r="I671" s="41" t="n">
        <f aca="false">Sens!$I$660+Sens!$I$665+Sens!$I$668+Sens!$I$669-Sens!$I$670</f>
        <v>0</v>
      </c>
      <c r="J671" s="41" t="n">
        <f aca="false">Sens!$J$660+Sens!$J$665+Sens!$J$668+Sens!$J$669-Sens!$J$670</f>
        <v>0</v>
      </c>
      <c r="K671" s="41" t="n">
        <f aca="false">Sens!$K$660+Sens!$K$665+Sens!$K$668+Sens!$K$669-Sens!$K$670</f>
        <v>0</v>
      </c>
      <c r="L671" s="41" t="n">
        <f aca="false">Sens!$L$660+Sens!$L$665+Sens!$L$668+Sens!$L$669-Sens!$L$670</f>
        <v>0</v>
      </c>
      <c r="M671" s="41" t="n">
        <f aca="false">Sens!$M$660+Sens!$M$665+Sens!$M$668+Sens!$M$669-Sens!$M$670</f>
        <v>0</v>
      </c>
      <c r="N671" s="41" t="n">
        <f aca="false">Sens!$N$660+Sens!$N$665+Sens!$N$668+Sens!$N$669-Sens!$N$670</f>
        <v>0</v>
      </c>
      <c r="O671" s="41" t="n">
        <f aca="false">Sens!$O$660+Sens!$O$665+Sens!$O$668+Sens!$O$669-Sens!$O$670</f>
        <v>0</v>
      </c>
    </row>
    <row r="672" customFormat="false" ht="17.15" hidden="false" customHeight="false" outlineLevel="0" collapsed="false">
      <c r="A672" s="5" t="s">
        <v>729</v>
      </c>
      <c r="B672" s="0" t="s">
        <v>86</v>
      </c>
      <c r="C672" s="38" t="n">
        <f aca="false">Sens!$C$608</f>
        <v>0</v>
      </c>
      <c r="D672" s="38" t="n">
        <f aca="false">Sens!$D$608</f>
        <v>0</v>
      </c>
      <c r="E672" s="38" t="n">
        <f aca="false">Sens!$E$608</f>
        <v>0</v>
      </c>
      <c r="F672" s="38" t="n">
        <f aca="false">Sens!$F$608</f>
        <v>3.77122048175818</v>
      </c>
      <c r="G672" s="38" t="n">
        <f aca="false">Sens!$G$608</f>
        <v>3.77122048175818</v>
      </c>
      <c r="H672" s="38" t="n">
        <f aca="false">Sens!$H$608</f>
        <v>15.1635543609893</v>
      </c>
      <c r="I672" s="38" t="n">
        <f aca="false">Sens!$I$608</f>
        <v>25.5818843619889</v>
      </c>
      <c r="J672" s="38" t="n">
        <f aca="false">Sens!$J$608</f>
        <v>36.0465624179122</v>
      </c>
      <c r="K672" s="38" t="n">
        <f aca="false">Sens!$K$608</f>
        <v>44.9741164026038</v>
      </c>
      <c r="L672" s="38" t="n">
        <f aca="false">Sens!$L$608</f>
        <v>50.8413488057813</v>
      </c>
      <c r="M672" s="38" t="n">
        <f aca="false">Sens!$M$608</f>
        <v>53.6407214274315</v>
      </c>
      <c r="N672" s="38" t="n">
        <f aca="false">Sens!$N$608</f>
        <v>0</v>
      </c>
      <c r="O672" s="38" t="n">
        <f aca="false">Sens!$O$608</f>
        <v>0</v>
      </c>
      <c r="P672" s="5" t="s">
        <v>730</v>
      </c>
    </row>
    <row r="673" customFormat="false" ht="17.15" hidden="false" customHeight="false" outlineLevel="0" collapsed="false">
      <c r="A673" s="5" t="s">
        <v>731</v>
      </c>
      <c r="B673" s="0" t="s">
        <v>86</v>
      </c>
      <c r="C673" s="38" t="n">
        <f aca="false">Sens!$C$670+Sens!$C$672</f>
        <v>68.593</v>
      </c>
      <c r="D673" s="38" t="n">
        <f aca="false">Sens!$D$670+Sens!$D$672</f>
        <v>79.975</v>
      </c>
      <c r="E673" s="38" t="n">
        <f aca="false">Sens!$E$670+Sens!$E$672</f>
        <v>51.313</v>
      </c>
      <c r="F673" s="38" t="n">
        <f aca="false">Sens!$F$670+Sens!$F$672</f>
        <v>62.4769550906109</v>
      </c>
      <c r="G673" s="38" t="n">
        <f aca="false">Sens!$G$670+Sens!$G$672</f>
        <v>113.789955090611</v>
      </c>
      <c r="H673" s="38" t="n">
        <f aca="false">Sens!$H$670+Sens!$H$672</f>
        <v>163.125026309208</v>
      </c>
      <c r="I673" s="38" t="n">
        <f aca="false">Sens!$I$670+Sens!$I$672</f>
        <v>215.749405506556</v>
      </c>
      <c r="J673" s="38" t="n">
        <f aca="false">Sens!$J$670+Sens!$J$672</f>
        <v>266.989857933965</v>
      </c>
      <c r="K673" s="38" t="n">
        <f aca="false">Sens!$K$670+Sens!$K$672</f>
        <v>306.624259181943</v>
      </c>
      <c r="L673" s="38" t="n">
        <f aca="false">Sens!$L$670+Sens!$L$672</f>
        <v>337.705467473634</v>
      </c>
      <c r="M673" s="38" t="n">
        <f aca="false">Sens!$M$670+Sens!$M$672</f>
        <v>359.104974696164</v>
      </c>
      <c r="N673" s="38" t="n">
        <f aca="false">Sens!$N$670+Sens!$N$672</f>
        <v>37.576</v>
      </c>
      <c r="O673" s="38" t="n">
        <f aca="false">Sens!$O$670+Sens!$O$672</f>
        <v>42.399</v>
      </c>
    </row>
    <row r="674" customFormat="false" ht="17.15" hidden="false" customHeight="false" outlineLevel="0" collapsed="false">
      <c r="A674" s="0" t="s">
        <v>732</v>
      </c>
      <c r="B674" s="0" t="s">
        <v>52</v>
      </c>
      <c r="C674" s="13" t="n">
        <f aca="false">Sens!$C$660/Sens!$C$645</f>
        <v>0.0644314665661928</v>
      </c>
      <c r="D674" s="13" t="n">
        <f aca="false">Sens!$D$660/Sens!$D$645</f>
        <v>0.0694784250712518</v>
      </c>
      <c r="E674" s="13" t="n">
        <f aca="false">Sens!$E$660/Sens!$E$645</f>
        <v>0.0789306463326071</v>
      </c>
      <c r="F674" s="13" t="n">
        <f aca="false">Sens!$F$660/Sens!$F$645</f>
        <v>0.0801816048343386</v>
      </c>
      <c r="G674" s="13" t="n">
        <f aca="false">Sens!$G$660/Sens!$G$645</f>
        <v>0.0795940610563029</v>
      </c>
      <c r="H674" s="13" t="n">
        <f aca="false">Sens!$H$660/Sens!$H$645</f>
        <v>0.079065185003515</v>
      </c>
      <c r="I674" s="13" t="n">
        <f aca="false">Sens!$I$660/Sens!$I$645</f>
        <v>0.0775331189054153</v>
      </c>
      <c r="J674" s="13" t="n">
        <f aca="false">Sens!$J$660/Sens!$J$645</f>
        <v>0.0759847527654416</v>
      </c>
      <c r="K674" s="13" t="n">
        <f aca="false">Sens!$K$660/Sens!$K$645</f>
        <v>0.0742561235956346</v>
      </c>
      <c r="L674" s="13" t="n">
        <f aca="false">Sens!$L$660/Sens!$L$645</f>
        <v>0.0737848786343231</v>
      </c>
      <c r="M674" s="13" t="n">
        <f aca="false">Sens!$M$660/Sens!$M$645</f>
        <v>0.0759728113556281</v>
      </c>
      <c r="N674" s="13" t="n">
        <f aca="false">Sens!$N$660/Sens!$N$645</f>
        <v>0.069228576611127</v>
      </c>
      <c r="O674" s="13" t="n">
        <f aca="false">Sens!$O$660/Sens!$O$645</f>
        <v>0.069685022498393</v>
      </c>
    </row>
    <row r="675" customFormat="false" ht="17.15" hidden="false" customHeight="false" outlineLevel="0" collapsed="false">
      <c r="A675" s="0" t="s">
        <v>733</v>
      </c>
      <c r="B675" s="0" t="s">
        <v>52</v>
      </c>
      <c r="C675" s="13" t="n">
        <f aca="false">Sens!$C$665/Sens!$C$646</f>
        <v>0.026534925055631</v>
      </c>
      <c r="D675" s="13" t="n">
        <f aca="false">Sens!$D$665/Sens!$D$646</f>
        <v>0.0293401855535103</v>
      </c>
      <c r="E675" s="13" t="n">
        <f aca="false">Sens!$E$665/Sens!$E$646</f>
        <v>0.03831141902276</v>
      </c>
      <c r="F675" s="13" t="n">
        <f aca="false">Sens!$F$665/Sens!$F$646</f>
        <v>0.0281408698429728</v>
      </c>
      <c r="G675" s="13" t="n">
        <f aca="false">Sens!$G$665/Sens!$G$646</f>
        <v>0.0327820823444874</v>
      </c>
      <c r="H675" s="13" t="n">
        <f aca="false">Sens!$H$665/Sens!$H$646</f>
        <v>0.0302475689323796</v>
      </c>
      <c r="I675" s="13" t="n">
        <f aca="false">Sens!$I$665/Sens!$I$646</f>
        <v>0.0266867281794489</v>
      </c>
      <c r="J675" s="13" t="n">
        <f aca="false">Sens!$J$665/Sens!$J$646</f>
        <v>0.0230466627464705</v>
      </c>
      <c r="K675" s="13" t="n">
        <f aca="false">Sens!$K$665/Sens!$K$646</f>
        <v>0.0191217601781177</v>
      </c>
      <c r="L675" s="13" t="n">
        <f aca="false">Sens!$L$665/Sens!$L$646</f>
        <v>0.0189964904066722</v>
      </c>
      <c r="M675" s="13" t="n">
        <f aca="false">Sens!$M$665/Sens!$M$646</f>
        <v>0.0215384019167052</v>
      </c>
      <c r="N675" s="13" t="n">
        <f aca="false">Sens!$N$665/Sens!$N$646</f>
        <v>0.0357315650169337</v>
      </c>
      <c r="O675" s="13" t="n">
        <f aca="false">Sens!$O$665/Sens!$O$646</f>
        <v>0.0244378956559703</v>
      </c>
    </row>
    <row r="676" customFormat="false" ht="17.15" hidden="false" customHeight="false" outlineLevel="0" collapsed="false">
      <c r="A676" s="14" t="s">
        <v>734</v>
      </c>
      <c r="B676" s="14" t="s">
        <v>52</v>
      </c>
      <c r="C676" s="17" t="n">
        <f aca="false">Sens!$C$668/Sens!$C$647</f>
        <v>0.370355907620217</v>
      </c>
      <c r="D676" s="17" t="n">
        <f aca="false">Sens!$D$668/Sens!$D$647</f>
        <v>0.35429015342785</v>
      </c>
      <c r="E676" s="17" t="n">
        <f aca="false">Sens!$E$668/Sens!$E$647</f>
        <v>0.385647527531039</v>
      </c>
      <c r="F676" s="17" t="n">
        <f aca="false">Sens!$F$668/Sens!$F$647</f>
        <v>0.403088040637732</v>
      </c>
      <c r="G676" s="17" t="n">
        <f aca="false">Sens!$G$668/Sens!$G$647</f>
        <v>0.394858403390008</v>
      </c>
      <c r="H676" s="17" t="n">
        <f aca="false">Sens!$H$668/Sens!$H$647</f>
        <v>0.416132204206494</v>
      </c>
      <c r="I676" s="17" t="n">
        <f aca="false">Sens!$I$668/Sens!$I$647</f>
        <v>0.43384844172484</v>
      </c>
      <c r="J676" s="17" t="n">
        <f aca="false">Sens!$J$668/Sens!$J$647</f>
        <v>0.44293986594115</v>
      </c>
      <c r="K676" s="17" t="n">
        <f aca="false">Sens!$K$668/Sens!$K$647</f>
        <v>0.439772456456222</v>
      </c>
      <c r="L676" s="17" t="n">
        <f aca="false">Sens!$L$668/Sens!$L$647</f>
        <v>0.437880534723646</v>
      </c>
      <c r="M676" s="17" t="n">
        <f aca="false">Sens!$M$668/Sens!$M$647</f>
        <v>0.432779042390873</v>
      </c>
      <c r="N676" s="17" t="n">
        <f aca="false">Sens!$N$668/Sens!$N$647</f>
        <v>0.360941137346192</v>
      </c>
      <c r="O676" s="17" t="n">
        <f aca="false">Sens!$O$668/Sens!$O$647</f>
        <v>0.348458117664212</v>
      </c>
    </row>
    <row r="677" customFormat="false" ht="17.15" hidden="false" customHeight="false" outlineLevel="0" collapsed="false">
      <c r="A677" s="0" t="s">
        <v>735</v>
      </c>
      <c r="B677" s="0" t="s">
        <v>52</v>
      </c>
      <c r="C677" s="13" t="n">
        <f aca="false">Sens!$C$666/Sens!$C$648</f>
        <v>0.708390794789371</v>
      </c>
      <c r="D677" s="13" t="n">
        <f aca="false">Sens!$D$666/Sens!$D$648</f>
        <v>0.445565630441968</v>
      </c>
      <c r="E677" s="13" t="n">
        <f aca="false">Sens!$E$666/Sens!$E$648</f>
        <v>0.165998118402711</v>
      </c>
      <c r="F677" s="13" t="n">
        <f aca="false">Sens!$F$666/Sens!$F$648</f>
        <v>0.51862586831267</v>
      </c>
      <c r="G677" s="13" t="n">
        <f aca="false">Sens!$G$666/Sens!$G$648</f>
        <v>0.40354437417509</v>
      </c>
      <c r="H677" s="13" t="n">
        <f aca="false">Sens!$H$666/Sens!$H$648</f>
        <v>0.497855857778335</v>
      </c>
      <c r="I677" s="13" t="n">
        <f aca="false">Sens!$I$666/Sens!$I$648</f>
        <v>0.506793187968718</v>
      </c>
      <c r="J677" s="13" t="n">
        <f aca="false">Sens!$J$666/Sens!$J$648</f>
        <v>0.506990727488046</v>
      </c>
      <c r="K677" s="13" t="n">
        <f aca="false">Sens!$K$666/Sens!$K$648</f>
        <v>0.492105839403832</v>
      </c>
      <c r="L677" s="13" t="n">
        <f aca="false">Sens!$L$666/Sens!$L$648</f>
        <v>0.486195207173949</v>
      </c>
      <c r="M677" s="13" t="n">
        <f aca="false">Sens!$M$666/Sens!$M$648</f>
        <v>0.478150746312932</v>
      </c>
      <c r="N677" s="13" t="n">
        <f aca="false">Sens!$N$666/Sens!$N$648</f>
        <v>0.302870734830849</v>
      </c>
      <c r="O677" s="13" t="n">
        <f aca="false">Sens!$O$666/Sens!$O$648</f>
        <v>0.52240134346334</v>
      </c>
    </row>
    <row r="678" customFormat="false" ht="15" hidden="false" customHeight="false" outlineLevel="0" collapsed="false">
      <c r="A678" s="5" t="s">
        <v>736</v>
      </c>
      <c r="B678" s="0" t="s">
        <v>52</v>
      </c>
      <c r="C678" s="13" t="n">
        <f aca="false">Sens!$C$670/Sens!$C$650</f>
        <v>0.107519448742004</v>
      </c>
      <c r="D678" s="13" t="n">
        <f aca="false">Sens!$D$670/Sens!$D$650</f>
        <v>0.111552967957552</v>
      </c>
      <c r="E678" s="13" t="n">
        <f aca="false">Sens!$E$670/Sens!$E$650</f>
        <v>0.13428328426562</v>
      </c>
      <c r="F678" s="13" t="n">
        <f aca="false">Sens!$F$670/Sens!$F$650</f>
        <v>0.13471385389752</v>
      </c>
      <c r="G678" s="13" t="n">
        <f aca="false">Sens!$G$670/Sens!$G$650</f>
        <v>0.134512692119025</v>
      </c>
      <c r="H678" s="13" t="n">
        <f aca="false">Sens!$H$670/Sens!$H$650</f>
        <v>0.15402229681982</v>
      </c>
      <c r="I678" s="13" t="n">
        <f aca="false">Sens!$I$670/Sens!$I$650</f>
        <v>0.171501609310996</v>
      </c>
      <c r="J678" s="13" t="n">
        <f aca="false">Sens!$J$670/Sens!$J$650</f>
        <v>0.184499710981432</v>
      </c>
      <c r="K678" s="13" t="n">
        <f aca="false">Sens!$K$670/Sens!$K$650</f>
        <v>0.19008968915185</v>
      </c>
      <c r="L678" s="13" t="n">
        <f aca="false">Sens!$L$670/Sens!$L$650</f>
        <v>0.192825835427884</v>
      </c>
      <c r="M678" s="13" t="n">
        <f aca="false">Sens!$M$670/Sens!$M$650</f>
        <v>0.192629994563877</v>
      </c>
      <c r="N678" s="13" t="n">
        <f aca="false">Sens!$N$670/Sens!$N$650</f>
        <v>0.116201614873411</v>
      </c>
      <c r="O678" s="13" t="n">
        <f aca="false">Sens!$O$670/Sens!$O$650</f>
        <v>0.107733353660861</v>
      </c>
    </row>
    <row r="679" customFormat="false" ht="17.15" hidden="false" customHeight="false" outlineLevel="0" collapsed="false">
      <c r="A679" s="1" t="s">
        <v>737</v>
      </c>
    </row>
    <row r="680" customFormat="false" ht="17.15" hidden="false" customHeight="false" outlineLevel="0" collapsed="false">
      <c r="A680" s="5" t="s">
        <v>738</v>
      </c>
      <c r="B680" s="0" t="s">
        <v>52</v>
      </c>
      <c r="D680" s="28" t="n">
        <f aca="false">(Q!$E$29+Q!$E$30-(1-ext_sh)*Sens!$D$602)/Sens!$D$558</f>
        <v>0.0334674312393194</v>
      </c>
    </row>
    <row r="681" customFormat="false" ht="17.15" hidden="false" customHeight="false" outlineLevel="0" collapsed="false">
      <c r="A681" s="0" t="s">
        <v>535</v>
      </c>
      <c r="B681" s="0" t="s">
        <v>86</v>
      </c>
      <c r="C681" s="38" t="n">
        <f aca="false">Q!$D$29</f>
        <v>14.285</v>
      </c>
      <c r="D681" s="38" t="n">
        <f aca="false">Q!$E$29</f>
        <v>15.503</v>
      </c>
      <c r="E681" s="38" t="n">
        <f aca="false">Q!$P$29</f>
        <v>8.78</v>
      </c>
      <c r="F681" s="38" t="n">
        <f aca="false">(Sens!$D$680*Sens!$F$558+(1-ext_sh)*Sens!$F$602)*Sens!$F$559</f>
        <v>9.26148855334613</v>
      </c>
      <c r="G681" s="38" t="n">
        <f aca="false">Sens!$E$681+Sens!$F$681</f>
        <v>18.0414885533461</v>
      </c>
      <c r="H681" s="38" t="n">
        <f aca="false">(Sens!$D$680*Sens!$H$558+(1-ext_sh)*Sens!$H$602)*Sens!$H$559</f>
        <v>22.4842062630034</v>
      </c>
      <c r="I681" s="38" t="n">
        <f aca="false">(Sens!$D$680*Sens!$I$558+(1-ext_sh)*Sens!$I$602)*Sens!$I$559</f>
        <v>28.1186016385394</v>
      </c>
      <c r="J681" s="38" t="n">
        <f aca="false">(Sens!$D$680*Sens!$J$558+(1-ext_sh)*Sens!$J$602)*Sens!$J$559</f>
        <v>33.7824421522961</v>
      </c>
      <c r="K681" s="38" t="n">
        <f aca="false">(Sens!$D$680*Sens!$K$558+(1-ext_sh)*Sens!$K$602)*Sens!$K$559</f>
        <v>39.364978619322</v>
      </c>
      <c r="L681" s="38" t="n">
        <f aca="false">(Sens!$D$680*Sens!$L$558+(1-ext_sh)*Sens!$L$602)*Sens!$L$559</f>
        <v>43.531807424184</v>
      </c>
      <c r="M681" s="38" t="n">
        <f aca="false">(Sens!$D$680*Sens!$M$558+(1-ext_sh)*Sens!$M$602)*Sens!$M$559</f>
        <v>46.6858557812491</v>
      </c>
      <c r="N681" s="38" t="n">
        <f aca="false">Q!$N$29</f>
        <v>7.272</v>
      </c>
      <c r="O681" s="38" t="n">
        <f aca="false">Q!$O$29</f>
        <v>8.231</v>
      </c>
    </row>
    <row r="682" customFormat="false" ht="17.15" hidden="false" customHeight="false" outlineLevel="0" collapsed="false">
      <c r="A682" s="0" t="s">
        <v>537</v>
      </c>
      <c r="B682" s="0" t="s">
        <v>86</v>
      </c>
      <c r="C682" s="38" t="n">
        <f aca="false">Q!$D$30</f>
        <v>4.462</v>
      </c>
      <c r="D682" s="38" t="n">
        <f aca="false">Q!$E$30</f>
        <v>4.907</v>
      </c>
      <c r="E682" s="38" t="n">
        <f aca="false">Q!$P$30</f>
        <v>2.57</v>
      </c>
      <c r="F682" s="38" t="n">
        <f aca="false">(Sens!$D$680*Sens!$F$558+(1-ext_sh)*Sens!$F$602)*(1-Sens!$F$559)</f>
        <v>3.6363298961113</v>
      </c>
      <c r="G682" s="38" t="n">
        <f aca="false">Sens!$E$682+Sens!$F$682</f>
        <v>6.2063298961113</v>
      </c>
      <c r="H682" s="38" t="n">
        <f aca="false">(Sens!$D$680*Sens!$H$558+(1-ext_sh)*Sens!$H$602)*(1-Sens!$H$559)</f>
        <v>8.61139707837148</v>
      </c>
      <c r="I682" s="38" t="n">
        <f aca="false">(Sens!$D$680*Sens!$I$558+(1-ext_sh)*Sens!$I$602)*(1-Sens!$I$559)</f>
        <v>10.7693569951117</v>
      </c>
      <c r="J682" s="38" t="n">
        <f aca="false">(Sens!$D$680*Sens!$J$558+(1-ext_sh)*Sens!$J$602)*(1-Sens!$J$559)</f>
        <v>12.9385943291767</v>
      </c>
      <c r="K682" s="38" t="n">
        <f aca="false">(Sens!$D$680*Sens!$K$558+(1-ext_sh)*Sens!$K$602)*(1-Sens!$K$559)</f>
        <v>15.0766924083227</v>
      </c>
      <c r="L682" s="38" t="n">
        <f aca="false">(Sens!$D$680*Sens!$L$558+(1-ext_sh)*Sens!$L$602)*(1-Sens!$L$559)</f>
        <v>16.6725778479304</v>
      </c>
      <c r="M682" s="38" t="n">
        <f aca="false">(Sens!$D$680*Sens!$M$558+(1-ext_sh)*Sens!$M$602)*(1-Sens!$M$559)</f>
        <v>17.8805708048249</v>
      </c>
      <c r="N682" s="38" t="n">
        <f aca="false">Q!$N$30</f>
        <v>2.316</v>
      </c>
      <c r="O682" s="38" t="n">
        <f aca="false">Q!$O$30</f>
        <v>2.591</v>
      </c>
    </row>
    <row r="683" customFormat="false" ht="17.15" hidden="false" customHeight="false" outlineLevel="0" collapsed="false">
      <c r="A683" s="0" t="s">
        <v>538</v>
      </c>
      <c r="B683" s="0" t="s">
        <v>86</v>
      </c>
      <c r="C683" s="38" t="n">
        <f aca="false">Sens!$C$614</f>
        <v>13.32</v>
      </c>
      <c r="D683" s="38" t="n">
        <f aca="false">Sens!$D$614</f>
        <v>21.45</v>
      </c>
      <c r="E683" s="38" t="n">
        <f aca="false">Sens!$E$614</f>
        <v>15.353</v>
      </c>
      <c r="F683" s="38" t="n">
        <f aca="false">Sens!$F$614</f>
        <v>16.3063747611001</v>
      </c>
      <c r="G683" s="38" t="n">
        <f aca="false">Sens!$G$614</f>
        <v>31.6593747611001</v>
      </c>
      <c r="H683" s="38" t="n">
        <f aca="false">Sens!$H$614</f>
        <v>53.124242092105</v>
      </c>
      <c r="I683" s="38" t="n">
        <f aca="false">Sens!$I$614</f>
        <v>78.046828098133</v>
      </c>
      <c r="J683" s="38" t="n">
        <f aca="false">Sens!$J$614</f>
        <v>103.663976940352</v>
      </c>
      <c r="K683" s="38" t="n">
        <f aca="false">Sens!$K$614</f>
        <v>129.625086115469</v>
      </c>
      <c r="L683" s="38" t="n">
        <f aca="false">Sens!$L$614</f>
        <v>147.435052382502</v>
      </c>
      <c r="M683" s="38" t="n">
        <f aca="false">Sens!$M$614</f>
        <v>159.299754080279</v>
      </c>
      <c r="N683" s="38" t="n">
        <f aca="false">Sens!$N$614</f>
        <v>9.234</v>
      </c>
      <c r="O683" s="38" t="n">
        <f aca="false">Sens!$O$614</f>
        <v>12.216</v>
      </c>
    </row>
    <row r="684" customFormat="false" ht="17.15" hidden="false" customHeight="false" outlineLevel="0" collapsed="false">
      <c r="A684" s="5" t="s">
        <v>739</v>
      </c>
      <c r="B684" s="0" t="s">
        <v>86</v>
      </c>
      <c r="C684" s="38" t="n">
        <f aca="false">Sens!$C$681+Sens!$C$682+Sens!$C$683</f>
        <v>32.067</v>
      </c>
      <c r="D684" s="38" t="n">
        <f aca="false">Sens!$D$681+Sens!$D$682+Sens!$D$683</f>
        <v>41.86</v>
      </c>
      <c r="E684" s="38" t="n">
        <f aca="false">Sens!$E$681+Sens!$E$682+Sens!$E$683</f>
        <v>26.703</v>
      </c>
      <c r="F684" s="38" t="n">
        <f aca="false">Sens!$F$681+Sens!$F$682+Sens!$F$683</f>
        <v>29.2041932105575</v>
      </c>
      <c r="G684" s="38" t="n">
        <f aca="false">Sens!$G$681+Sens!$G$682+Sens!$G$683</f>
        <v>55.9071932105575</v>
      </c>
      <c r="H684" s="38" t="n">
        <f aca="false">Sens!$H$681+Sens!$H$682+Sens!$H$683</f>
        <v>84.2198454334799</v>
      </c>
      <c r="I684" s="38" t="n">
        <f aca="false">Sens!$I$681+Sens!$I$682+Sens!$I$683</f>
        <v>116.934786731784</v>
      </c>
      <c r="J684" s="38" t="n">
        <f aca="false">Sens!$J$681+Sens!$J$682+Sens!$J$683</f>
        <v>150.385013421825</v>
      </c>
      <c r="K684" s="38" t="n">
        <f aca="false">Sens!$K$681+Sens!$K$682+Sens!$K$683</f>
        <v>184.066757143114</v>
      </c>
      <c r="L684" s="38" t="n">
        <f aca="false">Sens!$L$681+Sens!$L$682+Sens!$L$683</f>
        <v>207.639437654617</v>
      </c>
      <c r="M684" s="38" t="n">
        <f aca="false">Sens!$M$681+Sens!$M$682+Sens!$M$683</f>
        <v>223.866180666354</v>
      </c>
      <c r="N684" s="38" t="n">
        <f aca="false">Sens!$N$681+Sens!$N$682+Sens!$N$683</f>
        <v>18.822</v>
      </c>
      <c r="O684" s="38" t="n">
        <f aca="false">Sens!$O$681+Sens!$O$682+Sens!$O$683</f>
        <v>23.038</v>
      </c>
    </row>
    <row r="685" customFormat="false" ht="17.15" hidden="false" customHeight="false" outlineLevel="0" collapsed="false">
      <c r="A685" s="0" t="s">
        <v>740</v>
      </c>
      <c r="B685" s="0" t="s">
        <v>86</v>
      </c>
      <c r="C685" s="38" t="n">
        <f aca="false">Sens!$C$656+Sens!$C$661</f>
        <v>28.107</v>
      </c>
      <c r="D685" s="38" t="n">
        <f aca="false">Sens!$D$656+Sens!$D$661</f>
        <v>34.3175</v>
      </c>
      <c r="E685" s="38" t="n">
        <f aca="false">Sens!$E$656+Sens!$E$661</f>
        <v>18.526</v>
      </c>
      <c r="F685" s="38" t="n">
        <f aca="false">Sens!$F$656+Sens!$F$661</f>
        <v>22.9064862164433</v>
      </c>
      <c r="G685" s="38" t="n">
        <f aca="false">Sens!$G$656+Sens!$G$661</f>
        <v>41.4324862164433</v>
      </c>
      <c r="H685" s="38" t="n">
        <f aca="false">Sens!$H$656+Sens!$H$661</f>
        <v>49.7418166003222</v>
      </c>
      <c r="I685" s="38" t="n">
        <f aca="false">Sens!$I$656+Sens!$I$661</f>
        <v>58.0503942682994</v>
      </c>
      <c r="J685" s="38" t="n">
        <f aca="false">Sens!$J$656+Sens!$J$661</f>
        <v>65.8011105535273</v>
      </c>
      <c r="K685" s="38" t="n">
        <f aca="false">Sens!$K$656+Sens!$K$661</f>
        <v>72.3812216088801</v>
      </c>
      <c r="L685" s="38" t="n">
        <f aca="false">Sens!$L$656+Sens!$L$661</f>
        <v>79.6193437697681</v>
      </c>
      <c r="M685" s="38" t="n">
        <f aca="false">Sens!$M$656+Sens!$M$661</f>
        <v>87.5812781467449</v>
      </c>
      <c r="N685" s="38" t="n">
        <f aca="false">Sens!$N$656+Sens!$N$661</f>
        <v>14.8075</v>
      </c>
      <c r="O685" s="38" t="n">
        <f aca="false">Sens!$O$656+Sens!$O$661</f>
        <v>19.51</v>
      </c>
    </row>
    <row r="686" customFormat="false" ht="17.15" hidden="false" customHeight="false" outlineLevel="0" collapsed="false">
      <c r="A686" s="0" t="s">
        <v>741</v>
      </c>
      <c r="B686" s="0" t="s">
        <v>86</v>
      </c>
      <c r="C686" s="38" t="n">
        <f aca="false">Sens!$C$660+Sens!$C$665+Sens!$C$681+Sens!$C$682-Sens!$C$685</f>
        <v>19.399</v>
      </c>
      <c r="D686" s="38" t="n">
        <f aca="false">Sens!$D$660+Sens!$D$665+Sens!$D$681+Sens!$D$682-Sens!$D$685</f>
        <v>20.4615</v>
      </c>
      <c r="E686" s="38" t="n">
        <f aca="false">Sens!$E$660+Sens!$E$665+Sens!$E$681+Sens!$E$682-Sens!$E$685</f>
        <v>13.355</v>
      </c>
      <c r="F686" s="38" t="n">
        <f aca="false">Sens!$F$660+Sens!$F$665+Sens!$F$681+Sens!$F$682-Sens!$F$685</f>
        <v>12.6867923197998</v>
      </c>
      <c r="G686" s="38" t="n">
        <f aca="false">Sens!$G$660+Sens!$G$665+Sens!$G$681+Sens!$G$682-Sens!$G$685</f>
        <v>26.0417923197998</v>
      </c>
      <c r="H686" s="38" t="n">
        <f aca="false">Sens!$H$660+Sens!$H$665+Sens!$H$681+Sens!$H$682-Sens!$H$685</f>
        <v>28.4298013069821</v>
      </c>
      <c r="I686" s="38" t="n">
        <f aca="false">Sens!$I$660+Sens!$I$665+Sens!$I$681+Sens!$I$682-Sens!$I$685</f>
        <v>30.6712612406867</v>
      </c>
      <c r="J686" s="38" t="n">
        <f aca="false">Sens!$J$660+Sens!$J$665+Sens!$J$681+Sens!$J$682-Sens!$J$685</f>
        <v>32.9048513207895</v>
      </c>
      <c r="K686" s="38" t="n">
        <f aca="false">Sens!$K$660+Sens!$K$665+Sens!$K$681+Sens!$K$682-Sens!$K$685</f>
        <v>35.2997153142178</v>
      </c>
      <c r="L686" s="38" t="n">
        <f aca="false">Sens!$L$660+Sens!$L$665+Sens!$L$681+Sens!$L$682-Sens!$L$685</f>
        <v>36.9248302651564</v>
      </c>
      <c r="M686" s="38" t="n">
        <f aca="false">Sens!$M$660+Sens!$M$665+Sens!$M$681+Sens!$M$682-Sens!$M$685</f>
        <v>39.3467729103126</v>
      </c>
      <c r="N686" s="38" t="n">
        <f aca="false">Sens!$N$660+Sens!$N$665+Sens!$N$681+Sens!$N$682-Sens!$N$685</f>
        <v>10.6495</v>
      </c>
      <c r="O686" s="38" t="n">
        <f aca="false">Sens!$O$660+Sens!$O$665+Sens!$O$681+Sens!$O$682-Sens!$O$685</f>
        <v>9.81200000000001</v>
      </c>
    </row>
    <row r="687" customFormat="false" ht="17.15" hidden="false" customHeight="false" outlineLevel="0" collapsed="false">
      <c r="A687" s="0" t="s">
        <v>742</v>
      </c>
      <c r="B687" s="0" t="s">
        <v>86</v>
      </c>
      <c r="C687" s="38" t="n">
        <f aca="false">Sens!$C$667+Sens!$C$683-ext_sh*Sens!$C$602</f>
        <v>51.3470500115664</v>
      </c>
      <c r="D687" s="38" t="n">
        <f aca="false">Sens!$D$667+Sens!$D$683-ext_sh*Sens!$D$602</f>
        <v>60.2799375433739</v>
      </c>
      <c r="E687" s="38" t="n">
        <f aca="false">Sens!$E$667+Sens!$E$683-ext_sh*Sens!$E$602</f>
        <v>39.5095167090767</v>
      </c>
      <c r="F687" s="38" t="n">
        <f aca="false">Sens!$F$667+Sens!$F$683-ext_sh*Sens!$F$602</f>
        <v>37.993321722478</v>
      </c>
      <c r="G687" s="38" t="n">
        <f aca="false">Sens!$G$667+Sens!$G$683-ext_sh*Sens!$G$602</f>
        <v>77.5028384315548</v>
      </c>
      <c r="H687" s="38" t="n">
        <f aca="false">Sens!$H$667+Sens!$H$683-ext_sh*Sens!$H$602</f>
        <v>85.2394217279746</v>
      </c>
      <c r="I687" s="38" t="n">
        <f aca="false">Sens!$I$667+Sens!$I$683-ext_sh*Sens!$I$602</f>
        <v>94.6373589713254</v>
      </c>
      <c r="J687" s="38" t="n">
        <f aca="false">Sens!$J$667+Sens!$J$683-ext_sh*Sens!$J$602</f>
        <v>103.639899284146</v>
      </c>
      <c r="K687" s="38" t="n">
        <f aca="false">Sens!$K$667+Sens!$K$683-ext_sh*Sens!$K$602</f>
        <v>111.931091226878</v>
      </c>
      <c r="L687" s="38" t="n">
        <f aca="false">Sens!$L$667+Sens!$L$683-ext_sh*Sens!$L$602</f>
        <v>120.885578525028</v>
      </c>
      <c r="M687" s="38" t="n">
        <f aca="false">Sens!$M$667+Sens!$M$683-ext_sh*Sens!$M$602</f>
        <v>130.55642480703</v>
      </c>
      <c r="N687" s="38" t="n">
        <f aca="false">Sens!$N$667+Sens!$N$683-ext_sh*Sens!$N$602</f>
        <v>28.5693781401809</v>
      </c>
      <c r="O687" s="38" t="n">
        <f aca="false">Sens!$O$667+Sens!$O$683-ext_sh*Sens!$O$602</f>
        <v>31.7105594031931</v>
      </c>
    </row>
    <row r="688" customFormat="false" ht="17.15" hidden="false" customHeight="false" outlineLevel="0" collapsed="false">
      <c r="A688" s="0" t="s">
        <v>743</v>
      </c>
      <c r="B688" s="0" t="s">
        <v>86</v>
      </c>
      <c r="C688" s="38" t="n">
        <f aca="false">Sens!$C$605</f>
        <v>1.80694998843362</v>
      </c>
      <c r="D688" s="38" t="n">
        <f aca="false">Sens!$D$605</f>
        <v>6.77606245662607</v>
      </c>
      <c r="E688" s="38" t="n">
        <f aca="false">Sens!$E$605</f>
        <v>6.62548329092326</v>
      </c>
      <c r="F688" s="38" t="n">
        <f aca="false">Sens!$F$605</f>
        <v>14.3233275606891</v>
      </c>
      <c r="G688" s="38" t="n">
        <f aca="false">Sens!$G$605</f>
        <v>20.9488108516123</v>
      </c>
      <c r="H688" s="38" t="n">
        <f aca="false">Sens!$H$605</f>
        <v>68.7702777464201</v>
      </c>
      <c r="I688" s="38" t="n">
        <f aca="false">Sens!$I$605</f>
        <v>123.743293396039</v>
      </c>
      <c r="J688" s="38" t="n">
        <f aca="false">Sens!$J$605</f>
        <v>178.982447779414</v>
      </c>
      <c r="K688" s="38" t="n">
        <f aca="false">Sens!$K$605</f>
        <v>226.104871772476</v>
      </c>
      <c r="L688" s="38" t="n">
        <f aca="false">Sens!$L$605</f>
        <v>257.073803762517</v>
      </c>
      <c r="M688" s="38" t="n">
        <f aca="false">Sens!$M$605</f>
        <v>271.845958070998</v>
      </c>
      <c r="N688" s="38" t="n">
        <f aca="false">Sens!$N$605</f>
        <v>2.37162185981912</v>
      </c>
      <c r="O688" s="38" t="n">
        <f aca="false">Sens!$O$605</f>
        <v>4.40444059680694</v>
      </c>
    </row>
    <row r="689" customFormat="false" ht="17.15" hidden="false" customHeight="false" outlineLevel="0" collapsed="false">
      <c r="A689" s="0" t="s">
        <v>744</v>
      </c>
      <c r="B689" s="0" t="s">
        <v>86</v>
      </c>
      <c r="C689" s="38" t="n">
        <f aca="false">Sens!$C$670+Sens!$C$684</f>
        <v>100.66</v>
      </c>
      <c r="D689" s="38" t="n">
        <f aca="false">Sens!$D$670+Sens!$D$684</f>
        <v>121.835</v>
      </c>
      <c r="E689" s="38" t="n">
        <f aca="false">Sens!$E$670+Sens!$E$684</f>
        <v>78.016</v>
      </c>
      <c r="F689" s="38" t="n">
        <f aca="false">Sens!$F$670+Sens!$F$684</f>
        <v>87.9099278194102</v>
      </c>
      <c r="G689" s="38" t="n">
        <f aca="false">Sens!$G$670+Sens!$G$684</f>
        <v>165.92592781941</v>
      </c>
      <c r="H689" s="38" t="n">
        <f aca="false">Sens!$H$670+Sens!$H$684</f>
        <v>232.181317381699</v>
      </c>
      <c r="I689" s="38" t="n">
        <f aca="false">Sens!$I$670+Sens!$I$684</f>
        <v>307.102307876351</v>
      </c>
      <c r="J689" s="38" t="n">
        <f aca="false">Sens!$J$670+Sens!$J$684</f>
        <v>381.328308937878</v>
      </c>
      <c r="K689" s="38" t="n">
        <f aca="false">Sens!$K$670+Sens!$K$684</f>
        <v>445.716899922452</v>
      </c>
      <c r="L689" s="38" t="n">
        <f aca="false">Sens!$L$670+Sens!$L$684</f>
        <v>494.50355632247</v>
      </c>
      <c r="M689" s="38" t="n">
        <f aca="false">Sens!$M$670+Sens!$M$684</f>
        <v>529.330433935086</v>
      </c>
      <c r="N689" s="38" t="n">
        <f aca="false">Sens!$N$670+Sens!$N$684</f>
        <v>56.398</v>
      </c>
      <c r="O689" s="38" t="n">
        <f aca="false">Sens!$O$670+Sens!$O$684</f>
        <v>65.437</v>
      </c>
    </row>
    <row r="690" customFormat="false" ht="17.15" hidden="false" customHeight="false" outlineLevel="0" collapsed="false">
      <c r="A690" s="1" t="s">
        <v>745</v>
      </c>
    </row>
    <row r="691" customFormat="false" ht="15" hidden="false" customHeight="false" outlineLevel="0" collapsed="false">
      <c r="A691" s="5" t="s">
        <v>541</v>
      </c>
      <c r="B691" s="0" t="s">
        <v>86</v>
      </c>
      <c r="C691" s="38" t="n">
        <f aca="false">Q!$D$34</f>
        <v>2.406</v>
      </c>
      <c r="D691" s="38" t="n">
        <f aca="false">Q!$E$34</f>
        <v>2.274</v>
      </c>
      <c r="E691" s="38" t="n">
        <f aca="false">Q!$P$34</f>
        <v>2.114</v>
      </c>
      <c r="F691" s="38" t="n">
        <f aca="false">Sens!$F$729</f>
        <v>3.24888962733561</v>
      </c>
      <c r="G691" s="38" t="n">
        <f aca="false">Sens!$E$691+Sens!$F$691</f>
        <v>5.36288962733561</v>
      </c>
      <c r="H691" s="38" t="n">
        <f aca="false">Sens!$H$729</f>
        <v>7.42354172302123</v>
      </c>
      <c r="I691" s="38" t="n">
        <f aca="false">Sens!$I$729</f>
        <v>7.42354172302123</v>
      </c>
      <c r="J691" s="38" t="n">
        <f aca="false">Sens!$J$729</f>
        <v>7.42354172302123</v>
      </c>
      <c r="K691" s="38" t="n">
        <f aca="false">Sens!$K$729</f>
        <v>7.42354172302123</v>
      </c>
      <c r="L691" s="38" t="n">
        <f aca="false">Sens!$L$729</f>
        <v>7.42354172302123</v>
      </c>
      <c r="M691" s="38" t="n">
        <f aca="false">Sens!$M$729</f>
        <v>7.42354172302123</v>
      </c>
      <c r="N691" s="38" t="n">
        <f aca="false">Q!$N$34</f>
        <v>1.057</v>
      </c>
      <c r="O691" s="38" t="n">
        <f aca="false">Q!$O$34</f>
        <v>1.217</v>
      </c>
    </row>
    <row r="692" customFormat="false" ht="15" hidden="false" customHeight="false" outlineLevel="0" collapsed="false">
      <c r="A692" s="5" t="s">
        <v>746</v>
      </c>
      <c r="B692" s="0" t="s">
        <v>86</v>
      </c>
      <c r="F692" s="38" t="n">
        <f aca="false">Sens!$F$730</f>
        <v>2.59</v>
      </c>
      <c r="H692" s="38" t="n">
        <f aca="false">Sens!$H$730</f>
        <v>3.88826685895841</v>
      </c>
      <c r="I692" s="38" t="n">
        <f aca="false">Sens!$I$730</f>
        <v>2.3807044823614</v>
      </c>
      <c r="J692" s="38" t="n">
        <f aca="false">Sens!$J$730</f>
        <v>3.32530907537622</v>
      </c>
      <c r="K692" s="38" t="n">
        <f aca="false">Sens!$K$730</f>
        <v>6.83401361670412</v>
      </c>
      <c r="L692" s="38" t="n">
        <f aca="false">Sens!$L$730</f>
        <v>15.1791597207371</v>
      </c>
      <c r="M692" s="38" t="n">
        <f aca="false">Sens!$M$730</f>
        <v>26.5476913768186</v>
      </c>
    </row>
    <row r="693" customFormat="false" ht="17.15" hidden="false" customHeight="false" outlineLevel="0" collapsed="false">
      <c r="A693" s="5" t="s">
        <v>747</v>
      </c>
      <c r="B693" s="0" t="s">
        <v>86</v>
      </c>
      <c r="C693" s="38" t="n">
        <f aca="false">Q!$D$39</f>
        <v>2.427</v>
      </c>
      <c r="D693" s="38" t="n">
        <f aca="false">Q!$E$39</f>
        <v>19.61</v>
      </c>
      <c r="E693" s="38" t="n">
        <f aca="false">Q!$P$39</f>
        <v>71.492</v>
      </c>
      <c r="F693" s="39" t="n">
        <v>0</v>
      </c>
      <c r="G693" s="38" t="n">
        <f aca="false">Sens!$E$693+Sens!$F$693</f>
        <v>71.492</v>
      </c>
      <c r="H693" s="39" t="n">
        <v>0</v>
      </c>
      <c r="I693" s="39" t="n">
        <v>0</v>
      </c>
      <c r="J693" s="39" t="n">
        <v>0</v>
      </c>
      <c r="K693" s="39" t="n">
        <v>0</v>
      </c>
      <c r="L693" s="39" t="n">
        <v>0</v>
      </c>
      <c r="M693" s="39" t="n">
        <v>0</v>
      </c>
      <c r="N693" s="38" t="n">
        <f aca="false">Q!$N$39</f>
        <v>6.017</v>
      </c>
      <c r="O693" s="38" t="n">
        <f aca="false">Q!$O$39</f>
        <v>13.593</v>
      </c>
      <c r="P693" s="5" t="s">
        <v>748</v>
      </c>
    </row>
    <row r="694" customFormat="false" ht="15" hidden="false" customHeight="false" outlineLevel="0" collapsed="false">
      <c r="A694" s="5" t="s">
        <v>544</v>
      </c>
      <c r="B694" s="0" t="s">
        <v>86</v>
      </c>
      <c r="C694" s="38" t="n">
        <f aca="false">Q!$D$36</f>
        <v>68.614</v>
      </c>
      <c r="D694" s="38" t="n">
        <f aca="false">Q!$E$36</f>
        <v>97.311</v>
      </c>
      <c r="E694" s="38" t="n">
        <f aca="false">Q!$P$36</f>
        <v>120.691</v>
      </c>
      <c r="F694" s="38" t="n">
        <f aca="false">Sens!$F$670-Sens!$F$691+Sens!$F$692+Sens!$F$693</f>
        <v>58.0468449815171</v>
      </c>
      <c r="G694" s="38" t="n">
        <f aca="false">Sens!$E$694+Sens!$F$694</f>
        <v>178.737844981517</v>
      </c>
      <c r="H694" s="38" t="n">
        <f aca="false">Sens!$H$670-Sens!$H$691+Sens!$H$692+Sens!$H$693</f>
        <v>144.426197084156</v>
      </c>
      <c r="I694" s="38" t="n">
        <f aca="false">Sens!$I$670-Sens!$I$691+Sens!$I$692+Sens!$I$693</f>
        <v>185.124683903907</v>
      </c>
      <c r="J694" s="38" t="n">
        <f aca="false">Sens!$J$670-Sens!$J$691+Sens!$J$692+Sens!$J$693</f>
        <v>226.845062868408</v>
      </c>
      <c r="K694" s="38" t="n">
        <f aca="false">Sens!$K$670-Sens!$K$691+Sens!$K$692+Sens!$K$693</f>
        <v>261.060614673022</v>
      </c>
      <c r="L694" s="38" t="n">
        <f aca="false">Sens!$L$670-Sens!$L$691+Sens!$L$692+Sens!$L$693</f>
        <v>294.619736665569</v>
      </c>
      <c r="M694" s="38" t="n">
        <f aca="false">Sens!$M$670-Sens!$M$691+Sens!$M$692+Sens!$M$693</f>
        <v>324.588402922529</v>
      </c>
      <c r="N694" s="38" t="n">
        <f aca="false">Q!$N$36</f>
        <v>42.536</v>
      </c>
      <c r="O694" s="38" t="n">
        <f aca="false">Q!$O$36</f>
        <v>54.775</v>
      </c>
    </row>
    <row r="695" customFormat="false" ht="15" hidden="false" customHeight="false" outlineLevel="0" collapsed="false">
      <c r="A695" s="5" t="s">
        <v>545</v>
      </c>
      <c r="B695" s="0" t="s">
        <v>86</v>
      </c>
      <c r="C695" s="38" t="n">
        <f aca="false">Q!$D$37</f>
        <v>9.265</v>
      </c>
      <c r="D695" s="38" t="n">
        <f aca="false">Q!$E$37</f>
        <v>19.087</v>
      </c>
      <c r="E695" s="38" t="n">
        <f aca="false">Q!$P$37</f>
        <v>27.759</v>
      </c>
      <c r="F695" s="38" t="n">
        <f aca="false">Sens!$F$694*tax</f>
        <v>10.0760341079607</v>
      </c>
      <c r="G695" s="38" t="n">
        <f aca="false">Sens!$E$695+Sens!$F$695</f>
        <v>37.8350341079607</v>
      </c>
      <c r="H695" s="38" t="n">
        <f aca="false">Sens!$H$694*tax</f>
        <v>25.0701530525283</v>
      </c>
      <c r="I695" s="38" t="n">
        <f aca="false">Sens!$I$694*tax</f>
        <v>32.1347806213267</v>
      </c>
      <c r="J695" s="38" t="n">
        <f aca="false">Sens!$J$694*tax</f>
        <v>39.3767928543294</v>
      </c>
      <c r="K695" s="38" t="n">
        <f aca="false">Sens!$K$694*tax</f>
        <v>45.3160832174105</v>
      </c>
      <c r="L695" s="38" t="n">
        <f aca="false">Sens!$L$694*tax</f>
        <v>51.141427522304</v>
      </c>
      <c r="M695" s="38" t="n">
        <f aca="false">Sens!$M$694*tax</f>
        <v>56.343524267982</v>
      </c>
      <c r="N695" s="38" t="n">
        <f aca="false">Q!$N$37</f>
        <v>7.231</v>
      </c>
      <c r="O695" s="38" t="n">
        <f aca="false">Q!$O$37</f>
        <v>11.856</v>
      </c>
    </row>
    <row r="696" customFormat="false" ht="15" hidden="false" customHeight="false" outlineLevel="0" collapsed="false">
      <c r="A696" s="3" t="s">
        <v>546</v>
      </c>
      <c r="B696" s="8" t="s">
        <v>86</v>
      </c>
      <c r="C696" s="38" t="n">
        <f aca="false">Q!$D$38</f>
        <v>59.248</v>
      </c>
      <c r="D696" s="38" t="n">
        <f aca="false">Q!$E$38</f>
        <v>77.67</v>
      </c>
      <c r="E696" s="38" t="n">
        <f aca="false">Q!$P$38</f>
        <v>92.902</v>
      </c>
      <c r="F696" s="38" t="n">
        <f aca="false">Sens!$F$694-Sens!$F$695</f>
        <v>47.9708108735564</v>
      </c>
      <c r="G696" s="38" t="n">
        <f aca="false">Sens!$E$696+Sens!$F$696</f>
        <v>140.872810873556</v>
      </c>
      <c r="H696" s="38" t="n">
        <f aca="false">Sens!$H$694-Sens!$H$695</f>
        <v>119.356044031628</v>
      </c>
      <c r="I696" s="38" t="n">
        <f aca="false">Sens!$I$694-Sens!$I$695</f>
        <v>152.98990328258</v>
      </c>
      <c r="J696" s="38" t="n">
        <f aca="false">Sens!$J$694-Sens!$J$695</f>
        <v>187.468270014079</v>
      </c>
      <c r="K696" s="38" t="n">
        <f aca="false">Sens!$K$694-Sens!$K$695</f>
        <v>215.744531455611</v>
      </c>
      <c r="L696" s="38" t="n">
        <f aca="false">Sens!$L$694-Sens!$L$695</f>
        <v>243.478309143265</v>
      </c>
      <c r="M696" s="38" t="n">
        <f aca="false">Sens!$M$694-Sens!$M$695</f>
        <v>268.244878654547</v>
      </c>
      <c r="N696" s="38" t="n">
        <f aca="false">Q!$N$38</f>
        <v>35.291</v>
      </c>
      <c r="O696" s="38" t="n">
        <f aca="false">Q!$O$38</f>
        <v>42.379</v>
      </c>
    </row>
    <row r="697" customFormat="false" ht="17.15" hidden="false" customHeight="false" outlineLevel="0" collapsed="false">
      <c r="A697" s="5" t="s">
        <v>549</v>
      </c>
      <c r="B697" s="5" t="s">
        <v>33</v>
      </c>
      <c r="C697" s="22" t="n">
        <f aca="false">Q!$D$41</f>
        <v>10.721</v>
      </c>
      <c r="D697" s="22" t="n">
        <f aca="false">Q!$E$41</f>
        <v>10.827</v>
      </c>
      <c r="E697" s="22" t="n">
        <f aca="false">(Q!$L$41+Q!$M$41)/2</f>
        <v>10.8885</v>
      </c>
      <c r="F697" s="22" t="n">
        <f aca="false">Sens!$G$697</f>
        <v>10.924806</v>
      </c>
      <c r="G697" s="22" t="n">
        <f aca="false">Q!$M$41*(1+sh_g*0.25)</f>
        <v>10.924806</v>
      </c>
      <c r="H697" s="22" t="n">
        <f aca="false">Sens!$G$697*(1+sh_g)</f>
        <v>11.012204448</v>
      </c>
      <c r="I697" s="22" t="n">
        <f aca="false">Sens!$H$697*(1+sh_g)</f>
        <v>11.100302083584</v>
      </c>
      <c r="J697" s="22" t="n">
        <f aca="false">Sens!$I$697*(1+sh_g)</f>
        <v>11.1891045002527</v>
      </c>
      <c r="K697" s="22" t="n">
        <f aca="false">Sens!$J$697*(1+sh_g)</f>
        <v>11.2786173362547</v>
      </c>
      <c r="L697" s="22" t="n">
        <f aca="false">Sens!$K$697*(1+sh_g)</f>
        <v>11.3688462749447</v>
      </c>
      <c r="M697" s="22" t="n">
        <f aca="false">Sens!$L$697*(1+sh_g)</f>
        <v>11.4597970451443</v>
      </c>
      <c r="P697" s="5" t="s">
        <v>749</v>
      </c>
    </row>
    <row r="698" customFormat="false" ht="17.15" hidden="false" customHeight="false" outlineLevel="0" collapsed="false">
      <c r="A698" s="5" t="s">
        <v>750</v>
      </c>
      <c r="B698" s="0" t="s">
        <v>86</v>
      </c>
      <c r="C698" s="38" t="n">
        <f aca="false">Sens!$C$696+Sens!$C$672*(1-tax)</f>
        <v>59.248</v>
      </c>
      <c r="D698" s="38" t="n">
        <f aca="false">Sens!$D$696+Sens!$D$672*(1-tax)</f>
        <v>77.67</v>
      </c>
      <c r="E698" s="38" t="n">
        <f aca="false">Sens!$E$696+Sens!$E$672*(1-tax)</f>
        <v>92.902</v>
      </c>
      <c r="F698" s="38" t="n">
        <f aca="false">Sens!$F$696+Sens!$F$672*(1-tax)</f>
        <v>51.087405833205</v>
      </c>
      <c r="G698" s="38" t="n">
        <f aca="false">Sens!$G$696+Sens!$G$672*(1-tax)</f>
        <v>143.989405833205</v>
      </c>
      <c r="H698" s="38" t="n">
        <f aca="false">Sens!$H$696+Sens!$H$672*(1-tax)</f>
        <v>131.887439986973</v>
      </c>
      <c r="I698" s="38" t="n">
        <f aca="false">Sens!$I$696+Sens!$I$672*(1-tax)</f>
        <v>174.131168357519</v>
      </c>
      <c r="J698" s="38" t="n">
        <f aca="false">Sens!$J$696+Sens!$J$672*(1-tax)</f>
        <v>217.257706958362</v>
      </c>
      <c r="K698" s="38" t="n">
        <f aca="false">Sens!$K$696+Sens!$K$672*(1-tax)</f>
        <v>252.91183715227</v>
      </c>
      <c r="L698" s="38" t="n">
        <f aca="false">Sens!$L$696+Sens!$L$672*(1-tax)</f>
        <v>285.49438648382</v>
      </c>
      <c r="M698" s="38" t="n">
        <f aca="false">Sens!$M$696+Sens!$M$672*(1-tax)</f>
        <v>312.574400845388</v>
      </c>
      <c r="N698" s="38" t="n">
        <f aca="false">Sens!$N$696+Sens!$N$672*(1-tax)</f>
        <v>35.291</v>
      </c>
      <c r="O698" s="38" t="n">
        <f aca="false">Sens!$O$696+Sens!$O$672*(1-tax)</f>
        <v>42.379</v>
      </c>
    </row>
    <row r="699" customFormat="false" ht="17.15" hidden="false" customHeight="false" outlineLevel="0" collapsed="false">
      <c r="A699" s="43" t="s">
        <v>751</v>
      </c>
      <c r="B699" s="14" t="s">
        <v>27</v>
      </c>
      <c r="C699" s="44" t="n">
        <f aca="false">Sens!$C$698/Sens!$C$697</f>
        <v>5.52635015390355</v>
      </c>
      <c r="D699" s="44" t="n">
        <f aca="false">Sens!$D$698/Sens!$D$697</f>
        <v>7.1737323358271</v>
      </c>
      <c r="E699" s="44" t="n">
        <f aca="false">Sens!$E$698/Sens!$E$697</f>
        <v>8.53212104513937</v>
      </c>
      <c r="F699" s="14"/>
      <c r="G699" s="44" t="n">
        <f aca="false">Sens!$G$698/Sens!$G$697</f>
        <v>13.1800423580249</v>
      </c>
      <c r="H699" s="44" t="n">
        <f aca="false">Sens!$H$698/Sens!$H$697</f>
        <v>11.9764794242379</v>
      </c>
      <c r="I699" s="44" t="n">
        <f aca="false">Sens!$I$698/Sens!$I$697</f>
        <v>15.6870657254489</v>
      </c>
      <c r="J699" s="44" t="n">
        <f aca="false">Sens!$J$698/Sens!$J$697</f>
        <v>19.4168985510374</v>
      </c>
      <c r="K699" s="44" t="n">
        <f aca="false">Sens!$K$698/Sens!$K$697</f>
        <v>22.4240108172918</v>
      </c>
      <c r="L699" s="44" t="n">
        <f aca="false">Sens!$L$698/Sens!$L$697</f>
        <v>25.1119928600853</v>
      </c>
      <c r="M699" s="44" t="n">
        <f aca="false">Sens!$M$698/Sens!$M$697</f>
        <v>27.2757361770059</v>
      </c>
      <c r="N699" s="14"/>
      <c r="O699" s="14"/>
    </row>
    <row r="700" customFormat="false" ht="17.15" hidden="false" customHeight="false" outlineLevel="0" collapsed="false">
      <c r="A700" s="0" t="s">
        <v>752</v>
      </c>
      <c r="B700" s="0" t="s">
        <v>27</v>
      </c>
      <c r="C700" s="30" t="n">
        <f aca="false">Sens!$C$696/Sens!$C$697</f>
        <v>5.52635015390355</v>
      </c>
      <c r="D700" s="30" t="n">
        <f aca="false">Sens!$D$696/Sens!$D$697</f>
        <v>7.1737323358271</v>
      </c>
      <c r="E700" s="30" t="n">
        <f aca="false">Sens!$E$696/Sens!$E$697</f>
        <v>8.53212104513937</v>
      </c>
      <c r="G700" s="30" t="n">
        <f aca="false">Sens!$G$696/Sens!$G$697</f>
        <v>12.8947654423846</v>
      </c>
      <c r="H700" s="30" t="n">
        <f aca="false">Sens!$H$696/Sens!$H$697</f>
        <v>10.8385241660951</v>
      </c>
      <c r="I700" s="30" t="n">
        <f aca="false">Sens!$I$696/Sens!$I$697</f>
        <v>13.78249908251</v>
      </c>
      <c r="J700" s="30" t="n">
        <f aca="false">Sens!$J$696/Sens!$J$697</f>
        <v>16.7545374171673</v>
      </c>
      <c r="K700" s="30" t="n">
        <f aca="false">Sens!$K$696/Sens!$K$697</f>
        <v>19.1286329718899</v>
      </c>
      <c r="L700" s="30" t="n">
        <f aca="false">Sens!$L$696/Sens!$L$697</f>
        <v>21.4162724391705</v>
      </c>
      <c r="M700" s="30" t="n">
        <f aca="false">Sens!$M$696/Sens!$M$697</f>
        <v>23.4074720169854</v>
      </c>
    </row>
    <row r="701" customFormat="false" ht="17.15" hidden="false" customHeight="false" outlineLevel="0" collapsed="false">
      <c r="A701" s="0" t="s">
        <v>753</v>
      </c>
      <c r="B701" s="0" t="s">
        <v>27</v>
      </c>
      <c r="C701" s="30" t="n">
        <f aca="false">(Sens!$C$696-Sens!$C$693*(1-tax))/Sens!$C$697</f>
        <v>5.33926775917445</v>
      </c>
      <c r="D701" s="30" t="n">
        <f aca="false">(Sens!$D$696-Sens!$D$693*(1-tax))/Sens!$D$697</f>
        <v>5.67691812755503</v>
      </c>
      <c r="E701" s="30" t="n">
        <f aca="false">(Sens!$E$696-Sens!$E$693*(1-tax))/Sens!$E$697</f>
        <v>3.10602057006846</v>
      </c>
      <c r="G701" s="30" t="n">
        <f aca="false">(Sens!$G$696-Sens!$G$693*(1-tax))/Sens!$G$697</f>
        <v>7.48669732448766</v>
      </c>
      <c r="H701" s="30" t="n">
        <f aca="false">(Sens!$H$696-Sens!$H$693*(1-tax))/Sens!$H$697</f>
        <v>10.8385241660951</v>
      </c>
      <c r="I701" s="30" t="n">
        <f aca="false">(Sens!$I$696-Sens!$I$693*(1-tax))/Sens!$I$697</f>
        <v>13.78249908251</v>
      </c>
      <c r="J701" s="30" t="n">
        <f aca="false">(Sens!$J$696-Sens!$J$693*(1-tax))/Sens!$J$697</f>
        <v>16.7545374171673</v>
      </c>
      <c r="K701" s="30" t="n">
        <f aca="false">(Sens!$K$696-Sens!$K$693*(1-tax))/Sens!$K$697</f>
        <v>19.1286329718899</v>
      </c>
      <c r="L701" s="30" t="n">
        <f aca="false">(Sens!$L$696-Sens!$L$693*(1-tax))/Sens!$L$697</f>
        <v>21.4162724391705</v>
      </c>
      <c r="M701" s="30" t="n">
        <f aca="false">(Sens!$M$696-Sens!$M$693*(1-tax))/Sens!$M$697</f>
        <v>23.4074720169854</v>
      </c>
      <c r="P701" s="5" t="s">
        <v>754</v>
      </c>
    </row>
    <row r="702" customFormat="false" ht="17.15" hidden="false" customHeight="false" outlineLevel="0" collapsed="false">
      <c r="A702" s="0" t="s">
        <v>755</v>
      </c>
      <c r="B702" s="0" t="s">
        <v>52</v>
      </c>
      <c r="H702" s="13" t="n">
        <f aca="false">Sens!$H$699/Sens!$G$699-1</f>
        <v>-0.0913170763107791</v>
      </c>
      <c r="I702" s="13" t="n">
        <f aca="false">Sens!$I$699/Sens!$H$699-1</f>
        <v>0.309822792639844</v>
      </c>
      <c r="J702" s="13" t="n">
        <f aca="false">Sens!$J$699/Sens!$I$699-1</f>
        <v>0.237764849772871</v>
      </c>
      <c r="K702" s="13" t="n">
        <f aca="false">Sens!$K$699/Sens!$J$699-1</f>
        <v>0.154870885190556</v>
      </c>
      <c r="L702" s="13" t="n">
        <f aca="false">Sens!$L$699/Sens!$K$699-1</f>
        <v>0.11987070755071</v>
      </c>
      <c r="M702" s="13" t="n">
        <f aca="false">Sens!$M$699/Sens!$L$699-1</f>
        <v>0.0861637437130602</v>
      </c>
    </row>
    <row r="705" customFormat="false" ht="19.4" hidden="false" customHeight="false" outlineLevel="0" collapsed="false">
      <c r="A705" s="31" t="s">
        <v>1140</v>
      </c>
    </row>
    <row r="706" customFormat="false" ht="17.15" hidden="false" customHeight="false" outlineLevel="0" collapsed="false">
      <c r="A706" s="6" t="s">
        <v>16</v>
      </c>
      <c r="B706" s="6" t="s">
        <v>17</v>
      </c>
      <c r="C706" s="20" t="s">
        <v>494</v>
      </c>
      <c r="D706" s="20" t="s">
        <v>495</v>
      </c>
      <c r="E706" s="20" t="s">
        <v>577</v>
      </c>
      <c r="F706" s="20" t="s">
        <v>578</v>
      </c>
      <c r="G706" s="20" t="s">
        <v>579</v>
      </c>
      <c r="H706" s="20" t="s">
        <v>580</v>
      </c>
      <c r="I706" s="20" t="s">
        <v>581</v>
      </c>
      <c r="J706" s="20" t="s">
        <v>582</v>
      </c>
      <c r="K706" s="20" t="s">
        <v>583</v>
      </c>
      <c r="L706" s="20" t="s">
        <v>584</v>
      </c>
      <c r="M706" s="20" t="s">
        <v>585</v>
      </c>
      <c r="N706" s="20" t="s">
        <v>586</v>
      </c>
      <c r="O706" s="20" t="s">
        <v>587</v>
      </c>
      <c r="P706" s="6" t="s">
        <v>23</v>
      </c>
      <c r="R706" s="20" t="n">
        <v>2023</v>
      </c>
      <c r="S706" s="20" t="n">
        <v>2024</v>
      </c>
      <c r="T706" s="20" t="n">
        <v>2025</v>
      </c>
      <c r="U706" s="20" t="n">
        <v>2026</v>
      </c>
      <c r="V706" s="20" t="n">
        <v>2027</v>
      </c>
      <c r="W706" s="20" t="n">
        <v>2028</v>
      </c>
      <c r="X706" s="20" t="n">
        <v>2029</v>
      </c>
      <c r="Y706" s="20" t="n">
        <v>2030</v>
      </c>
      <c r="Z706" s="20" t="n">
        <v>2031</v>
      </c>
      <c r="AA706" s="20" t="n">
        <v>2032</v>
      </c>
    </row>
    <row r="707" customFormat="false" ht="15" hidden="false" customHeight="false" outlineLevel="0" collapsed="false">
      <c r="A707" s="5" t="s">
        <v>546</v>
      </c>
      <c r="B707" s="0" t="s">
        <v>86</v>
      </c>
      <c r="C707" s="38" t="n">
        <f aca="false">Sens!$C$696</f>
        <v>59.248</v>
      </c>
      <c r="D707" s="38" t="n">
        <f aca="false">Sens!$D$696</f>
        <v>77.67</v>
      </c>
      <c r="E707" s="38" t="n">
        <f aca="false">Sens!$E$696</f>
        <v>92.902</v>
      </c>
      <c r="F707" s="38" t="n">
        <f aca="false">Sens!$F$696</f>
        <v>47.9708108735564</v>
      </c>
      <c r="G707" s="38" t="n">
        <f aca="false">Sens!$G$696</f>
        <v>140.872810873556</v>
      </c>
      <c r="H707" s="38" t="n">
        <f aca="false">Sens!$H$696</f>
        <v>119.356044031628</v>
      </c>
      <c r="I707" s="38" t="n">
        <f aca="false">Sens!$I$696</f>
        <v>152.98990328258</v>
      </c>
      <c r="J707" s="38" t="n">
        <f aca="false">Sens!$J$696</f>
        <v>187.468270014079</v>
      </c>
      <c r="K707" s="38" t="n">
        <f aca="false">Sens!$K$696</f>
        <v>215.744531455611</v>
      </c>
      <c r="L707" s="38" t="n">
        <f aca="false">Sens!$L$696</f>
        <v>243.478309143265</v>
      </c>
      <c r="M707" s="38" t="n">
        <f aca="false">Sens!$M$696</f>
        <v>268.244878654547</v>
      </c>
    </row>
    <row r="708" customFormat="false" ht="17.15" hidden="false" customHeight="false" outlineLevel="0" collapsed="false">
      <c r="A708" s="5" t="s">
        <v>778</v>
      </c>
      <c r="B708" s="0" t="s">
        <v>86</v>
      </c>
      <c r="C708" s="38" t="n">
        <f aca="false">Sens!$C$684</f>
        <v>32.067</v>
      </c>
      <c r="D708" s="38" t="n">
        <f aca="false">Sens!$D$684</f>
        <v>41.86</v>
      </c>
      <c r="E708" s="38" t="n">
        <f aca="false">Sens!$E$684</f>
        <v>26.703</v>
      </c>
      <c r="F708" s="38" t="n">
        <f aca="false">Sens!$F$684</f>
        <v>29.2041932105575</v>
      </c>
      <c r="G708" s="38" t="n">
        <f aca="false">Sens!$G$684</f>
        <v>55.9071932105575</v>
      </c>
      <c r="H708" s="38" t="n">
        <f aca="false">Sens!$H$684</f>
        <v>84.2198454334799</v>
      </c>
      <c r="I708" s="38" t="n">
        <f aca="false">Sens!$I$684</f>
        <v>116.934786731784</v>
      </c>
      <c r="J708" s="38" t="n">
        <f aca="false">Sens!$J$684</f>
        <v>150.385013421825</v>
      </c>
      <c r="K708" s="38" t="n">
        <f aca="false">Sens!$K$684</f>
        <v>184.066757143114</v>
      </c>
      <c r="L708" s="38" t="n">
        <f aca="false">Sens!$L$684</f>
        <v>207.639437654617</v>
      </c>
      <c r="M708" s="38" t="n">
        <f aca="false">Sens!$M$684</f>
        <v>223.866180666354</v>
      </c>
    </row>
    <row r="709" customFormat="false" ht="15" hidden="false" customHeight="false" outlineLevel="0" collapsed="false">
      <c r="A709" s="5" t="s">
        <v>779</v>
      </c>
      <c r="B709" s="0" t="s">
        <v>86</v>
      </c>
      <c r="C709" s="38" t="n">
        <f aca="false">Q!$D$48</f>
        <v>22.011</v>
      </c>
      <c r="D709" s="38" t="n">
        <f aca="false">Q!$E$48</f>
        <v>19.467</v>
      </c>
      <c r="E709" s="38" t="n">
        <f aca="false">Q!$P$48</f>
        <v>10.07</v>
      </c>
      <c r="F709" s="38" t="n">
        <f aca="false">sbc_r*Sens!$F$626</f>
        <v>10.8507035798037</v>
      </c>
      <c r="G709" s="38" t="n">
        <f aca="false">Sens!$E$709+Sens!$F$709</f>
        <v>20.9207035798037</v>
      </c>
      <c r="H709" s="38" t="n">
        <f aca="false">sbc_r*Sens!$H$626</f>
        <v>23.9196423069536</v>
      </c>
      <c r="I709" s="38" t="n">
        <f aca="false">sbc_r*Sens!$I$626</f>
        <v>27.609451511233</v>
      </c>
      <c r="J709" s="38" t="n">
        <f aca="false">sbc_r*Sens!$J$626</f>
        <v>31.1673086551273</v>
      </c>
      <c r="K709" s="38" t="n">
        <f aca="false">sbc_r*Sens!$K$626</f>
        <v>34.2729943074704</v>
      </c>
      <c r="L709" s="38" t="n">
        <f aca="false">sbc_r*Sens!$L$626</f>
        <v>37.0425299885111</v>
      </c>
      <c r="M709" s="38" t="n">
        <f aca="false">sbc_r*Sens!$M$626</f>
        <v>39.4844520511627</v>
      </c>
    </row>
    <row r="710" customFormat="false" ht="17.15" hidden="false" customHeight="false" outlineLevel="0" collapsed="false">
      <c r="A710" s="5" t="s">
        <v>780</v>
      </c>
      <c r="B710" s="0" t="s">
        <v>86</v>
      </c>
      <c r="C710" s="38" t="n">
        <f aca="false">Q!$D$44-Sens!$C$707-Sens!$C$708-Sens!$C$709</f>
        <v>2.551</v>
      </c>
      <c r="D710" s="38" t="n">
        <f aca="false">Q!$E$44-Sens!$D$707-Sens!$D$708-Sens!$D$709</f>
        <v>0.51700000000001</v>
      </c>
      <c r="E710" s="38" t="n">
        <f aca="false">Q!$P$44-Sens!$E$707-Sens!$E$708-Sens!$E$709</f>
        <v>-58.256</v>
      </c>
      <c r="F710" s="38" t="n">
        <f aca="false">oth_r*Sens!$F$626</f>
        <v>5.22265251035878</v>
      </c>
      <c r="G710" s="38" t="n">
        <f aca="false">Sens!$E$710+Sens!$F$710</f>
        <v>-53.0333474896412</v>
      </c>
      <c r="H710" s="38" t="n">
        <f aca="false">oth_r*Sens!$H$626</f>
        <v>11.512984298439</v>
      </c>
      <c r="I710" s="38" t="n">
        <f aca="false">oth_r*Sens!$I$626</f>
        <v>13.2889604977467</v>
      </c>
      <c r="J710" s="38" t="n">
        <f aca="false">oth_r*Sens!$J$626</f>
        <v>15.0014256302975</v>
      </c>
      <c r="K710" s="38" t="n">
        <f aca="false">oth_r*Sens!$K$626</f>
        <v>16.496251919607</v>
      </c>
      <c r="L710" s="38" t="n">
        <f aca="false">oth_r*Sens!$L$626</f>
        <v>17.8292827567997</v>
      </c>
      <c r="M710" s="38" t="n">
        <f aca="false">oth_r*Sens!$M$626</f>
        <v>19.0046268528586</v>
      </c>
      <c r="P710" s="8" t="s">
        <v>781</v>
      </c>
    </row>
    <row r="711" customFormat="false" ht="15" hidden="false" customHeight="false" outlineLevel="0" collapsed="false">
      <c r="A711" s="3" t="s">
        <v>552</v>
      </c>
      <c r="B711" s="8" t="s">
        <v>86</v>
      </c>
      <c r="C711" s="38" t="n">
        <f aca="false">Q!$D$44</f>
        <v>115.877</v>
      </c>
      <c r="D711" s="38" t="n">
        <f aca="false">Q!$E$44</f>
        <v>139.514</v>
      </c>
      <c r="E711" s="38" t="n">
        <f aca="false">Q!$P$44</f>
        <v>71.419</v>
      </c>
      <c r="F711" s="38" t="n">
        <f aca="false">Sens!$F$707+Sens!$F$708+Sens!$F$709+Sens!$F$710</f>
        <v>93.2483601742763</v>
      </c>
      <c r="G711" s="38" t="n">
        <f aca="false">Sens!$E$711+Sens!$F$711</f>
        <v>164.667360174276</v>
      </c>
      <c r="H711" s="38" t="n">
        <f aca="false">Sens!$H$707+Sens!$H$708+Sens!$H$709+Sens!$H$710</f>
        <v>239.0085160705</v>
      </c>
      <c r="I711" s="38" t="n">
        <f aca="false">Sens!$I$707+Sens!$I$708+Sens!$I$709+Sens!$I$710</f>
        <v>310.823102023344</v>
      </c>
      <c r="J711" s="38" t="n">
        <f aca="false">Sens!$J$707+Sens!$J$708+Sens!$J$709+Sens!$J$710</f>
        <v>384.022017721328</v>
      </c>
      <c r="K711" s="38" t="n">
        <f aca="false">Sens!$K$707+Sens!$K$708+Sens!$K$709+Sens!$K$710</f>
        <v>450.580534825802</v>
      </c>
      <c r="L711" s="38" t="n">
        <f aca="false">Sens!$L$707+Sens!$L$708+Sens!$L$709+Sens!$L$710</f>
        <v>505.989559543192</v>
      </c>
      <c r="M711" s="38" t="n">
        <f aca="false">Sens!$M$707+Sens!$M$708+Sens!$M$709+Sens!$M$710</f>
        <v>550.600138224922</v>
      </c>
    </row>
    <row r="712" customFormat="false" ht="17.15" hidden="false" customHeight="false" outlineLevel="0" collapsed="false">
      <c r="A712" s="5" t="s">
        <v>782</v>
      </c>
      <c r="B712" s="0" t="s">
        <v>86</v>
      </c>
      <c r="C712" s="38" t="n">
        <f aca="false">Sens!$C$595</f>
        <v>25.2781053077374</v>
      </c>
      <c r="D712" s="38" t="n">
        <f aca="false">Sens!$D$595</f>
        <v>69.5686316310026</v>
      </c>
      <c r="E712" s="38" t="n">
        <f aca="false">Sens!$E$595</f>
        <v>64.1899206485108</v>
      </c>
      <c r="F712" s="38" t="n">
        <f aca="false">Sens!$F$595</f>
        <v>96.2481299895</v>
      </c>
      <c r="G712" s="38" t="n">
        <f aca="false">Sens!$G$595</f>
        <v>160.438050638011</v>
      </c>
      <c r="H712" s="38" t="n">
        <f aca="false">Sens!$H$595</f>
        <v>198.57136494475</v>
      </c>
      <c r="I712" s="38" t="n">
        <f aca="false">Sens!$I$595</f>
        <v>204.6464699105</v>
      </c>
      <c r="J712" s="38" t="n">
        <f aca="false">Sens!$J$595</f>
        <v>209.8832381105</v>
      </c>
      <c r="K712" s="38" t="n">
        <f aca="false">Sens!$K$595</f>
        <v>155.238385275201</v>
      </c>
      <c r="L712" s="38" t="n">
        <f aca="false">Sens!$L$595</f>
        <v>132.014141639902</v>
      </c>
      <c r="M712" s="38" t="n">
        <f aca="false">Sens!$M$595</f>
        <v>132.230981659852</v>
      </c>
    </row>
    <row r="713" customFormat="false" ht="17.15" hidden="false" customHeight="false" outlineLevel="0" collapsed="false">
      <c r="A713" s="5" t="s">
        <v>783</v>
      </c>
      <c r="B713" s="0" t="s">
        <v>86</v>
      </c>
      <c r="C713" s="38" t="n">
        <f aca="false">cx_awso*Sens!$C$624</f>
        <v>21.0469989286053</v>
      </c>
      <c r="D713" s="38" t="n">
        <f aca="false">cx_awso*Sens!$D$624</f>
        <v>24.0042459822698</v>
      </c>
      <c r="E713" s="38" t="n">
        <f aca="false">cx_awso*Sens!$E$624</f>
        <v>14.261729404886</v>
      </c>
      <c r="F713" s="38" t="n">
        <f aca="false">cx_awso*Sens!$F$624</f>
        <v>14.3538599588493</v>
      </c>
      <c r="G713" s="38" t="n">
        <f aca="false">Sens!$E$713+Sens!$F$713</f>
        <v>28.6155893637353</v>
      </c>
      <c r="H713" s="38" t="n">
        <f aca="false">cx_awso*Sens!$H$624</f>
        <v>32.2034154158406</v>
      </c>
      <c r="I713" s="38" t="n">
        <f aca="false">cx_awso*Sens!$I$624</f>
        <v>35.7539519042915</v>
      </c>
      <c r="J713" s="38" t="n">
        <f aca="false">cx_awso*Sens!$J$624</f>
        <v>39.1551076091815</v>
      </c>
      <c r="K713" s="38" t="n">
        <f aca="false">cx_awso*Sens!$K$624</f>
        <v>42.287516217916</v>
      </c>
      <c r="L713" s="38" t="n">
        <f aca="false">cx_awso*Sens!$L$624</f>
        <v>45.6705175153492</v>
      </c>
      <c r="M713" s="38" t="n">
        <f aca="false">cx_awso*Sens!$M$624</f>
        <v>49.3241589165772</v>
      </c>
    </row>
    <row r="714" customFormat="false" ht="17.15" hidden="false" customHeight="false" outlineLevel="0" collapsed="false">
      <c r="A714" s="5" t="s">
        <v>784</v>
      </c>
      <c r="B714" s="0" t="s">
        <v>86</v>
      </c>
      <c r="C714" s="38" t="n">
        <f aca="false">Q!$D$46-Sens!$C$712-Sens!$C$713</f>
        <v>31.3328957636573</v>
      </c>
      <c r="D714" s="38" t="n">
        <f aca="false">Q!$E$46-Sens!$D$712-Sens!$D$713</f>
        <v>34.7471223867276</v>
      </c>
      <c r="E714" s="38" t="n">
        <f aca="false">Q!$P$46-Sens!$E$712-Sens!$E$713</f>
        <v>17.8583499466032</v>
      </c>
      <c r="F714" s="38" t="n">
        <f aca="false">cx_rt*Sens!$F$558</f>
        <v>20.4658046603717</v>
      </c>
      <c r="G714" s="38" t="n">
        <f aca="false">Sens!$E$714+Sens!$F$714</f>
        <v>38.3241546069749</v>
      </c>
      <c r="H714" s="38" t="n">
        <f aca="false">cx_rt*Sens!$H$558</f>
        <v>42.4275738513988</v>
      </c>
      <c r="I714" s="38" t="n">
        <f aca="false">cx_rt*Sens!$I$558</f>
        <v>46.3950683001148</v>
      </c>
      <c r="J714" s="38" t="n">
        <f aca="false">cx_rt*Sens!$J$558</f>
        <v>50.077001320404</v>
      </c>
      <c r="K714" s="38" t="n">
        <f aca="false">cx_rt*Sens!$K$558</f>
        <v>53.317021548359</v>
      </c>
      <c r="L714" s="38" t="n">
        <f aca="false">cx_rt*Sens!$L$558</f>
        <v>56.7834773535506</v>
      </c>
      <c r="M714" s="38" t="n">
        <f aca="false">cx_rt*Sens!$M$558</f>
        <v>60.4934043089792</v>
      </c>
    </row>
    <row r="715" customFormat="false" ht="15" hidden="false" customHeight="false" outlineLevel="0" collapsed="false">
      <c r="A715" s="3" t="s">
        <v>785</v>
      </c>
      <c r="B715" s="8" t="s">
        <v>86</v>
      </c>
      <c r="C715" s="38" t="n">
        <f aca="false">Q!$D$46</f>
        <v>77.658</v>
      </c>
      <c r="D715" s="38" t="n">
        <f aca="false">Q!$E$46</f>
        <v>128.32</v>
      </c>
      <c r="E715" s="38" t="n">
        <f aca="false">Q!$P$46</f>
        <v>96.31</v>
      </c>
      <c r="F715" s="38" t="n">
        <f aca="false">Sens!$F$712+Sens!$F$713+Sens!$F$714</f>
        <v>131.067794608721</v>
      </c>
      <c r="G715" s="38" t="n">
        <f aca="false">Sens!$E$715+Sens!$F$715</f>
        <v>227.377794608721</v>
      </c>
      <c r="H715" s="38" t="n">
        <f aca="false">Sens!$H$712+Sens!$H$713+Sens!$H$714</f>
        <v>273.20235421199</v>
      </c>
      <c r="I715" s="38" t="n">
        <f aca="false">Sens!$I$712+Sens!$I$713+Sens!$I$714</f>
        <v>286.795490114906</v>
      </c>
      <c r="J715" s="38" t="n">
        <f aca="false">Sens!$J$712+Sens!$J$713+Sens!$J$714</f>
        <v>299.115347040085</v>
      </c>
      <c r="K715" s="38" t="n">
        <f aca="false">Sens!$K$712+Sens!$K$713+Sens!$K$714</f>
        <v>250.842923041476</v>
      </c>
      <c r="L715" s="38" t="n">
        <f aca="false">Sens!$L$712+Sens!$L$713+Sens!$L$714</f>
        <v>234.468136508802</v>
      </c>
      <c r="M715" s="38" t="n">
        <f aca="false">Sens!$M$712+Sens!$M$713+Sens!$M$714</f>
        <v>242.048544885409</v>
      </c>
    </row>
    <row r="716" customFormat="false" ht="17.15" hidden="false" customHeight="false" outlineLevel="0" collapsed="false">
      <c r="A716" s="5" t="s">
        <v>560</v>
      </c>
      <c r="B716" s="0" t="s">
        <v>86</v>
      </c>
      <c r="C716" s="38" t="n">
        <f aca="false">Q!$D$50</f>
        <v>2.043</v>
      </c>
      <c r="D716" s="38" t="n">
        <f aca="false">Q!$E$50</f>
        <v>1.557</v>
      </c>
      <c r="E716" s="38" t="n">
        <f aca="false">lease_pr/2</f>
        <v>0.8</v>
      </c>
      <c r="F716" s="38" t="n">
        <f aca="false">lease_pr/2</f>
        <v>0.8</v>
      </c>
      <c r="G716" s="38" t="n">
        <f aca="false">Sens!$E$716+Sens!$F$716</f>
        <v>1.6</v>
      </c>
      <c r="H716" s="38" t="n">
        <f aca="false">lease_pr</f>
        <v>1.6</v>
      </c>
      <c r="I716" s="38" t="n">
        <f aca="false">lease_pr</f>
        <v>1.6</v>
      </c>
      <c r="J716" s="38" t="n">
        <f aca="false">lease_pr</f>
        <v>1.6</v>
      </c>
      <c r="K716" s="38" t="n">
        <f aca="false">lease_pr</f>
        <v>1.6</v>
      </c>
      <c r="L716" s="38" t="n">
        <f aca="false">lease_pr</f>
        <v>1.6</v>
      </c>
      <c r="M716" s="38" t="n">
        <f aca="false">lease_pr</f>
        <v>1.6</v>
      </c>
      <c r="P716" s="8" t="s">
        <v>786</v>
      </c>
    </row>
    <row r="717" customFormat="false" ht="15" hidden="false" customHeight="false" outlineLevel="0" collapsed="false">
      <c r="A717" s="47" t="s">
        <v>787</v>
      </c>
      <c r="B717" s="14" t="s">
        <v>86</v>
      </c>
      <c r="C717" s="48" t="n">
        <f aca="false">Sens!$C$711-Sens!$C$715-Sens!$C$716</f>
        <v>36.176</v>
      </c>
      <c r="D717" s="48" t="n">
        <f aca="false">Sens!$D$711-Sens!$D$715-Sens!$D$716</f>
        <v>9.63700000000002</v>
      </c>
      <c r="E717" s="48" t="n">
        <f aca="false">Sens!$E$711-Sens!$E$715-Sens!$E$716</f>
        <v>-25.691</v>
      </c>
      <c r="F717" s="48" t="n">
        <f aca="false">Sens!$F$711-Sens!$F$715-Sens!$F$716</f>
        <v>-38.6194344344446</v>
      </c>
      <c r="G717" s="48" t="n">
        <f aca="false">Sens!$G$711-Sens!$G$715-Sens!$G$716</f>
        <v>-64.3104344344446</v>
      </c>
      <c r="H717" s="48" t="n">
        <f aca="false">Sens!$H$711-Sens!$H$715-Sens!$H$716</f>
        <v>-35.793838141489</v>
      </c>
      <c r="I717" s="48" t="n">
        <f aca="false">Sens!$I$711-Sens!$I$715-Sens!$I$716</f>
        <v>22.4276119084376</v>
      </c>
      <c r="J717" s="48" t="n">
        <f aca="false">Sens!$J$711-Sens!$J$715-Sens!$J$716</f>
        <v>83.3066706812425</v>
      </c>
      <c r="K717" s="48" t="n">
        <f aca="false">Sens!$K$711-Sens!$K$715-Sens!$K$716</f>
        <v>198.137611784326</v>
      </c>
      <c r="L717" s="48" t="n">
        <f aca="false">Sens!$L$711-Sens!$L$715-Sens!$L$716</f>
        <v>269.921423034391</v>
      </c>
      <c r="M717" s="48" t="n">
        <f aca="false">Sens!$M$711-Sens!$M$715-Sens!$M$716</f>
        <v>306.951593339513</v>
      </c>
      <c r="N717" s="14"/>
      <c r="O717" s="14"/>
    </row>
    <row r="718" customFormat="false" ht="17.15" hidden="false" customHeight="false" outlineLevel="0" collapsed="false">
      <c r="A718" s="5" t="s">
        <v>788</v>
      </c>
      <c r="B718" s="0" t="s">
        <v>86</v>
      </c>
      <c r="C718" s="38" t="n">
        <f aca="false">dps*Sens!$C$697</f>
        <v>0</v>
      </c>
      <c r="D718" s="38" t="n">
        <f aca="false">dps*Sens!$D$697</f>
        <v>0</v>
      </c>
      <c r="E718" s="38" t="n">
        <f aca="false">dps*Sens!$E$697</f>
        <v>0</v>
      </c>
      <c r="F718" s="38" t="n">
        <f aca="false">0</f>
        <v>0</v>
      </c>
      <c r="G718" s="38" t="n">
        <f aca="false">dps*Sens!$G$697</f>
        <v>0</v>
      </c>
      <c r="H718" s="38" t="n">
        <f aca="false">dps*Sens!$H$697</f>
        <v>0</v>
      </c>
      <c r="I718" s="38" t="n">
        <f aca="false">dps*Sens!$I$697</f>
        <v>0</v>
      </c>
      <c r="J718" s="38" t="n">
        <f aca="false">dps*Sens!$J$697</f>
        <v>0</v>
      </c>
      <c r="K718" s="38" t="n">
        <f aca="false">dps*Sens!$K$697</f>
        <v>0</v>
      </c>
      <c r="L718" s="38" t="n">
        <f aca="false">dps*Sens!$L$697</f>
        <v>0</v>
      </c>
      <c r="M718" s="38" t="n">
        <f aca="false">dps*Sens!$M$697</f>
        <v>0</v>
      </c>
      <c r="P718" s="8" t="s">
        <v>789</v>
      </c>
    </row>
    <row r="719" customFormat="false" ht="17.15" hidden="false" customHeight="false" outlineLevel="0" collapsed="false">
      <c r="A719" s="5" t="s">
        <v>790</v>
      </c>
      <c r="B719" s="0" t="s">
        <v>86</v>
      </c>
      <c r="C719" s="38" t="n">
        <f aca="false">0</f>
        <v>0</v>
      </c>
      <c r="D719" s="38" t="n">
        <f aca="false">0</f>
        <v>0</v>
      </c>
      <c r="E719" s="38" t="n">
        <f aca="false">0</f>
        <v>0</v>
      </c>
      <c r="F719" s="38" t="n">
        <f aca="false">0</f>
        <v>0</v>
      </c>
      <c r="G719" s="38" t="n">
        <f aca="false">0</f>
        <v>0</v>
      </c>
      <c r="H719" s="38" t="n">
        <f aca="false">0</f>
        <v>0</v>
      </c>
      <c r="I719" s="38" t="n">
        <f aca="false">0</f>
        <v>0</v>
      </c>
      <c r="J719" s="38" t="n">
        <f aca="false">0</f>
        <v>0</v>
      </c>
      <c r="K719" s="38" t="n">
        <f aca="false">0</f>
        <v>0</v>
      </c>
      <c r="L719" s="38" t="n">
        <f aca="false">0</f>
        <v>0</v>
      </c>
      <c r="M719" s="38" t="n">
        <f aca="false">0</f>
        <v>0</v>
      </c>
      <c r="P719" s="8" t="s">
        <v>791</v>
      </c>
    </row>
    <row r="720" customFormat="false" ht="15" hidden="false" customHeight="false" outlineLevel="0" collapsed="false">
      <c r="A720" s="3" t="s">
        <v>792</v>
      </c>
      <c r="B720" s="8" t="s">
        <v>86</v>
      </c>
      <c r="C720" s="38" t="n">
        <f aca="false">Sens!$C$717-Sens!$C$718</f>
        <v>36.176</v>
      </c>
      <c r="D720" s="38" t="n">
        <f aca="false">Sens!$D$717-Sens!$D$718</f>
        <v>9.63700000000002</v>
      </c>
      <c r="E720" s="38" t="n">
        <f aca="false">Sens!$E$717-Sens!$E$718</f>
        <v>-25.691</v>
      </c>
      <c r="F720" s="38" t="n">
        <f aca="false">Sens!$F$717-Sens!$F$718</f>
        <v>-38.6194344344446</v>
      </c>
      <c r="G720" s="38" t="n">
        <f aca="false">Sens!$G$717-Sens!$G$718</f>
        <v>-64.3104344344446</v>
      </c>
      <c r="H720" s="38" t="n">
        <f aca="false">Sens!$H$717-Sens!$H$718</f>
        <v>-35.793838141489</v>
      </c>
      <c r="I720" s="38" t="n">
        <f aca="false">Sens!$I$717-Sens!$I$718</f>
        <v>22.4276119084376</v>
      </c>
      <c r="J720" s="38" t="n">
        <f aca="false">Sens!$J$717-Sens!$J$718</f>
        <v>83.3066706812425</v>
      </c>
      <c r="K720" s="38" t="n">
        <f aca="false">Sens!$K$717-Sens!$K$718</f>
        <v>198.137611784326</v>
      </c>
      <c r="L720" s="38" t="n">
        <f aca="false">Sens!$L$717-Sens!$L$718</f>
        <v>269.921423034391</v>
      </c>
      <c r="M720" s="38" t="n">
        <f aca="false">Sens!$M$717-Sens!$M$718</f>
        <v>306.951593339513</v>
      </c>
    </row>
    <row r="721" customFormat="false" ht="17.15" hidden="false" customHeight="false" outlineLevel="0" collapsed="false">
      <c r="A721" s="5" t="s">
        <v>793</v>
      </c>
      <c r="B721" s="0" t="s">
        <v>86</v>
      </c>
      <c r="E721" s="38" t="n">
        <f aca="false">Q!$P$53</f>
        <v>39.767</v>
      </c>
      <c r="F721" s="38" t="n">
        <f aca="false">inv_2h26</f>
        <v>21.3</v>
      </c>
      <c r="G721" s="38" t="n">
        <f aca="false">Sens!$E$721+Sens!$F$721</f>
        <v>61.067</v>
      </c>
      <c r="H721" s="39" t="n">
        <v>0</v>
      </c>
      <c r="I721" s="39" t="n">
        <v>0</v>
      </c>
      <c r="J721" s="39" t="n">
        <v>0</v>
      </c>
      <c r="K721" s="39" t="n">
        <v>0</v>
      </c>
      <c r="L721" s="39" t="n">
        <v>0</v>
      </c>
      <c r="M721" s="39" t="n">
        <v>0</v>
      </c>
    </row>
    <row r="722" customFormat="false" ht="17.15" hidden="false" customHeight="false" outlineLevel="0" collapsed="false">
      <c r="A722" s="5" t="s">
        <v>794</v>
      </c>
      <c r="B722" s="0" t="s">
        <v>86</v>
      </c>
      <c r="F722" s="38" t="n">
        <f aca="false">iss_2h26</f>
        <v>29.249999</v>
      </c>
      <c r="G722" s="38" t="n">
        <f aca="false">Sens!$F$722</f>
        <v>29.249999</v>
      </c>
      <c r="H722" s="39" t="n">
        <v>0</v>
      </c>
      <c r="I722" s="39" t="n">
        <v>0</v>
      </c>
      <c r="J722" s="39" t="n">
        <v>0</v>
      </c>
      <c r="K722" s="39" t="n">
        <v>0</v>
      </c>
      <c r="L722" s="39" t="n">
        <v>0</v>
      </c>
      <c r="M722" s="39" t="n">
        <v>0</v>
      </c>
    </row>
    <row r="723" customFormat="false" ht="17.15" hidden="false" customHeight="false" outlineLevel="0" collapsed="false">
      <c r="A723" s="5" t="s">
        <v>795</v>
      </c>
      <c r="B723" s="0" t="s">
        <v>86</v>
      </c>
      <c r="F723" s="38" t="n">
        <f aca="false">cash_q2</f>
        <v>122.988</v>
      </c>
      <c r="G723" s="38" t="n">
        <f aca="false">cash_q2</f>
        <v>122.988</v>
      </c>
      <c r="H723" s="38" t="n">
        <f aca="false">Sens!$G$726</f>
        <v>92.3185645655554</v>
      </c>
      <c r="I723" s="38" t="n">
        <f aca="false">Sens!$H$726</f>
        <v>56.5247264240664</v>
      </c>
      <c r="J723" s="38" t="n">
        <f aca="false">Sens!$I$726</f>
        <v>78.952338332504</v>
      </c>
      <c r="K723" s="38" t="n">
        <f aca="false">Sens!$J$726</f>
        <v>162.259009013746</v>
      </c>
      <c r="L723" s="38" t="n">
        <f aca="false">Sens!$K$726</f>
        <v>360.396620798073</v>
      </c>
      <c r="M723" s="38" t="n">
        <f aca="false">Sens!$L$726</f>
        <v>630.318043832463</v>
      </c>
    </row>
    <row r="724" customFormat="false" ht="15" hidden="false" customHeight="false" outlineLevel="0" collapsed="false">
      <c r="A724" s="5" t="s">
        <v>796</v>
      </c>
      <c r="B724" s="0" t="s">
        <v>86</v>
      </c>
      <c r="F724" s="38" t="n">
        <f aca="false">Sens!$F$723+Sens!$F$720-Sens!$F$719-Sens!$F$721+Sens!$F$722</f>
        <v>92.3185645655554</v>
      </c>
      <c r="H724" s="38" t="n">
        <f aca="false">Sens!$H$723+Sens!$H$720-Sens!$H$719-Sens!$H$721+Sens!$H$722</f>
        <v>56.5247264240664</v>
      </c>
      <c r="I724" s="38" t="n">
        <f aca="false">Sens!$I$723+Sens!$I$720-Sens!$I$719-Sens!$I$721+Sens!$I$722</f>
        <v>78.952338332504</v>
      </c>
      <c r="J724" s="38" t="n">
        <f aca="false">Sens!$J$723+Sens!$J$720-Sens!$J$719-Sens!$J$721+Sens!$J$722</f>
        <v>162.259009013746</v>
      </c>
      <c r="K724" s="38" t="n">
        <f aca="false">Sens!$K$723+Sens!$K$720-Sens!$K$719-Sens!$K$721+Sens!$K$722</f>
        <v>360.396620798073</v>
      </c>
      <c r="L724" s="38" t="n">
        <f aca="false">Sens!$L$723+Sens!$L$720-Sens!$L$719-Sens!$L$721+Sens!$L$722</f>
        <v>630.318043832463</v>
      </c>
      <c r="M724" s="38" t="n">
        <f aca="false">Sens!$M$723+Sens!$M$720-Sens!$M$719-Sens!$M$721+Sens!$M$722</f>
        <v>937.269637171977</v>
      </c>
    </row>
    <row r="725" customFormat="false" ht="17.15" hidden="false" customHeight="false" outlineLevel="0" collapsed="false">
      <c r="A725" s="5" t="s">
        <v>797</v>
      </c>
      <c r="B725" s="0" t="s">
        <v>86</v>
      </c>
      <c r="F725" s="38" t="n">
        <f aca="false">MAX(0,min_cash-Sens!$F$724)</f>
        <v>0</v>
      </c>
      <c r="G725" s="38" t="n">
        <f aca="false">Sens!$F$725</f>
        <v>0</v>
      </c>
      <c r="H725" s="38" t="n">
        <f aca="false">MAX(0,min_cash-Sens!$H$724)</f>
        <v>0</v>
      </c>
      <c r="I725" s="38" t="n">
        <f aca="false">MAX(0,min_cash-Sens!$I$724)</f>
        <v>0</v>
      </c>
      <c r="J725" s="38" t="n">
        <f aca="false">MAX(0,min_cash-Sens!$J$724)</f>
        <v>0</v>
      </c>
      <c r="K725" s="38" t="n">
        <f aca="false">MAX(0,min_cash-Sens!$K$724)</f>
        <v>0</v>
      </c>
      <c r="L725" s="38" t="n">
        <f aca="false">MAX(0,min_cash-Sens!$L$724)</f>
        <v>0</v>
      </c>
      <c r="M725" s="38" t="n">
        <f aca="false">MAX(0,min_cash-Sens!$M$724)</f>
        <v>0</v>
      </c>
      <c r="P725" s="5" t="s">
        <v>798</v>
      </c>
    </row>
    <row r="726" customFormat="false" ht="15" hidden="false" customHeight="false" outlineLevel="0" collapsed="false">
      <c r="A726" s="5" t="s">
        <v>799</v>
      </c>
      <c r="B726" s="0" t="s">
        <v>86</v>
      </c>
      <c r="D726" s="38" t="n">
        <f aca="false">Q!$E$61</f>
        <v>123.029</v>
      </c>
      <c r="E726" s="38" t="n">
        <f aca="false">Q!$M$61</f>
        <v>122.988</v>
      </c>
      <c r="F726" s="38" t="n">
        <f aca="false">Sens!$F$724+Sens!$F$725</f>
        <v>92.3185645655554</v>
      </c>
      <c r="G726" s="38" t="n">
        <f aca="false">Sens!$F$726</f>
        <v>92.3185645655554</v>
      </c>
      <c r="H726" s="38" t="n">
        <f aca="false">Sens!$H$724+Sens!$H$725</f>
        <v>56.5247264240664</v>
      </c>
      <c r="I726" s="38" t="n">
        <f aca="false">Sens!$I$724+Sens!$I$725</f>
        <v>78.952338332504</v>
      </c>
      <c r="J726" s="38" t="n">
        <f aca="false">Sens!$J$724+Sens!$J$725</f>
        <v>162.259009013746</v>
      </c>
      <c r="K726" s="38" t="n">
        <f aca="false">Sens!$K$724+Sens!$K$725</f>
        <v>360.396620798073</v>
      </c>
      <c r="L726" s="38" t="n">
        <f aca="false">Sens!$L$724+Sens!$L$725</f>
        <v>630.318043832463</v>
      </c>
      <c r="M726" s="38" t="n">
        <f aca="false">Sens!$M$724+Sens!$M$725</f>
        <v>937.269637171977</v>
      </c>
    </row>
    <row r="727" customFormat="false" ht="15" hidden="false" customHeight="false" outlineLevel="0" collapsed="false">
      <c r="A727" s="5" t="s">
        <v>800</v>
      </c>
      <c r="B727" s="0" t="s">
        <v>86</v>
      </c>
      <c r="D727" s="38" t="n">
        <f aca="false">Q!$E$62</f>
        <v>68.836</v>
      </c>
      <c r="E727" s="38" t="n">
        <f aca="false">Q!$M$62</f>
        <v>132.995</v>
      </c>
      <c r="F727" s="38" t="n">
        <f aca="false">debt_q2+Sens!$F$722+Sens!$F$725</f>
        <v>162.244999</v>
      </c>
      <c r="G727" s="38" t="n">
        <f aca="false">Sens!$F$727</f>
        <v>162.244999</v>
      </c>
      <c r="H727" s="38" t="n">
        <f aca="false">Sens!$G$727+Sens!$H$725</f>
        <v>162.244999</v>
      </c>
      <c r="I727" s="38" t="n">
        <f aca="false">Sens!$H$727+Sens!$I$725</f>
        <v>162.244999</v>
      </c>
      <c r="J727" s="38" t="n">
        <f aca="false">Sens!$I$727+Sens!$J$725</f>
        <v>162.244999</v>
      </c>
      <c r="K727" s="38" t="n">
        <f aca="false">Sens!$J$727+Sens!$K$725</f>
        <v>162.244999</v>
      </c>
      <c r="L727" s="38" t="n">
        <f aca="false">Sens!$K$727+Sens!$L$725</f>
        <v>162.244999</v>
      </c>
      <c r="M727" s="38" t="n">
        <f aca="false">Sens!$L$727+Sens!$M$725</f>
        <v>162.244999</v>
      </c>
    </row>
    <row r="728" customFormat="false" ht="15" hidden="false" customHeight="false" outlineLevel="0" collapsed="false">
      <c r="A728" s="5" t="s">
        <v>801</v>
      </c>
      <c r="B728" s="0" t="s">
        <v>86</v>
      </c>
      <c r="D728" s="38" t="n">
        <f aca="false">Sens!$D$727-Sens!$D$726</f>
        <v>-54.193</v>
      </c>
      <c r="E728" s="38" t="n">
        <f aca="false">Sens!$E$727-Sens!$E$726</f>
        <v>10.007</v>
      </c>
      <c r="F728" s="38" t="n">
        <f aca="false">Sens!$F$727-Sens!$F$726</f>
        <v>69.9264344344446</v>
      </c>
      <c r="G728" s="38" t="n">
        <f aca="false">Sens!$G$727-Sens!$G$726</f>
        <v>69.9264344344446</v>
      </c>
      <c r="H728" s="38" t="n">
        <f aca="false">Sens!$H$727-Sens!$H$726</f>
        <v>105.720272575934</v>
      </c>
      <c r="I728" s="38" t="n">
        <f aca="false">Sens!$I$727-Sens!$I$726</f>
        <v>83.292660667496</v>
      </c>
      <c r="J728" s="38" t="n">
        <f aca="false">Sens!$J$727-Sens!$J$726</f>
        <v>-0.0140100137464287</v>
      </c>
      <c r="K728" s="38" t="n">
        <f aca="false">Sens!$K$727-Sens!$K$726</f>
        <v>-198.151621798073</v>
      </c>
      <c r="L728" s="38" t="n">
        <f aca="false">Sens!$L$727-Sens!$L$726</f>
        <v>-468.073044832463</v>
      </c>
      <c r="M728" s="38" t="n">
        <f aca="false">Sens!$M$727-Sens!$M$726</f>
        <v>-775.024638171977</v>
      </c>
    </row>
    <row r="729" customFormat="false" ht="17.15" hidden="false" customHeight="false" outlineLevel="0" collapsed="false">
      <c r="A729" s="5" t="s">
        <v>802</v>
      </c>
      <c r="B729" s="0" t="s">
        <v>86</v>
      </c>
      <c r="F729" s="38" t="n">
        <f aca="false">debt_q2*kd_book*0.5+iss_2h26*kd_new*iss_t</f>
        <v>3.24888962733561</v>
      </c>
      <c r="H729" s="38" t="n">
        <f aca="false">debt_q2*kd_book+(Sens!$G$727-debt_q2)*kd_new</f>
        <v>7.42354172302123</v>
      </c>
      <c r="I729" s="38" t="n">
        <f aca="false">debt_q2*kd_book+(Sens!$H$727-debt_q2)*kd_new</f>
        <v>7.42354172302123</v>
      </c>
      <c r="J729" s="38" t="n">
        <f aca="false">debt_q2*kd_book+(Sens!$I$727-debt_q2)*kd_new</f>
        <v>7.42354172302123</v>
      </c>
      <c r="K729" s="38" t="n">
        <f aca="false">debt_q2*kd_book+(Sens!$J$727-debt_q2)*kd_new</f>
        <v>7.42354172302123</v>
      </c>
      <c r="L729" s="38" t="n">
        <f aca="false">debt_q2*kd_book+(Sens!$K$727-debt_q2)*kd_new</f>
        <v>7.42354172302123</v>
      </c>
      <c r="M729" s="38" t="n">
        <f aca="false">debt_q2*kd_book+(Sens!$L$727-debt_q2)*kd_new</f>
        <v>7.42354172302123</v>
      </c>
    </row>
    <row r="730" customFormat="false" ht="17.15" hidden="false" customHeight="false" outlineLevel="0" collapsed="false">
      <c r="A730" s="5" t="s">
        <v>803</v>
      </c>
      <c r="B730" s="0" t="s">
        <v>86</v>
      </c>
      <c r="F730" s="38" t="n">
        <f aca="false">cash_q2*y_cash*0.5</f>
        <v>2.59</v>
      </c>
      <c r="H730" s="38" t="n">
        <f aca="false">Sens!$G$726*y_cash</f>
        <v>3.88826685895841</v>
      </c>
      <c r="I730" s="38" t="n">
        <f aca="false">Sens!$H$726*y_cash</f>
        <v>2.3807044823614</v>
      </c>
      <c r="J730" s="38" t="n">
        <f aca="false">Sens!$I$726*y_cash</f>
        <v>3.32530907537622</v>
      </c>
      <c r="K730" s="38" t="n">
        <f aca="false">Sens!$J$726*y_cash</f>
        <v>6.83401361670412</v>
      </c>
      <c r="L730" s="38" t="n">
        <f aca="false">Sens!$K$726*y_cash</f>
        <v>15.1791597207371</v>
      </c>
      <c r="M730" s="38" t="n">
        <f aca="false">Sens!$L$726*y_cash</f>
        <v>26.5476913768186</v>
      </c>
    </row>
    <row r="731" customFormat="false" ht="17.15" hidden="false" customHeight="false" outlineLevel="0" collapsed="false">
      <c r="A731" s="47" t="s">
        <v>804</v>
      </c>
      <c r="B731" s="14" t="s">
        <v>86</v>
      </c>
      <c r="C731" s="14"/>
      <c r="D731" s="14"/>
      <c r="E731" s="14"/>
      <c r="F731" s="14"/>
      <c r="G731" s="48" t="n">
        <f aca="false">SUM(Sens!$G$720:$K$720)</f>
        <v>203.767621798073</v>
      </c>
      <c r="H731" s="14"/>
      <c r="I731" s="14"/>
      <c r="J731" s="14"/>
      <c r="K731" s="14"/>
      <c r="L731" s="14"/>
      <c r="M731" s="14"/>
      <c r="N731" s="14"/>
      <c r="O731" s="14"/>
    </row>
    <row r="732" customFormat="false" ht="17.15" hidden="false" customHeight="false" outlineLevel="0" collapsed="false">
      <c r="A732" s="0" t="s">
        <v>770</v>
      </c>
      <c r="B732" s="0" t="s">
        <v>86</v>
      </c>
      <c r="G732" s="38" t="n">
        <f aca="false">SUM(Sens!$G$725:$K$725)</f>
        <v>0</v>
      </c>
    </row>
    <row r="733" customFormat="false" ht="17.15" hidden="false" customHeight="false" outlineLevel="0" collapsed="false">
      <c r="A733" s="24" t="s">
        <v>807</v>
      </c>
      <c r="B733" s="25" t="s">
        <v>86</v>
      </c>
      <c r="C733" s="25"/>
      <c r="D733" s="25"/>
      <c r="E733" s="25"/>
      <c r="F733" s="25"/>
      <c r="G733" s="41" t="n">
        <f aca="false">Sens!$G$731-(Sens!$G$720+Sens!$H$720+Sens!$I$720+Sens!$J$720+Sens!$K$720)</f>
        <v>0</v>
      </c>
      <c r="H733" s="25"/>
      <c r="I733" s="25"/>
      <c r="J733" s="25"/>
      <c r="K733" s="25"/>
      <c r="L733" s="25"/>
      <c r="M733" s="25"/>
      <c r="N733" s="25"/>
      <c r="O733" s="25"/>
    </row>
    <row r="736" customFormat="false" ht="19.4" hidden="false" customHeight="false" outlineLevel="0" collapsed="false">
      <c r="A736" s="31" t="s">
        <v>1141</v>
      </c>
    </row>
    <row r="737" customFormat="false" ht="17.15" hidden="false" customHeight="false" outlineLevel="0" collapsed="false">
      <c r="A737" s="6" t="s">
        <v>16</v>
      </c>
      <c r="B737" s="6" t="s">
        <v>17</v>
      </c>
      <c r="C737" s="20" t="s">
        <v>494</v>
      </c>
      <c r="D737" s="20" t="s">
        <v>495</v>
      </c>
      <c r="E737" s="20" t="s">
        <v>577</v>
      </c>
      <c r="F737" s="20" t="s">
        <v>578</v>
      </c>
      <c r="G737" s="20" t="s">
        <v>579</v>
      </c>
      <c r="H737" s="20" t="s">
        <v>580</v>
      </c>
      <c r="I737" s="20" t="s">
        <v>581</v>
      </c>
      <c r="J737" s="20" t="s">
        <v>582</v>
      </c>
      <c r="K737" s="20" t="s">
        <v>583</v>
      </c>
      <c r="L737" s="20" t="s">
        <v>584</v>
      </c>
      <c r="M737" s="20" t="s">
        <v>585</v>
      </c>
      <c r="N737" s="20" t="s">
        <v>586</v>
      </c>
      <c r="O737" s="20" t="s">
        <v>587</v>
      </c>
      <c r="P737" s="6" t="s">
        <v>23</v>
      </c>
      <c r="R737" s="20" t="n">
        <v>2023</v>
      </c>
      <c r="S737" s="20" t="n">
        <v>2024</v>
      </c>
      <c r="T737" s="20" t="n">
        <v>2025</v>
      </c>
      <c r="U737" s="20" t="n">
        <v>2026</v>
      </c>
      <c r="V737" s="20" t="n">
        <v>2027</v>
      </c>
      <c r="W737" s="20" t="n">
        <v>2028</v>
      </c>
      <c r="X737" s="20" t="n">
        <v>2029</v>
      </c>
      <c r="Y737" s="20" t="n">
        <v>2030</v>
      </c>
      <c r="Z737" s="20" t="n">
        <v>2031</v>
      </c>
      <c r="AA737" s="20" t="n">
        <v>2032</v>
      </c>
    </row>
    <row r="738" customFormat="false" ht="17.15" hidden="false" customHeight="false" outlineLevel="0" collapsed="false">
      <c r="A738" s="1" t="s">
        <v>909</v>
      </c>
    </row>
    <row r="739" customFormat="false" ht="17.15" hidden="false" customHeight="false" outlineLevel="0" collapsed="false">
      <c r="A739" s="0" t="s">
        <v>910</v>
      </c>
      <c r="B739" s="0" t="s">
        <v>86</v>
      </c>
      <c r="H739" s="38" t="n">
        <f aca="false">Sens!$H$673*(1-tax)</f>
        <v>134.809045837282</v>
      </c>
      <c r="I739" s="38" t="n">
        <f aca="false">Sens!$I$673*(1-tax)</f>
        <v>178.298647082932</v>
      </c>
      <c r="J739" s="38" t="n">
        <f aca="false">Sens!$J$673*(1-tax)</f>
        <v>220.644549831883</v>
      </c>
      <c r="K739" s="38" t="n">
        <f aca="false">Sens!$K$673*(1-tax)</f>
        <v>253.399032301322</v>
      </c>
      <c r="L739" s="38" t="n">
        <f aca="false">Sens!$L$673*(1-tax)</f>
        <v>279.085023764891</v>
      </c>
      <c r="M739" s="38" t="n">
        <f aca="false">Sens!$M$673*(1-tax)</f>
        <v>296.769907656275</v>
      </c>
    </row>
    <row r="740" customFormat="false" ht="15" hidden="false" customHeight="false" outlineLevel="0" collapsed="false">
      <c r="A740" s="5" t="s">
        <v>911</v>
      </c>
      <c r="B740" s="0" t="s">
        <v>86</v>
      </c>
      <c r="H740" s="38" t="n">
        <f aca="false">Sens!$H$684</f>
        <v>84.2198454334799</v>
      </c>
      <c r="I740" s="38" t="n">
        <f aca="false">Sens!$I$684</f>
        <v>116.934786731784</v>
      </c>
      <c r="J740" s="38" t="n">
        <f aca="false">Sens!$J$684</f>
        <v>150.385013421825</v>
      </c>
      <c r="K740" s="38" t="n">
        <f aca="false">Sens!$K$684</f>
        <v>184.066757143114</v>
      </c>
      <c r="L740" s="38" t="n">
        <f aca="false">Sens!$L$684</f>
        <v>207.639437654617</v>
      </c>
      <c r="M740" s="38" t="n">
        <f aca="false">Sens!$M$684</f>
        <v>223.866180666354</v>
      </c>
    </row>
    <row r="741" customFormat="false" ht="15" hidden="false" customHeight="false" outlineLevel="0" collapsed="false">
      <c r="A741" s="5" t="s">
        <v>912</v>
      </c>
      <c r="B741" s="0" t="s">
        <v>86</v>
      </c>
      <c r="H741" s="38" t="n">
        <f aca="false">Sens!$H$715</f>
        <v>273.20235421199</v>
      </c>
      <c r="I741" s="38" t="n">
        <f aca="false">Sens!$I$715</f>
        <v>286.795490114906</v>
      </c>
      <c r="J741" s="38" t="n">
        <f aca="false">Sens!$J$715</f>
        <v>299.115347040085</v>
      </c>
      <c r="K741" s="38" t="n">
        <f aca="false">Sens!$K$715</f>
        <v>250.842923041476</v>
      </c>
      <c r="L741" s="38" t="n">
        <f aca="false">Sens!$L$715</f>
        <v>234.468136508802</v>
      </c>
      <c r="M741" s="38" t="n">
        <f aca="false">Sens!$M$715</f>
        <v>242.048544885409</v>
      </c>
    </row>
    <row r="742" customFormat="false" ht="15" hidden="false" customHeight="false" outlineLevel="0" collapsed="false">
      <c r="A742" s="5" t="s">
        <v>913</v>
      </c>
      <c r="B742" s="0" t="s">
        <v>86</v>
      </c>
      <c r="H742" s="38" t="n">
        <f aca="false">Sens!$H$716</f>
        <v>1.6</v>
      </c>
      <c r="I742" s="38" t="n">
        <f aca="false">Sens!$I$716</f>
        <v>1.6</v>
      </c>
      <c r="J742" s="38" t="n">
        <f aca="false">Sens!$J$716</f>
        <v>1.6</v>
      </c>
      <c r="K742" s="38" t="n">
        <f aca="false">Sens!$K$716</f>
        <v>1.6</v>
      </c>
      <c r="L742" s="38" t="n">
        <f aca="false">Sens!$L$716</f>
        <v>1.6</v>
      </c>
      <c r="M742" s="38" t="n">
        <f aca="false">Sens!$M$716</f>
        <v>1.6</v>
      </c>
    </row>
    <row r="743" customFormat="false" ht="15" hidden="false" customHeight="false" outlineLevel="0" collapsed="false">
      <c r="A743" s="5" t="s">
        <v>914</v>
      </c>
      <c r="B743" s="0" t="s">
        <v>86</v>
      </c>
      <c r="H743" s="38" t="n">
        <f aca="false">Sens!$H$710</f>
        <v>11.512984298439</v>
      </c>
      <c r="I743" s="38" t="n">
        <f aca="false">Sens!$I$710</f>
        <v>13.2889604977467</v>
      </c>
      <c r="J743" s="38" t="n">
        <f aca="false">Sens!$J$710</f>
        <v>15.0014256302975</v>
      </c>
      <c r="K743" s="38" t="n">
        <f aca="false">Sens!$K$710</f>
        <v>16.496251919607</v>
      </c>
      <c r="L743" s="38" t="n">
        <f aca="false">Sens!$L$710</f>
        <v>17.8292827567997</v>
      </c>
      <c r="M743" s="38" t="n">
        <f aca="false">Sens!$M$710</f>
        <v>19.0046268528586</v>
      </c>
    </row>
    <row r="744" customFormat="false" ht="17.15" hidden="false" customHeight="false" outlineLevel="0" collapsed="false">
      <c r="A744" s="1" t="s">
        <v>915</v>
      </c>
      <c r="B744" s="8" t="s">
        <v>86</v>
      </c>
      <c r="H744" s="38" t="n">
        <f aca="false">Sens!$H$739+Sens!$H$740-Sens!$H$741-Sens!$H$742+Sens!$H$743</f>
        <v>-44.2604786427885</v>
      </c>
      <c r="I744" s="38" t="n">
        <f aca="false">Sens!$I$739+Sens!$I$740-Sens!$I$741-Sens!$I$742+Sens!$I$743</f>
        <v>20.1269041975569</v>
      </c>
      <c r="J744" s="38" t="n">
        <f aca="false">Sens!$J$739+Sens!$J$740-Sens!$J$741-Sens!$J$742+Sens!$J$743</f>
        <v>85.3156418439195</v>
      </c>
      <c r="K744" s="38" t="n">
        <f aca="false">Sens!$K$739+Sens!$K$740-Sens!$K$741-Sens!$K$742+Sens!$K$743</f>
        <v>201.519118322567</v>
      </c>
      <c r="L744" s="38" t="n">
        <f aca="false">Sens!$L$739+Sens!$L$740-Sens!$L$741-Sens!$L$742+Sens!$L$743</f>
        <v>268.485607667506</v>
      </c>
      <c r="M744" s="38" t="n">
        <f aca="false">Sens!$M$739+Sens!$M$740-Sens!$M$741-Sens!$M$742+Sens!$M$743</f>
        <v>295.992170290078</v>
      </c>
    </row>
    <row r="745" customFormat="false" ht="15" hidden="false" customHeight="false" outlineLevel="0" collapsed="false">
      <c r="A745" s="5" t="s">
        <v>916</v>
      </c>
      <c r="B745" s="0" t="s">
        <v>57</v>
      </c>
      <c r="H745" s="40" t="n">
        <f aca="false">1/(1+wacc)^(2027-2026-0.5)</f>
        <v>0.947751320380232</v>
      </c>
      <c r="I745" s="40" t="n">
        <f aca="false">1/(1+wacc)^(2028-2026-0.5)</f>
        <v>0.851301099754987</v>
      </c>
      <c r="J745" s="40" t="n">
        <f aca="false">1/(1+wacc)^(2029-2026-0.5)</f>
        <v>0.764666370660713</v>
      </c>
      <c r="K745" s="40" t="n">
        <f aca="false">1/(1+wacc)^(2030-2026-0.5)</f>
        <v>0.686848235703811</v>
      </c>
      <c r="L745" s="40" t="n">
        <f aca="false">1/(1+wacc)^(2031-2026-0.5)</f>
        <v>0.616949452715975</v>
      </c>
      <c r="M745" s="40" t="n">
        <f aca="false">1/(1+wacc)^(2032-2026-0.5)</f>
        <v>0.554164089562688</v>
      </c>
    </row>
    <row r="746" customFormat="false" ht="15" hidden="false" customHeight="false" outlineLevel="0" collapsed="false">
      <c r="A746" s="5" t="s">
        <v>917</v>
      </c>
      <c r="B746" s="0" t="s">
        <v>86</v>
      </c>
      <c r="H746" s="38" t="n">
        <f aca="false">Sens!$H$744*Sens!$H$745</f>
        <v>-41.9479270743639</v>
      </c>
      <c r="I746" s="38" t="n">
        <f aca="false">Sens!$I$744*Sens!$I$745</f>
        <v>17.1340556780434</v>
      </c>
      <c r="J746" s="38" t="n">
        <f aca="false">Sens!$J$744*Sens!$J$745</f>
        <v>65.2380022093792</v>
      </c>
      <c r="K746" s="38" t="n">
        <f aca="false">Sens!$K$744*Sens!$K$745</f>
        <v>138.413050880443</v>
      </c>
      <c r="L746" s="38" t="n">
        <f aca="false">Sens!$L$744*Sens!$L$745</f>
        <v>165.642048712584</v>
      </c>
      <c r="M746" s="38" t="n">
        <f aca="false">Sens!$M$744*Sens!$M$745</f>
        <v>164.028231566485</v>
      </c>
    </row>
    <row r="747" customFormat="false" ht="15" hidden="false" customHeight="false" outlineLevel="0" collapsed="false">
      <c r="A747" s="5" t="s">
        <v>918</v>
      </c>
      <c r="B747" s="0" t="s">
        <v>86</v>
      </c>
      <c r="C747" s="38" t="n">
        <f aca="false">SUM(Sens!$H$746:$M$746)</f>
        <v>508.50746197257</v>
      </c>
    </row>
    <row r="748" customFormat="false" ht="17.15" hidden="false" customHeight="false" outlineLevel="0" collapsed="false">
      <c r="A748" s="5" t="s">
        <v>919</v>
      </c>
      <c r="B748" s="0" t="s">
        <v>86</v>
      </c>
      <c r="C748" s="38" t="n">
        <f aca="false">Sens!$M$739*(1+tg)*(1-tg/ronic)/(wacc-tg)</f>
        <v>2697.96962140615</v>
      </c>
    </row>
    <row r="749" customFormat="false" ht="15" hidden="false" customHeight="false" outlineLevel="0" collapsed="false">
      <c r="A749" s="5" t="s">
        <v>920</v>
      </c>
      <c r="B749" s="0" t="s">
        <v>86</v>
      </c>
      <c r="C749" s="38" t="n">
        <f aca="false">Sens!$C$748/(1+wacc)^6</f>
        <v>1416.99994386515</v>
      </c>
    </row>
    <row r="750" customFormat="false" ht="17.15" hidden="false" customHeight="false" outlineLevel="0" collapsed="false">
      <c r="A750" s="5" t="s">
        <v>921</v>
      </c>
      <c r="B750" s="0" t="s">
        <v>86</v>
      </c>
      <c r="C750" s="38" t="n">
        <f aca="false">Sens!$C$747+Sens!$C$749</f>
        <v>1925.50740583772</v>
      </c>
    </row>
    <row r="751" customFormat="false" ht="17.15" hidden="false" customHeight="false" outlineLevel="0" collapsed="false">
      <c r="A751" s="5" t="s">
        <v>922</v>
      </c>
      <c r="B751" s="0" t="s">
        <v>52</v>
      </c>
      <c r="C751" s="13" t="n">
        <f aca="false">Sens!$C$749/Sens!$C$750</f>
        <v>0.735909890332862</v>
      </c>
    </row>
    <row r="752" customFormat="false" ht="17.15" hidden="false" customHeight="false" outlineLevel="0" collapsed="false">
      <c r="A752" s="5" t="s">
        <v>923</v>
      </c>
      <c r="B752" s="0" t="s">
        <v>86</v>
      </c>
      <c r="C752" s="38" t="n">
        <f aca="false">Sens!$G$728+fin_debt</f>
        <v>94.4474344344447</v>
      </c>
    </row>
    <row r="753" customFormat="false" ht="17.15" hidden="false" customHeight="false" outlineLevel="0" collapsed="false">
      <c r="A753" s="5" t="s">
        <v>924</v>
      </c>
      <c r="B753" s="0" t="s">
        <v>86</v>
      </c>
      <c r="C753" s="38" t="n">
        <f aca="false">(ant_val*ant_sh+oai_val*oai_sh)*(1-liq_disc)</f>
        <v>178.944</v>
      </c>
    </row>
    <row r="754" customFormat="false" ht="15" hidden="false" customHeight="false" outlineLevel="0" collapsed="false">
      <c r="A754" s="5" t="s">
        <v>925</v>
      </c>
      <c r="B754" s="0" t="s">
        <v>86</v>
      </c>
      <c r="C754" s="38" t="n">
        <f aca="false">Sens!$C$750-Sens!$C$752+Sens!$C$753</f>
        <v>2010.00397140327</v>
      </c>
    </row>
    <row r="755" customFormat="false" ht="17.15" hidden="false" customHeight="false" outlineLevel="0" collapsed="false">
      <c r="A755" s="5" t="s">
        <v>926</v>
      </c>
      <c r="B755" s="0" t="s">
        <v>27</v>
      </c>
      <c r="C755" s="30" t="n">
        <f aca="false">Sens!$C$754/sh_out</f>
        <v>186.347622682158</v>
      </c>
    </row>
    <row r="756" customFormat="false" ht="17.15" hidden="false" customHeight="false" outlineLevel="0" collapsed="false">
      <c r="A756" s="1" t="s">
        <v>927</v>
      </c>
      <c r="B756" s="8" t="s">
        <v>27</v>
      </c>
      <c r="C756" s="30" t="n">
        <f aca="false">Sens!$C$755*(1+ke)^tp_yf-dps*tp_yf</f>
        <v>204.119380500645</v>
      </c>
    </row>
    <row r="757" customFormat="false" ht="17.15" hidden="false" customHeight="false" outlineLevel="0" collapsed="false">
      <c r="A757" s="3" t="s">
        <v>928</v>
      </c>
    </row>
    <row r="758" customFormat="false" ht="17.15" hidden="false" customHeight="false" outlineLevel="0" collapsed="false">
      <c r="A758" s="5" t="s">
        <v>929</v>
      </c>
      <c r="B758" s="0" t="s">
        <v>86</v>
      </c>
      <c r="C758" s="38" t="n">
        <f aca="false">(1-tp_yf)*(Sens!$H$685+Sens!$H$709*Sens!$H$551/Sens!$H$626)+tp_yf*(Sens!$I$685+Sens!$I$709*Sens!$I$551/Sens!$I$626)</f>
        <v>59.3879466050132</v>
      </c>
    </row>
    <row r="759" customFormat="false" ht="15" hidden="false" customHeight="false" outlineLevel="0" collapsed="false">
      <c r="A759" s="5" t="s">
        <v>930</v>
      </c>
      <c r="B759" s="0" t="s">
        <v>57</v>
      </c>
      <c r="C759" s="30" t="n">
        <f aca="false">m_ads*m_x</f>
        <v>9.11</v>
      </c>
    </row>
    <row r="760" customFormat="false" ht="17.15" hidden="false" customHeight="false" outlineLevel="0" collapsed="false">
      <c r="A760" s="5" t="s">
        <v>931</v>
      </c>
      <c r="B760" s="0" t="s">
        <v>86</v>
      </c>
      <c r="C760" s="38" t="n">
        <f aca="false">Sens!$C$758*Sens!$C$759</f>
        <v>541.024193571671</v>
      </c>
    </row>
    <row r="761" customFormat="false" ht="17.15" hidden="false" customHeight="false" outlineLevel="0" collapsed="false">
      <c r="A761" s="5" t="s">
        <v>932</v>
      </c>
      <c r="B761" s="0" t="s">
        <v>86</v>
      </c>
      <c r="C761" s="38" t="n">
        <f aca="false">(1-tp_yf)*(Sens!$H$686+Sens!$H$709*(Sens!$H$558-Sens!$H$551)/Sens!$H$626+IF(internal_ai_reading=2,1,0)*(1-ext_sh)*Sens!$H$588)+tp_yf*(Sens!$I$686+Sens!$I$709*(Sens!$I$558-Sens!$I$551)/Sens!$I$626+IF(internal_ai_reading=2,1,0)*(1-ext_sh)*Sens!$I$588)</f>
        <v>51.5804053879793</v>
      </c>
    </row>
    <row r="762" customFormat="false" ht="17.15" hidden="false" customHeight="false" outlineLevel="0" collapsed="false">
      <c r="A762" s="5" t="s">
        <v>933</v>
      </c>
      <c r="B762" s="0" t="s">
        <v>57</v>
      </c>
      <c r="C762" s="30" t="n">
        <f aca="false">m_retail*m_x</f>
        <v>17.72</v>
      </c>
    </row>
    <row r="763" customFormat="false" ht="17.15" hidden="false" customHeight="false" outlineLevel="0" collapsed="false">
      <c r="A763" s="5" t="s">
        <v>934</v>
      </c>
      <c r="B763" s="0" t="s">
        <v>86</v>
      </c>
      <c r="C763" s="38" t="n">
        <f aca="false">Sens!$C$761*Sens!$C$762</f>
        <v>914.004783474994</v>
      </c>
    </row>
    <row r="764" customFormat="false" ht="17.15" hidden="false" customHeight="false" outlineLevel="0" collapsed="false">
      <c r="A764" s="0" t="s">
        <v>935</v>
      </c>
      <c r="B764" s="0" t="s">
        <v>86</v>
      </c>
      <c r="C764" s="38" t="n">
        <f aca="false">(1-tp_yf)*(Sens!$H$687+Sens!$H$709*Sens!$H$624/Sens!$H$626)+tp_yf*(Sens!$I$687+Sens!$I$709*Sens!$I$624/Sens!$I$626)</f>
        <v>97.3363031479074</v>
      </c>
    </row>
    <row r="765" customFormat="false" ht="17.15" hidden="false" customHeight="false" outlineLevel="0" collapsed="false">
      <c r="A765" s="0" t="s">
        <v>936</v>
      </c>
      <c r="B765" s="0" t="s">
        <v>57</v>
      </c>
      <c r="C765" s="30" t="n">
        <f aca="false">m_cloud*m_x</f>
        <v>13.82</v>
      </c>
    </row>
    <row r="766" customFormat="false" ht="17.15" hidden="false" customHeight="false" outlineLevel="0" collapsed="false">
      <c r="A766" s="0" t="s">
        <v>937</v>
      </c>
      <c r="B766" s="0" t="s">
        <v>86</v>
      </c>
      <c r="C766" s="38" t="n">
        <f aca="false">Sens!$C$764*Sens!$C$765</f>
        <v>1345.18770950408</v>
      </c>
    </row>
    <row r="767" customFormat="false" ht="17.15" hidden="false" customHeight="false" outlineLevel="0" collapsed="false">
      <c r="A767" s="0" t="s">
        <v>938</v>
      </c>
      <c r="B767" s="0" t="s">
        <v>86</v>
      </c>
      <c r="H767" s="38" t="n">
        <f aca="false">Sens!$H$605-tax*Sens!$H$606-ext_sh*Sens!$H$595</f>
        <v>-97.1230498015526</v>
      </c>
      <c r="I767" s="38" t="n">
        <f aca="false">Sens!$I$605-tax*Sens!$I$606-ext_sh*Sens!$I$595</f>
        <v>-52.7027384085169</v>
      </c>
      <c r="J767" s="38" t="n">
        <f aca="false">Sens!$J$605-tax*Sens!$J$606-ext_sh*Sens!$J$595</f>
        <v>-7.25121053928612</v>
      </c>
      <c r="K767" s="38" t="n">
        <f aca="false">Sens!$K$605-tax*Sens!$K$606-ext_sh*Sens!$K$595</f>
        <v>79.4935831687533</v>
      </c>
      <c r="L767" s="38" t="n">
        <f aca="false">Sens!$L$605-tax*Sens!$L$606-ext_sh*Sens!$L$595</f>
        <v>126.303862634239</v>
      </c>
      <c r="M767" s="38" t="n">
        <f aca="false">Sens!$M$605-tax*Sens!$M$606-ext_sh*Sens!$M$595</f>
        <v>139.907693176958</v>
      </c>
    </row>
    <row r="768" customFormat="false" ht="17.15" hidden="false" customHeight="false" outlineLevel="0" collapsed="false">
      <c r="A768" s="5" t="s">
        <v>939</v>
      </c>
      <c r="B768" s="0" t="s">
        <v>86</v>
      </c>
      <c r="H768" s="38" t="n">
        <f aca="false">Sens!$H$767*Sens!$H$745</f>
        <v>-92.0484986887765</v>
      </c>
      <c r="I768" s="38" t="n">
        <f aca="false">Sens!$I$767*Sens!$I$745</f>
        <v>-44.8658991672698</v>
      </c>
      <c r="J768" s="38" t="n">
        <f aca="false">Sens!$J$767*Sens!$J$745</f>
        <v>-5.54475684597263</v>
      </c>
      <c r="K768" s="38" t="n">
        <f aca="false">Sens!$K$767*Sens!$K$745</f>
        <v>54.6000273492323</v>
      </c>
      <c r="L768" s="38" t="n">
        <f aca="false">Sens!$L$767*Sens!$L$745</f>
        <v>77.9230989281075</v>
      </c>
      <c r="M768" s="38" t="n">
        <f aca="false">Sens!$M$767*Sens!$M$745</f>
        <v>77.531819412225</v>
      </c>
    </row>
    <row r="769" customFormat="false" ht="17.15" hidden="false" customHeight="false" outlineLevel="0" collapsed="false">
      <c r="A769" s="5" t="s">
        <v>940</v>
      </c>
      <c r="B769" s="0" t="s">
        <v>86</v>
      </c>
      <c r="C769" s="38" t="n">
        <f aca="false">Sens!$M$606*(1-tax)*(1+tg)*(1-tg/ronic)/(wacc-tg)</f>
        <v>1131.96787481444</v>
      </c>
    </row>
    <row r="770" customFormat="false" ht="17.15" hidden="false" customHeight="false" outlineLevel="0" collapsed="false">
      <c r="A770" s="0" t="s">
        <v>941</v>
      </c>
      <c r="B770" s="0" t="s">
        <v>86</v>
      </c>
      <c r="C770" s="38" t="n">
        <f aca="false">(SUM(Sens!$H$768:$M$768)+Sens!$C$769/(1+wacc)^6)*(1+wacc)^tp_yf</f>
        <v>723.177478193826</v>
      </c>
    </row>
    <row r="771" customFormat="false" ht="17.15" hidden="false" customHeight="false" outlineLevel="0" collapsed="false">
      <c r="A771" s="5" t="s">
        <v>942</v>
      </c>
      <c r="B771" s="0" t="s">
        <v>86</v>
      </c>
      <c r="C771" s="38" t="n">
        <f aca="false">(1-tp_yf)*(Sens!$H$688)+tp_yf*(Sens!$I$688)</f>
        <v>113.953578280354</v>
      </c>
    </row>
    <row r="772" customFormat="false" ht="17.15" hidden="false" customHeight="false" outlineLevel="0" collapsed="false">
      <c r="A772" s="5" t="s">
        <v>943</v>
      </c>
      <c r="B772" s="0" t="s">
        <v>86</v>
      </c>
      <c r="C772" s="38" t="n">
        <f aca="false">Sens!$C$771*m_ai</f>
        <v>683.721469682122</v>
      </c>
    </row>
    <row r="773" customFormat="false" ht="17.15" hidden="false" customHeight="false" outlineLevel="0" collapsed="false">
      <c r="A773" s="0" t="s">
        <v>944</v>
      </c>
      <c r="B773" s="0" t="s">
        <v>86</v>
      </c>
      <c r="C773" s="38" t="n">
        <f aca="false">IF(ai_leg=1,Sens!$C$770,Sens!$C$772)</f>
        <v>723.177478193826</v>
      </c>
    </row>
    <row r="774" customFormat="false" ht="17.15" hidden="false" customHeight="false" outlineLevel="0" collapsed="false">
      <c r="A774" s="5" t="s">
        <v>945</v>
      </c>
      <c r="B774" s="0" t="s">
        <v>86</v>
      </c>
      <c r="C774" s="38" t="n">
        <f aca="false">Sens!$C$760+Sens!$C$763+Sens!$C$766+Sens!$C$773</f>
        <v>3523.39416474457</v>
      </c>
    </row>
    <row r="775" customFormat="false" ht="17.15" hidden="false" customHeight="false" outlineLevel="0" collapsed="false">
      <c r="A775" s="5" t="s">
        <v>946</v>
      </c>
      <c r="B775" s="0" t="s">
        <v>86</v>
      </c>
      <c r="C775" s="38" t="n">
        <f aca="false">Sens!$H$728+fin_debt</f>
        <v>130.241272575934</v>
      </c>
    </row>
    <row r="776" customFormat="false" ht="15" hidden="false" customHeight="false" outlineLevel="0" collapsed="false">
      <c r="A776" s="5" t="s">
        <v>947</v>
      </c>
      <c r="B776" s="0" t="s">
        <v>86</v>
      </c>
      <c r="C776" s="38" t="n">
        <f aca="false">Sens!$C$774-Sens!$C$775+Sens!$C$753</f>
        <v>3572.09689216864</v>
      </c>
    </row>
    <row r="777" customFormat="false" ht="15" hidden="false" customHeight="false" outlineLevel="0" collapsed="false">
      <c r="A777" s="3" t="s">
        <v>948</v>
      </c>
      <c r="B777" s="8" t="s">
        <v>27</v>
      </c>
      <c r="C777" s="30" t="n">
        <f aca="false">Sens!$C$776/sh_val</f>
        <v>323.843626951022</v>
      </c>
    </row>
    <row r="778" customFormat="false" ht="17.15" hidden="false" customHeight="false" outlineLevel="0" collapsed="false">
      <c r="A778" s="47" t="s">
        <v>949</v>
      </c>
      <c r="B778" s="14" t="s">
        <v>27</v>
      </c>
      <c r="C778" s="44" t="n">
        <f aca="false">w_dcf*Sens!$C$756+(1-w_dcf)*Sens!$C$777</f>
        <v>263.981503725834</v>
      </c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</row>
    <row r="779" customFormat="false" ht="17.15" hidden="false" customHeight="false" outlineLevel="0" collapsed="false">
      <c r="A779" s="5" t="s">
        <v>950</v>
      </c>
      <c r="B779" s="0" t="s">
        <v>27</v>
      </c>
      <c r="C779" s="30" t="n">
        <f aca="false">v022_wdcf*Sens!$C$756+(1-v022_wdcf)*Sens!$C$777</f>
        <v>269.967716048353</v>
      </c>
    </row>
    <row r="780" customFormat="false" ht="17.15" hidden="false" customHeight="false" outlineLevel="0" collapsed="false">
      <c r="A780" s="5" t="s">
        <v>951</v>
      </c>
      <c r="B780" s="0" t="s">
        <v>27</v>
      </c>
      <c r="C780" s="30" t="n">
        <f aca="false">(Sens!$C$776-Sens!$C$773+Sens!$C$772)/sh_val</f>
        <v>320.2665747917</v>
      </c>
    </row>
    <row r="783" customFormat="false" ht="19.4" hidden="false" customHeight="false" outlineLevel="0" collapsed="false">
      <c r="A783" s="31" t="s">
        <v>1142</v>
      </c>
    </row>
    <row r="784" customFormat="false" ht="17.15" hidden="false" customHeight="false" outlineLevel="0" collapsed="false">
      <c r="A784" s="6" t="s">
        <v>16</v>
      </c>
      <c r="B784" s="6" t="s">
        <v>17</v>
      </c>
      <c r="C784" s="20" t="s">
        <v>494</v>
      </c>
      <c r="D784" s="20" t="s">
        <v>495</v>
      </c>
      <c r="E784" s="20" t="s">
        <v>577</v>
      </c>
      <c r="F784" s="20" t="s">
        <v>578</v>
      </c>
      <c r="G784" s="20" t="s">
        <v>579</v>
      </c>
      <c r="H784" s="20" t="s">
        <v>580</v>
      </c>
      <c r="I784" s="20" t="s">
        <v>581</v>
      </c>
      <c r="J784" s="20" t="s">
        <v>582</v>
      </c>
      <c r="K784" s="20" t="s">
        <v>583</v>
      </c>
      <c r="L784" s="20" t="s">
        <v>584</v>
      </c>
      <c r="M784" s="20" t="s">
        <v>585</v>
      </c>
      <c r="N784" s="20" t="s">
        <v>586</v>
      </c>
      <c r="O784" s="20" t="s">
        <v>587</v>
      </c>
      <c r="P784" s="6" t="s">
        <v>23</v>
      </c>
      <c r="R784" s="20" t="n">
        <v>2023</v>
      </c>
      <c r="S784" s="20" t="n">
        <v>2024</v>
      </c>
      <c r="T784" s="20" t="n">
        <v>2025</v>
      </c>
      <c r="U784" s="20" t="n">
        <v>2026</v>
      </c>
      <c r="V784" s="20" t="n">
        <v>2027</v>
      </c>
      <c r="W784" s="20" t="n">
        <v>2028</v>
      </c>
      <c r="X784" s="20" t="n">
        <v>2029</v>
      </c>
      <c r="Y784" s="20" t="n">
        <v>2030</v>
      </c>
      <c r="Z784" s="20" t="n">
        <v>2031</v>
      </c>
      <c r="AA784" s="20" t="n">
        <v>2032</v>
      </c>
    </row>
    <row r="785" customFormat="false" ht="17.15" hidden="false" customHeight="false" outlineLevel="0" collapsed="false">
      <c r="A785" s="1" t="s">
        <v>660</v>
      </c>
    </row>
    <row r="786" customFormat="false" ht="17.15" hidden="false" customHeight="false" outlineLevel="0" collapsed="false">
      <c r="A786" s="0" t="s">
        <v>516</v>
      </c>
      <c r="B786" s="0" t="s">
        <v>86</v>
      </c>
      <c r="C786" s="38" t="n">
        <f aca="false">Q!$D$10</f>
        <v>247.029</v>
      </c>
      <c r="D786" s="38" t="n">
        <f aca="false">Q!$E$10</f>
        <v>269.287</v>
      </c>
      <c r="E786" s="38" t="n">
        <f aca="false">Q!$P$10</f>
        <v>134.686</v>
      </c>
      <c r="F786" s="38" t="n">
        <f aca="false">Sens!$O$786*(1+Sens!$F$787)*Sens!$F$798</f>
        <v>158.293876822267</v>
      </c>
      <c r="G786" s="38" t="n">
        <f aca="false">Sens!$E$786+Sens!$F$786</f>
        <v>292.979876822267</v>
      </c>
      <c r="H786" s="38" t="n">
        <f aca="false">Sens!$G$786*(1+Sens!$H$787)</f>
        <v>318.184543087396</v>
      </c>
      <c r="I786" s="38" t="n">
        <f aca="false">Sens!$H$786*(1+Sens!$I$787)</f>
        <v>341.736278761793</v>
      </c>
      <c r="J786" s="38" t="n">
        <f aca="false">Sens!$I$786*(1+Sens!$J$787)</f>
        <v>362.927192787048</v>
      </c>
      <c r="K786" s="38" t="n">
        <f aca="false">Sens!$J$786*(1+Sens!$K$787)</f>
        <v>381.0735524264</v>
      </c>
      <c r="L786" s="38" t="n">
        <f aca="false">Sens!$K$786*(1+Sens!$L$787)</f>
        <v>400.12723004772</v>
      </c>
      <c r="M786" s="38" t="n">
        <f aca="false">Sens!$L$786*(1+Sens!$M$787)</f>
        <v>420.133591550106</v>
      </c>
      <c r="N786" s="38" t="n">
        <f aca="false">Q!$N$10</f>
        <v>118.892</v>
      </c>
      <c r="O786" s="38" t="n">
        <f aca="false">Q!$O$10</f>
        <v>150.395</v>
      </c>
      <c r="P786" s="8" t="s">
        <v>661</v>
      </c>
    </row>
    <row r="787" customFormat="false" ht="17.15" hidden="false" customHeight="false" outlineLevel="0" collapsed="false">
      <c r="A787" s="0" t="s">
        <v>662</v>
      </c>
      <c r="B787" s="0" t="s">
        <v>52</v>
      </c>
      <c r="E787" s="13" t="n">
        <f aca="false">Sens!$E$786/Sens!$N$786-1</f>
        <v>0.132843252699929</v>
      </c>
      <c r="F787" s="13" t="n">
        <f aca="false">Sens!$O$786/(Q!$F$10+Q!$G$10)-1</f>
        <v>0.0980382135842941</v>
      </c>
      <c r="G787" s="13" t="n">
        <f aca="false">Sens!$G$786/Sens!$D$786-1</f>
        <v>0.0879837378791657</v>
      </c>
      <c r="H787" s="13" t="n">
        <f aca="false">Sens!$F$787+(g_os-Sens!$F$787)*1/4</f>
        <v>0.0860286601882206</v>
      </c>
      <c r="I787" s="13" t="n">
        <f aca="false">Sens!$F$787+(g_os-Sens!$F$787)*2/4</f>
        <v>0.074019106792147</v>
      </c>
      <c r="J787" s="13" t="n">
        <f aca="false">Sens!$F$787+(g_os-Sens!$F$787)*3/4</f>
        <v>0.0620095533960735</v>
      </c>
      <c r="K787" s="13" t="n">
        <f aca="false">Sens!$F$787+(g_os-Sens!$F$787)*4/4</f>
        <v>0.05</v>
      </c>
      <c r="L787" s="13" t="n">
        <f aca="false">g_os</f>
        <v>0.05</v>
      </c>
      <c r="M787" s="13" t="n">
        <f aca="false">g_os</f>
        <v>0.05</v>
      </c>
      <c r="P787" s="8" t="s">
        <v>663</v>
      </c>
    </row>
    <row r="788" customFormat="false" ht="17.15" hidden="false" customHeight="false" outlineLevel="0" collapsed="false">
      <c r="A788" s="0" t="s">
        <v>517</v>
      </c>
      <c r="B788" s="0" t="s">
        <v>86</v>
      </c>
      <c r="C788" s="38" t="n">
        <f aca="false">Q!$D$11</f>
        <v>21.215</v>
      </c>
      <c r="D788" s="38" t="n">
        <f aca="false">Q!$E$11</f>
        <v>22.561</v>
      </c>
      <c r="E788" s="38" t="n">
        <f aca="false">Q!$P$11</f>
        <v>11.579</v>
      </c>
      <c r="F788" s="38" t="n">
        <f aca="false">Sens!$O$788*(1+Sens!$F$789)*Sens!$F$798</f>
        <v>11.5938724610325</v>
      </c>
      <c r="G788" s="38" t="n">
        <f aca="false">Sens!$E$788+Sens!$F$788</f>
        <v>23.1728724610325</v>
      </c>
      <c r="H788" s="38" t="n">
        <f aca="false">Sens!$G$788*(1+Sens!$H$789)</f>
        <v>24.353392759506</v>
      </c>
      <c r="I788" s="38" t="n">
        <f aca="false">Sens!$H$788*(1+Sens!$I$789)</f>
        <v>25.4240338872015</v>
      </c>
      <c r="J788" s="38" t="n">
        <f aca="false">Sens!$I$788*(1+Sens!$J$789)</f>
        <v>26.3642491017174</v>
      </c>
      <c r="K788" s="38" t="n">
        <f aca="false">Sens!$J$788*(1+Sens!$K$789)</f>
        <v>27.155176574769</v>
      </c>
      <c r="L788" s="38" t="n">
        <f aca="false">Sens!$K$788*(1+Sens!$L$789)</f>
        <v>27.969831872012</v>
      </c>
      <c r="M788" s="38" t="n">
        <f aca="false">Sens!$L$788*(1+Sens!$M$789)</f>
        <v>28.8089268281724</v>
      </c>
      <c r="N788" s="38" t="n">
        <f aca="false">Q!$N$11</f>
        <v>11.128</v>
      </c>
      <c r="O788" s="38" t="n">
        <f aca="false">Q!$O$11</f>
        <v>11.433</v>
      </c>
      <c r="P788" s="8" t="s">
        <v>661</v>
      </c>
    </row>
    <row r="789" customFormat="false" ht="17.15" hidden="false" customHeight="false" outlineLevel="0" collapsed="false">
      <c r="A789" s="0" t="s">
        <v>664</v>
      </c>
      <c r="B789" s="0" t="s">
        <v>52</v>
      </c>
      <c r="E789" s="13" t="n">
        <f aca="false">Sens!$E$788/Sens!$N$788-1</f>
        <v>0.0405283968368082</v>
      </c>
      <c r="F789" s="13" t="n">
        <f aca="false">Sens!$O$788/(Q!$F$11+Q!$G$11)-1</f>
        <v>0.0579254187100955</v>
      </c>
      <c r="G789" s="13" t="n">
        <f aca="false">Sens!$G$788/Sens!$D$788-1</f>
        <v>0.0271208040881397</v>
      </c>
      <c r="H789" s="13" t="n">
        <f aca="false">Sens!$F$789+(g_ps-Sens!$F$789)*1/4</f>
        <v>0.0509440640325716</v>
      </c>
      <c r="I789" s="13" t="n">
        <f aca="false">Sens!$F$789+(g_ps-Sens!$F$789)*2/4</f>
        <v>0.0439627093550477</v>
      </c>
      <c r="J789" s="13" t="n">
        <f aca="false">Sens!$F$789+(g_ps-Sens!$F$789)*3/4</f>
        <v>0.0369813546775239</v>
      </c>
      <c r="K789" s="13" t="n">
        <f aca="false">Sens!$F$789+(g_ps-Sens!$F$789)*4/4</f>
        <v>0.03</v>
      </c>
      <c r="L789" s="13" t="n">
        <f aca="false">g_ps</f>
        <v>0.03</v>
      </c>
      <c r="M789" s="13" t="n">
        <f aca="false">g_ps</f>
        <v>0.03</v>
      </c>
      <c r="P789" s="8" t="s">
        <v>665</v>
      </c>
    </row>
    <row r="790" customFormat="false" ht="17.15" hidden="false" customHeight="false" outlineLevel="0" collapsed="false">
      <c r="A790" s="0" t="s">
        <v>518</v>
      </c>
      <c r="B790" s="0" t="s">
        <v>86</v>
      </c>
      <c r="C790" s="38" t="n">
        <f aca="false">Q!$D$12</f>
        <v>156.146</v>
      </c>
      <c r="D790" s="38" t="n">
        <f aca="false">Q!$E$12</f>
        <v>172.162</v>
      </c>
      <c r="E790" s="38" t="n">
        <f aca="false">Q!$P$12</f>
        <v>88.358</v>
      </c>
      <c r="F790" s="38" t="n">
        <f aca="false">Sens!$O$790*(1+Sens!$F$791)*Sens!$F$798</f>
        <v>102.004388260171</v>
      </c>
      <c r="G790" s="38" t="n">
        <f aca="false">Sens!$E$790+Sens!$F$790</f>
        <v>190.362388260171</v>
      </c>
      <c r="H790" s="38" t="n">
        <f aca="false">Sens!$G$790*(1+Sens!$H$791)</f>
        <v>210.343106588311</v>
      </c>
      <c r="I790" s="38" t="n">
        <f aca="false">Sens!$H$790*(1+Sens!$I$791)</f>
        <v>229.969728494648</v>
      </c>
      <c r="J790" s="38" t="n">
        <f aca="false">Sens!$I$790*(1+Sens!$J$791)</f>
        <v>248.747636972598</v>
      </c>
      <c r="K790" s="38" t="n">
        <f aca="false">Sens!$J$790*(1+Sens!$K$791)</f>
        <v>266.15997156068</v>
      </c>
      <c r="L790" s="38" t="n">
        <f aca="false">Sens!$K$790*(1+Sens!$L$791)</f>
        <v>284.791169569927</v>
      </c>
      <c r="M790" s="38" t="n">
        <f aca="false">Sens!$L$790*(1+Sens!$M$791)</f>
        <v>304.726551439822</v>
      </c>
      <c r="N790" s="38" t="n">
        <f aca="false">Q!$N$12</f>
        <v>76.86</v>
      </c>
      <c r="O790" s="38" t="n">
        <f aca="false">Q!$O$12</f>
        <v>95.302</v>
      </c>
      <c r="P790" s="8" t="s">
        <v>661</v>
      </c>
    </row>
    <row r="791" customFormat="false" ht="17.15" hidden="false" customHeight="false" outlineLevel="0" collapsed="false">
      <c r="A791" s="0" t="s">
        <v>666</v>
      </c>
      <c r="B791" s="0" t="s">
        <v>52</v>
      </c>
      <c r="E791" s="13" t="n">
        <f aca="false">Sens!$E$790/Sens!$N$790-1</f>
        <v>0.1495966692688</v>
      </c>
      <c r="F791" s="13" t="n">
        <f aca="false">Sens!$O$790/(Q!$F$12+Q!$G$12)-1</f>
        <v>0.11661530890813</v>
      </c>
      <c r="G791" s="13" t="n">
        <f aca="false">Sens!$G$790/Sens!$D$790-1</f>
        <v>0.105716640490767</v>
      </c>
      <c r="H791" s="13" t="n">
        <f aca="false">Sens!$F$791+(g_sp-Sens!$F$791)*1/4</f>
        <v>0.104961481681098</v>
      </c>
      <c r="I791" s="13" t="n">
        <f aca="false">Sens!$F$791+(g_sp-Sens!$F$791)*2/4</f>
        <v>0.0933076544540651</v>
      </c>
      <c r="J791" s="13" t="n">
        <f aca="false">Sens!$F$791+(g_sp-Sens!$F$791)*3/4</f>
        <v>0.0816538272270325</v>
      </c>
      <c r="K791" s="13" t="n">
        <f aca="false">Sens!$F$791+(g_sp-Sens!$F$791)*4/4</f>
        <v>0.07</v>
      </c>
      <c r="L791" s="13" t="n">
        <f aca="false">g_sp</f>
        <v>0.07</v>
      </c>
      <c r="M791" s="13" t="n">
        <f aca="false">g_sp</f>
        <v>0.07</v>
      </c>
      <c r="P791" s="8" t="s">
        <v>667</v>
      </c>
    </row>
    <row r="792" customFormat="false" ht="17.15" hidden="false" customHeight="false" outlineLevel="0" collapsed="false">
      <c r="A792" s="0" t="s">
        <v>519</v>
      </c>
      <c r="B792" s="0" t="s">
        <v>86</v>
      </c>
      <c r="C792" s="38" t="n">
        <f aca="false">Q!$D$13</f>
        <v>56.214</v>
      </c>
      <c r="D792" s="38" t="n">
        <f aca="false">Q!$E$13</f>
        <v>68.635</v>
      </c>
      <c r="E792" s="38" t="n">
        <f aca="false">Q!$P$13</f>
        <v>37.052</v>
      </c>
      <c r="F792" s="38" t="n">
        <f aca="false">Sens!$O$792*(1+Sens!$F$793)*Sens!$F$798</f>
        <v>46.1572219944148</v>
      </c>
      <c r="G792" s="38" t="n">
        <f aca="false">Sens!$E$792+Sens!$F$792</f>
        <v>83.2092219944148</v>
      </c>
      <c r="H792" s="38" t="n">
        <f aca="false">Sens!$G$792*(1+Sens!$H$793)</f>
        <v>99.8969223878976</v>
      </c>
      <c r="I792" s="38" t="n">
        <f aca="false">Sens!$H$792*(1+Sens!$I$793)</f>
        <v>116.583111095496</v>
      </c>
      <c r="J792" s="38" t="n">
        <f aca="false">Sens!$I$792*(1+Sens!$J$793)</f>
        <v>132.148941941952</v>
      </c>
      <c r="K792" s="38" t="n">
        <f aca="false">Sens!$J$792*(1+Sens!$K$793)</f>
        <v>145.363836136147</v>
      </c>
      <c r="L792" s="38" t="n">
        <f aca="false">Sens!$K$792*(1+Sens!$L$793)</f>
        <v>159.900219749762</v>
      </c>
      <c r="M792" s="38" t="n">
        <f aca="false">Sens!$L$792*(1+Sens!$M$793)</f>
        <v>175.890241724738</v>
      </c>
      <c r="N792" s="38" t="n">
        <f aca="false">Q!$N$13</f>
        <v>29.615</v>
      </c>
      <c r="O792" s="38" t="n">
        <f aca="false">Q!$O$13</f>
        <v>39.02</v>
      </c>
      <c r="P792" s="8" t="s">
        <v>661</v>
      </c>
    </row>
    <row r="793" customFormat="false" ht="17.15" hidden="false" customHeight="false" outlineLevel="0" collapsed="false">
      <c r="A793" s="0" t="s">
        <v>668</v>
      </c>
      <c r="B793" s="0" t="s">
        <v>52</v>
      </c>
      <c r="E793" s="13" t="n">
        <f aca="false">Sens!$E$792/Sens!$N$792-1</f>
        <v>0.25112274185379</v>
      </c>
      <c r="F793" s="13" t="n">
        <f aca="false">Sens!$O$792/(Q!$F$13+Q!$G$13)-1</f>
        <v>0.234068123596572</v>
      </c>
      <c r="G793" s="13" t="n">
        <f aca="false">Sens!$G$792/Sens!$D$792-1</f>
        <v>0.212343876949294</v>
      </c>
      <c r="H793" s="13" t="n">
        <f aca="false">Sens!$F$793+(g_ad-Sens!$F$793)*1/4</f>
        <v>0.200551092697429</v>
      </c>
      <c r="I793" s="13" t="n">
        <f aca="false">Sens!$F$793+(g_ad-Sens!$F$793)*2/4</f>
        <v>0.167034061798286</v>
      </c>
      <c r="J793" s="13" t="n">
        <f aca="false">Sens!$F$793+(g_ad-Sens!$F$793)*3/4</f>
        <v>0.133517030899143</v>
      </c>
      <c r="K793" s="13" t="n">
        <f aca="false">Sens!$F$793+(g_ad-Sens!$F$793)*4/4</f>
        <v>0.1</v>
      </c>
      <c r="L793" s="13" t="n">
        <f aca="false">g_ad</f>
        <v>0.1</v>
      </c>
      <c r="M793" s="13" t="n">
        <f aca="false">g_ad</f>
        <v>0.1</v>
      </c>
      <c r="P793" s="8" t="s">
        <v>669</v>
      </c>
    </row>
    <row r="794" customFormat="false" ht="17.15" hidden="false" customHeight="false" outlineLevel="0" collapsed="false">
      <c r="A794" s="0" t="s">
        <v>520</v>
      </c>
      <c r="B794" s="0" t="s">
        <v>86</v>
      </c>
      <c r="C794" s="38" t="n">
        <f aca="false">Q!$D$14</f>
        <v>44.374</v>
      </c>
      <c r="D794" s="38" t="n">
        <f aca="false">Q!$E$14</f>
        <v>49.619</v>
      </c>
      <c r="E794" s="38" t="n">
        <f aca="false">Q!$P$14</f>
        <v>27.157</v>
      </c>
      <c r="F794" s="38" t="n">
        <f aca="false">Sens!$O$794*(1+Sens!$F$795)*Sens!$F$798</f>
        <v>27.7764165988154</v>
      </c>
      <c r="G794" s="38" t="n">
        <f aca="false">Sens!$E$794+Sens!$F$794</f>
        <v>54.9334165988154</v>
      </c>
      <c r="H794" s="38" t="n">
        <f aca="false">Sens!$G$794*(1+Sens!$H$795)</f>
        <v>61.1564112561829</v>
      </c>
      <c r="I794" s="38" t="n">
        <f aca="false">Sens!$H$794*(1+Sens!$I$795)</f>
        <v>67.2020282103945</v>
      </c>
      <c r="J794" s="38" t="n">
        <f aca="false">Sens!$I$794*(1+Sens!$J$795)</f>
        <v>72.8757274028885</v>
      </c>
      <c r="K794" s="38" t="n">
        <f aca="false">Sens!$J$794*(1+Sens!$K$795)</f>
        <v>77.9770283210907</v>
      </c>
      <c r="L794" s="38" t="n">
        <f aca="false">Sens!$K$794*(1+Sens!$L$795)</f>
        <v>83.4354203035671</v>
      </c>
      <c r="M794" s="38" t="n">
        <f aca="false">Sens!$L$794*(1+Sens!$M$795)</f>
        <v>89.2758997248168</v>
      </c>
      <c r="N794" s="38" t="n">
        <f aca="false">Q!$N$14</f>
        <v>23.923</v>
      </c>
      <c r="O794" s="38" t="n">
        <f aca="false">Q!$O$14</f>
        <v>25.696</v>
      </c>
      <c r="P794" s="8" t="s">
        <v>661</v>
      </c>
    </row>
    <row r="795" customFormat="false" ht="17.15" hidden="false" customHeight="false" outlineLevel="0" collapsed="false">
      <c r="A795" s="0" t="s">
        <v>670</v>
      </c>
      <c r="B795" s="0" t="s">
        <v>52</v>
      </c>
      <c r="E795" s="13" t="n">
        <f aca="false">Sens!$E$794/Sens!$N$794-1</f>
        <v>0.135183714417088</v>
      </c>
      <c r="F795" s="13" t="n">
        <f aca="false">Sens!$O$794/(Q!$F$14+Q!$G$14)-1</f>
        <v>0.127709997366804</v>
      </c>
      <c r="G795" s="13" t="n">
        <f aca="false">Sens!$G$794/Sens!$D$794-1</f>
        <v>0.107104468022641</v>
      </c>
      <c r="H795" s="13" t="n">
        <f aca="false">Sens!$F$795+(g_sub-Sens!$F$795)*1/4</f>
        <v>0.113282498025103</v>
      </c>
      <c r="I795" s="13" t="n">
        <f aca="false">Sens!$F$795+(g_sub-Sens!$F$795)*2/4</f>
        <v>0.0988549986834021</v>
      </c>
      <c r="J795" s="13" t="n">
        <f aca="false">Sens!$F$795+(g_sub-Sens!$F$795)*3/4</f>
        <v>0.084427499341701</v>
      </c>
      <c r="K795" s="13" t="n">
        <f aca="false">Sens!$F$795+(g_sub-Sens!$F$795)*4/4</f>
        <v>0.07</v>
      </c>
      <c r="L795" s="13" t="n">
        <f aca="false">g_sub</f>
        <v>0.07</v>
      </c>
      <c r="M795" s="13" t="n">
        <f aca="false">g_sub</f>
        <v>0.07</v>
      </c>
      <c r="P795" s="8" t="s">
        <v>671</v>
      </c>
    </row>
    <row r="796" customFormat="false" ht="17.15" hidden="false" customHeight="false" outlineLevel="0" collapsed="false">
      <c r="A796" s="0" t="s">
        <v>521</v>
      </c>
      <c r="B796" s="0" t="s">
        <v>86</v>
      </c>
      <c r="C796" s="38" t="n">
        <f aca="false">Q!$D$15</f>
        <v>5.425</v>
      </c>
      <c r="D796" s="38" t="n">
        <f aca="false">Q!$E$15</f>
        <v>5.935</v>
      </c>
      <c r="E796" s="38" t="n">
        <f aca="false">Q!$P$15</f>
        <v>3.474</v>
      </c>
      <c r="F796" s="38" t="n">
        <f aca="false">Sens!$O$796*(1+Sens!$F$797)*Sens!$F$798</f>
        <v>3.22246550883619</v>
      </c>
      <c r="G796" s="38" t="n">
        <f aca="false">Sens!$E$796+Sens!$F$796</f>
        <v>6.69646550883619</v>
      </c>
      <c r="H796" s="38" t="n">
        <f aca="false">Sens!$G$796*(1+Sens!$H$797)</f>
        <v>7.16251344209196</v>
      </c>
      <c r="I796" s="38" t="n">
        <f aca="false">Sens!$H$796*(1+Sens!$I$797)</f>
        <v>7.61421070299826</v>
      </c>
      <c r="J796" s="38" t="n">
        <f aca="false">Sens!$I$796*(1+Sens!$J$797)</f>
        <v>8.04465753523932</v>
      </c>
      <c r="K796" s="38" t="n">
        <f aca="false">Sens!$J$796*(1+Sens!$K$797)</f>
        <v>8.44689041200128</v>
      </c>
      <c r="L796" s="38" t="n">
        <f aca="false">Sens!$K$796*(1+Sens!$L$797)</f>
        <v>8.86923493260135</v>
      </c>
      <c r="M796" s="38" t="n">
        <f aca="false">Sens!$L$796*(1+Sens!$M$797)</f>
        <v>9.31269667923142</v>
      </c>
      <c r="N796" s="38" t="n">
        <f aca="false">Q!$N$15</f>
        <v>2.811</v>
      </c>
      <c r="O796" s="38" t="n">
        <f aca="false">Q!$O$15</f>
        <v>3.124</v>
      </c>
      <c r="P796" s="8" t="s">
        <v>661</v>
      </c>
    </row>
    <row r="797" customFormat="false" ht="17.15" hidden="false" customHeight="false" outlineLevel="0" collapsed="false">
      <c r="A797" s="0" t="s">
        <v>672</v>
      </c>
      <c r="B797" s="0" t="s">
        <v>52</v>
      </c>
      <c r="E797" s="13" t="n">
        <f aca="false">Sens!$E$796/Sens!$N$796-1</f>
        <v>0.235859124866596</v>
      </c>
      <c r="F797" s="13" t="n">
        <f aca="false">Sens!$O$796/(Q!$F$15+Q!$G$15)-1</f>
        <v>0.0761281433000345</v>
      </c>
      <c r="G797" s="13" t="n">
        <f aca="false">Sens!$G$796/Sens!$D$796-1</f>
        <v>0.128300843948811</v>
      </c>
      <c r="H797" s="13" t="n">
        <f aca="false">Sens!$F$797+(g_ot-Sens!$F$797)*1/4</f>
        <v>0.0695961074750259</v>
      </c>
      <c r="I797" s="13" t="n">
        <f aca="false">Sens!$F$797+(g_ot-Sens!$F$797)*2/4</f>
        <v>0.0630640716500172</v>
      </c>
      <c r="J797" s="13" t="n">
        <f aca="false">Sens!$F$797+(g_ot-Sens!$F$797)*3/4</f>
        <v>0.0565320358250086</v>
      </c>
      <c r="K797" s="13" t="n">
        <f aca="false">Sens!$F$797+(g_ot-Sens!$F$797)*4/4</f>
        <v>0.05</v>
      </c>
      <c r="L797" s="13" t="n">
        <f aca="false">g_ot</f>
        <v>0.05</v>
      </c>
      <c r="M797" s="13" t="n">
        <f aca="false">g_ot</f>
        <v>0.05</v>
      </c>
      <c r="P797" s="8" t="s">
        <v>673</v>
      </c>
    </row>
    <row r="798" customFormat="false" ht="17.15" hidden="false" customHeight="false" outlineLevel="0" collapsed="false">
      <c r="A798" s="0" t="s">
        <v>674</v>
      </c>
      <c r="B798" s="0" t="s">
        <v>57</v>
      </c>
      <c r="F798" s="40" t="n">
        <f aca="false">(g26q3_mid*Q!$O$8/Q!$J$8-Sens!$F$827-Sens!$F$831)/(Sens!$O$786*(1+Sens!$F$787)+Sens!$O$788*(1+Sens!$F$789)+Sens!$O$790*(1+Sens!$F$791)+Sens!$O$792*(1+Sens!$F$793)+Sens!$O$794*(1+Sens!$F$795)+Sens!$O$796*(1+Sens!$F$797))</f>
        <v>0.958546670622329</v>
      </c>
      <c r="P798" s="8" t="s">
        <v>675</v>
      </c>
    </row>
    <row r="799" customFormat="false" ht="17.15" hidden="false" customHeight="false" outlineLevel="0" collapsed="false">
      <c r="A799" s="3" t="s">
        <v>676</v>
      </c>
      <c r="B799" s="8" t="s">
        <v>86</v>
      </c>
      <c r="C799" s="38" t="n">
        <f aca="false">Sens!$C$786+Sens!$C$788+Sens!$C$790+Sens!$C$792+Sens!$C$794+Sens!$C$796</f>
        <v>530.403</v>
      </c>
      <c r="D799" s="38" t="n">
        <f aca="false">Sens!$D$786+Sens!$D$788+Sens!$D$790+Sens!$D$792+Sens!$D$794+Sens!$D$796</f>
        <v>588.199</v>
      </c>
      <c r="E799" s="38" t="n">
        <f aca="false">Sens!$E$786+Sens!$E$788+Sens!$E$790+Sens!$E$792+Sens!$E$794+Sens!$E$796</f>
        <v>302.306</v>
      </c>
      <c r="F799" s="38" t="n">
        <f aca="false">Sens!$F$786+Sens!$F$788+Sens!$F$790+Sens!$F$792+Sens!$F$794+Sens!$F$796</f>
        <v>349.048241645537</v>
      </c>
      <c r="G799" s="38" t="n">
        <f aca="false">Sens!$G$786+Sens!$G$788+Sens!$G$790+Sens!$G$792+Sens!$G$794+Sens!$G$796</f>
        <v>651.354241645537</v>
      </c>
      <c r="H799" s="38" t="n">
        <f aca="false">Sens!$H$786+Sens!$H$788+Sens!$H$790+Sens!$H$792+Sens!$H$794+Sens!$H$796</f>
        <v>721.096889521386</v>
      </c>
      <c r="I799" s="38" t="n">
        <f aca="false">Sens!$I$786+Sens!$I$788+Sens!$I$790+Sens!$I$792+Sens!$I$794+Sens!$I$796</f>
        <v>788.529391152531</v>
      </c>
      <c r="J799" s="38" t="n">
        <f aca="false">Sens!$J$786+Sens!$J$788+Sens!$J$790+Sens!$J$792+Sens!$J$794+Sens!$J$796</f>
        <v>851.108405741443</v>
      </c>
      <c r="K799" s="38" t="n">
        <f aca="false">Sens!$K$786+Sens!$K$788+Sens!$K$790+Sens!$K$792+Sens!$K$794+Sens!$K$796</f>
        <v>906.176455431088</v>
      </c>
      <c r="L799" s="38" t="n">
        <f aca="false">Sens!$L$786+Sens!$L$788+Sens!$L$790+Sens!$L$792+Sens!$L$794+Sens!$L$796</f>
        <v>965.093106475589</v>
      </c>
      <c r="M799" s="38" t="n">
        <f aca="false">Sens!$M$786+Sens!$M$788+Sens!$M$790+Sens!$M$792+Sens!$M$794+Sens!$M$796</f>
        <v>1028.14790794689</v>
      </c>
      <c r="N799" s="38" t="n">
        <f aca="false">Sens!$N$786+Sens!$N$788+Sens!$N$790+Sens!$N$792+Sens!$N$794+Sens!$N$796</f>
        <v>263.229</v>
      </c>
      <c r="O799" s="38" t="n">
        <f aca="false">Sens!$O$786+Sens!$O$788+Sens!$O$790+Sens!$O$792+Sens!$O$794+Sens!$O$796</f>
        <v>324.97</v>
      </c>
    </row>
    <row r="800" customFormat="false" ht="17.15" hidden="false" customHeight="false" outlineLevel="0" collapsed="false">
      <c r="A800" s="5" t="s">
        <v>677</v>
      </c>
      <c r="B800" s="0" t="s">
        <v>52</v>
      </c>
      <c r="C800" s="13" t="n">
        <f aca="false">Q!$D$5/(Q!$D$5+Q!$D$6)</f>
        <v>0.730570905519011</v>
      </c>
      <c r="D800" s="13" t="n">
        <f aca="false">Q!$E$5/(Q!$E$5+Q!$E$6)</f>
        <v>0.724763217890544</v>
      </c>
      <c r="E800" s="13" t="n">
        <f aca="false">Q!$P$5/(Q!$P$5+Q!$P$6)</f>
        <v>0.728797972914861</v>
      </c>
      <c r="F800" s="13" t="n">
        <f aca="false">Sens!$O$800</f>
        <v>0.718066283041511</v>
      </c>
      <c r="G800" s="13" t="n">
        <f aca="false">Sens!$G$801/Sens!$G$799</f>
        <v>0.723047066202847</v>
      </c>
      <c r="H800" s="13" t="n">
        <f aca="false">Sens!$G$800</f>
        <v>0.723047066202847</v>
      </c>
      <c r="I800" s="13" t="n">
        <f aca="false">Sens!$G$800</f>
        <v>0.723047066202847</v>
      </c>
      <c r="J800" s="13" t="n">
        <f aca="false">Sens!$G$800</f>
        <v>0.723047066202847</v>
      </c>
      <c r="K800" s="13" t="n">
        <f aca="false">Sens!$G$800</f>
        <v>0.723047066202847</v>
      </c>
      <c r="L800" s="13" t="n">
        <f aca="false">Sens!$G$800</f>
        <v>0.723047066202847</v>
      </c>
      <c r="M800" s="13" t="n">
        <f aca="false">Sens!$G$800</f>
        <v>0.723047066202847</v>
      </c>
      <c r="N800" s="13" t="n">
        <f aca="false">Q!$N$5/(Q!$N$5+Q!$N$6)</f>
        <v>0.733030935041352</v>
      </c>
      <c r="O800" s="13" t="n">
        <f aca="false">Q!$O$5/(Q!$O$5+Q!$O$6)</f>
        <v>0.718066283041511</v>
      </c>
      <c r="P800" s="8" t="s">
        <v>678</v>
      </c>
    </row>
    <row r="801" customFormat="false" ht="17.15" hidden="false" customHeight="false" outlineLevel="0" collapsed="false">
      <c r="A801" s="1" t="s">
        <v>509</v>
      </c>
      <c r="B801" s="8" t="s">
        <v>86</v>
      </c>
      <c r="C801" s="38" t="n">
        <f aca="false">Q!$D$5</f>
        <v>387.497</v>
      </c>
      <c r="D801" s="38" t="n">
        <f aca="false">Q!$E$5</f>
        <v>426.305</v>
      </c>
      <c r="E801" s="38" t="n">
        <f aca="false">Q!$P$5</f>
        <v>220.32</v>
      </c>
      <c r="F801" s="38" t="n">
        <f aca="false">Sens!$F$799*Sens!$F$800</f>
        <v>250.639773480586</v>
      </c>
      <c r="G801" s="38" t="n">
        <f aca="false">Sens!$E$801+Sens!$F$801</f>
        <v>470.959773480586</v>
      </c>
      <c r="H801" s="38" t="n">
        <f aca="false">Sens!$H$799*Sens!$H$800</f>
        <v>521.386990416437</v>
      </c>
      <c r="I801" s="38" t="n">
        <f aca="false">Sens!$I$799*Sens!$I$800</f>
        <v>570.143862887555</v>
      </c>
      <c r="J801" s="38" t="n">
        <f aca="false">Sens!$J$799*Sens!$J$800</f>
        <v>615.391435791933</v>
      </c>
      <c r="K801" s="38" t="n">
        <f aca="false">Sens!$K$799*Sens!$K$800</f>
        <v>655.208227561543</v>
      </c>
      <c r="L801" s="38" t="n">
        <f aca="false">Sens!$L$799*Sens!$L$800</f>
        <v>697.807739249767</v>
      </c>
      <c r="M801" s="38" t="n">
        <f aca="false">Sens!$M$799*Sens!$M$800</f>
        <v>743.399328463592</v>
      </c>
      <c r="N801" s="38" t="n">
        <f aca="false">Q!$N$5</f>
        <v>192.955</v>
      </c>
      <c r="O801" s="38" t="n">
        <f aca="false">Q!$O$5</f>
        <v>233.35</v>
      </c>
      <c r="P801" s="5" t="s">
        <v>679</v>
      </c>
    </row>
    <row r="802" customFormat="false" ht="17.15" hidden="false" customHeight="false" outlineLevel="0" collapsed="false">
      <c r="A802" s="1" t="s">
        <v>512</v>
      </c>
      <c r="B802" s="8" t="s">
        <v>86</v>
      </c>
      <c r="C802" s="38" t="n">
        <f aca="false">Q!$D$6</f>
        <v>142.906</v>
      </c>
      <c r="D802" s="38" t="n">
        <f aca="false">Q!$E$6</f>
        <v>161.894</v>
      </c>
      <c r="E802" s="38" t="n">
        <f aca="false">Q!$P$6</f>
        <v>81.986</v>
      </c>
      <c r="F802" s="38" t="n">
        <f aca="false">Sens!$F$799*(1-Sens!$F$800)</f>
        <v>98.408468164951</v>
      </c>
      <c r="G802" s="38" t="n">
        <f aca="false">Sens!$E$802+Sens!$F$802</f>
        <v>180.394468164951</v>
      </c>
      <c r="H802" s="38" t="n">
        <f aca="false">Sens!$H$799*(1-Sens!$H$800)</f>
        <v>199.709899104949</v>
      </c>
      <c r="I802" s="38" t="n">
        <f aca="false">Sens!$I$799*(1-Sens!$I$800)</f>
        <v>218.385528264976</v>
      </c>
      <c r="J802" s="38" t="n">
        <f aca="false">Sens!$J$799*(1-Sens!$J$800)</f>
        <v>235.71696994951</v>
      </c>
      <c r="K802" s="38" t="n">
        <f aca="false">Sens!$K$799*(1-Sens!$K$800)</f>
        <v>250.968227869545</v>
      </c>
      <c r="L802" s="38" t="n">
        <f aca="false">Sens!$L$799*(1-Sens!$L$800)</f>
        <v>267.285367225822</v>
      </c>
      <c r="M802" s="38" t="n">
        <f aca="false">Sens!$M$799*(1-Sens!$M$800)</f>
        <v>284.748579483295</v>
      </c>
      <c r="N802" s="38" t="n">
        <f aca="false">Q!$N$6</f>
        <v>70.274</v>
      </c>
      <c r="O802" s="38" t="n">
        <f aca="false">Q!$O$6</f>
        <v>91.62</v>
      </c>
      <c r="P802" s="5" t="s">
        <v>680</v>
      </c>
    </row>
    <row r="803" customFormat="false" ht="17.15" hidden="false" customHeight="false" outlineLevel="0" collapsed="false">
      <c r="A803" s="5" t="s">
        <v>681</v>
      </c>
      <c r="B803" s="0" t="s">
        <v>86</v>
      </c>
      <c r="C803" s="38" t="n">
        <f aca="false">Sens!$C$792*Sens!$C$800</f>
        <v>41.0683128828457</v>
      </c>
      <c r="D803" s="38" t="n">
        <f aca="false">Sens!$D$792*Sens!$D$800</f>
        <v>49.7441234599175</v>
      </c>
      <c r="E803" s="38" t="n">
        <f aca="false">Sens!$E$792*Sens!$E$800</f>
        <v>27.0034224924414</v>
      </c>
      <c r="F803" s="38" t="n">
        <f aca="false">Sens!$F$792*Sens!$F$800</f>
        <v>33.1439448330513</v>
      </c>
      <c r="G803" s="38" t="n">
        <f aca="false">Sens!$G$792*Sens!$G$800</f>
        <v>60.164183844083</v>
      </c>
      <c r="H803" s="38" t="n">
        <f aca="false">Sens!$H$792*Sens!$H$800</f>
        <v>72.2301766552629</v>
      </c>
      <c r="I803" s="38" t="n">
        <f aca="false">Sens!$I$792*Sens!$I$800</f>
        <v>84.2950764463991</v>
      </c>
      <c r="J803" s="38" t="n">
        <f aca="false">Sens!$J$792*Sens!$J$800</f>
        <v>95.5499047729386</v>
      </c>
      <c r="K803" s="38" t="n">
        <f aca="false">Sens!$K$792*Sens!$K$800</f>
        <v>105.104895250232</v>
      </c>
      <c r="L803" s="38" t="n">
        <f aca="false">Sens!$L$792*Sens!$L$800</f>
        <v>115.615384775256</v>
      </c>
      <c r="M803" s="38" t="n">
        <f aca="false">Sens!$M$792*Sens!$M$800</f>
        <v>127.176923252781</v>
      </c>
      <c r="N803" s="38" t="n">
        <f aca="false">Sens!$N$792*Sens!$N$800</f>
        <v>21.7087111412496</v>
      </c>
      <c r="O803" s="38" t="n">
        <f aca="false">Sens!$O$792*Sens!$O$800</f>
        <v>28.0189463642798</v>
      </c>
      <c r="P803" s="5" t="s">
        <v>682</v>
      </c>
    </row>
    <row r="804" customFormat="false" ht="15" hidden="false" customHeight="false" outlineLevel="0" collapsed="false">
      <c r="A804" s="5" t="s">
        <v>683</v>
      </c>
      <c r="B804" s="0" t="s">
        <v>86</v>
      </c>
      <c r="C804" s="38" t="n">
        <f aca="false">Sens!$C$792-Sens!$C$803</f>
        <v>15.1456871171543</v>
      </c>
      <c r="D804" s="38" t="n">
        <f aca="false">Sens!$D$792-Sens!$D$803</f>
        <v>18.8908765400825</v>
      </c>
      <c r="E804" s="38" t="n">
        <f aca="false">Sens!$E$792-Sens!$E$803</f>
        <v>10.0485775075586</v>
      </c>
      <c r="F804" s="38" t="n">
        <f aca="false">Sens!$F$792-Sens!$F$803</f>
        <v>13.0132771613635</v>
      </c>
      <c r="G804" s="38" t="n">
        <f aca="false">Sens!$G$792-Sens!$G$803</f>
        <v>23.0450381503318</v>
      </c>
      <c r="H804" s="38" t="n">
        <f aca="false">Sens!$H$792-Sens!$H$803</f>
        <v>27.6667457326347</v>
      </c>
      <c r="I804" s="38" t="n">
        <f aca="false">Sens!$I$792-Sens!$I$803</f>
        <v>32.2880346490971</v>
      </c>
      <c r="J804" s="38" t="n">
        <f aca="false">Sens!$J$792-Sens!$J$803</f>
        <v>36.5990371690132</v>
      </c>
      <c r="K804" s="38" t="n">
        <f aca="false">Sens!$K$792-Sens!$K$803</f>
        <v>40.2589408859145</v>
      </c>
      <c r="L804" s="38" t="n">
        <f aca="false">Sens!$L$792-Sens!$L$803</f>
        <v>44.2848349745059</v>
      </c>
      <c r="M804" s="38" t="n">
        <f aca="false">Sens!$M$792-Sens!$M$803</f>
        <v>48.7133184719565</v>
      </c>
      <c r="N804" s="38" t="n">
        <f aca="false">Sens!$N$792-Sens!$N$803</f>
        <v>7.90628885875037</v>
      </c>
      <c r="O804" s="38" t="n">
        <f aca="false">Sens!$O$792-Sens!$O$803</f>
        <v>11.0010536357202</v>
      </c>
    </row>
    <row r="805" customFormat="false" ht="19.4" hidden="false" customHeight="false" outlineLevel="0" collapsed="false">
      <c r="A805" s="31" t="s">
        <v>1143</v>
      </c>
    </row>
    <row r="806" customFormat="false" ht="17.15" hidden="false" customHeight="false" outlineLevel="0" collapsed="false">
      <c r="A806" s="6" t="s">
        <v>16</v>
      </c>
      <c r="B806" s="6" t="s">
        <v>17</v>
      </c>
      <c r="C806" s="20" t="s">
        <v>494</v>
      </c>
      <c r="D806" s="20" t="s">
        <v>495</v>
      </c>
      <c r="E806" s="20" t="s">
        <v>577</v>
      </c>
      <c r="F806" s="20" t="s">
        <v>578</v>
      </c>
      <c r="G806" s="20" t="s">
        <v>579</v>
      </c>
      <c r="H806" s="20" t="s">
        <v>580</v>
      </c>
      <c r="I806" s="20" t="s">
        <v>581</v>
      </c>
      <c r="J806" s="20" t="s">
        <v>582</v>
      </c>
      <c r="K806" s="20" t="s">
        <v>583</v>
      </c>
      <c r="L806" s="20" t="s">
        <v>584</v>
      </c>
      <c r="M806" s="20" t="s">
        <v>585</v>
      </c>
      <c r="N806" s="20" t="s">
        <v>586</v>
      </c>
      <c r="O806" s="20" t="s">
        <v>587</v>
      </c>
      <c r="P806" s="6" t="s">
        <v>23</v>
      </c>
      <c r="R806" s="20" t="n">
        <v>2023</v>
      </c>
      <c r="S806" s="20" t="n">
        <v>2024</v>
      </c>
      <c r="T806" s="20" t="n">
        <v>2025</v>
      </c>
      <c r="U806" s="20" t="n">
        <v>2026</v>
      </c>
      <c r="V806" s="20" t="n">
        <v>2027</v>
      </c>
      <c r="W806" s="20" t="n">
        <v>2028</v>
      </c>
      <c r="X806" s="20" t="n">
        <v>2029</v>
      </c>
      <c r="Y806" s="20" t="n">
        <v>2030</v>
      </c>
      <c r="Z806" s="20" t="n">
        <v>2031</v>
      </c>
      <c r="AA806" s="20" t="n">
        <v>2032</v>
      </c>
    </row>
    <row r="807" customFormat="false" ht="17.15" hidden="false" customHeight="false" outlineLevel="0" collapsed="false">
      <c r="A807" s="1" t="s">
        <v>588</v>
      </c>
    </row>
    <row r="808" customFormat="false" ht="17.15" hidden="false" customHeight="false" outlineLevel="0" collapsed="false">
      <c r="A808" s="5" t="s">
        <v>589</v>
      </c>
      <c r="B808" s="0" t="s">
        <v>144</v>
      </c>
      <c r="H808" s="32" t="n">
        <f aca="false">pace_B</f>
        <v>3634.3</v>
      </c>
      <c r="I808" s="32" t="n">
        <f aca="false">pace_B</f>
        <v>3634.3</v>
      </c>
      <c r="J808" s="32" t="n">
        <f aca="false">pace_B</f>
        <v>3634.3</v>
      </c>
      <c r="K808" s="32" t="n">
        <f aca="false">pace_B+(Sens!$J$809*tg-pace_B)*1/3</f>
        <v>2570.86716666667</v>
      </c>
      <c r="L808" s="32" t="n">
        <f aca="false">pace_B+(Sens!$J$809*tg-pace_B)*2/3</f>
        <v>1507.43433333333</v>
      </c>
      <c r="M808" s="32" t="n">
        <f aca="false">pace_B+(Sens!$J$809*tg-pace_B)*3/3</f>
        <v>444.0015</v>
      </c>
      <c r="P808" s="5" t="s">
        <v>590</v>
      </c>
    </row>
    <row r="809" customFormat="false" ht="17.15" hidden="false" customHeight="false" outlineLevel="0" collapsed="false">
      <c r="A809" s="15" t="s">
        <v>591</v>
      </c>
      <c r="B809" s="14" t="s">
        <v>129</v>
      </c>
      <c r="C809" s="33" t="n">
        <f aca="false">mw_ye24</f>
        <v>360</v>
      </c>
      <c r="D809" s="33" t="n">
        <f aca="false">mw_ye25</f>
        <v>1440</v>
      </c>
      <c r="E809" s="33" t="n">
        <f aca="false">mw_open</f>
        <v>2080</v>
      </c>
      <c r="F809" s="33" t="n">
        <f aca="false">Sens!$E$809+pace_B*0.5</f>
        <v>3897.15</v>
      </c>
      <c r="G809" s="33" t="n">
        <f aca="false">Sens!$F$809</f>
        <v>3897.15</v>
      </c>
      <c r="H809" s="33" t="n">
        <f aca="false">Sens!$G$809+Sens!$H$808</f>
        <v>7531.45</v>
      </c>
      <c r="I809" s="33" t="n">
        <f aca="false">Sens!$H$809+Sens!$I$808</f>
        <v>11165.75</v>
      </c>
      <c r="J809" s="33" t="n">
        <f aca="false">Sens!$I$809+Sens!$J$808</f>
        <v>14800.05</v>
      </c>
      <c r="K809" s="33" t="n">
        <f aca="false">Sens!$J$809+Sens!$K$808</f>
        <v>17370.9171666667</v>
      </c>
      <c r="L809" s="33" t="n">
        <f aca="false">Sens!$K$809+Sens!$L$808</f>
        <v>18878.3515</v>
      </c>
      <c r="M809" s="33" t="n">
        <f aca="false">Sens!$L$809+Sens!$M$808</f>
        <v>19322.353</v>
      </c>
      <c r="N809" s="33" t="n">
        <f aca="false">(mw_ye24+mw_ye25)/2</f>
        <v>900</v>
      </c>
      <c r="O809" s="33" t="n">
        <f aca="false">mw_ye25</f>
        <v>1440</v>
      </c>
      <c r="P809" s="5" t="s">
        <v>592</v>
      </c>
    </row>
    <row r="810" customFormat="false" ht="17.15" hidden="false" customHeight="false" outlineLevel="0" collapsed="false">
      <c r="A810" s="5" t="s">
        <v>593</v>
      </c>
      <c r="B810" s="0" t="s">
        <v>129</v>
      </c>
      <c r="C810" s="32" t="n">
        <f aca="false">(mw_ye23+mw_ye24)/2</f>
        <v>240</v>
      </c>
      <c r="D810" s="32" t="n">
        <f aca="false">(Sens!$C$809+Sens!$D$809)/2</f>
        <v>900</v>
      </c>
      <c r="E810" s="32" t="n">
        <f aca="false">(Sens!$D$809+Sens!$E$809)/2</f>
        <v>1760</v>
      </c>
      <c r="F810" s="32" t="n">
        <f aca="false">(Sens!$E$809+Sens!$F$809)/2</f>
        <v>2988.575</v>
      </c>
      <c r="G810" s="32" t="n">
        <f aca="false">(Sens!$E$810+Sens!$F$810)/2</f>
        <v>2374.2875</v>
      </c>
      <c r="H810" s="32" t="n">
        <f aca="false">(Sens!$G$809+Sens!$H$809)/2</f>
        <v>5714.3</v>
      </c>
      <c r="I810" s="32" t="n">
        <f aca="false">(Sens!$H$809+Sens!$I$809)/2</f>
        <v>9348.6</v>
      </c>
      <c r="J810" s="32" t="n">
        <f aca="false">(Sens!$I$809+Sens!$J$809)/2</f>
        <v>12982.9</v>
      </c>
      <c r="K810" s="32" t="n">
        <f aca="false">(Sens!$J$809+Sens!$K$809)/2</f>
        <v>16085.4835833333</v>
      </c>
      <c r="L810" s="32" t="n">
        <f aca="false">(Sens!$K$809+Sens!$L$809)/2</f>
        <v>18124.6343333333</v>
      </c>
      <c r="M810" s="32" t="n">
        <f aca="false">(Sens!$L$809+Sens!$M$809)/2</f>
        <v>19100.35225</v>
      </c>
      <c r="N810" s="32" t="n">
        <f aca="false">(Sens!$C$809+Sens!$N$809)/2</f>
        <v>630</v>
      </c>
      <c r="O810" s="32" t="n">
        <f aca="false">(Sens!$N$809+Sens!$O$809)/2</f>
        <v>1170</v>
      </c>
    </row>
    <row r="811" customFormat="false" ht="15" hidden="false" customHeight="false" outlineLevel="0" collapsed="false">
      <c r="A811" s="5" t="s">
        <v>594</v>
      </c>
      <c r="B811" s="5" t="s">
        <v>123</v>
      </c>
      <c r="C811" s="34" t="n">
        <v>1</v>
      </c>
      <c r="D811" s="34" t="n">
        <v>1</v>
      </c>
      <c r="E811" s="34" t="n">
        <v>0.5</v>
      </c>
      <c r="F811" s="34" t="n">
        <v>0.5</v>
      </c>
      <c r="G811" s="34" t="n">
        <v>1</v>
      </c>
      <c r="H811" s="34" t="n">
        <v>1</v>
      </c>
      <c r="I811" s="34" t="n">
        <v>1</v>
      </c>
      <c r="J811" s="34" t="n">
        <v>1</v>
      </c>
      <c r="K811" s="34" t="n">
        <v>1</v>
      </c>
      <c r="L811" s="34" t="n">
        <v>1</v>
      </c>
      <c r="M811" s="34" t="n">
        <v>1</v>
      </c>
      <c r="N811" s="34" t="n">
        <v>0.5</v>
      </c>
      <c r="O811" s="34" t="n">
        <v>0.5</v>
      </c>
    </row>
    <row r="812" customFormat="false" ht="17.15" hidden="false" customHeight="false" outlineLevel="0" collapsed="false">
      <c r="A812" s="5" t="s">
        <v>595</v>
      </c>
      <c r="B812" s="0" t="s">
        <v>129</v>
      </c>
      <c r="C812" s="32" t="n">
        <f aca="false">Sens!$C$809-mw_ye23</f>
        <v>240</v>
      </c>
      <c r="D812" s="32" t="n">
        <f aca="false">Sens!$D$809-Sens!$C$809</f>
        <v>1080</v>
      </c>
      <c r="E812" s="32" t="n">
        <f aca="false">Sens!$E$809-Sens!$D$809</f>
        <v>640</v>
      </c>
      <c r="F812" s="32" t="n">
        <f aca="false">Sens!$F$809-Sens!$E$809</f>
        <v>1817.15</v>
      </c>
      <c r="G812" s="32" t="n">
        <f aca="false">Sens!$E$812+Sens!$F$812</f>
        <v>2457.15</v>
      </c>
      <c r="H812" s="32" t="n">
        <f aca="false">Sens!$H$809-Sens!$G$809</f>
        <v>3634.3</v>
      </c>
      <c r="I812" s="32" t="n">
        <f aca="false">Sens!$I$809-Sens!$H$809</f>
        <v>3634.3</v>
      </c>
      <c r="J812" s="32" t="n">
        <f aca="false">Sens!$J$809-Sens!$I$809</f>
        <v>3634.3</v>
      </c>
      <c r="K812" s="32" t="n">
        <f aca="false">Sens!$K$809-Sens!$J$809</f>
        <v>2570.86716666667</v>
      </c>
      <c r="L812" s="32" t="n">
        <f aca="false">Sens!$L$809-Sens!$K$809</f>
        <v>1507.43433333333</v>
      </c>
      <c r="M812" s="32" t="n">
        <f aca="false">Sens!$M$809-Sens!$L$809</f>
        <v>444.001499999999</v>
      </c>
      <c r="N812" s="32" t="n">
        <f aca="false">Sens!$N$809-Sens!$C$809</f>
        <v>540</v>
      </c>
      <c r="O812" s="32" t="n">
        <f aca="false">Sens!$O$809-Sens!$N$809</f>
        <v>540</v>
      </c>
    </row>
    <row r="813" customFormat="false" ht="17.15" hidden="false" customHeight="false" outlineLevel="0" collapsed="false">
      <c r="A813" s="5" t="s">
        <v>596</v>
      </c>
      <c r="B813" s="0" t="s">
        <v>129</v>
      </c>
      <c r="C813" s="32" t="n">
        <f aca="false">Sens!$C$812/ext_sh_lo</f>
        <v>400</v>
      </c>
      <c r="D813" s="32" t="n">
        <f aca="false">Sens!$D$812/ext_sh_lo</f>
        <v>1800</v>
      </c>
      <c r="E813" s="32" t="n">
        <f aca="false">Sens!$E$812/ext_sh_lo</f>
        <v>1066.66666666667</v>
      </c>
      <c r="F813" s="32" t="n">
        <f aca="false">Sens!$F$812/ext_sh_lo</f>
        <v>3028.58333333333</v>
      </c>
      <c r="G813" s="32" t="n">
        <f aca="false">Sens!$G$812/ext_sh_lo</f>
        <v>4095.25</v>
      </c>
      <c r="H813" s="32" t="n">
        <f aca="false">Sens!$H$812/ext_sh_lo</f>
        <v>6057.16666666667</v>
      </c>
      <c r="I813" s="32" t="n">
        <f aca="false">Sens!$I$812/ext_sh_lo</f>
        <v>6057.16666666667</v>
      </c>
      <c r="J813" s="32" t="n">
        <f aca="false">Sens!$J$812/ext_sh_lo</f>
        <v>6057.16666666667</v>
      </c>
      <c r="K813" s="32" t="n">
        <f aca="false">Sens!$K$812/ext_sh_lo</f>
        <v>4284.77861111111</v>
      </c>
      <c r="L813" s="32" t="n">
        <f aca="false">Sens!$L$812/ext_sh_lo</f>
        <v>2512.39055555556</v>
      </c>
      <c r="M813" s="32" t="n">
        <f aca="false">Sens!$M$812/ext_sh_lo</f>
        <v>740.002499999998</v>
      </c>
      <c r="N813" s="32" t="n">
        <f aca="false">Sens!$N$812/ext_sh_lo</f>
        <v>900</v>
      </c>
      <c r="O813" s="32" t="n">
        <f aca="false">Sens!$O$812/ext_sh_lo</f>
        <v>900</v>
      </c>
      <c r="P813" s="8" t="s">
        <v>597</v>
      </c>
      <c r="R813" s="32" t="n">
        <f aca="false">mw_ye23/ext_sh_lo</f>
        <v>200</v>
      </c>
      <c r="S813" s="32" t="n">
        <f aca="false">Sens!$C$813</f>
        <v>400</v>
      </c>
      <c r="T813" s="32" t="n">
        <f aca="false">Sens!$D$813</f>
        <v>1800</v>
      </c>
      <c r="U813" s="32" t="n">
        <f aca="false">Sens!$G$813</f>
        <v>4095.25</v>
      </c>
      <c r="V813" s="32" t="n">
        <f aca="false">Sens!$H$813</f>
        <v>6057.16666666667</v>
      </c>
      <c r="W813" s="32" t="n">
        <f aca="false">Sens!$I$813</f>
        <v>6057.16666666667</v>
      </c>
      <c r="X813" s="32" t="n">
        <f aca="false">Sens!$J$813</f>
        <v>6057.16666666667</v>
      </c>
      <c r="Y813" s="32" t="n">
        <f aca="false">Sens!$K$813</f>
        <v>4284.77861111111</v>
      </c>
      <c r="Z813" s="32" t="n">
        <f aca="false">Sens!$L$813</f>
        <v>2512.39055555556</v>
      </c>
      <c r="AA813" s="32" t="n">
        <f aca="false">Sens!$M$813</f>
        <v>740.002499999998</v>
      </c>
    </row>
    <row r="814" customFormat="false" ht="17.15" hidden="false" customHeight="false" outlineLevel="0" collapsed="false">
      <c r="A814" s="1" t="s">
        <v>598</v>
      </c>
    </row>
    <row r="815" customFormat="false" ht="17.15" hidden="false" customHeight="false" outlineLevel="0" collapsed="false">
      <c r="A815" s="0" t="s">
        <v>599</v>
      </c>
      <c r="B815" s="0" t="s">
        <v>52</v>
      </c>
      <c r="F815" s="35" t="n">
        <f aca="false">na_vr26</f>
        <v>0</v>
      </c>
      <c r="G815" s="35" t="n">
        <f aca="false">na_vr26</f>
        <v>0</v>
      </c>
      <c r="H815" s="35" t="n">
        <f aca="false">na_vr27</f>
        <v>0.5</v>
      </c>
      <c r="I815" s="35" t="n">
        <f aca="false">na_vr28</f>
        <v>1</v>
      </c>
      <c r="J815" s="35" t="n">
        <f aca="false">na_vr28</f>
        <v>1</v>
      </c>
      <c r="K815" s="35" t="n">
        <f aca="false">na_vr28</f>
        <v>1</v>
      </c>
      <c r="L815" s="35" t="n">
        <f aca="false">na_vr28</f>
        <v>1</v>
      </c>
      <c r="M815" s="35" t="n">
        <f aca="false">na_vr28</f>
        <v>1</v>
      </c>
    </row>
    <row r="816" customFormat="false" ht="17.15" hidden="false" customHeight="false" outlineLevel="0" collapsed="false">
      <c r="A816" s="5" t="s">
        <v>600</v>
      </c>
      <c r="B816" s="0" t="s">
        <v>173</v>
      </c>
      <c r="F816" s="36" t="n">
        <f aca="false">cust_sh*tk_he_gb300*cf_chip+(1-cust_sh)*((1-Sens!$F$815)*tk_he_gb300+Sens!$F$815*tk_he_vr200)</f>
        <v>10.8864110021101</v>
      </c>
      <c r="G816" s="36" t="n">
        <f aca="false">cust_sh*tk_he_gb300*cf_chip+(1-cust_sh)*((1-Sens!$G$815)*tk_he_gb300+Sens!$G$815*tk_he_vr200)</f>
        <v>10.8864110021101</v>
      </c>
      <c r="H816" s="36" t="n">
        <f aca="false">cust_sh*tk_he_gb300*cf_chip+(1-cust_sh)*((1-Sens!$H$815)*tk_he_gb300+Sens!$H$815*tk_he_vr200)</f>
        <v>11.2211760027286</v>
      </c>
      <c r="I816" s="36" t="n">
        <f aca="false">cust_sh*tk_he_gb300*cf_chip+(1-cust_sh)*((1-Sens!$I$815)*tk_he_gb300+Sens!$I$815*tk_he_vr200)</f>
        <v>11.5559410033471</v>
      </c>
      <c r="J816" s="36" t="n">
        <f aca="false">cust_sh*tk_he_gb300*cf_chip+(1-cust_sh)*((1-Sens!$J$815)*tk_he_gb300+Sens!$J$815*tk_he_vr200)</f>
        <v>11.5559410033471</v>
      </c>
      <c r="K816" s="36" t="n">
        <f aca="false">cust_sh*tk_he_gb300*cf_chip+(1-cust_sh)*((1-Sens!$K$815)*tk_he_gb300+Sens!$K$815*tk_he_vr200)</f>
        <v>11.5559410033471</v>
      </c>
      <c r="L816" s="36" t="n">
        <f aca="false">cust_sh*tk_he_gb300*cf_chip+(1-cust_sh)*((1-Sens!$L$815)*tk_he_gb300+Sens!$L$815*tk_he_vr200)</f>
        <v>11.5559410033471</v>
      </c>
      <c r="M816" s="36" t="n">
        <f aca="false">cust_sh*tk_he_gb300*cf_chip+(1-cust_sh)*((1-Sens!$M$815)*tk_he_gb300+Sens!$M$815*tk_he_vr200)</f>
        <v>11.5559410033471</v>
      </c>
    </row>
    <row r="817" customFormat="false" ht="17.15" hidden="false" customHeight="false" outlineLevel="0" collapsed="false">
      <c r="A817" s="5" t="s">
        <v>601</v>
      </c>
      <c r="B817" s="0" t="s">
        <v>173</v>
      </c>
      <c r="F817" s="36" t="n">
        <f aca="false">cust_sh*tk_ox_gb300+(1-cust_sh)*((1-Sens!$F$815)*tk_ox_gb300+Sens!$F$815*tk_ox_vr200)</f>
        <v>1.98263481314457</v>
      </c>
      <c r="G817" s="36" t="n">
        <f aca="false">cust_sh*tk_ox_gb300+(1-cust_sh)*((1-Sens!$G$815)*tk_ox_gb300+Sens!$G$815*tk_ox_vr200)</f>
        <v>1.98263481314457</v>
      </c>
      <c r="H817" s="36" t="n">
        <f aca="false">cust_sh*tk_ox_gb300+(1-cust_sh)*((1-Sens!$H$815)*tk_ox_gb300+Sens!$H$815*tk_ox_vr200)</f>
        <v>2.01034999693694</v>
      </c>
      <c r="I817" s="36" t="n">
        <f aca="false">cust_sh*tk_ox_gb300+(1-cust_sh)*((1-Sens!$I$815)*tk_ox_gb300+Sens!$I$815*tk_ox_vr200)</f>
        <v>2.0380651807293</v>
      </c>
      <c r="J817" s="36" t="n">
        <f aca="false">cust_sh*tk_ox_gb300+(1-cust_sh)*((1-Sens!$J$815)*tk_ox_gb300+Sens!$J$815*tk_ox_vr200)</f>
        <v>2.0380651807293</v>
      </c>
      <c r="K817" s="36" t="n">
        <f aca="false">cust_sh*tk_ox_gb300+(1-cust_sh)*((1-Sens!$K$815)*tk_ox_gb300+Sens!$K$815*tk_ox_vr200)</f>
        <v>2.0380651807293</v>
      </c>
      <c r="L817" s="36" t="n">
        <f aca="false">cust_sh*tk_ox_gb300+(1-cust_sh)*((1-Sens!$L$815)*tk_ox_gb300+Sens!$L$815*tk_ox_vr200)</f>
        <v>2.0380651807293</v>
      </c>
      <c r="M817" s="36" t="n">
        <f aca="false">cust_sh*tk_ox_gb300+(1-cust_sh)*((1-Sens!$M$815)*tk_ox_gb300+Sens!$M$815*tk_ox_vr200)</f>
        <v>2.0380651807293</v>
      </c>
    </row>
    <row r="818" customFormat="false" ht="17.15" hidden="false" customHeight="false" outlineLevel="0" collapsed="false">
      <c r="A818" s="5" t="s">
        <v>602</v>
      </c>
      <c r="B818" s="0" t="s">
        <v>192</v>
      </c>
      <c r="F818" s="36" t="n">
        <f aca="false">cust_sh*tk_cx_gb300*cf_cx+(1-cust_sh)*((1-Sens!$F$815)*tk_cx_gb300+Sens!$F$815*tk_cx_vr200)</f>
        <v>32.237224</v>
      </c>
      <c r="G818" s="36" t="n">
        <f aca="false">cust_sh*tk_cx_gb300*cf_cx+(1-cust_sh)*((1-Sens!$G$815)*tk_cx_gb300+Sens!$G$815*tk_cx_vr200)</f>
        <v>32.237224</v>
      </c>
      <c r="H818" s="36" t="n">
        <f aca="false">cust_sh*tk_cx_gb300*cf_cx+(1-cust_sh)*((1-Sens!$H$815)*tk_cx_gb300+Sens!$H$815*tk_cx_vr200)</f>
        <v>33.574506</v>
      </c>
      <c r="I818" s="36" t="n">
        <f aca="false">cust_sh*tk_cx_gb300*cf_cx+(1-cust_sh)*((1-Sens!$I$815)*tk_cx_gb300+Sens!$I$815*tk_cx_vr200)</f>
        <v>34.911788</v>
      </c>
      <c r="J818" s="36" t="n">
        <f aca="false">cust_sh*tk_cx_gb300*cf_cx+(1-cust_sh)*((1-Sens!$J$815)*tk_cx_gb300+Sens!$J$815*tk_cx_vr200)</f>
        <v>34.911788</v>
      </c>
      <c r="K818" s="36" t="n">
        <f aca="false">cust_sh*tk_cx_gb300*cf_cx+(1-cust_sh)*((1-Sens!$K$815)*tk_cx_gb300+Sens!$K$815*tk_cx_vr200)</f>
        <v>34.911788</v>
      </c>
      <c r="L818" s="36" t="n">
        <f aca="false">cust_sh*tk_cx_gb300*cf_cx+(1-cust_sh)*((1-Sens!$L$815)*tk_cx_gb300+Sens!$L$815*tk_cx_vr200)</f>
        <v>34.911788</v>
      </c>
      <c r="M818" s="36" t="n">
        <f aca="false">cust_sh*tk_cx_gb300*cf_cx+(1-cust_sh)*((1-Sens!$M$815)*tk_cx_gb300+Sens!$M$815*tk_cx_vr200)</f>
        <v>34.911788</v>
      </c>
    </row>
    <row r="819" customFormat="false" ht="17.15" hidden="false" customHeight="false" outlineLevel="0" collapsed="false">
      <c r="A819" s="5" t="s">
        <v>603</v>
      </c>
      <c r="B819" s="0" t="s">
        <v>129</v>
      </c>
      <c r="F819" s="32" t="n">
        <f aca="false">Sens!$F$809-mw_open</f>
        <v>1817.15</v>
      </c>
      <c r="G819" s="32" t="n">
        <f aca="false">Sens!$F$819</f>
        <v>1817.15</v>
      </c>
      <c r="H819" s="32" t="n">
        <f aca="false">Sens!$H$809-mw_open</f>
        <v>5451.45</v>
      </c>
      <c r="I819" s="32" t="n">
        <f aca="false">Sens!$I$809-mw_open</f>
        <v>9085.75</v>
      </c>
      <c r="J819" s="32" t="n">
        <f aca="false">Sens!$J$809-mw_open</f>
        <v>12720.05</v>
      </c>
      <c r="K819" s="32" t="n">
        <f aca="false">Sens!$K$809-mw_open</f>
        <v>15290.9171666667</v>
      </c>
      <c r="L819" s="32" t="n">
        <f aca="false">Sens!$L$809-mw_open</f>
        <v>16798.3515</v>
      </c>
      <c r="M819" s="32" t="n">
        <f aca="false">Sens!$M$809-mw_open</f>
        <v>17242.353</v>
      </c>
    </row>
    <row r="820" customFormat="false" ht="17.15" hidden="false" customHeight="false" outlineLevel="0" collapsed="false">
      <c r="A820" s="0" t="s">
        <v>604</v>
      </c>
      <c r="B820" s="0" t="s">
        <v>605</v>
      </c>
      <c r="F820" s="32" t="n">
        <f aca="false">Sens!$F$812*Sens!$F$816</f>
        <v>19782.2417524844</v>
      </c>
      <c r="G820" s="32" t="n">
        <f aca="false">Sens!$F$820</f>
        <v>19782.2417524844</v>
      </c>
      <c r="H820" s="32" t="n">
        <f aca="false">Sens!$G$820+Sens!$H$812*Sens!$H$816</f>
        <v>60563.3616992009</v>
      </c>
      <c r="I820" s="32" t="n">
        <f aca="false">Sens!$H$820+Sens!$I$812*Sens!$I$816</f>
        <v>102561.118087665</v>
      </c>
      <c r="J820" s="32" t="n">
        <f aca="false">Sens!$I$820+Sens!$J$812*Sens!$J$816</f>
        <v>144558.87447613</v>
      </c>
      <c r="K820" s="32" t="n">
        <f aca="false">Sens!$J$820+Sens!$K$812*Sens!$K$816</f>
        <v>174267.663781572</v>
      </c>
      <c r="L820" s="32" t="n">
        <f aca="false">Sens!$K$820+Sens!$L$812*Sens!$L$816</f>
        <v>191687.486003992</v>
      </c>
      <c r="M820" s="32" t="n">
        <f aca="false">Sens!$L$820+Sens!$M$812*Sens!$M$816</f>
        <v>196818.341143389</v>
      </c>
    </row>
    <row r="821" customFormat="false" ht="17.15" hidden="false" customHeight="false" outlineLevel="0" collapsed="false">
      <c r="A821" s="0" t="s">
        <v>606</v>
      </c>
      <c r="B821" s="0" t="s">
        <v>605</v>
      </c>
      <c r="F821" s="32" t="n">
        <f aca="false">Sens!$F$812*Sens!$F$817</f>
        <v>3602.74485070566</v>
      </c>
      <c r="G821" s="32" t="n">
        <f aca="false">Sens!$F$821</f>
        <v>3602.74485070566</v>
      </c>
      <c r="H821" s="32" t="n">
        <f aca="false">Sens!$G$821+Sens!$H$812*Sens!$H$817</f>
        <v>10908.9598445736</v>
      </c>
      <c r="I821" s="32" t="n">
        <f aca="false">Sens!$H$821+Sens!$I$812*Sens!$I$817</f>
        <v>18315.9001308981</v>
      </c>
      <c r="J821" s="32" t="n">
        <f aca="false">Sens!$I$821+Sens!$J$812*Sens!$J$817</f>
        <v>25722.8404172225</v>
      </c>
      <c r="K821" s="32" t="n">
        <f aca="false">Sens!$J$821+Sens!$K$812*Sens!$K$817</f>
        <v>30962.4352738861</v>
      </c>
      <c r="L821" s="32" t="n">
        <f aca="false">Sens!$K$821+Sens!$L$812*Sens!$L$817</f>
        <v>34034.6847008886</v>
      </c>
      <c r="M821" s="32" t="n">
        <f aca="false">Sens!$L$821+Sens!$M$812*Sens!$M$817</f>
        <v>34939.5886982302</v>
      </c>
    </row>
    <row r="822" customFormat="false" ht="17.15" hidden="false" customHeight="false" outlineLevel="0" collapsed="false">
      <c r="A822" s="5" t="s">
        <v>607</v>
      </c>
      <c r="B822" s="0" t="s">
        <v>173</v>
      </c>
      <c r="F822" s="36" t="n">
        <f aca="false">IF(Sens!$F$819&gt;0,Sens!$F$820/Sens!$F$819,Sens!$F$816)</f>
        <v>10.8864110021101</v>
      </c>
      <c r="G822" s="36" t="n">
        <f aca="false">IF(Sens!$G$819&gt;0,Sens!$G$820/Sens!$G$819,Sens!$G$816)</f>
        <v>10.8864110021101</v>
      </c>
      <c r="H822" s="36" t="n">
        <f aca="false">IF(Sens!$H$819&gt;0,Sens!$H$820/Sens!$H$819,Sens!$H$816)</f>
        <v>11.1095876691891</v>
      </c>
      <c r="I822" s="36" t="n">
        <f aca="false">IF(Sens!$I$819&gt;0,Sens!$I$820/Sens!$I$819,Sens!$I$816)</f>
        <v>11.2881290028523</v>
      </c>
      <c r="J822" s="36" t="n">
        <f aca="false">IF(Sens!$J$819&gt;0,Sens!$J$820/Sens!$J$819,Sens!$J$816)</f>
        <v>11.3646467172794</v>
      </c>
      <c r="K822" s="36" t="n">
        <f aca="false">IF(Sens!$K$819&gt;0,Sens!$K$820/Sens!$K$819,Sens!$K$816)</f>
        <v>11.3968090914432</v>
      </c>
      <c r="L822" s="36" t="n">
        <f aca="false">IF(Sens!$L$819&gt;0,Sens!$L$820/Sens!$L$819,Sens!$L$816)</f>
        <v>11.4110891181192</v>
      </c>
      <c r="M822" s="36" t="n">
        <f aca="false">IF(Sens!$M$819&gt;0,Sens!$M$820/Sens!$M$819,Sens!$M$816)</f>
        <v>11.4148191458201</v>
      </c>
    </row>
    <row r="823" customFormat="false" ht="17.15" hidden="false" customHeight="false" outlineLevel="0" collapsed="false">
      <c r="A823" s="5" t="s">
        <v>608</v>
      </c>
      <c r="B823" s="0" t="s">
        <v>173</v>
      </c>
      <c r="F823" s="36" t="n">
        <f aca="false">IF(Sens!$F$819&gt;0,Sens!$F$821/Sens!$F$819,Sens!$F$817)</f>
        <v>1.98263481314457</v>
      </c>
      <c r="G823" s="36" t="n">
        <f aca="false">IF(Sens!$G$819&gt;0,Sens!$G$821/Sens!$G$819,Sens!$G$817)</f>
        <v>1.98263481314457</v>
      </c>
      <c r="H823" s="36" t="n">
        <f aca="false">IF(Sens!$H$819&gt;0,Sens!$H$821/Sens!$H$819,Sens!$H$817)</f>
        <v>2.00111160233948</v>
      </c>
      <c r="I823" s="36" t="n">
        <f aca="false">IF(Sens!$I$819&gt;0,Sens!$I$821/Sens!$I$819,Sens!$I$817)</f>
        <v>2.01589303369541</v>
      </c>
      <c r="J823" s="36" t="n">
        <f aca="false">IF(Sens!$J$819&gt;0,Sens!$J$821/Sens!$J$819,Sens!$J$817)</f>
        <v>2.02222793284795</v>
      </c>
      <c r="K823" s="36" t="n">
        <f aca="false">IF(Sens!$K$819&gt;0,Sens!$K$821/Sens!$K$819,Sens!$K$817)</f>
        <v>2.02489065478573</v>
      </c>
      <c r="L823" s="36" t="n">
        <f aca="false">IF(Sens!$L$819&gt;0,Sens!$L$821/Sens!$L$819,Sens!$L$817)</f>
        <v>2.0260728977417</v>
      </c>
      <c r="M823" s="36" t="n">
        <f aca="false">IF(Sens!$M$819&gt;0,Sens!$M$821/Sens!$M$819,Sens!$M$817)</f>
        <v>2.02638170661685</v>
      </c>
    </row>
    <row r="824" customFormat="false" ht="17.15" hidden="false" customHeight="false" outlineLevel="0" collapsed="false">
      <c r="A824" s="15" t="s">
        <v>609</v>
      </c>
      <c r="B824" s="14" t="s">
        <v>173</v>
      </c>
      <c r="C824" s="14"/>
      <c r="D824" s="14"/>
      <c r="E824" s="14"/>
      <c r="F824" s="37" t="n">
        <f aca="false">Sens!$F$822*k_B</f>
        <v>10.7987645808025</v>
      </c>
      <c r="G824" s="37" t="n">
        <f aca="false">Sens!$G$822*k_B</f>
        <v>10.7987645808025</v>
      </c>
      <c r="H824" s="37" t="n">
        <f aca="false">Sens!$H$822*k_B</f>
        <v>11.0201444540452</v>
      </c>
      <c r="I824" s="37" t="n">
        <f aca="false">Sens!$I$822*k_B</f>
        <v>11.1972483526393</v>
      </c>
      <c r="J824" s="37" t="n">
        <f aca="false">Sens!$J$822*k_B</f>
        <v>11.2731500234653</v>
      </c>
      <c r="K824" s="37" t="n">
        <f aca="false">Sens!$K$822*k_B</f>
        <v>11.3050534585724</v>
      </c>
      <c r="L824" s="37" t="n">
        <f aca="false">Sens!$L$822*k_B</f>
        <v>11.3192185168503</v>
      </c>
      <c r="M824" s="37" t="n">
        <f aca="false">Sens!$M$822*k_B</f>
        <v>11.3229185141234</v>
      </c>
      <c r="N824" s="14"/>
      <c r="O824" s="14"/>
      <c r="P824" s="5" t="s">
        <v>610</v>
      </c>
    </row>
    <row r="825" customFormat="false" ht="17.15" hidden="false" customHeight="false" outlineLevel="0" collapsed="false">
      <c r="A825" s="5" t="s">
        <v>611</v>
      </c>
      <c r="B825" s="0" t="s">
        <v>129</v>
      </c>
      <c r="F825" s="32" t="n">
        <f aca="false">Sens!$F$819/2</f>
        <v>908.575</v>
      </c>
      <c r="H825" s="32" t="n">
        <f aca="false">(Sens!$G$819+Sens!$H$819)/2</f>
        <v>3634.3</v>
      </c>
      <c r="I825" s="32" t="n">
        <f aca="false">(Sens!$H$819+Sens!$I$819)/2</f>
        <v>7268.6</v>
      </c>
      <c r="J825" s="32" t="n">
        <f aca="false">(Sens!$I$819+Sens!$J$819)/2</f>
        <v>10902.9</v>
      </c>
      <c r="K825" s="32" t="n">
        <f aca="false">(Sens!$J$819+Sens!$K$819)/2</f>
        <v>14005.4835833333</v>
      </c>
      <c r="L825" s="32" t="n">
        <f aca="false">(Sens!$K$819+Sens!$L$819)/2</f>
        <v>16044.6343333333</v>
      </c>
      <c r="M825" s="32" t="n">
        <f aca="false">(Sens!$L$819+Sens!$M$819)/2</f>
        <v>17020.35225</v>
      </c>
    </row>
    <row r="826" customFormat="false" ht="17.15" hidden="false" customHeight="false" outlineLevel="0" collapsed="false">
      <c r="A826" s="1" t="s">
        <v>612</v>
      </c>
    </row>
    <row r="827" customFormat="false" ht="17.15" hidden="false" customHeight="false" outlineLevel="0" collapsed="false">
      <c r="A827" s="1" t="s">
        <v>613</v>
      </c>
      <c r="B827" s="8" t="s">
        <v>86</v>
      </c>
      <c r="C827" s="38" t="n">
        <f aca="false">Sens!$C$810*rpm_open*Sens!$C$811/1000</f>
        <v>2.32100535697364</v>
      </c>
      <c r="D827" s="38" t="n">
        <f aca="false">Sens!$D$810*rpm_open*Sens!$D$811/1000</f>
        <v>8.70377008865116</v>
      </c>
      <c r="E827" s="38" t="n">
        <f aca="false">Sens!$E$810*rpm_open*Sens!$E$811/1000</f>
        <v>8.51035297557002</v>
      </c>
      <c r="F827" s="38" t="n">
        <f aca="false">(mw_open*rpm_open+Sens!$F$825*Sens!$F$824)*Sens!$F$811/1000</f>
        <v>14.9634336447205</v>
      </c>
      <c r="G827" s="38" t="n">
        <f aca="false">Sens!$E$827+Sens!$F$827</f>
        <v>23.4737866202905</v>
      </c>
      <c r="H827" s="38" t="n">
        <f aca="false">(mw_open*rpm_open+Sens!$H$825*Sens!$H$824)/1000</f>
        <v>60.1658907497746</v>
      </c>
      <c r="I827" s="38" t="n">
        <f aca="false">(mw_open*rpm_open+Sens!$I$825*Sens!$I$824)/1000</f>
        <v>101.503699136432</v>
      </c>
      <c r="J827" s="38" t="n">
        <f aca="false">(mw_open*rpm_open+Sens!$J$825*Sens!$J$824)/1000</f>
        <v>143.025407151278</v>
      </c>
      <c r="K827" s="38" t="n">
        <f aca="false">(mw_open*rpm_open+Sens!$K$825*Sens!$K$824)/1000</f>
        <v>178.44812038318</v>
      </c>
      <c r="L827" s="38" t="n">
        <f aca="false">(mw_open*rpm_open+Sens!$L$825*Sens!$L$824)/1000</f>
        <v>201.728101802396</v>
      </c>
      <c r="M827" s="38" t="n">
        <f aca="false">(mw_open*rpm_open+Sens!$M$825*Sens!$M$824)/1000</f>
        <v>212.835441368865</v>
      </c>
      <c r="N827" s="38" t="n">
        <f aca="false">Sens!$N$810*rpm_open*Sens!$N$811/1000</f>
        <v>3.04631953102791</v>
      </c>
      <c r="O827" s="38" t="n">
        <f aca="false">Sens!$O$810*rpm_open*Sens!$O$811/1000</f>
        <v>5.65745055762326</v>
      </c>
      <c r="P827" s="5" t="s">
        <v>614</v>
      </c>
    </row>
    <row r="828" customFormat="false" ht="17.15" hidden="false" customHeight="false" outlineLevel="0" collapsed="false">
      <c r="A828" s="5" t="s">
        <v>615</v>
      </c>
      <c r="B828" s="0" t="s">
        <v>173</v>
      </c>
      <c r="C828" s="36" t="n">
        <f aca="false">Sens!$C$827*1000/(Sens!$C$810*Sens!$C$811)</f>
        <v>9.67085565405685</v>
      </c>
      <c r="D828" s="36" t="n">
        <f aca="false">Sens!$D$827*1000/(Sens!$D$810*Sens!$D$811)</f>
        <v>9.67085565405685</v>
      </c>
      <c r="E828" s="36" t="n">
        <f aca="false">Sens!$E$827*1000/(Sens!$E$810*Sens!$E$811)</f>
        <v>9.67085565405685</v>
      </c>
      <c r="F828" s="36" t="n">
        <f aca="false">Sens!$F$827*1000/(Sens!$F$810*Sens!$F$811)</f>
        <v>10.0137581588017</v>
      </c>
      <c r="G828" s="36" t="n">
        <f aca="false">Sens!$G$827*1000/(Sens!$G$810*Sens!$G$811)</f>
        <v>9.88666562928478</v>
      </c>
      <c r="H828" s="36" t="n">
        <f aca="false">Sens!$H$827*1000/(Sens!$H$810*Sens!$H$811)</f>
        <v>10.5290045586992</v>
      </c>
      <c r="I828" s="36" t="n">
        <f aca="false">Sens!$I$827*1000/(Sens!$I$810*Sens!$I$811)</f>
        <v>10.8576363451674</v>
      </c>
      <c r="J828" s="36" t="n">
        <f aca="false">Sens!$J$827*1000/(Sens!$J$810*Sens!$J$811)</f>
        <v>11.0164452588619</v>
      </c>
      <c r="K828" s="36" t="n">
        <f aca="false">Sens!$K$827*1000/(Sens!$K$810*Sens!$K$811)</f>
        <v>11.0937367508227</v>
      </c>
      <c r="L828" s="36" t="n">
        <f aca="false">Sens!$L$827*1000/(Sens!$L$810*Sens!$L$811)</f>
        <v>11.1300508519168</v>
      </c>
      <c r="M828" s="36" t="n">
        <f aca="false">Sens!$M$827*1000/(Sens!$M$810*Sens!$M$811)</f>
        <v>11.1430113216297</v>
      </c>
      <c r="N828" s="36" t="n">
        <f aca="false">Sens!$N$827*1000/(Sens!$N$810*Sens!$N$811)</f>
        <v>9.67085565405685</v>
      </c>
      <c r="O828" s="36" t="n">
        <f aca="false">Sens!$O$827*1000/(Sens!$O$810*Sens!$O$811)</f>
        <v>9.67085565405685</v>
      </c>
    </row>
    <row r="829" customFormat="false" ht="17.15" hidden="false" customHeight="false" outlineLevel="0" collapsed="false">
      <c r="A829" s="0" t="s">
        <v>616</v>
      </c>
      <c r="B829" s="0" t="s">
        <v>86</v>
      </c>
      <c r="C829" s="38" t="n">
        <f aca="false">Sens!$C$810/ext_sh_lo*(ox_open+rent_mw)*Sens!$C$811/1000</f>
        <v>0.85675894756671</v>
      </c>
      <c r="D829" s="38" t="n">
        <f aca="false">Sens!$D$810/ext_sh_lo*(ox_open+rent_mw)*Sens!$D$811/1000</f>
        <v>3.21284605337516</v>
      </c>
      <c r="E829" s="38" t="n">
        <f aca="false">Sens!$E$810/ext_sh_lo*(ox_open+rent_mw)*Sens!$E$811/1000</f>
        <v>3.14144947441127</v>
      </c>
      <c r="F829" s="38" t="n">
        <f aca="false">((mw_open*ox_open+Sens!$F$825*Sens!$F$823)/ext_sh_lo+Sens!$F$810/ext_sh_lo*rent_mw)*Sens!$F$811/1000</f>
        <v>5.4056265480831</v>
      </c>
      <c r="G829" s="38" t="n">
        <f aca="false">Sens!$E$829+Sens!$F$829</f>
        <v>8.54707602249437</v>
      </c>
      <c r="H829" s="38" t="n">
        <f aca="false">((mw_open*ox_open+Sens!$H$825*Sens!$H$823)/ext_sh_lo+Sens!$H$810/ext_sh_lo*rent_mw)*Sens!$H$811/1000</f>
        <v>21.0811967395488</v>
      </c>
      <c r="I829" s="38" t="n">
        <f aca="false">((mw_open*ox_open+Sens!$I$825*Sens!$I$823)/ext_sh_lo+Sens!$I$810/ext_sh_lo*rent_mw)*Sens!$I$811/1000</f>
        <v>34.9162164534422</v>
      </c>
      <c r="J829" s="38" t="n">
        <f aca="false">((mw_open*ox_open+Sens!$J$825*Sens!$J$823)/ext_sh_lo+Sens!$J$810/ext_sh_lo*rent_mw)*Sens!$J$811/1000</f>
        <v>48.7768171939913</v>
      </c>
      <c r="K829" s="38" t="n">
        <f aca="false">((mw_open*ox_open+Sens!$K$825*Sens!$K$823)/ext_sh_lo+Sens!$K$810/ext_sh_lo*rent_mw)*Sens!$K$811/1000</f>
        <v>60.606181485017</v>
      </c>
      <c r="L829" s="38" t="n">
        <f aca="false">((mw_open*ox_open+Sens!$L$825*Sens!$L$823)/ext_sh_lo+Sens!$L$810/ext_sh_lo*rent_mw)*Sens!$L$811/1000</f>
        <v>68.3807594072603</v>
      </c>
      <c r="M829" s="38" t="n">
        <f aca="false">((mw_open*ox_open+Sens!$M$825*Sens!$M$823)/ext_sh_lo+Sens!$M$810/ext_sh_lo*rent_mw)*Sens!$M$811/1000</f>
        <v>72.0963903784531</v>
      </c>
      <c r="N829" s="38" t="n">
        <f aca="false">Sens!$N$810/ext_sh_lo*(ox_open+rent_mw)*Sens!$N$811/1000</f>
        <v>1.12449611868131</v>
      </c>
      <c r="O829" s="38" t="n">
        <f aca="false">Sens!$O$810/ext_sh_lo*(ox_open+rent_mw)*Sens!$O$811/1000</f>
        <v>2.08834993469385</v>
      </c>
    </row>
    <row r="830" customFormat="false" ht="17.15" hidden="false" customHeight="false" outlineLevel="0" collapsed="false">
      <c r="A830" s="0" t="s">
        <v>617</v>
      </c>
      <c r="B830" s="0" t="s">
        <v>86</v>
      </c>
      <c r="C830" s="38" t="n">
        <f aca="false">Q!$D$7</f>
        <v>107.556</v>
      </c>
      <c r="D830" s="38" t="n">
        <f aca="false">Q!$E$7</f>
        <v>128.725</v>
      </c>
      <c r="E830" s="38" t="n">
        <f aca="false">Q!$P$7</f>
        <v>79.819</v>
      </c>
      <c r="N830" s="38" t="n">
        <f aca="false">Q!$N$7</f>
        <v>60.14</v>
      </c>
      <c r="O830" s="38" t="n">
        <f aca="false">Q!$O$7</f>
        <v>68.585</v>
      </c>
    </row>
    <row r="831" customFormat="false" ht="17.15" hidden="false" customHeight="false" outlineLevel="0" collapsed="false">
      <c r="A831" s="1" t="s">
        <v>618</v>
      </c>
      <c r="B831" s="8" t="s">
        <v>86</v>
      </c>
      <c r="C831" s="38" t="n">
        <f aca="false">Sens!$C$830-Sens!$C$827</f>
        <v>105.234994643026</v>
      </c>
      <c r="D831" s="38" t="n">
        <f aca="false">Sens!$D$830-Sens!$D$827</f>
        <v>120.021229911349</v>
      </c>
      <c r="E831" s="38" t="n">
        <f aca="false">Sens!$E$830-Sens!$E$827</f>
        <v>71.30864702443</v>
      </c>
      <c r="F831" s="38" t="n">
        <f aca="false">Sens!$O$831*(1+Sens!$F$832)</f>
        <v>71.7692997942464</v>
      </c>
      <c r="G831" s="38" t="n">
        <f aca="false">Sens!$E$831+Sens!$F$831</f>
        <v>143.077946818676</v>
      </c>
      <c r="H831" s="38" t="n">
        <f aca="false">Sens!$G$831*(1+Sens!$H$832)</f>
        <v>161.017077079203</v>
      </c>
      <c r="I831" s="38" t="n">
        <f aca="false">Sens!$H$831*(1+Sens!$I$832)</f>
        <v>178.769759521457</v>
      </c>
      <c r="J831" s="38" t="n">
        <f aca="false">Sens!$I$831*(1+Sens!$J$832)</f>
        <v>195.775538045907</v>
      </c>
      <c r="K831" s="38" t="n">
        <f aca="false">Sens!$J$831*(1+Sens!$K$832)</f>
        <v>211.43758108958</v>
      </c>
      <c r="L831" s="38" t="n">
        <f aca="false">Sens!$K$831*(1+Sens!$L$832)</f>
        <v>228.352587576746</v>
      </c>
      <c r="M831" s="38" t="n">
        <f aca="false">Sens!$L$831*(1+Sens!$M$832)</f>
        <v>246.620794582886</v>
      </c>
      <c r="N831" s="38" t="n">
        <f aca="false">Sens!$N$830-Sens!$N$827</f>
        <v>57.0936804689721</v>
      </c>
      <c r="O831" s="38" t="n">
        <f aca="false">Sens!$O$830-Sens!$O$827</f>
        <v>62.9275494423768</v>
      </c>
      <c r="P831" s="5" t="s">
        <v>619</v>
      </c>
    </row>
    <row r="832" customFormat="false" ht="17.15" hidden="false" customHeight="false" outlineLevel="0" collapsed="false">
      <c r="A832" s="0" t="s">
        <v>620</v>
      </c>
      <c r="B832" s="0" t="s">
        <v>52</v>
      </c>
      <c r="D832" s="13" t="n">
        <f aca="false">Sens!$D$831/Sens!$C$831-1</f>
        <v>0.140506827776062</v>
      </c>
      <c r="E832" s="13" t="n">
        <f aca="false">Sens!$E$831/Sens!$N$831-1</f>
        <v>0.248976181579029</v>
      </c>
      <c r="F832" s="13" t="n">
        <f aca="false">Sens!$D$832</f>
        <v>0.140506827776062</v>
      </c>
      <c r="G832" s="13" t="n">
        <f aca="false">Sens!$G$831/Sens!$D$831-1</f>
        <v>0.19210532106993</v>
      </c>
      <c r="H832" s="13" t="n">
        <f aca="false">Sens!$F$832+(g_awso_lt-Sens!$F$832)*1/4</f>
        <v>0.125380120832046</v>
      </c>
      <c r="I832" s="13" t="n">
        <f aca="false">Sens!$F$832+(g_awso_lt-Sens!$F$832)*2/4</f>
        <v>0.110253413888031</v>
      </c>
      <c r="J832" s="13" t="n">
        <f aca="false">Sens!$F$832+(g_awso_lt-Sens!$F$832)*3/4</f>
        <v>0.0951267069440154</v>
      </c>
      <c r="K832" s="13" t="n">
        <f aca="false">Sens!$F$832+(g_awso_lt-Sens!$F$832)*4/4</f>
        <v>0.08</v>
      </c>
      <c r="L832" s="13" t="n">
        <f aca="false">g_awso_lt</f>
        <v>0.08</v>
      </c>
      <c r="M832" s="13" t="n">
        <f aca="false">g_awso_lt</f>
        <v>0.08</v>
      </c>
      <c r="P832" s="5" t="s">
        <v>621</v>
      </c>
    </row>
    <row r="833" customFormat="false" ht="17.15" hidden="false" customHeight="false" outlineLevel="0" collapsed="false">
      <c r="A833" s="1" t="s">
        <v>622</v>
      </c>
    </row>
    <row r="834" customFormat="false" ht="17.15" hidden="false" customHeight="false" outlineLevel="0" collapsed="false">
      <c r="A834" s="0" t="s">
        <v>623</v>
      </c>
      <c r="B834" s="0" t="s">
        <v>86</v>
      </c>
      <c r="F834" s="38" t="n">
        <f aca="false">cx_rt*Sens!$F$799+cx_awso*Sens!$F$831</f>
        <v>34.9734495387866</v>
      </c>
    </row>
    <row r="835" customFormat="false" ht="17.15" hidden="false" customHeight="false" outlineLevel="0" collapsed="false">
      <c r="A835" s="0" t="s">
        <v>624</v>
      </c>
      <c r="B835" s="0" t="s">
        <v>52</v>
      </c>
      <c r="C835" s="13" t="n">
        <f aca="false">tk_cx_h100/(tk_cx_h100+tk_fac*(1-colo_sh))</f>
        <v>0.730756458006641</v>
      </c>
      <c r="D835" s="13" t="n">
        <f aca="false">tk_cx_h100/(tk_cx_h100+tk_fac*(1-colo_sh))</f>
        <v>0.730756458006641</v>
      </c>
      <c r="E835" s="13" t="n">
        <f aca="false">Sens!$F$835</f>
        <v>0.760792334328868</v>
      </c>
      <c r="F835" s="13" t="n">
        <f aca="false">Sens!$F$818/(Sens!$F$818+tk_fac*(1-colo_sh))</f>
        <v>0.760792334328868</v>
      </c>
      <c r="G835" s="13" t="n">
        <f aca="false">Sens!$G$818/(Sens!$G$818+tk_fac*(1-colo_sh))</f>
        <v>0.760792334328868</v>
      </c>
      <c r="H835" s="13" t="n">
        <f aca="false">Sens!$H$818/(Sens!$H$818+tk_fac*(1-colo_sh))</f>
        <v>0.768110668862996</v>
      </c>
      <c r="I835" s="13" t="n">
        <f aca="false">Sens!$I$818/(Sens!$I$818+tk_fac*(1-colo_sh))</f>
        <v>0.77499450139483</v>
      </c>
      <c r="J835" s="13" t="n">
        <f aca="false">Sens!$J$818/(Sens!$J$818+tk_fac*(1-colo_sh))</f>
        <v>0.77499450139483</v>
      </c>
      <c r="K835" s="13" t="n">
        <f aca="false">Sens!$K$818/(Sens!$K$818+tk_fac*(1-colo_sh))</f>
        <v>0.77499450139483</v>
      </c>
      <c r="L835" s="13" t="n">
        <f aca="false">Sens!$L$818/(Sens!$L$818+tk_fac*(1-colo_sh))</f>
        <v>0.77499450139483</v>
      </c>
      <c r="M835" s="13" t="n">
        <f aca="false">Sens!$M$818/(Sens!$M$818+tk_fac*(1-colo_sh))</f>
        <v>0.77499450139483</v>
      </c>
    </row>
    <row r="836" customFormat="false" ht="17.15" hidden="false" customHeight="false" outlineLevel="0" collapsed="false">
      <c r="A836" s="1" t="s">
        <v>625</v>
      </c>
      <c r="B836" s="8" t="s">
        <v>86</v>
      </c>
      <c r="C836" s="38" t="n">
        <f aca="false">Q!$D$46-cx_rt*Q!$D$16-cx_awso*Sens!$C$831</f>
        <v>25.2781053077374</v>
      </c>
      <c r="D836" s="38" t="n">
        <f aca="false">Q!$E$46-cx_rt*Q!$E$16-cx_awso*Sens!$D$831</f>
        <v>69.5686316310026</v>
      </c>
      <c r="E836" s="38" t="n">
        <f aca="false">Q!$P$46-cx_rt*Q!$P$16-cx_awso*Sens!$E$831</f>
        <v>64.1899206485108</v>
      </c>
      <c r="F836" s="38" t="n">
        <f aca="false">MAX(Sens!$F$813*(Sens!$F$818+tk_fac*(1-colo_sh))/1000,capex_g26-Q!$P$46-Sens!$F$834)</f>
        <v>128.330839986</v>
      </c>
      <c r="G836" s="38" t="n">
        <f aca="false">Sens!$E$836+Sens!$F$836</f>
        <v>192.520760634511</v>
      </c>
      <c r="H836" s="38" t="n">
        <f aca="false">Sens!$H$813*(Sens!$H$818+tk_fac*(1-colo_sh))/1000+Sens!$H$837</f>
        <v>264.761819926333</v>
      </c>
      <c r="I836" s="38" t="n">
        <f aca="false">Sens!$I$813*(Sens!$I$818+tk_fac*(1-colo_sh))/1000+Sens!$I$837</f>
        <v>272.861959880667</v>
      </c>
      <c r="J836" s="38" t="n">
        <f aca="false">Sens!$J$813*(Sens!$J$818+tk_fac*(1-colo_sh))/1000+Sens!$J$837</f>
        <v>279.844317480667</v>
      </c>
      <c r="K836" s="38" t="n">
        <f aca="false">Sens!$K$813*(Sens!$K$818+tk_fac*(1-colo_sh))/1000+Sens!$K$837</f>
        <v>206.984513700268</v>
      </c>
      <c r="L836" s="38" t="n">
        <f aca="false">Sens!$L$813*(Sens!$L$818+tk_fac*(1-colo_sh))/1000+Sens!$L$837</f>
        <v>176.018855519869</v>
      </c>
      <c r="M836" s="38" t="n">
        <f aca="false">Sens!$M$813*(Sens!$M$818+tk_fac*(1-colo_sh))/1000+Sens!$M$837</f>
        <v>176.30797554647</v>
      </c>
      <c r="P836" s="5" t="s">
        <v>626</v>
      </c>
      <c r="R836" s="38" t="n">
        <f aca="false">Q!$C$46-cx_rt*Q!$C$16-cx_awso*(Q!$C$7-mw_ye23/2*rpm_open/1000)</f>
        <v>1.50429979529945</v>
      </c>
      <c r="S836" s="38" t="n">
        <f aca="false">Sens!$C$836</f>
        <v>25.2781053077374</v>
      </c>
      <c r="T836" s="38" t="n">
        <f aca="false">Sens!$D$836</f>
        <v>69.5686316310026</v>
      </c>
      <c r="U836" s="38" t="n">
        <f aca="false">Sens!$G$836</f>
        <v>192.520760634511</v>
      </c>
      <c r="V836" s="38" t="n">
        <f aca="false">Sens!$H$836</f>
        <v>264.761819926333</v>
      </c>
      <c r="W836" s="38" t="n">
        <f aca="false">Sens!$I$836</f>
        <v>272.861959880667</v>
      </c>
      <c r="X836" s="38" t="n">
        <f aca="false">Sens!$J$836</f>
        <v>279.844317480667</v>
      </c>
      <c r="Y836" s="38" t="n">
        <f aca="false">Sens!$K$836</f>
        <v>206.984513700268</v>
      </c>
      <c r="Z836" s="38" t="n">
        <f aca="false">Sens!$L$836</f>
        <v>176.018855519869</v>
      </c>
      <c r="AA836" s="38" t="n">
        <f aca="false">Sens!$M$836</f>
        <v>176.30797554647</v>
      </c>
    </row>
    <row r="837" customFormat="false" ht="17.15" hidden="false" customHeight="false" outlineLevel="0" collapsed="false">
      <c r="A837" s="0" t="s">
        <v>627</v>
      </c>
      <c r="B837" s="0" t="s">
        <v>86</v>
      </c>
      <c r="H837" s="38" t="n">
        <f aca="false">SUMPRODUCT(--(Sens!$R$806:$AA$806=2027-tk_life),Sens!$R$813:$AA$813)*Sens!$H$818/1000</f>
        <v>0</v>
      </c>
      <c r="I837" s="38" t="n">
        <f aca="false">SUMPRODUCT(--(Sens!$R$806:$AA$806=2028-tk_life),Sens!$R$813:$AA$813)*Sens!$I$818/1000</f>
        <v>0</v>
      </c>
      <c r="J837" s="38" t="n">
        <f aca="false">SUMPRODUCT(--(Sens!$R$806:$AA$806=2029-tk_life),Sens!$R$813:$AA$813)*Sens!$J$818/1000</f>
        <v>6.9823576</v>
      </c>
      <c r="K837" s="38" t="n">
        <f aca="false">SUMPRODUCT(--(Sens!$R$806:$AA$806=2030-tk_life),Sens!$R$813:$AA$813)*Sens!$K$818/1000</f>
        <v>13.9647152</v>
      </c>
      <c r="L837" s="38" t="n">
        <f aca="false">SUMPRODUCT(--(Sens!$R$806:$AA$806=2031-tk_life),Sens!$R$813:$AA$813)*Sens!$L$818/1000</f>
        <v>62.8412184</v>
      </c>
      <c r="M837" s="38" t="n">
        <f aca="false">SUMPRODUCT(--(Sens!$R$806:$AA$806=2032-tk_life),Sens!$R$813:$AA$813)*Sens!$M$818/1000</f>
        <v>142.972499807</v>
      </c>
    </row>
    <row r="838" customFormat="false" ht="17.15" hidden="false" customHeight="false" outlineLevel="0" collapsed="false">
      <c r="A838" s="5" t="s">
        <v>628</v>
      </c>
      <c r="B838" s="0" t="s">
        <v>86</v>
      </c>
      <c r="C838" s="38" t="n">
        <f aca="false">Sens!$C$836*Sens!$C$835</f>
        <v>18.472138699801</v>
      </c>
      <c r="D838" s="38" t="n">
        <f aca="false">Sens!$D$836*Sens!$D$835</f>
        <v>50.8377268390402</v>
      </c>
      <c r="E838" s="38" t="n">
        <f aca="false">Sens!$E$836*Sens!$E$835</f>
        <v>48.8351995705653</v>
      </c>
      <c r="F838" s="38" t="n">
        <f aca="false">Sens!$F$836*Sens!$F$835</f>
        <v>97.6331193193333</v>
      </c>
      <c r="G838" s="38" t="n">
        <f aca="false">Sens!$E$838+Sens!$F$838</f>
        <v>146.468318889899</v>
      </c>
      <c r="H838" s="38" t="n">
        <f aca="false">(Sens!$H$836-Sens!$H$837)*Sens!$H$835+Sens!$H$837</f>
        <v>203.366378593</v>
      </c>
      <c r="I838" s="38" t="n">
        <f aca="false">(Sens!$I$836-Sens!$I$837)*Sens!$I$835+Sens!$I$837</f>
        <v>211.466518547333</v>
      </c>
      <c r="J838" s="38" t="n">
        <f aca="false">(Sens!$J$836-Sens!$J$837)*Sens!$J$835+Sens!$J$837</f>
        <v>218.448876147333</v>
      </c>
      <c r="K838" s="38" t="n">
        <f aca="false">(Sens!$K$836-Sens!$K$837)*Sens!$K$835+Sens!$K$837</f>
        <v>163.553997698046</v>
      </c>
      <c r="L838" s="38" t="n">
        <f aca="false">(Sens!$L$836-Sens!$L$837)*Sens!$L$835+Sens!$L$837</f>
        <v>150.553264848758</v>
      </c>
      <c r="M838" s="38" t="n">
        <f aca="false">(Sens!$M$836-Sens!$M$837)*Sens!$M$835+Sens!$M$837</f>
        <v>168.80731020647</v>
      </c>
      <c r="R838" s="38" t="n">
        <f aca="false">Sens!$R$836*Sens!$C$835</f>
        <v>1.09927679019314</v>
      </c>
      <c r="S838" s="38" t="n">
        <f aca="false">Sens!$C$838</f>
        <v>18.472138699801</v>
      </c>
      <c r="T838" s="38" t="n">
        <f aca="false">Sens!$D$838</f>
        <v>50.8377268390402</v>
      </c>
      <c r="U838" s="38" t="n">
        <f aca="false">Sens!$G$838</f>
        <v>146.468318889899</v>
      </c>
      <c r="V838" s="38" t="n">
        <f aca="false">Sens!$H$838</f>
        <v>203.366378593</v>
      </c>
      <c r="W838" s="38" t="n">
        <f aca="false">Sens!$I$838</f>
        <v>211.466518547333</v>
      </c>
      <c r="X838" s="38" t="n">
        <f aca="false">Sens!$J$838</f>
        <v>218.448876147333</v>
      </c>
      <c r="Y838" s="38" t="n">
        <f aca="false">Sens!$K$838</f>
        <v>163.553997698046</v>
      </c>
      <c r="Z838" s="38" t="n">
        <f aca="false">Sens!$L$838</f>
        <v>150.553264848758</v>
      </c>
      <c r="AA838" s="38" t="n">
        <f aca="false">Sens!$M$838</f>
        <v>168.80731020647</v>
      </c>
    </row>
    <row r="839" customFormat="false" ht="15" hidden="false" customHeight="false" outlineLevel="0" collapsed="false">
      <c r="A839" s="5" t="s">
        <v>629</v>
      </c>
      <c r="B839" s="0" t="s">
        <v>86</v>
      </c>
      <c r="C839" s="38" t="n">
        <f aca="false">Sens!$C$836-Sens!$C$838</f>
        <v>6.80596660793636</v>
      </c>
      <c r="D839" s="38" t="n">
        <f aca="false">Sens!$D$836-Sens!$D$838</f>
        <v>18.7309047919624</v>
      </c>
      <c r="E839" s="38" t="n">
        <f aca="false">Sens!$E$836-Sens!$E$838</f>
        <v>15.3547210779455</v>
      </c>
      <c r="F839" s="38" t="n">
        <f aca="false">Sens!$F$836-Sens!$F$838</f>
        <v>30.6977206666667</v>
      </c>
      <c r="G839" s="38" t="n">
        <f aca="false">Sens!$G$836-Sens!$G$838</f>
        <v>46.0524417446122</v>
      </c>
      <c r="H839" s="38" t="n">
        <f aca="false">Sens!$H$836-Sens!$H$838</f>
        <v>61.3954413333334</v>
      </c>
      <c r="I839" s="38" t="n">
        <f aca="false">Sens!$I$836-Sens!$I$838</f>
        <v>61.3954413333333</v>
      </c>
      <c r="J839" s="38" t="n">
        <f aca="false">Sens!$J$836-Sens!$J$838</f>
        <v>61.3954413333333</v>
      </c>
      <c r="K839" s="38" t="n">
        <f aca="false">Sens!$K$836-Sens!$K$838</f>
        <v>43.4305160022223</v>
      </c>
      <c r="L839" s="38" t="n">
        <f aca="false">Sens!$L$836-Sens!$L$838</f>
        <v>25.4655906711111</v>
      </c>
      <c r="M839" s="38" t="n">
        <f aca="false">Sens!$M$836-Sens!$M$838</f>
        <v>7.50066533999998</v>
      </c>
      <c r="R839" s="38" t="n">
        <f aca="false">Sens!$R$836-Sens!$R$838</f>
        <v>0.405023005106309</v>
      </c>
      <c r="S839" s="38" t="n">
        <f aca="false">Sens!$S$836-Sens!$S$838</f>
        <v>6.80596660793636</v>
      </c>
      <c r="T839" s="38" t="n">
        <f aca="false">Sens!$T$836-Sens!$T$838</f>
        <v>18.7309047919624</v>
      </c>
      <c r="U839" s="38" t="n">
        <f aca="false">Sens!$U$836-Sens!$U$838</f>
        <v>46.0524417446122</v>
      </c>
      <c r="V839" s="38" t="n">
        <f aca="false">Sens!$V$836-Sens!$V$838</f>
        <v>61.3954413333334</v>
      </c>
      <c r="W839" s="38" t="n">
        <f aca="false">Sens!$W$836-Sens!$W$838</f>
        <v>61.3954413333333</v>
      </c>
      <c r="X839" s="38" t="n">
        <f aca="false">Sens!$X$836-Sens!$X$838</f>
        <v>61.3954413333333</v>
      </c>
      <c r="Y839" s="38" t="n">
        <f aca="false">Sens!$Y$836-Sens!$Y$838</f>
        <v>43.4305160022223</v>
      </c>
      <c r="Z839" s="38" t="n">
        <f aca="false">Sens!$Z$836-Sens!$Z$838</f>
        <v>25.4655906711111</v>
      </c>
      <c r="AA839" s="38" t="n">
        <f aca="false">Sens!$AA$836-Sens!$AA$838</f>
        <v>7.50066533999998</v>
      </c>
    </row>
    <row r="840" customFormat="false" ht="17.15" hidden="false" customHeight="false" outlineLevel="0" collapsed="false">
      <c r="A840" s="0" t="s">
        <v>630</v>
      </c>
      <c r="B840" s="0" t="s">
        <v>52</v>
      </c>
      <c r="C840" s="13" t="n">
        <f aca="false">Sens!$C$836/Sens!$C$956</f>
        <v>0.325505489553393</v>
      </c>
      <c r="D840" s="13" t="n">
        <f aca="false">Sens!$D$836/Sens!$D$956</f>
        <v>0.54214956071542</v>
      </c>
      <c r="E840" s="13" t="n">
        <f aca="false">Sens!$E$836/Sens!$E$956</f>
        <v>0.666492790452817</v>
      </c>
      <c r="F840" s="13" t="n">
        <f aca="false">Sens!$F$836/Sens!$F$956</f>
        <v>0.78583875756994</v>
      </c>
      <c r="G840" s="13" t="n">
        <f aca="false">Sens!$G$836/Sens!$G$956</f>
        <v>0.741564576383342</v>
      </c>
      <c r="H840" s="13" t="n">
        <f aca="false">Sens!$H$836/Sens!$H$956</f>
        <v>0.779713086549944</v>
      </c>
      <c r="I840" s="13" t="n">
        <f aca="false">Sens!$I$836/Sens!$I$956</f>
        <v>0.768198289209159</v>
      </c>
      <c r="J840" s="13" t="n">
        <f aca="false">Sens!$J$836/Sens!$J$956</f>
        <v>0.757815591782285</v>
      </c>
      <c r="K840" s="13" t="n">
        <f aca="false">Sens!$K$836/Sens!$K$956</f>
        <v>0.683561016394712</v>
      </c>
      <c r="L840" s="13" t="n">
        <f aca="false">Sens!$L$836/Sens!$L$956</f>
        <v>0.631568696428274</v>
      </c>
      <c r="M840" s="13" t="n">
        <f aca="false">Sens!$M$836/Sens!$M$956</f>
        <v>0.615667779845574</v>
      </c>
    </row>
    <row r="841" customFormat="false" ht="17.15" hidden="false" customHeight="false" outlineLevel="0" collapsed="false">
      <c r="A841" s="0" t="s">
        <v>631</v>
      </c>
      <c r="B841" s="0" t="s">
        <v>86</v>
      </c>
      <c r="C841" s="38" t="n">
        <f aca="false">Sens!$S$841</f>
        <v>0.183212798365523</v>
      </c>
      <c r="D841" s="38" t="n">
        <f aca="false">Sens!$T$841</f>
        <v>3.2619025816657</v>
      </c>
      <c r="E841" s="38" t="n">
        <f aca="false">Sens!$G$841/2</f>
        <v>5.86742852741953</v>
      </c>
      <c r="F841" s="38" t="n">
        <f aca="false">Sens!$G$841/2</f>
        <v>5.86742852741953</v>
      </c>
      <c r="G841" s="38" t="n">
        <f aca="false">Sens!$U$841</f>
        <v>11.7348570548391</v>
      </c>
      <c r="H841" s="38" t="n">
        <f aca="false">Sens!$V$841</f>
        <v>36.1462435364888</v>
      </c>
      <c r="I841" s="38" t="n">
        <f aca="false">Sens!$W$841</f>
        <v>70.0406399686555</v>
      </c>
      <c r="J841" s="38" t="n">
        <f aca="false">Sens!$X$841</f>
        <v>105.285059726544</v>
      </c>
      <c r="K841" s="38" t="n">
        <f aca="false">Sens!$Y$841</f>
        <v>141.509992952734</v>
      </c>
      <c r="L841" s="38" t="n">
        <f aca="false">Sens!$Z$841</f>
        <v>165.690302785775</v>
      </c>
      <c r="M841" s="38" t="n">
        <f aca="false">Sens!$AA$841</f>
        <v>182.309559120728</v>
      </c>
      <c r="N841" s="38" t="n">
        <f aca="false">Sens!$D$841/2</f>
        <v>1.63095129083285</v>
      </c>
      <c r="O841" s="38" t="n">
        <f aca="false">Sens!$D$841/2</f>
        <v>1.63095129083285</v>
      </c>
      <c r="R841" s="38" t="n">
        <f aca="false">SUMPRODUCT(--(Sens!$R$806:$AA$806&lt;Sens!R$806),--(Sens!$R$806:$AA$806&gt;=Sens!R$806-tk_life),Sens!$R$838:$AA$838)/tk_life</f>
        <v>0</v>
      </c>
      <c r="S841" s="38" t="n">
        <f aca="false">SUMPRODUCT(--(Sens!$R$806:$AA$806&lt;Sens!S$806),--(Sens!$R$806:$AA$806&gt;=Sens!S$806-tk_life),Sens!$R$838:$AA$838)/tk_life</f>
        <v>0.183212798365523</v>
      </c>
      <c r="T841" s="38" t="n">
        <f aca="false">SUMPRODUCT(--(Sens!$R$806:$AA$806&lt;Sens!T$806),--(Sens!$R$806:$AA$806&gt;=Sens!T$806-tk_life),Sens!$R$838:$AA$838)/tk_life</f>
        <v>3.2619025816657</v>
      </c>
      <c r="U841" s="38" t="n">
        <f aca="false">SUMPRODUCT(--(Sens!$R$806:$AA$806&lt;Sens!U$806),--(Sens!$R$806:$AA$806&gt;=Sens!U$806-tk_life),Sens!$R$838:$AA$838)/tk_life</f>
        <v>11.7348570548391</v>
      </c>
      <c r="V841" s="38" t="n">
        <f aca="false">SUMPRODUCT(--(Sens!$R$806:$AA$806&lt;Sens!V$806),--(Sens!$R$806:$AA$806&gt;=Sens!V$806-tk_life),Sens!$R$838:$AA$838)/tk_life</f>
        <v>36.1462435364888</v>
      </c>
      <c r="W841" s="38" t="n">
        <f aca="false">SUMPRODUCT(--(Sens!$R$806:$AA$806&lt;Sens!W$806),--(Sens!$R$806:$AA$806&gt;=Sens!W$806-tk_life),Sens!$R$838:$AA$838)/tk_life</f>
        <v>70.0406399686555</v>
      </c>
      <c r="X841" s="38" t="n">
        <f aca="false">SUMPRODUCT(--(Sens!$R$806:$AA$806&lt;Sens!X$806),--(Sens!$R$806:$AA$806&gt;=Sens!X$806-tk_life),Sens!$R$838:$AA$838)/tk_life</f>
        <v>105.285059726544</v>
      </c>
      <c r="Y841" s="38" t="n">
        <f aca="false">SUMPRODUCT(--(Sens!$R$806:$AA$806&lt;Sens!Y$806),--(Sens!$R$806:$AA$806&gt;=Sens!Y$806-tk_life),Sens!$R$838:$AA$838)/tk_life</f>
        <v>141.509992952734</v>
      </c>
      <c r="Z841" s="38" t="n">
        <f aca="false">SUMPRODUCT(--(Sens!$R$806:$AA$806&lt;Sens!Z$806),--(Sens!$R$806:$AA$806&gt;=Sens!Z$806-tk_life),Sens!$R$838:$AA$838)/tk_life</f>
        <v>165.690302785775</v>
      </c>
      <c r="AA841" s="38" t="n">
        <f aca="false">SUMPRODUCT(--(Sens!$R$806:$AA$806&lt;Sens!AA$806),--(Sens!$R$806:$AA$806&gt;=Sens!AA$806-tk_life),Sens!$R$838:$AA$838)/tk_life</f>
        <v>182.309559120728</v>
      </c>
    </row>
    <row r="842" customFormat="false" ht="17.15" hidden="false" customHeight="false" outlineLevel="0" collapsed="false">
      <c r="A842" s="0" t="s">
        <v>632</v>
      </c>
      <c r="B842" s="0" t="s">
        <v>86</v>
      </c>
      <c r="C842" s="38" t="n">
        <f aca="false">Sens!$S$842</f>
        <v>0.0202511502553155</v>
      </c>
      <c r="D842" s="38" t="n">
        <f aca="false">Sens!$T$842</f>
        <v>0.360549480652134</v>
      </c>
      <c r="E842" s="38" t="n">
        <f aca="false">Sens!$G$842/2</f>
        <v>0.648547360125127</v>
      </c>
      <c r="F842" s="38" t="n">
        <f aca="false">Sens!$G$842/2</f>
        <v>0.648547360125127</v>
      </c>
      <c r="G842" s="38" t="n">
        <f aca="false">Sens!$U$842</f>
        <v>1.29709472025025</v>
      </c>
      <c r="H842" s="38" t="n">
        <f aca="false">Sens!$V$842</f>
        <v>3.59971680748086</v>
      </c>
      <c r="I842" s="38" t="n">
        <f aca="false">Sens!$W$842</f>
        <v>6.66948887414753</v>
      </c>
      <c r="J842" s="38" t="n">
        <f aca="false">Sens!$X$842</f>
        <v>9.7392609408142</v>
      </c>
      <c r="K842" s="38" t="n">
        <f aca="false">Sens!$Y$842</f>
        <v>12.8090330074809</v>
      </c>
      <c r="L842" s="38" t="n">
        <f aca="false">Sens!$Z$842</f>
        <v>14.980558807592</v>
      </c>
      <c r="M842" s="38" t="n">
        <f aca="false">Sens!$AA$842</f>
        <v>16.2538383411475</v>
      </c>
      <c r="N842" s="38" t="n">
        <f aca="false">Sens!$D$842/2</f>
        <v>0.180274740326067</v>
      </c>
      <c r="O842" s="38" t="n">
        <f aca="false">Sens!$D$842/2</f>
        <v>0.180274740326067</v>
      </c>
      <c r="R842" s="38" t="n">
        <f aca="false">SUMPRODUCT(--(Sens!$R$806:$AA$806&lt;Sens!R$806),Sens!$R$839:$AA$839)/fac_life</f>
        <v>0</v>
      </c>
      <c r="S842" s="38" t="n">
        <f aca="false">SUMPRODUCT(--(Sens!$R$806:$AA$806&lt;Sens!S$806),Sens!$R$839:$AA$839)/fac_life</f>
        <v>0.0202511502553155</v>
      </c>
      <c r="T842" s="38" t="n">
        <f aca="false">SUMPRODUCT(--(Sens!$R$806:$AA$806&lt;Sens!T$806),Sens!$R$839:$AA$839)/fac_life</f>
        <v>0.360549480652134</v>
      </c>
      <c r="U842" s="38" t="n">
        <f aca="false">SUMPRODUCT(--(Sens!$R$806:$AA$806&lt;Sens!U$806),Sens!$R$839:$AA$839)/fac_life</f>
        <v>1.29709472025025</v>
      </c>
      <c r="V842" s="38" t="n">
        <f aca="false">SUMPRODUCT(--(Sens!$R$806:$AA$806&lt;Sens!V$806),Sens!$R$839:$AA$839)/fac_life</f>
        <v>3.59971680748086</v>
      </c>
      <c r="W842" s="38" t="n">
        <f aca="false">SUMPRODUCT(--(Sens!$R$806:$AA$806&lt;Sens!W$806),Sens!$R$839:$AA$839)/fac_life</f>
        <v>6.66948887414753</v>
      </c>
      <c r="X842" s="38" t="n">
        <f aca="false">SUMPRODUCT(--(Sens!$R$806:$AA$806&lt;Sens!X$806),Sens!$R$839:$AA$839)/fac_life</f>
        <v>9.7392609408142</v>
      </c>
      <c r="Y842" s="38" t="n">
        <f aca="false">SUMPRODUCT(--(Sens!$R$806:$AA$806&lt;Sens!Y$806),Sens!$R$839:$AA$839)/fac_life</f>
        <v>12.8090330074809</v>
      </c>
      <c r="Z842" s="38" t="n">
        <f aca="false">SUMPRODUCT(--(Sens!$R$806:$AA$806&lt;Sens!Z$806),Sens!$R$839:$AA$839)/fac_life</f>
        <v>14.980558807592</v>
      </c>
      <c r="AA842" s="38" t="n">
        <f aca="false">SUMPRODUCT(--(Sens!$R$806:$AA$806&lt;Sens!AA$806),Sens!$R$839:$AA$839)/fac_life</f>
        <v>16.2538383411475</v>
      </c>
    </row>
    <row r="843" customFormat="false" ht="17.15" hidden="false" customHeight="false" outlineLevel="0" collapsed="false">
      <c r="A843" s="1" t="s">
        <v>633</v>
      </c>
      <c r="B843" s="8" t="s">
        <v>86</v>
      </c>
      <c r="C843" s="38" t="n">
        <f aca="false">Sens!$C$841+Sens!$C$842</f>
        <v>0.203463948620839</v>
      </c>
      <c r="D843" s="38" t="n">
        <f aca="false">Sens!$D$841+Sens!$D$842</f>
        <v>3.62245206231783</v>
      </c>
      <c r="E843" s="38" t="n">
        <f aca="false">Sens!$E$841+Sens!$E$842</f>
        <v>6.51597588754466</v>
      </c>
      <c r="F843" s="38" t="n">
        <f aca="false">Sens!$F$841+Sens!$F$842</f>
        <v>6.51597588754466</v>
      </c>
      <c r="G843" s="38" t="n">
        <f aca="false">Sens!$G$841+Sens!$G$842</f>
        <v>13.0319517750893</v>
      </c>
      <c r="H843" s="38" t="n">
        <f aca="false">Sens!$H$841+Sens!$H$842</f>
        <v>39.7459603439697</v>
      </c>
      <c r="I843" s="38" t="n">
        <f aca="false">Sens!$I$841+Sens!$I$842</f>
        <v>76.710128842803</v>
      </c>
      <c r="J843" s="38" t="n">
        <f aca="false">Sens!$J$841+Sens!$J$842</f>
        <v>115.024320667359</v>
      </c>
      <c r="K843" s="38" t="n">
        <f aca="false">Sens!$K$841+Sens!$K$842</f>
        <v>154.319025960215</v>
      </c>
      <c r="L843" s="38" t="n">
        <f aca="false">Sens!$L$841+Sens!$L$842</f>
        <v>180.670861593367</v>
      </c>
      <c r="M843" s="38" t="n">
        <f aca="false">Sens!$M$841+Sens!$M$842</f>
        <v>198.563397461876</v>
      </c>
      <c r="N843" s="38" t="n">
        <f aca="false">Sens!$N$841+Sens!$N$842</f>
        <v>1.81122603115892</v>
      </c>
      <c r="O843" s="38" t="n">
        <f aca="false">Sens!$O$841+Sens!$O$842</f>
        <v>1.81122603115892</v>
      </c>
      <c r="R843" s="38" t="n">
        <f aca="false">Sens!$R$841+Sens!$R$842</f>
        <v>0</v>
      </c>
      <c r="S843" s="38" t="n">
        <f aca="false">Sens!$S$841+Sens!$S$842</f>
        <v>0.203463948620839</v>
      </c>
      <c r="T843" s="38" t="n">
        <f aca="false">Sens!$T$841+Sens!$T$842</f>
        <v>3.62245206231783</v>
      </c>
      <c r="U843" s="38" t="n">
        <f aca="false">Sens!$U$841+Sens!$U$842</f>
        <v>13.0319517750893</v>
      </c>
      <c r="V843" s="38" t="n">
        <f aca="false">Sens!$V$841+Sens!$V$842</f>
        <v>39.7459603439697</v>
      </c>
      <c r="W843" s="38" t="n">
        <f aca="false">Sens!$W$841+Sens!$W$842</f>
        <v>76.710128842803</v>
      </c>
      <c r="X843" s="38" t="n">
        <f aca="false">Sens!$X$841+Sens!$X$842</f>
        <v>115.024320667359</v>
      </c>
      <c r="Y843" s="38" t="n">
        <f aca="false">Sens!$Y$841+Sens!$Y$842</f>
        <v>154.319025960215</v>
      </c>
      <c r="Z843" s="38" t="n">
        <f aca="false">Sens!$Z$841+Sens!$Z$842</f>
        <v>180.670861593367</v>
      </c>
      <c r="AA843" s="38" t="n">
        <f aca="false">Sens!$AA$841+Sens!$AA$842</f>
        <v>198.563397461876</v>
      </c>
    </row>
    <row r="844" customFormat="false" ht="17.15" hidden="false" customHeight="false" outlineLevel="0" collapsed="false">
      <c r="A844" s="0" t="s">
        <v>634</v>
      </c>
      <c r="B844" s="0" t="s">
        <v>86</v>
      </c>
      <c r="C844" s="38" t="n">
        <f aca="false">Sens!$S$844</f>
        <v>26.578941154416</v>
      </c>
      <c r="D844" s="38" t="n">
        <f aca="false">Sens!$T$844</f>
        <v>92.5251207231008</v>
      </c>
      <c r="G844" s="38" t="n">
        <f aca="false">Sens!$U$844</f>
        <v>272.013929582522</v>
      </c>
      <c r="H844" s="38" t="n">
        <f aca="false">Sens!$V$844</f>
        <v>497.029789164886</v>
      </c>
      <c r="I844" s="38" t="n">
        <f aca="false">Sens!$W$844</f>
        <v>693.18162020275</v>
      </c>
      <c r="J844" s="38" t="n">
        <f aca="false">Sens!$X$844</f>
        <v>858.001617016058</v>
      </c>
      <c r="K844" s="38" t="n">
        <f aca="false">Sens!$Y$844</f>
        <v>910.66710475611</v>
      </c>
      <c r="L844" s="38" t="n">
        <f aca="false">Sens!$Z$844</f>
        <v>906.015098682612</v>
      </c>
      <c r="M844" s="38" t="n">
        <f aca="false">Sens!$AA$844</f>
        <v>883.759676767206</v>
      </c>
      <c r="R844" s="38" t="n">
        <f aca="false">SUM(Sens!$R$836:$R$836)-SUM(Sens!$R$843:$R$843)</f>
        <v>1.50429979529945</v>
      </c>
      <c r="S844" s="38" t="n">
        <f aca="false">SUM(Sens!$R$836:$S$836)-SUM(Sens!$R$843:$S$843)</f>
        <v>26.578941154416</v>
      </c>
      <c r="T844" s="38" t="n">
        <f aca="false">SUM(Sens!$R$836:$T$836)-SUM(Sens!$R$843:$T$843)</f>
        <v>92.5251207231008</v>
      </c>
      <c r="U844" s="38" t="n">
        <f aca="false">SUM(Sens!$R$836:$U$836)-SUM(Sens!$R$843:$U$843)</f>
        <v>272.013929582522</v>
      </c>
      <c r="V844" s="38" t="n">
        <f aca="false">SUM(Sens!$R$836:$V$836)-SUM(Sens!$R$843:$V$843)</f>
        <v>497.029789164886</v>
      </c>
      <c r="W844" s="38" t="n">
        <f aca="false">SUM(Sens!$R$836:$W$836)-SUM(Sens!$R$843:$W$843)</f>
        <v>693.18162020275</v>
      </c>
      <c r="X844" s="38" t="n">
        <f aca="false">SUM(Sens!$R$836:$X$836)-SUM(Sens!$R$843:$X$843)</f>
        <v>858.001617016058</v>
      </c>
      <c r="Y844" s="38" t="n">
        <f aca="false">SUM(Sens!$R$836:$Y$836)-SUM(Sens!$R$843:$Y$843)</f>
        <v>910.66710475611</v>
      </c>
      <c r="Z844" s="38" t="n">
        <f aca="false">SUM(Sens!$R$836:$Z$836)-SUM(Sens!$R$843:$Z$843)</f>
        <v>906.015098682612</v>
      </c>
      <c r="AA844" s="38" t="n">
        <f aca="false">SUM(Sens!$R$836:$AA$836)-SUM(Sens!$R$843:$AA$843)</f>
        <v>883.759676767206</v>
      </c>
    </row>
    <row r="845" customFormat="false" ht="17.15" hidden="false" customHeight="false" outlineLevel="0" collapsed="false">
      <c r="A845" s="1" t="s">
        <v>635</v>
      </c>
    </row>
    <row r="846" customFormat="false" ht="17.15" hidden="false" customHeight="false" outlineLevel="0" collapsed="false">
      <c r="A846" s="0" t="s">
        <v>636</v>
      </c>
      <c r="B846" s="0" t="s">
        <v>86</v>
      </c>
      <c r="C846" s="38" t="n">
        <f aca="false">Sens!$C$827-ext_sh_lo*Sens!$C$829</f>
        <v>1.80694998843362</v>
      </c>
      <c r="D846" s="38" t="n">
        <f aca="false">Sens!$D$827-ext_sh_lo*Sens!$D$829</f>
        <v>6.77606245662607</v>
      </c>
      <c r="E846" s="38" t="n">
        <f aca="false">Sens!$E$827-ext_sh_lo*Sens!$E$829</f>
        <v>6.62548329092326</v>
      </c>
      <c r="F846" s="38" t="n">
        <f aca="false">Sens!$F$827-ext_sh_lo*Sens!$F$829</f>
        <v>11.7200577158706</v>
      </c>
      <c r="G846" s="38" t="n">
        <f aca="false">Sens!$G$827-ext_sh_lo*Sens!$G$829</f>
        <v>18.3455410067939</v>
      </c>
      <c r="H846" s="38" t="n">
        <f aca="false">Sens!$H$827-ext_sh_lo*Sens!$H$829</f>
        <v>47.5171727060453</v>
      </c>
      <c r="I846" s="38" t="n">
        <f aca="false">Sens!$I$827-ext_sh_lo*Sens!$I$829</f>
        <v>80.5539692643667</v>
      </c>
      <c r="J846" s="38" t="n">
        <f aca="false">Sens!$J$827-ext_sh_lo*Sens!$J$829</f>
        <v>113.759316834883</v>
      </c>
      <c r="K846" s="38" t="n">
        <f aca="false">Sens!$K$827-ext_sh_lo*Sens!$K$829</f>
        <v>142.084411492169</v>
      </c>
      <c r="L846" s="38" t="n">
        <f aca="false">Sens!$L$827-ext_sh_lo*Sens!$L$829</f>
        <v>160.69964615804</v>
      </c>
      <c r="M846" s="38" t="n">
        <f aca="false">Sens!$M$827-ext_sh_lo*Sens!$M$829</f>
        <v>169.577607141793</v>
      </c>
      <c r="N846" s="38" t="n">
        <f aca="false">Sens!$N$827-ext_sh_lo*Sens!$N$829</f>
        <v>2.37162185981912</v>
      </c>
      <c r="O846" s="38" t="n">
        <f aca="false">Sens!$O$827-ext_sh_lo*Sens!$O$829</f>
        <v>4.40444059680694</v>
      </c>
    </row>
    <row r="847" customFormat="false" ht="17.15" hidden="false" customHeight="false" outlineLevel="0" collapsed="false">
      <c r="A847" s="1" t="s">
        <v>637</v>
      </c>
      <c r="B847" s="8" t="s">
        <v>86</v>
      </c>
      <c r="C847" s="38" t="n">
        <f aca="false">Sens!$C$846-ext_sh_lo*Sens!$C$843</f>
        <v>1.68487161926111</v>
      </c>
      <c r="D847" s="38" t="n">
        <f aca="false">Sens!$D$846-ext_sh_lo*Sens!$D$843</f>
        <v>4.60259121923537</v>
      </c>
      <c r="E847" s="38" t="n">
        <f aca="false">Sens!$E$846-ext_sh_lo*Sens!$E$843</f>
        <v>2.71589775839647</v>
      </c>
      <c r="F847" s="38" t="n">
        <f aca="false">Sens!$F$846-ext_sh_lo*Sens!$F$843</f>
        <v>7.8104721833438</v>
      </c>
      <c r="G847" s="38" t="n">
        <f aca="false">Sens!$G$846-ext_sh_lo*Sens!$G$843</f>
        <v>10.5263699417403</v>
      </c>
      <c r="H847" s="38" t="n">
        <f aca="false">Sens!$H$846-ext_sh_lo*Sens!$H$843</f>
        <v>23.6695964996635</v>
      </c>
      <c r="I847" s="38" t="n">
        <f aca="false">Sens!$I$846-ext_sh_lo*Sens!$I$843</f>
        <v>34.5278919586849</v>
      </c>
      <c r="J847" s="38" t="n">
        <f aca="false">Sens!$J$846-ext_sh_lo*Sens!$J$843</f>
        <v>44.7447244344682</v>
      </c>
      <c r="K847" s="38" t="n">
        <f aca="false">Sens!$K$846-ext_sh_lo*Sens!$K$843</f>
        <v>49.4929959160402</v>
      </c>
      <c r="L847" s="38" t="n">
        <f aca="false">Sens!$L$846-ext_sh_lo*Sens!$L$843</f>
        <v>52.29712920202</v>
      </c>
      <c r="M847" s="38" t="n">
        <f aca="false">Sens!$M$846-ext_sh_lo*Sens!$M$843</f>
        <v>50.4395686646679</v>
      </c>
      <c r="N847" s="38" t="n">
        <f aca="false">Sens!$N$846-ext_sh_lo*Sens!$N$843</f>
        <v>1.28488624112377</v>
      </c>
      <c r="O847" s="38" t="n">
        <f aca="false">Sens!$O$846-ext_sh_lo*Sens!$O$843</f>
        <v>3.31770497811159</v>
      </c>
    </row>
    <row r="848" customFormat="false" ht="17.15" hidden="false" customHeight="false" outlineLevel="0" collapsed="false">
      <c r="A848" s="0" t="s">
        <v>638</v>
      </c>
      <c r="B848" s="0" t="s">
        <v>52</v>
      </c>
      <c r="C848" s="13" t="n">
        <f aca="false">Sens!$C$847/Sens!$C$827</f>
        <v>0.725923192809006</v>
      </c>
      <c r="D848" s="13" t="n">
        <f aca="false">Sens!$D$847/Sens!$D$827</f>
        <v>0.528804319548454</v>
      </c>
      <c r="E848" s="13" t="n">
        <f aca="false">Sens!$E$847/Sens!$E$827</f>
        <v>0.319128685519011</v>
      </c>
      <c r="F848" s="13" t="n">
        <f aca="false">Sens!$F$847/Sens!$F$827</f>
        <v>0.521970583008504</v>
      </c>
      <c r="G848" s="13" t="n">
        <f aca="false">Sens!$G$847/Sens!$G$827</f>
        <v>0.448430843817988</v>
      </c>
      <c r="H848" s="13" t="n">
        <f aca="false">Sens!$H$847/Sens!$H$827</f>
        <v>0.393405569246927</v>
      </c>
      <c r="I848" s="13" t="n">
        <f aca="false">Sens!$I$847/Sens!$I$827</f>
        <v>0.3401638782866</v>
      </c>
      <c r="J848" s="13" t="n">
        <f aca="false">Sens!$J$847/Sens!$J$827</f>
        <v>0.312844587026008</v>
      </c>
      <c r="K848" s="13" t="n">
        <f aca="false">Sens!$K$847/Sens!$K$827</f>
        <v>0.277352296060975</v>
      </c>
      <c r="L848" s="13" t="n">
        <f aca="false">Sens!$L$847/Sens!$L$827</f>
        <v>0.259245631792282</v>
      </c>
      <c r="M848" s="13" t="n">
        <f aca="false">Sens!$M$847/Sens!$M$827</f>
        <v>0.236988578313191</v>
      </c>
      <c r="N848" s="13" t="n">
        <f aca="false">Sens!$N$847/Sens!$N$827</f>
        <v>0.421783147840115</v>
      </c>
      <c r="O848" s="13" t="n">
        <f aca="false">Sens!$O$847/Sens!$O$827</f>
        <v>0.586431104314483</v>
      </c>
    </row>
    <row r="849" customFormat="false" ht="17.15" hidden="false" customHeight="false" outlineLevel="0" collapsed="false">
      <c r="A849" s="5" t="s">
        <v>639</v>
      </c>
      <c r="B849" s="0" t="s">
        <v>86</v>
      </c>
      <c r="C849" s="39" t="n">
        <v>0</v>
      </c>
      <c r="D849" s="39" t="n">
        <v>0</v>
      </c>
      <c r="E849" s="39" t="n">
        <v>0</v>
      </c>
      <c r="F849" s="38" t="n">
        <f aca="false">IF(internal_ai_reading=2,1,0)*(1-ext_sh_lo)/ext_sh_lo*(mw_open*he_open+Sens!$F$825*Sens!$F$822)*Sens!$F$811/1000</f>
        <v>10.0565879513551</v>
      </c>
      <c r="G849" s="38" t="n">
        <f aca="false">Sens!$E$849+Sens!$F$849</f>
        <v>10.0565879513551</v>
      </c>
      <c r="H849" s="38" t="n">
        <f aca="false">IF(internal_ai_reading=2,1,0)*(1-ext_sh_lo)/ext_sh_lo*(mw_open*he_open+Sens!$H$825*Sens!$H$822)*Sens!$H$811/1000</f>
        <v>40.4361449626381</v>
      </c>
      <c r="I849" s="38" t="n">
        <f aca="false">IF(internal_ai_reading=2,1,0)*(1-ext_sh_lo)/ext_sh_lo*(mw_open*he_open+Sens!$I$825*Sens!$I$822)*Sens!$I$811/1000</f>
        <v>68.218358298637</v>
      </c>
      <c r="J849" s="38" t="n">
        <f aca="false">IF(internal_ai_reading=2,1,0)*(1-ext_sh_lo)/ext_sh_lo*(mw_open*he_open+Sens!$J$825*Sens!$J$822)*Sens!$J$811/1000</f>
        <v>96.1241664477658</v>
      </c>
      <c r="K849" s="38" t="n">
        <f aca="false">IF(internal_ai_reading=2,1,0)*(1-ext_sh_lo)/ext_sh_lo*(mw_open*he_open+Sens!$K$825*Sens!$K$822)*Sens!$K$811/1000</f>
        <v>119.93097707361</v>
      </c>
      <c r="L849" s="38" t="n">
        <f aca="false">IF(internal_ai_reading=2,1,0)*(1-ext_sh_lo)/ext_sh_lo*(mw_open*he_open+Sens!$L$825*Sens!$L$822)*Sens!$L$811/1000</f>
        <v>135.57693014875</v>
      </c>
      <c r="M849" s="38" t="n">
        <f aca="false">IF(internal_ai_reading=2,1,0)*(1-ext_sh_lo)/ext_sh_lo*(mw_open*he_open+Sens!$M$825*Sens!$M$822)*Sens!$M$811/1000</f>
        <v>143.041923806484</v>
      </c>
      <c r="N849" s="39" t="n">
        <v>0</v>
      </c>
      <c r="O849" s="39" t="n">
        <v>0</v>
      </c>
      <c r="P849" s="8" t="s">
        <v>640</v>
      </c>
    </row>
    <row r="850" customFormat="false" ht="17.15" hidden="false" customHeight="false" outlineLevel="0" collapsed="false">
      <c r="A850" s="5" t="s">
        <v>641</v>
      </c>
      <c r="B850" s="0" t="s">
        <v>86</v>
      </c>
      <c r="C850" s="38" t="n">
        <f aca="false">(1-ext_sh_lo)*(Sens!$C$829+Sens!$C$843)</f>
        <v>0.424089158475019</v>
      </c>
      <c r="D850" s="38" t="n">
        <f aca="false">(1-ext_sh_lo)*(Sens!$D$829+Sens!$D$843)</f>
        <v>2.7341192462772</v>
      </c>
      <c r="E850" s="38" t="n">
        <f aca="false">(1-ext_sh_lo)*(Sens!$E$829+Sens!$E$843)</f>
        <v>3.86297014478237</v>
      </c>
      <c r="F850" s="38" t="n">
        <f aca="false">(1-ext_sh_lo)*(Sens!$F$829+Sens!$F$843)</f>
        <v>4.7686409742511</v>
      </c>
      <c r="G850" s="38" t="n">
        <f aca="false">(1-ext_sh_lo)*(Sens!$G$829+Sens!$G$843)</f>
        <v>8.63161111903347</v>
      </c>
      <c r="H850" s="38" t="n">
        <f aca="false">(1-ext_sh_lo)*(Sens!$H$829+Sens!$H$843)</f>
        <v>24.3308628334074</v>
      </c>
      <c r="I850" s="38" t="n">
        <f aca="false">(1-ext_sh_lo)*(Sens!$I$829+Sens!$I$843)</f>
        <v>44.6505381184981</v>
      </c>
      <c r="J850" s="38" t="n">
        <f aca="false">(1-ext_sh_lo)*(Sens!$J$829+Sens!$J$843)</f>
        <v>65.52045514454</v>
      </c>
      <c r="K850" s="38" t="n">
        <f aca="false">(1-ext_sh_lo)*(Sens!$K$829+Sens!$K$843)</f>
        <v>85.970082978093</v>
      </c>
      <c r="L850" s="38" t="n">
        <f aca="false">(1-ext_sh_lo)*(Sens!$L$829+Sens!$L$843)</f>
        <v>99.620648400251</v>
      </c>
      <c r="M850" s="38" t="n">
        <f aca="false">(1-ext_sh_lo)*(Sens!$M$829+Sens!$M$843)</f>
        <v>108.263915136132</v>
      </c>
      <c r="N850" s="38" t="n">
        <f aca="false">(1-ext_sh_lo)*(Sens!$N$829+Sens!$N$843)</f>
        <v>1.17428885993609</v>
      </c>
      <c r="O850" s="38" t="n">
        <f aca="false">(1-ext_sh_lo)*(Sens!$O$829+Sens!$O$843)</f>
        <v>1.55983038634111</v>
      </c>
    </row>
    <row r="851" customFormat="false" ht="17.15" hidden="false" customHeight="false" outlineLevel="0" collapsed="false">
      <c r="A851" s="0" t="s">
        <v>642</v>
      </c>
      <c r="B851" s="0" t="s">
        <v>86</v>
      </c>
      <c r="C851" s="38" t="n">
        <f aca="false">Q!$D$24</f>
        <v>39.834</v>
      </c>
      <c r="D851" s="38" t="n">
        <f aca="false">Q!$E$24</f>
        <v>45.606</v>
      </c>
      <c r="E851" s="38" t="n">
        <f aca="false">Q!$P$24</f>
        <v>30.782</v>
      </c>
      <c r="N851" s="38" t="n">
        <f aca="false">Q!$N$24</f>
        <v>21.707</v>
      </c>
      <c r="O851" s="38" t="n">
        <f aca="false">Q!$O$24</f>
        <v>23.899</v>
      </c>
    </row>
    <row r="852" customFormat="false" ht="17.15" hidden="false" customHeight="false" outlineLevel="0" collapsed="false">
      <c r="A852" s="0" t="s">
        <v>643</v>
      </c>
      <c r="B852" s="0" t="s">
        <v>86</v>
      </c>
      <c r="C852" s="38" t="n">
        <f aca="false">Sens!$C$851-Sens!$C$847</f>
        <v>38.1491283807389</v>
      </c>
      <c r="D852" s="38" t="n">
        <f aca="false">Sens!$D$851-Sens!$D$847</f>
        <v>41.0034087807646</v>
      </c>
      <c r="E852" s="38" t="n">
        <f aca="false">Sens!$E$851-Sens!$E$847</f>
        <v>28.0661022416035</v>
      </c>
      <c r="F852" s="38" t="n">
        <f aca="false">Sens!$F$831*Sens!$F$853</f>
        <v>26.0093009956274</v>
      </c>
      <c r="G852" s="38" t="n">
        <f aca="false">Sens!$E$852+Sens!$F$852</f>
        <v>54.075403237231</v>
      </c>
      <c r="H852" s="38" t="n">
        <f aca="false">Sens!$H$831*Sens!$H$853</f>
        <v>58.3528282315062</v>
      </c>
      <c r="I852" s="38" t="n">
        <f aca="false">Sens!$I$831*Sens!$I$853</f>
        <v>64.7864267540517</v>
      </c>
      <c r="J852" s="38" t="n">
        <f aca="false">Sens!$J$831*Sens!$J$853</f>
        <v>70.9493461858342</v>
      </c>
      <c r="K852" s="38" t="n">
        <f aca="false">Sens!$K$831*Sens!$K$853</f>
        <v>76.625293880701</v>
      </c>
      <c r="L852" s="38" t="n">
        <f aca="false">Sens!$L$831*Sens!$L$853</f>
        <v>82.7553173911571</v>
      </c>
      <c r="M852" s="38" t="n">
        <f aca="false">Sens!$M$831*Sens!$M$853</f>
        <v>89.3757427824497</v>
      </c>
      <c r="N852" s="38" t="n">
        <f aca="false">Sens!$N$851-Sens!$N$847</f>
        <v>20.4221137588762</v>
      </c>
      <c r="O852" s="38" t="n">
        <f aca="false">Sens!$O$851-Sens!$O$847</f>
        <v>20.5812950218884</v>
      </c>
      <c r="P852" s="5" t="s">
        <v>644</v>
      </c>
    </row>
    <row r="853" customFormat="false" ht="17.15" hidden="false" customHeight="false" outlineLevel="0" collapsed="false">
      <c r="A853" s="0" t="s">
        <v>645</v>
      </c>
      <c r="B853" s="0" t="s">
        <v>52</v>
      </c>
      <c r="C853" s="13" t="n">
        <f aca="false">Sens!$C$852/Sens!$C$831</f>
        <v>0.362513710483349</v>
      </c>
      <c r="D853" s="13" t="n">
        <f aca="false">Sens!$D$852/Sens!$D$831</f>
        <v>0.341634632565013</v>
      </c>
      <c r="E853" s="13" t="n">
        <f aca="false">Sens!$E$852/Sens!$E$831</f>
        <v>0.393586239716317</v>
      </c>
      <c r="F853" s="13" t="n">
        <f aca="false">(Sens!$O$852+Sens!$E$852)/(Sens!$O$831+Sens!$E$831)</f>
        <v>0.362401487407469</v>
      </c>
      <c r="G853" s="13" t="n">
        <f aca="false">Sens!$G$852/Sens!$G$831</f>
        <v>0.37794366245527</v>
      </c>
      <c r="H853" s="13" t="n">
        <f aca="false">Sens!$F$853</f>
        <v>0.362401487407469</v>
      </c>
      <c r="I853" s="13" t="n">
        <f aca="false">Sens!$F$853</f>
        <v>0.362401487407469</v>
      </c>
      <c r="J853" s="13" t="n">
        <f aca="false">Sens!$F$853</f>
        <v>0.362401487407469</v>
      </c>
      <c r="K853" s="13" t="n">
        <f aca="false">Sens!$F$853</f>
        <v>0.362401487407469</v>
      </c>
      <c r="L853" s="13" t="n">
        <f aca="false">Sens!$F$853</f>
        <v>0.362401487407469</v>
      </c>
      <c r="M853" s="13" t="n">
        <f aca="false">Sens!$F$853</f>
        <v>0.362401487407469</v>
      </c>
      <c r="N853" s="13" t="n">
        <f aca="false">Sens!$N$852/Sens!$N$831</f>
        <v>0.357694820006826</v>
      </c>
      <c r="O853" s="13" t="n">
        <f aca="false">Sens!$O$852/Sens!$O$831</f>
        <v>0.327063348315111</v>
      </c>
      <c r="P853" s="8" t="s">
        <v>646</v>
      </c>
    </row>
    <row r="854" customFormat="false" ht="17.15" hidden="false" customHeight="false" outlineLevel="0" collapsed="false">
      <c r="A854" s="0" t="s">
        <v>647</v>
      </c>
      <c r="B854" s="0" t="s">
        <v>52</v>
      </c>
      <c r="D854" s="13" t="n">
        <f aca="false">(Q!$E$31-ext_sh_lo*Sens!$D$843)/Sens!$D$831</f>
        <v>0.160609325340588</v>
      </c>
    </row>
    <row r="855" customFormat="false" ht="17.15" hidden="false" customHeight="false" outlineLevel="0" collapsed="false">
      <c r="A855" s="0" t="s">
        <v>648</v>
      </c>
      <c r="B855" s="0" t="s">
        <v>86</v>
      </c>
      <c r="C855" s="38" t="n">
        <f aca="false">Q!$D$31</f>
        <v>13.32</v>
      </c>
      <c r="D855" s="38" t="n">
        <f aca="false">Q!$E$31</f>
        <v>21.45</v>
      </c>
      <c r="E855" s="38" t="n">
        <f aca="false">Q!$P$31</f>
        <v>15.353</v>
      </c>
      <c r="F855" s="38" t="n">
        <f aca="false">ext_sh_lo*Sens!$F$843+Sens!$D$854*Sens!$F$831</f>
        <v>15.4364043526471</v>
      </c>
      <c r="G855" s="38" t="n">
        <f aca="false">Sens!$E$855+Sens!$F$855</f>
        <v>30.7894043526471</v>
      </c>
      <c r="H855" s="38" t="n">
        <f aca="false">ext_sh_lo*Sens!$H$843+Sens!$D$854*Sens!$H$831</f>
        <v>49.708420324386</v>
      </c>
      <c r="I855" s="38" t="n">
        <f aca="false">ext_sh_lo*Sens!$I$843+Sens!$D$854*Sens!$I$831</f>
        <v>74.7381677737222</v>
      </c>
      <c r="J855" s="38" t="n">
        <f aca="false">ext_sh_lo*Sens!$J$843+Sens!$D$854*Sens!$J$831</f>
        <v>100.457969484159</v>
      </c>
      <c r="K855" s="38" t="n">
        <f aca="false">ext_sh_lo*Sens!$K$843+Sens!$D$854*Sens!$K$831</f>
        <v>126.550262826572</v>
      </c>
      <c r="L855" s="38" t="n">
        <f aca="false">ext_sh_lo*Sens!$L$843+Sens!$D$854*Sens!$L$831</f>
        <v>145.078071986499</v>
      </c>
      <c r="M855" s="38" t="n">
        <f aca="false">ext_sh_lo*Sens!$M$843+Sens!$D$854*Sens!$M$831</f>
        <v>158.747637910042</v>
      </c>
      <c r="N855" s="38" t="n">
        <f aca="false">Q!$N$31</f>
        <v>9.234</v>
      </c>
      <c r="O855" s="38" t="n">
        <f aca="false">Q!$O$31</f>
        <v>12.216</v>
      </c>
    </row>
    <row r="856" customFormat="false" ht="17.15" hidden="false" customHeight="false" outlineLevel="0" collapsed="false">
      <c r="A856" s="1" t="s">
        <v>649</v>
      </c>
    </row>
    <row r="857" customFormat="false" ht="17.15" hidden="false" customHeight="false" outlineLevel="0" collapsed="false">
      <c r="A857" s="15" t="s">
        <v>650</v>
      </c>
      <c r="B857" s="14" t="s">
        <v>52</v>
      </c>
      <c r="C857" s="14"/>
      <c r="D857" s="14"/>
      <c r="E857" s="14"/>
      <c r="F857" s="14"/>
      <c r="G857" s="17" t="n">
        <f aca="false">Sens!$G$847*(1-tax)/(ext_sh_lo*(Sens!$D$844+Sens!$G$844)/2)</f>
        <v>0.0795447930847854</v>
      </c>
      <c r="H857" s="17" t="n">
        <f aca="false">Sens!$H$847*(1-tax)/(ext_sh_lo*(Sens!$G$844+Sens!$H$844)/2)</f>
        <v>0.0847846068180141</v>
      </c>
      <c r="I857" s="17" t="n">
        <f aca="false">Sens!$I$847*(1-tax)/(ext_sh_lo*(Sens!$H$844+Sens!$I$844)/2)</f>
        <v>0.0799140498716809</v>
      </c>
      <c r="J857" s="17" t="n">
        <f aca="false">Sens!$J$847*(1-tax)/(ext_sh_lo*(Sens!$I$844+Sens!$J$844)/2)</f>
        <v>0.0794613465331623</v>
      </c>
      <c r="K857" s="17" t="n">
        <f aca="false">Sens!$K$847*(1-tax)/(ext_sh_lo*(Sens!$J$844+Sens!$K$844)/2)</f>
        <v>0.0770858087505788</v>
      </c>
      <c r="L857" s="17" t="n">
        <f aca="false">Sens!$L$847*(1-tax)/(ext_sh_lo*(Sens!$K$844+Sens!$L$844)/2)</f>
        <v>0.0793005269056616</v>
      </c>
      <c r="M857" s="17" t="n">
        <f aca="false">Sens!$M$847*(1-tax)/(ext_sh_lo*(Sens!$L$844+Sens!$M$844)/2)</f>
        <v>0.0776336788047656</v>
      </c>
      <c r="N857" s="14"/>
      <c r="O857" s="14"/>
      <c r="P857" s="8" t="s">
        <v>651</v>
      </c>
    </row>
    <row r="858" customFormat="false" ht="17.15" hidden="false" customHeight="false" outlineLevel="0" collapsed="false">
      <c r="A858" s="5" t="s">
        <v>652</v>
      </c>
      <c r="B858" s="0" t="s">
        <v>57</v>
      </c>
      <c r="H858" s="36" t="n">
        <f aca="false">Sens!$H$827*1000/(mw_open*he_open+Sens!$H$825*Sens!$H$822)</f>
        <v>0.991949006767191</v>
      </c>
      <c r="I858" s="36" t="n">
        <f aca="false">Sens!$I$827*1000/(mw_open*he_open+Sens!$I$825*Sens!$I$822)</f>
        <v>0.991949006767191</v>
      </c>
      <c r="J858" s="36" t="n">
        <f aca="false">Sens!$J$827*1000/(mw_open*he_open+Sens!$J$825*Sens!$J$822)</f>
        <v>0.991949006767191</v>
      </c>
      <c r="K858" s="36" t="n">
        <f aca="false">Sens!$K$827*1000/(mw_open*he_open+Sens!$K$825*Sens!$K$822)</f>
        <v>0.991949006767191</v>
      </c>
      <c r="L858" s="36" t="n">
        <f aca="false">Sens!$L$827*1000/(mw_open*he_open+Sens!$L$825*Sens!$L$822)</f>
        <v>0.991949006767191</v>
      </c>
      <c r="M858" s="36" t="n">
        <f aca="false">Sens!$M$827*1000/(mw_open*he_open+Sens!$M$825*Sens!$M$822)</f>
        <v>0.991949006767191</v>
      </c>
    </row>
    <row r="859" customFormat="false" ht="17.15" hidden="false" customHeight="false" outlineLevel="0" collapsed="false">
      <c r="A859" s="5" t="s">
        <v>653</v>
      </c>
      <c r="B859" s="0" t="s">
        <v>57</v>
      </c>
      <c r="H859" s="36" t="n">
        <f aca="false">Sens!$H$858*(Sens!$H$827+wacc*ext_sh_lo*(Sens!$G$844+Sens!$H$844)/2/(1-tax)-Sens!$H$847)/Sens!$H$827</f>
        <v>1.12318499661293</v>
      </c>
      <c r="I859" s="36" t="n">
        <f aca="false">Sens!$I$858*(Sens!$I$827+wacc*ext_sh_lo*(Sens!$H$844+Sens!$I$844)/2/(1-tax)-Sens!$I$847)/Sens!$I$827</f>
        <v>1.13290534687848</v>
      </c>
      <c r="J859" s="36" t="n">
        <f aca="false">Sens!$J$858*(Sens!$J$827+wacc*ext_sh_lo*(Sens!$I$844+Sens!$J$844)/2/(1-tax)-Sens!$J$847)/Sens!$J$827</f>
        <v>1.12409136919993</v>
      </c>
      <c r="K859" s="36" t="n">
        <f aca="false">Sens!$K$858*(Sens!$K$827+wacc*ext_sh_lo*(Sens!$J$844+Sens!$K$844)/2/(1-tax)-Sens!$K$847)/Sens!$K$827</f>
        <v>1.12118829636404</v>
      </c>
      <c r="L859" s="36" t="n">
        <f aca="false">Sens!$L$858*(Sens!$L$827+wacc*ext_sh_lo*(Sens!$K$844+Sens!$L$844)/2/(1-tax)-Sens!$L$847)/Sens!$L$827</f>
        <v>1.10219529755255</v>
      </c>
      <c r="M859" s="36" t="n">
        <f aca="false">Sens!$M$858*(Sens!$M$827+wacc*ext_sh_lo*(Sens!$L$844+Sens!$M$844)/2/(1-tax)-Sens!$M$847)/Sens!$M$827</f>
        <v>1.09994149050859</v>
      </c>
    </row>
    <row r="860" customFormat="false" ht="17.15" hidden="false" customHeight="false" outlineLevel="0" collapsed="false">
      <c r="A860" s="5" t="s">
        <v>654</v>
      </c>
      <c r="B860" s="0" t="s">
        <v>52</v>
      </c>
      <c r="C860" s="13" t="n">
        <f aca="false">Sens!$C$828/tk_pq</f>
        <v>0.195316432429398</v>
      </c>
      <c r="D860" s="13" t="n">
        <f aca="false">Sens!$D$828/tk_pq</f>
        <v>0.195316432429398</v>
      </c>
      <c r="E860" s="13" t="n">
        <f aca="false">Sens!$E$828/tk_pq</f>
        <v>0.195316432429398</v>
      </c>
      <c r="F860" s="13" t="n">
        <f aca="false">Sens!$F$828/tk_pq</f>
        <v>0.202241827274866</v>
      </c>
      <c r="G860" s="13" t="n">
        <f aca="false">Sens!$G$828/tk_pq</f>
        <v>0.199675016194063</v>
      </c>
      <c r="H860" s="13" t="n">
        <f aca="false">Sens!$H$828/tk_pq</f>
        <v>0.212647947710325</v>
      </c>
      <c r="I860" s="13" t="n">
        <f aca="false">Sens!$I$828/tk_pq</f>
        <v>0.219285125475351</v>
      </c>
      <c r="J860" s="13" t="n">
        <f aca="false">Sens!$J$828/tk_pq</f>
        <v>0.222492493217189</v>
      </c>
      <c r="K860" s="13" t="n">
        <f aca="false">Sens!$K$828/tk_pq</f>
        <v>0.224053502812094</v>
      </c>
      <c r="L860" s="13" t="n">
        <f aca="false">Sens!$L$828/tk_pq</f>
        <v>0.224786916785614</v>
      </c>
      <c r="M860" s="13" t="n">
        <f aca="false">Sens!$M$828/tk_pq</f>
        <v>0.225048671566937</v>
      </c>
      <c r="N860" s="13" t="n">
        <f aca="false">Sens!$N$828/tk_pq</f>
        <v>0.195316432429398</v>
      </c>
      <c r="O860" s="13" t="n">
        <f aca="false">Sens!$O$828/tk_pq</f>
        <v>0.195316432429398</v>
      </c>
      <c r="P860" s="5" t="s">
        <v>655</v>
      </c>
    </row>
    <row r="863" customFormat="false" ht="17.15" hidden="false" customHeight="false" outlineLevel="0" collapsed="false">
      <c r="A863" s="1" t="s">
        <v>684</v>
      </c>
    </row>
    <row r="864" customFormat="false" ht="17.15" hidden="false" customHeight="false" outlineLevel="0" collapsed="false">
      <c r="A864" s="0" t="s">
        <v>685</v>
      </c>
      <c r="B864" s="0" t="s">
        <v>86</v>
      </c>
      <c r="C864" s="38" t="n">
        <f aca="false">Sens!$C$827</f>
        <v>2.32100535697364</v>
      </c>
      <c r="D864" s="38" t="n">
        <f aca="false">Sens!$D$827</f>
        <v>8.70377008865116</v>
      </c>
      <c r="E864" s="38" t="n">
        <f aca="false">Sens!$E$827</f>
        <v>8.51035297557002</v>
      </c>
      <c r="F864" s="38" t="n">
        <f aca="false">Sens!$F$827</f>
        <v>14.9634336447205</v>
      </c>
      <c r="G864" s="38" t="n">
        <f aca="false">Sens!$G$827</f>
        <v>23.4737866202905</v>
      </c>
      <c r="H864" s="38" t="n">
        <f aca="false">Sens!$H$827</f>
        <v>60.1658907497746</v>
      </c>
      <c r="I864" s="38" t="n">
        <f aca="false">Sens!$I$827</f>
        <v>101.503699136432</v>
      </c>
      <c r="J864" s="38" t="n">
        <f aca="false">Sens!$J$827</f>
        <v>143.025407151278</v>
      </c>
      <c r="K864" s="38" t="n">
        <f aca="false">Sens!$K$827</f>
        <v>178.44812038318</v>
      </c>
      <c r="L864" s="38" t="n">
        <f aca="false">Sens!$L$827</f>
        <v>201.728101802396</v>
      </c>
      <c r="M864" s="38" t="n">
        <f aca="false">Sens!$M$827</f>
        <v>212.835441368865</v>
      </c>
      <c r="N864" s="38" t="n">
        <f aca="false">Sens!$N$827</f>
        <v>3.04631953102791</v>
      </c>
      <c r="O864" s="38" t="n">
        <f aca="false">Sens!$O$827</f>
        <v>5.65745055762326</v>
      </c>
      <c r="P864" s="8" t="s">
        <v>686</v>
      </c>
    </row>
    <row r="865" customFormat="false" ht="17.15" hidden="false" customHeight="false" outlineLevel="0" collapsed="false">
      <c r="A865" s="0" t="s">
        <v>687</v>
      </c>
      <c r="B865" s="0" t="s">
        <v>86</v>
      </c>
      <c r="C865" s="38" t="n">
        <f aca="false">Sens!$C$831</f>
        <v>105.234994643026</v>
      </c>
      <c r="D865" s="38" t="n">
        <f aca="false">Sens!$D$831</f>
        <v>120.021229911349</v>
      </c>
      <c r="E865" s="38" t="n">
        <f aca="false">Sens!$E$831</f>
        <v>71.30864702443</v>
      </c>
      <c r="F865" s="38" t="n">
        <f aca="false">Sens!$F$831</f>
        <v>71.7692997942464</v>
      </c>
      <c r="G865" s="38" t="n">
        <f aca="false">Sens!$G$831</f>
        <v>143.077946818676</v>
      </c>
      <c r="H865" s="38" t="n">
        <f aca="false">Sens!$H$831</f>
        <v>161.017077079203</v>
      </c>
      <c r="I865" s="38" t="n">
        <f aca="false">Sens!$I$831</f>
        <v>178.769759521457</v>
      </c>
      <c r="J865" s="38" t="n">
        <f aca="false">Sens!$J$831</f>
        <v>195.775538045907</v>
      </c>
      <c r="K865" s="38" t="n">
        <f aca="false">Sens!$K$831</f>
        <v>211.43758108958</v>
      </c>
      <c r="L865" s="38" t="n">
        <f aca="false">Sens!$L$831</f>
        <v>228.352587576746</v>
      </c>
      <c r="M865" s="38" t="n">
        <f aca="false">Sens!$M$831</f>
        <v>246.620794582886</v>
      </c>
      <c r="N865" s="38" t="n">
        <f aca="false">Sens!$N$831</f>
        <v>57.0936804689721</v>
      </c>
      <c r="O865" s="38" t="n">
        <f aca="false">Sens!$O$831</f>
        <v>62.9275494423768</v>
      </c>
      <c r="P865" s="8" t="s">
        <v>686</v>
      </c>
    </row>
    <row r="866" customFormat="false" ht="17.15" hidden="false" customHeight="false" outlineLevel="0" collapsed="false">
      <c r="A866" s="1" t="s">
        <v>513</v>
      </c>
      <c r="B866" s="8" t="s">
        <v>86</v>
      </c>
      <c r="C866" s="38" t="n">
        <f aca="false">Q!$D$7</f>
        <v>107.556</v>
      </c>
      <c r="D866" s="38" t="n">
        <f aca="false">Q!$E$7</f>
        <v>128.725</v>
      </c>
      <c r="E866" s="38" t="n">
        <f aca="false">Q!$P$7</f>
        <v>79.819</v>
      </c>
      <c r="F866" s="38" t="n">
        <f aca="false">Sens!$F$864+Sens!$F$865</f>
        <v>86.7327334389669</v>
      </c>
      <c r="G866" s="38" t="n">
        <f aca="false">Sens!$G$864+Sens!$G$865</f>
        <v>166.551733438967</v>
      </c>
      <c r="H866" s="38" t="n">
        <f aca="false">Sens!$H$864+Sens!$H$865</f>
        <v>221.182967828978</v>
      </c>
      <c r="I866" s="38" t="n">
        <f aca="false">Sens!$I$864+Sens!$I$865</f>
        <v>280.27345865789</v>
      </c>
      <c r="J866" s="38" t="n">
        <f aca="false">Sens!$J$864+Sens!$J$865</f>
        <v>338.800945197185</v>
      </c>
      <c r="K866" s="38" t="n">
        <f aca="false">Sens!$K$864+Sens!$K$865</f>
        <v>389.88570147276</v>
      </c>
      <c r="L866" s="38" t="n">
        <f aca="false">Sens!$L$864+Sens!$L$865</f>
        <v>430.080689379143</v>
      </c>
      <c r="M866" s="38" t="n">
        <f aca="false">Sens!$M$864+Sens!$M$865</f>
        <v>459.456235951751</v>
      </c>
      <c r="N866" s="38" t="n">
        <f aca="false">Q!$N$7</f>
        <v>60.14</v>
      </c>
      <c r="O866" s="38" t="n">
        <f aca="false">Q!$O$7</f>
        <v>68.585</v>
      </c>
      <c r="P866" s="5" t="s">
        <v>688</v>
      </c>
    </row>
    <row r="867" customFormat="false" ht="15" hidden="false" customHeight="false" outlineLevel="0" collapsed="false">
      <c r="A867" s="3" t="s">
        <v>689</v>
      </c>
      <c r="B867" s="8" t="s">
        <v>86</v>
      </c>
      <c r="C867" s="38" t="n">
        <f aca="false">Q!$D$8</f>
        <v>637.959</v>
      </c>
      <c r="D867" s="38" t="n">
        <f aca="false">Q!$E$8</f>
        <v>716.924</v>
      </c>
      <c r="E867" s="38" t="n">
        <f aca="false">Q!$P$8</f>
        <v>382.125</v>
      </c>
      <c r="F867" s="38" t="n">
        <f aca="false">Sens!$F$799+Sens!$F$866</f>
        <v>435.780975084504</v>
      </c>
      <c r="G867" s="38" t="n">
        <f aca="false">Sens!$G$799+Sens!$G$866</f>
        <v>817.905975084504</v>
      </c>
      <c r="H867" s="38" t="n">
        <f aca="false">Sens!$H$799+Sens!$H$866</f>
        <v>942.279857350364</v>
      </c>
      <c r="I867" s="38" t="n">
        <f aca="false">Sens!$I$799+Sens!$I$866</f>
        <v>1068.80284981042</v>
      </c>
      <c r="J867" s="38" t="n">
        <f aca="false">Sens!$J$799+Sens!$J$866</f>
        <v>1189.90935093863</v>
      </c>
      <c r="K867" s="38" t="n">
        <f aca="false">Sens!$K$799+Sens!$K$866</f>
        <v>1296.06215690385</v>
      </c>
      <c r="L867" s="38" t="n">
        <f aca="false">Sens!$L$799+Sens!$L$866</f>
        <v>1395.17379585473</v>
      </c>
      <c r="M867" s="38" t="n">
        <f aca="false">Sens!$M$799+Sens!$M$866</f>
        <v>1487.60414389864</v>
      </c>
      <c r="N867" s="38" t="n">
        <f aca="false">Q!$N$8</f>
        <v>323.369</v>
      </c>
      <c r="O867" s="38" t="n">
        <f aca="false">Q!$O$8</f>
        <v>393.555</v>
      </c>
    </row>
    <row r="868" customFormat="false" ht="17.15" hidden="false" customHeight="false" outlineLevel="0" collapsed="false">
      <c r="A868" s="24" t="s">
        <v>697</v>
      </c>
      <c r="B868" s="25" t="s">
        <v>86</v>
      </c>
      <c r="C868" s="41" t="n">
        <f aca="false">Sens!$C$799-(Sens!$C$801+Sens!$C$802)</f>
        <v>0</v>
      </c>
      <c r="D868" s="41" t="n">
        <f aca="false">Sens!$D$799-(Sens!$D$801+Sens!$D$802)</f>
        <v>0</v>
      </c>
      <c r="E868" s="41" t="n">
        <f aca="false">Sens!$E$799-(Sens!$E$801+Sens!$E$802)</f>
        <v>0</v>
      </c>
      <c r="F868" s="41" t="n">
        <f aca="false">Sens!$F$799-(Sens!$F$801+Sens!$F$802)</f>
        <v>0</v>
      </c>
      <c r="G868" s="41" t="n">
        <f aca="false">Sens!$G$799-(Sens!$G$801+Sens!$G$802)</f>
        <v>0</v>
      </c>
      <c r="H868" s="41" t="n">
        <f aca="false">Sens!$H$799-(Sens!$H$801+Sens!$H$802)</f>
        <v>0</v>
      </c>
      <c r="I868" s="41" t="n">
        <f aca="false">Sens!$I$799-(Sens!$I$801+Sens!$I$802)</f>
        <v>0</v>
      </c>
      <c r="J868" s="41" t="n">
        <f aca="false">Sens!$J$799-(Sens!$J$801+Sens!$J$802)</f>
        <v>0</v>
      </c>
      <c r="K868" s="41" t="n">
        <f aca="false">Sens!$K$799-(Sens!$K$801+Sens!$K$802)</f>
        <v>0</v>
      </c>
      <c r="L868" s="41" t="n">
        <f aca="false">Sens!$L$799-(Sens!$L$801+Sens!$L$802)</f>
        <v>0</v>
      </c>
      <c r="M868" s="41" t="n">
        <f aca="false">Sens!$M$799-(Sens!$M$801+Sens!$M$802)</f>
        <v>0</v>
      </c>
      <c r="N868" s="41" t="n">
        <f aca="false">Sens!$N$799-(Sens!$N$801+Sens!$N$802)</f>
        <v>0</v>
      </c>
      <c r="O868" s="41" t="n">
        <f aca="false">Sens!$O$799-(Sens!$O$801+Sens!$O$802)</f>
        <v>0</v>
      </c>
    </row>
    <row r="869" customFormat="false" ht="17.15" hidden="false" customHeight="false" outlineLevel="0" collapsed="false">
      <c r="A869" s="24" t="s">
        <v>698</v>
      </c>
      <c r="B869" s="25" t="s">
        <v>86</v>
      </c>
      <c r="C869" s="41" t="n">
        <f aca="false">Sens!$C$864+Sens!$C$865-Sens!$C$866</f>
        <v>0</v>
      </c>
      <c r="D869" s="41" t="n">
        <f aca="false">Sens!$D$864+Sens!$D$865-Sens!$D$866</f>
        <v>0</v>
      </c>
      <c r="E869" s="41" t="n">
        <f aca="false">Sens!$E$864+Sens!$E$865-Sens!$E$866</f>
        <v>0</v>
      </c>
      <c r="F869" s="41" t="n">
        <f aca="false">Sens!$F$864+Sens!$F$865-Sens!$F$866</f>
        <v>0</v>
      </c>
      <c r="G869" s="41" t="n">
        <f aca="false">Sens!$G$864+Sens!$G$865-Sens!$G$866</f>
        <v>0</v>
      </c>
      <c r="H869" s="41" t="n">
        <f aca="false">Sens!$H$864+Sens!$H$865-Sens!$H$866</f>
        <v>0</v>
      </c>
      <c r="I869" s="41" t="n">
        <f aca="false">Sens!$I$864+Sens!$I$865-Sens!$I$866</f>
        <v>0</v>
      </c>
      <c r="J869" s="41" t="n">
        <f aca="false">Sens!$J$864+Sens!$J$865-Sens!$J$866</f>
        <v>0</v>
      </c>
      <c r="K869" s="41" t="n">
        <f aca="false">Sens!$K$864+Sens!$K$865-Sens!$K$866</f>
        <v>0</v>
      </c>
      <c r="L869" s="41" t="n">
        <f aca="false">Sens!$L$864+Sens!$L$865-Sens!$L$866</f>
        <v>0</v>
      </c>
      <c r="M869" s="41" t="n">
        <f aca="false">Sens!$M$864+Sens!$M$865-Sens!$M$866</f>
        <v>0</v>
      </c>
      <c r="N869" s="41" t="n">
        <f aca="false">Sens!$N$864+Sens!$N$865-Sens!$N$866</f>
        <v>0</v>
      </c>
      <c r="O869" s="41" t="n">
        <f aca="false">Sens!$O$864+Sens!$O$865-Sens!$O$866</f>
        <v>0</v>
      </c>
    </row>
    <row r="870" customFormat="false" ht="17.15" hidden="false" customHeight="false" outlineLevel="0" collapsed="false">
      <c r="A870" s="24" t="s">
        <v>699</v>
      </c>
      <c r="B870" s="25" t="s">
        <v>86</v>
      </c>
      <c r="C870" s="41" t="n">
        <f aca="false">Sens!$C$801+Sens!$C$802+Sens!$C$866-Sens!$C$867</f>
        <v>0</v>
      </c>
      <c r="D870" s="41" t="n">
        <f aca="false">Sens!$D$801+Sens!$D$802+Sens!$D$866-Sens!$D$867</f>
        <v>0</v>
      </c>
      <c r="E870" s="41" t="n">
        <f aca="false">Sens!$E$801+Sens!$E$802+Sens!$E$866-Sens!$E$867</f>
        <v>0</v>
      </c>
      <c r="F870" s="41" t="n">
        <f aca="false">Sens!$F$801+Sens!$F$802+Sens!$F$866-Sens!$F$867</f>
        <v>0</v>
      </c>
      <c r="G870" s="41" t="n">
        <f aca="false">Sens!$G$801+Sens!$G$802+Sens!$G$866-Sens!$G$867</f>
        <v>0</v>
      </c>
      <c r="H870" s="41" t="n">
        <f aca="false">Sens!$H$801+Sens!$H$802+Sens!$H$866-Sens!$H$867</f>
        <v>0</v>
      </c>
      <c r="I870" s="41" t="n">
        <f aca="false">Sens!$I$801+Sens!$I$802+Sens!$I$866-Sens!$I$867</f>
        <v>0</v>
      </c>
      <c r="J870" s="41" t="n">
        <f aca="false">Sens!$J$801+Sens!$J$802+Sens!$J$866-Sens!$J$867</f>
        <v>0</v>
      </c>
      <c r="K870" s="41" t="n">
        <f aca="false">Sens!$K$801+Sens!$K$802+Sens!$K$866-Sens!$K$867</f>
        <v>0</v>
      </c>
      <c r="L870" s="41" t="n">
        <f aca="false">Sens!$L$801+Sens!$L$802+Sens!$L$866-Sens!$L$867</f>
        <v>0</v>
      </c>
      <c r="M870" s="41" t="n">
        <f aca="false">Sens!$M$801+Sens!$M$802+Sens!$M$866-Sens!$M$867</f>
        <v>0</v>
      </c>
      <c r="N870" s="41" t="n">
        <f aca="false">Sens!$N$801+Sens!$N$802+Sens!$N$866-Sens!$N$867</f>
        <v>0</v>
      </c>
      <c r="O870" s="41" t="n">
        <f aca="false">Sens!$O$801+Sens!$O$802+Sens!$O$866-Sens!$O$867</f>
        <v>0</v>
      </c>
    </row>
    <row r="871" customFormat="false" ht="15" hidden="false" customHeight="false" outlineLevel="0" collapsed="false">
      <c r="A871" s="5" t="s">
        <v>693</v>
      </c>
      <c r="B871" s="0" t="s">
        <v>52</v>
      </c>
      <c r="G871" s="13" t="n">
        <f aca="false">Sens!$G$867/Sens!$D$867-1</f>
        <v>0.140854504918937</v>
      </c>
      <c r="H871" s="13" t="n">
        <f aca="false">Sens!$H$867/Sens!$G$867-1</f>
        <v>0.152063789793209</v>
      </c>
      <c r="I871" s="13" t="n">
        <f aca="false">Sens!$I$867/Sens!$H$867-1</f>
        <v>0.134273264437417</v>
      </c>
      <c r="J871" s="13" t="n">
        <f aca="false">Sens!$J$867/Sens!$I$867-1</f>
        <v>0.113310421234083</v>
      </c>
      <c r="K871" s="13" t="n">
        <f aca="false">Sens!$K$867/Sens!$J$867-1</f>
        <v>0.0892108343223652</v>
      </c>
      <c r="L871" s="13" t="n">
        <f aca="false">Sens!$L$867/Sens!$K$867-1</f>
        <v>0.076471362444261</v>
      </c>
      <c r="M871" s="13" t="n">
        <f aca="false">Sens!$M$867/Sens!$L$867-1</f>
        <v>0.066250060256672</v>
      </c>
    </row>
    <row r="872" customFormat="false" ht="17.15" hidden="false" customHeight="false" outlineLevel="0" collapsed="false">
      <c r="A872" s="0" t="s">
        <v>694</v>
      </c>
      <c r="B872" s="0" t="s">
        <v>52</v>
      </c>
      <c r="C872" s="13" t="n">
        <f aca="false">Sens!$C$866/Sens!$C$867</f>
        <v>0.168593906504964</v>
      </c>
      <c r="D872" s="13" t="n">
        <f aca="false">Sens!$D$866/Sens!$D$867</f>
        <v>0.179551807444025</v>
      </c>
      <c r="E872" s="13" t="n">
        <f aca="false">Sens!$E$866/Sens!$E$867</f>
        <v>0.208881910369643</v>
      </c>
      <c r="F872" s="13" t="n">
        <f aca="false">Sens!$F$866/Sens!$F$867</f>
        <v>0.199028269699356</v>
      </c>
      <c r="G872" s="13" t="n">
        <f aca="false">Sens!$G$866/Sens!$G$867</f>
        <v>0.203631882529968</v>
      </c>
      <c r="H872" s="13" t="n">
        <f aca="false">Sens!$H$866/Sens!$H$867</f>
        <v>0.234731715958496</v>
      </c>
      <c r="I872" s="13" t="n">
        <f aca="false">Sens!$I$866/Sens!$I$867</f>
        <v>0.262231204480418</v>
      </c>
      <c r="J872" s="13" t="n">
        <f aca="false">Sens!$J$866/Sens!$J$867</f>
        <v>0.284728366013706</v>
      </c>
      <c r="K872" s="13" t="n">
        <f aca="false">Sens!$K$866/Sens!$K$867</f>
        <v>0.300823304959505</v>
      </c>
      <c r="L872" s="13" t="n">
        <f aca="false">Sens!$L$866/Sens!$L$867</f>
        <v>0.308263164529735</v>
      </c>
      <c r="M872" s="13" t="n">
        <f aca="false">Sens!$M$866/Sens!$M$867</f>
        <v>0.308856517936036</v>
      </c>
      <c r="N872" s="13" t="n">
        <f aca="false">Sens!$N$866/Sens!$N$867</f>
        <v>0.185979484737251</v>
      </c>
      <c r="O872" s="13" t="n">
        <f aca="false">Sens!$O$866/Sens!$O$867</f>
        <v>0.174270432341096</v>
      </c>
    </row>
    <row r="873" customFormat="false" ht="17.15" hidden="false" customHeight="false" outlineLevel="0" collapsed="false">
      <c r="A873" s="0" t="s">
        <v>695</v>
      </c>
      <c r="B873" s="0" t="s">
        <v>52</v>
      </c>
      <c r="C873" s="13" t="n">
        <f aca="false">Sens!$C$864/Sens!$C$866</f>
        <v>0.0215795060896058</v>
      </c>
      <c r="D873" s="13" t="n">
        <f aca="false">Sens!$D$864/Sens!$D$866</f>
        <v>0.0676152269462122</v>
      </c>
      <c r="E873" s="13" t="n">
        <f aca="false">Sens!$E$864/Sens!$E$866</f>
        <v>0.106620641395783</v>
      </c>
      <c r="F873" s="13" t="n">
        <f aca="false">Sens!$F$864/Sens!$F$866</f>
        <v>0.172523487401099</v>
      </c>
      <c r="G873" s="13" t="n">
        <f aca="false">Sens!$G$864/Sens!$G$866</f>
        <v>0.140939911795589</v>
      </c>
      <c r="H873" s="13" t="n">
        <f aca="false">Sens!$H$864/Sens!$H$866</f>
        <v>0.272018642937714</v>
      </c>
      <c r="I873" s="13" t="n">
        <f aca="false">Sens!$I$864/Sens!$I$866</f>
        <v>0.362159512436497</v>
      </c>
      <c r="J873" s="13" t="n">
        <f aca="false">Sens!$J$864/Sens!$J$866</f>
        <v>0.422151735934609</v>
      </c>
      <c r="K873" s="13" t="n">
        <f aca="false">Sens!$K$864/Sens!$K$866</f>
        <v>0.45769342068485</v>
      </c>
      <c r="L873" s="13" t="n">
        <f aca="false">Sens!$L$864/Sens!$L$866</f>
        <v>0.469047103913472</v>
      </c>
      <c r="M873" s="13" t="n">
        <f aca="false">Sens!$M$864/Sens!$M$866</f>
        <v>0.463233328258093</v>
      </c>
      <c r="N873" s="13" t="n">
        <f aca="false">Sens!$N$864/Sens!$N$866</f>
        <v>0.0506537999838362</v>
      </c>
      <c r="O873" s="13" t="n">
        <f aca="false">Sens!$O$864/Sens!$O$866</f>
        <v>0.0824881615167056</v>
      </c>
    </row>
    <row r="876" customFormat="false" ht="19.4" hidden="false" customHeight="false" outlineLevel="0" collapsed="false">
      <c r="A876" s="31" t="s">
        <v>1144</v>
      </c>
    </row>
    <row r="877" customFormat="false" ht="17.15" hidden="false" customHeight="false" outlineLevel="0" collapsed="false">
      <c r="A877" s="6" t="s">
        <v>16</v>
      </c>
      <c r="B877" s="6" t="s">
        <v>17</v>
      </c>
      <c r="C877" s="20" t="s">
        <v>494</v>
      </c>
      <c r="D877" s="20" t="s">
        <v>495</v>
      </c>
      <c r="E877" s="20" t="s">
        <v>577</v>
      </c>
      <c r="F877" s="20" t="s">
        <v>578</v>
      </c>
      <c r="G877" s="20" t="s">
        <v>579</v>
      </c>
      <c r="H877" s="20" t="s">
        <v>580</v>
      </c>
      <c r="I877" s="20" t="s">
        <v>581</v>
      </c>
      <c r="J877" s="20" t="s">
        <v>582</v>
      </c>
      <c r="K877" s="20" t="s">
        <v>583</v>
      </c>
      <c r="L877" s="20" t="s">
        <v>584</v>
      </c>
      <c r="M877" s="20" t="s">
        <v>585</v>
      </c>
      <c r="N877" s="20" t="s">
        <v>586</v>
      </c>
      <c r="O877" s="20" t="s">
        <v>587</v>
      </c>
      <c r="P877" s="6" t="s">
        <v>23</v>
      </c>
      <c r="R877" s="20" t="n">
        <v>2023</v>
      </c>
      <c r="S877" s="20" t="n">
        <v>2024</v>
      </c>
      <c r="T877" s="20" t="n">
        <v>2025</v>
      </c>
      <c r="U877" s="20" t="n">
        <v>2026</v>
      </c>
      <c r="V877" s="20" t="n">
        <v>2027</v>
      </c>
      <c r="W877" s="20" t="n">
        <v>2028</v>
      </c>
      <c r="X877" s="20" t="n">
        <v>2029</v>
      </c>
      <c r="Y877" s="20" t="n">
        <v>2030</v>
      </c>
      <c r="Z877" s="20" t="n">
        <v>2031</v>
      </c>
      <c r="AA877" s="20" t="n">
        <v>2032</v>
      </c>
    </row>
    <row r="878" customFormat="false" ht="17.15" hidden="false" customHeight="false" outlineLevel="0" collapsed="false">
      <c r="A878" s="1" t="s">
        <v>710</v>
      </c>
    </row>
    <row r="879" customFormat="false" ht="15" hidden="false" customHeight="false" outlineLevel="0" collapsed="false">
      <c r="A879" s="0" t="s">
        <v>516</v>
      </c>
      <c r="B879" s="0" t="s">
        <v>86</v>
      </c>
      <c r="C879" s="38" t="n">
        <f aca="false">Sens!$C$786</f>
        <v>247.029</v>
      </c>
      <c r="D879" s="38" t="n">
        <f aca="false">Sens!$D$786</f>
        <v>269.287</v>
      </c>
      <c r="E879" s="38" t="n">
        <f aca="false">Sens!$E$786</f>
        <v>134.686</v>
      </c>
      <c r="F879" s="38" t="n">
        <f aca="false">Sens!$F$786</f>
        <v>158.293876822267</v>
      </c>
      <c r="G879" s="38" t="n">
        <f aca="false">Sens!$G$786</f>
        <v>292.979876822267</v>
      </c>
      <c r="H879" s="38" t="n">
        <f aca="false">Sens!$H$786</f>
        <v>318.184543087396</v>
      </c>
      <c r="I879" s="38" t="n">
        <f aca="false">Sens!$I$786</f>
        <v>341.736278761793</v>
      </c>
      <c r="J879" s="38" t="n">
        <f aca="false">Sens!$J$786</f>
        <v>362.927192787048</v>
      </c>
      <c r="K879" s="38" t="n">
        <f aca="false">Sens!$K$786</f>
        <v>381.0735524264</v>
      </c>
      <c r="L879" s="38" t="n">
        <f aca="false">Sens!$L$786</f>
        <v>400.12723004772</v>
      </c>
      <c r="M879" s="38" t="n">
        <f aca="false">Sens!$M$786</f>
        <v>420.133591550106</v>
      </c>
      <c r="N879" s="38" t="n">
        <f aca="false">Sens!$N$786</f>
        <v>118.892</v>
      </c>
      <c r="O879" s="38" t="n">
        <f aca="false">Sens!$O$786</f>
        <v>150.395</v>
      </c>
    </row>
    <row r="880" customFormat="false" ht="15" hidden="false" customHeight="false" outlineLevel="0" collapsed="false">
      <c r="A880" s="0" t="s">
        <v>517</v>
      </c>
      <c r="B880" s="0" t="s">
        <v>86</v>
      </c>
      <c r="C880" s="38" t="n">
        <f aca="false">Sens!$C$788</f>
        <v>21.215</v>
      </c>
      <c r="D880" s="38" t="n">
        <f aca="false">Sens!$D$788</f>
        <v>22.561</v>
      </c>
      <c r="E880" s="38" t="n">
        <f aca="false">Sens!$E$788</f>
        <v>11.579</v>
      </c>
      <c r="F880" s="38" t="n">
        <f aca="false">Sens!$F$788</f>
        <v>11.5938724610325</v>
      </c>
      <c r="G880" s="38" t="n">
        <f aca="false">Sens!$G$788</f>
        <v>23.1728724610325</v>
      </c>
      <c r="H880" s="38" t="n">
        <f aca="false">Sens!$H$788</f>
        <v>24.353392759506</v>
      </c>
      <c r="I880" s="38" t="n">
        <f aca="false">Sens!$I$788</f>
        <v>25.4240338872015</v>
      </c>
      <c r="J880" s="38" t="n">
        <f aca="false">Sens!$J$788</f>
        <v>26.3642491017174</v>
      </c>
      <c r="K880" s="38" t="n">
        <f aca="false">Sens!$K$788</f>
        <v>27.155176574769</v>
      </c>
      <c r="L880" s="38" t="n">
        <f aca="false">Sens!$L$788</f>
        <v>27.969831872012</v>
      </c>
      <c r="M880" s="38" t="n">
        <f aca="false">Sens!$M$788</f>
        <v>28.8089268281724</v>
      </c>
      <c r="N880" s="38" t="n">
        <f aca="false">Sens!$N$788</f>
        <v>11.128</v>
      </c>
      <c r="O880" s="38" t="n">
        <f aca="false">Sens!$O$788</f>
        <v>11.433</v>
      </c>
    </row>
    <row r="881" customFormat="false" ht="15" hidden="false" customHeight="false" outlineLevel="0" collapsed="false">
      <c r="A881" s="0" t="s">
        <v>518</v>
      </c>
      <c r="B881" s="0" t="s">
        <v>86</v>
      </c>
      <c r="C881" s="38" t="n">
        <f aca="false">Sens!$C$790</f>
        <v>156.146</v>
      </c>
      <c r="D881" s="38" t="n">
        <f aca="false">Sens!$D$790</f>
        <v>172.162</v>
      </c>
      <c r="E881" s="38" t="n">
        <f aca="false">Sens!$E$790</f>
        <v>88.358</v>
      </c>
      <c r="F881" s="38" t="n">
        <f aca="false">Sens!$F$790</f>
        <v>102.004388260171</v>
      </c>
      <c r="G881" s="38" t="n">
        <f aca="false">Sens!$G$790</f>
        <v>190.362388260171</v>
      </c>
      <c r="H881" s="38" t="n">
        <f aca="false">Sens!$H$790</f>
        <v>210.343106588311</v>
      </c>
      <c r="I881" s="38" t="n">
        <f aca="false">Sens!$I$790</f>
        <v>229.969728494648</v>
      </c>
      <c r="J881" s="38" t="n">
        <f aca="false">Sens!$J$790</f>
        <v>248.747636972598</v>
      </c>
      <c r="K881" s="38" t="n">
        <f aca="false">Sens!$K$790</f>
        <v>266.15997156068</v>
      </c>
      <c r="L881" s="38" t="n">
        <f aca="false">Sens!$L$790</f>
        <v>284.791169569927</v>
      </c>
      <c r="M881" s="38" t="n">
        <f aca="false">Sens!$M$790</f>
        <v>304.726551439822</v>
      </c>
      <c r="N881" s="38" t="n">
        <f aca="false">Sens!$N$790</f>
        <v>76.86</v>
      </c>
      <c r="O881" s="38" t="n">
        <f aca="false">Sens!$O$790</f>
        <v>95.302</v>
      </c>
    </row>
    <row r="882" customFormat="false" ht="15" hidden="false" customHeight="false" outlineLevel="0" collapsed="false">
      <c r="A882" s="0" t="s">
        <v>519</v>
      </c>
      <c r="B882" s="0" t="s">
        <v>86</v>
      </c>
      <c r="C882" s="38" t="n">
        <f aca="false">Sens!$C$792</f>
        <v>56.214</v>
      </c>
      <c r="D882" s="38" t="n">
        <f aca="false">Sens!$D$792</f>
        <v>68.635</v>
      </c>
      <c r="E882" s="38" t="n">
        <f aca="false">Sens!$E$792</f>
        <v>37.052</v>
      </c>
      <c r="F882" s="38" t="n">
        <f aca="false">Sens!$F$792</f>
        <v>46.1572219944148</v>
      </c>
      <c r="G882" s="38" t="n">
        <f aca="false">Sens!$G$792</f>
        <v>83.2092219944148</v>
      </c>
      <c r="H882" s="38" t="n">
        <f aca="false">Sens!$H$792</f>
        <v>99.8969223878976</v>
      </c>
      <c r="I882" s="38" t="n">
        <f aca="false">Sens!$I$792</f>
        <v>116.583111095496</v>
      </c>
      <c r="J882" s="38" t="n">
        <f aca="false">Sens!$J$792</f>
        <v>132.148941941952</v>
      </c>
      <c r="K882" s="38" t="n">
        <f aca="false">Sens!$K$792</f>
        <v>145.363836136147</v>
      </c>
      <c r="L882" s="38" t="n">
        <f aca="false">Sens!$L$792</f>
        <v>159.900219749762</v>
      </c>
      <c r="M882" s="38" t="n">
        <f aca="false">Sens!$M$792</f>
        <v>175.890241724738</v>
      </c>
      <c r="N882" s="38" t="n">
        <f aca="false">Sens!$N$792</f>
        <v>29.615</v>
      </c>
      <c r="O882" s="38" t="n">
        <f aca="false">Sens!$O$792</f>
        <v>39.02</v>
      </c>
    </row>
    <row r="883" customFormat="false" ht="15" hidden="false" customHeight="false" outlineLevel="0" collapsed="false">
      <c r="A883" s="0" t="s">
        <v>520</v>
      </c>
      <c r="B883" s="0" t="s">
        <v>86</v>
      </c>
      <c r="C883" s="38" t="n">
        <f aca="false">Sens!$C$794</f>
        <v>44.374</v>
      </c>
      <c r="D883" s="38" t="n">
        <f aca="false">Sens!$D$794</f>
        <v>49.619</v>
      </c>
      <c r="E883" s="38" t="n">
        <f aca="false">Sens!$E$794</f>
        <v>27.157</v>
      </c>
      <c r="F883" s="38" t="n">
        <f aca="false">Sens!$F$794</f>
        <v>27.7764165988154</v>
      </c>
      <c r="G883" s="38" t="n">
        <f aca="false">Sens!$G$794</f>
        <v>54.9334165988154</v>
      </c>
      <c r="H883" s="38" t="n">
        <f aca="false">Sens!$H$794</f>
        <v>61.1564112561829</v>
      </c>
      <c r="I883" s="38" t="n">
        <f aca="false">Sens!$I$794</f>
        <v>67.2020282103945</v>
      </c>
      <c r="J883" s="38" t="n">
        <f aca="false">Sens!$J$794</f>
        <v>72.8757274028885</v>
      </c>
      <c r="K883" s="38" t="n">
        <f aca="false">Sens!$K$794</f>
        <v>77.9770283210907</v>
      </c>
      <c r="L883" s="38" t="n">
        <f aca="false">Sens!$L$794</f>
        <v>83.4354203035671</v>
      </c>
      <c r="M883" s="38" t="n">
        <f aca="false">Sens!$M$794</f>
        <v>89.2758997248168</v>
      </c>
      <c r="N883" s="38" t="n">
        <f aca="false">Sens!$N$794</f>
        <v>23.923</v>
      </c>
      <c r="O883" s="38" t="n">
        <f aca="false">Sens!$O$794</f>
        <v>25.696</v>
      </c>
    </row>
    <row r="884" customFormat="false" ht="15" hidden="false" customHeight="false" outlineLevel="0" collapsed="false">
      <c r="A884" s="0" t="s">
        <v>521</v>
      </c>
      <c r="B884" s="0" t="s">
        <v>86</v>
      </c>
      <c r="C884" s="38" t="n">
        <f aca="false">Sens!$C$796</f>
        <v>5.425</v>
      </c>
      <c r="D884" s="38" t="n">
        <f aca="false">Sens!$D$796</f>
        <v>5.935</v>
      </c>
      <c r="E884" s="38" t="n">
        <f aca="false">Sens!$E$796</f>
        <v>3.474</v>
      </c>
      <c r="F884" s="38" t="n">
        <f aca="false">Sens!$F$796</f>
        <v>3.22246550883619</v>
      </c>
      <c r="G884" s="38" t="n">
        <f aca="false">Sens!$G$796</f>
        <v>6.69646550883619</v>
      </c>
      <c r="H884" s="38" t="n">
        <f aca="false">Sens!$H$796</f>
        <v>7.16251344209196</v>
      </c>
      <c r="I884" s="38" t="n">
        <f aca="false">Sens!$I$796</f>
        <v>7.61421070299826</v>
      </c>
      <c r="J884" s="38" t="n">
        <f aca="false">Sens!$J$796</f>
        <v>8.04465753523932</v>
      </c>
      <c r="K884" s="38" t="n">
        <f aca="false">Sens!$K$796</f>
        <v>8.44689041200128</v>
      </c>
      <c r="L884" s="38" t="n">
        <f aca="false">Sens!$L$796</f>
        <v>8.86923493260135</v>
      </c>
      <c r="M884" s="38" t="n">
        <f aca="false">Sens!$M$796</f>
        <v>9.31269667923142</v>
      </c>
      <c r="N884" s="38" t="n">
        <f aca="false">Sens!$N$796</f>
        <v>2.811</v>
      </c>
      <c r="O884" s="38" t="n">
        <f aca="false">Sens!$O$796</f>
        <v>3.124</v>
      </c>
    </row>
    <row r="885" customFormat="false" ht="17.15" hidden="false" customHeight="false" outlineLevel="0" collapsed="false">
      <c r="A885" s="0" t="s">
        <v>711</v>
      </c>
      <c r="B885" s="0" t="s">
        <v>86</v>
      </c>
      <c r="C885" s="38" t="n">
        <f aca="false">Sens!$C$866</f>
        <v>107.556</v>
      </c>
      <c r="D885" s="38" t="n">
        <f aca="false">Sens!$D$866</f>
        <v>128.725</v>
      </c>
      <c r="E885" s="38" t="n">
        <f aca="false">Sens!$E$866</f>
        <v>79.819</v>
      </c>
      <c r="F885" s="38" t="n">
        <f aca="false">Sens!$F$866</f>
        <v>86.7327334389669</v>
      </c>
      <c r="G885" s="38" t="n">
        <f aca="false">Sens!$G$866</f>
        <v>166.551733438967</v>
      </c>
      <c r="H885" s="38" t="n">
        <f aca="false">Sens!$H$866</f>
        <v>221.182967828978</v>
      </c>
      <c r="I885" s="38" t="n">
        <f aca="false">Sens!$I$866</f>
        <v>280.27345865789</v>
      </c>
      <c r="J885" s="38" t="n">
        <f aca="false">Sens!$J$866</f>
        <v>338.800945197185</v>
      </c>
      <c r="K885" s="38" t="n">
        <f aca="false">Sens!$K$866</f>
        <v>389.88570147276</v>
      </c>
      <c r="L885" s="38" t="n">
        <f aca="false">Sens!$L$866</f>
        <v>430.080689379143</v>
      </c>
      <c r="M885" s="38" t="n">
        <f aca="false">Sens!$M$866</f>
        <v>459.456235951751</v>
      </c>
      <c r="N885" s="38" t="n">
        <f aca="false">Sens!$N$866</f>
        <v>60.14</v>
      </c>
      <c r="O885" s="38" t="n">
        <f aca="false">Sens!$O$866</f>
        <v>68.585</v>
      </c>
    </row>
    <row r="886" customFormat="false" ht="15" hidden="false" customHeight="false" outlineLevel="0" collapsed="false">
      <c r="A886" s="1" t="s">
        <v>509</v>
      </c>
      <c r="B886" s="8" t="s">
        <v>86</v>
      </c>
      <c r="C886" s="38" t="n">
        <f aca="false">Sens!$C$801</f>
        <v>387.497</v>
      </c>
      <c r="D886" s="38" t="n">
        <f aca="false">Sens!$D$801</f>
        <v>426.305</v>
      </c>
      <c r="E886" s="38" t="n">
        <f aca="false">Sens!$E$801</f>
        <v>220.32</v>
      </c>
      <c r="F886" s="38" t="n">
        <f aca="false">Sens!$F$801</f>
        <v>250.639773480586</v>
      </c>
      <c r="G886" s="38" t="n">
        <f aca="false">Sens!$G$801</f>
        <v>470.959773480586</v>
      </c>
      <c r="H886" s="38" t="n">
        <f aca="false">Sens!$H$801</f>
        <v>521.386990416437</v>
      </c>
      <c r="I886" s="38" t="n">
        <f aca="false">Sens!$I$801</f>
        <v>570.143862887555</v>
      </c>
      <c r="J886" s="38" t="n">
        <f aca="false">Sens!$J$801</f>
        <v>615.391435791933</v>
      </c>
      <c r="K886" s="38" t="n">
        <f aca="false">Sens!$K$801</f>
        <v>655.208227561543</v>
      </c>
      <c r="L886" s="38" t="n">
        <f aca="false">Sens!$L$801</f>
        <v>697.807739249767</v>
      </c>
      <c r="M886" s="38" t="n">
        <f aca="false">Sens!$M$801</f>
        <v>743.399328463592</v>
      </c>
      <c r="N886" s="38" t="n">
        <f aca="false">Sens!$N$801</f>
        <v>192.955</v>
      </c>
      <c r="O886" s="38" t="n">
        <f aca="false">Sens!$O$801</f>
        <v>233.35</v>
      </c>
    </row>
    <row r="887" customFormat="false" ht="15" hidden="false" customHeight="false" outlineLevel="0" collapsed="false">
      <c r="A887" s="1" t="s">
        <v>512</v>
      </c>
      <c r="B887" s="8" t="s">
        <v>86</v>
      </c>
      <c r="C887" s="38" t="n">
        <f aca="false">Sens!$C$802</f>
        <v>142.906</v>
      </c>
      <c r="D887" s="38" t="n">
        <f aca="false">Sens!$D$802</f>
        <v>161.894</v>
      </c>
      <c r="E887" s="38" t="n">
        <f aca="false">Sens!$E$802</f>
        <v>81.986</v>
      </c>
      <c r="F887" s="38" t="n">
        <f aca="false">Sens!$F$802</f>
        <v>98.408468164951</v>
      </c>
      <c r="G887" s="38" t="n">
        <f aca="false">Sens!$G$802</f>
        <v>180.394468164951</v>
      </c>
      <c r="H887" s="38" t="n">
        <f aca="false">Sens!$H$802</f>
        <v>199.709899104949</v>
      </c>
      <c r="I887" s="38" t="n">
        <f aca="false">Sens!$I$802</f>
        <v>218.385528264976</v>
      </c>
      <c r="J887" s="38" t="n">
        <f aca="false">Sens!$J$802</f>
        <v>235.71696994951</v>
      </c>
      <c r="K887" s="38" t="n">
        <f aca="false">Sens!$K$802</f>
        <v>250.968227869545</v>
      </c>
      <c r="L887" s="38" t="n">
        <f aca="false">Sens!$L$802</f>
        <v>267.285367225822</v>
      </c>
      <c r="M887" s="38" t="n">
        <f aca="false">Sens!$M$802</f>
        <v>284.748579483295</v>
      </c>
      <c r="N887" s="38" t="n">
        <f aca="false">Sens!$N$802</f>
        <v>70.274</v>
      </c>
      <c r="O887" s="38" t="n">
        <f aca="false">Sens!$O$802</f>
        <v>91.62</v>
      </c>
    </row>
    <row r="888" customFormat="false" ht="15" hidden="false" customHeight="false" outlineLevel="0" collapsed="false">
      <c r="A888" s="1" t="s">
        <v>513</v>
      </c>
      <c r="B888" s="8" t="s">
        <v>86</v>
      </c>
      <c r="C888" s="38" t="n">
        <f aca="false">Sens!$C$866</f>
        <v>107.556</v>
      </c>
      <c r="D888" s="38" t="n">
        <f aca="false">Sens!$D$866</f>
        <v>128.725</v>
      </c>
      <c r="E888" s="38" t="n">
        <f aca="false">Sens!$E$866</f>
        <v>79.819</v>
      </c>
      <c r="F888" s="38" t="n">
        <f aca="false">Sens!$F$866</f>
        <v>86.7327334389669</v>
      </c>
      <c r="G888" s="38" t="n">
        <f aca="false">Sens!$G$866</f>
        <v>166.551733438967</v>
      </c>
      <c r="H888" s="38" t="n">
        <f aca="false">Sens!$H$866</f>
        <v>221.182967828978</v>
      </c>
      <c r="I888" s="38" t="n">
        <f aca="false">Sens!$I$866</f>
        <v>280.27345865789</v>
      </c>
      <c r="J888" s="38" t="n">
        <f aca="false">Sens!$J$866</f>
        <v>338.800945197185</v>
      </c>
      <c r="K888" s="38" t="n">
        <f aca="false">Sens!$K$866</f>
        <v>389.88570147276</v>
      </c>
      <c r="L888" s="38" t="n">
        <f aca="false">Sens!$L$866</f>
        <v>430.080689379143</v>
      </c>
      <c r="M888" s="38" t="n">
        <f aca="false">Sens!$M$866</f>
        <v>459.456235951751</v>
      </c>
      <c r="N888" s="38" t="n">
        <f aca="false">Sens!$N$866</f>
        <v>60.14</v>
      </c>
      <c r="O888" s="38" t="n">
        <f aca="false">Sens!$O$866</f>
        <v>68.585</v>
      </c>
    </row>
    <row r="889" customFormat="false" ht="17.15" hidden="false" customHeight="false" outlineLevel="0" collapsed="false">
      <c r="A889" s="0" t="s">
        <v>685</v>
      </c>
      <c r="B889" s="0" t="s">
        <v>86</v>
      </c>
      <c r="C889" s="38" t="n">
        <f aca="false">Sens!$C$864</f>
        <v>2.32100535697364</v>
      </c>
      <c r="D889" s="38" t="n">
        <f aca="false">Sens!$D$864</f>
        <v>8.70377008865116</v>
      </c>
      <c r="E889" s="38" t="n">
        <f aca="false">Sens!$E$864</f>
        <v>8.51035297557002</v>
      </c>
      <c r="F889" s="38" t="n">
        <f aca="false">Sens!$F$864</f>
        <v>14.9634336447205</v>
      </c>
      <c r="G889" s="38" t="n">
        <f aca="false">Sens!$G$864</f>
        <v>23.4737866202905</v>
      </c>
      <c r="H889" s="38" t="n">
        <f aca="false">Sens!$H$864</f>
        <v>60.1658907497746</v>
      </c>
      <c r="I889" s="38" t="n">
        <f aca="false">Sens!$I$864</f>
        <v>101.503699136432</v>
      </c>
      <c r="J889" s="38" t="n">
        <f aca="false">Sens!$J$864</f>
        <v>143.025407151278</v>
      </c>
      <c r="K889" s="38" t="n">
        <f aca="false">Sens!$K$864</f>
        <v>178.44812038318</v>
      </c>
      <c r="L889" s="38" t="n">
        <f aca="false">Sens!$L$864</f>
        <v>201.728101802396</v>
      </c>
      <c r="M889" s="38" t="n">
        <f aca="false">Sens!$M$864</f>
        <v>212.835441368865</v>
      </c>
      <c r="N889" s="38" t="n">
        <f aca="false">Sens!$N$864</f>
        <v>3.04631953102791</v>
      </c>
      <c r="O889" s="38" t="n">
        <f aca="false">Sens!$O$864</f>
        <v>5.65745055762326</v>
      </c>
    </row>
    <row r="890" customFormat="false" ht="17.15" hidden="false" customHeight="false" outlineLevel="0" collapsed="false">
      <c r="A890" s="0" t="s">
        <v>687</v>
      </c>
      <c r="B890" s="0" t="s">
        <v>86</v>
      </c>
      <c r="C890" s="38" t="n">
        <f aca="false">Sens!$C$865</f>
        <v>105.234994643026</v>
      </c>
      <c r="D890" s="38" t="n">
        <f aca="false">Sens!$D$865</f>
        <v>120.021229911349</v>
      </c>
      <c r="E890" s="38" t="n">
        <f aca="false">Sens!$E$865</f>
        <v>71.30864702443</v>
      </c>
      <c r="F890" s="38" t="n">
        <f aca="false">Sens!$F$865</f>
        <v>71.7692997942464</v>
      </c>
      <c r="G890" s="38" t="n">
        <f aca="false">Sens!$G$865</f>
        <v>143.077946818676</v>
      </c>
      <c r="H890" s="38" t="n">
        <f aca="false">Sens!$H$865</f>
        <v>161.017077079203</v>
      </c>
      <c r="I890" s="38" t="n">
        <f aca="false">Sens!$I$865</f>
        <v>178.769759521457</v>
      </c>
      <c r="J890" s="38" t="n">
        <f aca="false">Sens!$J$865</f>
        <v>195.775538045907</v>
      </c>
      <c r="K890" s="38" t="n">
        <f aca="false">Sens!$K$865</f>
        <v>211.43758108958</v>
      </c>
      <c r="L890" s="38" t="n">
        <f aca="false">Sens!$L$865</f>
        <v>228.352587576746</v>
      </c>
      <c r="M890" s="38" t="n">
        <f aca="false">Sens!$M$865</f>
        <v>246.620794582886</v>
      </c>
      <c r="N890" s="38" t="n">
        <f aca="false">Sens!$N$865</f>
        <v>57.0936804689721</v>
      </c>
      <c r="O890" s="38" t="n">
        <f aca="false">Sens!$O$865</f>
        <v>62.9275494423768</v>
      </c>
    </row>
    <row r="891" customFormat="false" ht="15" hidden="false" customHeight="false" outlineLevel="0" collapsed="false">
      <c r="A891" s="3" t="s">
        <v>514</v>
      </c>
      <c r="B891" s="8" t="s">
        <v>86</v>
      </c>
      <c r="C891" s="38" t="n">
        <f aca="false">Sens!$C$867</f>
        <v>637.959</v>
      </c>
      <c r="D891" s="38" t="n">
        <f aca="false">Sens!$D$867</f>
        <v>716.924</v>
      </c>
      <c r="E891" s="38" t="n">
        <f aca="false">Sens!$E$867</f>
        <v>382.125</v>
      </c>
      <c r="F891" s="38" t="n">
        <f aca="false">Sens!$F$867</f>
        <v>435.780975084504</v>
      </c>
      <c r="G891" s="38" t="n">
        <f aca="false">Sens!$G$867</f>
        <v>817.905975084504</v>
      </c>
      <c r="H891" s="38" t="n">
        <f aca="false">Sens!$H$867</f>
        <v>942.279857350364</v>
      </c>
      <c r="I891" s="38" t="n">
        <f aca="false">Sens!$I$867</f>
        <v>1068.80284981042</v>
      </c>
      <c r="J891" s="38" t="n">
        <f aca="false">Sens!$J$867</f>
        <v>1189.90935093863</v>
      </c>
      <c r="K891" s="38" t="n">
        <f aca="false">Sens!$K$867</f>
        <v>1296.06215690385</v>
      </c>
      <c r="L891" s="38" t="n">
        <f aca="false">Sens!$L$867</f>
        <v>1395.17379585473</v>
      </c>
      <c r="M891" s="38" t="n">
        <f aca="false">Sens!$M$867</f>
        <v>1487.60414389864</v>
      </c>
      <c r="N891" s="38" t="n">
        <f aca="false">Sens!$N$867</f>
        <v>323.369</v>
      </c>
      <c r="O891" s="38" t="n">
        <f aca="false">Sens!$O$867</f>
        <v>393.555</v>
      </c>
    </row>
    <row r="892" customFormat="false" ht="17.15" hidden="false" customHeight="false" outlineLevel="0" collapsed="false">
      <c r="A892" s="24" t="s">
        <v>697</v>
      </c>
      <c r="B892" s="25" t="s">
        <v>86</v>
      </c>
      <c r="C892" s="41" t="n">
        <f aca="false">Sens!$C$879+Sens!$C$880+Sens!$C$881+Sens!$C$882+Sens!$C$883+Sens!$C$884-(Sens!$C$886+Sens!$C$887)</f>
        <v>0</v>
      </c>
      <c r="D892" s="41" t="n">
        <f aca="false">Sens!$D$879+Sens!$D$880+Sens!$D$881+Sens!$D$882+Sens!$D$883+Sens!$D$884-(Sens!$D$886+Sens!$D$887)</f>
        <v>0</v>
      </c>
      <c r="E892" s="41" t="n">
        <f aca="false">Sens!$E$879+Sens!$E$880+Sens!$E$881+Sens!$E$882+Sens!$E$883+Sens!$E$884-(Sens!$E$886+Sens!$E$887)</f>
        <v>0</v>
      </c>
      <c r="F892" s="41" t="n">
        <f aca="false">Sens!$F$879+Sens!$F$880+Sens!$F$881+Sens!$F$882+Sens!$F$883+Sens!$F$884-(Sens!$F$886+Sens!$F$887)</f>
        <v>0</v>
      </c>
      <c r="G892" s="41" t="n">
        <f aca="false">Sens!$G$879+Sens!$G$880+Sens!$G$881+Sens!$G$882+Sens!$G$883+Sens!$G$884-(Sens!$G$886+Sens!$G$887)</f>
        <v>0</v>
      </c>
      <c r="H892" s="41" t="n">
        <f aca="false">Sens!$H$879+Sens!$H$880+Sens!$H$881+Sens!$H$882+Sens!$H$883+Sens!$H$884-(Sens!$H$886+Sens!$H$887)</f>
        <v>0</v>
      </c>
      <c r="I892" s="41" t="n">
        <f aca="false">Sens!$I$879+Sens!$I$880+Sens!$I$881+Sens!$I$882+Sens!$I$883+Sens!$I$884-(Sens!$I$886+Sens!$I$887)</f>
        <v>0</v>
      </c>
      <c r="J892" s="41" t="n">
        <f aca="false">Sens!$J$879+Sens!$J$880+Sens!$J$881+Sens!$J$882+Sens!$J$883+Sens!$J$884-(Sens!$J$886+Sens!$J$887)</f>
        <v>0</v>
      </c>
      <c r="K892" s="41" t="n">
        <f aca="false">Sens!$K$879+Sens!$K$880+Sens!$K$881+Sens!$K$882+Sens!$K$883+Sens!$K$884-(Sens!$K$886+Sens!$K$887)</f>
        <v>0</v>
      </c>
      <c r="L892" s="41" t="n">
        <f aca="false">Sens!$L$879+Sens!$L$880+Sens!$L$881+Sens!$L$882+Sens!$L$883+Sens!$L$884-(Sens!$L$886+Sens!$L$887)</f>
        <v>0</v>
      </c>
      <c r="M892" s="41" t="n">
        <f aca="false">Sens!$M$879+Sens!$M$880+Sens!$M$881+Sens!$M$882+Sens!$M$883+Sens!$M$884-(Sens!$M$886+Sens!$M$887)</f>
        <v>0</v>
      </c>
      <c r="N892" s="41" t="n">
        <f aca="false">Sens!$N$879+Sens!$N$880+Sens!$N$881+Sens!$N$882+Sens!$N$883+Sens!$N$884-(Sens!$N$886+Sens!$N$887)</f>
        <v>0</v>
      </c>
      <c r="O892" s="41" t="n">
        <f aca="false">Sens!$O$879+Sens!$O$880+Sens!$O$881+Sens!$O$882+Sens!$O$883+Sens!$O$884-(Sens!$O$886+Sens!$O$887)</f>
        <v>0</v>
      </c>
    </row>
    <row r="893" customFormat="false" ht="17.15" hidden="false" customHeight="false" outlineLevel="0" collapsed="false">
      <c r="A893" s="24" t="s">
        <v>698</v>
      </c>
      <c r="B893" s="25" t="s">
        <v>86</v>
      </c>
      <c r="C893" s="41" t="n">
        <f aca="false">Sens!$C$889+Sens!$C$890-Sens!$C$888</f>
        <v>0</v>
      </c>
      <c r="D893" s="41" t="n">
        <f aca="false">Sens!$D$889+Sens!$D$890-Sens!$D$888</f>
        <v>0</v>
      </c>
      <c r="E893" s="41" t="n">
        <f aca="false">Sens!$E$889+Sens!$E$890-Sens!$E$888</f>
        <v>0</v>
      </c>
      <c r="F893" s="41" t="n">
        <f aca="false">Sens!$F$889+Sens!$F$890-Sens!$F$888</f>
        <v>0</v>
      </c>
      <c r="G893" s="41" t="n">
        <f aca="false">Sens!$G$889+Sens!$G$890-Sens!$G$888</f>
        <v>0</v>
      </c>
      <c r="H893" s="41" t="n">
        <f aca="false">Sens!$H$889+Sens!$H$890-Sens!$H$888</f>
        <v>0</v>
      </c>
      <c r="I893" s="41" t="n">
        <f aca="false">Sens!$I$889+Sens!$I$890-Sens!$I$888</f>
        <v>0</v>
      </c>
      <c r="J893" s="41" t="n">
        <f aca="false">Sens!$J$889+Sens!$J$890-Sens!$J$888</f>
        <v>0</v>
      </c>
      <c r="K893" s="41" t="n">
        <f aca="false">Sens!$K$889+Sens!$K$890-Sens!$K$888</f>
        <v>0</v>
      </c>
      <c r="L893" s="41" t="n">
        <f aca="false">Sens!$L$889+Sens!$L$890-Sens!$L$888</f>
        <v>0</v>
      </c>
      <c r="M893" s="41" t="n">
        <f aca="false">Sens!$M$889+Sens!$M$890-Sens!$M$888</f>
        <v>0</v>
      </c>
      <c r="N893" s="41" t="n">
        <f aca="false">Sens!$N$889+Sens!$N$890-Sens!$N$888</f>
        <v>0</v>
      </c>
      <c r="O893" s="41" t="n">
        <f aca="false">Sens!$O$889+Sens!$O$890-Sens!$O$888</f>
        <v>0</v>
      </c>
    </row>
    <row r="894" customFormat="false" ht="17.15" hidden="false" customHeight="false" outlineLevel="0" collapsed="false">
      <c r="A894" s="24" t="s">
        <v>757</v>
      </c>
      <c r="B894" s="25" t="s">
        <v>86</v>
      </c>
      <c r="C894" s="41" t="n">
        <f aca="false">Sens!$C$879+Sens!$C$880+Sens!$C$881+Sens!$C$882+Sens!$C$883+Sens!$C$884+Sens!$C$885-Sens!$C$891</f>
        <v>0</v>
      </c>
      <c r="D894" s="41" t="n">
        <f aca="false">Sens!$D$879+Sens!$D$880+Sens!$D$881+Sens!$D$882+Sens!$D$883+Sens!$D$884+Sens!$D$885-Sens!$D$891</f>
        <v>0</v>
      </c>
      <c r="E894" s="41" t="n">
        <f aca="false">Sens!$E$879+Sens!$E$880+Sens!$E$881+Sens!$E$882+Sens!$E$883+Sens!$E$884+Sens!$E$885-Sens!$E$891</f>
        <v>0</v>
      </c>
      <c r="F894" s="41" t="n">
        <f aca="false">Sens!$F$879+Sens!$F$880+Sens!$F$881+Sens!$F$882+Sens!$F$883+Sens!$F$884+Sens!$F$885-Sens!$F$891</f>
        <v>0</v>
      </c>
      <c r="G894" s="41" t="n">
        <f aca="false">Sens!$G$879+Sens!$G$880+Sens!$G$881+Sens!$G$882+Sens!$G$883+Sens!$G$884+Sens!$G$885-Sens!$G$891</f>
        <v>0</v>
      </c>
      <c r="H894" s="41" t="n">
        <f aca="false">Sens!$H$879+Sens!$H$880+Sens!$H$881+Sens!$H$882+Sens!$H$883+Sens!$H$884+Sens!$H$885-Sens!$H$891</f>
        <v>0</v>
      </c>
      <c r="I894" s="41" t="n">
        <f aca="false">Sens!$I$879+Sens!$I$880+Sens!$I$881+Sens!$I$882+Sens!$I$883+Sens!$I$884+Sens!$I$885-Sens!$I$891</f>
        <v>0</v>
      </c>
      <c r="J894" s="41" t="n">
        <f aca="false">Sens!$J$879+Sens!$J$880+Sens!$J$881+Sens!$J$882+Sens!$J$883+Sens!$J$884+Sens!$J$885-Sens!$J$891</f>
        <v>0</v>
      </c>
      <c r="K894" s="41" t="n">
        <f aca="false">Sens!$K$879+Sens!$K$880+Sens!$K$881+Sens!$K$882+Sens!$K$883+Sens!$K$884+Sens!$K$885-Sens!$K$891</f>
        <v>0</v>
      </c>
      <c r="L894" s="41" t="n">
        <f aca="false">Sens!$L$879+Sens!$L$880+Sens!$L$881+Sens!$L$882+Sens!$L$883+Sens!$L$884+Sens!$L$885-Sens!$L$891</f>
        <v>0</v>
      </c>
      <c r="M894" s="41" t="n">
        <f aca="false">Sens!$M$879+Sens!$M$880+Sens!$M$881+Sens!$M$882+Sens!$M$883+Sens!$M$884+Sens!$M$885-Sens!$M$891</f>
        <v>0</v>
      </c>
      <c r="N894" s="41" t="n">
        <f aca="false">Sens!$N$879+Sens!$N$880+Sens!$N$881+Sens!$N$882+Sens!$N$883+Sens!$N$884+Sens!$N$885-Sens!$N$891</f>
        <v>0</v>
      </c>
      <c r="O894" s="41" t="n">
        <f aca="false">Sens!$O$879+Sens!$O$880+Sens!$O$881+Sens!$O$882+Sens!$O$883+Sens!$O$884+Sens!$O$885-Sens!$O$891</f>
        <v>0</v>
      </c>
    </row>
    <row r="895" customFormat="false" ht="17.15" hidden="false" customHeight="false" outlineLevel="0" collapsed="false">
      <c r="A895" s="24" t="s">
        <v>699</v>
      </c>
      <c r="B895" s="25" t="s">
        <v>86</v>
      </c>
      <c r="C895" s="41" t="n">
        <f aca="false">Sens!$C$886+Sens!$C$887+Sens!$C$888-Sens!$C$891</f>
        <v>0</v>
      </c>
      <c r="D895" s="41" t="n">
        <f aca="false">Sens!$D$886+Sens!$D$887+Sens!$D$888-Sens!$D$891</f>
        <v>0</v>
      </c>
      <c r="E895" s="41" t="n">
        <f aca="false">Sens!$E$886+Sens!$E$887+Sens!$E$888-Sens!$E$891</f>
        <v>0</v>
      </c>
      <c r="F895" s="41" t="n">
        <f aca="false">Sens!$F$886+Sens!$F$887+Sens!$F$888-Sens!$F$891</f>
        <v>0</v>
      </c>
      <c r="G895" s="41" t="n">
        <f aca="false">Sens!$G$886+Sens!$G$887+Sens!$G$888-Sens!$G$891</f>
        <v>0</v>
      </c>
      <c r="H895" s="41" t="n">
        <f aca="false">Sens!$H$886+Sens!$H$887+Sens!$H$888-Sens!$H$891</f>
        <v>0</v>
      </c>
      <c r="I895" s="41" t="n">
        <f aca="false">Sens!$I$886+Sens!$I$887+Sens!$I$888-Sens!$I$891</f>
        <v>0</v>
      </c>
      <c r="J895" s="41" t="n">
        <f aca="false">Sens!$J$886+Sens!$J$887+Sens!$J$888-Sens!$J$891</f>
        <v>0</v>
      </c>
      <c r="K895" s="41" t="n">
        <f aca="false">Sens!$K$886+Sens!$K$887+Sens!$K$888-Sens!$K$891</f>
        <v>0</v>
      </c>
      <c r="L895" s="41" t="n">
        <f aca="false">Sens!$L$886+Sens!$L$887+Sens!$L$888-Sens!$L$891</f>
        <v>0</v>
      </c>
      <c r="M895" s="41" t="n">
        <f aca="false">Sens!$M$886+Sens!$M$887+Sens!$M$888-Sens!$M$891</f>
        <v>0</v>
      </c>
      <c r="N895" s="41" t="n">
        <f aca="false">Sens!$N$886+Sens!$N$887+Sens!$N$888-Sens!$N$891</f>
        <v>0</v>
      </c>
      <c r="O895" s="41" t="n">
        <f aca="false">Sens!$O$886+Sens!$O$887+Sens!$O$888-Sens!$O$891</f>
        <v>0</v>
      </c>
    </row>
    <row r="896" customFormat="false" ht="17.15" hidden="false" customHeight="false" outlineLevel="0" collapsed="false">
      <c r="A896" s="1" t="s">
        <v>713</v>
      </c>
    </row>
    <row r="897" customFormat="false" ht="17.15" hidden="false" customHeight="false" outlineLevel="0" collapsed="false">
      <c r="A897" s="0" t="s">
        <v>714</v>
      </c>
      <c r="B897" s="0" t="s">
        <v>86</v>
      </c>
      <c r="C897" s="38" t="n">
        <f aca="false">Sens!$C$803*m_ad</f>
        <v>20.5341564414228</v>
      </c>
      <c r="D897" s="38" t="n">
        <f aca="false">Sens!$D$803*m_ad</f>
        <v>24.8720617299587</v>
      </c>
      <c r="E897" s="38" t="n">
        <f aca="false">Sens!$E$803*m_ad</f>
        <v>13.5017112462207</v>
      </c>
      <c r="F897" s="38" t="n">
        <f aca="false">Sens!$F$803*m_ad</f>
        <v>16.5719724165257</v>
      </c>
      <c r="G897" s="38" t="n">
        <f aca="false">Sens!$G$803*m_ad</f>
        <v>30.0820919220415</v>
      </c>
      <c r="H897" s="38" t="n">
        <f aca="false">Sens!$H$803*m_ad</f>
        <v>36.1150883276314</v>
      </c>
      <c r="I897" s="38" t="n">
        <f aca="false">Sens!$I$803*m_ad</f>
        <v>42.1475382231996</v>
      </c>
      <c r="J897" s="38" t="n">
        <f aca="false">Sens!$J$803*m_ad</f>
        <v>47.7749523864693</v>
      </c>
      <c r="K897" s="38" t="n">
        <f aca="false">Sens!$K$803*m_ad</f>
        <v>52.5524476251162</v>
      </c>
      <c r="L897" s="38" t="n">
        <f aca="false">Sens!$L$803*m_ad</f>
        <v>57.8076923876279</v>
      </c>
      <c r="M897" s="38" t="n">
        <f aca="false">Sens!$M$803*m_ad</f>
        <v>63.5884616263907</v>
      </c>
      <c r="N897" s="38" t="n">
        <f aca="false">Sens!$N$803*m_ad</f>
        <v>10.8543555706248</v>
      </c>
      <c r="O897" s="38" t="n">
        <f aca="false">Sens!$O$803*m_ad</f>
        <v>14.0094731821399</v>
      </c>
    </row>
    <row r="898" customFormat="false" ht="17.15" hidden="false" customHeight="false" outlineLevel="0" collapsed="false">
      <c r="A898" s="0" t="s">
        <v>715</v>
      </c>
      <c r="B898" s="0" t="s">
        <v>86</v>
      </c>
      <c r="C898" s="38" t="n">
        <f aca="false">Sens!$C$801-Sens!$C$803</f>
        <v>346.428687117154</v>
      </c>
      <c r="D898" s="38" t="n">
        <f aca="false">Sens!$D$801-Sens!$D$803</f>
        <v>376.560876540083</v>
      </c>
      <c r="E898" s="38" t="n">
        <f aca="false">Sens!$E$801-Sens!$E$803</f>
        <v>193.316577507559</v>
      </c>
      <c r="F898" s="38" t="n">
        <f aca="false">Sens!$F$801-Sens!$F$803</f>
        <v>217.495828647535</v>
      </c>
      <c r="G898" s="38" t="n">
        <f aca="false">Sens!$G$801-Sens!$G$803</f>
        <v>410.795589636503</v>
      </c>
      <c r="H898" s="38" t="n">
        <f aca="false">Sens!$H$801-Sens!$H$803</f>
        <v>449.156813761174</v>
      </c>
      <c r="I898" s="38" t="n">
        <f aca="false">Sens!$I$801-Sens!$I$803</f>
        <v>485.848786441156</v>
      </c>
      <c r="J898" s="38" t="n">
        <f aca="false">Sens!$J$801-Sens!$J$803</f>
        <v>519.841531018994</v>
      </c>
      <c r="K898" s="38" t="n">
        <f aca="false">Sens!$K$801-Sens!$K$803</f>
        <v>550.103332311311</v>
      </c>
      <c r="L898" s="38" t="n">
        <f aca="false">Sens!$L$801-Sens!$L$803</f>
        <v>582.192354474511</v>
      </c>
      <c r="M898" s="38" t="n">
        <f aca="false">Sens!$M$801-Sens!$M$803</f>
        <v>616.22240521081</v>
      </c>
      <c r="N898" s="38" t="n">
        <f aca="false">Sens!$N$801-Sens!$N$803</f>
        <v>171.24628885875</v>
      </c>
      <c r="O898" s="38" t="n">
        <f aca="false">Sens!$O$801-Sens!$O$803</f>
        <v>205.33105363572</v>
      </c>
    </row>
    <row r="899" customFormat="false" ht="17.15" hidden="false" customHeight="false" outlineLevel="0" collapsed="false">
      <c r="A899" s="0" t="s">
        <v>716</v>
      </c>
      <c r="B899" s="0" t="s">
        <v>86</v>
      </c>
      <c r="C899" s="38" t="n">
        <f aca="false">Sens!$C$850*Sens!$C$800</f>
        <v>0.30982720052789</v>
      </c>
      <c r="D899" s="38" t="n">
        <f aca="false">Sens!$D$850*Sens!$D$800</f>
        <v>1.98158906302833</v>
      </c>
      <c r="E899" s="38" t="n">
        <f aca="false">Sens!$E$850*Sens!$E$800</f>
        <v>2.81532481094802</v>
      </c>
      <c r="F899" s="38" t="n">
        <f aca="false">Sens!$F$850*Sens!$F$800</f>
        <v>3.42420029953994</v>
      </c>
      <c r="G899" s="38" t="n">
        <f aca="false">Sens!$G$850*Sens!$G$800</f>
        <v>6.24106109622103</v>
      </c>
      <c r="H899" s="38" t="n">
        <f aca="false">Sens!$H$850*Sens!$H$800</f>
        <v>17.5923589898791</v>
      </c>
      <c r="I899" s="38" t="n">
        <f aca="false">Sens!$I$850*Sens!$I$800</f>
        <v>32.2844405909585</v>
      </c>
      <c r="J899" s="38" t="n">
        <f aca="false">Sens!$J$850*Sens!$J$800</f>
        <v>47.3743728685349</v>
      </c>
      <c r="K899" s="38" t="n">
        <f aca="false">Sens!$K$850*Sens!$K$800</f>
        <v>62.1604162785254</v>
      </c>
      <c r="L899" s="38" t="n">
        <f aca="false">Sens!$L$850*Sens!$L$800</f>
        <v>72.0304175590268</v>
      </c>
      <c r="M899" s="38" t="n">
        <f aca="false">Sens!$M$850*Sens!$M$800</f>
        <v>78.2799062148139</v>
      </c>
      <c r="N899" s="38" t="n">
        <f aca="false">Sens!$N$850*Sens!$N$800</f>
        <v>0.860790061007594</v>
      </c>
      <c r="O899" s="38" t="n">
        <f aca="false">Sens!$O$850*Sens!$O$800</f>
        <v>1.12006160769516</v>
      </c>
    </row>
    <row r="900" customFormat="false" ht="17.15" hidden="false" customHeight="false" outlineLevel="0" collapsed="false">
      <c r="A900" s="0" t="s">
        <v>717</v>
      </c>
      <c r="B900" s="0" t="s">
        <v>52</v>
      </c>
      <c r="C900" s="28" t="n">
        <f aca="false">(Sens!$C$901-Sens!$C$897+Sens!$C$899)/Sens!$C$898</f>
        <v>0.0136901790627437</v>
      </c>
      <c r="D900" s="28" t="n">
        <f aca="false">(Sens!$D$901-Sens!$D$897+Sens!$D$899)/Sens!$D$898</f>
        <v>0.0178683653885997</v>
      </c>
      <c r="E900" s="28" t="n">
        <f aca="false">(Sens!$E$901-Sens!$E$897+Sens!$E$899)/Sens!$E$898</f>
        <v>0.034676868642914</v>
      </c>
      <c r="F900" s="28" t="n">
        <f aca="false">Sens!$O$900+(Sens!$E$900-Sens!$N$900)</f>
        <v>0.0314503658951746</v>
      </c>
      <c r="G900" s="28" t="n">
        <f aca="false">(Sens!$G$901-Sens!$G$897+Sens!$G$899)/Sens!$G$898</f>
        <v>0.032953286316396</v>
      </c>
      <c r="H900" s="28" t="n">
        <f aca="false">Sens!$G$900+step_na</f>
        <v>0.035953286316396</v>
      </c>
      <c r="I900" s="28" t="n">
        <f aca="false">Sens!$H$900+step_na</f>
        <v>0.038953286316396</v>
      </c>
      <c r="J900" s="28" t="n">
        <f aca="false">Sens!$I$900+step_na</f>
        <v>0.041953286316396</v>
      </c>
      <c r="K900" s="28" t="n">
        <f aca="false">Sens!$J$900+step_na</f>
        <v>0.044953286316396</v>
      </c>
      <c r="L900" s="28" t="n">
        <f aca="false">Sens!$K$900</f>
        <v>0.044953286316396</v>
      </c>
      <c r="M900" s="28" t="n">
        <f aca="false">Sens!$L$900</f>
        <v>0.044953286316396</v>
      </c>
      <c r="N900" s="28" t="n">
        <f aca="false">(Sens!$N$901-Sens!$N$897+Sens!$N$899)/Sens!$N$898</f>
        <v>0.0196467585534532</v>
      </c>
      <c r="O900" s="28" t="n">
        <f aca="false">(Sens!$O$901-Sens!$O$897+Sens!$O$899)/Sens!$O$898</f>
        <v>0.0164202558057138</v>
      </c>
      <c r="P900" s="8" t="s">
        <v>718</v>
      </c>
    </row>
    <row r="901" customFormat="false" ht="17.15" hidden="false" customHeight="false" outlineLevel="0" collapsed="false">
      <c r="A901" s="1" t="s">
        <v>719</v>
      </c>
      <c r="B901" s="8" t="s">
        <v>86</v>
      </c>
      <c r="C901" s="38" t="n">
        <f aca="false">Q!$D$22</f>
        <v>24.967</v>
      </c>
      <c r="D901" s="38" t="n">
        <f aca="false">Q!$E$22</f>
        <v>29.619</v>
      </c>
      <c r="E901" s="38" t="n">
        <f aca="false">Q!$P$22</f>
        <v>17.39</v>
      </c>
      <c r="F901" s="38" t="n">
        <f aca="false">Sens!$F$897+Sens!$F$898*Sens!$F$900-Sens!$F$899</f>
        <v>19.9880955086249</v>
      </c>
      <c r="G901" s="38" t="n">
        <f aca="false">Sens!$E$901+Sens!$F$901</f>
        <v>37.3780955086249</v>
      </c>
      <c r="H901" s="38" t="n">
        <f aca="false">Sens!$H$897+Sens!$H$898*Sens!$H$900-Sens!$H$899</f>
        <v>34.671392863868</v>
      </c>
      <c r="I901" s="38" t="n">
        <f aca="false">Sens!$I$897+Sens!$I$898*Sens!$I$900-Sens!$I$899</f>
        <v>28.788504516957</v>
      </c>
      <c r="J901" s="38" t="n">
        <f aca="false">Sens!$J$897+Sens!$J$898*Sens!$J$900-Sens!$J$899</f>
        <v>22.2096401079279</v>
      </c>
      <c r="K901" s="38" t="n">
        <f aca="false">Sens!$K$897+Sens!$K$898*Sens!$K$900-Sens!$K$899</f>
        <v>15.1209839475847</v>
      </c>
      <c r="L901" s="38" t="n">
        <f aca="false">Sens!$L$897+Sens!$L$898*Sens!$L$900-Sens!$L$899</f>
        <v>11.9487344305104</v>
      </c>
      <c r="M901" s="38" t="n">
        <f aca="false">Sens!$M$897+Sens!$M$898*Sens!$M$900-Sens!$M$899</f>
        <v>13.0097776275965</v>
      </c>
      <c r="N901" s="38" t="n">
        <f aca="false">Q!$N$22</f>
        <v>13.358</v>
      </c>
      <c r="O901" s="38" t="n">
        <f aca="false">Q!$O$22</f>
        <v>16.261</v>
      </c>
    </row>
    <row r="902" customFormat="false" ht="17.15" hidden="false" customHeight="false" outlineLevel="0" collapsed="false">
      <c r="A902" s="0" t="s">
        <v>720</v>
      </c>
      <c r="B902" s="0" t="s">
        <v>86</v>
      </c>
      <c r="C902" s="38" t="n">
        <f aca="false">Sens!$C$804*m_ad</f>
        <v>7.57284355857716</v>
      </c>
      <c r="D902" s="38" t="n">
        <f aca="false">Sens!$D$804*m_ad</f>
        <v>9.44543827004127</v>
      </c>
      <c r="E902" s="38" t="n">
        <f aca="false">Sens!$E$804*m_ad</f>
        <v>5.02428875377928</v>
      </c>
      <c r="F902" s="38" t="n">
        <f aca="false">Sens!$F$804*m_ad</f>
        <v>6.50663858068173</v>
      </c>
      <c r="G902" s="38" t="n">
        <f aca="false">Sens!$G$804*m_ad</f>
        <v>11.5225190751659</v>
      </c>
      <c r="H902" s="38" t="n">
        <f aca="false">Sens!$H$804*m_ad</f>
        <v>13.8333728663174</v>
      </c>
      <c r="I902" s="38" t="n">
        <f aca="false">Sens!$I$804*m_ad</f>
        <v>16.1440173245485</v>
      </c>
      <c r="J902" s="38" t="n">
        <f aca="false">Sens!$J$804*m_ad</f>
        <v>18.2995185845066</v>
      </c>
      <c r="K902" s="38" t="n">
        <f aca="false">Sens!$K$804*m_ad</f>
        <v>20.1294704429572</v>
      </c>
      <c r="L902" s="38" t="n">
        <f aca="false">Sens!$L$804*m_ad</f>
        <v>22.142417487253</v>
      </c>
      <c r="M902" s="38" t="n">
        <f aca="false">Sens!$M$804*m_ad</f>
        <v>24.3566592359783</v>
      </c>
      <c r="N902" s="38" t="n">
        <f aca="false">Sens!$N$804*m_ad</f>
        <v>3.95314442937518</v>
      </c>
      <c r="O902" s="38" t="n">
        <f aca="false">Sens!$O$804*m_ad</f>
        <v>5.50052681786011</v>
      </c>
    </row>
    <row r="903" customFormat="false" ht="17.15" hidden="false" customHeight="false" outlineLevel="0" collapsed="false">
      <c r="A903" s="0" t="s">
        <v>721</v>
      </c>
      <c r="B903" s="0" t="s">
        <v>86</v>
      </c>
      <c r="C903" s="38" t="n">
        <f aca="false">Sens!$C$802-Sens!$C$804</f>
        <v>127.760312882846</v>
      </c>
      <c r="D903" s="38" t="n">
        <f aca="false">Sens!$D$802-Sens!$D$804</f>
        <v>143.003123459917</v>
      </c>
      <c r="E903" s="38" t="n">
        <f aca="false">Sens!$E$802-Sens!$E$804</f>
        <v>71.9374224924414</v>
      </c>
      <c r="F903" s="38" t="n">
        <f aca="false">Sens!$F$802-Sens!$F$804</f>
        <v>85.3951910035875</v>
      </c>
      <c r="G903" s="38" t="n">
        <f aca="false">Sens!$G$802-Sens!$G$804</f>
        <v>157.349430014619</v>
      </c>
      <c r="H903" s="38" t="n">
        <f aca="false">Sens!$H$802-Sens!$H$804</f>
        <v>172.043153372315</v>
      </c>
      <c r="I903" s="38" t="n">
        <f aca="false">Sens!$I$802-Sens!$I$804</f>
        <v>186.097493615879</v>
      </c>
      <c r="J903" s="38" t="n">
        <f aca="false">Sens!$J$802-Sens!$J$804</f>
        <v>199.117932780497</v>
      </c>
      <c r="K903" s="38" t="n">
        <f aca="false">Sens!$K$802-Sens!$K$804</f>
        <v>210.70928698363</v>
      </c>
      <c r="L903" s="38" t="n">
        <f aca="false">Sens!$L$802-Sens!$L$804</f>
        <v>223.000532251316</v>
      </c>
      <c r="M903" s="38" t="n">
        <f aca="false">Sens!$M$802-Sens!$M$804</f>
        <v>236.035261011339</v>
      </c>
      <c r="N903" s="38" t="n">
        <f aca="false">Sens!$N$802-Sens!$N$804</f>
        <v>62.3677111412496</v>
      </c>
      <c r="O903" s="38" t="n">
        <f aca="false">Sens!$O$802-Sens!$O$804</f>
        <v>80.6189463642798</v>
      </c>
    </row>
    <row r="904" customFormat="false" ht="17.15" hidden="false" customHeight="false" outlineLevel="0" collapsed="false">
      <c r="A904" s="0" t="s">
        <v>722</v>
      </c>
      <c r="B904" s="0" t="s">
        <v>86</v>
      </c>
      <c r="C904" s="38" t="n">
        <f aca="false">Sens!$C$850*(1-Sens!$C$800)</f>
        <v>0.114261957947129</v>
      </c>
      <c r="D904" s="38" t="n">
        <f aca="false">Sens!$D$850*(1-Sens!$D$800)</f>
        <v>0.752530183248868</v>
      </c>
      <c r="E904" s="38" t="n">
        <f aca="false">Sens!$E$850*(1-Sens!$E$800)</f>
        <v>1.04764533383435</v>
      </c>
      <c r="F904" s="38" t="n">
        <f aca="false">Sens!$F$850*(1-Sens!$F$800)</f>
        <v>1.34444067471116</v>
      </c>
      <c r="G904" s="38" t="n">
        <f aca="false">Sens!$G$850*(1-Sens!$G$800)</f>
        <v>2.39055002281245</v>
      </c>
      <c r="H904" s="38" t="n">
        <f aca="false">Sens!$H$850*(1-Sens!$H$800)</f>
        <v>6.73850384352828</v>
      </c>
      <c r="I904" s="38" t="n">
        <f aca="false">Sens!$I$850*(1-Sens!$I$800)</f>
        <v>12.3660975275397</v>
      </c>
      <c r="J904" s="38" t="n">
        <f aca="false">Sens!$J$850*(1-Sens!$J$800)</f>
        <v>18.1460822760051</v>
      </c>
      <c r="K904" s="38" t="n">
        <f aca="false">Sens!$K$850*(1-Sens!$K$800)</f>
        <v>23.8096666995675</v>
      </c>
      <c r="L904" s="38" t="n">
        <f aca="false">Sens!$L$850*(1-Sens!$L$800)</f>
        <v>27.5902308412242</v>
      </c>
      <c r="M904" s="38" t="n">
        <f aca="false">Sens!$M$850*(1-Sens!$M$800)</f>
        <v>29.9840089213176</v>
      </c>
      <c r="N904" s="38" t="n">
        <f aca="false">Sens!$N$850*(1-Sens!$N$800)</f>
        <v>0.313498798928495</v>
      </c>
      <c r="O904" s="38" t="n">
        <f aca="false">Sens!$O$850*(1-Sens!$O$800)</f>
        <v>0.439768778645944</v>
      </c>
    </row>
    <row r="905" customFormat="false" ht="17.15" hidden="false" customHeight="false" outlineLevel="0" collapsed="false">
      <c r="A905" s="0" t="s">
        <v>723</v>
      </c>
      <c r="B905" s="0" t="s">
        <v>52</v>
      </c>
      <c r="C905" s="28" t="n">
        <f aca="false">(Sens!$C$906-Sens!$C$902+Sens!$C$904)/Sens!$C$903</f>
        <v>-0.0286989090578717</v>
      </c>
      <c r="D905" s="28" t="n">
        <f aca="false">(Sens!$D$906-Sens!$D$902+Sens!$D$904)/Sens!$D$903</f>
        <v>-0.027572181581737</v>
      </c>
      <c r="E905" s="28" t="n">
        <f aca="false">(Sens!$E$906-Sens!$E$902+Sens!$E$904)/Sens!$E$903</f>
        <v>-0.0116162546695739</v>
      </c>
      <c r="F905" s="28" t="n">
        <f aca="false">Sens!$O$905+(Sens!$E$905-Sens!$N$905)</f>
        <v>-0.0285207982007442</v>
      </c>
      <c r="G905" s="28" t="n">
        <f aca="false">(Sens!$G$906-Sens!$G$902+Sens!$G$904)/Sens!$G$903</f>
        <v>-0.0207456115729615</v>
      </c>
      <c r="H905" s="28" t="n">
        <f aca="false">Sens!$G$905+step_in</f>
        <v>-0.0207456115729615</v>
      </c>
      <c r="I905" s="28" t="n">
        <f aca="false">Sens!$H$905+step_in</f>
        <v>-0.0207456115729615</v>
      </c>
      <c r="J905" s="28" t="n">
        <f aca="false">Sens!$I$905+step_in</f>
        <v>-0.0207456115729615</v>
      </c>
      <c r="K905" s="28" t="n">
        <f aca="false">Sens!$J$905+step_in</f>
        <v>-0.0207456115729615</v>
      </c>
      <c r="L905" s="28" t="n">
        <f aca="false">Sens!$K$905</f>
        <v>-0.0207456115729615</v>
      </c>
      <c r="M905" s="28" t="n">
        <f aca="false">Sens!$L$905</f>
        <v>-0.0207456115729615</v>
      </c>
      <c r="N905" s="28" t="n">
        <f aca="false">(Sens!$N$906-Sens!$N$902+Sens!$N$904)/Sens!$N$903</f>
        <v>-0.0180966338157022</v>
      </c>
      <c r="O905" s="28" t="n">
        <f aca="false">(Sens!$O$906-Sens!$O$902+Sens!$O$904)/Sens!$O$903</f>
        <v>-0.0350011773468726</v>
      </c>
      <c r="P905" s="8" t="s">
        <v>718</v>
      </c>
    </row>
    <row r="906" customFormat="false" ht="17.15" hidden="false" customHeight="false" outlineLevel="0" collapsed="false">
      <c r="A906" s="1" t="s">
        <v>724</v>
      </c>
      <c r="B906" s="8" t="s">
        <v>86</v>
      </c>
      <c r="C906" s="38" t="n">
        <f aca="false">Q!$D$23</f>
        <v>3.792</v>
      </c>
      <c r="D906" s="38" t="n">
        <f aca="false">Q!$E$23</f>
        <v>4.75</v>
      </c>
      <c r="E906" s="38" t="n">
        <f aca="false">Q!$P$23</f>
        <v>3.141</v>
      </c>
      <c r="F906" s="38" t="n">
        <f aca="false">Sens!$F$902+Sens!$F$903*Sens!$F$905-Sens!$F$904</f>
        <v>2.72665889604324</v>
      </c>
      <c r="G906" s="38" t="n">
        <f aca="false">Sens!$E$906+Sens!$F$906</f>
        <v>5.86765889604324</v>
      </c>
      <c r="H906" s="38" t="n">
        <f aca="false">Sens!$H$902+Sens!$H$903*Sens!$H$905-Sens!$H$904</f>
        <v>3.52572858913959</v>
      </c>
      <c r="I906" s="38" t="n">
        <f aca="false">Sens!$I$902+Sens!$I$903*Sens!$I$905-Sens!$I$904</f>
        <v>-0.0827865202478364</v>
      </c>
      <c r="J906" s="38" t="n">
        <f aca="false">Sens!$J$902+Sens!$J$903*Sens!$J$905-Sens!$J$904</f>
        <v>-3.97738698217377</v>
      </c>
      <c r="K906" s="38" t="n">
        <f aca="false">Sens!$K$902+Sens!$K$903*Sens!$K$905-Sens!$K$904</f>
        <v>-8.05148927918834</v>
      </c>
      <c r="L906" s="38" t="n">
        <f aca="false">Sens!$L$902+Sens!$L$903*Sens!$L$905-Sens!$L$904</f>
        <v>-10.0740957766207</v>
      </c>
      <c r="M906" s="38" t="n">
        <f aca="false">Sens!$M$902+Sens!$M$903*Sens!$M$905-Sens!$M$904</f>
        <v>-10.5240455278032</v>
      </c>
      <c r="N906" s="38" t="n">
        <f aca="false">Q!$N$23</f>
        <v>2.511</v>
      </c>
      <c r="O906" s="38" t="n">
        <f aca="false">Q!$O$23</f>
        <v>2.239</v>
      </c>
    </row>
    <row r="907" customFormat="false" ht="17.15" hidden="false" customHeight="false" outlineLevel="0" collapsed="false">
      <c r="A907" s="0" t="s">
        <v>725</v>
      </c>
      <c r="B907" s="0" t="s">
        <v>86</v>
      </c>
      <c r="C907" s="38" t="n">
        <f aca="false">Sens!$C$847</f>
        <v>1.68487161926111</v>
      </c>
      <c r="D907" s="38" t="n">
        <f aca="false">Sens!$D$847</f>
        <v>4.60259121923537</v>
      </c>
      <c r="E907" s="38" t="n">
        <f aca="false">Sens!$E$847</f>
        <v>2.71589775839647</v>
      </c>
      <c r="F907" s="38" t="n">
        <f aca="false">Sens!$F$847</f>
        <v>7.8104721833438</v>
      </c>
      <c r="G907" s="38" t="n">
        <f aca="false">Sens!$G$847</f>
        <v>10.5263699417403</v>
      </c>
      <c r="H907" s="38" t="n">
        <f aca="false">Sens!$H$847</f>
        <v>23.6695964996635</v>
      </c>
      <c r="I907" s="38" t="n">
        <f aca="false">Sens!$I$847</f>
        <v>34.5278919586849</v>
      </c>
      <c r="J907" s="38" t="n">
        <f aca="false">Sens!$J$847</f>
        <v>44.7447244344682</v>
      </c>
      <c r="K907" s="38" t="n">
        <f aca="false">Sens!$K$847</f>
        <v>49.4929959160402</v>
      </c>
      <c r="L907" s="38" t="n">
        <f aca="false">Sens!$L$847</f>
        <v>52.29712920202</v>
      </c>
      <c r="M907" s="38" t="n">
        <f aca="false">Sens!$M$847</f>
        <v>50.4395686646679</v>
      </c>
      <c r="N907" s="38" t="n">
        <f aca="false">Sens!$N$847</f>
        <v>1.28488624112377</v>
      </c>
      <c r="O907" s="38" t="n">
        <f aca="false">Sens!$O$847</f>
        <v>3.31770497811159</v>
      </c>
    </row>
    <row r="908" customFormat="false" ht="17.15" hidden="false" customHeight="false" outlineLevel="0" collapsed="false">
      <c r="A908" s="0" t="s">
        <v>643</v>
      </c>
      <c r="B908" s="0" t="s">
        <v>86</v>
      </c>
      <c r="C908" s="38" t="n">
        <f aca="false">Sens!$C$852</f>
        <v>38.1491283807389</v>
      </c>
      <c r="D908" s="38" t="n">
        <f aca="false">Sens!$D$852</f>
        <v>41.0034087807646</v>
      </c>
      <c r="E908" s="38" t="n">
        <f aca="false">Sens!$E$852</f>
        <v>28.0661022416035</v>
      </c>
      <c r="F908" s="38" t="n">
        <f aca="false">Sens!$F$852</f>
        <v>26.0093009956274</v>
      </c>
      <c r="G908" s="38" t="n">
        <f aca="false">Sens!$G$852</f>
        <v>54.075403237231</v>
      </c>
      <c r="H908" s="38" t="n">
        <f aca="false">Sens!$H$852</f>
        <v>58.3528282315062</v>
      </c>
      <c r="I908" s="38" t="n">
        <f aca="false">Sens!$I$852</f>
        <v>64.7864267540517</v>
      </c>
      <c r="J908" s="38" t="n">
        <f aca="false">Sens!$J$852</f>
        <v>70.9493461858342</v>
      </c>
      <c r="K908" s="38" t="n">
        <f aca="false">Sens!$K$852</f>
        <v>76.625293880701</v>
      </c>
      <c r="L908" s="38" t="n">
        <f aca="false">Sens!$L$852</f>
        <v>82.7553173911571</v>
      </c>
      <c r="M908" s="38" t="n">
        <f aca="false">Sens!$M$852</f>
        <v>89.3757427824497</v>
      </c>
      <c r="N908" s="38" t="n">
        <f aca="false">Sens!$N$852</f>
        <v>20.4221137588762</v>
      </c>
      <c r="O908" s="38" t="n">
        <f aca="false">Sens!$O$852</f>
        <v>20.5812950218884</v>
      </c>
    </row>
    <row r="909" customFormat="false" ht="17.15" hidden="false" customHeight="false" outlineLevel="0" collapsed="false">
      <c r="A909" s="1" t="s">
        <v>726</v>
      </c>
      <c r="B909" s="8" t="s">
        <v>86</v>
      </c>
      <c r="C909" s="38" t="n">
        <f aca="false">Q!$D$24</f>
        <v>39.834</v>
      </c>
      <c r="D909" s="38" t="n">
        <f aca="false">Q!$E$24</f>
        <v>45.606</v>
      </c>
      <c r="E909" s="38" t="n">
        <f aca="false">Q!$P$24</f>
        <v>30.782</v>
      </c>
      <c r="F909" s="38" t="n">
        <f aca="false">Sens!$F$907+Sens!$F$908</f>
        <v>33.8197731789712</v>
      </c>
      <c r="G909" s="38" t="n">
        <f aca="false">Sens!$G$907+Sens!$G$908</f>
        <v>64.6017731789712</v>
      </c>
      <c r="H909" s="38" t="n">
        <f aca="false">Sens!$H$907+Sens!$H$908</f>
        <v>82.0224247311697</v>
      </c>
      <c r="I909" s="38" t="n">
        <f aca="false">Sens!$I$907+Sens!$I$908</f>
        <v>99.3143187127365</v>
      </c>
      <c r="J909" s="38" t="n">
        <f aca="false">Sens!$J$907+Sens!$J$908</f>
        <v>115.694070620302</v>
      </c>
      <c r="K909" s="38" t="n">
        <f aca="false">Sens!$K$907+Sens!$K$908</f>
        <v>126.118289796741</v>
      </c>
      <c r="L909" s="38" t="n">
        <f aca="false">Sens!$L$907+Sens!$L$908</f>
        <v>135.052446593177</v>
      </c>
      <c r="M909" s="38" t="n">
        <f aca="false">Sens!$M$907+Sens!$M$908</f>
        <v>139.815311447118</v>
      </c>
      <c r="N909" s="38" t="n">
        <f aca="false">Q!$N$24</f>
        <v>21.707</v>
      </c>
      <c r="O909" s="38" t="n">
        <f aca="false">Q!$O$24</f>
        <v>23.899</v>
      </c>
    </row>
    <row r="910" customFormat="false" ht="17.15" hidden="false" customHeight="false" outlineLevel="0" collapsed="false">
      <c r="A910" s="5" t="s">
        <v>727</v>
      </c>
      <c r="B910" s="0" t="s">
        <v>86</v>
      </c>
      <c r="C910" s="38" t="n">
        <f aca="false">Q!$D$26</f>
        <v>0</v>
      </c>
      <c r="D910" s="38" t="n">
        <f aca="false">Q!$E$26</f>
        <v>0</v>
      </c>
      <c r="E910" s="38" t="n">
        <f aca="false">Q!$P$26</f>
        <v>0</v>
      </c>
      <c r="F910" s="39" t="n">
        <v>0</v>
      </c>
      <c r="G910" s="38" t="n">
        <f aca="false">Sens!$E$910+Sens!$F$910</f>
        <v>0</v>
      </c>
      <c r="H910" s="39" t="n">
        <v>0</v>
      </c>
      <c r="I910" s="39" t="n">
        <v>0</v>
      </c>
      <c r="J910" s="39" t="n">
        <v>0</v>
      </c>
      <c r="K910" s="39" t="n">
        <v>0</v>
      </c>
      <c r="L910" s="39" t="n">
        <v>0</v>
      </c>
      <c r="M910" s="39" t="n">
        <v>0</v>
      </c>
      <c r="N910" s="38" t="n">
        <f aca="false">Q!$N$26</f>
        <v>0</v>
      </c>
      <c r="O910" s="38" t="n">
        <f aca="false">Q!$O$26</f>
        <v>0</v>
      </c>
    </row>
    <row r="911" customFormat="false" ht="15" hidden="false" customHeight="false" outlineLevel="0" collapsed="false">
      <c r="A911" s="3" t="s">
        <v>531</v>
      </c>
      <c r="B911" s="8" t="s">
        <v>86</v>
      </c>
      <c r="C911" s="38" t="n">
        <f aca="false">Q!$D$25</f>
        <v>68.593</v>
      </c>
      <c r="D911" s="38" t="n">
        <f aca="false">Q!$E$25</f>
        <v>79.975</v>
      </c>
      <c r="E911" s="38" t="n">
        <f aca="false">Q!$P$25</f>
        <v>51.313</v>
      </c>
      <c r="F911" s="38" t="n">
        <f aca="false">Sens!$F$901+Sens!$F$906+Sens!$F$909+Sens!$F$910</f>
        <v>56.5345275836393</v>
      </c>
      <c r="G911" s="38" t="n">
        <f aca="false">Sens!$G$901+Sens!$G$906+Sens!$G$909+Sens!$G$910</f>
        <v>107.847527583639</v>
      </c>
      <c r="H911" s="38" t="n">
        <f aca="false">Sens!$H$901+Sens!$H$906+Sens!$H$909+Sens!$H$910</f>
        <v>120.219546184177</v>
      </c>
      <c r="I911" s="38" t="n">
        <f aca="false">Sens!$I$901+Sens!$I$906+Sens!$I$909+Sens!$I$910</f>
        <v>128.020036709446</v>
      </c>
      <c r="J911" s="38" t="n">
        <f aca="false">Sens!$J$901+Sens!$J$906+Sens!$J$909+Sens!$J$910</f>
        <v>133.926323746057</v>
      </c>
      <c r="K911" s="38" t="n">
        <f aca="false">Sens!$K$901+Sens!$K$906+Sens!$K$909+Sens!$K$910</f>
        <v>133.187784465138</v>
      </c>
      <c r="L911" s="38" t="n">
        <f aca="false">Sens!$L$901+Sens!$L$906+Sens!$L$909+Sens!$L$910</f>
        <v>136.927085247067</v>
      </c>
      <c r="M911" s="38" t="n">
        <f aca="false">Sens!$M$901+Sens!$M$906+Sens!$M$909+Sens!$M$910</f>
        <v>142.301043546911</v>
      </c>
      <c r="N911" s="38" t="n">
        <f aca="false">Q!$N$25</f>
        <v>37.576</v>
      </c>
      <c r="O911" s="38" t="n">
        <f aca="false">Q!$O$25</f>
        <v>42.399</v>
      </c>
    </row>
    <row r="912" customFormat="false" ht="17.15" hidden="false" customHeight="false" outlineLevel="0" collapsed="false">
      <c r="A912" s="24" t="s">
        <v>758</v>
      </c>
      <c r="B912" s="25" t="s">
        <v>86</v>
      </c>
      <c r="C912" s="41" t="n">
        <f aca="false">Sens!$C$901+Sens!$C$906+Sens!$C$909+Sens!$C$910-Sens!$C$911</f>
        <v>0</v>
      </c>
      <c r="D912" s="41" t="n">
        <f aca="false">Sens!$D$901+Sens!$D$906+Sens!$D$909+Sens!$D$910-Sens!$D$911</f>
        <v>0</v>
      </c>
      <c r="E912" s="41" t="n">
        <f aca="false">Sens!$E$901+Sens!$E$906+Sens!$E$909+Sens!$E$910-Sens!$E$911</f>
        <v>0</v>
      </c>
      <c r="F912" s="41" t="n">
        <f aca="false">Sens!$F$901+Sens!$F$906+Sens!$F$909+Sens!$F$910-Sens!$F$911</f>
        <v>0</v>
      </c>
      <c r="G912" s="41" t="n">
        <f aca="false">Sens!$G$901+Sens!$G$906+Sens!$G$909+Sens!$G$910-Sens!$G$911</f>
        <v>0</v>
      </c>
      <c r="H912" s="41" t="n">
        <f aca="false">Sens!$H$901+Sens!$H$906+Sens!$H$909+Sens!$H$910-Sens!$H$911</f>
        <v>0</v>
      </c>
      <c r="I912" s="41" t="n">
        <f aca="false">Sens!$I$901+Sens!$I$906+Sens!$I$909+Sens!$I$910-Sens!$I$911</f>
        <v>0</v>
      </c>
      <c r="J912" s="41" t="n">
        <f aca="false">Sens!$J$901+Sens!$J$906+Sens!$J$909+Sens!$J$910-Sens!$J$911</f>
        <v>0</v>
      </c>
      <c r="K912" s="41" t="n">
        <f aca="false">Sens!$K$901+Sens!$K$906+Sens!$K$909+Sens!$K$910-Sens!$K$911</f>
        <v>0</v>
      </c>
      <c r="L912" s="41" t="n">
        <f aca="false">Sens!$L$901+Sens!$L$906+Sens!$L$909+Sens!$L$910-Sens!$L$911</f>
        <v>0</v>
      </c>
      <c r="M912" s="41" t="n">
        <f aca="false">Sens!$M$901+Sens!$M$906+Sens!$M$909+Sens!$M$910-Sens!$M$911</f>
        <v>0</v>
      </c>
      <c r="N912" s="41" t="n">
        <f aca="false">Sens!$N$901+Sens!$N$906+Sens!$N$909+Sens!$N$910-Sens!$N$911</f>
        <v>0</v>
      </c>
      <c r="O912" s="41" t="n">
        <f aca="false">Sens!$O$901+Sens!$O$906+Sens!$O$909+Sens!$O$910-Sens!$O$911</f>
        <v>0</v>
      </c>
    </row>
    <row r="913" customFormat="false" ht="17.15" hidden="false" customHeight="false" outlineLevel="0" collapsed="false">
      <c r="A913" s="5" t="s">
        <v>729</v>
      </c>
      <c r="B913" s="0" t="s">
        <v>86</v>
      </c>
      <c r="C913" s="38" t="n">
        <f aca="false">Sens!$C$849</f>
        <v>0</v>
      </c>
      <c r="D913" s="38" t="n">
        <f aca="false">Sens!$D$849</f>
        <v>0</v>
      </c>
      <c r="E913" s="38" t="n">
        <f aca="false">Sens!$E$849</f>
        <v>0</v>
      </c>
      <c r="F913" s="38" t="n">
        <f aca="false">Sens!$F$849</f>
        <v>10.0565879513551</v>
      </c>
      <c r="G913" s="38" t="n">
        <f aca="false">Sens!$G$849</f>
        <v>10.0565879513551</v>
      </c>
      <c r="H913" s="38" t="n">
        <f aca="false">Sens!$H$849</f>
        <v>40.4361449626381</v>
      </c>
      <c r="I913" s="38" t="n">
        <f aca="false">Sens!$I$849</f>
        <v>68.218358298637</v>
      </c>
      <c r="J913" s="38" t="n">
        <f aca="false">Sens!$J$849</f>
        <v>96.1241664477658</v>
      </c>
      <c r="K913" s="38" t="n">
        <f aca="false">Sens!$K$849</f>
        <v>119.93097707361</v>
      </c>
      <c r="L913" s="38" t="n">
        <f aca="false">Sens!$L$849</f>
        <v>135.57693014875</v>
      </c>
      <c r="M913" s="38" t="n">
        <f aca="false">Sens!$M$849</f>
        <v>143.041923806484</v>
      </c>
      <c r="N913" s="38" t="n">
        <f aca="false">Sens!$N$849</f>
        <v>0</v>
      </c>
      <c r="O913" s="38" t="n">
        <f aca="false">Sens!$O$849</f>
        <v>0</v>
      </c>
      <c r="P913" s="5" t="s">
        <v>730</v>
      </c>
    </row>
    <row r="914" customFormat="false" ht="17.15" hidden="false" customHeight="false" outlineLevel="0" collapsed="false">
      <c r="A914" s="5" t="s">
        <v>731</v>
      </c>
      <c r="B914" s="0" t="s">
        <v>86</v>
      </c>
      <c r="C914" s="38" t="n">
        <f aca="false">Sens!$C$911+Sens!$C$913</f>
        <v>68.593</v>
      </c>
      <c r="D914" s="38" t="n">
        <f aca="false">Sens!$D$911+Sens!$D$913</f>
        <v>79.975</v>
      </c>
      <c r="E914" s="38" t="n">
        <f aca="false">Sens!$E$911+Sens!$E$913</f>
        <v>51.313</v>
      </c>
      <c r="F914" s="38" t="n">
        <f aca="false">Sens!$F$911+Sens!$F$913</f>
        <v>66.5911155349945</v>
      </c>
      <c r="G914" s="38" t="n">
        <f aca="false">Sens!$G$911+Sens!$G$913</f>
        <v>117.904115534994</v>
      </c>
      <c r="H914" s="38" t="n">
        <f aca="false">Sens!$H$911+Sens!$H$913</f>
        <v>160.655691146815</v>
      </c>
      <c r="I914" s="38" t="n">
        <f aca="false">Sens!$I$911+Sens!$I$913</f>
        <v>196.238395008083</v>
      </c>
      <c r="J914" s="38" t="n">
        <f aca="false">Sens!$J$911+Sens!$J$913</f>
        <v>230.050490193822</v>
      </c>
      <c r="K914" s="38" t="n">
        <f aca="false">Sens!$K$911+Sens!$K$913</f>
        <v>253.118761538748</v>
      </c>
      <c r="L914" s="38" t="n">
        <f aca="false">Sens!$L$911+Sens!$L$913</f>
        <v>272.504015395817</v>
      </c>
      <c r="M914" s="38" t="n">
        <f aca="false">Sens!$M$911+Sens!$M$913</f>
        <v>285.342967353395</v>
      </c>
      <c r="N914" s="38" t="n">
        <f aca="false">Sens!$N$911+Sens!$N$913</f>
        <v>37.576</v>
      </c>
      <c r="O914" s="38" t="n">
        <f aca="false">Sens!$O$911+Sens!$O$913</f>
        <v>42.399</v>
      </c>
    </row>
    <row r="915" customFormat="false" ht="17.15" hidden="false" customHeight="false" outlineLevel="0" collapsed="false">
      <c r="A915" s="0" t="s">
        <v>732</v>
      </c>
      <c r="B915" s="0" t="s">
        <v>52</v>
      </c>
      <c r="C915" s="13" t="n">
        <f aca="false">Sens!$C$901/Sens!$C$886</f>
        <v>0.0644314665661928</v>
      </c>
      <c r="D915" s="13" t="n">
        <f aca="false">Sens!$D$901/Sens!$D$886</f>
        <v>0.0694784250712518</v>
      </c>
      <c r="E915" s="13" t="n">
        <f aca="false">Sens!$E$901/Sens!$E$886</f>
        <v>0.0789306463326071</v>
      </c>
      <c r="F915" s="13" t="n">
        <f aca="false">Sens!$F$901/Sens!$F$886</f>
        <v>0.0797482986481118</v>
      </c>
      <c r="G915" s="13" t="n">
        <f aca="false">Sens!$G$901/Sens!$G$886</f>
        <v>0.0793657921830253</v>
      </c>
      <c r="H915" s="13" t="n">
        <f aca="false">Sens!$H$901/Sens!$H$886</f>
        <v>0.0664983850789518</v>
      </c>
      <c r="I915" s="13" t="n">
        <f aca="false">Sens!$I$901/Sens!$I$886</f>
        <v>0.0504934041930303</v>
      </c>
      <c r="J915" s="13" t="n">
        <f aca="false">Sens!$J$901/Sens!$J$886</f>
        <v>0.0360902651811312</v>
      </c>
      <c r="K915" s="13" t="n">
        <f aca="false">Sens!$K$901/Sens!$K$886</f>
        <v>0.0230781350287064</v>
      </c>
      <c r="L915" s="13" t="n">
        <f aca="false">Sens!$L$901/Sens!$L$886</f>
        <v>0.0171232472190074</v>
      </c>
      <c r="M915" s="13" t="n">
        <f aca="false">Sens!$M$901/Sens!$M$886</f>
        <v>0.0175003892651937</v>
      </c>
      <c r="N915" s="13" t="n">
        <f aca="false">Sens!$N$901/Sens!$N$886</f>
        <v>0.069228576611127</v>
      </c>
      <c r="O915" s="13" t="n">
        <f aca="false">Sens!$O$901/Sens!$O$886</f>
        <v>0.069685022498393</v>
      </c>
    </row>
    <row r="916" customFormat="false" ht="17.15" hidden="false" customHeight="false" outlineLevel="0" collapsed="false">
      <c r="A916" s="0" t="s">
        <v>733</v>
      </c>
      <c r="B916" s="0" t="s">
        <v>52</v>
      </c>
      <c r="C916" s="13" t="n">
        <f aca="false">Sens!$C$906/Sens!$C$887</f>
        <v>0.026534925055631</v>
      </c>
      <c r="D916" s="13" t="n">
        <f aca="false">Sens!$D$906/Sens!$D$887</f>
        <v>0.0293401855535103</v>
      </c>
      <c r="E916" s="13" t="n">
        <f aca="false">Sens!$E$906/Sens!$E$887</f>
        <v>0.03831141902276</v>
      </c>
      <c r="F916" s="13" t="n">
        <f aca="false">Sens!$F$906/Sens!$F$887</f>
        <v>0.027707563656746</v>
      </c>
      <c r="G916" s="13" t="n">
        <f aca="false">Sens!$G$906/Sens!$G$887</f>
        <v>0.0325268227775028</v>
      </c>
      <c r="H916" s="13" t="n">
        <f aca="false">Sens!$H$906/Sens!$H$887</f>
        <v>0.0176542505150773</v>
      </c>
      <c r="I916" s="13" t="n">
        <f aca="false">Sens!$I$906/Sens!$I$887</f>
        <v>-0.000379084277724612</v>
      </c>
      <c r="J916" s="13" t="n">
        <f aca="false">Sens!$J$906/Sens!$J$887</f>
        <v>-0.0168735708041119</v>
      </c>
      <c r="K916" s="13" t="n">
        <f aca="false">Sens!$K$906/Sens!$K$887</f>
        <v>-0.0320817075035234</v>
      </c>
      <c r="L916" s="13" t="n">
        <f aca="false">Sens!$L$906/Sens!$L$887</f>
        <v>-0.0376904126147293</v>
      </c>
      <c r="M916" s="13" t="n">
        <f aca="false">Sens!$M$906/Sens!$M$887</f>
        <v>-0.0369590799957636</v>
      </c>
      <c r="N916" s="13" t="n">
        <f aca="false">Sens!$N$906/Sens!$N$887</f>
        <v>0.0357315650169337</v>
      </c>
      <c r="O916" s="13" t="n">
        <f aca="false">Sens!$O$906/Sens!$O$887</f>
        <v>0.0244378956559703</v>
      </c>
    </row>
    <row r="917" customFormat="false" ht="17.15" hidden="false" customHeight="false" outlineLevel="0" collapsed="false">
      <c r="A917" s="14" t="s">
        <v>734</v>
      </c>
      <c r="B917" s="14" t="s">
        <v>52</v>
      </c>
      <c r="C917" s="17" t="n">
        <f aca="false">Sens!$C$909/Sens!$C$888</f>
        <v>0.370355907620217</v>
      </c>
      <c r="D917" s="17" t="n">
        <f aca="false">Sens!$D$909/Sens!$D$888</f>
        <v>0.35429015342785</v>
      </c>
      <c r="E917" s="17" t="n">
        <f aca="false">Sens!$E$909/Sens!$E$888</f>
        <v>0.385647527531039</v>
      </c>
      <c r="F917" s="17" t="n">
        <f aca="false">Sens!$F$909/Sens!$F$888</f>
        <v>0.389930904261999</v>
      </c>
      <c r="G917" s="17" t="n">
        <f aca="false">Sens!$G$909/Sens!$G$888</f>
        <v>0.387878119579252</v>
      </c>
      <c r="H917" s="17" t="n">
        <f aca="false">Sens!$H$909/Sens!$H$888</f>
        <v>0.370835175674968</v>
      </c>
      <c r="I917" s="17" t="n">
        <f aca="false">Sens!$I$909/Sens!$I$888</f>
        <v>0.354347925730501</v>
      </c>
      <c r="J917" s="17" t="n">
        <f aca="false">Sens!$J$909/Sens!$J$888</f>
        <v>0.341480955883896</v>
      </c>
      <c r="K917" s="17" t="n">
        <f aca="false">Sens!$K$909/Sens!$K$888</f>
        <v>0.323475032093612</v>
      </c>
      <c r="L917" s="17" t="n">
        <f aca="false">Sens!$L$909/Sens!$L$888</f>
        <v>0.314016532079449</v>
      </c>
      <c r="M917" s="17" t="n">
        <f aca="false">Sens!$M$909/Sens!$M$888</f>
        <v>0.304306048121197</v>
      </c>
      <c r="N917" s="17" t="n">
        <f aca="false">Sens!$N$909/Sens!$N$888</f>
        <v>0.360941137346192</v>
      </c>
      <c r="O917" s="17" t="n">
        <f aca="false">Sens!$O$909/Sens!$O$888</f>
        <v>0.348458117664212</v>
      </c>
    </row>
    <row r="918" customFormat="false" ht="17.15" hidden="false" customHeight="false" outlineLevel="0" collapsed="false">
      <c r="A918" s="0" t="s">
        <v>735</v>
      </c>
      <c r="B918" s="0" t="s">
        <v>52</v>
      </c>
      <c r="C918" s="13" t="n">
        <f aca="false">Sens!$C$907/Sens!$C$889</f>
        <v>0.725923192809006</v>
      </c>
      <c r="D918" s="13" t="n">
        <f aca="false">Sens!$D$907/Sens!$D$889</f>
        <v>0.528804319548454</v>
      </c>
      <c r="E918" s="13" t="n">
        <f aca="false">Sens!$E$907/Sens!$E$889</f>
        <v>0.319128685519011</v>
      </c>
      <c r="F918" s="13" t="n">
        <f aca="false">Sens!$F$907/Sens!$F$889</f>
        <v>0.521970583008504</v>
      </c>
      <c r="G918" s="13" t="n">
        <f aca="false">Sens!$G$907/Sens!$G$889</f>
        <v>0.448430843817988</v>
      </c>
      <c r="H918" s="13" t="n">
        <f aca="false">Sens!$H$907/Sens!$H$889</f>
        <v>0.393405569246927</v>
      </c>
      <c r="I918" s="13" t="n">
        <f aca="false">Sens!$I$907/Sens!$I$889</f>
        <v>0.3401638782866</v>
      </c>
      <c r="J918" s="13" t="n">
        <f aca="false">Sens!$J$907/Sens!$J$889</f>
        <v>0.312844587026008</v>
      </c>
      <c r="K918" s="13" t="n">
        <f aca="false">Sens!$K$907/Sens!$K$889</f>
        <v>0.277352296060975</v>
      </c>
      <c r="L918" s="13" t="n">
        <f aca="false">Sens!$L$907/Sens!$L$889</f>
        <v>0.259245631792282</v>
      </c>
      <c r="M918" s="13" t="n">
        <f aca="false">Sens!$M$907/Sens!$M$889</f>
        <v>0.236988578313191</v>
      </c>
      <c r="N918" s="13" t="n">
        <f aca="false">Sens!$N$907/Sens!$N$889</f>
        <v>0.421783147840115</v>
      </c>
      <c r="O918" s="13" t="n">
        <f aca="false">Sens!$O$907/Sens!$O$889</f>
        <v>0.586431104314483</v>
      </c>
    </row>
    <row r="919" customFormat="false" ht="15" hidden="false" customHeight="false" outlineLevel="0" collapsed="false">
      <c r="A919" s="5" t="s">
        <v>736</v>
      </c>
      <c r="B919" s="0" t="s">
        <v>52</v>
      </c>
      <c r="C919" s="13" t="n">
        <f aca="false">Sens!$C$911/Sens!$C$891</f>
        <v>0.107519448742004</v>
      </c>
      <c r="D919" s="13" t="n">
        <f aca="false">Sens!$D$911/Sens!$D$891</f>
        <v>0.111552967957552</v>
      </c>
      <c r="E919" s="13" t="n">
        <f aca="false">Sens!$E$911/Sens!$E$891</f>
        <v>0.13428328426562</v>
      </c>
      <c r="F919" s="13" t="n">
        <f aca="false">Sens!$F$911/Sens!$F$891</f>
        <v>0.129731518391037</v>
      </c>
      <c r="G919" s="13" t="n">
        <f aca="false">Sens!$G$911/Sens!$G$891</f>
        <v>0.131858099670316</v>
      </c>
      <c r="H919" s="13" t="n">
        <f aca="false">Sens!$H$911/Sens!$H$891</f>
        <v>0.127583695275231</v>
      </c>
      <c r="I919" s="13" t="n">
        <f aca="false">Sens!$I$911/Sens!$I$891</f>
        <v>0.11977890658895</v>
      </c>
      <c r="J919" s="13" t="n">
        <f aca="false">Sens!$J$911/Sens!$J$891</f>
        <v>0.112551702901076</v>
      </c>
      <c r="K919" s="13" t="n">
        <f aca="false">Sens!$K$911/Sens!$K$891</f>
        <v>0.102763423617976</v>
      </c>
      <c r="L919" s="13" t="n">
        <f aca="false">Sens!$L$911/Sens!$L$891</f>
        <v>0.0981433894858816</v>
      </c>
      <c r="M919" s="13" t="n">
        <f aca="false">Sens!$M$911/Sens!$M$891</f>
        <v>0.0956578698241425</v>
      </c>
      <c r="N919" s="13" t="n">
        <f aca="false">Sens!$N$911/Sens!$N$891</f>
        <v>0.116201614873411</v>
      </c>
      <c r="O919" s="13" t="n">
        <f aca="false">Sens!$O$911/Sens!$O$891</f>
        <v>0.107733353660861</v>
      </c>
    </row>
    <row r="920" customFormat="false" ht="17.15" hidden="false" customHeight="false" outlineLevel="0" collapsed="false">
      <c r="A920" s="1" t="s">
        <v>737</v>
      </c>
    </row>
    <row r="921" customFormat="false" ht="17.15" hidden="false" customHeight="false" outlineLevel="0" collapsed="false">
      <c r="A921" s="5" t="s">
        <v>738</v>
      </c>
      <c r="B921" s="0" t="s">
        <v>52</v>
      </c>
      <c r="D921" s="28" t="n">
        <f aca="false">(Q!$E$29+Q!$E$30-(1-ext_sh_lo)*Sens!$D$843)/Sens!$D$799</f>
        <v>0.032235721541643</v>
      </c>
    </row>
    <row r="922" customFormat="false" ht="17.15" hidden="false" customHeight="false" outlineLevel="0" collapsed="false">
      <c r="A922" s="0" t="s">
        <v>535</v>
      </c>
      <c r="B922" s="0" t="s">
        <v>86</v>
      </c>
      <c r="C922" s="38" t="n">
        <f aca="false">Q!$D$29</f>
        <v>14.285</v>
      </c>
      <c r="D922" s="38" t="n">
        <f aca="false">Q!$E$29</f>
        <v>15.503</v>
      </c>
      <c r="E922" s="38" t="n">
        <f aca="false">Q!$P$29</f>
        <v>8.78</v>
      </c>
      <c r="F922" s="38" t="n">
        <f aca="false">(Sens!$D$921*Sens!$F$799+(1-ext_sh_lo)*Sens!$F$843)*Sens!$F$800</f>
        <v>9.95111497956358</v>
      </c>
      <c r="G922" s="38" t="n">
        <f aca="false">Sens!$E$922+Sens!$F$922</f>
        <v>18.7311149795636</v>
      </c>
      <c r="H922" s="38" t="n">
        <f aca="false">(Sens!$D$921*Sens!$H$799+(1-ext_sh_lo)*Sens!$H$843)*Sens!$H$800</f>
        <v>28.3025658465483</v>
      </c>
      <c r="I922" s="38" t="n">
        <f aca="false">(Sens!$D$921*Sens!$I$799+(1-ext_sh_lo)*Sens!$I$843)*Sens!$I$800</f>
        <v>40.5650122458524</v>
      </c>
      <c r="J922" s="38" t="n">
        <f aca="false">(Sens!$D$921*Sens!$J$799+(1-ext_sh_lo)*Sens!$J$843)*Sens!$J$800</f>
        <v>53.1047860035043</v>
      </c>
      <c r="K922" s="38" t="n">
        <f aca="false">(Sens!$D$921*Sens!$K$799+(1-ext_sh_lo)*Sens!$K$843)*Sens!$K$800</f>
        <v>65.7530775673933</v>
      </c>
      <c r="L922" s="38" t="n">
        <f aca="false">(Sens!$D$921*Sens!$L$799+(1-ext_sh_lo)*Sens!$L$843)*Sens!$L$800</f>
        <v>74.7477505414288</v>
      </c>
      <c r="M922" s="38" t="n">
        <f aca="false">(Sens!$D$921*Sens!$M$799+(1-ext_sh_lo)*Sens!$M$843)*Sens!$M$800</f>
        <v>81.3922865426284</v>
      </c>
      <c r="N922" s="38" t="n">
        <f aca="false">Q!$N$29</f>
        <v>7.272</v>
      </c>
      <c r="O922" s="38" t="n">
        <f aca="false">Q!$O$29</f>
        <v>8.231</v>
      </c>
    </row>
    <row r="923" customFormat="false" ht="17.15" hidden="false" customHeight="false" outlineLevel="0" collapsed="false">
      <c r="A923" s="0" t="s">
        <v>537</v>
      </c>
      <c r="B923" s="0" t="s">
        <v>86</v>
      </c>
      <c r="C923" s="38" t="n">
        <f aca="false">Q!$D$30</f>
        <v>4.462</v>
      </c>
      <c r="D923" s="38" t="n">
        <f aca="false">Q!$E$30</f>
        <v>4.907</v>
      </c>
      <c r="E923" s="38" t="n">
        <f aca="false">Q!$P$30</f>
        <v>2.57</v>
      </c>
      <c r="F923" s="38" t="n">
        <f aca="false">(Sens!$D$921*Sens!$F$799+(1-ext_sh_lo)*Sens!$F$843)*(1-Sens!$F$800)</f>
        <v>3.90709729773994</v>
      </c>
      <c r="G923" s="38" t="n">
        <f aca="false">Sens!$E$923+Sens!$F$923</f>
        <v>6.47709729773994</v>
      </c>
      <c r="H923" s="38" t="n">
        <f aca="false">(Sens!$D$921*Sens!$H$799+(1-ext_sh_lo)*Sens!$H$843)*(1-Sens!$H$800)</f>
        <v>10.8408968261958</v>
      </c>
      <c r="I923" s="38" t="n">
        <f aca="false">(Sens!$D$921*Sens!$I$799+(1-ext_sh_lo)*Sens!$I$843)*(1-Sens!$I$800)</f>
        <v>15.5378531718631</v>
      </c>
      <c r="J923" s="38" t="n">
        <f aca="false">(Sens!$D$921*Sens!$J$799+(1-ext_sh_lo)*Sens!$J$843)*(1-Sens!$J$800)</f>
        <v>20.341035832672</v>
      </c>
      <c r="K923" s="38" t="n">
        <f aca="false">(Sens!$D$921*Sens!$K$799+(1-ext_sh_lo)*Sens!$K$843)*(1-Sens!$K$800)</f>
        <v>25.1857847015625</v>
      </c>
      <c r="L923" s="38" t="n">
        <f aca="false">(Sens!$D$921*Sens!$L$799+(1-ext_sh_lo)*Sens!$L$843)*(1-Sens!$L$800)</f>
        <v>28.6310667380244</v>
      </c>
      <c r="M923" s="38" t="n">
        <f aca="false">(Sens!$D$921*Sens!$M$799+(1-ext_sh_lo)*Sens!$M$843)*(1-Sens!$M$800)</f>
        <v>31.1761621063205</v>
      </c>
      <c r="N923" s="38" t="n">
        <f aca="false">Q!$N$30</f>
        <v>2.316</v>
      </c>
      <c r="O923" s="38" t="n">
        <f aca="false">Q!$O$30</f>
        <v>2.591</v>
      </c>
    </row>
    <row r="924" customFormat="false" ht="17.15" hidden="false" customHeight="false" outlineLevel="0" collapsed="false">
      <c r="A924" s="0" t="s">
        <v>538</v>
      </c>
      <c r="B924" s="0" t="s">
        <v>86</v>
      </c>
      <c r="C924" s="38" t="n">
        <f aca="false">Sens!$C$855</f>
        <v>13.32</v>
      </c>
      <c r="D924" s="38" t="n">
        <f aca="false">Sens!$D$855</f>
        <v>21.45</v>
      </c>
      <c r="E924" s="38" t="n">
        <f aca="false">Sens!$E$855</f>
        <v>15.353</v>
      </c>
      <c r="F924" s="38" t="n">
        <f aca="false">Sens!$F$855</f>
        <v>15.4364043526471</v>
      </c>
      <c r="G924" s="38" t="n">
        <f aca="false">Sens!$G$855</f>
        <v>30.7894043526471</v>
      </c>
      <c r="H924" s="38" t="n">
        <f aca="false">Sens!$H$855</f>
        <v>49.708420324386</v>
      </c>
      <c r="I924" s="38" t="n">
        <f aca="false">Sens!$I$855</f>
        <v>74.7381677737222</v>
      </c>
      <c r="J924" s="38" t="n">
        <f aca="false">Sens!$J$855</f>
        <v>100.457969484159</v>
      </c>
      <c r="K924" s="38" t="n">
        <f aca="false">Sens!$K$855</f>
        <v>126.550262826572</v>
      </c>
      <c r="L924" s="38" t="n">
        <f aca="false">Sens!$L$855</f>
        <v>145.078071986499</v>
      </c>
      <c r="M924" s="38" t="n">
        <f aca="false">Sens!$M$855</f>
        <v>158.747637910042</v>
      </c>
      <c r="N924" s="38" t="n">
        <f aca="false">Sens!$N$855</f>
        <v>9.234</v>
      </c>
      <c r="O924" s="38" t="n">
        <f aca="false">Sens!$O$855</f>
        <v>12.216</v>
      </c>
    </row>
    <row r="925" customFormat="false" ht="17.15" hidden="false" customHeight="false" outlineLevel="0" collapsed="false">
      <c r="A925" s="5" t="s">
        <v>739</v>
      </c>
      <c r="B925" s="0" t="s">
        <v>86</v>
      </c>
      <c r="C925" s="38" t="n">
        <f aca="false">Sens!$C$922+Sens!$C$923+Sens!$C$924</f>
        <v>32.067</v>
      </c>
      <c r="D925" s="38" t="n">
        <f aca="false">Sens!$D$922+Sens!$D$923+Sens!$D$924</f>
        <v>41.86</v>
      </c>
      <c r="E925" s="38" t="n">
        <f aca="false">Sens!$E$922+Sens!$E$923+Sens!$E$924</f>
        <v>26.703</v>
      </c>
      <c r="F925" s="38" t="n">
        <f aca="false">Sens!$F$922+Sens!$F$923+Sens!$F$924</f>
        <v>29.2946166299506</v>
      </c>
      <c r="G925" s="38" t="n">
        <f aca="false">Sens!$G$922+Sens!$G$923+Sens!$G$924</f>
        <v>55.9976166299506</v>
      </c>
      <c r="H925" s="38" t="n">
        <f aca="false">Sens!$H$922+Sens!$H$923+Sens!$H$924</f>
        <v>88.8518829971302</v>
      </c>
      <c r="I925" s="38" t="n">
        <f aca="false">Sens!$I$922+Sens!$I$923+Sens!$I$924</f>
        <v>130.841033191438</v>
      </c>
      <c r="J925" s="38" t="n">
        <f aca="false">Sens!$J$922+Sens!$J$923+Sens!$J$924</f>
        <v>173.903791320335</v>
      </c>
      <c r="K925" s="38" t="n">
        <f aca="false">Sens!$K$922+Sens!$K$923+Sens!$K$924</f>
        <v>217.489125095528</v>
      </c>
      <c r="L925" s="38" t="n">
        <f aca="false">Sens!$L$922+Sens!$L$923+Sens!$L$924</f>
        <v>248.456889265952</v>
      </c>
      <c r="M925" s="38" t="n">
        <f aca="false">Sens!$M$922+Sens!$M$923+Sens!$M$924</f>
        <v>271.316086558991</v>
      </c>
      <c r="N925" s="38" t="n">
        <f aca="false">Sens!$N$922+Sens!$N$923+Sens!$N$924</f>
        <v>18.822</v>
      </c>
      <c r="O925" s="38" t="n">
        <f aca="false">Sens!$O$922+Sens!$O$923+Sens!$O$924</f>
        <v>23.038</v>
      </c>
    </row>
    <row r="926" customFormat="false" ht="17.15" hidden="false" customHeight="false" outlineLevel="0" collapsed="false">
      <c r="A926" s="0" t="s">
        <v>740</v>
      </c>
      <c r="B926" s="0" t="s">
        <v>86</v>
      </c>
      <c r="C926" s="38" t="n">
        <f aca="false">Sens!$C$897+Sens!$C$902</f>
        <v>28.107</v>
      </c>
      <c r="D926" s="38" t="n">
        <f aca="false">Sens!$D$897+Sens!$D$902</f>
        <v>34.3175</v>
      </c>
      <c r="E926" s="38" t="n">
        <f aca="false">Sens!$E$897+Sens!$E$902</f>
        <v>18.526</v>
      </c>
      <c r="F926" s="38" t="n">
        <f aca="false">Sens!$F$897+Sens!$F$902</f>
        <v>23.0786109972074</v>
      </c>
      <c r="G926" s="38" t="n">
        <f aca="false">Sens!$G$897+Sens!$G$902</f>
        <v>41.6046109972074</v>
      </c>
      <c r="H926" s="38" t="n">
        <f aca="false">Sens!$H$897+Sens!$H$902</f>
        <v>49.9484611939488</v>
      </c>
      <c r="I926" s="38" t="n">
        <f aca="false">Sens!$I$897+Sens!$I$902</f>
        <v>58.2915555477481</v>
      </c>
      <c r="J926" s="38" t="n">
        <f aca="false">Sens!$J$897+Sens!$J$902</f>
        <v>66.0744709709759</v>
      </c>
      <c r="K926" s="38" t="n">
        <f aca="false">Sens!$K$897+Sens!$K$902</f>
        <v>72.6819180680735</v>
      </c>
      <c r="L926" s="38" t="n">
        <f aca="false">Sens!$L$897+Sens!$L$902</f>
        <v>79.9501098748808</v>
      </c>
      <c r="M926" s="38" t="n">
        <f aca="false">Sens!$M$897+Sens!$M$902</f>
        <v>87.9451208623689</v>
      </c>
      <c r="N926" s="38" t="n">
        <f aca="false">Sens!$N$897+Sens!$N$902</f>
        <v>14.8075</v>
      </c>
      <c r="O926" s="38" t="n">
        <f aca="false">Sens!$O$897+Sens!$O$902</f>
        <v>19.51</v>
      </c>
    </row>
    <row r="927" customFormat="false" ht="17.15" hidden="false" customHeight="false" outlineLevel="0" collapsed="false">
      <c r="A927" s="0" t="s">
        <v>741</v>
      </c>
      <c r="B927" s="0" t="s">
        <v>86</v>
      </c>
      <c r="C927" s="38" t="n">
        <f aca="false">Sens!$C$901+Sens!$C$906+Sens!$C$922+Sens!$C$923-Sens!$C$926</f>
        <v>19.399</v>
      </c>
      <c r="D927" s="38" t="n">
        <f aca="false">Sens!$D$901+Sens!$D$906+Sens!$D$922+Sens!$D$923-Sens!$D$926</f>
        <v>20.4615</v>
      </c>
      <c r="E927" s="38" t="n">
        <f aca="false">Sens!$E$901+Sens!$E$906+Sens!$E$922+Sens!$E$923-Sens!$E$926</f>
        <v>13.355</v>
      </c>
      <c r="F927" s="38" t="n">
        <f aca="false">Sens!$F$901+Sens!$F$906+Sens!$F$922+Sens!$F$923-Sens!$F$926</f>
        <v>13.4943556847642</v>
      </c>
      <c r="G927" s="38" t="n">
        <f aca="false">Sens!$G$901+Sens!$G$906+Sens!$G$922+Sens!$G$923-Sens!$G$926</f>
        <v>26.8493556847642</v>
      </c>
      <c r="H927" s="38" t="n">
        <f aca="false">Sens!$H$901+Sens!$H$906+Sens!$H$922+Sens!$H$923-Sens!$H$926</f>
        <v>27.3921229318029</v>
      </c>
      <c r="I927" s="38" t="n">
        <f aca="false">Sens!$I$901+Sens!$I$906+Sens!$I$922+Sens!$I$923-Sens!$I$926</f>
        <v>26.5170278666766</v>
      </c>
      <c r="J927" s="38" t="n">
        <f aca="false">Sens!$J$901+Sens!$J$906+Sens!$J$922+Sens!$J$923-Sens!$J$926</f>
        <v>25.6036039909546</v>
      </c>
      <c r="K927" s="38" t="n">
        <f aca="false">Sens!$K$901+Sens!$K$906+Sens!$K$922+Sens!$K$923-Sens!$K$926</f>
        <v>25.3264388692786</v>
      </c>
      <c r="L927" s="38" t="n">
        <f aca="false">Sens!$L$901+Sens!$L$906+Sens!$L$922+Sens!$L$923-Sens!$L$926</f>
        <v>25.3033460584621</v>
      </c>
      <c r="M927" s="38" t="n">
        <f aca="false">Sens!$M$901+Sens!$M$906+Sens!$M$922+Sens!$M$923-Sens!$M$926</f>
        <v>27.1090598863733</v>
      </c>
      <c r="N927" s="38" t="n">
        <f aca="false">Sens!$N$901+Sens!$N$906+Sens!$N$922+Sens!$N$923-Sens!$N$926</f>
        <v>10.6495</v>
      </c>
      <c r="O927" s="38" t="n">
        <f aca="false">Sens!$O$901+Sens!$O$906+Sens!$O$922+Sens!$O$923-Sens!$O$926</f>
        <v>9.81200000000001</v>
      </c>
    </row>
    <row r="928" customFormat="false" ht="17.15" hidden="false" customHeight="false" outlineLevel="0" collapsed="false">
      <c r="A928" s="0" t="s">
        <v>742</v>
      </c>
      <c r="B928" s="0" t="s">
        <v>86</v>
      </c>
      <c r="C928" s="38" t="n">
        <f aca="false">Sens!$C$908+Sens!$C$924-ext_sh_lo*Sens!$C$843</f>
        <v>51.3470500115664</v>
      </c>
      <c r="D928" s="38" t="n">
        <f aca="false">Sens!$D$908+Sens!$D$924-ext_sh_lo*Sens!$D$843</f>
        <v>60.2799375433739</v>
      </c>
      <c r="E928" s="38" t="n">
        <f aca="false">Sens!$E$908+Sens!$E$924-ext_sh_lo*Sens!$E$843</f>
        <v>39.5095167090767</v>
      </c>
      <c r="F928" s="38" t="n">
        <f aca="false">Sens!$F$908+Sens!$F$924-ext_sh_lo*Sens!$F$843</f>
        <v>37.5361198157477</v>
      </c>
      <c r="G928" s="38" t="n">
        <f aca="false">Sens!$G$908+Sens!$G$924-ext_sh_lo*Sens!$G$843</f>
        <v>77.0456365248245</v>
      </c>
      <c r="H928" s="38" t="n">
        <f aca="false">Sens!$H$908+Sens!$H$924-ext_sh_lo*Sens!$H$843</f>
        <v>84.2136723495105</v>
      </c>
      <c r="I928" s="38" t="n">
        <f aca="false">Sens!$I$908+Sens!$I$924-ext_sh_lo*Sens!$I$843</f>
        <v>93.498517222092</v>
      </c>
      <c r="J928" s="38" t="n">
        <f aca="false">Sens!$J$908+Sens!$J$924-ext_sh_lo*Sens!$J$843</f>
        <v>102.392723269578</v>
      </c>
      <c r="K928" s="38" t="n">
        <f aca="false">Sens!$K$908+Sens!$K$924-ext_sh_lo*Sens!$K$843</f>
        <v>110.584141131144</v>
      </c>
      <c r="L928" s="38" t="n">
        <f aca="false">Sens!$L$908+Sens!$L$924-ext_sh_lo*Sens!$L$843</f>
        <v>119.430872421636</v>
      </c>
      <c r="M928" s="38" t="n">
        <f aca="false">Sens!$M$908+Sens!$M$924-ext_sh_lo*Sens!$M$843</f>
        <v>128.985342215367</v>
      </c>
      <c r="N928" s="38" t="n">
        <f aca="false">Sens!$N$908+Sens!$N$924-ext_sh_lo*Sens!$N$843</f>
        <v>28.5693781401809</v>
      </c>
      <c r="O928" s="38" t="n">
        <f aca="false">Sens!$O$908+Sens!$O$924-ext_sh_lo*Sens!$O$843</f>
        <v>31.7105594031931</v>
      </c>
    </row>
    <row r="929" customFormat="false" ht="17.15" hidden="false" customHeight="false" outlineLevel="0" collapsed="false">
      <c r="A929" s="0" t="s">
        <v>743</v>
      </c>
      <c r="B929" s="0" t="s">
        <v>86</v>
      </c>
      <c r="C929" s="38" t="n">
        <f aca="false">Sens!$C$846</f>
        <v>1.80694998843362</v>
      </c>
      <c r="D929" s="38" t="n">
        <f aca="false">Sens!$D$846</f>
        <v>6.77606245662607</v>
      </c>
      <c r="E929" s="38" t="n">
        <f aca="false">Sens!$E$846</f>
        <v>6.62548329092326</v>
      </c>
      <c r="F929" s="38" t="n">
        <f aca="false">Sens!$F$846</f>
        <v>11.7200577158706</v>
      </c>
      <c r="G929" s="38" t="n">
        <f aca="false">Sens!$G$846</f>
        <v>18.3455410067939</v>
      </c>
      <c r="H929" s="38" t="n">
        <f aca="false">Sens!$H$846</f>
        <v>47.5171727060453</v>
      </c>
      <c r="I929" s="38" t="n">
        <f aca="false">Sens!$I$846</f>
        <v>80.5539692643667</v>
      </c>
      <c r="J929" s="38" t="n">
        <f aca="false">Sens!$J$846</f>
        <v>113.759316834883</v>
      </c>
      <c r="K929" s="38" t="n">
        <f aca="false">Sens!$K$846</f>
        <v>142.084411492169</v>
      </c>
      <c r="L929" s="38" t="n">
        <f aca="false">Sens!$L$846</f>
        <v>160.69964615804</v>
      </c>
      <c r="M929" s="38" t="n">
        <f aca="false">Sens!$M$846</f>
        <v>169.577607141793</v>
      </c>
      <c r="N929" s="38" t="n">
        <f aca="false">Sens!$N$846</f>
        <v>2.37162185981912</v>
      </c>
      <c r="O929" s="38" t="n">
        <f aca="false">Sens!$O$846</f>
        <v>4.40444059680694</v>
      </c>
    </row>
    <row r="930" customFormat="false" ht="17.15" hidden="false" customHeight="false" outlineLevel="0" collapsed="false">
      <c r="A930" s="0" t="s">
        <v>744</v>
      </c>
      <c r="B930" s="0" t="s">
        <v>86</v>
      </c>
      <c r="C930" s="38" t="n">
        <f aca="false">Sens!$C$911+Sens!$C$925</f>
        <v>100.66</v>
      </c>
      <c r="D930" s="38" t="n">
        <f aca="false">Sens!$D$911+Sens!$D$925</f>
        <v>121.835</v>
      </c>
      <c r="E930" s="38" t="n">
        <f aca="false">Sens!$E$911+Sens!$E$925</f>
        <v>78.016</v>
      </c>
      <c r="F930" s="38" t="n">
        <f aca="false">Sens!$F$911+Sens!$F$925</f>
        <v>85.82914421359</v>
      </c>
      <c r="G930" s="38" t="n">
        <f aca="false">Sens!$G$911+Sens!$G$925</f>
        <v>163.84514421359</v>
      </c>
      <c r="H930" s="38" t="n">
        <f aca="false">Sens!$H$911+Sens!$H$925</f>
        <v>209.071429181308</v>
      </c>
      <c r="I930" s="38" t="n">
        <f aca="false">Sens!$I$911+Sens!$I$925</f>
        <v>258.861069900883</v>
      </c>
      <c r="J930" s="38" t="n">
        <f aca="false">Sens!$J$911+Sens!$J$925</f>
        <v>307.830115066392</v>
      </c>
      <c r="K930" s="38" t="n">
        <f aca="false">Sens!$K$911+Sens!$K$925</f>
        <v>350.676909560666</v>
      </c>
      <c r="L930" s="38" t="n">
        <f aca="false">Sens!$L$911+Sens!$L$925</f>
        <v>385.383974513019</v>
      </c>
      <c r="M930" s="38" t="n">
        <f aca="false">Sens!$M$911+Sens!$M$925</f>
        <v>413.617130105902</v>
      </c>
      <c r="N930" s="38" t="n">
        <f aca="false">Sens!$N$911+Sens!$N$925</f>
        <v>56.398</v>
      </c>
      <c r="O930" s="38" t="n">
        <f aca="false">Sens!$O$911+Sens!$O$925</f>
        <v>65.437</v>
      </c>
    </row>
    <row r="931" customFormat="false" ht="17.15" hidden="false" customHeight="false" outlineLevel="0" collapsed="false">
      <c r="A931" s="1" t="s">
        <v>745</v>
      </c>
    </row>
    <row r="932" customFormat="false" ht="15" hidden="false" customHeight="false" outlineLevel="0" collapsed="false">
      <c r="A932" s="5" t="s">
        <v>541</v>
      </c>
      <c r="B932" s="0" t="s">
        <v>86</v>
      </c>
      <c r="C932" s="38" t="n">
        <f aca="false">Q!$D$34</f>
        <v>2.406</v>
      </c>
      <c r="D932" s="38" t="n">
        <f aca="false">Q!$E$34</f>
        <v>2.274</v>
      </c>
      <c r="E932" s="38" t="n">
        <f aca="false">Q!$P$34</f>
        <v>2.114</v>
      </c>
      <c r="F932" s="38" t="n">
        <f aca="false">Sens!$F$970</f>
        <v>3.24888962733561</v>
      </c>
      <c r="G932" s="38" t="n">
        <f aca="false">Sens!$E$932+Sens!$F$932</f>
        <v>5.36288962733561</v>
      </c>
      <c r="H932" s="38" t="n">
        <f aca="false">Sens!$H$970</f>
        <v>7.42354172302123</v>
      </c>
      <c r="I932" s="38" t="n">
        <f aca="false">Sens!$I$970</f>
        <v>14.635290303539</v>
      </c>
      <c r="J932" s="38" t="n">
        <f aca="false">Sens!$J$970</f>
        <v>20.4013673367692</v>
      </c>
      <c r="K932" s="38" t="n">
        <f aca="false">Sens!$K$970</f>
        <v>24.0427650305724</v>
      </c>
      <c r="L932" s="38" t="n">
        <f aca="false">Sens!$L$970</f>
        <v>24.0427650305724</v>
      </c>
      <c r="M932" s="38" t="n">
        <f aca="false">Sens!$M$970</f>
        <v>24.0427650305724</v>
      </c>
      <c r="N932" s="38" t="n">
        <f aca="false">Q!$N$34</f>
        <v>1.057</v>
      </c>
      <c r="O932" s="38" t="n">
        <f aca="false">Q!$O$34</f>
        <v>1.217</v>
      </c>
    </row>
    <row r="933" customFormat="false" ht="15" hidden="false" customHeight="false" outlineLevel="0" collapsed="false">
      <c r="A933" s="5" t="s">
        <v>746</v>
      </c>
      <c r="B933" s="0" t="s">
        <v>86</v>
      </c>
      <c r="F933" s="38" t="n">
        <f aca="false">Sens!$F$971</f>
        <v>2.59</v>
      </c>
      <c r="H933" s="38" t="n">
        <f aca="false">Sens!$H$971</f>
        <v>2.45876785746908</v>
      </c>
      <c r="I933" s="38" t="n">
        <f aca="false">Sens!$I$971</f>
        <v>2.10589651022864</v>
      </c>
      <c r="J933" s="38" t="n">
        <f aca="false">Sens!$J$971</f>
        <v>2.10589651022864</v>
      </c>
      <c r="K933" s="38" t="n">
        <f aca="false">Sens!$K$971</f>
        <v>2.10589651022864</v>
      </c>
      <c r="L933" s="38" t="n">
        <f aca="false">Sens!$L$971</f>
        <v>4.33095802413214</v>
      </c>
      <c r="M933" s="38" t="n">
        <f aca="false">Sens!$M$971</f>
        <v>9.2370225183246</v>
      </c>
    </row>
    <row r="934" customFormat="false" ht="17.15" hidden="false" customHeight="false" outlineLevel="0" collapsed="false">
      <c r="A934" s="5" t="s">
        <v>747</v>
      </c>
      <c r="B934" s="0" t="s">
        <v>86</v>
      </c>
      <c r="C934" s="38" t="n">
        <f aca="false">Q!$D$39</f>
        <v>2.427</v>
      </c>
      <c r="D934" s="38" t="n">
        <f aca="false">Q!$E$39</f>
        <v>19.61</v>
      </c>
      <c r="E934" s="38" t="n">
        <f aca="false">Q!$P$39</f>
        <v>71.492</v>
      </c>
      <c r="F934" s="39" t="n">
        <v>0</v>
      </c>
      <c r="G934" s="38" t="n">
        <f aca="false">Sens!$E$934+Sens!$F$934</f>
        <v>71.492</v>
      </c>
      <c r="H934" s="39" t="n">
        <v>0</v>
      </c>
      <c r="I934" s="39" t="n">
        <v>0</v>
      </c>
      <c r="J934" s="39" t="n">
        <v>0</v>
      </c>
      <c r="K934" s="39" t="n">
        <v>0</v>
      </c>
      <c r="L934" s="39" t="n">
        <v>0</v>
      </c>
      <c r="M934" s="39" t="n">
        <v>0</v>
      </c>
      <c r="N934" s="38" t="n">
        <f aca="false">Q!$N$39</f>
        <v>6.017</v>
      </c>
      <c r="O934" s="38" t="n">
        <f aca="false">Q!$O$39</f>
        <v>13.593</v>
      </c>
      <c r="P934" s="5" t="s">
        <v>748</v>
      </c>
    </row>
    <row r="935" customFormat="false" ht="15" hidden="false" customHeight="false" outlineLevel="0" collapsed="false">
      <c r="A935" s="5" t="s">
        <v>544</v>
      </c>
      <c r="B935" s="0" t="s">
        <v>86</v>
      </c>
      <c r="C935" s="38" t="n">
        <f aca="false">Q!$D$36</f>
        <v>68.614</v>
      </c>
      <c r="D935" s="38" t="n">
        <f aca="false">Q!$E$36</f>
        <v>97.311</v>
      </c>
      <c r="E935" s="38" t="n">
        <f aca="false">Q!$P$36</f>
        <v>120.691</v>
      </c>
      <c r="F935" s="38" t="n">
        <f aca="false">Sens!$F$911-Sens!$F$932+Sens!$F$933+Sens!$F$934</f>
        <v>55.8756379563037</v>
      </c>
      <c r="G935" s="38" t="n">
        <f aca="false">Sens!$E$935+Sens!$F$935</f>
        <v>176.566637956304</v>
      </c>
      <c r="H935" s="38" t="n">
        <f aca="false">Sens!$H$911-Sens!$H$932+Sens!$H$933+Sens!$H$934</f>
        <v>115.254772318625</v>
      </c>
      <c r="I935" s="38" t="n">
        <f aca="false">Sens!$I$911-Sens!$I$932+Sens!$I$933+Sens!$I$934</f>
        <v>115.490642916135</v>
      </c>
      <c r="J935" s="38" t="n">
        <f aca="false">Sens!$J$911-Sens!$J$932+Sens!$J$933+Sens!$J$934</f>
        <v>115.630852919516</v>
      </c>
      <c r="K935" s="38" t="n">
        <f aca="false">Sens!$K$911-Sens!$K$932+Sens!$K$933+Sens!$K$934</f>
        <v>111.250915944794</v>
      </c>
      <c r="L935" s="38" t="n">
        <f aca="false">Sens!$L$911-Sens!$L$932+Sens!$L$933+Sens!$L$934</f>
        <v>117.215278240626</v>
      </c>
      <c r="M935" s="38" t="n">
        <f aca="false">Sens!$M$911-Sens!$M$932+Sens!$M$933+Sens!$M$934</f>
        <v>127.495301034663</v>
      </c>
      <c r="N935" s="38" t="n">
        <f aca="false">Q!$N$36</f>
        <v>42.536</v>
      </c>
      <c r="O935" s="38" t="n">
        <f aca="false">Q!$O$36</f>
        <v>54.775</v>
      </c>
    </row>
    <row r="936" customFormat="false" ht="15" hidden="false" customHeight="false" outlineLevel="0" collapsed="false">
      <c r="A936" s="5" t="s">
        <v>545</v>
      </c>
      <c r="B936" s="0" t="s">
        <v>86</v>
      </c>
      <c r="C936" s="38" t="n">
        <f aca="false">Q!$D$37</f>
        <v>9.265</v>
      </c>
      <c r="D936" s="38" t="n">
        <f aca="false">Q!$E$37</f>
        <v>19.087</v>
      </c>
      <c r="E936" s="38" t="n">
        <f aca="false">Q!$P$37</f>
        <v>27.759</v>
      </c>
      <c r="F936" s="38" t="n">
        <f aca="false">Sens!$F$935*tax</f>
        <v>9.69914616429281</v>
      </c>
      <c r="G936" s="38" t="n">
        <f aca="false">Sens!$E$936+Sens!$F$936</f>
        <v>37.4581461642928</v>
      </c>
      <c r="H936" s="38" t="n">
        <f aca="false">Sens!$H$935*tax</f>
        <v>20.0064450937427</v>
      </c>
      <c r="I936" s="38" t="n">
        <f aca="false">Sens!$I$935*tax</f>
        <v>20.0473885797553</v>
      </c>
      <c r="J936" s="38" t="n">
        <f aca="false">Sens!$J$935*tax</f>
        <v>20.0717268668197</v>
      </c>
      <c r="K936" s="38" t="n">
        <f aca="false">Sens!$K$935*tax</f>
        <v>19.3114375804326</v>
      </c>
      <c r="L936" s="38" t="n">
        <f aca="false">Sens!$L$935*tax</f>
        <v>20.346758586151</v>
      </c>
      <c r="M936" s="38" t="n">
        <f aca="false">Sens!$M$935*tax</f>
        <v>22.1312114765072</v>
      </c>
      <c r="N936" s="38" t="n">
        <f aca="false">Q!$N$37</f>
        <v>7.231</v>
      </c>
      <c r="O936" s="38" t="n">
        <f aca="false">Q!$O$37</f>
        <v>11.856</v>
      </c>
    </row>
    <row r="937" customFormat="false" ht="15" hidden="false" customHeight="false" outlineLevel="0" collapsed="false">
      <c r="A937" s="3" t="s">
        <v>546</v>
      </c>
      <c r="B937" s="8" t="s">
        <v>86</v>
      </c>
      <c r="C937" s="38" t="n">
        <f aca="false">Q!$D$38</f>
        <v>59.248</v>
      </c>
      <c r="D937" s="38" t="n">
        <f aca="false">Q!$E$38</f>
        <v>77.67</v>
      </c>
      <c r="E937" s="38" t="n">
        <f aca="false">Q!$P$38</f>
        <v>92.902</v>
      </c>
      <c r="F937" s="38" t="n">
        <f aca="false">Sens!$F$935-Sens!$F$936</f>
        <v>46.1764917920109</v>
      </c>
      <c r="G937" s="38" t="n">
        <f aca="false">Sens!$E$937+Sens!$F$937</f>
        <v>139.078491792011</v>
      </c>
      <c r="H937" s="38" t="n">
        <f aca="false">Sens!$H$935-Sens!$H$936</f>
        <v>95.2483272248825</v>
      </c>
      <c r="I937" s="38" t="n">
        <f aca="false">Sens!$I$935-Sens!$I$936</f>
        <v>95.4432543363801</v>
      </c>
      <c r="J937" s="38" t="n">
        <f aca="false">Sens!$J$935-Sens!$J$936</f>
        <v>95.5591260526964</v>
      </c>
      <c r="K937" s="38" t="n">
        <f aca="false">Sens!$K$935-Sens!$K$936</f>
        <v>91.9394783643612</v>
      </c>
      <c r="L937" s="38" t="n">
        <f aca="false">Sens!$L$935-Sens!$L$936</f>
        <v>96.8685196544755</v>
      </c>
      <c r="M937" s="38" t="n">
        <f aca="false">Sens!$M$935-Sens!$M$936</f>
        <v>105.364089558156</v>
      </c>
      <c r="N937" s="38" t="n">
        <f aca="false">Q!$N$38</f>
        <v>35.291</v>
      </c>
      <c r="O937" s="38" t="n">
        <f aca="false">Q!$O$38</f>
        <v>42.379</v>
      </c>
    </row>
    <row r="938" customFormat="false" ht="17.15" hidden="false" customHeight="false" outlineLevel="0" collapsed="false">
      <c r="A938" s="5" t="s">
        <v>549</v>
      </c>
      <c r="B938" s="5" t="s">
        <v>33</v>
      </c>
      <c r="C938" s="22" t="n">
        <f aca="false">Q!$D$41</f>
        <v>10.721</v>
      </c>
      <c r="D938" s="22" t="n">
        <f aca="false">Q!$E$41</f>
        <v>10.827</v>
      </c>
      <c r="E938" s="22" t="n">
        <f aca="false">(Q!$L$41+Q!$M$41)/2</f>
        <v>10.8885</v>
      </c>
      <c r="F938" s="22" t="n">
        <f aca="false">Sens!$G$938</f>
        <v>10.924806</v>
      </c>
      <c r="G938" s="22" t="n">
        <f aca="false">Q!$M$41*(1+sh_g*0.25)</f>
        <v>10.924806</v>
      </c>
      <c r="H938" s="22" t="n">
        <f aca="false">Sens!$G$938*(1+sh_g)</f>
        <v>11.012204448</v>
      </c>
      <c r="I938" s="22" t="n">
        <f aca="false">Sens!$H$938*(1+sh_g)</f>
        <v>11.100302083584</v>
      </c>
      <c r="J938" s="22" t="n">
        <f aca="false">Sens!$I$938*(1+sh_g)</f>
        <v>11.1891045002527</v>
      </c>
      <c r="K938" s="22" t="n">
        <f aca="false">Sens!$J$938*(1+sh_g)</f>
        <v>11.2786173362547</v>
      </c>
      <c r="L938" s="22" t="n">
        <f aca="false">Sens!$K$938*(1+sh_g)</f>
        <v>11.3688462749447</v>
      </c>
      <c r="M938" s="22" t="n">
        <f aca="false">Sens!$L$938*(1+sh_g)</f>
        <v>11.4597970451443</v>
      </c>
      <c r="P938" s="5" t="s">
        <v>749</v>
      </c>
    </row>
    <row r="939" customFormat="false" ht="17.15" hidden="false" customHeight="false" outlineLevel="0" collapsed="false">
      <c r="A939" s="5" t="s">
        <v>750</v>
      </c>
      <c r="B939" s="0" t="s">
        <v>86</v>
      </c>
      <c r="C939" s="38" t="n">
        <f aca="false">Sens!$C$937+Sens!$C$913*(1-tax)</f>
        <v>59.248</v>
      </c>
      <c r="D939" s="38" t="n">
        <f aca="false">Sens!$D$937+Sens!$D$913*(1-tax)</f>
        <v>77.67</v>
      </c>
      <c r="E939" s="38" t="n">
        <f aca="false">Sens!$E$937+Sens!$E$913*(1-tax)</f>
        <v>92.902</v>
      </c>
      <c r="F939" s="38" t="n">
        <f aca="false">Sens!$F$937+Sens!$F$913*(1-tax)</f>
        <v>54.4874116844074</v>
      </c>
      <c r="G939" s="38" t="n">
        <f aca="false">Sens!$G$937+Sens!$G$913*(1-tax)</f>
        <v>147.389411684407</v>
      </c>
      <c r="H939" s="38" t="n">
        <f aca="false">Sens!$H$937+Sens!$H$913*(1-tax)</f>
        <v>128.665383105802</v>
      </c>
      <c r="I939" s="38" t="n">
        <f aca="false">Sens!$I$937+Sens!$I$913*(1-tax)</f>
        <v>151.819961202885</v>
      </c>
      <c r="J939" s="38" t="n">
        <f aca="false">Sens!$J$937+Sens!$J$913*(1-tax)</f>
        <v>174.997624570786</v>
      </c>
      <c r="K939" s="38" t="n">
        <f aca="false">Sens!$K$937+Sens!$K$913*(1-tax)</f>
        <v>191.052293555452</v>
      </c>
      <c r="L939" s="38" t="n">
        <f aca="false">Sens!$L$937+Sens!$L$913*(1-tax)</f>
        <v>208.911392562623</v>
      </c>
      <c r="M939" s="38" t="n">
        <f aca="false">Sens!$M$937+Sens!$M$913*(1-tax)</f>
        <v>223.576148733731</v>
      </c>
      <c r="N939" s="38" t="n">
        <f aca="false">Sens!$N$937+Sens!$N$913*(1-tax)</f>
        <v>35.291</v>
      </c>
      <c r="O939" s="38" t="n">
        <f aca="false">Sens!$O$937+Sens!$O$913*(1-tax)</f>
        <v>42.379</v>
      </c>
    </row>
    <row r="940" customFormat="false" ht="17.15" hidden="false" customHeight="false" outlineLevel="0" collapsed="false">
      <c r="A940" s="43" t="s">
        <v>751</v>
      </c>
      <c r="B940" s="14" t="s">
        <v>27</v>
      </c>
      <c r="C940" s="44" t="n">
        <f aca="false">Sens!$C$939/Sens!$C$938</f>
        <v>5.52635015390355</v>
      </c>
      <c r="D940" s="44" t="n">
        <f aca="false">Sens!$D$939/Sens!$D$938</f>
        <v>7.1737323358271</v>
      </c>
      <c r="E940" s="44" t="n">
        <f aca="false">Sens!$E$939/Sens!$E$938</f>
        <v>8.53212104513937</v>
      </c>
      <c r="F940" s="14"/>
      <c r="G940" s="44" t="n">
        <f aca="false">Sens!$G$939/Sens!$G$938</f>
        <v>13.491261234699</v>
      </c>
      <c r="H940" s="44" t="n">
        <f aca="false">Sens!$H$939/Sens!$H$938</f>
        <v>11.6838897891302</v>
      </c>
      <c r="I940" s="44" t="n">
        <f aca="false">Sens!$I$939/Sens!$I$938</f>
        <v>13.6771017635104</v>
      </c>
      <c r="J940" s="44" t="n">
        <f aca="false">Sens!$J$939/Sens!$J$938</f>
        <v>15.6400026978776</v>
      </c>
      <c r="K940" s="44" t="n">
        <f aca="false">Sens!$K$939/Sens!$K$938</f>
        <v>16.9393364327843</v>
      </c>
      <c r="L940" s="44" t="n">
        <f aca="false">Sens!$L$939/Sens!$L$938</f>
        <v>18.3757777623428</v>
      </c>
      <c r="M940" s="44" t="n">
        <f aca="false">Sens!$M$939/Sens!$M$938</f>
        <v>19.5096080543995</v>
      </c>
      <c r="N940" s="14"/>
      <c r="O940" s="14"/>
    </row>
    <row r="941" customFormat="false" ht="17.15" hidden="false" customHeight="false" outlineLevel="0" collapsed="false">
      <c r="A941" s="0" t="s">
        <v>752</v>
      </c>
      <c r="B941" s="0" t="s">
        <v>27</v>
      </c>
      <c r="C941" s="30" t="n">
        <f aca="false">Sens!$C$937/Sens!$C$938</f>
        <v>5.52635015390355</v>
      </c>
      <c r="D941" s="30" t="n">
        <f aca="false">Sens!$D$937/Sens!$D$938</f>
        <v>7.1737323358271</v>
      </c>
      <c r="E941" s="30" t="n">
        <f aca="false">Sens!$E$937/Sens!$E$938</f>
        <v>8.53212104513937</v>
      </c>
      <c r="G941" s="30" t="n">
        <f aca="false">Sens!$G$937/Sens!$G$938</f>
        <v>12.7305227929916</v>
      </c>
      <c r="H941" s="30" t="n">
        <f aca="false">Sens!$H$937/Sens!$H$938</f>
        <v>8.64934243408286</v>
      </c>
      <c r="I941" s="30" t="n">
        <f aca="false">Sens!$I$937/Sens!$I$938</f>
        <v>8.59825738233999</v>
      </c>
      <c r="J941" s="30" t="n">
        <f aca="false">Sens!$J$937/Sens!$J$938</f>
        <v>8.54037300755735</v>
      </c>
      <c r="K941" s="30" t="n">
        <f aca="false">Sens!$K$937/Sens!$K$938</f>
        <v>8.15166217837936</v>
      </c>
      <c r="L941" s="30" t="n">
        <f aca="false">Sens!$L$937/Sens!$L$938</f>
        <v>8.52052330656977</v>
      </c>
      <c r="M941" s="30" t="n">
        <f aca="false">Sens!$M$937/Sens!$M$938</f>
        <v>9.19423696101149</v>
      </c>
    </row>
    <row r="942" customFormat="false" ht="17.15" hidden="false" customHeight="false" outlineLevel="0" collapsed="false">
      <c r="A942" s="0" t="s">
        <v>753</v>
      </c>
      <c r="B942" s="0" t="s">
        <v>27</v>
      </c>
      <c r="C942" s="30" t="n">
        <f aca="false">(Sens!$C$937-Sens!$C$934*(1-tax))/Sens!$C$938</f>
        <v>5.33926775917445</v>
      </c>
      <c r="D942" s="30" t="n">
        <f aca="false">(Sens!$D$937-Sens!$D$934*(1-tax))/Sens!$D$938</f>
        <v>5.67691812755503</v>
      </c>
      <c r="E942" s="30" t="n">
        <f aca="false">(Sens!$E$937-Sens!$E$934*(1-tax))/Sens!$E$938</f>
        <v>3.10602057006846</v>
      </c>
      <c r="G942" s="30" t="n">
        <f aca="false">(Sens!$G$937-Sens!$G$934*(1-tax))/Sens!$G$938</f>
        <v>7.32245467509458</v>
      </c>
      <c r="H942" s="30" t="n">
        <f aca="false">(Sens!$H$937-Sens!$H$934*(1-tax))/Sens!$H$938</f>
        <v>8.64934243408286</v>
      </c>
      <c r="I942" s="30" t="n">
        <f aca="false">(Sens!$I$937-Sens!$I$934*(1-tax))/Sens!$I$938</f>
        <v>8.59825738233999</v>
      </c>
      <c r="J942" s="30" t="n">
        <f aca="false">(Sens!$J$937-Sens!$J$934*(1-tax))/Sens!$J$938</f>
        <v>8.54037300755735</v>
      </c>
      <c r="K942" s="30" t="n">
        <f aca="false">(Sens!$K$937-Sens!$K$934*(1-tax))/Sens!$K$938</f>
        <v>8.15166217837936</v>
      </c>
      <c r="L942" s="30" t="n">
        <f aca="false">(Sens!$L$937-Sens!$L$934*(1-tax))/Sens!$L$938</f>
        <v>8.52052330656977</v>
      </c>
      <c r="M942" s="30" t="n">
        <f aca="false">(Sens!$M$937-Sens!$M$934*(1-tax))/Sens!$M$938</f>
        <v>9.19423696101149</v>
      </c>
      <c r="P942" s="5" t="s">
        <v>754</v>
      </c>
    </row>
    <row r="943" customFormat="false" ht="17.15" hidden="false" customHeight="false" outlineLevel="0" collapsed="false">
      <c r="A943" s="0" t="s">
        <v>755</v>
      </c>
      <c r="B943" s="0" t="s">
        <v>52</v>
      </c>
      <c r="H943" s="13" t="n">
        <f aca="false">Sens!$H$940/Sens!$G$940-1</f>
        <v>-0.133966084721589</v>
      </c>
      <c r="I943" s="13" t="n">
        <f aca="false">Sens!$I$940/Sens!$H$940-1</f>
        <v>0.170594896935304</v>
      </c>
      <c r="J943" s="13" t="n">
        <f aca="false">Sens!$J$940/Sens!$I$940-1</f>
        <v>0.143517315898321</v>
      </c>
      <c r="K943" s="13" t="n">
        <f aca="false">Sens!$K$940/Sens!$J$940-1</f>
        <v>0.0830775902029115</v>
      </c>
      <c r="L943" s="13" t="n">
        <f aca="false">Sens!$L$940/Sens!$K$940-1</f>
        <v>0.0847991499111152</v>
      </c>
      <c r="M943" s="13" t="n">
        <f aca="false">Sens!$M$940/Sens!$L$940-1</f>
        <v>0.0617024382162616</v>
      </c>
    </row>
    <row r="946" customFormat="false" ht="19.4" hidden="false" customHeight="false" outlineLevel="0" collapsed="false">
      <c r="A946" s="31" t="s">
        <v>1145</v>
      </c>
    </row>
    <row r="947" customFormat="false" ht="17.15" hidden="false" customHeight="false" outlineLevel="0" collapsed="false">
      <c r="A947" s="6" t="s">
        <v>16</v>
      </c>
      <c r="B947" s="6" t="s">
        <v>17</v>
      </c>
      <c r="C947" s="20" t="s">
        <v>494</v>
      </c>
      <c r="D947" s="20" t="s">
        <v>495</v>
      </c>
      <c r="E947" s="20" t="s">
        <v>577</v>
      </c>
      <c r="F947" s="20" t="s">
        <v>578</v>
      </c>
      <c r="G947" s="20" t="s">
        <v>579</v>
      </c>
      <c r="H947" s="20" t="s">
        <v>580</v>
      </c>
      <c r="I947" s="20" t="s">
        <v>581</v>
      </c>
      <c r="J947" s="20" t="s">
        <v>582</v>
      </c>
      <c r="K947" s="20" t="s">
        <v>583</v>
      </c>
      <c r="L947" s="20" t="s">
        <v>584</v>
      </c>
      <c r="M947" s="20" t="s">
        <v>585</v>
      </c>
      <c r="N947" s="20" t="s">
        <v>586</v>
      </c>
      <c r="O947" s="20" t="s">
        <v>587</v>
      </c>
      <c r="P947" s="6" t="s">
        <v>23</v>
      </c>
      <c r="R947" s="20" t="n">
        <v>2023</v>
      </c>
      <c r="S947" s="20" t="n">
        <v>2024</v>
      </c>
      <c r="T947" s="20" t="n">
        <v>2025</v>
      </c>
      <c r="U947" s="20" t="n">
        <v>2026</v>
      </c>
      <c r="V947" s="20" t="n">
        <v>2027</v>
      </c>
      <c r="W947" s="20" t="n">
        <v>2028</v>
      </c>
      <c r="X947" s="20" t="n">
        <v>2029</v>
      </c>
      <c r="Y947" s="20" t="n">
        <v>2030</v>
      </c>
      <c r="Z947" s="20" t="n">
        <v>2031</v>
      </c>
      <c r="AA947" s="20" t="n">
        <v>2032</v>
      </c>
    </row>
    <row r="948" customFormat="false" ht="15" hidden="false" customHeight="false" outlineLevel="0" collapsed="false">
      <c r="A948" s="5" t="s">
        <v>546</v>
      </c>
      <c r="B948" s="0" t="s">
        <v>86</v>
      </c>
      <c r="C948" s="38" t="n">
        <f aca="false">Sens!$C$937</f>
        <v>59.248</v>
      </c>
      <c r="D948" s="38" t="n">
        <f aca="false">Sens!$D$937</f>
        <v>77.67</v>
      </c>
      <c r="E948" s="38" t="n">
        <f aca="false">Sens!$E$937</f>
        <v>92.902</v>
      </c>
      <c r="F948" s="38" t="n">
        <f aca="false">Sens!$F$937</f>
        <v>46.1764917920109</v>
      </c>
      <c r="G948" s="38" t="n">
        <f aca="false">Sens!$G$937</f>
        <v>139.078491792011</v>
      </c>
      <c r="H948" s="38" t="n">
        <f aca="false">Sens!$H$937</f>
        <v>95.2483272248825</v>
      </c>
      <c r="I948" s="38" t="n">
        <f aca="false">Sens!$I$937</f>
        <v>95.4432543363801</v>
      </c>
      <c r="J948" s="38" t="n">
        <f aca="false">Sens!$J$937</f>
        <v>95.5591260526964</v>
      </c>
      <c r="K948" s="38" t="n">
        <f aca="false">Sens!$K$937</f>
        <v>91.9394783643612</v>
      </c>
      <c r="L948" s="38" t="n">
        <f aca="false">Sens!$L$937</f>
        <v>96.8685196544755</v>
      </c>
      <c r="M948" s="38" t="n">
        <f aca="false">Sens!$M$937</f>
        <v>105.364089558156</v>
      </c>
    </row>
    <row r="949" customFormat="false" ht="17.15" hidden="false" customHeight="false" outlineLevel="0" collapsed="false">
      <c r="A949" s="5" t="s">
        <v>778</v>
      </c>
      <c r="B949" s="0" t="s">
        <v>86</v>
      </c>
      <c r="C949" s="38" t="n">
        <f aca="false">Sens!$C$925</f>
        <v>32.067</v>
      </c>
      <c r="D949" s="38" t="n">
        <f aca="false">Sens!$D$925</f>
        <v>41.86</v>
      </c>
      <c r="E949" s="38" t="n">
        <f aca="false">Sens!$E$925</f>
        <v>26.703</v>
      </c>
      <c r="F949" s="38" t="n">
        <f aca="false">Sens!$F$925</f>
        <v>29.2946166299506</v>
      </c>
      <c r="G949" s="38" t="n">
        <f aca="false">Sens!$G$925</f>
        <v>55.9976166299506</v>
      </c>
      <c r="H949" s="38" t="n">
        <f aca="false">Sens!$H$925</f>
        <v>88.8518829971302</v>
      </c>
      <c r="I949" s="38" t="n">
        <f aca="false">Sens!$I$925</f>
        <v>130.841033191438</v>
      </c>
      <c r="J949" s="38" t="n">
        <f aca="false">Sens!$J$925</f>
        <v>173.903791320335</v>
      </c>
      <c r="K949" s="38" t="n">
        <f aca="false">Sens!$K$925</f>
        <v>217.489125095528</v>
      </c>
      <c r="L949" s="38" t="n">
        <f aca="false">Sens!$L$925</f>
        <v>248.456889265952</v>
      </c>
      <c r="M949" s="38" t="n">
        <f aca="false">Sens!$M$925</f>
        <v>271.316086558991</v>
      </c>
    </row>
    <row r="950" customFormat="false" ht="15" hidden="false" customHeight="false" outlineLevel="0" collapsed="false">
      <c r="A950" s="5" t="s">
        <v>779</v>
      </c>
      <c r="B950" s="0" t="s">
        <v>86</v>
      </c>
      <c r="C950" s="38" t="n">
        <f aca="false">Q!$D$48</f>
        <v>22.011</v>
      </c>
      <c r="D950" s="38" t="n">
        <f aca="false">Q!$E$48</f>
        <v>19.467</v>
      </c>
      <c r="E950" s="38" t="n">
        <f aca="false">Q!$P$48</f>
        <v>10.07</v>
      </c>
      <c r="F950" s="38" t="n">
        <f aca="false">sbc_r*Sens!$F$867</f>
        <v>10.8507035798037</v>
      </c>
      <c r="G950" s="38" t="n">
        <f aca="false">Sens!$E$950+Sens!$F$950</f>
        <v>20.9207035798037</v>
      </c>
      <c r="H950" s="38" t="n">
        <f aca="false">sbc_r*Sens!$H$867</f>
        <v>23.46224366345</v>
      </c>
      <c r="I950" s="38" t="n">
        <f aca="false">sbc_r*Sens!$I$867</f>
        <v>26.6125957111676</v>
      </c>
      <c r="J950" s="38" t="n">
        <f aca="false">sbc_r*Sens!$J$867</f>
        <v>29.6280801413323</v>
      </c>
      <c r="K950" s="38" t="n">
        <f aca="false">sbc_r*Sens!$K$867</f>
        <v>32.2712258901105</v>
      </c>
      <c r="L950" s="38" t="n">
        <f aca="false">sbc_r*Sens!$L$867</f>
        <v>34.7390505016737</v>
      </c>
      <c r="M950" s="38" t="n">
        <f aca="false">sbc_r*Sens!$M$867</f>
        <v>37.0405146906692</v>
      </c>
    </row>
    <row r="951" customFormat="false" ht="17.15" hidden="false" customHeight="false" outlineLevel="0" collapsed="false">
      <c r="A951" s="5" t="s">
        <v>780</v>
      </c>
      <c r="B951" s="0" t="s">
        <v>86</v>
      </c>
      <c r="C951" s="38" t="n">
        <f aca="false">Q!$D$44-Sens!$C$948-Sens!$C$949-Sens!$C$950</f>
        <v>2.551</v>
      </c>
      <c r="D951" s="38" t="n">
        <f aca="false">Q!$E$44-Sens!$D$948-Sens!$D$949-Sens!$D$950</f>
        <v>0.51700000000001</v>
      </c>
      <c r="E951" s="38" t="n">
        <f aca="false">Q!$P$44-Sens!$E$948-Sens!$E$949-Sens!$E$950</f>
        <v>-58.256</v>
      </c>
      <c r="F951" s="38" t="n">
        <f aca="false">oth_r*Sens!$F$867</f>
        <v>5.22265251035878</v>
      </c>
      <c r="G951" s="38" t="n">
        <f aca="false">Sens!$E$951+Sens!$F$951</f>
        <v>-53.0333474896412</v>
      </c>
      <c r="H951" s="38" t="n">
        <f aca="false">oth_r*Sens!$H$867</f>
        <v>11.2928295263397</v>
      </c>
      <c r="I951" s="38" t="n">
        <f aca="false">oth_r*Sens!$I$867</f>
        <v>12.8091546115766</v>
      </c>
      <c r="J951" s="38" t="n">
        <f aca="false">oth_r*Sens!$J$867</f>
        <v>14.2605653162668</v>
      </c>
      <c r="K951" s="38" t="n">
        <f aca="false">oth_r*Sens!$K$867</f>
        <v>15.5327622460396</v>
      </c>
      <c r="L951" s="38" t="n">
        <f aca="false">oth_r*Sens!$L$867</f>
        <v>16.720573737517</v>
      </c>
      <c r="M951" s="38" t="n">
        <f aca="false">oth_r*Sens!$M$867</f>
        <v>17.8283127551536</v>
      </c>
      <c r="P951" s="8" t="s">
        <v>781</v>
      </c>
    </row>
    <row r="952" customFormat="false" ht="15" hidden="false" customHeight="false" outlineLevel="0" collapsed="false">
      <c r="A952" s="3" t="s">
        <v>552</v>
      </c>
      <c r="B952" s="8" t="s">
        <v>86</v>
      </c>
      <c r="C952" s="38" t="n">
        <f aca="false">Q!$D$44</f>
        <v>115.877</v>
      </c>
      <c r="D952" s="38" t="n">
        <f aca="false">Q!$E$44</f>
        <v>139.514</v>
      </c>
      <c r="E952" s="38" t="n">
        <f aca="false">Q!$P$44</f>
        <v>71.419</v>
      </c>
      <c r="F952" s="38" t="n">
        <f aca="false">Sens!$F$948+Sens!$F$949+Sens!$F$950+Sens!$F$951</f>
        <v>91.544464512124</v>
      </c>
      <c r="G952" s="38" t="n">
        <f aca="false">Sens!$E$952+Sens!$F$952</f>
        <v>162.963464512124</v>
      </c>
      <c r="H952" s="38" t="n">
        <f aca="false">Sens!$H$948+Sens!$H$949+Sens!$H$950+Sens!$H$951</f>
        <v>218.855283411802</v>
      </c>
      <c r="I952" s="38" t="n">
        <f aca="false">Sens!$I$948+Sens!$I$949+Sens!$I$950+Sens!$I$951</f>
        <v>265.706037850562</v>
      </c>
      <c r="J952" s="38" t="n">
        <f aca="false">Sens!$J$948+Sens!$J$949+Sens!$J$950+Sens!$J$951</f>
        <v>313.351562830631</v>
      </c>
      <c r="K952" s="38" t="n">
        <f aca="false">Sens!$K$948+Sens!$K$949+Sens!$K$950+Sens!$K$951</f>
        <v>357.232591596039</v>
      </c>
      <c r="L952" s="38" t="n">
        <f aca="false">Sens!$L$948+Sens!$L$949+Sens!$L$950+Sens!$L$951</f>
        <v>396.785033159618</v>
      </c>
      <c r="M952" s="38" t="n">
        <f aca="false">Sens!$M$948+Sens!$M$949+Sens!$M$950+Sens!$M$951</f>
        <v>431.54900356297</v>
      </c>
    </row>
    <row r="953" customFormat="false" ht="17.15" hidden="false" customHeight="false" outlineLevel="0" collapsed="false">
      <c r="A953" s="5" t="s">
        <v>782</v>
      </c>
      <c r="B953" s="0" t="s">
        <v>86</v>
      </c>
      <c r="C953" s="38" t="n">
        <f aca="false">Sens!$C$836</f>
        <v>25.2781053077374</v>
      </c>
      <c r="D953" s="38" t="n">
        <f aca="false">Sens!$D$836</f>
        <v>69.5686316310026</v>
      </c>
      <c r="E953" s="38" t="n">
        <f aca="false">Sens!$E$836</f>
        <v>64.1899206485108</v>
      </c>
      <c r="F953" s="38" t="n">
        <f aca="false">Sens!$F$836</f>
        <v>128.330839986</v>
      </c>
      <c r="G953" s="38" t="n">
        <f aca="false">Sens!$G$836</f>
        <v>192.520760634511</v>
      </c>
      <c r="H953" s="38" t="n">
        <f aca="false">Sens!$H$836</f>
        <v>264.761819926333</v>
      </c>
      <c r="I953" s="38" t="n">
        <f aca="false">Sens!$I$836</f>
        <v>272.861959880667</v>
      </c>
      <c r="J953" s="38" t="n">
        <f aca="false">Sens!$J$836</f>
        <v>279.844317480667</v>
      </c>
      <c r="K953" s="38" t="n">
        <f aca="false">Sens!$K$836</f>
        <v>206.984513700268</v>
      </c>
      <c r="L953" s="38" t="n">
        <f aca="false">Sens!$L$836</f>
        <v>176.018855519869</v>
      </c>
      <c r="M953" s="38" t="n">
        <f aca="false">Sens!$M$836</f>
        <v>176.30797554647</v>
      </c>
    </row>
    <row r="954" customFormat="false" ht="17.15" hidden="false" customHeight="false" outlineLevel="0" collapsed="false">
      <c r="A954" s="5" t="s">
        <v>783</v>
      </c>
      <c r="B954" s="0" t="s">
        <v>86</v>
      </c>
      <c r="C954" s="38" t="n">
        <f aca="false">cx_awso*Sens!$C$865</f>
        <v>21.0469989286053</v>
      </c>
      <c r="D954" s="38" t="n">
        <f aca="false">cx_awso*Sens!$D$865</f>
        <v>24.0042459822698</v>
      </c>
      <c r="E954" s="38" t="n">
        <f aca="false">cx_awso*Sens!$E$865</f>
        <v>14.261729404886</v>
      </c>
      <c r="F954" s="38" t="n">
        <f aca="false">cx_awso*Sens!$F$865</f>
        <v>14.3538599588493</v>
      </c>
      <c r="G954" s="38" t="n">
        <f aca="false">Sens!$E$954+Sens!$F$954</f>
        <v>28.6155893637353</v>
      </c>
      <c r="H954" s="38" t="n">
        <f aca="false">cx_awso*Sens!$H$865</f>
        <v>32.2034154158406</v>
      </c>
      <c r="I954" s="38" t="n">
        <f aca="false">cx_awso*Sens!$I$865</f>
        <v>35.7539519042915</v>
      </c>
      <c r="J954" s="38" t="n">
        <f aca="false">cx_awso*Sens!$J$865</f>
        <v>39.1551076091815</v>
      </c>
      <c r="K954" s="38" t="n">
        <f aca="false">cx_awso*Sens!$K$865</f>
        <v>42.287516217916</v>
      </c>
      <c r="L954" s="38" t="n">
        <f aca="false">cx_awso*Sens!$L$865</f>
        <v>45.6705175153492</v>
      </c>
      <c r="M954" s="38" t="n">
        <f aca="false">cx_awso*Sens!$M$865</f>
        <v>49.3241589165772</v>
      </c>
    </row>
    <row r="955" customFormat="false" ht="17.15" hidden="false" customHeight="false" outlineLevel="0" collapsed="false">
      <c r="A955" s="5" t="s">
        <v>784</v>
      </c>
      <c r="B955" s="0" t="s">
        <v>86</v>
      </c>
      <c r="C955" s="38" t="n">
        <f aca="false">Q!$D$46-Sens!$C$953-Sens!$C$954</f>
        <v>31.3328957636573</v>
      </c>
      <c r="D955" s="38" t="n">
        <f aca="false">Q!$E$46-Sens!$D$953-Sens!$D$954</f>
        <v>34.7471223867276</v>
      </c>
      <c r="E955" s="38" t="n">
        <f aca="false">Q!$P$46-Sens!$E$953-Sens!$E$954</f>
        <v>17.8583499466032</v>
      </c>
      <c r="F955" s="38" t="n">
        <f aca="false">cx_rt*Sens!$F$799</f>
        <v>20.6195895799373</v>
      </c>
      <c r="G955" s="38" t="n">
        <f aca="false">Sens!$E$955+Sens!$F$955</f>
        <v>38.4779395265405</v>
      </c>
      <c r="H955" s="38" t="n">
        <f aca="false">cx_rt*Sens!$H$799</f>
        <v>42.5978994743075</v>
      </c>
      <c r="I955" s="38" t="n">
        <f aca="false">cx_rt*Sens!$I$799</f>
        <v>46.5813904136335</v>
      </c>
      <c r="J955" s="38" t="n">
        <f aca="false">cx_rt*Sens!$J$799</f>
        <v>50.2781676586844</v>
      </c>
      <c r="K955" s="38" t="n">
        <f aca="false">cx_rt*Sens!$K$799</f>
        <v>53.5312440191755</v>
      </c>
      <c r="L955" s="38" t="n">
        <f aca="false">cx_rt*Sens!$L$799</f>
        <v>57.0116717051447</v>
      </c>
      <c r="M955" s="38" t="n">
        <f aca="false">cx_rt*Sens!$M$799</f>
        <v>60.7365554669226</v>
      </c>
    </row>
    <row r="956" customFormat="false" ht="15" hidden="false" customHeight="false" outlineLevel="0" collapsed="false">
      <c r="A956" s="3" t="s">
        <v>785</v>
      </c>
      <c r="B956" s="8" t="s">
        <v>86</v>
      </c>
      <c r="C956" s="38" t="n">
        <f aca="false">Q!$D$46</f>
        <v>77.658</v>
      </c>
      <c r="D956" s="38" t="n">
        <f aca="false">Q!$E$46</f>
        <v>128.32</v>
      </c>
      <c r="E956" s="38" t="n">
        <f aca="false">Q!$P$46</f>
        <v>96.31</v>
      </c>
      <c r="F956" s="38" t="n">
        <f aca="false">Sens!$F$953+Sens!$F$954+Sens!$F$955</f>
        <v>163.304289524787</v>
      </c>
      <c r="G956" s="38" t="n">
        <f aca="false">Sens!$E$956+Sens!$F$956</f>
        <v>259.614289524787</v>
      </c>
      <c r="H956" s="38" t="n">
        <f aca="false">Sens!$H$953+Sens!$H$954+Sens!$H$955</f>
        <v>339.563134816481</v>
      </c>
      <c r="I956" s="38" t="n">
        <f aca="false">Sens!$I$953+Sens!$I$954+Sens!$I$955</f>
        <v>355.197302198592</v>
      </c>
      <c r="J956" s="38" t="n">
        <f aca="false">Sens!$J$953+Sens!$J$954+Sens!$J$955</f>
        <v>369.277592748533</v>
      </c>
      <c r="K956" s="38" t="n">
        <f aca="false">Sens!$K$953+Sens!$K$954+Sens!$K$955</f>
        <v>302.803273937359</v>
      </c>
      <c r="L956" s="38" t="n">
        <f aca="false">Sens!$L$953+Sens!$L$954+Sens!$L$955</f>
        <v>278.701044740363</v>
      </c>
      <c r="M956" s="38" t="n">
        <f aca="false">Sens!$M$953+Sens!$M$954+Sens!$M$955</f>
        <v>286.36868992997</v>
      </c>
    </row>
    <row r="957" customFormat="false" ht="17.15" hidden="false" customHeight="false" outlineLevel="0" collapsed="false">
      <c r="A957" s="5" t="s">
        <v>560</v>
      </c>
      <c r="B957" s="0" t="s">
        <v>86</v>
      </c>
      <c r="C957" s="38" t="n">
        <f aca="false">Q!$D$50</f>
        <v>2.043</v>
      </c>
      <c r="D957" s="38" t="n">
        <f aca="false">Q!$E$50</f>
        <v>1.557</v>
      </c>
      <c r="E957" s="38" t="n">
        <f aca="false">lease_pr/2</f>
        <v>0.8</v>
      </c>
      <c r="F957" s="38" t="n">
        <f aca="false">lease_pr/2</f>
        <v>0.8</v>
      </c>
      <c r="G957" s="38" t="n">
        <f aca="false">Sens!$E$957+Sens!$F$957</f>
        <v>1.6</v>
      </c>
      <c r="H957" s="38" t="n">
        <f aca="false">lease_pr</f>
        <v>1.6</v>
      </c>
      <c r="I957" s="38" t="n">
        <f aca="false">lease_pr</f>
        <v>1.6</v>
      </c>
      <c r="J957" s="38" t="n">
        <f aca="false">lease_pr</f>
        <v>1.6</v>
      </c>
      <c r="K957" s="38" t="n">
        <f aca="false">lease_pr</f>
        <v>1.6</v>
      </c>
      <c r="L957" s="38" t="n">
        <f aca="false">lease_pr</f>
        <v>1.6</v>
      </c>
      <c r="M957" s="38" t="n">
        <f aca="false">lease_pr</f>
        <v>1.6</v>
      </c>
      <c r="P957" s="8" t="s">
        <v>786</v>
      </c>
    </row>
    <row r="958" customFormat="false" ht="15" hidden="false" customHeight="false" outlineLevel="0" collapsed="false">
      <c r="A958" s="47" t="s">
        <v>787</v>
      </c>
      <c r="B958" s="14" t="s">
        <v>86</v>
      </c>
      <c r="C958" s="48" t="n">
        <f aca="false">Sens!$C$952-Sens!$C$956-Sens!$C$957</f>
        <v>36.176</v>
      </c>
      <c r="D958" s="48" t="n">
        <f aca="false">Sens!$D$952-Sens!$D$956-Sens!$D$957</f>
        <v>9.63700000000002</v>
      </c>
      <c r="E958" s="48" t="n">
        <f aca="false">Sens!$E$952-Sens!$E$956-Sens!$E$957</f>
        <v>-25.691</v>
      </c>
      <c r="F958" s="48" t="n">
        <f aca="false">Sens!$F$952-Sens!$F$956-Sens!$F$957</f>
        <v>-72.5598250126626</v>
      </c>
      <c r="G958" s="48" t="n">
        <f aca="false">Sens!$G$952-Sens!$G$956-Sens!$G$957</f>
        <v>-98.2508250126626</v>
      </c>
      <c r="H958" s="48" t="n">
        <f aca="false">Sens!$H$952-Sens!$H$956-Sens!$H$957</f>
        <v>-122.307851404679</v>
      </c>
      <c r="I958" s="48" t="n">
        <f aca="false">Sens!$I$952-Sens!$I$956-Sens!$I$957</f>
        <v>-91.0912643480297</v>
      </c>
      <c r="J958" s="48" t="n">
        <f aca="false">Sens!$J$952-Sens!$J$956-Sens!$J$957</f>
        <v>-57.5260299179019</v>
      </c>
      <c r="K958" s="48" t="n">
        <f aca="false">Sens!$K$952-Sens!$K$956-Sens!$K$957</f>
        <v>52.8293176586801</v>
      </c>
      <c r="L958" s="48" t="n">
        <f aca="false">Sens!$L$952-Sens!$L$956-Sens!$L$957</f>
        <v>116.483988419255</v>
      </c>
      <c r="M958" s="48" t="n">
        <f aca="false">Sens!$M$952-Sens!$M$956-Sens!$M$957</f>
        <v>143.580313633</v>
      </c>
      <c r="N958" s="14"/>
      <c r="O958" s="14"/>
    </row>
    <row r="959" customFormat="false" ht="17.15" hidden="false" customHeight="false" outlineLevel="0" collapsed="false">
      <c r="A959" s="5" t="s">
        <v>788</v>
      </c>
      <c r="B959" s="0" t="s">
        <v>86</v>
      </c>
      <c r="C959" s="38" t="n">
        <f aca="false">dps*Sens!$C$938</f>
        <v>0</v>
      </c>
      <c r="D959" s="38" t="n">
        <f aca="false">dps*Sens!$D$938</f>
        <v>0</v>
      </c>
      <c r="E959" s="38" t="n">
        <f aca="false">dps*Sens!$E$938</f>
        <v>0</v>
      </c>
      <c r="F959" s="38" t="n">
        <f aca="false">0</f>
        <v>0</v>
      </c>
      <c r="G959" s="38" t="n">
        <f aca="false">dps*Sens!$G$938</f>
        <v>0</v>
      </c>
      <c r="H959" s="38" t="n">
        <f aca="false">dps*Sens!$H$938</f>
        <v>0</v>
      </c>
      <c r="I959" s="38" t="n">
        <f aca="false">dps*Sens!$I$938</f>
        <v>0</v>
      </c>
      <c r="J959" s="38" t="n">
        <f aca="false">dps*Sens!$J$938</f>
        <v>0</v>
      </c>
      <c r="K959" s="38" t="n">
        <f aca="false">dps*Sens!$K$938</f>
        <v>0</v>
      </c>
      <c r="L959" s="38" t="n">
        <f aca="false">dps*Sens!$L$938</f>
        <v>0</v>
      </c>
      <c r="M959" s="38" t="n">
        <f aca="false">dps*Sens!$M$938</f>
        <v>0</v>
      </c>
      <c r="P959" s="8" t="s">
        <v>789</v>
      </c>
    </row>
    <row r="960" customFormat="false" ht="17.15" hidden="false" customHeight="false" outlineLevel="0" collapsed="false">
      <c r="A960" s="5" t="s">
        <v>790</v>
      </c>
      <c r="B960" s="0" t="s">
        <v>86</v>
      </c>
      <c r="C960" s="38" t="n">
        <f aca="false">0</f>
        <v>0</v>
      </c>
      <c r="D960" s="38" t="n">
        <f aca="false">0</f>
        <v>0</v>
      </c>
      <c r="E960" s="38" t="n">
        <f aca="false">0</f>
        <v>0</v>
      </c>
      <c r="F960" s="38" t="n">
        <f aca="false">0</f>
        <v>0</v>
      </c>
      <c r="G960" s="38" t="n">
        <f aca="false">0</f>
        <v>0</v>
      </c>
      <c r="H960" s="38" t="n">
        <f aca="false">0</f>
        <v>0</v>
      </c>
      <c r="I960" s="38" t="n">
        <f aca="false">0</f>
        <v>0</v>
      </c>
      <c r="J960" s="38" t="n">
        <f aca="false">0</f>
        <v>0</v>
      </c>
      <c r="K960" s="38" t="n">
        <f aca="false">0</f>
        <v>0</v>
      </c>
      <c r="L960" s="38" t="n">
        <f aca="false">0</f>
        <v>0</v>
      </c>
      <c r="M960" s="38" t="n">
        <f aca="false">0</f>
        <v>0</v>
      </c>
      <c r="P960" s="8" t="s">
        <v>791</v>
      </c>
    </row>
    <row r="961" customFormat="false" ht="15" hidden="false" customHeight="false" outlineLevel="0" collapsed="false">
      <c r="A961" s="3" t="s">
        <v>792</v>
      </c>
      <c r="B961" s="8" t="s">
        <v>86</v>
      </c>
      <c r="C961" s="38" t="n">
        <f aca="false">Sens!$C$958-Sens!$C$959</f>
        <v>36.176</v>
      </c>
      <c r="D961" s="38" t="n">
        <f aca="false">Sens!$D$958-Sens!$D$959</f>
        <v>9.63700000000002</v>
      </c>
      <c r="E961" s="38" t="n">
        <f aca="false">Sens!$E$958-Sens!$E$959</f>
        <v>-25.691</v>
      </c>
      <c r="F961" s="38" t="n">
        <f aca="false">Sens!$F$958-Sens!$F$959</f>
        <v>-72.5598250126626</v>
      </c>
      <c r="G961" s="38" t="n">
        <f aca="false">Sens!$G$958-Sens!$G$959</f>
        <v>-98.2508250126626</v>
      </c>
      <c r="H961" s="38" t="n">
        <f aca="false">Sens!$H$958-Sens!$H$959</f>
        <v>-122.307851404679</v>
      </c>
      <c r="I961" s="38" t="n">
        <f aca="false">Sens!$I$958-Sens!$I$959</f>
        <v>-91.0912643480297</v>
      </c>
      <c r="J961" s="38" t="n">
        <f aca="false">Sens!$J$958-Sens!$J$959</f>
        <v>-57.5260299179019</v>
      </c>
      <c r="K961" s="38" t="n">
        <f aca="false">Sens!$K$958-Sens!$K$959</f>
        <v>52.8293176586801</v>
      </c>
      <c r="L961" s="38" t="n">
        <f aca="false">Sens!$L$958-Sens!$L$959</f>
        <v>116.483988419255</v>
      </c>
      <c r="M961" s="38" t="n">
        <f aca="false">Sens!$M$958-Sens!$M$959</f>
        <v>143.580313633</v>
      </c>
    </row>
    <row r="962" customFormat="false" ht="17.15" hidden="false" customHeight="false" outlineLevel="0" collapsed="false">
      <c r="A962" s="5" t="s">
        <v>793</v>
      </c>
      <c r="B962" s="0" t="s">
        <v>86</v>
      </c>
      <c r="E962" s="38" t="n">
        <f aca="false">Q!$P$53</f>
        <v>39.767</v>
      </c>
      <c r="F962" s="38" t="n">
        <f aca="false">inv_2h26</f>
        <v>21.3</v>
      </c>
      <c r="G962" s="38" t="n">
        <f aca="false">Sens!$E$962+Sens!$F$962</f>
        <v>61.067</v>
      </c>
      <c r="H962" s="39" t="n">
        <v>0</v>
      </c>
      <c r="I962" s="39" t="n">
        <v>0</v>
      </c>
      <c r="J962" s="39" t="n">
        <v>0</v>
      </c>
      <c r="K962" s="39" t="n">
        <v>0</v>
      </c>
      <c r="L962" s="39" t="n">
        <v>0</v>
      </c>
      <c r="M962" s="39" t="n">
        <v>0</v>
      </c>
    </row>
    <row r="963" customFormat="false" ht="17.15" hidden="false" customHeight="false" outlineLevel="0" collapsed="false">
      <c r="A963" s="5" t="s">
        <v>794</v>
      </c>
      <c r="B963" s="0" t="s">
        <v>86</v>
      </c>
      <c r="F963" s="38" t="n">
        <f aca="false">iss_2h26</f>
        <v>29.249999</v>
      </c>
      <c r="G963" s="38" t="n">
        <f aca="false">Sens!$F$963</f>
        <v>29.249999</v>
      </c>
      <c r="H963" s="39" t="n">
        <v>0</v>
      </c>
      <c r="I963" s="39" t="n">
        <v>0</v>
      </c>
      <c r="J963" s="39" t="n">
        <v>0</v>
      </c>
      <c r="K963" s="39" t="n">
        <v>0</v>
      </c>
      <c r="L963" s="39" t="n">
        <v>0</v>
      </c>
      <c r="M963" s="39" t="n">
        <v>0</v>
      </c>
    </row>
    <row r="964" customFormat="false" ht="17.15" hidden="false" customHeight="false" outlineLevel="0" collapsed="false">
      <c r="A964" s="5" t="s">
        <v>795</v>
      </c>
      <c r="B964" s="0" t="s">
        <v>86</v>
      </c>
      <c r="F964" s="38" t="n">
        <f aca="false">cash_q2</f>
        <v>122.988</v>
      </c>
      <c r="G964" s="38" t="n">
        <f aca="false">cash_q2</f>
        <v>122.988</v>
      </c>
      <c r="H964" s="38" t="n">
        <f aca="false">Sens!$G$967</f>
        <v>58.3781739873374</v>
      </c>
      <c r="I964" s="38" t="n">
        <f aca="false">Sens!$H$967</f>
        <v>50</v>
      </c>
      <c r="J964" s="38" t="n">
        <f aca="false">Sens!$I$967</f>
        <v>50</v>
      </c>
      <c r="K964" s="38" t="n">
        <f aca="false">Sens!$J$967</f>
        <v>50</v>
      </c>
      <c r="L964" s="38" t="n">
        <f aca="false">Sens!$K$967</f>
        <v>102.82931765868</v>
      </c>
      <c r="M964" s="38" t="n">
        <f aca="false">Sens!$L$967</f>
        <v>219.313306077936</v>
      </c>
    </row>
    <row r="965" customFormat="false" ht="15" hidden="false" customHeight="false" outlineLevel="0" collapsed="false">
      <c r="A965" s="5" t="s">
        <v>796</v>
      </c>
      <c r="B965" s="0" t="s">
        <v>86</v>
      </c>
      <c r="F965" s="38" t="n">
        <f aca="false">Sens!$F$964+Sens!$F$961-Sens!$F$960-Sens!$F$962+Sens!$F$963</f>
        <v>58.3781739873374</v>
      </c>
      <c r="H965" s="38" t="n">
        <f aca="false">Sens!$H$964+Sens!$H$961-Sens!$H$960-Sens!$H$962+Sens!$H$963</f>
        <v>-63.9296774173417</v>
      </c>
      <c r="I965" s="38" t="n">
        <f aca="false">Sens!$I$964+Sens!$I$961-Sens!$I$960-Sens!$I$962+Sens!$I$963</f>
        <v>-41.0912643480297</v>
      </c>
      <c r="J965" s="38" t="n">
        <f aca="false">Sens!$J$964+Sens!$J$961-Sens!$J$960-Sens!$J$962+Sens!$J$963</f>
        <v>-7.52602991790192</v>
      </c>
      <c r="K965" s="38" t="n">
        <f aca="false">Sens!$K$964+Sens!$K$961-Sens!$K$960-Sens!$K$962+Sens!$K$963</f>
        <v>102.82931765868</v>
      </c>
      <c r="L965" s="38" t="n">
        <f aca="false">Sens!$L$964+Sens!$L$961-Sens!$L$960-Sens!$L$962+Sens!$L$963</f>
        <v>219.313306077936</v>
      </c>
      <c r="M965" s="38" t="n">
        <f aca="false">Sens!$M$964+Sens!$M$961-Sens!$M$960-Sens!$M$962+Sens!$M$963</f>
        <v>362.893619710936</v>
      </c>
    </row>
    <row r="966" customFormat="false" ht="17.15" hidden="false" customHeight="false" outlineLevel="0" collapsed="false">
      <c r="A966" s="5" t="s">
        <v>797</v>
      </c>
      <c r="B966" s="0" t="s">
        <v>86</v>
      </c>
      <c r="F966" s="38" t="n">
        <f aca="false">MAX(0,min_cash-Sens!$F$965)</f>
        <v>0</v>
      </c>
      <c r="G966" s="38" t="n">
        <f aca="false">Sens!$F$966</f>
        <v>0</v>
      </c>
      <c r="H966" s="38" t="n">
        <f aca="false">MAX(0,min_cash-Sens!$H$965)</f>
        <v>113.929677417342</v>
      </c>
      <c r="I966" s="38" t="n">
        <f aca="false">MAX(0,min_cash-Sens!$I$965)</f>
        <v>91.0912643480297</v>
      </c>
      <c r="J966" s="38" t="n">
        <f aca="false">MAX(0,min_cash-Sens!$J$965)</f>
        <v>57.5260299179019</v>
      </c>
      <c r="K966" s="38" t="n">
        <f aca="false">MAX(0,min_cash-Sens!$K$965)</f>
        <v>0</v>
      </c>
      <c r="L966" s="38" t="n">
        <f aca="false">MAX(0,min_cash-Sens!$L$965)</f>
        <v>0</v>
      </c>
      <c r="M966" s="38" t="n">
        <f aca="false">MAX(0,min_cash-Sens!$M$965)</f>
        <v>0</v>
      </c>
      <c r="P966" s="5" t="s">
        <v>798</v>
      </c>
    </row>
    <row r="967" customFormat="false" ht="15" hidden="false" customHeight="false" outlineLevel="0" collapsed="false">
      <c r="A967" s="5" t="s">
        <v>799</v>
      </c>
      <c r="B967" s="0" t="s">
        <v>86</v>
      </c>
      <c r="D967" s="38" t="n">
        <f aca="false">Q!$E$61</f>
        <v>123.029</v>
      </c>
      <c r="E967" s="38" t="n">
        <f aca="false">Q!$M$61</f>
        <v>122.988</v>
      </c>
      <c r="F967" s="38" t="n">
        <f aca="false">Sens!$F$965+Sens!$F$966</f>
        <v>58.3781739873374</v>
      </c>
      <c r="G967" s="38" t="n">
        <f aca="false">Sens!$F$967</f>
        <v>58.3781739873374</v>
      </c>
      <c r="H967" s="38" t="n">
        <f aca="false">Sens!$H$965+Sens!$H$966</f>
        <v>50</v>
      </c>
      <c r="I967" s="38" t="n">
        <f aca="false">Sens!$I$965+Sens!$I$966</f>
        <v>50</v>
      </c>
      <c r="J967" s="38" t="n">
        <f aca="false">Sens!$J$965+Sens!$J$966</f>
        <v>50</v>
      </c>
      <c r="K967" s="38" t="n">
        <f aca="false">Sens!$K$965+Sens!$K$966</f>
        <v>102.82931765868</v>
      </c>
      <c r="L967" s="38" t="n">
        <f aca="false">Sens!$L$965+Sens!$L$966</f>
        <v>219.313306077936</v>
      </c>
      <c r="M967" s="38" t="n">
        <f aca="false">Sens!$M$965+Sens!$M$966</f>
        <v>362.893619710936</v>
      </c>
    </row>
    <row r="968" customFormat="false" ht="15" hidden="false" customHeight="false" outlineLevel="0" collapsed="false">
      <c r="A968" s="5" t="s">
        <v>800</v>
      </c>
      <c r="B968" s="0" t="s">
        <v>86</v>
      </c>
      <c r="D968" s="38" t="n">
        <f aca="false">Q!$E$62</f>
        <v>68.836</v>
      </c>
      <c r="E968" s="38" t="n">
        <f aca="false">Q!$M$62</f>
        <v>132.995</v>
      </c>
      <c r="F968" s="38" t="n">
        <f aca="false">debt_q2+Sens!$F$963+Sens!$F$966</f>
        <v>162.244999</v>
      </c>
      <c r="G968" s="38" t="n">
        <f aca="false">Sens!$F$968</f>
        <v>162.244999</v>
      </c>
      <c r="H968" s="38" t="n">
        <f aca="false">Sens!$G$968+Sens!$H$966</f>
        <v>276.174676417342</v>
      </c>
      <c r="I968" s="38" t="n">
        <f aca="false">Sens!$H$968+Sens!$I$966</f>
        <v>367.265940765371</v>
      </c>
      <c r="J968" s="38" t="n">
        <f aca="false">Sens!$I$968+Sens!$J$966</f>
        <v>424.791970683273</v>
      </c>
      <c r="K968" s="38" t="n">
        <f aca="false">Sens!$J$968+Sens!$K$966</f>
        <v>424.791970683273</v>
      </c>
      <c r="L968" s="38" t="n">
        <f aca="false">Sens!$K$968+Sens!$L$966</f>
        <v>424.791970683273</v>
      </c>
      <c r="M968" s="38" t="n">
        <f aca="false">Sens!$L$968+Sens!$M$966</f>
        <v>424.791970683273</v>
      </c>
    </row>
    <row r="969" customFormat="false" ht="15" hidden="false" customHeight="false" outlineLevel="0" collapsed="false">
      <c r="A969" s="5" t="s">
        <v>801</v>
      </c>
      <c r="B969" s="0" t="s">
        <v>86</v>
      </c>
      <c r="D969" s="38" t="n">
        <f aca="false">Sens!$D$968-Sens!$D$967</f>
        <v>-54.193</v>
      </c>
      <c r="E969" s="38" t="n">
        <f aca="false">Sens!$E$968-Sens!$E$967</f>
        <v>10.007</v>
      </c>
      <c r="F969" s="38" t="n">
        <f aca="false">Sens!$F$968-Sens!$F$967</f>
        <v>103.866825012663</v>
      </c>
      <c r="G969" s="38" t="n">
        <f aca="false">Sens!$G$968-Sens!$G$967</f>
        <v>103.866825012663</v>
      </c>
      <c r="H969" s="38" t="n">
        <f aca="false">Sens!$H$968-Sens!$H$967</f>
        <v>226.174676417342</v>
      </c>
      <c r="I969" s="38" t="n">
        <f aca="false">Sens!$I$968-Sens!$I$967</f>
        <v>317.265940765371</v>
      </c>
      <c r="J969" s="38" t="n">
        <f aca="false">Sens!$J$968-Sens!$J$967</f>
        <v>374.791970683273</v>
      </c>
      <c r="K969" s="38" t="n">
        <f aca="false">Sens!$K$968-Sens!$K$967</f>
        <v>321.962653024593</v>
      </c>
      <c r="L969" s="38" t="n">
        <f aca="false">Sens!$L$968-Sens!$L$967</f>
        <v>205.478664605338</v>
      </c>
      <c r="M969" s="38" t="n">
        <f aca="false">Sens!$M$968-Sens!$M$967</f>
        <v>61.8983509723374</v>
      </c>
    </row>
    <row r="970" customFormat="false" ht="17.15" hidden="false" customHeight="false" outlineLevel="0" collapsed="false">
      <c r="A970" s="5" t="s">
        <v>802</v>
      </c>
      <c r="B970" s="0" t="s">
        <v>86</v>
      </c>
      <c r="F970" s="38" t="n">
        <f aca="false">debt_q2*kd_book*0.5+iss_2h26*kd_new*iss_t</f>
        <v>3.24888962733561</v>
      </c>
      <c r="H970" s="38" t="n">
        <f aca="false">debt_q2*kd_book+(Sens!$G$968-debt_q2)*kd_new</f>
        <v>7.42354172302123</v>
      </c>
      <c r="I970" s="38" t="n">
        <f aca="false">debt_q2*kd_book+(Sens!$H$968-debt_q2)*kd_new</f>
        <v>14.635290303539</v>
      </c>
      <c r="J970" s="38" t="n">
        <f aca="false">debt_q2*kd_book+(Sens!$I$968-debt_q2)*kd_new</f>
        <v>20.4013673367692</v>
      </c>
      <c r="K970" s="38" t="n">
        <f aca="false">debt_q2*kd_book+(Sens!$J$968-debt_q2)*kd_new</f>
        <v>24.0427650305724</v>
      </c>
      <c r="L970" s="38" t="n">
        <f aca="false">debt_q2*kd_book+(Sens!$K$968-debt_q2)*kd_new</f>
        <v>24.0427650305724</v>
      </c>
      <c r="M970" s="38" t="n">
        <f aca="false">debt_q2*kd_book+(Sens!$L$968-debt_q2)*kd_new</f>
        <v>24.0427650305724</v>
      </c>
    </row>
    <row r="971" customFormat="false" ht="17.15" hidden="false" customHeight="false" outlineLevel="0" collapsed="false">
      <c r="A971" s="5" t="s">
        <v>803</v>
      </c>
      <c r="B971" s="0" t="s">
        <v>86</v>
      </c>
      <c r="F971" s="38" t="n">
        <f aca="false">cash_q2*y_cash*0.5</f>
        <v>2.59</v>
      </c>
      <c r="H971" s="38" t="n">
        <f aca="false">Sens!$G$967*y_cash</f>
        <v>2.45876785746908</v>
      </c>
      <c r="I971" s="38" t="n">
        <f aca="false">Sens!$H$967*y_cash</f>
        <v>2.10589651022864</v>
      </c>
      <c r="J971" s="38" t="n">
        <f aca="false">Sens!$I$967*y_cash</f>
        <v>2.10589651022864</v>
      </c>
      <c r="K971" s="38" t="n">
        <f aca="false">Sens!$J$967*y_cash</f>
        <v>2.10589651022864</v>
      </c>
      <c r="L971" s="38" t="n">
        <f aca="false">Sens!$K$967*y_cash</f>
        <v>4.33095802413214</v>
      </c>
      <c r="M971" s="38" t="n">
        <f aca="false">Sens!$L$967*y_cash</f>
        <v>9.2370225183246</v>
      </c>
    </row>
    <row r="972" customFormat="false" ht="17.15" hidden="false" customHeight="false" outlineLevel="0" collapsed="false">
      <c r="A972" s="47" t="s">
        <v>804</v>
      </c>
      <c r="B972" s="14" t="s">
        <v>86</v>
      </c>
      <c r="C972" s="14"/>
      <c r="D972" s="14"/>
      <c r="E972" s="14"/>
      <c r="F972" s="14"/>
      <c r="G972" s="48" t="n">
        <f aca="false">SUM(Sens!$G$961:$K$961)</f>
        <v>-316.346653024593</v>
      </c>
      <c r="H972" s="14"/>
      <c r="I972" s="14"/>
      <c r="J972" s="14"/>
      <c r="K972" s="14"/>
      <c r="L972" s="14"/>
      <c r="M972" s="14"/>
      <c r="N972" s="14"/>
      <c r="O972" s="14"/>
    </row>
    <row r="973" customFormat="false" ht="17.15" hidden="false" customHeight="false" outlineLevel="0" collapsed="false">
      <c r="A973" s="0" t="s">
        <v>770</v>
      </c>
      <c r="B973" s="0" t="s">
        <v>86</v>
      </c>
      <c r="G973" s="38" t="n">
        <f aca="false">SUM(Sens!$G$966:$K$966)</f>
        <v>262.546971683273</v>
      </c>
    </row>
    <row r="974" customFormat="false" ht="17.15" hidden="false" customHeight="false" outlineLevel="0" collapsed="false">
      <c r="A974" s="24" t="s">
        <v>807</v>
      </c>
      <c r="B974" s="25" t="s">
        <v>86</v>
      </c>
      <c r="C974" s="25"/>
      <c r="D974" s="25"/>
      <c r="E974" s="25"/>
      <c r="F974" s="25"/>
      <c r="G974" s="41" t="n">
        <f aca="false">Sens!$G$972-(Sens!$G$961+Sens!$H$961+Sens!$I$961+Sens!$J$961+Sens!$K$961)</f>
        <v>0</v>
      </c>
      <c r="H974" s="25"/>
      <c r="I974" s="25"/>
      <c r="J974" s="25"/>
      <c r="K974" s="25"/>
      <c r="L974" s="25"/>
      <c r="M974" s="25"/>
      <c r="N974" s="25"/>
      <c r="O974" s="25"/>
    </row>
    <row r="977" customFormat="false" ht="19.4" hidden="false" customHeight="false" outlineLevel="0" collapsed="false">
      <c r="A977" s="31" t="s">
        <v>1146</v>
      </c>
    </row>
    <row r="978" customFormat="false" ht="17.15" hidden="false" customHeight="false" outlineLevel="0" collapsed="false">
      <c r="A978" s="6" t="s">
        <v>16</v>
      </c>
      <c r="B978" s="6" t="s">
        <v>17</v>
      </c>
      <c r="C978" s="20" t="s">
        <v>494</v>
      </c>
      <c r="D978" s="20" t="s">
        <v>495</v>
      </c>
      <c r="E978" s="20" t="s">
        <v>577</v>
      </c>
      <c r="F978" s="20" t="s">
        <v>578</v>
      </c>
      <c r="G978" s="20" t="s">
        <v>579</v>
      </c>
      <c r="H978" s="20" t="s">
        <v>580</v>
      </c>
      <c r="I978" s="20" t="s">
        <v>581</v>
      </c>
      <c r="J978" s="20" t="s">
        <v>582</v>
      </c>
      <c r="K978" s="20" t="s">
        <v>583</v>
      </c>
      <c r="L978" s="20" t="s">
        <v>584</v>
      </c>
      <c r="M978" s="20" t="s">
        <v>585</v>
      </c>
      <c r="N978" s="20" t="s">
        <v>586</v>
      </c>
      <c r="O978" s="20" t="s">
        <v>587</v>
      </c>
      <c r="P978" s="6" t="s">
        <v>23</v>
      </c>
      <c r="R978" s="20" t="n">
        <v>2023</v>
      </c>
      <c r="S978" s="20" t="n">
        <v>2024</v>
      </c>
      <c r="T978" s="20" t="n">
        <v>2025</v>
      </c>
      <c r="U978" s="20" t="n">
        <v>2026</v>
      </c>
      <c r="V978" s="20" t="n">
        <v>2027</v>
      </c>
      <c r="W978" s="20" t="n">
        <v>2028</v>
      </c>
      <c r="X978" s="20" t="n">
        <v>2029</v>
      </c>
      <c r="Y978" s="20" t="n">
        <v>2030</v>
      </c>
      <c r="Z978" s="20" t="n">
        <v>2031</v>
      </c>
      <c r="AA978" s="20" t="n">
        <v>2032</v>
      </c>
    </row>
    <row r="979" customFormat="false" ht="17.15" hidden="false" customHeight="false" outlineLevel="0" collapsed="false">
      <c r="A979" s="1" t="s">
        <v>909</v>
      </c>
    </row>
    <row r="980" customFormat="false" ht="17.15" hidden="false" customHeight="false" outlineLevel="0" collapsed="false">
      <c r="A980" s="0" t="s">
        <v>910</v>
      </c>
      <c r="B980" s="0" t="s">
        <v>86</v>
      </c>
      <c r="H980" s="38" t="n">
        <f aca="false">Sens!$H$914*(1-tax)</f>
        <v>132.768349050122</v>
      </c>
      <c r="I980" s="38" t="n">
        <f aca="false">Sens!$I$914*(1-tax)</f>
        <v>162.174446105735</v>
      </c>
      <c r="J980" s="38" t="n">
        <f aca="false">Sens!$J$914*(1-tax)</f>
        <v>190.117284754593</v>
      </c>
      <c r="K980" s="38" t="n">
        <f aca="false">Sens!$K$914*(1-tax)</f>
        <v>209.181261138144</v>
      </c>
      <c r="L980" s="38" t="n">
        <f aca="false">Sens!$L$914*(1-tax)</f>
        <v>225.201534881005</v>
      </c>
      <c r="M980" s="38" t="n">
        <f aca="false">Sens!$M$914*(1-tax)</f>
        <v>235.811843440717</v>
      </c>
    </row>
    <row r="981" customFormat="false" ht="15" hidden="false" customHeight="false" outlineLevel="0" collapsed="false">
      <c r="A981" s="5" t="s">
        <v>911</v>
      </c>
      <c r="B981" s="0" t="s">
        <v>86</v>
      </c>
      <c r="H981" s="38" t="n">
        <f aca="false">Sens!$H$925</f>
        <v>88.8518829971302</v>
      </c>
      <c r="I981" s="38" t="n">
        <f aca="false">Sens!$I$925</f>
        <v>130.841033191438</v>
      </c>
      <c r="J981" s="38" t="n">
        <f aca="false">Sens!$J$925</f>
        <v>173.903791320335</v>
      </c>
      <c r="K981" s="38" t="n">
        <f aca="false">Sens!$K$925</f>
        <v>217.489125095528</v>
      </c>
      <c r="L981" s="38" t="n">
        <f aca="false">Sens!$L$925</f>
        <v>248.456889265952</v>
      </c>
      <c r="M981" s="38" t="n">
        <f aca="false">Sens!$M$925</f>
        <v>271.316086558991</v>
      </c>
    </row>
    <row r="982" customFormat="false" ht="15" hidden="false" customHeight="false" outlineLevel="0" collapsed="false">
      <c r="A982" s="5" t="s">
        <v>912</v>
      </c>
      <c r="B982" s="0" t="s">
        <v>86</v>
      </c>
      <c r="H982" s="38" t="n">
        <f aca="false">Sens!$H$956</f>
        <v>339.563134816481</v>
      </c>
      <c r="I982" s="38" t="n">
        <f aca="false">Sens!$I$956</f>
        <v>355.197302198592</v>
      </c>
      <c r="J982" s="38" t="n">
        <f aca="false">Sens!$J$956</f>
        <v>369.277592748533</v>
      </c>
      <c r="K982" s="38" t="n">
        <f aca="false">Sens!$K$956</f>
        <v>302.803273937359</v>
      </c>
      <c r="L982" s="38" t="n">
        <f aca="false">Sens!$L$956</f>
        <v>278.701044740363</v>
      </c>
      <c r="M982" s="38" t="n">
        <f aca="false">Sens!$M$956</f>
        <v>286.36868992997</v>
      </c>
    </row>
    <row r="983" customFormat="false" ht="15" hidden="false" customHeight="false" outlineLevel="0" collapsed="false">
      <c r="A983" s="5" t="s">
        <v>913</v>
      </c>
      <c r="B983" s="0" t="s">
        <v>86</v>
      </c>
      <c r="H983" s="38" t="n">
        <f aca="false">Sens!$H$957</f>
        <v>1.6</v>
      </c>
      <c r="I983" s="38" t="n">
        <f aca="false">Sens!$I$957</f>
        <v>1.6</v>
      </c>
      <c r="J983" s="38" t="n">
        <f aca="false">Sens!$J$957</f>
        <v>1.6</v>
      </c>
      <c r="K983" s="38" t="n">
        <f aca="false">Sens!$K$957</f>
        <v>1.6</v>
      </c>
      <c r="L983" s="38" t="n">
        <f aca="false">Sens!$L$957</f>
        <v>1.6</v>
      </c>
      <c r="M983" s="38" t="n">
        <f aca="false">Sens!$M$957</f>
        <v>1.6</v>
      </c>
    </row>
    <row r="984" customFormat="false" ht="15" hidden="false" customHeight="false" outlineLevel="0" collapsed="false">
      <c r="A984" s="5" t="s">
        <v>914</v>
      </c>
      <c r="B984" s="0" t="s">
        <v>86</v>
      </c>
      <c r="H984" s="38" t="n">
        <f aca="false">Sens!$H$951</f>
        <v>11.2928295263397</v>
      </c>
      <c r="I984" s="38" t="n">
        <f aca="false">Sens!$I$951</f>
        <v>12.8091546115766</v>
      </c>
      <c r="J984" s="38" t="n">
        <f aca="false">Sens!$J$951</f>
        <v>14.2605653162668</v>
      </c>
      <c r="K984" s="38" t="n">
        <f aca="false">Sens!$K$951</f>
        <v>15.5327622460396</v>
      </c>
      <c r="L984" s="38" t="n">
        <f aca="false">Sens!$L$951</f>
        <v>16.720573737517</v>
      </c>
      <c r="M984" s="38" t="n">
        <f aca="false">Sens!$M$951</f>
        <v>17.8283127551536</v>
      </c>
    </row>
    <row r="985" customFormat="false" ht="17.15" hidden="false" customHeight="false" outlineLevel="0" collapsed="false">
      <c r="A985" s="1" t="s">
        <v>915</v>
      </c>
      <c r="B985" s="8" t="s">
        <v>86</v>
      </c>
      <c r="H985" s="38" t="n">
        <f aca="false">Sens!$H$980+Sens!$H$981-Sens!$H$982-Sens!$H$983+Sens!$H$984</f>
        <v>-108.25007324289</v>
      </c>
      <c r="I985" s="38" t="n">
        <f aca="false">Sens!$I$980+Sens!$I$981-Sens!$I$982-Sens!$I$983+Sens!$I$984</f>
        <v>-50.9726682898426</v>
      </c>
      <c r="J985" s="38" t="n">
        <f aca="false">Sens!$J$980+Sens!$J$981-Sens!$J$982-Sens!$J$983+Sens!$J$984</f>
        <v>7.40404864266216</v>
      </c>
      <c r="K985" s="38" t="n">
        <f aca="false">Sens!$K$980+Sens!$K$981-Sens!$K$982-Sens!$K$983+Sens!$K$984</f>
        <v>137.799874542352</v>
      </c>
      <c r="L985" s="38" t="n">
        <f aca="false">Sens!$L$980+Sens!$L$981-Sens!$L$982-Sens!$L$983+Sens!$L$984</f>
        <v>210.077953144112</v>
      </c>
      <c r="M985" s="38" t="n">
        <f aca="false">Sens!$M$980+Sens!$M$981-Sens!$M$982-Sens!$M$983+Sens!$M$984</f>
        <v>236.987552824892</v>
      </c>
    </row>
    <row r="986" customFormat="false" ht="15" hidden="false" customHeight="false" outlineLevel="0" collapsed="false">
      <c r="A986" s="5" t="s">
        <v>916</v>
      </c>
      <c r="B986" s="0" t="s">
        <v>57</v>
      </c>
      <c r="H986" s="40" t="n">
        <f aca="false">1/(1+wacc)^(2027-2026-0.5)</f>
        <v>0.947751320380232</v>
      </c>
      <c r="I986" s="40" t="n">
        <f aca="false">1/(1+wacc)^(2028-2026-0.5)</f>
        <v>0.851301099754987</v>
      </c>
      <c r="J986" s="40" t="n">
        <f aca="false">1/(1+wacc)^(2029-2026-0.5)</f>
        <v>0.764666370660713</v>
      </c>
      <c r="K986" s="40" t="n">
        <f aca="false">1/(1+wacc)^(2030-2026-0.5)</f>
        <v>0.686848235703811</v>
      </c>
      <c r="L986" s="40" t="n">
        <f aca="false">1/(1+wacc)^(2031-2026-0.5)</f>
        <v>0.616949452715975</v>
      </c>
      <c r="M986" s="40" t="n">
        <f aca="false">1/(1+wacc)^(2032-2026-0.5)</f>
        <v>0.554164089562688</v>
      </c>
    </row>
    <row r="987" customFormat="false" ht="15" hidden="false" customHeight="false" outlineLevel="0" collapsed="false">
      <c r="A987" s="5" t="s">
        <v>917</v>
      </c>
      <c r="B987" s="0" t="s">
        <v>86</v>
      </c>
      <c r="H987" s="38" t="n">
        <f aca="false">Sens!$H$985*Sens!$H$986</f>
        <v>-102.594149847206</v>
      </c>
      <c r="I987" s="38" t="n">
        <f aca="false">Sens!$I$985*Sens!$I$986</f>
        <v>-43.3930885725892</v>
      </c>
      <c r="J987" s="38" t="n">
        <f aca="false">Sens!$J$985*Sens!$J$986</f>
        <v>5.66162700377985</v>
      </c>
      <c r="K987" s="38" t="n">
        <f aca="false">Sens!$K$985*Sens!$K$986</f>
        <v>94.6476007096212</v>
      </c>
      <c r="L987" s="38" t="n">
        <f aca="false">Sens!$L$985*Sens!$L$986</f>
        <v>129.607478219952</v>
      </c>
      <c r="M987" s="38" t="n">
        <f aca="false">Sens!$M$985*Sens!$M$986</f>
        <v>131.329991448896</v>
      </c>
    </row>
    <row r="988" customFormat="false" ht="15" hidden="false" customHeight="false" outlineLevel="0" collapsed="false">
      <c r="A988" s="5" t="s">
        <v>918</v>
      </c>
      <c r="B988" s="0" t="s">
        <v>86</v>
      </c>
      <c r="C988" s="38" t="n">
        <f aca="false">SUM(Sens!$H$987:$M$987)</f>
        <v>215.259458962454</v>
      </c>
    </row>
    <row r="989" customFormat="false" ht="17.15" hidden="false" customHeight="false" outlineLevel="0" collapsed="false">
      <c r="A989" s="5" t="s">
        <v>919</v>
      </c>
      <c r="B989" s="0" t="s">
        <v>86</v>
      </c>
      <c r="C989" s="38" t="n">
        <f aca="false">Sens!$M$980*(1+tg)*(1-tg/ronic)/(wacc-tg)</f>
        <v>2143.7927955543</v>
      </c>
    </row>
    <row r="990" customFormat="false" ht="15" hidden="false" customHeight="false" outlineLevel="0" collapsed="false">
      <c r="A990" s="5" t="s">
        <v>920</v>
      </c>
      <c r="B990" s="0" t="s">
        <v>86</v>
      </c>
      <c r="C990" s="38" t="n">
        <f aca="false">Sens!$C$989/(1+wacc)^6</f>
        <v>1125.94087303908</v>
      </c>
    </row>
    <row r="991" customFormat="false" ht="17.15" hidden="false" customHeight="false" outlineLevel="0" collapsed="false">
      <c r="A991" s="5" t="s">
        <v>921</v>
      </c>
      <c r="B991" s="0" t="s">
        <v>86</v>
      </c>
      <c r="C991" s="38" t="n">
        <f aca="false">Sens!$C$988+Sens!$C$990</f>
        <v>1341.20033200153</v>
      </c>
    </row>
    <row r="992" customFormat="false" ht="17.15" hidden="false" customHeight="false" outlineLevel="0" collapsed="false">
      <c r="A992" s="5" t="s">
        <v>922</v>
      </c>
      <c r="B992" s="0" t="s">
        <v>52</v>
      </c>
      <c r="C992" s="13" t="n">
        <f aca="false">Sens!$C$990/Sens!$C$991</f>
        <v>0.839502381690279</v>
      </c>
    </row>
    <row r="993" customFormat="false" ht="17.15" hidden="false" customHeight="false" outlineLevel="0" collapsed="false">
      <c r="A993" s="5" t="s">
        <v>923</v>
      </c>
      <c r="B993" s="0" t="s">
        <v>86</v>
      </c>
      <c r="C993" s="38" t="n">
        <f aca="false">Sens!$G$969+fin_debt</f>
        <v>128.387825012663</v>
      </c>
    </row>
    <row r="994" customFormat="false" ht="17.15" hidden="false" customHeight="false" outlineLevel="0" collapsed="false">
      <c r="A994" s="5" t="s">
        <v>924</v>
      </c>
      <c r="B994" s="0" t="s">
        <v>86</v>
      </c>
      <c r="C994" s="38" t="n">
        <f aca="false">(ant_val*ant_sh+oai_val*oai_sh)*(1-liq_disc)</f>
        <v>178.944</v>
      </c>
    </row>
    <row r="995" customFormat="false" ht="15" hidden="false" customHeight="false" outlineLevel="0" collapsed="false">
      <c r="A995" s="5" t="s">
        <v>925</v>
      </c>
      <c r="B995" s="0" t="s">
        <v>86</v>
      </c>
      <c r="C995" s="38" t="n">
        <f aca="false">Sens!$C$991-Sens!$C$993+Sens!$C$994</f>
        <v>1391.75650698887</v>
      </c>
    </row>
    <row r="996" customFormat="false" ht="17.15" hidden="false" customHeight="false" outlineLevel="0" collapsed="false">
      <c r="A996" s="5" t="s">
        <v>926</v>
      </c>
      <c r="B996" s="0" t="s">
        <v>27</v>
      </c>
      <c r="C996" s="30" t="n">
        <f aca="false">Sens!$C$995/sh_out</f>
        <v>129.029852736428</v>
      </c>
    </row>
    <row r="997" customFormat="false" ht="17.15" hidden="false" customHeight="false" outlineLevel="0" collapsed="false">
      <c r="A997" s="1" t="s">
        <v>927</v>
      </c>
      <c r="B997" s="8" t="s">
        <v>27</v>
      </c>
      <c r="C997" s="30" t="n">
        <f aca="false">Sens!$C$996*(1+ke)^tp_yf-dps*tp_yf</f>
        <v>141.335280952693</v>
      </c>
    </row>
    <row r="998" customFormat="false" ht="17.15" hidden="false" customHeight="false" outlineLevel="0" collapsed="false">
      <c r="A998" s="3" t="s">
        <v>928</v>
      </c>
    </row>
    <row r="999" customFormat="false" ht="17.15" hidden="false" customHeight="false" outlineLevel="0" collapsed="false">
      <c r="A999" s="5" t="s">
        <v>929</v>
      </c>
      <c r="B999" s="0" t="s">
        <v>86</v>
      </c>
      <c r="C999" s="38" t="n">
        <f aca="false">(1-tp_yf)*(Sens!$H$926+Sens!$H$950*Sens!$H$792/Sens!$H$867)+tp_yf*(Sens!$I$926+Sens!$I$950*Sens!$I$792/Sens!$I$867)</f>
        <v>59.634664536349</v>
      </c>
    </row>
    <row r="1000" customFormat="false" ht="15" hidden="false" customHeight="false" outlineLevel="0" collapsed="false">
      <c r="A1000" s="5" t="s">
        <v>930</v>
      </c>
      <c r="B1000" s="0" t="s">
        <v>57</v>
      </c>
      <c r="C1000" s="30" t="n">
        <f aca="false">m_ads*m_x</f>
        <v>9.11</v>
      </c>
    </row>
    <row r="1001" customFormat="false" ht="17.15" hidden="false" customHeight="false" outlineLevel="0" collapsed="false">
      <c r="A1001" s="5" t="s">
        <v>931</v>
      </c>
      <c r="B1001" s="0" t="s">
        <v>86</v>
      </c>
      <c r="C1001" s="38" t="n">
        <f aca="false">Sens!$C$999*Sens!$C$1000</f>
        <v>543.271793926139</v>
      </c>
    </row>
    <row r="1002" customFormat="false" ht="17.15" hidden="false" customHeight="false" outlineLevel="0" collapsed="false">
      <c r="A1002" s="5" t="s">
        <v>932</v>
      </c>
      <c r="B1002" s="0" t="s">
        <v>86</v>
      </c>
      <c r="C1002" s="38" t="n">
        <f aca="false">(1-tp_yf)*(Sens!$H$927+Sens!$H$950*(Sens!$H$799-Sens!$H$792)/Sens!$H$867+IF(internal_ai_reading=2,1,0)*(1-ext_sh_lo)*Sens!$H$829)+tp_yf*(Sens!$I$927+Sens!$I$950*(Sens!$I$799-Sens!$I$792)/Sens!$I$867+IF(internal_ai_reading=2,1,0)*(1-ext_sh_lo)*Sens!$I$829)</f>
        <v>56.1599165562864</v>
      </c>
    </row>
    <row r="1003" customFormat="false" ht="17.15" hidden="false" customHeight="false" outlineLevel="0" collapsed="false">
      <c r="A1003" s="5" t="s">
        <v>933</v>
      </c>
      <c r="B1003" s="0" t="s">
        <v>57</v>
      </c>
      <c r="C1003" s="30" t="n">
        <f aca="false">m_retail*m_x</f>
        <v>17.72</v>
      </c>
    </row>
    <row r="1004" customFormat="false" ht="17.15" hidden="false" customHeight="false" outlineLevel="0" collapsed="false">
      <c r="A1004" s="5" t="s">
        <v>934</v>
      </c>
      <c r="B1004" s="0" t="s">
        <v>86</v>
      </c>
      <c r="C1004" s="38" t="n">
        <f aca="false">Sens!$C$1002*Sens!$C$1003</f>
        <v>995.153721377394</v>
      </c>
    </row>
    <row r="1005" customFormat="false" ht="17.15" hidden="false" customHeight="false" outlineLevel="0" collapsed="false">
      <c r="A1005" s="0" t="s">
        <v>935</v>
      </c>
      <c r="B1005" s="0" t="s">
        <v>86</v>
      </c>
      <c r="C1005" s="38" t="n">
        <f aca="false">(1-tp_yf)*(Sens!$H$928+Sens!$H$950*Sens!$H$865/Sens!$H$867)+tp_yf*(Sens!$I$928+Sens!$I$950*Sens!$I$865/Sens!$I$867)</f>
        <v>96.2176011359344</v>
      </c>
    </row>
    <row r="1006" customFormat="false" ht="17.15" hidden="false" customHeight="false" outlineLevel="0" collapsed="false">
      <c r="A1006" s="0" t="s">
        <v>936</v>
      </c>
      <c r="B1006" s="0" t="s">
        <v>57</v>
      </c>
      <c r="C1006" s="30" t="n">
        <f aca="false">m_cloud*m_x</f>
        <v>13.82</v>
      </c>
    </row>
    <row r="1007" customFormat="false" ht="17.15" hidden="false" customHeight="false" outlineLevel="0" collapsed="false">
      <c r="A1007" s="0" t="s">
        <v>937</v>
      </c>
      <c r="B1007" s="0" t="s">
        <v>86</v>
      </c>
      <c r="C1007" s="38" t="n">
        <f aca="false">Sens!$C$1005*Sens!$C$1006</f>
        <v>1329.72724769861</v>
      </c>
    </row>
    <row r="1008" customFormat="false" ht="17.15" hidden="false" customHeight="false" outlineLevel="0" collapsed="false">
      <c r="A1008" s="0" t="s">
        <v>938</v>
      </c>
      <c r="B1008" s="0" t="s">
        <v>86</v>
      </c>
      <c r="H1008" s="38" t="n">
        <f aca="false">Sens!$H$846-tax*Sens!$H$847-ext_sh_lo*Sens!$H$836</f>
        <v>-115.448594953459</v>
      </c>
      <c r="I1008" s="38" t="n">
        <f aca="false">Sens!$I$846-tax*Sens!$I$847-ext_sh_lo*Sens!$I$836</f>
        <v>-89.1567144449035</v>
      </c>
      <c r="J1008" s="38" t="n">
        <f aca="false">Sens!$J$846-tax*Sens!$J$847-ext_sh_lo*Sens!$J$836</f>
        <v>-61.9142654632621</v>
      </c>
      <c r="K1008" s="38" t="n">
        <f aca="false">Sens!$K$846-tax*Sens!$K$847-ext_sh_lo*Sens!$K$836</f>
        <v>9.30248500486651</v>
      </c>
      <c r="L1008" s="38" t="n">
        <f aca="false">Sens!$L$846-tax*Sens!$L$847-ext_sh_lo*Sens!$L$836</f>
        <v>46.0103604299476</v>
      </c>
      <c r="M1008" s="38" t="n">
        <f aca="false">Sens!$M$846-tax*Sens!$M$847-ext_sh_lo*Sens!$M$836</f>
        <v>55.0372931642863</v>
      </c>
    </row>
    <row r="1009" customFormat="false" ht="17.15" hidden="false" customHeight="false" outlineLevel="0" collapsed="false">
      <c r="A1009" s="5" t="s">
        <v>939</v>
      </c>
      <c r="B1009" s="0" t="s">
        <v>86</v>
      </c>
      <c r="H1009" s="38" t="n">
        <f aca="false">Sens!$H$1008*Sens!$H$986</f>
        <v>-109.416558303184</v>
      </c>
      <c r="I1009" s="38" t="n">
        <f aca="false">Sens!$I$1008*Sens!$I$986</f>
        <v>-75.8992090574877</v>
      </c>
      <c r="J1009" s="38" t="n">
        <f aca="false">Sens!$J$1008*Sens!$J$986</f>
        <v>-47.3437566639165</v>
      </c>
      <c r="K1009" s="38" t="n">
        <f aca="false">Sens!$K$1008*Sens!$K$986</f>
        <v>6.38939541325372</v>
      </c>
      <c r="L1009" s="38" t="n">
        <f aca="false">Sens!$L$1008*Sens!$L$986</f>
        <v>28.3860666865209</v>
      </c>
      <c r="M1009" s="38" t="n">
        <f aca="false">Sens!$M$1008*Sens!$M$986</f>
        <v>30.4996914583815</v>
      </c>
    </row>
    <row r="1010" customFormat="false" ht="17.15" hidden="false" customHeight="false" outlineLevel="0" collapsed="false">
      <c r="A1010" s="5" t="s">
        <v>940</v>
      </c>
      <c r="B1010" s="0" t="s">
        <v>86</v>
      </c>
      <c r="C1010" s="38" t="n">
        <f aca="false">Sens!$M$847*(1-tax)*(1+tg)*(1-tg/ronic)/(wacc-tg)</f>
        <v>378.954438292713</v>
      </c>
    </row>
    <row r="1011" customFormat="false" ht="17.15" hidden="false" customHeight="false" outlineLevel="0" collapsed="false">
      <c r="A1011" s="0" t="s">
        <v>941</v>
      </c>
      <c r="B1011" s="0" t="s">
        <v>86</v>
      </c>
      <c r="C1011" s="38" t="n">
        <f aca="false">(SUM(Sens!$H$1009:$M$1009)+Sens!$C$1010/(1+wacc)^6)*(1+wacc)^tp_yf</f>
        <v>34.5646425685509</v>
      </c>
    </row>
    <row r="1012" customFormat="false" ht="17.15" hidden="false" customHeight="false" outlineLevel="0" collapsed="false">
      <c r="A1012" s="5" t="s">
        <v>942</v>
      </c>
      <c r="B1012" s="0" t="s">
        <v>86</v>
      </c>
      <c r="C1012" s="38" t="n">
        <f aca="false">(1-tp_yf)*(Sens!$H$929)+tp_yf*(Sens!$I$929)</f>
        <v>74.6707041238437</v>
      </c>
    </row>
    <row r="1013" customFormat="false" ht="17.15" hidden="false" customHeight="false" outlineLevel="0" collapsed="false">
      <c r="A1013" s="5" t="s">
        <v>943</v>
      </c>
      <c r="B1013" s="0" t="s">
        <v>86</v>
      </c>
      <c r="C1013" s="38" t="n">
        <f aca="false">Sens!$C$1012*m_ai</f>
        <v>448.024224743062</v>
      </c>
    </row>
    <row r="1014" customFormat="false" ht="17.15" hidden="false" customHeight="false" outlineLevel="0" collapsed="false">
      <c r="A1014" s="0" t="s">
        <v>944</v>
      </c>
      <c r="B1014" s="0" t="s">
        <v>86</v>
      </c>
      <c r="C1014" s="38" t="n">
        <f aca="false">IF(ai_leg=1,Sens!$C$1011,Sens!$C$1013)</f>
        <v>34.5646425685509</v>
      </c>
    </row>
    <row r="1015" customFormat="false" ht="17.15" hidden="false" customHeight="false" outlineLevel="0" collapsed="false">
      <c r="A1015" s="5" t="s">
        <v>945</v>
      </c>
      <c r="B1015" s="0" t="s">
        <v>86</v>
      </c>
      <c r="C1015" s="38" t="n">
        <f aca="false">Sens!$C$1001+Sens!$C$1004+Sens!$C$1007+Sens!$C$1014</f>
        <v>2902.7174055707</v>
      </c>
    </row>
    <row r="1016" customFormat="false" ht="17.15" hidden="false" customHeight="false" outlineLevel="0" collapsed="false">
      <c r="A1016" s="5" t="s">
        <v>946</v>
      </c>
      <c r="B1016" s="0" t="s">
        <v>86</v>
      </c>
      <c r="C1016" s="38" t="n">
        <f aca="false">Sens!$H$969+fin_debt</f>
        <v>250.695676417342</v>
      </c>
    </row>
    <row r="1017" customFormat="false" ht="15" hidden="false" customHeight="false" outlineLevel="0" collapsed="false">
      <c r="A1017" s="5" t="s">
        <v>947</v>
      </c>
      <c r="B1017" s="0" t="s">
        <v>86</v>
      </c>
      <c r="C1017" s="38" t="n">
        <f aca="false">Sens!$C$1015-Sens!$C$1016+Sens!$C$994</f>
        <v>2830.96572915336</v>
      </c>
    </row>
    <row r="1018" customFormat="false" ht="15" hidden="false" customHeight="false" outlineLevel="0" collapsed="false">
      <c r="A1018" s="3" t="s">
        <v>948</v>
      </c>
      <c r="B1018" s="8" t="s">
        <v>27</v>
      </c>
      <c r="C1018" s="30" t="n">
        <f aca="false">Sens!$C$1017/sh_val</f>
        <v>256.653231191184</v>
      </c>
    </row>
    <row r="1019" customFormat="false" ht="17.15" hidden="false" customHeight="false" outlineLevel="0" collapsed="false">
      <c r="A1019" s="47" t="s">
        <v>949</v>
      </c>
      <c r="B1019" s="14" t="s">
        <v>27</v>
      </c>
      <c r="C1019" s="44" t="n">
        <f aca="false">w_dcf*Sens!$C$997+(1-w_dcf)*Sens!$C$1018</f>
        <v>198.994256071939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</row>
    <row r="1020" customFormat="false" ht="17.15" hidden="false" customHeight="false" outlineLevel="0" collapsed="false">
      <c r="A1020" s="5" t="s">
        <v>950</v>
      </c>
      <c r="B1020" s="0" t="s">
        <v>27</v>
      </c>
      <c r="C1020" s="30" t="n">
        <f aca="false">v022_wdcf*Sens!$C$997+(1-v022_wdcf)*Sens!$C$1018</f>
        <v>204.760153583863</v>
      </c>
    </row>
    <row r="1021" customFormat="false" ht="17.15" hidden="false" customHeight="false" outlineLevel="0" collapsed="false">
      <c r="A1021" s="5" t="s">
        <v>951</v>
      </c>
      <c r="B1021" s="0" t="s">
        <v>27</v>
      </c>
      <c r="C1021" s="30" t="n">
        <f aca="false">(Sens!$C$1017-Sens!$C$1014+Sens!$C$1013)/sh_val</f>
        <v>294.137167022432</v>
      </c>
    </row>
    <row r="1024" customFormat="false" ht="19.4" hidden="false" customHeight="false" outlineLevel="0" collapsed="false">
      <c r="A1024" s="31" t="s">
        <v>1147</v>
      </c>
    </row>
    <row r="1025" customFormat="false" ht="17.15" hidden="false" customHeight="false" outlineLevel="0" collapsed="false">
      <c r="A1025" s="6" t="s">
        <v>16</v>
      </c>
      <c r="B1025" s="6" t="s">
        <v>17</v>
      </c>
      <c r="C1025" s="20" t="s">
        <v>494</v>
      </c>
      <c r="D1025" s="20" t="s">
        <v>495</v>
      </c>
      <c r="E1025" s="20" t="s">
        <v>577</v>
      </c>
      <c r="F1025" s="20" t="s">
        <v>578</v>
      </c>
      <c r="G1025" s="20" t="s">
        <v>579</v>
      </c>
      <c r="H1025" s="20" t="s">
        <v>580</v>
      </c>
      <c r="I1025" s="20" t="s">
        <v>581</v>
      </c>
      <c r="J1025" s="20" t="s">
        <v>582</v>
      </c>
      <c r="K1025" s="20" t="s">
        <v>583</v>
      </c>
      <c r="L1025" s="20" t="s">
        <v>584</v>
      </c>
      <c r="M1025" s="20" t="s">
        <v>585</v>
      </c>
      <c r="N1025" s="20" t="s">
        <v>586</v>
      </c>
      <c r="O1025" s="20" t="s">
        <v>587</v>
      </c>
      <c r="P1025" s="6" t="s">
        <v>23</v>
      </c>
      <c r="R1025" s="20" t="n">
        <v>2023</v>
      </c>
      <c r="S1025" s="20" t="n">
        <v>2024</v>
      </c>
      <c r="T1025" s="20" t="n">
        <v>2025</v>
      </c>
      <c r="U1025" s="20" t="n">
        <v>2026</v>
      </c>
      <c r="V1025" s="20" t="n">
        <v>2027</v>
      </c>
      <c r="W1025" s="20" t="n">
        <v>2028</v>
      </c>
      <c r="X1025" s="20" t="n">
        <v>2029</v>
      </c>
      <c r="Y1025" s="20" t="n">
        <v>2030</v>
      </c>
      <c r="Z1025" s="20" t="n">
        <v>2031</v>
      </c>
      <c r="AA1025" s="20" t="n">
        <v>2032</v>
      </c>
    </row>
    <row r="1026" customFormat="false" ht="17.15" hidden="false" customHeight="false" outlineLevel="0" collapsed="false">
      <c r="A1026" s="1" t="s">
        <v>660</v>
      </c>
    </row>
    <row r="1027" customFormat="false" ht="17.15" hidden="false" customHeight="false" outlineLevel="0" collapsed="false">
      <c r="A1027" s="0" t="s">
        <v>516</v>
      </c>
      <c r="B1027" s="0" t="s">
        <v>86</v>
      </c>
      <c r="C1027" s="38" t="n">
        <f aca="false">Q!$D$10</f>
        <v>247.029</v>
      </c>
      <c r="D1027" s="38" t="n">
        <f aca="false">Q!$E$10</f>
        <v>269.287</v>
      </c>
      <c r="E1027" s="38" t="n">
        <f aca="false">Q!$P$10</f>
        <v>134.686</v>
      </c>
      <c r="F1027" s="38" t="n">
        <f aca="false">Sens!$O$1027*(1+Sens!$F$1028)*Sens!$F$1039</f>
        <v>158.293876822267</v>
      </c>
      <c r="G1027" s="38" t="n">
        <f aca="false">Sens!$E$1027+Sens!$F$1027</f>
        <v>292.979876822267</v>
      </c>
      <c r="H1027" s="38" t="n">
        <f aca="false">Sens!$G$1027*(1+Sens!$H$1028)</f>
        <v>318.184543087396</v>
      </c>
      <c r="I1027" s="38" t="n">
        <f aca="false">Sens!$H$1027*(1+Sens!$I$1028)</f>
        <v>341.736278761793</v>
      </c>
      <c r="J1027" s="38" t="n">
        <f aca="false">Sens!$I$1027*(1+Sens!$J$1028)</f>
        <v>362.927192787048</v>
      </c>
      <c r="K1027" s="38" t="n">
        <f aca="false">Sens!$J$1027*(1+Sens!$K$1028)</f>
        <v>381.0735524264</v>
      </c>
      <c r="L1027" s="38" t="n">
        <f aca="false">Sens!$K$1027*(1+Sens!$L$1028)</f>
        <v>400.12723004772</v>
      </c>
      <c r="M1027" s="38" t="n">
        <f aca="false">Sens!$L$1027*(1+Sens!$M$1028)</f>
        <v>420.133591550106</v>
      </c>
      <c r="N1027" s="38" t="n">
        <f aca="false">Q!$N$10</f>
        <v>118.892</v>
      </c>
      <c r="O1027" s="38" t="n">
        <f aca="false">Q!$O$10</f>
        <v>150.395</v>
      </c>
      <c r="P1027" s="8" t="s">
        <v>661</v>
      </c>
    </row>
    <row r="1028" customFormat="false" ht="17.15" hidden="false" customHeight="false" outlineLevel="0" collapsed="false">
      <c r="A1028" s="0" t="s">
        <v>662</v>
      </c>
      <c r="B1028" s="0" t="s">
        <v>52</v>
      </c>
      <c r="E1028" s="13" t="n">
        <f aca="false">Sens!$E$1027/Sens!$N$1027-1</f>
        <v>0.132843252699929</v>
      </c>
      <c r="F1028" s="13" t="n">
        <f aca="false">Sens!$O$1027/(Q!$F$10+Q!$G$10)-1</f>
        <v>0.0980382135842941</v>
      </c>
      <c r="G1028" s="13" t="n">
        <f aca="false">Sens!$G$1027/Sens!$D$1027-1</f>
        <v>0.0879837378791657</v>
      </c>
      <c r="H1028" s="13" t="n">
        <f aca="false">Sens!$F$1028+(g_os-Sens!$F$1028)*1/4</f>
        <v>0.0860286601882206</v>
      </c>
      <c r="I1028" s="13" t="n">
        <f aca="false">Sens!$F$1028+(g_os-Sens!$F$1028)*2/4</f>
        <v>0.074019106792147</v>
      </c>
      <c r="J1028" s="13" t="n">
        <f aca="false">Sens!$F$1028+(g_os-Sens!$F$1028)*3/4</f>
        <v>0.0620095533960735</v>
      </c>
      <c r="K1028" s="13" t="n">
        <f aca="false">Sens!$F$1028+(g_os-Sens!$F$1028)*4/4</f>
        <v>0.05</v>
      </c>
      <c r="L1028" s="13" t="n">
        <f aca="false">g_os</f>
        <v>0.05</v>
      </c>
      <c r="M1028" s="13" t="n">
        <f aca="false">g_os</f>
        <v>0.05</v>
      </c>
      <c r="P1028" s="8" t="s">
        <v>663</v>
      </c>
    </row>
    <row r="1029" customFormat="false" ht="17.15" hidden="false" customHeight="false" outlineLevel="0" collapsed="false">
      <c r="A1029" s="0" t="s">
        <v>517</v>
      </c>
      <c r="B1029" s="0" t="s">
        <v>86</v>
      </c>
      <c r="C1029" s="38" t="n">
        <f aca="false">Q!$D$11</f>
        <v>21.215</v>
      </c>
      <c r="D1029" s="38" t="n">
        <f aca="false">Q!$E$11</f>
        <v>22.561</v>
      </c>
      <c r="E1029" s="38" t="n">
        <f aca="false">Q!$P$11</f>
        <v>11.579</v>
      </c>
      <c r="F1029" s="38" t="n">
        <f aca="false">Sens!$O$1029*(1+Sens!$F$1030)*Sens!$F$1039</f>
        <v>11.5938724610325</v>
      </c>
      <c r="G1029" s="38" t="n">
        <f aca="false">Sens!$E$1029+Sens!$F$1029</f>
        <v>23.1728724610325</v>
      </c>
      <c r="H1029" s="38" t="n">
        <f aca="false">Sens!$G$1029*(1+Sens!$H$1030)</f>
        <v>24.353392759506</v>
      </c>
      <c r="I1029" s="38" t="n">
        <f aca="false">Sens!$H$1029*(1+Sens!$I$1030)</f>
        <v>25.4240338872015</v>
      </c>
      <c r="J1029" s="38" t="n">
        <f aca="false">Sens!$I$1029*(1+Sens!$J$1030)</f>
        <v>26.3642491017174</v>
      </c>
      <c r="K1029" s="38" t="n">
        <f aca="false">Sens!$J$1029*(1+Sens!$K$1030)</f>
        <v>27.155176574769</v>
      </c>
      <c r="L1029" s="38" t="n">
        <f aca="false">Sens!$K$1029*(1+Sens!$L$1030)</f>
        <v>27.969831872012</v>
      </c>
      <c r="M1029" s="38" t="n">
        <f aca="false">Sens!$L$1029*(1+Sens!$M$1030)</f>
        <v>28.8089268281724</v>
      </c>
      <c r="N1029" s="38" t="n">
        <f aca="false">Q!$N$11</f>
        <v>11.128</v>
      </c>
      <c r="O1029" s="38" t="n">
        <f aca="false">Q!$O$11</f>
        <v>11.433</v>
      </c>
      <c r="P1029" s="8" t="s">
        <v>661</v>
      </c>
    </row>
    <row r="1030" customFormat="false" ht="17.15" hidden="false" customHeight="false" outlineLevel="0" collapsed="false">
      <c r="A1030" s="0" t="s">
        <v>664</v>
      </c>
      <c r="B1030" s="0" t="s">
        <v>52</v>
      </c>
      <c r="E1030" s="13" t="n">
        <f aca="false">Sens!$E$1029/Sens!$N$1029-1</f>
        <v>0.0405283968368082</v>
      </c>
      <c r="F1030" s="13" t="n">
        <f aca="false">Sens!$O$1029/(Q!$F$11+Q!$G$11)-1</f>
        <v>0.0579254187100955</v>
      </c>
      <c r="G1030" s="13" t="n">
        <f aca="false">Sens!$G$1029/Sens!$D$1029-1</f>
        <v>0.0271208040881397</v>
      </c>
      <c r="H1030" s="13" t="n">
        <f aca="false">Sens!$F$1030+(g_ps-Sens!$F$1030)*1/4</f>
        <v>0.0509440640325716</v>
      </c>
      <c r="I1030" s="13" t="n">
        <f aca="false">Sens!$F$1030+(g_ps-Sens!$F$1030)*2/4</f>
        <v>0.0439627093550477</v>
      </c>
      <c r="J1030" s="13" t="n">
        <f aca="false">Sens!$F$1030+(g_ps-Sens!$F$1030)*3/4</f>
        <v>0.0369813546775239</v>
      </c>
      <c r="K1030" s="13" t="n">
        <f aca="false">Sens!$F$1030+(g_ps-Sens!$F$1030)*4/4</f>
        <v>0.03</v>
      </c>
      <c r="L1030" s="13" t="n">
        <f aca="false">g_ps</f>
        <v>0.03</v>
      </c>
      <c r="M1030" s="13" t="n">
        <f aca="false">g_ps</f>
        <v>0.03</v>
      </c>
      <c r="P1030" s="8" t="s">
        <v>665</v>
      </c>
    </row>
    <row r="1031" customFormat="false" ht="17.15" hidden="false" customHeight="false" outlineLevel="0" collapsed="false">
      <c r="A1031" s="0" t="s">
        <v>518</v>
      </c>
      <c r="B1031" s="0" t="s">
        <v>86</v>
      </c>
      <c r="C1031" s="38" t="n">
        <f aca="false">Q!$D$12</f>
        <v>156.146</v>
      </c>
      <c r="D1031" s="38" t="n">
        <f aca="false">Q!$E$12</f>
        <v>172.162</v>
      </c>
      <c r="E1031" s="38" t="n">
        <f aca="false">Q!$P$12</f>
        <v>88.358</v>
      </c>
      <c r="F1031" s="38" t="n">
        <f aca="false">Sens!$O$1031*(1+Sens!$F$1032)*Sens!$F$1039</f>
        <v>102.004388260171</v>
      </c>
      <c r="G1031" s="38" t="n">
        <f aca="false">Sens!$E$1031+Sens!$F$1031</f>
        <v>190.362388260171</v>
      </c>
      <c r="H1031" s="38" t="n">
        <f aca="false">Sens!$G$1031*(1+Sens!$H$1032)</f>
        <v>210.343106588311</v>
      </c>
      <c r="I1031" s="38" t="n">
        <f aca="false">Sens!$H$1031*(1+Sens!$I$1032)</f>
        <v>229.969728494648</v>
      </c>
      <c r="J1031" s="38" t="n">
        <f aca="false">Sens!$I$1031*(1+Sens!$J$1032)</f>
        <v>248.747636972598</v>
      </c>
      <c r="K1031" s="38" t="n">
        <f aca="false">Sens!$J$1031*(1+Sens!$K$1032)</f>
        <v>266.15997156068</v>
      </c>
      <c r="L1031" s="38" t="n">
        <f aca="false">Sens!$K$1031*(1+Sens!$L$1032)</f>
        <v>284.791169569927</v>
      </c>
      <c r="M1031" s="38" t="n">
        <f aca="false">Sens!$L$1031*(1+Sens!$M$1032)</f>
        <v>304.726551439822</v>
      </c>
      <c r="N1031" s="38" t="n">
        <f aca="false">Q!$N$12</f>
        <v>76.86</v>
      </c>
      <c r="O1031" s="38" t="n">
        <f aca="false">Q!$O$12</f>
        <v>95.302</v>
      </c>
      <c r="P1031" s="8" t="s">
        <v>661</v>
      </c>
    </row>
    <row r="1032" customFormat="false" ht="17.15" hidden="false" customHeight="false" outlineLevel="0" collapsed="false">
      <c r="A1032" s="0" t="s">
        <v>666</v>
      </c>
      <c r="B1032" s="0" t="s">
        <v>52</v>
      </c>
      <c r="E1032" s="13" t="n">
        <f aca="false">Sens!$E$1031/Sens!$N$1031-1</f>
        <v>0.1495966692688</v>
      </c>
      <c r="F1032" s="13" t="n">
        <f aca="false">Sens!$O$1031/(Q!$F$12+Q!$G$12)-1</f>
        <v>0.11661530890813</v>
      </c>
      <c r="G1032" s="13" t="n">
        <f aca="false">Sens!$G$1031/Sens!$D$1031-1</f>
        <v>0.105716640490767</v>
      </c>
      <c r="H1032" s="13" t="n">
        <f aca="false">Sens!$F$1032+(g_sp-Sens!$F$1032)*1/4</f>
        <v>0.104961481681098</v>
      </c>
      <c r="I1032" s="13" t="n">
        <f aca="false">Sens!$F$1032+(g_sp-Sens!$F$1032)*2/4</f>
        <v>0.0933076544540651</v>
      </c>
      <c r="J1032" s="13" t="n">
        <f aca="false">Sens!$F$1032+(g_sp-Sens!$F$1032)*3/4</f>
        <v>0.0816538272270325</v>
      </c>
      <c r="K1032" s="13" t="n">
        <f aca="false">Sens!$F$1032+(g_sp-Sens!$F$1032)*4/4</f>
        <v>0.07</v>
      </c>
      <c r="L1032" s="13" t="n">
        <f aca="false">g_sp</f>
        <v>0.07</v>
      </c>
      <c r="M1032" s="13" t="n">
        <f aca="false">g_sp</f>
        <v>0.07</v>
      </c>
      <c r="P1032" s="8" t="s">
        <v>667</v>
      </c>
    </row>
    <row r="1033" customFormat="false" ht="17.15" hidden="false" customHeight="false" outlineLevel="0" collapsed="false">
      <c r="A1033" s="0" t="s">
        <v>519</v>
      </c>
      <c r="B1033" s="0" t="s">
        <v>86</v>
      </c>
      <c r="C1033" s="38" t="n">
        <f aca="false">Q!$D$13</f>
        <v>56.214</v>
      </c>
      <c r="D1033" s="38" t="n">
        <f aca="false">Q!$E$13</f>
        <v>68.635</v>
      </c>
      <c r="E1033" s="38" t="n">
        <f aca="false">Q!$P$13</f>
        <v>37.052</v>
      </c>
      <c r="F1033" s="38" t="n">
        <f aca="false">Sens!$O$1033*(1+Sens!$F$1034)*Sens!$F$1039</f>
        <v>46.1572219944148</v>
      </c>
      <c r="G1033" s="38" t="n">
        <f aca="false">Sens!$E$1033+Sens!$F$1033</f>
        <v>83.2092219944148</v>
      </c>
      <c r="H1033" s="38" t="n">
        <f aca="false">Sens!$G$1033*(1+Sens!$H$1034)</f>
        <v>99.8969223878976</v>
      </c>
      <c r="I1033" s="38" t="n">
        <f aca="false">Sens!$H$1033*(1+Sens!$I$1034)</f>
        <v>116.583111095496</v>
      </c>
      <c r="J1033" s="38" t="n">
        <f aca="false">Sens!$I$1033*(1+Sens!$J$1034)</f>
        <v>132.148941941952</v>
      </c>
      <c r="K1033" s="38" t="n">
        <f aca="false">Sens!$J$1033*(1+Sens!$K$1034)</f>
        <v>145.363836136147</v>
      </c>
      <c r="L1033" s="38" t="n">
        <f aca="false">Sens!$K$1033*(1+Sens!$L$1034)</f>
        <v>159.900219749762</v>
      </c>
      <c r="M1033" s="38" t="n">
        <f aca="false">Sens!$L$1033*(1+Sens!$M$1034)</f>
        <v>175.890241724738</v>
      </c>
      <c r="N1033" s="38" t="n">
        <f aca="false">Q!$N$13</f>
        <v>29.615</v>
      </c>
      <c r="O1033" s="38" t="n">
        <f aca="false">Q!$O$13</f>
        <v>39.02</v>
      </c>
      <c r="P1033" s="8" t="s">
        <v>661</v>
      </c>
    </row>
    <row r="1034" customFormat="false" ht="17.15" hidden="false" customHeight="false" outlineLevel="0" collapsed="false">
      <c r="A1034" s="0" t="s">
        <v>668</v>
      </c>
      <c r="B1034" s="0" t="s">
        <v>52</v>
      </c>
      <c r="E1034" s="13" t="n">
        <f aca="false">Sens!$E$1033/Sens!$N$1033-1</f>
        <v>0.25112274185379</v>
      </c>
      <c r="F1034" s="13" t="n">
        <f aca="false">Sens!$O$1033/(Q!$F$13+Q!$G$13)-1</f>
        <v>0.234068123596572</v>
      </c>
      <c r="G1034" s="13" t="n">
        <f aca="false">Sens!$G$1033/Sens!$D$1033-1</f>
        <v>0.212343876949294</v>
      </c>
      <c r="H1034" s="13" t="n">
        <f aca="false">Sens!$F$1034+(g_ad-Sens!$F$1034)*1/4</f>
        <v>0.200551092697429</v>
      </c>
      <c r="I1034" s="13" t="n">
        <f aca="false">Sens!$F$1034+(g_ad-Sens!$F$1034)*2/4</f>
        <v>0.167034061798286</v>
      </c>
      <c r="J1034" s="13" t="n">
        <f aca="false">Sens!$F$1034+(g_ad-Sens!$F$1034)*3/4</f>
        <v>0.133517030899143</v>
      </c>
      <c r="K1034" s="13" t="n">
        <f aca="false">Sens!$F$1034+(g_ad-Sens!$F$1034)*4/4</f>
        <v>0.1</v>
      </c>
      <c r="L1034" s="13" t="n">
        <f aca="false">g_ad</f>
        <v>0.1</v>
      </c>
      <c r="M1034" s="13" t="n">
        <f aca="false">g_ad</f>
        <v>0.1</v>
      </c>
      <c r="P1034" s="8" t="s">
        <v>669</v>
      </c>
    </row>
    <row r="1035" customFormat="false" ht="17.15" hidden="false" customHeight="false" outlineLevel="0" collapsed="false">
      <c r="A1035" s="0" t="s">
        <v>520</v>
      </c>
      <c r="B1035" s="0" t="s">
        <v>86</v>
      </c>
      <c r="C1035" s="38" t="n">
        <f aca="false">Q!$D$14</f>
        <v>44.374</v>
      </c>
      <c r="D1035" s="38" t="n">
        <f aca="false">Q!$E$14</f>
        <v>49.619</v>
      </c>
      <c r="E1035" s="38" t="n">
        <f aca="false">Q!$P$14</f>
        <v>27.157</v>
      </c>
      <c r="F1035" s="38" t="n">
        <f aca="false">Sens!$O$1035*(1+Sens!$F$1036)*Sens!$F$1039</f>
        <v>27.7764165988154</v>
      </c>
      <c r="G1035" s="38" t="n">
        <f aca="false">Sens!$E$1035+Sens!$F$1035</f>
        <v>54.9334165988154</v>
      </c>
      <c r="H1035" s="38" t="n">
        <f aca="false">Sens!$G$1035*(1+Sens!$H$1036)</f>
        <v>61.1564112561829</v>
      </c>
      <c r="I1035" s="38" t="n">
        <f aca="false">Sens!$H$1035*(1+Sens!$I$1036)</f>
        <v>67.2020282103945</v>
      </c>
      <c r="J1035" s="38" t="n">
        <f aca="false">Sens!$I$1035*(1+Sens!$J$1036)</f>
        <v>72.8757274028885</v>
      </c>
      <c r="K1035" s="38" t="n">
        <f aca="false">Sens!$J$1035*(1+Sens!$K$1036)</f>
        <v>77.9770283210907</v>
      </c>
      <c r="L1035" s="38" t="n">
        <f aca="false">Sens!$K$1035*(1+Sens!$L$1036)</f>
        <v>83.4354203035671</v>
      </c>
      <c r="M1035" s="38" t="n">
        <f aca="false">Sens!$L$1035*(1+Sens!$M$1036)</f>
        <v>89.2758997248168</v>
      </c>
      <c r="N1035" s="38" t="n">
        <f aca="false">Q!$N$14</f>
        <v>23.923</v>
      </c>
      <c r="O1035" s="38" t="n">
        <f aca="false">Q!$O$14</f>
        <v>25.696</v>
      </c>
      <c r="P1035" s="8" t="s">
        <v>661</v>
      </c>
    </row>
    <row r="1036" customFormat="false" ht="17.15" hidden="false" customHeight="false" outlineLevel="0" collapsed="false">
      <c r="A1036" s="0" t="s">
        <v>670</v>
      </c>
      <c r="B1036" s="0" t="s">
        <v>52</v>
      </c>
      <c r="E1036" s="13" t="n">
        <f aca="false">Sens!$E$1035/Sens!$N$1035-1</f>
        <v>0.135183714417088</v>
      </c>
      <c r="F1036" s="13" t="n">
        <f aca="false">Sens!$O$1035/(Q!$F$14+Q!$G$14)-1</f>
        <v>0.127709997366804</v>
      </c>
      <c r="G1036" s="13" t="n">
        <f aca="false">Sens!$G$1035/Sens!$D$1035-1</f>
        <v>0.107104468022641</v>
      </c>
      <c r="H1036" s="13" t="n">
        <f aca="false">Sens!$F$1036+(g_sub-Sens!$F$1036)*1/4</f>
        <v>0.113282498025103</v>
      </c>
      <c r="I1036" s="13" t="n">
        <f aca="false">Sens!$F$1036+(g_sub-Sens!$F$1036)*2/4</f>
        <v>0.0988549986834021</v>
      </c>
      <c r="J1036" s="13" t="n">
        <f aca="false">Sens!$F$1036+(g_sub-Sens!$F$1036)*3/4</f>
        <v>0.084427499341701</v>
      </c>
      <c r="K1036" s="13" t="n">
        <f aca="false">Sens!$F$1036+(g_sub-Sens!$F$1036)*4/4</f>
        <v>0.07</v>
      </c>
      <c r="L1036" s="13" t="n">
        <f aca="false">g_sub</f>
        <v>0.07</v>
      </c>
      <c r="M1036" s="13" t="n">
        <f aca="false">g_sub</f>
        <v>0.07</v>
      </c>
      <c r="P1036" s="8" t="s">
        <v>671</v>
      </c>
    </row>
    <row r="1037" customFormat="false" ht="17.15" hidden="false" customHeight="false" outlineLevel="0" collapsed="false">
      <c r="A1037" s="0" t="s">
        <v>521</v>
      </c>
      <c r="B1037" s="0" t="s">
        <v>86</v>
      </c>
      <c r="C1037" s="38" t="n">
        <f aca="false">Q!$D$15</f>
        <v>5.425</v>
      </c>
      <c r="D1037" s="38" t="n">
        <f aca="false">Q!$E$15</f>
        <v>5.935</v>
      </c>
      <c r="E1037" s="38" t="n">
        <f aca="false">Q!$P$15</f>
        <v>3.474</v>
      </c>
      <c r="F1037" s="38" t="n">
        <f aca="false">Sens!$O$1037*(1+Sens!$F$1038)*Sens!$F$1039</f>
        <v>3.22246550883619</v>
      </c>
      <c r="G1037" s="38" t="n">
        <f aca="false">Sens!$E$1037+Sens!$F$1037</f>
        <v>6.69646550883619</v>
      </c>
      <c r="H1037" s="38" t="n">
        <f aca="false">Sens!$G$1037*(1+Sens!$H$1038)</f>
        <v>7.16251344209196</v>
      </c>
      <c r="I1037" s="38" t="n">
        <f aca="false">Sens!$H$1037*(1+Sens!$I$1038)</f>
        <v>7.61421070299826</v>
      </c>
      <c r="J1037" s="38" t="n">
        <f aca="false">Sens!$I$1037*(1+Sens!$J$1038)</f>
        <v>8.04465753523932</v>
      </c>
      <c r="K1037" s="38" t="n">
        <f aca="false">Sens!$J$1037*(1+Sens!$K$1038)</f>
        <v>8.44689041200128</v>
      </c>
      <c r="L1037" s="38" t="n">
        <f aca="false">Sens!$K$1037*(1+Sens!$L$1038)</f>
        <v>8.86923493260135</v>
      </c>
      <c r="M1037" s="38" t="n">
        <f aca="false">Sens!$L$1037*(1+Sens!$M$1038)</f>
        <v>9.31269667923142</v>
      </c>
      <c r="N1037" s="38" t="n">
        <f aca="false">Q!$N$15</f>
        <v>2.811</v>
      </c>
      <c r="O1037" s="38" t="n">
        <f aca="false">Q!$O$15</f>
        <v>3.124</v>
      </c>
      <c r="P1037" s="8" t="s">
        <v>661</v>
      </c>
    </row>
    <row r="1038" customFormat="false" ht="17.15" hidden="false" customHeight="false" outlineLevel="0" collapsed="false">
      <c r="A1038" s="0" t="s">
        <v>672</v>
      </c>
      <c r="B1038" s="0" t="s">
        <v>52</v>
      </c>
      <c r="E1038" s="13" t="n">
        <f aca="false">Sens!$E$1037/Sens!$N$1037-1</f>
        <v>0.235859124866596</v>
      </c>
      <c r="F1038" s="13" t="n">
        <f aca="false">Sens!$O$1037/(Q!$F$15+Q!$G$15)-1</f>
        <v>0.0761281433000345</v>
      </c>
      <c r="G1038" s="13" t="n">
        <f aca="false">Sens!$G$1037/Sens!$D$1037-1</f>
        <v>0.128300843948811</v>
      </c>
      <c r="H1038" s="13" t="n">
        <f aca="false">Sens!$F$1038+(g_ot-Sens!$F$1038)*1/4</f>
        <v>0.0695961074750259</v>
      </c>
      <c r="I1038" s="13" t="n">
        <f aca="false">Sens!$F$1038+(g_ot-Sens!$F$1038)*2/4</f>
        <v>0.0630640716500172</v>
      </c>
      <c r="J1038" s="13" t="n">
        <f aca="false">Sens!$F$1038+(g_ot-Sens!$F$1038)*3/4</f>
        <v>0.0565320358250086</v>
      </c>
      <c r="K1038" s="13" t="n">
        <f aca="false">Sens!$F$1038+(g_ot-Sens!$F$1038)*4/4</f>
        <v>0.05</v>
      </c>
      <c r="L1038" s="13" t="n">
        <f aca="false">g_ot</f>
        <v>0.05</v>
      </c>
      <c r="M1038" s="13" t="n">
        <f aca="false">g_ot</f>
        <v>0.05</v>
      </c>
      <c r="P1038" s="8" t="s">
        <v>673</v>
      </c>
    </row>
    <row r="1039" customFormat="false" ht="17.15" hidden="false" customHeight="false" outlineLevel="0" collapsed="false">
      <c r="A1039" s="0" t="s">
        <v>674</v>
      </c>
      <c r="B1039" s="0" t="s">
        <v>57</v>
      </c>
      <c r="F1039" s="40" t="n">
        <f aca="false">(g26q3_mid*Q!$O$8/Q!$J$8-Sens!$F$1068-Sens!$F$1072)/(Sens!$O$1027*(1+Sens!$F$1028)+Sens!$O$1029*(1+Sens!$F$1030)+Sens!$O$1031*(1+Sens!$F$1032)+Sens!$O$1033*(1+Sens!$F$1034)+Sens!$O$1035*(1+Sens!$F$1036)+Sens!$O$1037*(1+Sens!$F$1038))</f>
        <v>0.958546670622329</v>
      </c>
      <c r="P1039" s="8" t="s">
        <v>675</v>
      </c>
    </row>
    <row r="1040" customFormat="false" ht="17.15" hidden="false" customHeight="false" outlineLevel="0" collapsed="false">
      <c r="A1040" s="3" t="s">
        <v>676</v>
      </c>
      <c r="B1040" s="8" t="s">
        <v>86</v>
      </c>
      <c r="C1040" s="38" t="n">
        <f aca="false">Sens!$C$1027+Sens!$C$1029+Sens!$C$1031+Sens!$C$1033+Sens!$C$1035+Sens!$C$1037</f>
        <v>530.403</v>
      </c>
      <c r="D1040" s="38" t="n">
        <f aca="false">Sens!$D$1027+Sens!$D$1029+Sens!$D$1031+Sens!$D$1033+Sens!$D$1035+Sens!$D$1037</f>
        <v>588.199</v>
      </c>
      <c r="E1040" s="38" t="n">
        <f aca="false">Sens!$E$1027+Sens!$E$1029+Sens!$E$1031+Sens!$E$1033+Sens!$E$1035+Sens!$E$1037</f>
        <v>302.306</v>
      </c>
      <c r="F1040" s="38" t="n">
        <f aca="false">Sens!$F$1027+Sens!$F$1029+Sens!$F$1031+Sens!$F$1033+Sens!$F$1035+Sens!$F$1037</f>
        <v>349.048241645537</v>
      </c>
      <c r="G1040" s="38" t="n">
        <f aca="false">Sens!$G$1027+Sens!$G$1029+Sens!$G$1031+Sens!$G$1033+Sens!$G$1035+Sens!$G$1037</f>
        <v>651.354241645537</v>
      </c>
      <c r="H1040" s="38" t="n">
        <f aca="false">Sens!$H$1027+Sens!$H$1029+Sens!$H$1031+Sens!$H$1033+Sens!$H$1035+Sens!$H$1037</f>
        <v>721.096889521386</v>
      </c>
      <c r="I1040" s="38" t="n">
        <f aca="false">Sens!$I$1027+Sens!$I$1029+Sens!$I$1031+Sens!$I$1033+Sens!$I$1035+Sens!$I$1037</f>
        <v>788.529391152531</v>
      </c>
      <c r="J1040" s="38" t="n">
        <f aca="false">Sens!$J$1027+Sens!$J$1029+Sens!$J$1031+Sens!$J$1033+Sens!$J$1035+Sens!$J$1037</f>
        <v>851.108405741443</v>
      </c>
      <c r="K1040" s="38" t="n">
        <f aca="false">Sens!$K$1027+Sens!$K$1029+Sens!$K$1031+Sens!$K$1033+Sens!$K$1035+Sens!$K$1037</f>
        <v>906.176455431088</v>
      </c>
      <c r="L1040" s="38" t="n">
        <f aca="false">Sens!$L$1027+Sens!$L$1029+Sens!$L$1031+Sens!$L$1033+Sens!$L$1035+Sens!$L$1037</f>
        <v>965.093106475589</v>
      </c>
      <c r="M1040" s="38" t="n">
        <f aca="false">Sens!$M$1027+Sens!$M$1029+Sens!$M$1031+Sens!$M$1033+Sens!$M$1035+Sens!$M$1037</f>
        <v>1028.14790794689</v>
      </c>
      <c r="N1040" s="38" t="n">
        <f aca="false">Sens!$N$1027+Sens!$N$1029+Sens!$N$1031+Sens!$N$1033+Sens!$N$1035+Sens!$N$1037</f>
        <v>263.229</v>
      </c>
      <c r="O1040" s="38" t="n">
        <f aca="false">Sens!$O$1027+Sens!$O$1029+Sens!$O$1031+Sens!$O$1033+Sens!$O$1035+Sens!$O$1037</f>
        <v>324.97</v>
      </c>
    </row>
    <row r="1041" customFormat="false" ht="17.15" hidden="false" customHeight="false" outlineLevel="0" collapsed="false">
      <c r="A1041" s="5" t="s">
        <v>677</v>
      </c>
      <c r="B1041" s="0" t="s">
        <v>52</v>
      </c>
      <c r="C1041" s="13" t="n">
        <f aca="false">Q!$D$5/(Q!$D$5+Q!$D$6)</f>
        <v>0.730570905519011</v>
      </c>
      <c r="D1041" s="13" t="n">
        <f aca="false">Q!$E$5/(Q!$E$5+Q!$E$6)</f>
        <v>0.724763217890544</v>
      </c>
      <c r="E1041" s="13" t="n">
        <f aca="false">Q!$P$5/(Q!$P$5+Q!$P$6)</f>
        <v>0.728797972914861</v>
      </c>
      <c r="F1041" s="13" t="n">
        <f aca="false">Sens!$O$1041</f>
        <v>0.718066283041511</v>
      </c>
      <c r="G1041" s="13" t="n">
        <f aca="false">Sens!$G$1042/Sens!$G$1040</f>
        <v>0.723047066202847</v>
      </c>
      <c r="H1041" s="13" t="n">
        <f aca="false">Sens!$G$1041</f>
        <v>0.723047066202847</v>
      </c>
      <c r="I1041" s="13" t="n">
        <f aca="false">Sens!$G$1041</f>
        <v>0.723047066202847</v>
      </c>
      <c r="J1041" s="13" t="n">
        <f aca="false">Sens!$G$1041</f>
        <v>0.723047066202847</v>
      </c>
      <c r="K1041" s="13" t="n">
        <f aca="false">Sens!$G$1041</f>
        <v>0.723047066202847</v>
      </c>
      <c r="L1041" s="13" t="n">
        <f aca="false">Sens!$G$1041</f>
        <v>0.723047066202847</v>
      </c>
      <c r="M1041" s="13" t="n">
        <f aca="false">Sens!$G$1041</f>
        <v>0.723047066202847</v>
      </c>
      <c r="N1041" s="13" t="n">
        <f aca="false">Q!$N$5/(Q!$N$5+Q!$N$6)</f>
        <v>0.733030935041352</v>
      </c>
      <c r="O1041" s="13" t="n">
        <f aca="false">Q!$O$5/(Q!$O$5+Q!$O$6)</f>
        <v>0.718066283041511</v>
      </c>
      <c r="P1041" s="8" t="s">
        <v>678</v>
      </c>
    </row>
    <row r="1042" customFormat="false" ht="17.15" hidden="false" customHeight="false" outlineLevel="0" collapsed="false">
      <c r="A1042" s="1" t="s">
        <v>509</v>
      </c>
      <c r="B1042" s="8" t="s">
        <v>86</v>
      </c>
      <c r="C1042" s="38" t="n">
        <f aca="false">Q!$D$5</f>
        <v>387.497</v>
      </c>
      <c r="D1042" s="38" t="n">
        <f aca="false">Q!$E$5</f>
        <v>426.305</v>
      </c>
      <c r="E1042" s="38" t="n">
        <f aca="false">Q!$P$5</f>
        <v>220.32</v>
      </c>
      <c r="F1042" s="38" t="n">
        <f aca="false">Sens!$F$1040*Sens!$F$1041</f>
        <v>250.639773480586</v>
      </c>
      <c r="G1042" s="38" t="n">
        <f aca="false">Sens!$E$1042+Sens!$F$1042</f>
        <v>470.959773480586</v>
      </c>
      <c r="H1042" s="38" t="n">
        <f aca="false">Sens!$H$1040*Sens!$H$1041</f>
        <v>521.386990416437</v>
      </c>
      <c r="I1042" s="38" t="n">
        <f aca="false">Sens!$I$1040*Sens!$I$1041</f>
        <v>570.143862887555</v>
      </c>
      <c r="J1042" s="38" t="n">
        <f aca="false">Sens!$J$1040*Sens!$J$1041</f>
        <v>615.391435791933</v>
      </c>
      <c r="K1042" s="38" t="n">
        <f aca="false">Sens!$K$1040*Sens!$K$1041</f>
        <v>655.208227561543</v>
      </c>
      <c r="L1042" s="38" t="n">
        <f aca="false">Sens!$L$1040*Sens!$L$1041</f>
        <v>697.807739249767</v>
      </c>
      <c r="M1042" s="38" t="n">
        <f aca="false">Sens!$M$1040*Sens!$M$1041</f>
        <v>743.399328463592</v>
      </c>
      <c r="N1042" s="38" t="n">
        <f aca="false">Q!$N$5</f>
        <v>192.955</v>
      </c>
      <c r="O1042" s="38" t="n">
        <f aca="false">Q!$O$5</f>
        <v>233.35</v>
      </c>
      <c r="P1042" s="5" t="s">
        <v>679</v>
      </c>
    </row>
    <row r="1043" customFormat="false" ht="17.15" hidden="false" customHeight="false" outlineLevel="0" collapsed="false">
      <c r="A1043" s="1" t="s">
        <v>512</v>
      </c>
      <c r="B1043" s="8" t="s">
        <v>86</v>
      </c>
      <c r="C1043" s="38" t="n">
        <f aca="false">Q!$D$6</f>
        <v>142.906</v>
      </c>
      <c r="D1043" s="38" t="n">
        <f aca="false">Q!$E$6</f>
        <v>161.894</v>
      </c>
      <c r="E1043" s="38" t="n">
        <f aca="false">Q!$P$6</f>
        <v>81.986</v>
      </c>
      <c r="F1043" s="38" t="n">
        <f aca="false">Sens!$F$1040*(1-Sens!$F$1041)</f>
        <v>98.408468164951</v>
      </c>
      <c r="G1043" s="38" t="n">
        <f aca="false">Sens!$E$1043+Sens!$F$1043</f>
        <v>180.394468164951</v>
      </c>
      <c r="H1043" s="38" t="n">
        <f aca="false">Sens!$H$1040*(1-Sens!$H$1041)</f>
        <v>199.709899104949</v>
      </c>
      <c r="I1043" s="38" t="n">
        <f aca="false">Sens!$I$1040*(1-Sens!$I$1041)</f>
        <v>218.385528264976</v>
      </c>
      <c r="J1043" s="38" t="n">
        <f aca="false">Sens!$J$1040*(1-Sens!$J$1041)</f>
        <v>235.71696994951</v>
      </c>
      <c r="K1043" s="38" t="n">
        <f aca="false">Sens!$K$1040*(1-Sens!$K$1041)</f>
        <v>250.968227869545</v>
      </c>
      <c r="L1043" s="38" t="n">
        <f aca="false">Sens!$L$1040*(1-Sens!$L$1041)</f>
        <v>267.285367225822</v>
      </c>
      <c r="M1043" s="38" t="n">
        <f aca="false">Sens!$M$1040*(1-Sens!$M$1041)</f>
        <v>284.748579483295</v>
      </c>
      <c r="N1043" s="38" t="n">
        <f aca="false">Q!$N$6</f>
        <v>70.274</v>
      </c>
      <c r="O1043" s="38" t="n">
        <f aca="false">Q!$O$6</f>
        <v>91.62</v>
      </c>
      <c r="P1043" s="5" t="s">
        <v>680</v>
      </c>
    </row>
    <row r="1044" customFormat="false" ht="17.15" hidden="false" customHeight="false" outlineLevel="0" collapsed="false">
      <c r="A1044" s="5" t="s">
        <v>681</v>
      </c>
      <c r="B1044" s="0" t="s">
        <v>86</v>
      </c>
      <c r="C1044" s="38" t="n">
        <f aca="false">Sens!$C$1033*Sens!$C$1041</f>
        <v>41.0683128828457</v>
      </c>
      <c r="D1044" s="38" t="n">
        <f aca="false">Sens!$D$1033*Sens!$D$1041</f>
        <v>49.7441234599175</v>
      </c>
      <c r="E1044" s="38" t="n">
        <f aca="false">Sens!$E$1033*Sens!$E$1041</f>
        <v>27.0034224924414</v>
      </c>
      <c r="F1044" s="38" t="n">
        <f aca="false">Sens!$F$1033*Sens!$F$1041</f>
        <v>33.1439448330513</v>
      </c>
      <c r="G1044" s="38" t="n">
        <f aca="false">Sens!$G$1033*Sens!$G$1041</f>
        <v>60.164183844083</v>
      </c>
      <c r="H1044" s="38" t="n">
        <f aca="false">Sens!$H$1033*Sens!$H$1041</f>
        <v>72.2301766552629</v>
      </c>
      <c r="I1044" s="38" t="n">
        <f aca="false">Sens!$I$1033*Sens!$I$1041</f>
        <v>84.2950764463991</v>
      </c>
      <c r="J1044" s="38" t="n">
        <f aca="false">Sens!$J$1033*Sens!$J$1041</f>
        <v>95.5499047729386</v>
      </c>
      <c r="K1044" s="38" t="n">
        <f aca="false">Sens!$K$1033*Sens!$K$1041</f>
        <v>105.104895250232</v>
      </c>
      <c r="L1044" s="38" t="n">
        <f aca="false">Sens!$L$1033*Sens!$L$1041</f>
        <v>115.615384775256</v>
      </c>
      <c r="M1044" s="38" t="n">
        <f aca="false">Sens!$M$1033*Sens!$M$1041</f>
        <v>127.176923252781</v>
      </c>
      <c r="N1044" s="38" t="n">
        <f aca="false">Sens!$N$1033*Sens!$N$1041</f>
        <v>21.7087111412496</v>
      </c>
      <c r="O1044" s="38" t="n">
        <f aca="false">Sens!$O$1033*Sens!$O$1041</f>
        <v>28.0189463642798</v>
      </c>
      <c r="P1044" s="5" t="s">
        <v>682</v>
      </c>
    </row>
    <row r="1045" customFormat="false" ht="15" hidden="false" customHeight="false" outlineLevel="0" collapsed="false">
      <c r="A1045" s="5" t="s">
        <v>683</v>
      </c>
      <c r="B1045" s="0" t="s">
        <v>86</v>
      </c>
      <c r="C1045" s="38" t="n">
        <f aca="false">Sens!$C$1033-Sens!$C$1044</f>
        <v>15.1456871171543</v>
      </c>
      <c r="D1045" s="38" t="n">
        <f aca="false">Sens!$D$1033-Sens!$D$1044</f>
        <v>18.8908765400825</v>
      </c>
      <c r="E1045" s="38" t="n">
        <f aca="false">Sens!$E$1033-Sens!$E$1044</f>
        <v>10.0485775075586</v>
      </c>
      <c r="F1045" s="38" t="n">
        <f aca="false">Sens!$F$1033-Sens!$F$1044</f>
        <v>13.0132771613635</v>
      </c>
      <c r="G1045" s="38" t="n">
        <f aca="false">Sens!$G$1033-Sens!$G$1044</f>
        <v>23.0450381503318</v>
      </c>
      <c r="H1045" s="38" t="n">
        <f aca="false">Sens!$H$1033-Sens!$H$1044</f>
        <v>27.6667457326347</v>
      </c>
      <c r="I1045" s="38" t="n">
        <f aca="false">Sens!$I$1033-Sens!$I$1044</f>
        <v>32.2880346490971</v>
      </c>
      <c r="J1045" s="38" t="n">
        <f aca="false">Sens!$J$1033-Sens!$J$1044</f>
        <v>36.5990371690132</v>
      </c>
      <c r="K1045" s="38" t="n">
        <f aca="false">Sens!$K$1033-Sens!$K$1044</f>
        <v>40.2589408859145</v>
      </c>
      <c r="L1045" s="38" t="n">
        <f aca="false">Sens!$L$1033-Sens!$L$1044</f>
        <v>44.2848349745059</v>
      </c>
      <c r="M1045" s="38" t="n">
        <f aca="false">Sens!$M$1033-Sens!$M$1044</f>
        <v>48.7133184719565</v>
      </c>
      <c r="N1045" s="38" t="n">
        <f aca="false">Sens!$N$1033-Sens!$N$1044</f>
        <v>7.90628885875037</v>
      </c>
      <c r="O1045" s="38" t="n">
        <f aca="false">Sens!$O$1033-Sens!$O$1044</f>
        <v>11.0010536357202</v>
      </c>
    </row>
    <row r="1046" customFormat="false" ht="19.4" hidden="false" customHeight="false" outlineLevel="0" collapsed="false">
      <c r="A1046" s="31" t="s">
        <v>1148</v>
      </c>
    </row>
    <row r="1047" customFormat="false" ht="17.15" hidden="false" customHeight="false" outlineLevel="0" collapsed="false">
      <c r="A1047" s="6" t="s">
        <v>16</v>
      </c>
      <c r="B1047" s="6" t="s">
        <v>17</v>
      </c>
      <c r="C1047" s="20" t="s">
        <v>494</v>
      </c>
      <c r="D1047" s="20" t="s">
        <v>495</v>
      </c>
      <c r="E1047" s="20" t="s">
        <v>577</v>
      </c>
      <c r="F1047" s="20" t="s">
        <v>578</v>
      </c>
      <c r="G1047" s="20" t="s">
        <v>579</v>
      </c>
      <c r="H1047" s="20" t="s">
        <v>580</v>
      </c>
      <c r="I1047" s="20" t="s">
        <v>581</v>
      </c>
      <c r="J1047" s="20" t="s">
        <v>582</v>
      </c>
      <c r="K1047" s="20" t="s">
        <v>583</v>
      </c>
      <c r="L1047" s="20" t="s">
        <v>584</v>
      </c>
      <c r="M1047" s="20" t="s">
        <v>585</v>
      </c>
      <c r="N1047" s="20" t="s">
        <v>586</v>
      </c>
      <c r="O1047" s="20" t="s">
        <v>587</v>
      </c>
      <c r="P1047" s="6" t="s">
        <v>23</v>
      </c>
      <c r="R1047" s="20" t="n">
        <v>2023</v>
      </c>
      <c r="S1047" s="20" t="n">
        <v>2024</v>
      </c>
      <c r="T1047" s="20" t="n">
        <v>2025</v>
      </c>
      <c r="U1047" s="20" t="n">
        <v>2026</v>
      </c>
      <c r="V1047" s="20" t="n">
        <v>2027</v>
      </c>
      <c r="W1047" s="20" t="n">
        <v>2028</v>
      </c>
      <c r="X1047" s="20" t="n">
        <v>2029</v>
      </c>
      <c r="Y1047" s="20" t="n">
        <v>2030</v>
      </c>
      <c r="Z1047" s="20" t="n">
        <v>2031</v>
      </c>
      <c r="AA1047" s="20" t="n">
        <v>2032</v>
      </c>
    </row>
    <row r="1048" customFormat="false" ht="17.15" hidden="false" customHeight="false" outlineLevel="0" collapsed="false">
      <c r="A1048" s="1" t="s">
        <v>588</v>
      </c>
    </row>
    <row r="1049" customFormat="false" ht="17.15" hidden="false" customHeight="false" outlineLevel="0" collapsed="false">
      <c r="A1049" s="5" t="s">
        <v>589</v>
      </c>
      <c r="B1049" s="0" t="s">
        <v>144</v>
      </c>
      <c r="H1049" s="32" t="n">
        <f aca="false">pace_B</f>
        <v>3634.3</v>
      </c>
      <c r="I1049" s="32" t="n">
        <f aca="false">pace_B</f>
        <v>3634.3</v>
      </c>
      <c r="J1049" s="32" t="n">
        <f aca="false">pace_B</f>
        <v>3634.3</v>
      </c>
      <c r="K1049" s="32" t="n">
        <f aca="false">pace_B+(Sens!$J$1050*tg-pace_B)*1/3</f>
        <v>2570.86716666667</v>
      </c>
      <c r="L1049" s="32" t="n">
        <f aca="false">pace_B+(Sens!$J$1050*tg-pace_B)*2/3</f>
        <v>1507.43433333333</v>
      </c>
      <c r="M1049" s="32" t="n">
        <f aca="false">pace_B+(Sens!$J$1050*tg-pace_B)*3/3</f>
        <v>444.0015</v>
      </c>
      <c r="P1049" s="5" t="s">
        <v>590</v>
      </c>
    </row>
    <row r="1050" customFormat="false" ht="17.15" hidden="false" customHeight="false" outlineLevel="0" collapsed="false">
      <c r="A1050" s="15" t="s">
        <v>591</v>
      </c>
      <c r="B1050" s="14" t="s">
        <v>129</v>
      </c>
      <c r="C1050" s="33" t="n">
        <f aca="false">mw_ye24</f>
        <v>360</v>
      </c>
      <c r="D1050" s="33" t="n">
        <f aca="false">mw_ye25</f>
        <v>1440</v>
      </c>
      <c r="E1050" s="33" t="n">
        <f aca="false">mw_open</f>
        <v>2080</v>
      </c>
      <c r="F1050" s="33" t="n">
        <f aca="false">Sens!$E$1050+pace_B*0.5</f>
        <v>3897.15</v>
      </c>
      <c r="G1050" s="33" t="n">
        <f aca="false">Sens!$F$1050</f>
        <v>3897.15</v>
      </c>
      <c r="H1050" s="33" t="n">
        <f aca="false">Sens!$G$1050+Sens!$H$1049</f>
        <v>7531.45</v>
      </c>
      <c r="I1050" s="33" t="n">
        <f aca="false">Sens!$H$1050+Sens!$I$1049</f>
        <v>11165.75</v>
      </c>
      <c r="J1050" s="33" t="n">
        <f aca="false">Sens!$I$1050+Sens!$J$1049</f>
        <v>14800.05</v>
      </c>
      <c r="K1050" s="33" t="n">
        <f aca="false">Sens!$J$1050+Sens!$K$1049</f>
        <v>17370.9171666667</v>
      </c>
      <c r="L1050" s="33" t="n">
        <f aca="false">Sens!$K$1050+Sens!$L$1049</f>
        <v>18878.3515</v>
      </c>
      <c r="M1050" s="33" t="n">
        <f aca="false">Sens!$L$1050+Sens!$M$1049</f>
        <v>19322.353</v>
      </c>
      <c r="N1050" s="33" t="n">
        <f aca="false">(mw_ye24+mw_ye25)/2</f>
        <v>900</v>
      </c>
      <c r="O1050" s="33" t="n">
        <f aca="false">mw_ye25</f>
        <v>1440</v>
      </c>
      <c r="P1050" s="5" t="s">
        <v>592</v>
      </c>
    </row>
    <row r="1051" customFormat="false" ht="17.15" hidden="false" customHeight="false" outlineLevel="0" collapsed="false">
      <c r="A1051" s="5" t="s">
        <v>593</v>
      </c>
      <c r="B1051" s="0" t="s">
        <v>129</v>
      </c>
      <c r="C1051" s="32" t="n">
        <f aca="false">(mw_ye23+mw_ye24)/2</f>
        <v>240</v>
      </c>
      <c r="D1051" s="32" t="n">
        <f aca="false">(Sens!$C$1050+Sens!$D$1050)/2</f>
        <v>900</v>
      </c>
      <c r="E1051" s="32" t="n">
        <f aca="false">(Sens!$D$1050+Sens!$E$1050)/2</f>
        <v>1760</v>
      </c>
      <c r="F1051" s="32" t="n">
        <f aca="false">(Sens!$E$1050+Sens!$F$1050)/2</f>
        <v>2988.575</v>
      </c>
      <c r="G1051" s="32" t="n">
        <f aca="false">(Sens!$E$1051+Sens!$F$1051)/2</f>
        <v>2374.2875</v>
      </c>
      <c r="H1051" s="32" t="n">
        <f aca="false">(Sens!$G$1050+Sens!$H$1050)/2</f>
        <v>5714.3</v>
      </c>
      <c r="I1051" s="32" t="n">
        <f aca="false">(Sens!$H$1050+Sens!$I$1050)/2</f>
        <v>9348.6</v>
      </c>
      <c r="J1051" s="32" t="n">
        <f aca="false">(Sens!$I$1050+Sens!$J$1050)/2</f>
        <v>12982.9</v>
      </c>
      <c r="K1051" s="32" t="n">
        <f aca="false">(Sens!$J$1050+Sens!$K$1050)/2</f>
        <v>16085.4835833333</v>
      </c>
      <c r="L1051" s="32" t="n">
        <f aca="false">(Sens!$K$1050+Sens!$L$1050)/2</f>
        <v>18124.6343333333</v>
      </c>
      <c r="M1051" s="32" t="n">
        <f aca="false">(Sens!$L$1050+Sens!$M$1050)/2</f>
        <v>19100.35225</v>
      </c>
      <c r="N1051" s="32" t="n">
        <f aca="false">(Sens!$C$1050+Sens!$N$1050)/2</f>
        <v>630</v>
      </c>
      <c r="O1051" s="32" t="n">
        <f aca="false">(Sens!$N$1050+Sens!$O$1050)/2</f>
        <v>1170</v>
      </c>
    </row>
    <row r="1052" customFormat="false" ht="15" hidden="false" customHeight="false" outlineLevel="0" collapsed="false">
      <c r="A1052" s="5" t="s">
        <v>594</v>
      </c>
      <c r="B1052" s="5" t="s">
        <v>123</v>
      </c>
      <c r="C1052" s="34" t="n">
        <v>1</v>
      </c>
      <c r="D1052" s="34" t="n">
        <v>1</v>
      </c>
      <c r="E1052" s="34" t="n">
        <v>0.5</v>
      </c>
      <c r="F1052" s="34" t="n">
        <v>0.5</v>
      </c>
      <c r="G1052" s="34" t="n">
        <v>1</v>
      </c>
      <c r="H1052" s="34" t="n">
        <v>1</v>
      </c>
      <c r="I1052" s="34" t="n">
        <v>1</v>
      </c>
      <c r="J1052" s="34" t="n">
        <v>1</v>
      </c>
      <c r="K1052" s="34" t="n">
        <v>1</v>
      </c>
      <c r="L1052" s="34" t="n">
        <v>1</v>
      </c>
      <c r="M1052" s="34" t="n">
        <v>1</v>
      </c>
      <c r="N1052" s="34" t="n">
        <v>0.5</v>
      </c>
      <c r="O1052" s="34" t="n">
        <v>0.5</v>
      </c>
    </row>
    <row r="1053" customFormat="false" ht="17.15" hidden="false" customHeight="false" outlineLevel="0" collapsed="false">
      <c r="A1053" s="5" t="s">
        <v>595</v>
      </c>
      <c r="B1053" s="0" t="s">
        <v>129</v>
      </c>
      <c r="C1053" s="32" t="n">
        <f aca="false">Sens!$C$1050-mw_ye23</f>
        <v>240</v>
      </c>
      <c r="D1053" s="32" t="n">
        <f aca="false">Sens!$D$1050-Sens!$C$1050</f>
        <v>1080</v>
      </c>
      <c r="E1053" s="32" t="n">
        <f aca="false">Sens!$E$1050-Sens!$D$1050</f>
        <v>640</v>
      </c>
      <c r="F1053" s="32" t="n">
        <f aca="false">Sens!$F$1050-Sens!$E$1050</f>
        <v>1817.15</v>
      </c>
      <c r="G1053" s="32" t="n">
        <f aca="false">Sens!$E$1053+Sens!$F$1053</f>
        <v>2457.15</v>
      </c>
      <c r="H1053" s="32" t="n">
        <f aca="false">Sens!$H$1050-Sens!$G$1050</f>
        <v>3634.3</v>
      </c>
      <c r="I1053" s="32" t="n">
        <f aca="false">Sens!$I$1050-Sens!$H$1050</f>
        <v>3634.3</v>
      </c>
      <c r="J1053" s="32" t="n">
        <f aca="false">Sens!$J$1050-Sens!$I$1050</f>
        <v>3634.3</v>
      </c>
      <c r="K1053" s="32" t="n">
        <f aca="false">Sens!$K$1050-Sens!$J$1050</f>
        <v>2570.86716666667</v>
      </c>
      <c r="L1053" s="32" t="n">
        <f aca="false">Sens!$L$1050-Sens!$K$1050</f>
        <v>1507.43433333333</v>
      </c>
      <c r="M1053" s="32" t="n">
        <f aca="false">Sens!$M$1050-Sens!$L$1050</f>
        <v>444.001499999999</v>
      </c>
      <c r="N1053" s="32" t="n">
        <f aca="false">Sens!$N$1050-Sens!$C$1050</f>
        <v>540</v>
      </c>
      <c r="O1053" s="32" t="n">
        <f aca="false">Sens!$O$1050-Sens!$N$1050</f>
        <v>540</v>
      </c>
    </row>
    <row r="1054" customFormat="false" ht="17.15" hidden="false" customHeight="false" outlineLevel="0" collapsed="false">
      <c r="A1054" s="5" t="s">
        <v>596</v>
      </c>
      <c r="B1054" s="0" t="s">
        <v>129</v>
      </c>
      <c r="C1054" s="32" t="n">
        <f aca="false">Sens!$C$1053/ext_sh_hi</f>
        <v>240</v>
      </c>
      <c r="D1054" s="32" t="n">
        <f aca="false">Sens!$D$1053/ext_sh_hi</f>
        <v>1080</v>
      </c>
      <c r="E1054" s="32" t="n">
        <f aca="false">Sens!$E$1053/ext_sh_hi</f>
        <v>640</v>
      </c>
      <c r="F1054" s="32" t="n">
        <f aca="false">Sens!$F$1053/ext_sh_hi</f>
        <v>1817.15</v>
      </c>
      <c r="G1054" s="32" t="n">
        <f aca="false">Sens!$G$1053/ext_sh_hi</f>
        <v>2457.15</v>
      </c>
      <c r="H1054" s="32" t="n">
        <f aca="false">Sens!$H$1053/ext_sh_hi</f>
        <v>3634.3</v>
      </c>
      <c r="I1054" s="32" t="n">
        <f aca="false">Sens!$I$1053/ext_sh_hi</f>
        <v>3634.3</v>
      </c>
      <c r="J1054" s="32" t="n">
        <f aca="false">Sens!$J$1053/ext_sh_hi</f>
        <v>3634.3</v>
      </c>
      <c r="K1054" s="32" t="n">
        <f aca="false">Sens!$K$1053/ext_sh_hi</f>
        <v>2570.86716666667</v>
      </c>
      <c r="L1054" s="32" t="n">
        <f aca="false">Sens!$L$1053/ext_sh_hi</f>
        <v>1507.43433333333</v>
      </c>
      <c r="M1054" s="32" t="n">
        <f aca="false">Sens!$M$1053/ext_sh_hi</f>
        <v>444.001499999999</v>
      </c>
      <c r="N1054" s="32" t="n">
        <f aca="false">Sens!$N$1053/ext_sh_hi</f>
        <v>540</v>
      </c>
      <c r="O1054" s="32" t="n">
        <f aca="false">Sens!$O$1053/ext_sh_hi</f>
        <v>540</v>
      </c>
      <c r="P1054" s="8" t="s">
        <v>597</v>
      </c>
      <c r="R1054" s="32" t="n">
        <f aca="false">mw_ye23/ext_sh_hi</f>
        <v>120</v>
      </c>
      <c r="S1054" s="32" t="n">
        <f aca="false">Sens!$C$1054</f>
        <v>240</v>
      </c>
      <c r="T1054" s="32" t="n">
        <f aca="false">Sens!$D$1054</f>
        <v>1080</v>
      </c>
      <c r="U1054" s="32" t="n">
        <f aca="false">Sens!$G$1054</f>
        <v>2457.15</v>
      </c>
      <c r="V1054" s="32" t="n">
        <f aca="false">Sens!$H$1054</f>
        <v>3634.3</v>
      </c>
      <c r="W1054" s="32" t="n">
        <f aca="false">Sens!$I$1054</f>
        <v>3634.3</v>
      </c>
      <c r="X1054" s="32" t="n">
        <f aca="false">Sens!$J$1054</f>
        <v>3634.3</v>
      </c>
      <c r="Y1054" s="32" t="n">
        <f aca="false">Sens!$K$1054</f>
        <v>2570.86716666667</v>
      </c>
      <c r="Z1054" s="32" t="n">
        <f aca="false">Sens!$L$1054</f>
        <v>1507.43433333333</v>
      </c>
      <c r="AA1054" s="32" t="n">
        <f aca="false">Sens!$M$1054</f>
        <v>444.001499999999</v>
      </c>
    </row>
    <row r="1055" customFormat="false" ht="17.15" hidden="false" customHeight="false" outlineLevel="0" collapsed="false">
      <c r="A1055" s="1" t="s">
        <v>598</v>
      </c>
    </row>
    <row r="1056" customFormat="false" ht="17.15" hidden="false" customHeight="false" outlineLevel="0" collapsed="false">
      <c r="A1056" s="0" t="s">
        <v>599</v>
      </c>
      <c r="B1056" s="0" t="s">
        <v>52</v>
      </c>
      <c r="F1056" s="35" t="n">
        <f aca="false">na_vr26</f>
        <v>0</v>
      </c>
      <c r="G1056" s="35" t="n">
        <f aca="false">na_vr26</f>
        <v>0</v>
      </c>
      <c r="H1056" s="35" t="n">
        <f aca="false">na_vr27</f>
        <v>0.5</v>
      </c>
      <c r="I1056" s="35" t="n">
        <f aca="false">na_vr28</f>
        <v>1</v>
      </c>
      <c r="J1056" s="35" t="n">
        <f aca="false">na_vr28</f>
        <v>1</v>
      </c>
      <c r="K1056" s="35" t="n">
        <f aca="false">na_vr28</f>
        <v>1</v>
      </c>
      <c r="L1056" s="35" t="n">
        <f aca="false">na_vr28</f>
        <v>1</v>
      </c>
      <c r="M1056" s="35" t="n">
        <f aca="false">na_vr28</f>
        <v>1</v>
      </c>
    </row>
    <row r="1057" customFormat="false" ht="17.15" hidden="false" customHeight="false" outlineLevel="0" collapsed="false">
      <c r="A1057" s="5" t="s">
        <v>600</v>
      </c>
      <c r="B1057" s="0" t="s">
        <v>173</v>
      </c>
      <c r="F1057" s="36" t="n">
        <f aca="false">cust_sh*tk_he_gb300*cf_chip+(1-cust_sh)*((1-Sens!$F$1056)*tk_he_gb300+Sens!$F$1056*tk_he_vr200)</f>
        <v>10.8864110021101</v>
      </c>
      <c r="G1057" s="36" t="n">
        <f aca="false">cust_sh*tk_he_gb300*cf_chip+(1-cust_sh)*((1-Sens!$G$1056)*tk_he_gb300+Sens!$G$1056*tk_he_vr200)</f>
        <v>10.8864110021101</v>
      </c>
      <c r="H1057" s="36" t="n">
        <f aca="false">cust_sh*tk_he_gb300*cf_chip+(1-cust_sh)*((1-Sens!$H$1056)*tk_he_gb300+Sens!$H$1056*tk_he_vr200)</f>
        <v>11.2211760027286</v>
      </c>
      <c r="I1057" s="36" t="n">
        <f aca="false">cust_sh*tk_he_gb300*cf_chip+(1-cust_sh)*((1-Sens!$I$1056)*tk_he_gb300+Sens!$I$1056*tk_he_vr200)</f>
        <v>11.5559410033471</v>
      </c>
      <c r="J1057" s="36" t="n">
        <f aca="false">cust_sh*tk_he_gb300*cf_chip+(1-cust_sh)*((1-Sens!$J$1056)*tk_he_gb300+Sens!$J$1056*tk_he_vr200)</f>
        <v>11.5559410033471</v>
      </c>
      <c r="K1057" s="36" t="n">
        <f aca="false">cust_sh*tk_he_gb300*cf_chip+(1-cust_sh)*((1-Sens!$K$1056)*tk_he_gb300+Sens!$K$1056*tk_he_vr200)</f>
        <v>11.5559410033471</v>
      </c>
      <c r="L1057" s="36" t="n">
        <f aca="false">cust_sh*tk_he_gb300*cf_chip+(1-cust_sh)*((1-Sens!$L$1056)*tk_he_gb300+Sens!$L$1056*tk_he_vr200)</f>
        <v>11.5559410033471</v>
      </c>
      <c r="M1057" s="36" t="n">
        <f aca="false">cust_sh*tk_he_gb300*cf_chip+(1-cust_sh)*((1-Sens!$M$1056)*tk_he_gb300+Sens!$M$1056*tk_he_vr200)</f>
        <v>11.5559410033471</v>
      </c>
    </row>
    <row r="1058" customFormat="false" ht="17.15" hidden="false" customHeight="false" outlineLevel="0" collapsed="false">
      <c r="A1058" s="5" t="s">
        <v>601</v>
      </c>
      <c r="B1058" s="0" t="s">
        <v>173</v>
      </c>
      <c r="F1058" s="36" t="n">
        <f aca="false">cust_sh*tk_ox_gb300+(1-cust_sh)*((1-Sens!$F$1056)*tk_ox_gb300+Sens!$F$1056*tk_ox_vr200)</f>
        <v>1.98263481314457</v>
      </c>
      <c r="G1058" s="36" t="n">
        <f aca="false">cust_sh*tk_ox_gb300+(1-cust_sh)*((1-Sens!$G$1056)*tk_ox_gb300+Sens!$G$1056*tk_ox_vr200)</f>
        <v>1.98263481314457</v>
      </c>
      <c r="H1058" s="36" t="n">
        <f aca="false">cust_sh*tk_ox_gb300+(1-cust_sh)*((1-Sens!$H$1056)*tk_ox_gb300+Sens!$H$1056*tk_ox_vr200)</f>
        <v>2.01034999693694</v>
      </c>
      <c r="I1058" s="36" t="n">
        <f aca="false">cust_sh*tk_ox_gb300+(1-cust_sh)*((1-Sens!$I$1056)*tk_ox_gb300+Sens!$I$1056*tk_ox_vr200)</f>
        <v>2.0380651807293</v>
      </c>
      <c r="J1058" s="36" t="n">
        <f aca="false">cust_sh*tk_ox_gb300+(1-cust_sh)*((1-Sens!$J$1056)*tk_ox_gb300+Sens!$J$1056*tk_ox_vr200)</f>
        <v>2.0380651807293</v>
      </c>
      <c r="K1058" s="36" t="n">
        <f aca="false">cust_sh*tk_ox_gb300+(1-cust_sh)*((1-Sens!$K$1056)*tk_ox_gb300+Sens!$K$1056*tk_ox_vr200)</f>
        <v>2.0380651807293</v>
      </c>
      <c r="L1058" s="36" t="n">
        <f aca="false">cust_sh*tk_ox_gb300+(1-cust_sh)*((1-Sens!$L$1056)*tk_ox_gb300+Sens!$L$1056*tk_ox_vr200)</f>
        <v>2.0380651807293</v>
      </c>
      <c r="M1058" s="36" t="n">
        <f aca="false">cust_sh*tk_ox_gb300+(1-cust_sh)*((1-Sens!$M$1056)*tk_ox_gb300+Sens!$M$1056*tk_ox_vr200)</f>
        <v>2.0380651807293</v>
      </c>
    </row>
    <row r="1059" customFormat="false" ht="17.15" hidden="false" customHeight="false" outlineLevel="0" collapsed="false">
      <c r="A1059" s="5" t="s">
        <v>602</v>
      </c>
      <c r="B1059" s="0" t="s">
        <v>192</v>
      </c>
      <c r="F1059" s="36" t="n">
        <f aca="false">cust_sh*tk_cx_gb300*cf_cx+(1-cust_sh)*((1-Sens!$F$1056)*tk_cx_gb300+Sens!$F$1056*tk_cx_vr200)</f>
        <v>32.237224</v>
      </c>
      <c r="G1059" s="36" t="n">
        <f aca="false">cust_sh*tk_cx_gb300*cf_cx+(1-cust_sh)*((1-Sens!$G$1056)*tk_cx_gb300+Sens!$G$1056*tk_cx_vr200)</f>
        <v>32.237224</v>
      </c>
      <c r="H1059" s="36" t="n">
        <f aca="false">cust_sh*tk_cx_gb300*cf_cx+(1-cust_sh)*((1-Sens!$H$1056)*tk_cx_gb300+Sens!$H$1056*tk_cx_vr200)</f>
        <v>33.574506</v>
      </c>
      <c r="I1059" s="36" t="n">
        <f aca="false">cust_sh*tk_cx_gb300*cf_cx+(1-cust_sh)*((1-Sens!$I$1056)*tk_cx_gb300+Sens!$I$1056*tk_cx_vr200)</f>
        <v>34.911788</v>
      </c>
      <c r="J1059" s="36" t="n">
        <f aca="false">cust_sh*tk_cx_gb300*cf_cx+(1-cust_sh)*((1-Sens!$J$1056)*tk_cx_gb300+Sens!$J$1056*tk_cx_vr200)</f>
        <v>34.911788</v>
      </c>
      <c r="K1059" s="36" t="n">
        <f aca="false">cust_sh*tk_cx_gb300*cf_cx+(1-cust_sh)*((1-Sens!$K$1056)*tk_cx_gb300+Sens!$K$1056*tk_cx_vr200)</f>
        <v>34.911788</v>
      </c>
      <c r="L1059" s="36" t="n">
        <f aca="false">cust_sh*tk_cx_gb300*cf_cx+(1-cust_sh)*((1-Sens!$L$1056)*tk_cx_gb300+Sens!$L$1056*tk_cx_vr200)</f>
        <v>34.911788</v>
      </c>
      <c r="M1059" s="36" t="n">
        <f aca="false">cust_sh*tk_cx_gb300*cf_cx+(1-cust_sh)*((1-Sens!$M$1056)*tk_cx_gb300+Sens!$M$1056*tk_cx_vr200)</f>
        <v>34.911788</v>
      </c>
    </row>
    <row r="1060" customFormat="false" ht="17.15" hidden="false" customHeight="false" outlineLevel="0" collapsed="false">
      <c r="A1060" s="5" t="s">
        <v>603</v>
      </c>
      <c r="B1060" s="0" t="s">
        <v>129</v>
      </c>
      <c r="F1060" s="32" t="n">
        <f aca="false">Sens!$F$1050-mw_open</f>
        <v>1817.15</v>
      </c>
      <c r="G1060" s="32" t="n">
        <f aca="false">Sens!$F$1060</f>
        <v>1817.15</v>
      </c>
      <c r="H1060" s="32" t="n">
        <f aca="false">Sens!$H$1050-mw_open</f>
        <v>5451.45</v>
      </c>
      <c r="I1060" s="32" t="n">
        <f aca="false">Sens!$I$1050-mw_open</f>
        <v>9085.75</v>
      </c>
      <c r="J1060" s="32" t="n">
        <f aca="false">Sens!$J$1050-mw_open</f>
        <v>12720.05</v>
      </c>
      <c r="K1060" s="32" t="n">
        <f aca="false">Sens!$K$1050-mw_open</f>
        <v>15290.9171666667</v>
      </c>
      <c r="L1060" s="32" t="n">
        <f aca="false">Sens!$L$1050-mw_open</f>
        <v>16798.3515</v>
      </c>
      <c r="M1060" s="32" t="n">
        <f aca="false">Sens!$M$1050-mw_open</f>
        <v>17242.353</v>
      </c>
    </row>
    <row r="1061" customFormat="false" ht="17.15" hidden="false" customHeight="false" outlineLevel="0" collapsed="false">
      <c r="A1061" s="0" t="s">
        <v>604</v>
      </c>
      <c r="B1061" s="0" t="s">
        <v>605</v>
      </c>
      <c r="F1061" s="32" t="n">
        <f aca="false">Sens!$F$1053*Sens!$F$1057</f>
        <v>19782.2417524844</v>
      </c>
      <c r="G1061" s="32" t="n">
        <f aca="false">Sens!$F$1061</f>
        <v>19782.2417524844</v>
      </c>
      <c r="H1061" s="32" t="n">
        <f aca="false">Sens!$G$1061+Sens!$H$1053*Sens!$H$1057</f>
        <v>60563.3616992009</v>
      </c>
      <c r="I1061" s="32" t="n">
        <f aca="false">Sens!$H$1061+Sens!$I$1053*Sens!$I$1057</f>
        <v>102561.118087665</v>
      </c>
      <c r="J1061" s="32" t="n">
        <f aca="false">Sens!$I$1061+Sens!$J$1053*Sens!$J$1057</f>
        <v>144558.87447613</v>
      </c>
      <c r="K1061" s="32" t="n">
        <f aca="false">Sens!$J$1061+Sens!$K$1053*Sens!$K$1057</f>
        <v>174267.663781572</v>
      </c>
      <c r="L1061" s="32" t="n">
        <f aca="false">Sens!$K$1061+Sens!$L$1053*Sens!$L$1057</f>
        <v>191687.486003992</v>
      </c>
      <c r="M1061" s="32" t="n">
        <f aca="false">Sens!$L$1061+Sens!$M$1053*Sens!$M$1057</f>
        <v>196818.341143389</v>
      </c>
    </row>
    <row r="1062" customFormat="false" ht="17.15" hidden="false" customHeight="false" outlineLevel="0" collapsed="false">
      <c r="A1062" s="0" t="s">
        <v>606</v>
      </c>
      <c r="B1062" s="0" t="s">
        <v>605</v>
      </c>
      <c r="F1062" s="32" t="n">
        <f aca="false">Sens!$F$1053*Sens!$F$1058</f>
        <v>3602.74485070566</v>
      </c>
      <c r="G1062" s="32" t="n">
        <f aca="false">Sens!$F$1062</f>
        <v>3602.74485070566</v>
      </c>
      <c r="H1062" s="32" t="n">
        <f aca="false">Sens!$G$1062+Sens!$H$1053*Sens!$H$1058</f>
        <v>10908.9598445736</v>
      </c>
      <c r="I1062" s="32" t="n">
        <f aca="false">Sens!$H$1062+Sens!$I$1053*Sens!$I$1058</f>
        <v>18315.9001308981</v>
      </c>
      <c r="J1062" s="32" t="n">
        <f aca="false">Sens!$I$1062+Sens!$J$1053*Sens!$J$1058</f>
        <v>25722.8404172225</v>
      </c>
      <c r="K1062" s="32" t="n">
        <f aca="false">Sens!$J$1062+Sens!$K$1053*Sens!$K$1058</f>
        <v>30962.4352738861</v>
      </c>
      <c r="L1062" s="32" t="n">
        <f aca="false">Sens!$K$1062+Sens!$L$1053*Sens!$L$1058</f>
        <v>34034.6847008886</v>
      </c>
      <c r="M1062" s="32" t="n">
        <f aca="false">Sens!$L$1062+Sens!$M$1053*Sens!$M$1058</f>
        <v>34939.5886982302</v>
      </c>
    </row>
    <row r="1063" customFormat="false" ht="17.15" hidden="false" customHeight="false" outlineLevel="0" collapsed="false">
      <c r="A1063" s="5" t="s">
        <v>607</v>
      </c>
      <c r="B1063" s="0" t="s">
        <v>173</v>
      </c>
      <c r="F1063" s="36" t="n">
        <f aca="false">IF(Sens!$F$1060&gt;0,Sens!$F$1061/Sens!$F$1060,Sens!$F$1057)</f>
        <v>10.8864110021101</v>
      </c>
      <c r="G1063" s="36" t="n">
        <f aca="false">IF(Sens!$G$1060&gt;0,Sens!$G$1061/Sens!$G$1060,Sens!$G$1057)</f>
        <v>10.8864110021101</v>
      </c>
      <c r="H1063" s="36" t="n">
        <f aca="false">IF(Sens!$H$1060&gt;0,Sens!$H$1061/Sens!$H$1060,Sens!$H$1057)</f>
        <v>11.1095876691891</v>
      </c>
      <c r="I1063" s="36" t="n">
        <f aca="false">IF(Sens!$I$1060&gt;0,Sens!$I$1061/Sens!$I$1060,Sens!$I$1057)</f>
        <v>11.2881290028523</v>
      </c>
      <c r="J1063" s="36" t="n">
        <f aca="false">IF(Sens!$J$1060&gt;0,Sens!$J$1061/Sens!$J$1060,Sens!$J$1057)</f>
        <v>11.3646467172794</v>
      </c>
      <c r="K1063" s="36" t="n">
        <f aca="false">IF(Sens!$K$1060&gt;0,Sens!$K$1061/Sens!$K$1060,Sens!$K$1057)</f>
        <v>11.3968090914432</v>
      </c>
      <c r="L1063" s="36" t="n">
        <f aca="false">IF(Sens!$L$1060&gt;0,Sens!$L$1061/Sens!$L$1060,Sens!$L$1057)</f>
        <v>11.4110891181192</v>
      </c>
      <c r="M1063" s="36" t="n">
        <f aca="false">IF(Sens!$M$1060&gt;0,Sens!$M$1061/Sens!$M$1060,Sens!$M$1057)</f>
        <v>11.4148191458201</v>
      </c>
    </row>
    <row r="1064" customFormat="false" ht="17.15" hidden="false" customHeight="false" outlineLevel="0" collapsed="false">
      <c r="A1064" s="5" t="s">
        <v>608</v>
      </c>
      <c r="B1064" s="0" t="s">
        <v>173</v>
      </c>
      <c r="F1064" s="36" t="n">
        <f aca="false">IF(Sens!$F$1060&gt;0,Sens!$F$1062/Sens!$F$1060,Sens!$F$1058)</f>
        <v>1.98263481314457</v>
      </c>
      <c r="G1064" s="36" t="n">
        <f aca="false">IF(Sens!$G$1060&gt;0,Sens!$G$1062/Sens!$G$1060,Sens!$G$1058)</f>
        <v>1.98263481314457</v>
      </c>
      <c r="H1064" s="36" t="n">
        <f aca="false">IF(Sens!$H$1060&gt;0,Sens!$H$1062/Sens!$H$1060,Sens!$H$1058)</f>
        <v>2.00111160233948</v>
      </c>
      <c r="I1064" s="36" t="n">
        <f aca="false">IF(Sens!$I$1060&gt;0,Sens!$I$1062/Sens!$I$1060,Sens!$I$1058)</f>
        <v>2.01589303369541</v>
      </c>
      <c r="J1064" s="36" t="n">
        <f aca="false">IF(Sens!$J$1060&gt;0,Sens!$J$1062/Sens!$J$1060,Sens!$J$1058)</f>
        <v>2.02222793284795</v>
      </c>
      <c r="K1064" s="36" t="n">
        <f aca="false">IF(Sens!$K$1060&gt;0,Sens!$K$1062/Sens!$K$1060,Sens!$K$1058)</f>
        <v>2.02489065478573</v>
      </c>
      <c r="L1064" s="36" t="n">
        <f aca="false">IF(Sens!$L$1060&gt;0,Sens!$L$1062/Sens!$L$1060,Sens!$L$1058)</f>
        <v>2.0260728977417</v>
      </c>
      <c r="M1064" s="36" t="n">
        <f aca="false">IF(Sens!$M$1060&gt;0,Sens!$M$1062/Sens!$M$1060,Sens!$M$1058)</f>
        <v>2.02638170661685</v>
      </c>
    </row>
    <row r="1065" customFormat="false" ht="17.15" hidden="false" customHeight="false" outlineLevel="0" collapsed="false">
      <c r="A1065" s="15" t="s">
        <v>609</v>
      </c>
      <c r="B1065" s="14" t="s">
        <v>173</v>
      </c>
      <c r="C1065" s="14"/>
      <c r="D1065" s="14"/>
      <c r="E1065" s="14"/>
      <c r="F1065" s="37" t="n">
        <f aca="false">Sens!$F$1063*k_B</f>
        <v>10.7987645808025</v>
      </c>
      <c r="G1065" s="37" t="n">
        <f aca="false">Sens!$G$1063*k_B</f>
        <v>10.7987645808025</v>
      </c>
      <c r="H1065" s="37" t="n">
        <f aca="false">Sens!$H$1063*k_B</f>
        <v>11.0201444540452</v>
      </c>
      <c r="I1065" s="37" t="n">
        <f aca="false">Sens!$I$1063*k_B</f>
        <v>11.1972483526393</v>
      </c>
      <c r="J1065" s="37" t="n">
        <f aca="false">Sens!$J$1063*k_B</f>
        <v>11.2731500234653</v>
      </c>
      <c r="K1065" s="37" t="n">
        <f aca="false">Sens!$K$1063*k_B</f>
        <v>11.3050534585724</v>
      </c>
      <c r="L1065" s="37" t="n">
        <f aca="false">Sens!$L$1063*k_B</f>
        <v>11.3192185168503</v>
      </c>
      <c r="M1065" s="37" t="n">
        <f aca="false">Sens!$M$1063*k_B</f>
        <v>11.3229185141234</v>
      </c>
      <c r="N1065" s="14"/>
      <c r="O1065" s="14"/>
      <c r="P1065" s="5" t="s">
        <v>610</v>
      </c>
    </row>
    <row r="1066" customFormat="false" ht="17.15" hidden="false" customHeight="false" outlineLevel="0" collapsed="false">
      <c r="A1066" s="5" t="s">
        <v>611</v>
      </c>
      <c r="B1066" s="0" t="s">
        <v>129</v>
      </c>
      <c r="F1066" s="32" t="n">
        <f aca="false">Sens!$F$1060/2</f>
        <v>908.575</v>
      </c>
      <c r="H1066" s="32" t="n">
        <f aca="false">(Sens!$G$1060+Sens!$H$1060)/2</f>
        <v>3634.3</v>
      </c>
      <c r="I1066" s="32" t="n">
        <f aca="false">(Sens!$H$1060+Sens!$I$1060)/2</f>
        <v>7268.6</v>
      </c>
      <c r="J1066" s="32" t="n">
        <f aca="false">(Sens!$I$1060+Sens!$J$1060)/2</f>
        <v>10902.9</v>
      </c>
      <c r="K1066" s="32" t="n">
        <f aca="false">(Sens!$J$1060+Sens!$K$1060)/2</f>
        <v>14005.4835833333</v>
      </c>
      <c r="L1066" s="32" t="n">
        <f aca="false">(Sens!$K$1060+Sens!$L$1060)/2</f>
        <v>16044.6343333333</v>
      </c>
      <c r="M1066" s="32" t="n">
        <f aca="false">(Sens!$L$1060+Sens!$M$1060)/2</f>
        <v>17020.35225</v>
      </c>
    </row>
    <row r="1067" customFormat="false" ht="17.15" hidden="false" customHeight="false" outlineLevel="0" collapsed="false">
      <c r="A1067" s="1" t="s">
        <v>612</v>
      </c>
    </row>
    <row r="1068" customFormat="false" ht="17.15" hidden="false" customHeight="false" outlineLevel="0" collapsed="false">
      <c r="A1068" s="1" t="s">
        <v>613</v>
      </c>
      <c r="B1068" s="8" t="s">
        <v>86</v>
      </c>
      <c r="C1068" s="38" t="n">
        <f aca="false">Sens!$C$1051*rpm_open*Sens!$C$1052/1000</f>
        <v>2.32100535697364</v>
      </c>
      <c r="D1068" s="38" t="n">
        <f aca="false">Sens!$D$1051*rpm_open*Sens!$D$1052/1000</f>
        <v>8.70377008865116</v>
      </c>
      <c r="E1068" s="38" t="n">
        <f aca="false">Sens!$E$1051*rpm_open*Sens!$E$1052/1000</f>
        <v>8.51035297557002</v>
      </c>
      <c r="F1068" s="38" t="n">
        <f aca="false">(mw_open*rpm_open+Sens!$F$1066*Sens!$F$1065)*Sens!$F$1052/1000</f>
        <v>14.9634336447205</v>
      </c>
      <c r="G1068" s="38" t="n">
        <f aca="false">Sens!$E$1068+Sens!$F$1068</f>
        <v>23.4737866202905</v>
      </c>
      <c r="H1068" s="38" t="n">
        <f aca="false">(mw_open*rpm_open+Sens!$H$1066*Sens!$H$1065)/1000</f>
        <v>60.1658907497746</v>
      </c>
      <c r="I1068" s="38" t="n">
        <f aca="false">(mw_open*rpm_open+Sens!$I$1066*Sens!$I$1065)/1000</f>
        <v>101.503699136432</v>
      </c>
      <c r="J1068" s="38" t="n">
        <f aca="false">(mw_open*rpm_open+Sens!$J$1066*Sens!$J$1065)/1000</f>
        <v>143.025407151278</v>
      </c>
      <c r="K1068" s="38" t="n">
        <f aca="false">(mw_open*rpm_open+Sens!$K$1066*Sens!$K$1065)/1000</f>
        <v>178.44812038318</v>
      </c>
      <c r="L1068" s="38" t="n">
        <f aca="false">(mw_open*rpm_open+Sens!$L$1066*Sens!$L$1065)/1000</f>
        <v>201.728101802396</v>
      </c>
      <c r="M1068" s="38" t="n">
        <f aca="false">(mw_open*rpm_open+Sens!$M$1066*Sens!$M$1065)/1000</f>
        <v>212.835441368865</v>
      </c>
      <c r="N1068" s="38" t="n">
        <f aca="false">Sens!$N$1051*rpm_open*Sens!$N$1052/1000</f>
        <v>3.04631953102791</v>
      </c>
      <c r="O1068" s="38" t="n">
        <f aca="false">Sens!$O$1051*rpm_open*Sens!$O$1052/1000</f>
        <v>5.65745055762326</v>
      </c>
      <c r="P1068" s="5" t="s">
        <v>614</v>
      </c>
    </row>
    <row r="1069" customFormat="false" ht="17.15" hidden="false" customHeight="false" outlineLevel="0" collapsed="false">
      <c r="A1069" s="5" t="s">
        <v>615</v>
      </c>
      <c r="B1069" s="0" t="s">
        <v>173</v>
      </c>
      <c r="C1069" s="36" t="n">
        <f aca="false">Sens!$C$1068*1000/(Sens!$C$1051*Sens!$C$1052)</f>
        <v>9.67085565405685</v>
      </c>
      <c r="D1069" s="36" t="n">
        <f aca="false">Sens!$D$1068*1000/(Sens!$D$1051*Sens!$D$1052)</f>
        <v>9.67085565405685</v>
      </c>
      <c r="E1069" s="36" t="n">
        <f aca="false">Sens!$E$1068*1000/(Sens!$E$1051*Sens!$E$1052)</f>
        <v>9.67085565405685</v>
      </c>
      <c r="F1069" s="36" t="n">
        <f aca="false">Sens!$F$1068*1000/(Sens!$F$1051*Sens!$F$1052)</f>
        <v>10.0137581588017</v>
      </c>
      <c r="G1069" s="36" t="n">
        <f aca="false">Sens!$G$1068*1000/(Sens!$G$1051*Sens!$G$1052)</f>
        <v>9.88666562928478</v>
      </c>
      <c r="H1069" s="36" t="n">
        <f aca="false">Sens!$H$1068*1000/(Sens!$H$1051*Sens!$H$1052)</f>
        <v>10.5290045586992</v>
      </c>
      <c r="I1069" s="36" t="n">
        <f aca="false">Sens!$I$1068*1000/(Sens!$I$1051*Sens!$I$1052)</f>
        <v>10.8576363451674</v>
      </c>
      <c r="J1069" s="36" t="n">
        <f aca="false">Sens!$J$1068*1000/(Sens!$J$1051*Sens!$J$1052)</f>
        <v>11.0164452588619</v>
      </c>
      <c r="K1069" s="36" t="n">
        <f aca="false">Sens!$K$1068*1000/(Sens!$K$1051*Sens!$K$1052)</f>
        <v>11.0937367508227</v>
      </c>
      <c r="L1069" s="36" t="n">
        <f aca="false">Sens!$L$1068*1000/(Sens!$L$1051*Sens!$L$1052)</f>
        <v>11.1300508519168</v>
      </c>
      <c r="M1069" s="36" t="n">
        <f aca="false">Sens!$M$1068*1000/(Sens!$M$1051*Sens!$M$1052)</f>
        <v>11.1430113216297</v>
      </c>
      <c r="N1069" s="36" t="n">
        <f aca="false">Sens!$N$1068*1000/(Sens!$N$1051*Sens!$N$1052)</f>
        <v>9.67085565405685</v>
      </c>
      <c r="O1069" s="36" t="n">
        <f aca="false">Sens!$O$1068*1000/(Sens!$O$1051*Sens!$O$1052)</f>
        <v>9.67085565405685</v>
      </c>
    </row>
    <row r="1070" customFormat="false" ht="17.15" hidden="false" customHeight="false" outlineLevel="0" collapsed="false">
      <c r="A1070" s="0" t="s">
        <v>616</v>
      </c>
      <c r="B1070" s="0" t="s">
        <v>86</v>
      </c>
      <c r="C1070" s="38" t="n">
        <f aca="false">Sens!$C$1051/ext_sh_hi*(ox_open+rent_mw)*Sens!$C$1052/1000</f>
        <v>0.514055368540026</v>
      </c>
      <c r="D1070" s="38" t="n">
        <f aca="false">Sens!$D$1051/ext_sh_hi*(ox_open+rent_mw)*Sens!$D$1052/1000</f>
        <v>1.9277076320251</v>
      </c>
      <c r="E1070" s="38" t="n">
        <f aca="false">Sens!$E$1051/ext_sh_hi*(ox_open+rent_mw)*Sens!$E$1052/1000</f>
        <v>1.88486968464676</v>
      </c>
      <c r="F1070" s="38" t="n">
        <f aca="false">((mw_open*ox_open+Sens!$F$1066*Sens!$F$1064)/ext_sh_hi+Sens!$F$1051/ext_sh_hi*rent_mw)*Sens!$F$1052/1000</f>
        <v>3.24337592884986</v>
      </c>
      <c r="G1070" s="38" t="n">
        <f aca="false">Sens!$E$1070+Sens!$F$1070</f>
        <v>5.12824561349662</v>
      </c>
      <c r="H1070" s="38" t="n">
        <f aca="false">((mw_open*ox_open+Sens!$H$1066*Sens!$H$1064)/ext_sh_hi+Sens!$H$1051/ext_sh_hi*rent_mw)*Sens!$H$1052/1000</f>
        <v>12.6487180437293</v>
      </c>
      <c r="I1070" s="38" t="n">
        <f aca="false">((mw_open*ox_open+Sens!$I$1066*Sens!$I$1064)/ext_sh_hi+Sens!$I$1051/ext_sh_hi*rent_mw)*Sens!$I$1052/1000</f>
        <v>20.9497298720653</v>
      </c>
      <c r="J1070" s="38" t="n">
        <f aca="false">((mw_open*ox_open+Sens!$J$1066*Sens!$J$1064)/ext_sh_hi+Sens!$J$1051/ext_sh_hi*rent_mw)*Sens!$J$1052/1000</f>
        <v>29.2660903163948</v>
      </c>
      <c r="K1070" s="38" t="n">
        <f aca="false">((mw_open*ox_open+Sens!$K$1066*Sens!$K$1064)/ext_sh_hi+Sens!$K$1051/ext_sh_hi*rent_mw)*Sens!$K$1052/1000</f>
        <v>36.3637088910102</v>
      </c>
      <c r="L1070" s="38" t="n">
        <f aca="false">((mw_open*ox_open+Sens!$L$1066*Sens!$L$1064)/ext_sh_hi+Sens!$L$1051/ext_sh_hi*rent_mw)*Sens!$L$1052/1000</f>
        <v>41.0284556443562</v>
      </c>
      <c r="M1070" s="38" t="n">
        <f aca="false">((mw_open*ox_open+Sens!$M$1066*Sens!$M$1064)/ext_sh_hi+Sens!$M$1051/ext_sh_hi*rent_mw)*Sens!$M$1052/1000</f>
        <v>43.2578342270719</v>
      </c>
      <c r="N1070" s="38" t="n">
        <f aca="false">Sens!$N$1051/ext_sh_hi*(ox_open+rent_mw)*Sens!$N$1052/1000</f>
        <v>0.674697671208784</v>
      </c>
      <c r="O1070" s="38" t="n">
        <f aca="false">Sens!$O$1051/ext_sh_hi*(ox_open+rent_mw)*Sens!$O$1052/1000</f>
        <v>1.25300996081631</v>
      </c>
    </row>
    <row r="1071" customFormat="false" ht="17.15" hidden="false" customHeight="false" outlineLevel="0" collapsed="false">
      <c r="A1071" s="0" t="s">
        <v>617</v>
      </c>
      <c r="B1071" s="0" t="s">
        <v>86</v>
      </c>
      <c r="C1071" s="38" t="n">
        <f aca="false">Q!$D$7</f>
        <v>107.556</v>
      </c>
      <c r="D1071" s="38" t="n">
        <f aca="false">Q!$E$7</f>
        <v>128.725</v>
      </c>
      <c r="E1071" s="38" t="n">
        <f aca="false">Q!$P$7</f>
        <v>79.819</v>
      </c>
      <c r="N1071" s="38" t="n">
        <f aca="false">Q!$N$7</f>
        <v>60.14</v>
      </c>
      <c r="O1071" s="38" t="n">
        <f aca="false">Q!$O$7</f>
        <v>68.585</v>
      </c>
    </row>
    <row r="1072" customFormat="false" ht="17.15" hidden="false" customHeight="false" outlineLevel="0" collapsed="false">
      <c r="A1072" s="1" t="s">
        <v>618</v>
      </c>
      <c r="B1072" s="8" t="s">
        <v>86</v>
      </c>
      <c r="C1072" s="38" t="n">
        <f aca="false">Sens!$C$1071-Sens!$C$1068</f>
        <v>105.234994643026</v>
      </c>
      <c r="D1072" s="38" t="n">
        <f aca="false">Sens!$D$1071-Sens!$D$1068</f>
        <v>120.021229911349</v>
      </c>
      <c r="E1072" s="38" t="n">
        <f aca="false">Sens!$E$1071-Sens!$E$1068</f>
        <v>71.30864702443</v>
      </c>
      <c r="F1072" s="38" t="n">
        <f aca="false">Sens!$O$1072*(1+Sens!$F$1073)</f>
        <v>71.7692997942464</v>
      </c>
      <c r="G1072" s="38" t="n">
        <f aca="false">Sens!$E$1072+Sens!$F$1072</f>
        <v>143.077946818676</v>
      </c>
      <c r="H1072" s="38" t="n">
        <f aca="false">Sens!$G$1072*(1+Sens!$H$1073)</f>
        <v>161.017077079203</v>
      </c>
      <c r="I1072" s="38" t="n">
        <f aca="false">Sens!$H$1072*(1+Sens!$I$1073)</f>
        <v>178.769759521457</v>
      </c>
      <c r="J1072" s="38" t="n">
        <f aca="false">Sens!$I$1072*(1+Sens!$J$1073)</f>
        <v>195.775538045907</v>
      </c>
      <c r="K1072" s="38" t="n">
        <f aca="false">Sens!$J$1072*(1+Sens!$K$1073)</f>
        <v>211.43758108958</v>
      </c>
      <c r="L1072" s="38" t="n">
        <f aca="false">Sens!$K$1072*(1+Sens!$L$1073)</f>
        <v>228.352587576746</v>
      </c>
      <c r="M1072" s="38" t="n">
        <f aca="false">Sens!$L$1072*(1+Sens!$M$1073)</f>
        <v>246.620794582886</v>
      </c>
      <c r="N1072" s="38" t="n">
        <f aca="false">Sens!$N$1071-Sens!$N$1068</f>
        <v>57.0936804689721</v>
      </c>
      <c r="O1072" s="38" t="n">
        <f aca="false">Sens!$O$1071-Sens!$O$1068</f>
        <v>62.9275494423768</v>
      </c>
      <c r="P1072" s="5" t="s">
        <v>619</v>
      </c>
    </row>
    <row r="1073" customFormat="false" ht="17.15" hidden="false" customHeight="false" outlineLevel="0" collapsed="false">
      <c r="A1073" s="0" t="s">
        <v>620</v>
      </c>
      <c r="B1073" s="0" t="s">
        <v>52</v>
      </c>
      <c r="D1073" s="13" t="n">
        <f aca="false">Sens!$D$1072/Sens!$C$1072-1</f>
        <v>0.140506827776062</v>
      </c>
      <c r="E1073" s="13" t="n">
        <f aca="false">Sens!$E$1072/Sens!$N$1072-1</f>
        <v>0.248976181579029</v>
      </c>
      <c r="F1073" s="13" t="n">
        <f aca="false">Sens!$D$1073</f>
        <v>0.140506827776062</v>
      </c>
      <c r="G1073" s="13" t="n">
        <f aca="false">Sens!$G$1072/Sens!$D$1072-1</f>
        <v>0.19210532106993</v>
      </c>
      <c r="H1073" s="13" t="n">
        <f aca="false">Sens!$F$1073+(g_awso_lt-Sens!$F$1073)*1/4</f>
        <v>0.125380120832046</v>
      </c>
      <c r="I1073" s="13" t="n">
        <f aca="false">Sens!$F$1073+(g_awso_lt-Sens!$F$1073)*2/4</f>
        <v>0.110253413888031</v>
      </c>
      <c r="J1073" s="13" t="n">
        <f aca="false">Sens!$F$1073+(g_awso_lt-Sens!$F$1073)*3/4</f>
        <v>0.0951267069440154</v>
      </c>
      <c r="K1073" s="13" t="n">
        <f aca="false">Sens!$F$1073+(g_awso_lt-Sens!$F$1073)*4/4</f>
        <v>0.08</v>
      </c>
      <c r="L1073" s="13" t="n">
        <f aca="false">g_awso_lt</f>
        <v>0.08</v>
      </c>
      <c r="M1073" s="13" t="n">
        <f aca="false">g_awso_lt</f>
        <v>0.08</v>
      </c>
      <c r="P1073" s="5" t="s">
        <v>621</v>
      </c>
    </row>
    <row r="1074" customFormat="false" ht="17.15" hidden="false" customHeight="false" outlineLevel="0" collapsed="false">
      <c r="A1074" s="1" t="s">
        <v>622</v>
      </c>
    </row>
    <row r="1075" customFormat="false" ht="17.15" hidden="false" customHeight="false" outlineLevel="0" collapsed="false">
      <c r="A1075" s="0" t="s">
        <v>623</v>
      </c>
      <c r="B1075" s="0" t="s">
        <v>86</v>
      </c>
      <c r="F1075" s="38" t="n">
        <f aca="false">cx_rt*Sens!$F$1040+cx_awso*Sens!$F$1072</f>
        <v>34.9734495387866</v>
      </c>
    </row>
    <row r="1076" customFormat="false" ht="17.15" hidden="false" customHeight="false" outlineLevel="0" collapsed="false">
      <c r="A1076" s="0" t="s">
        <v>624</v>
      </c>
      <c r="B1076" s="0" t="s">
        <v>52</v>
      </c>
      <c r="C1076" s="13" t="n">
        <f aca="false">tk_cx_h100/(tk_cx_h100+tk_fac*(1-colo_sh))</f>
        <v>0.730756458006641</v>
      </c>
      <c r="D1076" s="13" t="n">
        <f aca="false">tk_cx_h100/(tk_cx_h100+tk_fac*(1-colo_sh))</f>
        <v>0.730756458006641</v>
      </c>
      <c r="E1076" s="13" t="n">
        <f aca="false">Sens!$F$1076</f>
        <v>0.760792334328868</v>
      </c>
      <c r="F1076" s="13" t="n">
        <f aca="false">Sens!$F$1059/(Sens!$F$1059+tk_fac*(1-colo_sh))</f>
        <v>0.760792334328868</v>
      </c>
      <c r="G1076" s="13" t="n">
        <f aca="false">Sens!$G$1059/(Sens!$G$1059+tk_fac*(1-colo_sh))</f>
        <v>0.760792334328868</v>
      </c>
      <c r="H1076" s="13" t="n">
        <f aca="false">Sens!$H$1059/(Sens!$H$1059+tk_fac*(1-colo_sh))</f>
        <v>0.768110668862996</v>
      </c>
      <c r="I1076" s="13" t="n">
        <f aca="false">Sens!$I$1059/(Sens!$I$1059+tk_fac*(1-colo_sh))</f>
        <v>0.77499450139483</v>
      </c>
      <c r="J1076" s="13" t="n">
        <f aca="false">Sens!$J$1059/(Sens!$J$1059+tk_fac*(1-colo_sh))</f>
        <v>0.77499450139483</v>
      </c>
      <c r="K1076" s="13" t="n">
        <f aca="false">Sens!$K$1059/(Sens!$K$1059+tk_fac*(1-colo_sh))</f>
        <v>0.77499450139483</v>
      </c>
      <c r="L1076" s="13" t="n">
        <f aca="false">Sens!$L$1059/(Sens!$L$1059+tk_fac*(1-colo_sh))</f>
        <v>0.77499450139483</v>
      </c>
      <c r="M1076" s="13" t="n">
        <f aca="false">Sens!$M$1059/(Sens!$M$1059+tk_fac*(1-colo_sh))</f>
        <v>0.77499450139483</v>
      </c>
    </row>
    <row r="1077" customFormat="false" ht="17.15" hidden="false" customHeight="false" outlineLevel="0" collapsed="false">
      <c r="A1077" s="1" t="s">
        <v>625</v>
      </c>
      <c r="B1077" s="8" t="s">
        <v>86</v>
      </c>
      <c r="C1077" s="38" t="n">
        <f aca="false">Q!$D$46-cx_rt*Q!$D$16-cx_awso*Sens!$C$1072</f>
        <v>25.2781053077374</v>
      </c>
      <c r="D1077" s="38" t="n">
        <f aca="false">Q!$E$46-cx_rt*Q!$E$16-cx_awso*Sens!$D$1072</f>
        <v>69.5686316310026</v>
      </c>
      <c r="E1077" s="38" t="n">
        <f aca="false">Q!$P$46-cx_rt*Q!$P$16-cx_awso*Sens!$E$1072</f>
        <v>64.1899206485108</v>
      </c>
      <c r="F1077" s="38" t="n">
        <f aca="false">MAX(Sens!$F$1054*(Sens!$F$1059+tk_fac*(1-colo_sh))/1000,capex_g26-Q!$P$46-Sens!$F$1075)</f>
        <v>88.7165504612134</v>
      </c>
      <c r="G1077" s="38" t="n">
        <f aca="false">Sens!$E$1077+Sens!$F$1077</f>
        <v>152.906471109724</v>
      </c>
      <c r="H1077" s="38" t="n">
        <f aca="false">Sens!$H$1054*(Sens!$H$1059+tk_fac*(1-colo_sh))/1000+Sens!$H$1078</f>
        <v>158.8570919558</v>
      </c>
      <c r="I1077" s="38" t="n">
        <f aca="false">Sens!$I$1054*(Sens!$I$1059+tk_fac*(1-colo_sh))/1000+Sens!$I$1078</f>
        <v>163.7171759284</v>
      </c>
      <c r="J1077" s="38" t="n">
        <f aca="false">Sens!$J$1054*(Sens!$J$1059+tk_fac*(1-colo_sh))/1000+Sens!$J$1078</f>
        <v>167.9065904884</v>
      </c>
      <c r="K1077" s="38" t="n">
        <f aca="false">Sens!$K$1054*(Sens!$K$1059+tk_fac*(1-colo_sh))/1000+Sens!$K$1078</f>
        <v>124.190708220161</v>
      </c>
      <c r="L1077" s="38" t="n">
        <f aca="false">Sens!$L$1054*(Sens!$L$1059+tk_fac*(1-colo_sh))/1000+Sens!$L$1078</f>
        <v>105.611313311921</v>
      </c>
      <c r="M1077" s="38" t="n">
        <f aca="false">Sens!$M$1054*(Sens!$M$1059+tk_fac*(1-colo_sh))/1000+Sens!$M$1078</f>
        <v>105.784785327882</v>
      </c>
      <c r="P1077" s="5" t="s">
        <v>626</v>
      </c>
      <c r="R1077" s="38" t="n">
        <f aca="false">Q!$C$46-cx_rt*Q!$C$16-cx_awso*(Q!$C$7-mw_ye23/2*rpm_open/1000)</f>
        <v>1.50429979529945</v>
      </c>
      <c r="S1077" s="38" t="n">
        <f aca="false">Sens!$C$1077</f>
        <v>25.2781053077374</v>
      </c>
      <c r="T1077" s="38" t="n">
        <f aca="false">Sens!$D$1077</f>
        <v>69.5686316310026</v>
      </c>
      <c r="U1077" s="38" t="n">
        <f aca="false">Sens!$G$1077</f>
        <v>152.906471109724</v>
      </c>
      <c r="V1077" s="38" t="n">
        <f aca="false">Sens!$H$1077</f>
        <v>158.8570919558</v>
      </c>
      <c r="W1077" s="38" t="n">
        <f aca="false">Sens!$I$1077</f>
        <v>163.7171759284</v>
      </c>
      <c r="X1077" s="38" t="n">
        <f aca="false">Sens!$J$1077</f>
        <v>167.9065904884</v>
      </c>
      <c r="Y1077" s="38" t="n">
        <f aca="false">Sens!$K$1077</f>
        <v>124.190708220161</v>
      </c>
      <c r="Z1077" s="38" t="n">
        <f aca="false">Sens!$L$1077</f>
        <v>105.611313311921</v>
      </c>
      <c r="AA1077" s="38" t="n">
        <f aca="false">Sens!$M$1077</f>
        <v>105.784785327882</v>
      </c>
    </row>
    <row r="1078" customFormat="false" ht="17.15" hidden="false" customHeight="false" outlineLevel="0" collapsed="false">
      <c r="A1078" s="0" t="s">
        <v>627</v>
      </c>
      <c r="B1078" s="0" t="s">
        <v>86</v>
      </c>
      <c r="H1078" s="38" t="n">
        <f aca="false">SUMPRODUCT(--(Sens!$R$1047:$AA$1047=2027-tk_life),Sens!$R$1054:$AA$1054)*Sens!$H$1059/1000</f>
        <v>0</v>
      </c>
      <c r="I1078" s="38" t="n">
        <f aca="false">SUMPRODUCT(--(Sens!$R$1047:$AA$1047=2028-tk_life),Sens!$R$1054:$AA$1054)*Sens!$I$1059/1000</f>
        <v>0</v>
      </c>
      <c r="J1078" s="38" t="n">
        <f aca="false">SUMPRODUCT(--(Sens!$R$1047:$AA$1047=2029-tk_life),Sens!$R$1054:$AA$1054)*Sens!$J$1059/1000</f>
        <v>4.18941456</v>
      </c>
      <c r="K1078" s="38" t="n">
        <f aca="false">SUMPRODUCT(--(Sens!$R$1047:$AA$1047=2030-tk_life),Sens!$R$1054:$AA$1054)*Sens!$K$1059/1000</f>
        <v>8.37882912</v>
      </c>
      <c r="L1078" s="38" t="n">
        <f aca="false">SUMPRODUCT(--(Sens!$R$1047:$AA$1047=2031-tk_life),Sens!$R$1054:$AA$1054)*Sens!$L$1059/1000</f>
        <v>37.70473104</v>
      </c>
      <c r="M1078" s="38" t="n">
        <f aca="false">SUMPRODUCT(--(Sens!$R$1047:$AA$1047=2032-tk_life),Sens!$R$1054:$AA$1054)*Sens!$M$1059/1000</f>
        <v>85.7834998842</v>
      </c>
    </row>
    <row r="1079" customFormat="false" ht="17.15" hidden="false" customHeight="false" outlineLevel="0" collapsed="false">
      <c r="A1079" s="5" t="s">
        <v>628</v>
      </c>
      <c r="B1079" s="0" t="s">
        <v>86</v>
      </c>
      <c r="C1079" s="38" t="n">
        <f aca="false">Sens!$C$1077*Sens!$C$1076</f>
        <v>18.472138699801</v>
      </c>
      <c r="D1079" s="38" t="n">
        <f aca="false">Sens!$D$1077*Sens!$D$1076</f>
        <v>50.8377268390402</v>
      </c>
      <c r="E1079" s="38" t="n">
        <f aca="false">Sens!$E$1077*Sens!$E$1076</f>
        <v>48.8351995705653</v>
      </c>
      <c r="F1079" s="38" t="n">
        <f aca="false">Sens!$F$1077*Sens!$F$1076</f>
        <v>67.4948715189913</v>
      </c>
      <c r="G1079" s="38" t="n">
        <f aca="false">Sens!$E$1079+Sens!$F$1079</f>
        <v>116.330071089557</v>
      </c>
      <c r="H1079" s="38" t="n">
        <f aca="false">(Sens!$H$1077-Sens!$H$1078)*Sens!$H$1076+Sens!$H$1078</f>
        <v>122.0198271558</v>
      </c>
      <c r="I1079" s="38" t="n">
        <f aca="false">(Sens!$I$1077-Sens!$I$1078)*Sens!$I$1076+Sens!$I$1078</f>
        <v>126.8799111284</v>
      </c>
      <c r="J1079" s="38" t="n">
        <f aca="false">(Sens!$J$1077-Sens!$J$1078)*Sens!$J$1076+Sens!$J$1078</f>
        <v>131.0693256884</v>
      </c>
      <c r="K1079" s="38" t="n">
        <f aca="false">(Sens!$K$1077-Sens!$K$1078)*Sens!$K$1076+Sens!$K$1078</f>
        <v>98.1323986188274</v>
      </c>
      <c r="L1079" s="38" t="n">
        <f aca="false">(Sens!$L$1077-Sens!$L$1078)*Sens!$L$1076+Sens!$L$1078</f>
        <v>90.3319589092547</v>
      </c>
      <c r="M1079" s="38" t="n">
        <f aca="false">(Sens!$M$1077-Sens!$M$1078)*Sens!$M$1076+Sens!$M$1078</f>
        <v>101.284386123882</v>
      </c>
      <c r="R1079" s="38" t="n">
        <f aca="false">Sens!$R$1077*Sens!$C$1076</f>
        <v>1.09927679019314</v>
      </c>
      <c r="S1079" s="38" t="n">
        <f aca="false">Sens!$C$1079</f>
        <v>18.472138699801</v>
      </c>
      <c r="T1079" s="38" t="n">
        <f aca="false">Sens!$D$1079</f>
        <v>50.8377268390402</v>
      </c>
      <c r="U1079" s="38" t="n">
        <f aca="false">Sens!$G$1079</f>
        <v>116.330071089557</v>
      </c>
      <c r="V1079" s="38" t="n">
        <f aca="false">Sens!$H$1079</f>
        <v>122.0198271558</v>
      </c>
      <c r="W1079" s="38" t="n">
        <f aca="false">Sens!$I$1079</f>
        <v>126.8799111284</v>
      </c>
      <c r="X1079" s="38" t="n">
        <f aca="false">Sens!$J$1079</f>
        <v>131.0693256884</v>
      </c>
      <c r="Y1079" s="38" t="n">
        <f aca="false">Sens!$K$1079</f>
        <v>98.1323986188274</v>
      </c>
      <c r="Z1079" s="38" t="n">
        <f aca="false">Sens!$L$1079</f>
        <v>90.3319589092547</v>
      </c>
      <c r="AA1079" s="38" t="n">
        <f aca="false">Sens!$M$1079</f>
        <v>101.284386123882</v>
      </c>
    </row>
    <row r="1080" customFormat="false" ht="15" hidden="false" customHeight="false" outlineLevel="0" collapsed="false">
      <c r="A1080" s="5" t="s">
        <v>629</v>
      </c>
      <c r="B1080" s="0" t="s">
        <v>86</v>
      </c>
      <c r="C1080" s="38" t="n">
        <f aca="false">Sens!$C$1077-Sens!$C$1079</f>
        <v>6.80596660793636</v>
      </c>
      <c r="D1080" s="38" t="n">
        <f aca="false">Sens!$D$1077-Sens!$D$1079</f>
        <v>18.7309047919624</v>
      </c>
      <c r="E1080" s="38" t="n">
        <f aca="false">Sens!$E$1077-Sens!$E$1079</f>
        <v>15.3547210779455</v>
      </c>
      <c r="F1080" s="38" t="n">
        <f aca="false">Sens!$F$1077-Sens!$F$1079</f>
        <v>21.2216789422221</v>
      </c>
      <c r="G1080" s="38" t="n">
        <f aca="false">Sens!$G$1077-Sens!$G$1079</f>
        <v>36.5764000201676</v>
      </c>
      <c r="H1080" s="38" t="n">
        <f aca="false">Sens!$H$1077-Sens!$H$1079</f>
        <v>36.8372648</v>
      </c>
      <c r="I1080" s="38" t="n">
        <f aca="false">Sens!$I$1077-Sens!$I$1079</f>
        <v>36.8372648</v>
      </c>
      <c r="J1080" s="38" t="n">
        <f aca="false">Sens!$J$1077-Sens!$J$1079</f>
        <v>36.8372648</v>
      </c>
      <c r="K1080" s="38" t="n">
        <f aca="false">Sens!$K$1077-Sens!$K$1079</f>
        <v>26.0583096013333</v>
      </c>
      <c r="L1080" s="38" t="n">
        <f aca="false">Sens!$L$1077-Sens!$L$1079</f>
        <v>15.2793544026667</v>
      </c>
      <c r="M1080" s="38" t="n">
        <f aca="false">Sens!$M$1077-Sens!$M$1079</f>
        <v>4.50039920399999</v>
      </c>
      <c r="R1080" s="38" t="n">
        <f aca="false">Sens!$R$1077-Sens!$R$1079</f>
        <v>0.405023005106309</v>
      </c>
      <c r="S1080" s="38" t="n">
        <f aca="false">Sens!$S$1077-Sens!$S$1079</f>
        <v>6.80596660793636</v>
      </c>
      <c r="T1080" s="38" t="n">
        <f aca="false">Sens!$T$1077-Sens!$T$1079</f>
        <v>18.7309047919624</v>
      </c>
      <c r="U1080" s="38" t="n">
        <f aca="false">Sens!$U$1077-Sens!$U$1079</f>
        <v>36.5764000201676</v>
      </c>
      <c r="V1080" s="38" t="n">
        <f aca="false">Sens!$V$1077-Sens!$V$1079</f>
        <v>36.8372648</v>
      </c>
      <c r="W1080" s="38" t="n">
        <f aca="false">Sens!$W$1077-Sens!$W$1079</f>
        <v>36.8372648</v>
      </c>
      <c r="X1080" s="38" t="n">
        <f aca="false">Sens!$X$1077-Sens!$X$1079</f>
        <v>36.8372648</v>
      </c>
      <c r="Y1080" s="38" t="n">
        <f aca="false">Sens!$Y$1077-Sens!$Y$1079</f>
        <v>26.0583096013333</v>
      </c>
      <c r="Z1080" s="38" t="n">
        <f aca="false">Sens!$Z$1077-Sens!$Z$1079</f>
        <v>15.2793544026667</v>
      </c>
      <c r="AA1080" s="38" t="n">
        <f aca="false">Sens!$AA$1077-Sens!$AA$1079</f>
        <v>4.50039920399999</v>
      </c>
    </row>
    <row r="1081" customFormat="false" ht="17.15" hidden="false" customHeight="false" outlineLevel="0" collapsed="false">
      <c r="A1081" s="0" t="s">
        <v>630</v>
      </c>
      <c r="B1081" s="0" t="s">
        <v>52</v>
      </c>
      <c r="C1081" s="13" t="n">
        <f aca="false">Sens!$C$1077/Sens!$C$1197</f>
        <v>0.325505489553393</v>
      </c>
      <c r="D1081" s="13" t="n">
        <f aca="false">Sens!$D$1077/Sens!$D$1197</f>
        <v>0.54214956071542</v>
      </c>
      <c r="E1081" s="13" t="n">
        <f aca="false">Sens!$E$1077/Sens!$E$1197</f>
        <v>0.666492790452817</v>
      </c>
      <c r="F1081" s="13" t="n">
        <f aca="false">Sens!$F$1077/Sens!$F$1197</f>
        <v>0.71724917504417</v>
      </c>
      <c r="G1081" s="13" t="n">
        <f aca="false">Sens!$G$1077/Sens!$G$1197</f>
        <v>0.69502941413511</v>
      </c>
      <c r="H1081" s="13" t="n">
        <f aca="false">Sens!$H$1077/Sens!$H$1197</f>
        <v>0.67986893388576</v>
      </c>
      <c r="I1081" s="13" t="n">
        <f aca="false">Sens!$I$1077/Sens!$I$1197</f>
        <v>0.665374925220239</v>
      </c>
      <c r="J1081" s="13" t="n">
        <f aca="false">Sens!$J$1077/Sens!$J$1197</f>
        <v>0.652470187605636</v>
      </c>
      <c r="K1081" s="13" t="n">
        <f aca="false">Sens!$K$1077/Sens!$K$1197</f>
        <v>0.564478924889048</v>
      </c>
      <c r="L1081" s="13" t="n">
        <f aca="false">Sens!$L$1077/Sens!$L$1197</f>
        <v>0.507031242107448</v>
      </c>
      <c r="M1081" s="13" t="n">
        <f aca="false">Sens!$M$1077/Sens!$M$1197</f>
        <v>0.490094931186114</v>
      </c>
    </row>
    <row r="1082" customFormat="false" ht="17.15" hidden="false" customHeight="false" outlineLevel="0" collapsed="false">
      <c r="A1082" s="0" t="s">
        <v>631</v>
      </c>
      <c r="B1082" s="0" t="s">
        <v>86</v>
      </c>
      <c r="C1082" s="38" t="n">
        <f aca="false">Sens!$S$1082</f>
        <v>0.183212798365523</v>
      </c>
      <c r="D1082" s="38" t="n">
        <f aca="false">Sens!$T$1082</f>
        <v>3.2619025816657</v>
      </c>
      <c r="E1082" s="38" t="n">
        <f aca="false">Sens!$G$1082/2</f>
        <v>5.86742852741953</v>
      </c>
      <c r="F1082" s="38" t="n">
        <f aca="false">Sens!$G$1082/2</f>
        <v>5.86742852741953</v>
      </c>
      <c r="G1082" s="38" t="n">
        <f aca="false">Sens!$U$1082</f>
        <v>11.7348570548391</v>
      </c>
      <c r="H1082" s="38" t="n">
        <f aca="false">Sens!$V$1082</f>
        <v>31.1232022364318</v>
      </c>
      <c r="I1082" s="38" t="n">
        <f aca="false">Sens!$W$1082</f>
        <v>51.4598400957318</v>
      </c>
      <c r="J1082" s="38" t="n">
        <f aca="false">Sens!$X$1082</f>
        <v>72.6064919504652</v>
      </c>
      <c r="K1082" s="38" t="n">
        <f aca="false">Sens!$Y$1082</f>
        <v>94.268166766833</v>
      </c>
      <c r="L1082" s="38" t="n">
        <f aca="false">Sens!$Z$1082</f>
        <v>107.544876753337</v>
      </c>
      <c r="M1082" s="38" t="n">
        <f aca="false">Sens!$AA$1082</f>
        <v>114.12724876504</v>
      </c>
      <c r="N1082" s="38" t="n">
        <f aca="false">Sens!$D$1082/2</f>
        <v>1.63095129083285</v>
      </c>
      <c r="O1082" s="38" t="n">
        <f aca="false">Sens!$D$1082/2</f>
        <v>1.63095129083285</v>
      </c>
      <c r="R1082" s="38" t="n">
        <f aca="false">SUMPRODUCT(--(Sens!$R$1047:$AA$1047&lt;Sens!R$1047),--(Sens!$R$1047:$AA$1047&gt;=Sens!R$1047-tk_life),Sens!$R$1079:$AA$1079)/tk_life</f>
        <v>0</v>
      </c>
      <c r="S1082" s="38" t="n">
        <f aca="false">SUMPRODUCT(--(Sens!$R$1047:$AA$1047&lt;Sens!S$1047),--(Sens!$R$1047:$AA$1047&gt;=Sens!S$1047-tk_life),Sens!$R$1079:$AA$1079)/tk_life</f>
        <v>0.183212798365523</v>
      </c>
      <c r="T1082" s="38" t="n">
        <f aca="false">SUMPRODUCT(--(Sens!$R$1047:$AA$1047&lt;Sens!T$1047),--(Sens!$R$1047:$AA$1047&gt;=Sens!T$1047-tk_life),Sens!$R$1079:$AA$1079)/tk_life</f>
        <v>3.2619025816657</v>
      </c>
      <c r="U1082" s="38" t="n">
        <f aca="false">SUMPRODUCT(--(Sens!$R$1047:$AA$1047&lt;Sens!U$1047),--(Sens!$R$1047:$AA$1047&gt;=Sens!U$1047-tk_life),Sens!$R$1079:$AA$1079)/tk_life</f>
        <v>11.7348570548391</v>
      </c>
      <c r="V1082" s="38" t="n">
        <f aca="false">SUMPRODUCT(--(Sens!$R$1047:$AA$1047&lt;Sens!V$1047),--(Sens!$R$1047:$AA$1047&gt;=Sens!V$1047-tk_life),Sens!$R$1079:$AA$1079)/tk_life</f>
        <v>31.1232022364318</v>
      </c>
      <c r="W1082" s="38" t="n">
        <f aca="false">SUMPRODUCT(--(Sens!$R$1047:$AA$1047&lt;Sens!W$1047),--(Sens!$R$1047:$AA$1047&gt;=Sens!W$1047-tk_life),Sens!$R$1079:$AA$1079)/tk_life</f>
        <v>51.4598400957318</v>
      </c>
      <c r="X1082" s="38" t="n">
        <f aca="false">SUMPRODUCT(--(Sens!$R$1047:$AA$1047&lt;Sens!X$1047),--(Sens!$R$1047:$AA$1047&gt;=Sens!X$1047-tk_life),Sens!$R$1079:$AA$1079)/tk_life</f>
        <v>72.6064919504652</v>
      </c>
      <c r="Y1082" s="38" t="n">
        <f aca="false">SUMPRODUCT(--(Sens!$R$1047:$AA$1047&lt;Sens!Y$1047),--(Sens!$R$1047:$AA$1047&gt;=Sens!Y$1047-tk_life),Sens!$R$1079:$AA$1079)/tk_life</f>
        <v>94.268166766833</v>
      </c>
      <c r="Z1082" s="38" t="n">
        <f aca="false">SUMPRODUCT(--(Sens!$R$1047:$AA$1047&lt;Sens!Z$1047),--(Sens!$R$1047:$AA$1047&gt;=Sens!Z$1047-tk_life),Sens!$R$1079:$AA$1079)/tk_life</f>
        <v>107.544876753337</v>
      </c>
      <c r="AA1082" s="38" t="n">
        <f aca="false">SUMPRODUCT(--(Sens!$R$1047:$AA$1047&lt;Sens!AA$1047),--(Sens!$R$1047:$AA$1047&gt;=Sens!AA$1047-tk_life),Sens!$R$1079:$AA$1079)/tk_life</f>
        <v>114.12724876504</v>
      </c>
    </row>
    <row r="1083" customFormat="false" ht="17.15" hidden="false" customHeight="false" outlineLevel="0" collapsed="false">
      <c r="A1083" s="0" t="s">
        <v>632</v>
      </c>
      <c r="B1083" s="0" t="s">
        <v>86</v>
      </c>
      <c r="C1083" s="38" t="n">
        <f aca="false">Sens!$S$1083</f>
        <v>0.0202511502553155</v>
      </c>
      <c r="D1083" s="38" t="n">
        <f aca="false">Sens!$T$1083</f>
        <v>0.360549480652134</v>
      </c>
      <c r="E1083" s="38" t="n">
        <f aca="false">Sens!$G$1083/2</f>
        <v>0.648547360125127</v>
      </c>
      <c r="F1083" s="38" t="n">
        <f aca="false">Sens!$G$1083/2</f>
        <v>0.648547360125127</v>
      </c>
      <c r="G1083" s="38" t="n">
        <f aca="false">Sens!$U$1083</f>
        <v>1.29709472025025</v>
      </c>
      <c r="H1083" s="38" t="n">
        <f aca="false">Sens!$V$1083</f>
        <v>3.12591472125863</v>
      </c>
      <c r="I1083" s="38" t="n">
        <f aca="false">Sens!$W$1083</f>
        <v>4.96777796125863</v>
      </c>
      <c r="J1083" s="38" t="n">
        <f aca="false">Sens!$X$1083</f>
        <v>6.80964120125863</v>
      </c>
      <c r="K1083" s="38" t="n">
        <f aca="false">Sens!$Y$1083</f>
        <v>8.65150444125863</v>
      </c>
      <c r="L1083" s="38" t="n">
        <f aca="false">Sens!$Z$1083</f>
        <v>9.9544199213253</v>
      </c>
      <c r="M1083" s="38" t="n">
        <f aca="false">Sens!$AA$1083</f>
        <v>10.7183876414586</v>
      </c>
      <c r="N1083" s="38" t="n">
        <f aca="false">Sens!$D$1083/2</f>
        <v>0.180274740326067</v>
      </c>
      <c r="O1083" s="38" t="n">
        <f aca="false">Sens!$D$1083/2</f>
        <v>0.180274740326067</v>
      </c>
      <c r="R1083" s="38" t="n">
        <f aca="false">SUMPRODUCT(--(Sens!$R$1047:$AA$1047&lt;Sens!R$1047),Sens!$R$1080:$AA$1080)/fac_life</f>
        <v>0</v>
      </c>
      <c r="S1083" s="38" t="n">
        <f aca="false">SUMPRODUCT(--(Sens!$R$1047:$AA$1047&lt;Sens!S$1047),Sens!$R$1080:$AA$1080)/fac_life</f>
        <v>0.0202511502553155</v>
      </c>
      <c r="T1083" s="38" t="n">
        <f aca="false">SUMPRODUCT(--(Sens!$R$1047:$AA$1047&lt;Sens!T$1047),Sens!$R$1080:$AA$1080)/fac_life</f>
        <v>0.360549480652134</v>
      </c>
      <c r="U1083" s="38" t="n">
        <f aca="false">SUMPRODUCT(--(Sens!$R$1047:$AA$1047&lt;Sens!U$1047),Sens!$R$1080:$AA$1080)/fac_life</f>
        <v>1.29709472025025</v>
      </c>
      <c r="V1083" s="38" t="n">
        <f aca="false">SUMPRODUCT(--(Sens!$R$1047:$AA$1047&lt;Sens!V$1047),Sens!$R$1080:$AA$1080)/fac_life</f>
        <v>3.12591472125863</v>
      </c>
      <c r="W1083" s="38" t="n">
        <f aca="false">SUMPRODUCT(--(Sens!$R$1047:$AA$1047&lt;Sens!W$1047),Sens!$R$1080:$AA$1080)/fac_life</f>
        <v>4.96777796125863</v>
      </c>
      <c r="X1083" s="38" t="n">
        <f aca="false">SUMPRODUCT(--(Sens!$R$1047:$AA$1047&lt;Sens!X$1047),Sens!$R$1080:$AA$1080)/fac_life</f>
        <v>6.80964120125863</v>
      </c>
      <c r="Y1083" s="38" t="n">
        <f aca="false">SUMPRODUCT(--(Sens!$R$1047:$AA$1047&lt;Sens!Y$1047),Sens!$R$1080:$AA$1080)/fac_life</f>
        <v>8.65150444125863</v>
      </c>
      <c r="Z1083" s="38" t="n">
        <f aca="false">SUMPRODUCT(--(Sens!$R$1047:$AA$1047&lt;Sens!Z$1047),Sens!$R$1080:$AA$1080)/fac_life</f>
        <v>9.9544199213253</v>
      </c>
      <c r="AA1083" s="38" t="n">
        <f aca="false">SUMPRODUCT(--(Sens!$R$1047:$AA$1047&lt;Sens!AA$1047),Sens!$R$1080:$AA$1080)/fac_life</f>
        <v>10.7183876414586</v>
      </c>
    </row>
    <row r="1084" customFormat="false" ht="17.15" hidden="false" customHeight="false" outlineLevel="0" collapsed="false">
      <c r="A1084" s="1" t="s">
        <v>633</v>
      </c>
      <c r="B1084" s="8" t="s">
        <v>86</v>
      </c>
      <c r="C1084" s="38" t="n">
        <f aca="false">Sens!$C$1082+Sens!$C$1083</f>
        <v>0.203463948620839</v>
      </c>
      <c r="D1084" s="38" t="n">
        <f aca="false">Sens!$D$1082+Sens!$D$1083</f>
        <v>3.62245206231783</v>
      </c>
      <c r="E1084" s="38" t="n">
        <f aca="false">Sens!$E$1082+Sens!$E$1083</f>
        <v>6.51597588754466</v>
      </c>
      <c r="F1084" s="38" t="n">
        <f aca="false">Sens!$F$1082+Sens!$F$1083</f>
        <v>6.51597588754466</v>
      </c>
      <c r="G1084" s="38" t="n">
        <f aca="false">Sens!$G$1082+Sens!$G$1083</f>
        <v>13.0319517750893</v>
      </c>
      <c r="H1084" s="38" t="n">
        <f aca="false">Sens!$H$1082+Sens!$H$1083</f>
        <v>34.2491169576905</v>
      </c>
      <c r="I1084" s="38" t="n">
        <f aca="false">Sens!$I$1082+Sens!$I$1083</f>
        <v>56.4276180569905</v>
      </c>
      <c r="J1084" s="38" t="n">
        <f aca="false">Sens!$J$1082+Sens!$J$1083</f>
        <v>79.4161331517238</v>
      </c>
      <c r="K1084" s="38" t="n">
        <f aca="false">Sens!$K$1082+Sens!$K$1083</f>
        <v>102.919671208092</v>
      </c>
      <c r="L1084" s="38" t="n">
        <f aca="false">Sens!$L$1082+Sens!$L$1083</f>
        <v>117.499296674663</v>
      </c>
      <c r="M1084" s="38" t="n">
        <f aca="false">Sens!$M$1082+Sens!$M$1083</f>
        <v>124.845636406498</v>
      </c>
      <c r="N1084" s="38" t="n">
        <f aca="false">Sens!$N$1082+Sens!$N$1083</f>
        <v>1.81122603115892</v>
      </c>
      <c r="O1084" s="38" t="n">
        <f aca="false">Sens!$O$1082+Sens!$O$1083</f>
        <v>1.81122603115892</v>
      </c>
      <c r="R1084" s="38" t="n">
        <f aca="false">Sens!$R$1082+Sens!$R$1083</f>
        <v>0</v>
      </c>
      <c r="S1084" s="38" t="n">
        <f aca="false">Sens!$S$1082+Sens!$S$1083</f>
        <v>0.203463948620839</v>
      </c>
      <c r="T1084" s="38" t="n">
        <f aca="false">Sens!$T$1082+Sens!$T$1083</f>
        <v>3.62245206231783</v>
      </c>
      <c r="U1084" s="38" t="n">
        <f aca="false">Sens!$U$1082+Sens!$U$1083</f>
        <v>13.0319517750893</v>
      </c>
      <c r="V1084" s="38" t="n">
        <f aca="false">Sens!$V$1082+Sens!$V$1083</f>
        <v>34.2491169576905</v>
      </c>
      <c r="W1084" s="38" t="n">
        <f aca="false">Sens!$W$1082+Sens!$W$1083</f>
        <v>56.4276180569905</v>
      </c>
      <c r="X1084" s="38" t="n">
        <f aca="false">Sens!$X$1082+Sens!$X$1083</f>
        <v>79.4161331517238</v>
      </c>
      <c r="Y1084" s="38" t="n">
        <f aca="false">Sens!$Y$1082+Sens!$Y$1083</f>
        <v>102.919671208092</v>
      </c>
      <c r="Z1084" s="38" t="n">
        <f aca="false">Sens!$Z$1082+Sens!$Z$1083</f>
        <v>117.499296674663</v>
      </c>
      <c r="AA1084" s="38" t="n">
        <f aca="false">Sens!$AA$1082+Sens!$AA$1083</f>
        <v>124.845636406498</v>
      </c>
    </row>
    <row r="1085" customFormat="false" ht="17.15" hidden="false" customHeight="false" outlineLevel="0" collapsed="false">
      <c r="A1085" s="0" t="s">
        <v>634</v>
      </c>
      <c r="B1085" s="0" t="s">
        <v>86</v>
      </c>
      <c r="C1085" s="38" t="n">
        <f aca="false">Sens!$S$1085</f>
        <v>26.578941154416</v>
      </c>
      <c r="D1085" s="38" t="n">
        <f aca="false">Sens!$T$1085</f>
        <v>92.5251207231008</v>
      </c>
      <c r="G1085" s="38" t="n">
        <f aca="false">Sens!$U$1085</f>
        <v>232.399640057736</v>
      </c>
      <c r="H1085" s="38" t="n">
        <f aca="false">Sens!$V$1085</f>
        <v>357.007615055845</v>
      </c>
      <c r="I1085" s="38" t="n">
        <f aca="false">Sens!$W$1085</f>
        <v>464.297172927255</v>
      </c>
      <c r="J1085" s="38" t="n">
        <f aca="false">Sens!$X$1085</f>
        <v>552.787630263931</v>
      </c>
      <c r="K1085" s="38" t="n">
        <f aca="false">Sens!$Y$1085</f>
        <v>574.058667276</v>
      </c>
      <c r="L1085" s="38" t="n">
        <f aca="false">Sens!$Z$1085</f>
        <v>562.170683913259</v>
      </c>
      <c r="M1085" s="38" t="n">
        <f aca="false">Sens!$AA$1085</f>
        <v>543.109832834642</v>
      </c>
      <c r="R1085" s="38" t="n">
        <f aca="false">SUM(Sens!$R$1077:$R$1077)-SUM(Sens!$R$1084:$R$1084)</f>
        <v>1.50429979529945</v>
      </c>
      <c r="S1085" s="38" t="n">
        <f aca="false">SUM(Sens!$R$1077:$S$1077)-SUM(Sens!$R$1084:$S$1084)</f>
        <v>26.578941154416</v>
      </c>
      <c r="T1085" s="38" t="n">
        <f aca="false">SUM(Sens!$R$1077:$T$1077)-SUM(Sens!$R$1084:$T$1084)</f>
        <v>92.5251207231008</v>
      </c>
      <c r="U1085" s="38" t="n">
        <f aca="false">SUM(Sens!$R$1077:$U$1077)-SUM(Sens!$R$1084:$U$1084)</f>
        <v>232.399640057736</v>
      </c>
      <c r="V1085" s="38" t="n">
        <f aca="false">SUM(Sens!$R$1077:$V$1077)-SUM(Sens!$R$1084:$V$1084)</f>
        <v>357.007615055845</v>
      </c>
      <c r="W1085" s="38" t="n">
        <f aca="false">SUM(Sens!$R$1077:$W$1077)-SUM(Sens!$R$1084:$W$1084)</f>
        <v>464.297172927255</v>
      </c>
      <c r="X1085" s="38" t="n">
        <f aca="false">SUM(Sens!$R$1077:$X$1077)-SUM(Sens!$R$1084:$X$1084)</f>
        <v>552.787630263931</v>
      </c>
      <c r="Y1085" s="38" t="n">
        <f aca="false">SUM(Sens!$R$1077:$Y$1077)-SUM(Sens!$R$1084:$Y$1084)</f>
        <v>574.058667276</v>
      </c>
      <c r="Z1085" s="38" t="n">
        <f aca="false">SUM(Sens!$R$1077:$Z$1077)-SUM(Sens!$R$1084:$Z$1084)</f>
        <v>562.170683913259</v>
      </c>
      <c r="AA1085" s="38" t="n">
        <f aca="false">SUM(Sens!$R$1077:$AA$1077)-SUM(Sens!$R$1084:$AA$1084)</f>
        <v>543.109832834642</v>
      </c>
    </row>
    <row r="1086" customFormat="false" ht="17.15" hidden="false" customHeight="false" outlineLevel="0" collapsed="false">
      <c r="A1086" s="1" t="s">
        <v>635</v>
      </c>
    </row>
    <row r="1087" customFormat="false" ht="17.15" hidden="false" customHeight="false" outlineLevel="0" collapsed="false">
      <c r="A1087" s="0" t="s">
        <v>636</v>
      </c>
      <c r="B1087" s="0" t="s">
        <v>86</v>
      </c>
      <c r="C1087" s="38" t="n">
        <f aca="false">Sens!$C$1068-ext_sh_hi*Sens!$C$1070</f>
        <v>1.80694998843362</v>
      </c>
      <c r="D1087" s="38" t="n">
        <f aca="false">Sens!$D$1068-ext_sh_hi*Sens!$D$1070</f>
        <v>6.77606245662606</v>
      </c>
      <c r="E1087" s="38" t="n">
        <f aca="false">Sens!$E$1068-ext_sh_hi*Sens!$E$1070</f>
        <v>6.62548329092326</v>
      </c>
      <c r="F1087" s="38" t="n">
        <f aca="false">Sens!$F$1068-ext_sh_hi*Sens!$F$1070</f>
        <v>11.7200577158706</v>
      </c>
      <c r="G1087" s="38" t="n">
        <f aca="false">Sens!$G$1068-ext_sh_hi*Sens!$G$1070</f>
        <v>18.3455410067939</v>
      </c>
      <c r="H1087" s="38" t="n">
        <f aca="false">Sens!$H$1068-ext_sh_hi*Sens!$H$1070</f>
        <v>47.5171727060453</v>
      </c>
      <c r="I1087" s="38" t="n">
        <f aca="false">Sens!$I$1068-ext_sh_hi*Sens!$I$1070</f>
        <v>80.5539692643667</v>
      </c>
      <c r="J1087" s="38" t="n">
        <f aca="false">Sens!$J$1068-ext_sh_hi*Sens!$J$1070</f>
        <v>113.759316834883</v>
      </c>
      <c r="K1087" s="38" t="n">
        <f aca="false">Sens!$K$1068-ext_sh_hi*Sens!$K$1070</f>
        <v>142.084411492169</v>
      </c>
      <c r="L1087" s="38" t="n">
        <f aca="false">Sens!$L$1068-ext_sh_hi*Sens!$L$1070</f>
        <v>160.69964615804</v>
      </c>
      <c r="M1087" s="38" t="n">
        <f aca="false">Sens!$M$1068-ext_sh_hi*Sens!$M$1070</f>
        <v>169.577607141793</v>
      </c>
      <c r="N1087" s="38" t="n">
        <f aca="false">Sens!$N$1068-ext_sh_hi*Sens!$N$1070</f>
        <v>2.37162185981912</v>
      </c>
      <c r="O1087" s="38" t="n">
        <f aca="false">Sens!$O$1068-ext_sh_hi*Sens!$O$1070</f>
        <v>4.40444059680694</v>
      </c>
    </row>
    <row r="1088" customFormat="false" ht="17.15" hidden="false" customHeight="false" outlineLevel="0" collapsed="false">
      <c r="A1088" s="1" t="s">
        <v>637</v>
      </c>
      <c r="B1088" s="8" t="s">
        <v>86</v>
      </c>
      <c r="C1088" s="38" t="n">
        <f aca="false">Sens!$C$1087-ext_sh_hi*Sens!$C$1084</f>
        <v>1.60348603981278</v>
      </c>
      <c r="D1088" s="38" t="n">
        <f aca="false">Sens!$D$1087-ext_sh_hi*Sens!$D$1084</f>
        <v>3.15361039430823</v>
      </c>
      <c r="E1088" s="38" t="n">
        <f aca="false">Sens!$E$1087-ext_sh_hi*Sens!$E$1084</f>
        <v>0.109507403378603</v>
      </c>
      <c r="F1088" s="38" t="n">
        <f aca="false">Sens!$F$1087-ext_sh_hi*Sens!$F$1084</f>
        <v>5.20408182832593</v>
      </c>
      <c r="G1088" s="38" t="n">
        <f aca="false">Sens!$G$1087-ext_sh_hi*Sens!$G$1084</f>
        <v>5.31358923170454</v>
      </c>
      <c r="H1088" s="38" t="n">
        <f aca="false">Sens!$H$1087-ext_sh_hi*Sens!$H$1084</f>
        <v>13.2680557483549</v>
      </c>
      <c r="I1088" s="38" t="n">
        <f aca="false">Sens!$I$1087-ext_sh_hi*Sens!$I$1084</f>
        <v>24.1263512073762</v>
      </c>
      <c r="J1088" s="38" t="n">
        <f aca="false">Sens!$J$1087-ext_sh_hi*Sens!$J$1084</f>
        <v>34.3431836831596</v>
      </c>
      <c r="K1088" s="38" t="n">
        <f aca="false">Sens!$K$1087-ext_sh_hi*Sens!$K$1084</f>
        <v>39.1647402840778</v>
      </c>
      <c r="L1088" s="38" t="n">
        <f aca="false">Sens!$L$1087-ext_sh_hi*Sens!$L$1084</f>
        <v>43.2003494833776</v>
      </c>
      <c r="M1088" s="38" t="n">
        <f aca="false">Sens!$M$1087-ext_sh_hi*Sens!$M$1084</f>
        <v>44.7319707352949</v>
      </c>
      <c r="N1088" s="38" t="n">
        <f aca="false">Sens!$N$1087-ext_sh_hi*Sens!$N$1084</f>
        <v>0.560395828660207</v>
      </c>
      <c r="O1088" s="38" t="n">
        <f aca="false">Sens!$O$1087-ext_sh_hi*Sens!$O$1084</f>
        <v>2.59321456564803</v>
      </c>
    </row>
    <row r="1089" customFormat="false" ht="17.15" hidden="false" customHeight="false" outlineLevel="0" collapsed="false">
      <c r="A1089" s="0" t="s">
        <v>638</v>
      </c>
      <c r="B1089" s="0" t="s">
        <v>52</v>
      </c>
      <c r="C1089" s="13" t="n">
        <f aca="false">Sens!$C$1088/Sens!$C$1068</f>
        <v>0.690858396769735</v>
      </c>
      <c r="D1089" s="13" t="n">
        <f aca="false">Sens!$D$1088/Sens!$D$1068</f>
        <v>0.362326941335482</v>
      </c>
      <c r="E1089" s="13" t="n">
        <f aca="false">Sens!$E$1088/Sens!$E$1068</f>
        <v>0.0128675512864105</v>
      </c>
      <c r="F1089" s="13" t="n">
        <f aca="false">Sens!$F$1088/Sens!$F$1068</f>
        <v>0.347786607799212</v>
      </c>
      <c r="G1089" s="13" t="n">
        <f aca="false">Sens!$G$1088/Sens!$G$1068</f>
        <v>0.226362679258213</v>
      </c>
      <c r="H1089" s="13" t="n">
        <f aca="false">Sens!$H$1088/Sens!$H$1068</f>
        <v>0.220524546100974</v>
      </c>
      <c r="I1089" s="13" t="n">
        <f aca="false">Sens!$I$1088/Sens!$I$1068</f>
        <v>0.237689378935321</v>
      </c>
      <c r="J1089" s="13" t="n">
        <f aca="false">Sens!$J$1088/Sens!$J$1068</f>
        <v>0.240119461060752</v>
      </c>
      <c r="K1089" s="13" t="n">
        <f aca="false">Sens!$K$1088/Sens!$K$1068</f>
        <v>0.21947409812992</v>
      </c>
      <c r="L1089" s="13" t="n">
        <f aca="false">Sens!$L$1088/Sens!$L$1068</f>
        <v>0.214151370569554</v>
      </c>
      <c r="M1089" s="13" t="n">
        <f aca="false">Sens!$M$1088/Sens!$M$1068</f>
        <v>0.210171625776225</v>
      </c>
      <c r="N1089" s="13" t="n">
        <f aca="false">Sens!$N$1088/Sens!$N$1068</f>
        <v>0.183958321821583</v>
      </c>
      <c r="O1089" s="13" t="n">
        <f aca="false">Sens!$O$1088/Sens!$O$1068</f>
        <v>0.458371582612197</v>
      </c>
    </row>
    <row r="1090" customFormat="false" ht="17.15" hidden="false" customHeight="false" outlineLevel="0" collapsed="false">
      <c r="A1090" s="5" t="s">
        <v>639</v>
      </c>
      <c r="B1090" s="0" t="s">
        <v>86</v>
      </c>
      <c r="C1090" s="39" t="n">
        <v>0</v>
      </c>
      <c r="D1090" s="39" t="n">
        <v>0</v>
      </c>
      <c r="E1090" s="39" t="n">
        <v>0</v>
      </c>
      <c r="F1090" s="38" t="n">
        <f aca="false">IF(internal_ai_reading=2,1,0)*(1-ext_sh_hi)/ext_sh_hi*(mw_open*he_open+Sens!$F$1066*Sens!$F$1063)*Sens!$F$1052/1000</f>
        <v>0</v>
      </c>
      <c r="G1090" s="38" t="n">
        <f aca="false">Sens!$E$1090+Sens!$F$1090</f>
        <v>0</v>
      </c>
      <c r="H1090" s="38" t="n">
        <f aca="false">IF(internal_ai_reading=2,1,0)*(1-ext_sh_hi)/ext_sh_hi*(mw_open*he_open+Sens!$H$1066*Sens!$H$1063)*Sens!$H$1052/1000</f>
        <v>0</v>
      </c>
      <c r="I1090" s="38" t="n">
        <f aca="false">IF(internal_ai_reading=2,1,0)*(1-ext_sh_hi)/ext_sh_hi*(mw_open*he_open+Sens!$I$1066*Sens!$I$1063)*Sens!$I$1052/1000</f>
        <v>0</v>
      </c>
      <c r="J1090" s="38" t="n">
        <f aca="false">IF(internal_ai_reading=2,1,0)*(1-ext_sh_hi)/ext_sh_hi*(mw_open*he_open+Sens!$J$1066*Sens!$J$1063)*Sens!$J$1052/1000</f>
        <v>0</v>
      </c>
      <c r="K1090" s="38" t="n">
        <f aca="false">IF(internal_ai_reading=2,1,0)*(1-ext_sh_hi)/ext_sh_hi*(mw_open*he_open+Sens!$K$1066*Sens!$K$1063)*Sens!$K$1052/1000</f>
        <v>0</v>
      </c>
      <c r="L1090" s="38" t="n">
        <f aca="false">IF(internal_ai_reading=2,1,0)*(1-ext_sh_hi)/ext_sh_hi*(mw_open*he_open+Sens!$L$1066*Sens!$L$1063)*Sens!$L$1052/1000</f>
        <v>0</v>
      </c>
      <c r="M1090" s="38" t="n">
        <f aca="false">IF(internal_ai_reading=2,1,0)*(1-ext_sh_hi)/ext_sh_hi*(mw_open*he_open+Sens!$M$1066*Sens!$M$1063)*Sens!$M$1052/1000</f>
        <v>0</v>
      </c>
      <c r="N1090" s="39" t="n">
        <v>0</v>
      </c>
      <c r="O1090" s="39" t="n">
        <v>0</v>
      </c>
      <c r="P1090" s="8" t="s">
        <v>640</v>
      </c>
    </row>
    <row r="1091" customFormat="false" ht="17.15" hidden="false" customHeight="false" outlineLevel="0" collapsed="false">
      <c r="A1091" s="5" t="s">
        <v>641</v>
      </c>
      <c r="B1091" s="0" t="s">
        <v>86</v>
      </c>
      <c r="C1091" s="38" t="n">
        <f aca="false">(1-ext_sh_hi)*(Sens!$C$1070+Sens!$C$1084)</f>
        <v>0</v>
      </c>
      <c r="D1091" s="38" t="n">
        <f aca="false">(1-ext_sh_hi)*(Sens!$D$1070+Sens!$D$1084)</f>
        <v>0</v>
      </c>
      <c r="E1091" s="38" t="n">
        <f aca="false">(1-ext_sh_hi)*(Sens!$E$1070+Sens!$E$1084)</f>
        <v>0</v>
      </c>
      <c r="F1091" s="38" t="n">
        <f aca="false">(1-ext_sh_hi)*(Sens!$F$1070+Sens!$F$1084)</f>
        <v>0</v>
      </c>
      <c r="G1091" s="38" t="n">
        <f aca="false">(1-ext_sh_hi)*(Sens!$G$1070+Sens!$G$1084)</f>
        <v>0</v>
      </c>
      <c r="H1091" s="38" t="n">
        <f aca="false">(1-ext_sh_hi)*(Sens!$H$1070+Sens!$H$1084)</f>
        <v>0</v>
      </c>
      <c r="I1091" s="38" t="n">
        <f aca="false">(1-ext_sh_hi)*(Sens!$I$1070+Sens!$I$1084)</f>
        <v>0</v>
      </c>
      <c r="J1091" s="38" t="n">
        <f aca="false">(1-ext_sh_hi)*(Sens!$J$1070+Sens!$J$1084)</f>
        <v>0</v>
      </c>
      <c r="K1091" s="38" t="n">
        <f aca="false">(1-ext_sh_hi)*(Sens!$K$1070+Sens!$K$1084)</f>
        <v>0</v>
      </c>
      <c r="L1091" s="38" t="n">
        <f aca="false">(1-ext_sh_hi)*(Sens!$L$1070+Sens!$L$1084)</f>
        <v>0</v>
      </c>
      <c r="M1091" s="38" t="n">
        <f aca="false">(1-ext_sh_hi)*(Sens!$M$1070+Sens!$M$1084)</f>
        <v>0</v>
      </c>
      <c r="N1091" s="38" t="n">
        <f aca="false">(1-ext_sh_hi)*(Sens!$N$1070+Sens!$N$1084)</f>
        <v>0</v>
      </c>
      <c r="O1091" s="38" t="n">
        <f aca="false">(1-ext_sh_hi)*(Sens!$O$1070+Sens!$O$1084)</f>
        <v>0</v>
      </c>
    </row>
    <row r="1092" customFormat="false" ht="17.15" hidden="false" customHeight="false" outlineLevel="0" collapsed="false">
      <c r="A1092" s="0" t="s">
        <v>642</v>
      </c>
      <c r="B1092" s="0" t="s">
        <v>86</v>
      </c>
      <c r="C1092" s="38" t="n">
        <f aca="false">Q!$D$24</f>
        <v>39.834</v>
      </c>
      <c r="D1092" s="38" t="n">
        <f aca="false">Q!$E$24</f>
        <v>45.606</v>
      </c>
      <c r="E1092" s="38" t="n">
        <f aca="false">Q!$P$24</f>
        <v>30.782</v>
      </c>
      <c r="N1092" s="38" t="n">
        <f aca="false">Q!$N$24</f>
        <v>21.707</v>
      </c>
      <c r="O1092" s="38" t="n">
        <f aca="false">Q!$O$24</f>
        <v>23.899</v>
      </c>
    </row>
    <row r="1093" customFormat="false" ht="17.15" hidden="false" customHeight="false" outlineLevel="0" collapsed="false">
      <c r="A1093" s="0" t="s">
        <v>643</v>
      </c>
      <c r="B1093" s="0" t="s">
        <v>86</v>
      </c>
      <c r="C1093" s="38" t="n">
        <f aca="false">Sens!$C$1092-Sens!$C$1088</f>
        <v>38.2305139601872</v>
      </c>
      <c r="D1093" s="38" t="n">
        <f aca="false">Sens!$D$1092-Sens!$D$1088</f>
        <v>42.4523896056918</v>
      </c>
      <c r="E1093" s="38" t="n">
        <f aca="false">Sens!$E$1092-Sens!$E$1088</f>
        <v>30.6724925966214</v>
      </c>
      <c r="F1093" s="38" t="n">
        <f aca="false">Sens!$F$1072*Sens!$F$1094</f>
        <v>27.7901543472</v>
      </c>
      <c r="G1093" s="38" t="n">
        <f aca="false">Sens!$E$1093+Sens!$F$1093</f>
        <v>58.4626469438214</v>
      </c>
      <c r="H1093" s="38" t="n">
        <f aca="false">Sens!$H$1072*Sens!$H$1094</f>
        <v>62.3482385559623</v>
      </c>
      <c r="I1093" s="38" t="n">
        <f aca="false">Sens!$I$1072*Sens!$I$1094</f>
        <v>69.2223447066625</v>
      </c>
      <c r="J1093" s="38" t="n">
        <f aca="false">Sens!$J$1072*Sens!$J$1094</f>
        <v>75.8072384055508</v>
      </c>
      <c r="K1093" s="38" t="n">
        <f aca="false">Sens!$K$1072*Sens!$K$1094</f>
        <v>81.8718174779949</v>
      </c>
      <c r="L1093" s="38" t="n">
        <f aca="false">Sens!$L$1072*Sens!$L$1094</f>
        <v>88.4215628762345</v>
      </c>
      <c r="M1093" s="38" t="n">
        <f aca="false">Sens!$M$1072*Sens!$M$1094</f>
        <v>95.4952879063332</v>
      </c>
      <c r="N1093" s="38" t="n">
        <f aca="false">Sens!$N$1092-Sens!$N$1088</f>
        <v>21.1466041713398</v>
      </c>
      <c r="O1093" s="38" t="n">
        <f aca="false">Sens!$O$1092-Sens!$O$1088</f>
        <v>21.305785434352</v>
      </c>
      <c r="P1093" s="5" t="s">
        <v>644</v>
      </c>
    </row>
    <row r="1094" customFormat="false" ht="17.15" hidden="false" customHeight="false" outlineLevel="0" collapsed="false">
      <c r="A1094" s="0" t="s">
        <v>645</v>
      </c>
      <c r="B1094" s="0" t="s">
        <v>52</v>
      </c>
      <c r="C1094" s="13" t="n">
        <f aca="false">Sens!$C$1093/Sens!$C$1072</f>
        <v>0.36328708040392</v>
      </c>
      <c r="D1094" s="13" t="n">
        <f aca="false">Sens!$D$1093/Sens!$D$1072</f>
        <v>0.353707336919046</v>
      </c>
      <c r="E1094" s="13" t="n">
        <f aca="false">Sens!$E$1093/Sens!$E$1072</f>
        <v>0.430137071400516</v>
      </c>
      <c r="F1094" s="13" t="n">
        <f aca="false">(Sens!$O$1093+Sens!$E$1093)/(Sens!$O$1072+Sens!$E$1072)</f>
        <v>0.387215068655691</v>
      </c>
      <c r="G1094" s="13" t="n">
        <f aca="false">Sens!$G$1093/Sens!$G$1072</f>
        <v>0.408606974336244</v>
      </c>
      <c r="H1094" s="13" t="n">
        <f aca="false">Sens!$F$1094</f>
        <v>0.387215068655691</v>
      </c>
      <c r="I1094" s="13" t="n">
        <f aca="false">Sens!$F$1094</f>
        <v>0.387215068655691</v>
      </c>
      <c r="J1094" s="13" t="n">
        <f aca="false">Sens!$F$1094</f>
        <v>0.387215068655691</v>
      </c>
      <c r="K1094" s="13" t="n">
        <f aca="false">Sens!$F$1094</f>
        <v>0.387215068655691</v>
      </c>
      <c r="L1094" s="13" t="n">
        <f aca="false">Sens!$F$1094</f>
        <v>0.387215068655691</v>
      </c>
      <c r="M1094" s="13" t="n">
        <f aca="false">Sens!$F$1094</f>
        <v>0.387215068655691</v>
      </c>
      <c r="N1094" s="13" t="n">
        <f aca="false">Sens!$N$1093/Sens!$N$1072</f>
        <v>0.370384322706819</v>
      </c>
      <c r="O1094" s="13" t="n">
        <f aca="false">Sens!$O$1093/Sens!$O$1072</f>
        <v>0.338576436285062</v>
      </c>
      <c r="P1094" s="8" t="s">
        <v>646</v>
      </c>
    </row>
    <row r="1095" customFormat="false" ht="17.15" hidden="false" customHeight="false" outlineLevel="0" collapsed="false">
      <c r="A1095" s="0" t="s">
        <v>647</v>
      </c>
      <c r="B1095" s="0" t="s">
        <v>52</v>
      </c>
      <c r="D1095" s="13" t="n">
        <f aca="false">(Q!$E$31-ext_sh_hi*Sens!$D$1084)/Sens!$D$1072</f>
        <v>0.148536620986555</v>
      </c>
    </row>
    <row r="1096" customFormat="false" ht="17.15" hidden="false" customHeight="false" outlineLevel="0" collapsed="false">
      <c r="A1096" s="0" t="s">
        <v>648</v>
      </c>
      <c r="B1096" s="0" t="s">
        <v>86</v>
      </c>
      <c r="C1096" s="38" t="n">
        <f aca="false">Q!$D$31</f>
        <v>13.32</v>
      </c>
      <c r="D1096" s="38" t="n">
        <f aca="false">Q!$E$31</f>
        <v>21.45</v>
      </c>
      <c r="E1096" s="38" t="n">
        <f aca="false">Q!$P$31</f>
        <v>15.353</v>
      </c>
      <c r="F1096" s="38" t="n">
        <f aca="false">ext_sh_hi*Sens!$F$1084+Sens!$D$1095*Sens!$F$1072</f>
        <v>17.1763451695531</v>
      </c>
      <c r="G1096" s="38" t="n">
        <f aca="false">Sens!$E$1096+Sens!$F$1096</f>
        <v>32.5293451695531</v>
      </c>
      <c r="H1096" s="38" t="n">
        <f aca="false">ext_sh_hi*Sens!$H$1084+Sens!$D$1095*Sens!$H$1072</f>
        <v>58.1660495081669</v>
      </c>
      <c r="I1096" s="38" t="n">
        <f aca="false">ext_sh_hi*Sens!$I$1084+Sens!$D$1095*Sens!$I$1072</f>
        <v>82.9814740708868</v>
      </c>
      <c r="J1096" s="38" t="n">
        <f aca="false">ext_sh_hi*Sens!$J$1084+Sens!$D$1095*Sens!$J$1072</f>
        <v>108.495970044888</v>
      </c>
      <c r="K1096" s="38" t="n">
        <f aca="false">ext_sh_hi*Sens!$K$1084+Sens!$D$1095*Sens!$K$1072</f>
        <v>134.325895052708</v>
      </c>
      <c r="L1096" s="38" t="n">
        <f aca="false">ext_sh_hi*Sens!$L$1084+Sens!$D$1095*Sens!$L$1072</f>
        <v>151.418018426849</v>
      </c>
      <c r="M1096" s="38" t="n">
        <f aca="false">ext_sh_hi*Sens!$M$1084+Sens!$D$1095*Sens!$M$1072</f>
        <v>161.47785589886</v>
      </c>
      <c r="N1096" s="38" t="n">
        <f aca="false">Q!$N$31</f>
        <v>9.234</v>
      </c>
      <c r="O1096" s="38" t="n">
        <f aca="false">Q!$O$31</f>
        <v>12.216</v>
      </c>
    </row>
    <row r="1097" customFormat="false" ht="17.15" hidden="false" customHeight="false" outlineLevel="0" collapsed="false">
      <c r="A1097" s="1" t="s">
        <v>649</v>
      </c>
    </row>
    <row r="1098" customFormat="false" ht="17.15" hidden="false" customHeight="false" outlineLevel="0" collapsed="false">
      <c r="A1098" s="15" t="s">
        <v>650</v>
      </c>
      <c r="B1098" s="14" t="s">
        <v>52</v>
      </c>
      <c r="C1098" s="14"/>
      <c r="D1098" s="14"/>
      <c r="E1098" s="14"/>
      <c r="F1098" s="14"/>
      <c r="G1098" s="17" t="n">
        <f aca="false">Sens!$G$1088*(1-tax)/(ext_sh_hi*(Sens!$D$1085+Sens!$G$1085)/2)</f>
        <v>0.0270292257795794</v>
      </c>
      <c r="H1098" s="17" t="n">
        <f aca="false">Sens!$H$1088*(1-tax)/(ext_sh_hi*(Sens!$G$1085+Sens!$H$1085)/2)</f>
        <v>0.0372066223378344</v>
      </c>
      <c r="I1098" s="17" t="n">
        <f aca="false">Sens!$I$1088*(1-tax)/(ext_sh_hi*(Sens!$H$1085+Sens!$I$1085)/2)</f>
        <v>0.0485529616913946</v>
      </c>
      <c r="J1098" s="17" t="n">
        <f aca="false">Sens!$J$1088*(1-tax)/(ext_sh_hi*(Sens!$I$1085+Sens!$J$1085)/2)</f>
        <v>0.0558099743734433</v>
      </c>
      <c r="K1098" s="17" t="n">
        <f aca="false">Sens!$K$1088*(1-tax)/(ext_sh_hi*(Sens!$J$1085+Sens!$K$1085)/2)</f>
        <v>0.0574458955978134</v>
      </c>
      <c r="L1098" s="17" t="n">
        <f aca="false">Sens!$L$1088*(1-tax)/(ext_sh_hi*(Sens!$K$1085+Sens!$L$1085)/2)</f>
        <v>0.0628419556862793</v>
      </c>
      <c r="M1098" s="17" t="n">
        <f aca="false">Sens!$M$1088*(1-tax)/(ext_sh_hi*(Sens!$L$1085+Sens!$M$1085)/2)</f>
        <v>0.0668919649088773</v>
      </c>
      <c r="N1098" s="14"/>
      <c r="O1098" s="14"/>
      <c r="P1098" s="8" t="s">
        <v>651</v>
      </c>
    </row>
    <row r="1099" customFormat="false" ht="17.15" hidden="false" customHeight="false" outlineLevel="0" collapsed="false">
      <c r="A1099" s="5" t="s">
        <v>652</v>
      </c>
      <c r="B1099" s="0" t="s">
        <v>57</v>
      </c>
      <c r="H1099" s="36" t="n">
        <f aca="false">Sens!$H$1068*1000/(mw_open*he_open+Sens!$H$1066*Sens!$H$1063)</f>
        <v>0.991949006767191</v>
      </c>
      <c r="I1099" s="36" t="n">
        <f aca="false">Sens!$I$1068*1000/(mw_open*he_open+Sens!$I$1066*Sens!$I$1063)</f>
        <v>0.991949006767191</v>
      </c>
      <c r="J1099" s="36" t="n">
        <f aca="false">Sens!$J$1068*1000/(mw_open*he_open+Sens!$J$1066*Sens!$J$1063)</f>
        <v>0.991949006767191</v>
      </c>
      <c r="K1099" s="36" t="n">
        <f aca="false">Sens!$K$1068*1000/(mw_open*he_open+Sens!$K$1066*Sens!$K$1063)</f>
        <v>0.991949006767191</v>
      </c>
      <c r="L1099" s="36" t="n">
        <f aca="false">Sens!$L$1068*1000/(mw_open*he_open+Sens!$L$1066*Sens!$L$1063)</f>
        <v>0.991949006767191</v>
      </c>
      <c r="M1099" s="36" t="n">
        <f aca="false">Sens!$M$1068*1000/(mw_open*he_open+Sens!$M$1066*Sens!$M$1063)</f>
        <v>0.991949006767191</v>
      </c>
    </row>
    <row r="1100" customFormat="false" ht="17.15" hidden="false" customHeight="false" outlineLevel="0" collapsed="false">
      <c r="A1100" s="5" t="s">
        <v>653</v>
      </c>
      <c r="B1100" s="0" t="s">
        <v>57</v>
      </c>
      <c r="H1100" s="36" t="n">
        <f aca="false">Sens!$H$1099*(Sens!$H$1068+wacc*ext_sh_hi*(Sens!$G$1085+Sens!$H$1085)/2/(1-tax)-Sens!$H$1088)/Sens!$H$1068</f>
        <v>1.43931007887944</v>
      </c>
      <c r="I1100" s="36" t="n">
        <f aca="false">Sens!$I$1099*(Sens!$I$1068+wacc*ext_sh_hi*(Sens!$H$1085+Sens!$I$1085)/2/(1-tax)-Sens!$I$1088)/Sens!$I$1068</f>
        <v>1.30635152544173</v>
      </c>
      <c r="J1100" s="36" t="n">
        <f aca="false">Sens!$J$1099*(Sens!$J$1068+wacc*ext_sh_hi*(Sens!$I$1085+Sens!$J$1085)/2/(1-tax)-Sens!$J$1088)/Sens!$J$1068</f>
        <v>1.23729440501064</v>
      </c>
      <c r="K1100" s="36" t="n">
        <f aca="false">Sens!$K$1099*(Sens!$K$1068+wacc*ext_sh_hi*(Sens!$J$1085+Sens!$K$1085)/2/(1-tax)-Sens!$K$1088)/Sens!$K$1068</f>
        <v>1.20361382028756</v>
      </c>
      <c r="L1100" s="36" t="n">
        <f aca="false">Sens!$L$1099*(Sens!$L$1068+wacc*ext_sh_hi*(Sens!$K$1085+Sens!$L$1085)/2/(1-tax)-Sens!$L$1088)/Sens!$L$1068</f>
        <v>1.16250569091701</v>
      </c>
      <c r="M1100" s="36" t="n">
        <f aca="false">Sens!$M$1099*(Sens!$M$1068+wacc*ext_sh_hi*(Sens!$L$1085+Sens!$M$1085)/2/(1-tax)-Sens!$M$1088)/Sens!$M$1068</f>
        <v>1.13657905785391</v>
      </c>
    </row>
    <row r="1101" customFormat="false" ht="17.15" hidden="false" customHeight="false" outlineLevel="0" collapsed="false">
      <c r="A1101" s="5" t="s">
        <v>654</v>
      </c>
      <c r="B1101" s="0" t="s">
        <v>52</v>
      </c>
      <c r="C1101" s="13" t="n">
        <f aca="false">Sens!$C$1069/tk_pq</f>
        <v>0.195316432429398</v>
      </c>
      <c r="D1101" s="13" t="n">
        <f aca="false">Sens!$D$1069/tk_pq</f>
        <v>0.195316432429398</v>
      </c>
      <c r="E1101" s="13" t="n">
        <f aca="false">Sens!$E$1069/tk_pq</f>
        <v>0.195316432429398</v>
      </c>
      <c r="F1101" s="13" t="n">
        <f aca="false">Sens!$F$1069/tk_pq</f>
        <v>0.202241827274866</v>
      </c>
      <c r="G1101" s="13" t="n">
        <f aca="false">Sens!$G$1069/tk_pq</f>
        <v>0.199675016194063</v>
      </c>
      <c r="H1101" s="13" t="n">
        <f aca="false">Sens!$H$1069/tk_pq</f>
        <v>0.212647947710325</v>
      </c>
      <c r="I1101" s="13" t="n">
        <f aca="false">Sens!$I$1069/tk_pq</f>
        <v>0.219285125475351</v>
      </c>
      <c r="J1101" s="13" t="n">
        <f aca="false">Sens!$J$1069/tk_pq</f>
        <v>0.222492493217189</v>
      </c>
      <c r="K1101" s="13" t="n">
        <f aca="false">Sens!$K$1069/tk_pq</f>
        <v>0.224053502812094</v>
      </c>
      <c r="L1101" s="13" t="n">
        <f aca="false">Sens!$L$1069/tk_pq</f>
        <v>0.224786916785614</v>
      </c>
      <c r="M1101" s="13" t="n">
        <f aca="false">Sens!$M$1069/tk_pq</f>
        <v>0.225048671566937</v>
      </c>
      <c r="N1101" s="13" t="n">
        <f aca="false">Sens!$N$1069/tk_pq</f>
        <v>0.195316432429398</v>
      </c>
      <c r="O1101" s="13" t="n">
        <f aca="false">Sens!$O$1069/tk_pq</f>
        <v>0.195316432429398</v>
      </c>
      <c r="P1101" s="5" t="s">
        <v>655</v>
      </c>
    </row>
    <row r="1104" customFormat="false" ht="17.15" hidden="false" customHeight="false" outlineLevel="0" collapsed="false">
      <c r="A1104" s="1" t="s">
        <v>684</v>
      </c>
    </row>
    <row r="1105" customFormat="false" ht="17.15" hidden="false" customHeight="false" outlineLevel="0" collapsed="false">
      <c r="A1105" s="0" t="s">
        <v>685</v>
      </c>
      <c r="B1105" s="0" t="s">
        <v>86</v>
      </c>
      <c r="C1105" s="38" t="n">
        <f aca="false">Sens!$C$1068</f>
        <v>2.32100535697364</v>
      </c>
      <c r="D1105" s="38" t="n">
        <f aca="false">Sens!$D$1068</f>
        <v>8.70377008865116</v>
      </c>
      <c r="E1105" s="38" t="n">
        <f aca="false">Sens!$E$1068</f>
        <v>8.51035297557002</v>
      </c>
      <c r="F1105" s="38" t="n">
        <f aca="false">Sens!$F$1068</f>
        <v>14.9634336447205</v>
      </c>
      <c r="G1105" s="38" t="n">
        <f aca="false">Sens!$G$1068</f>
        <v>23.4737866202905</v>
      </c>
      <c r="H1105" s="38" t="n">
        <f aca="false">Sens!$H$1068</f>
        <v>60.1658907497746</v>
      </c>
      <c r="I1105" s="38" t="n">
        <f aca="false">Sens!$I$1068</f>
        <v>101.503699136432</v>
      </c>
      <c r="J1105" s="38" t="n">
        <f aca="false">Sens!$J$1068</f>
        <v>143.025407151278</v>
      </c>
      <c r="K1105" s="38" t="n">
        <f aca="false">Sens!$K$1068</f>
        <v>178.44812038318</v>
      </c>
      <c r="L1105" s="38" t="n">
        <f aca="false">Sens!$L$1068</f>
        <v>201.728101802396</v>
      </c>
      <c r="M1105" s="38" t="n">
        <f aca="false">Sens!$M$1068</f>
        <v>212.835441368865</v>
      </c>
      <c r="N1105" s="38" t="n">
        <f aca="false">Sens!$N$1068</f>
        <v>3.04631953102791</v>
      </c>
      <c r="O1105" s="38" t="n">
        <f aca="false">Sens!$O$1068</f>
        <v>5.65745055762326</v>
      </c>
      <c r="P1105" s="8" t="s">
        <v>686</v>
      </c>
    </row>
    <row r="1106" customFormat="false" ht="17.15" hidden="false" customHeight="false" outlineLevel="0" collapsed="false">
      <c r="A1106" s="0" t="s">
        <v>687</v>
      </c>
      <c r="B1106" s="0" t="s">
        <v>86</v>
      </c>
      <c r="C1106" s="38" t="n">
        <f aca="false">Sens!$C$1072</f>
        <v>105.234994643026</v>
      </c>
      <c r="D1106" s="38" t="n">
        <f aca="false">Sens!$D$1072</f>
        <v>120.021229911349</v>
      </c>
      <c r="E1106" s="38" t="n">
        <f aca="false">Sens!$E$1072</f>
        <v>71.30864702443</v>
      </c>
      <c r="F1106" s="38" t="n">
        <f aca="false">Sens!$F$1072</f>
        <v>71.7692997942464</v>
      </c>
      <c r="G1106" s="38" t="n">
        <f aca="false">Sens!$G$1072</f>
        <v>143.077946818676</v>
      </c>
      <c r="H1106" s="38" t="n">
        <f aca="false">Sens!$H$1072</f>
        <v>161.017077079203</v>
      </c>
      <c r="I1106" s="38" t="n">
        <f aca="false">Sens!$I$1072</f>
        <v>178.769759521457</v>
      </c>
      <c r="J1106" s="38" t="n">
        <f aca="false">Sens!$J$1072</f>
        <v>195.775538045907</v>
      </c>
      <c r="K1106" s="38" t="n">
        <f aca="false">Sens!$K$1072</f>
        <v>211.43758108958</v>
      </c>
      <c r="L1106" s="38" t="n">
        <f aca="false">Sens!$L$1072</f>
        <v>228.352587576746</v>
      </c>
      <c r="M1106" s="38" t="n">
        <f aca="false">Sens!$M$1072</f>
        <v>246.620794582886</v>
      </c>
      <c r="N1106" s="38" t="n">
        <f aca="false">Sens!$N$1072</f>
        <v>57.0936804689721</v>
      </c>
      <c r="O1106" s="38" t="n">
        <f aca="false">Sens!$O$1072</f>
        <v>62.9275494423768</v>
      </c>
      <c r="P1106" s="8" t="s">
        <v>686</v>
      </c>
    </row>
    <row r="1107" customFormat="false" ht="17.15" hidden="false" customHeight="false" outlineLevel="0" collapsed="false">
      <c r="A1107" s="1" t="s">
        <v>513</v>
      </c>
      <c r="B1107" s="8" t="s">
        <v>86</v>
      </c>
      <c r="C1107" s="38" t="n">
        <f aca="false">Q!$D$7</f>
        <v>107.556</v>
      </c>
      <c r="D1107" s="38" t="n">
        <f aca="false">Q!$E$7</f>
        <v>128.725</v>
      </c>
      <c r="E1107" s="38" t="n">
        <f aca="false">Q!$P$7</f>
        <v>79.819</v>
      </c>
      <c r="F1107" s="38" t="n">
        <f aca="false">Sens!$F$1105+Sens!$F$1106</f>
        <v>86.7327334389669</v>
      </c>
      <c r="G1107" s="38" t="n">
        <f aca="false">Sens!$G$1105+Sens!$G$1106</f>
        <v>166.551733438967</v>
      </c>
      <c r="H1107" s="38" t="n">
        <f aca="false">Sens!$H$1105+Sens!$H$1106</f>
        <v>221.182967828978</v>
      </c>
      <c r="I1107" s="38" t="n">
        <f aca="false">Sens!$I$1105+Sens!$I$1106</f>
        <v>280.27345865789</v>
      </c>
      <c r="J1107" s="38" t="n">
        <f aca="false">Sens!$J$1105+Sens!$J$1106</f>
        <v>338.800945197185</v>
      </c>
      <c r="K1107" s="38" t="n">
        <f aca="false">Sens!$K$1105+Sens!$K$1106</f>
        <v>389.88570147276</v>
      </c>
      <c r="L1107" s="38" t="n">
        <f aca="false">Sens!$L$1105+Sens!$L$1106</f>
        <v>430.080689379143</v>
      </c>
      <c r="M1107" s="38" t="n">
        <f aca="false">Sens!$M$1105+Sens!$M$1106</f>
        <v>459.456235951751</v>
      </c>
      <c r="N1107" s="38" t="n">
        <f aca="false">Q!$N$7</f>
        <v>60.14</v>
      </c>
      <c r="O1107" s="38" t="n">
        <f aca="false">Q!$O$7</f>
        <v>68.585</v>
      </c>
      <c r="P1107" s="5" t="s">
        <v>688</v>
      </c>
    </row>
    <row r="1108" customFormat="false" ht="15" hidden="false" customHeight="false" outlineLevel="0" collapsed="false">
      <c r="A1108" s="3" t="s">
        <v>689</v>
      </c>
      <c r="B1108" s="8" t="s">
        <v>86</v>
      </c>
      <c r="C1108" s="38" t="n">
        <f aca="false">Q!$D$8</f>
        <v>637.959</v>
      </c>
      <c r="D1108" s="38" t="n">
        <f aca="false">Q!$E$8</f>
        <v>716.924</v>
      </c>
      <c r="E1108" s="38" t="n">
        <f aca="false">Q!$P$8</f>
        <v>382.125</v>
      </c>
      <c r="F1108" s="38" t="n">
        <f aca="false">Sens!$F$1040+Sens!$F$1107</f>
        <v>435.780975084504</v>
      </c>
      <c r="G1108" s="38" t="n">
        <f aca="false">Sens!$G$1040+Sens!$G$1107</f>
        <v>817.905975084504</v>
      </c>
      <c r="H1108" s="38" t="n">
        <f aca="false">Sens!$H$1040+Sens!$H$1107</f>
        <v>942.279857350364</v>
      </c>
      <c r="I1108" s="38" t="n">
        <f aca="false">Sens!$I$1040+Sens!$I$1107</f>
        <v>1068.80284981042</v>
      </c>
      <c r="J1108" s="38" t="n">
        <f aca="false">Sens!$J$1040+Sens!$J$1107</f>
        <v>1189.90935093863</v>
      </c>
      <c r="K1108" s="38" t="n">
        <f aca="false">Sens!$K$1040+Sens!$K$1107</f>
        <v>1296.06215690385</v>
      </c>
      <c r="L1108" s="38" t="n">
        <f aca="false">Sens!$L$1040+Sens!$L$1107</f>
        <v>1395.17379585473</v>
      </c>
      <c r="M1108" s="38" t="n">
        <f aca="false">Sens!$M$1040+Sens!$M$1107</f>
        <v>1487.60414389864</v>
      </c>
      <c r="N1108" s="38" t="n">
        <f aca="false">Q!$N$8</f>
        <v>323.369</v>
      </c>
      <c r="O1108" s="38" t="n">
        <f aca="false">Q!$O$8</f>
        <v>393.555</v>
      </c>
    </row>
    <row r="1109" customFormat="false" ht="17.15" hidden="false" customHeight="false" outlineLevel="0" collapsed="false">
      <c r="A1109" s="24" t="s">
        <v>697</v>
      </c>
      <c r="B1109" s="25" t="s">
        <v>86</v>
      </c>
      <c r="C1109" s="41" t="n">
        <f aca="false">Sens!$C$1040-(Sens!$C$1042+Sens!$C$1043)</f>
        <v>0</v>
      </c>
      <c r="D1109" s="41" t="n">
        <f aca="false">Sens!$D$1040-(Sens!$D$1042+Sens!$D$1043)</f>
        <v>0</v>
      </c>
      <c r="E1109" s="41" t="n">
        <f aca="false">Sens!$E$1040-(Sens!$E$1042+Sens!$E$1043)</f>
        <v>0</v>
      </c>
      <c r="F1109" s="41" t="n">
        <f aca="false">Sens!$F$1040-(Sens!$F$1042+Sens!$F$1043)</f>
        <v>0</v>
      </c>
      <c r="G1109" s="41" t="n">
        <f aca="false">Sens!$G$1040-(Sens!$G$1042+Sens!$G$1043)</f>
        <v>0</v>
      </c>
      <c r="H1109" s="41" t="n">
        <f aca="false">Sens!$H$1040-(Sens!$H$1042+Sens!$H$1043)</f>
        <v>0</v>
      </c>
      <c r="I1109" s="41" t="n">
        <f aca="false">Sens!$I$1040-(Sens!$I$1042+Sens!$I$1043)</f>
        <v>0</v>
      </c>
      <c r="J1109" s="41" t="n">
        <f aca="false">Sens!$J$1040-(Sens!$J$1042+Sens!$J$1043)</f>
        <v>0</v>
      </c>
      <c r="K1109" s="41" t="n">
        <f aca="false">Sens!$K$1040-(Sens!$K$1042+Sens!$K$1043)</f>
        <v>0</v>
      </c>
      <c r="L1109" s="41" t="n">
        <f aca="false">Sens!$L$1040-(Sens!$L$1042+Sens!$L$1043)</f>
        <v>0</v>
      </c>
      <c r="M1109" s="41" t="n">
        <f aca="false">Sens!$M$1040-(Sens!$M$1042+Sens!$M$1043)</f>
        <v>0</v>
      </c>
      <c r="N1109" s="41" t="n">
        <f aca="false">Sens!$N$1040-(Sens!$N$1042+Sens!$N$1043)</f>
        <v>0</v>
      </c>
      <c r="O1109" s="41" t="n">
        <f aca="false">Sens!$O$1040-(Sens!$O$1042+Sens!$O$1043)</f>
        <v>0</v>
      </c>
    </row>
    <row r="1110" customFormat="false" ht="17.15" hidden="false" customHeight="false" outlineLevel="0" collapsed="false">
      <c r="A1110" s="24" t="s">
        <v>698</v>
      </c>
      <c r="B1110" s="25" t="s">
        <v>86</v>
      </c>
      <c r="C1110" s="41" t="n">
        <f aca="false">Sens!$C$1105+Sens!$C$1106-Sens!$C$1107</f>
        <v>0</v>
      </c>
      <c r="D1110" s="41" t="n">
        <f aca="false">Sens!$D$1105+Sens!$D$1106-Sens!$D$1107</f>
        <v>0</v>
      </c>
      <c r="E1110" s="41" t="n">
        <f aca="false">Sens!$E$1105+Sens!$E$1106-Sens!$E$1107</f>
        <v>0</v>
      </c>
      <c r="F1110" s="41" t="n">
        <f aca="false">Sens!$F$1105+Sens!$F$1106-Sens!$F$1107</f>
        <v>0</v>
      </c>
      <c r="G1110" s="41" t="n">
        <f aca="false">Sens!$G$1105+Sens!$G$1106-Sens!$G$1107</f>
        <v>0</v>
      </c>
      <c r="H1110" s="41" t="n">
        <f aca="false">Sens!$H$1105+Sens!$H$1106-Sens!$H$1107</f>
        <v>0</v>
      </c>
      <c r="I1110" s="41" t="n">
        <f aca="false">Sens!$I$1105+Sens!$I$1106-Sens!$I$1107</f>
        <v>0</v>
      </c>
      <c r="J1110" s="41" t="n">
        <f aca="false">Sens!$J$1105+Sens!$J$1106-Sens!$J$1107</f>
        <v>0</v>
      </c>
      <c r="K1110" s="41" t="n">
        <f aca="false">Sens!$K$1105+Sens!$K$1106-Sens!$K$1107</f>
        <v>0</v>
      </c>
      <c r="L1110" s="41" t="n">
        <f aca="false">Sens!$L$1105+Sens!$L$1106-Sens!$L$1107</f>
        <v>0</v>
      </c>
      <c r="M1110" s="41" t="n">
        <f aca="false">Sens!$M$1105+Sens!$M$1106-Sens!$M$1107</f>
        <v>0</v>
      </c>
      <c r="N1110" s="41" t="n">
        <f aca="false">Sens!$N$1105+Sens!$N$1106-Sens!$N$1107</f>
        <v>0</v>
      </c>
      <c r="O1110" s="41" t="n">
        <f aca="false">Sens!$O$1105+Sens!$O$1106-Sens!$O$1107</f>
        <v>0</v>
      </c>
    </row>
    <row r="1111" customFormat="false" ht="17.15" hidden="false" customHeight="false" outlineLevel="0" collapsed="false">
      <c r="A1111" s="24" t="s">
        <v>699</v>
      </c>
      <c r="B1111" s="25" t="s">
        <v>86</v>
      </c>
      <c r="C1111" s="41" t="n">
        <f aca="false">Sens!$C$1042+Sens!$C$1043+Sens!$C$1107-Sens!$C$1108</f>
        <v>0</v>
      </c>
      <c r="D1111" s="41" t="n">
        <f aca="false">Sens!$D$1042+Sens!$D$1043+Sens!$D$1107-Sens!$D$1108</f>
        <v>0</v>
      </c>
      <c r="E1111" s="41" t="n">
        <f aca="false">Sens!$E$1042+Sens!$E$1043+Sens!$E$1107-Sens!$E$1108</f>
        <v>0</v>
      </c>
      <c r="F1111" s="41" t="n">
        <f aca="false">Sens!$F$1042+Sens!$F$1043+Sens!$F$1107-Sens!$F$1108</f>
        <v>0</v>
      </c>
      <c r="G1111" s="41" t="n">
        <f aca="false">Sens!$G$1042+Sens!$G$1043+Sens!$G$1107-Sens!$G$1108</f>
        <v>0</v>
      </c>
      <c r="H1111" s="41" t="n">
        <f aca="false">Sens!$H$1042+Sens!$H$1043+Sens!$H$1107-Sens!$H$1108</f>
        <v>0</v>
      </c>
      <c r="I1111" s="41" t="n">
        <f aca="false">Sens!$I$1042+Sens!$I$1043+Sens!$I$1107-Sens!$I$1108</f>
        <v>0</v>
      </c>
      <c r="J1111" s="41" t="n">
        <f aca="false">Sens!$J$1042+Sens!$J$1043+Sens!$J$1107-Sens!$J$1108</f>
        <v>0</v>
      </c>
      <c r="K1111" s="41" t="n">
        <f aca="false">Sens!$K$1042+Sens!$K$1043+Sens!$K$1107-Sens!$K$1108</f>
        <v>0</v>
      </c>
      <c r="L1111" s="41" t="n">
        <f aca="false">Sens!$L$1042+Sens!$L$1043+Sens!$L$1107-Sens!$L$1108</f>
        <v>0</v>
      </c>
      <c r="M1111" s="41" t="n">
        <f aca="false">Sens!$M$1042+Sens!$M$1043+Sens!$M$1107-Sens!$M$1108</f>
        <v>0</v>
      </c>
      <c r="N1111" s="41" t="n">
        <f aca="false">Sens!$N$1042+Sens!$N$1043+Sens!$N$1107-Sens!$N$1108</f>
        <v>0</v>
      </c>
      <c r="O1111" s="41" t="n">
        <f aca="false">Sens!$O$1042+Sens!$O$1043+Sens!$O$1107-Sens!$O$1108</f>
        <v>0</v>
      </c>
    </row>
    <row r="1112" customFormat="false" ht="15" hidden="false" customHeight="false" outlineLevel="0" collapsed="false">
      <c r="A1112" s="5" t="s">
        <v>693</v>
      </c>
      <c r="B1112" s="0" t="s">
        <v>52</v>
      </c>
      <c r="G1112" s="13" t="n">
        <f aca="false">Sens!$G$1108/Sens!$D$1108-1</f>
        <v>0.140854504918937</v>
      </c>
      <c r="H1112" s="13" t="n">
        <f aca="false">Sens!$H$1108/Sens!$G$1108-1</f>
        <v>0.152063789793209</v>
      </c>
      <c r="I1112" s="13" t="n">
        <f aca="false">Sens!$I$1108/Sens!$H$1108-1</f>
        <v>0.134273264437417</v>
      </c>
      <c r="J1112" s="13" t="n">
        <f aca="false">Sens!$J$1108/Sens!$I$1108-1</f>
        <v>0.113310421234083</v>
      </c>
      <c r="K1112" s="13" t="n">
        <f aca="false">Sens!$K$1108/Sens!$J$1108-1</f>
        <v>0.0892108343223652</v>
      </c>
      <c r="L1112" s="13" t="n">
        <f aca="false">Sens!$L$1108/Sens!$K$1108-1</f>
        <v>0.076471362444261</v>
      </c>
      <c r="M1112" s="13" t="n">
        <f aca="false">Sens!$M$1108/Sens!$L$1108-1</f>
        <v>0.066250060256672</v>
      </c>
    </row>
    <row r="1113" customFormat="false" ht="17.15" hidden="false" customHeight="false" outlineLevel="0" collapsed="false">
      <c r="A1113" s="0" t="s">
        <v>694</v>
      </c>
      <c r="B1113" s="0" t="s">
        <v>52</v>
      </c>
      <c r="C1113" s="13" t="n">
        <f aca="false">Sens!$C$1107/Sens!$C$1108</f>
        <v>0.168593906504964</v>
      </c>
      <c r="D1113" s="13" t="n">
        <f aca="false">Sens!$D$1107/Sens!$D$1108</f>
        <v>0.179551807444025</v>
      </c>
      <c r="E1113" s="13" t="n">
        <f aca="false">Sens!$E$1107/Sens!$E$1108</f>
        <v>0.208881910369643</v>
      </c>
      <c r="F1113" s="13" t="n">
        <f aca="false">Sens!$F$1107/Sens!$F$1108</f>
        <v>0.199028269699356</v>
      </c>
      <c r="G1113" s="13" t="n">
        <f aca="false">Sens!$G$1107/Sens!$G$1108</f>
        <v>0.203631882529968</v>
      </c>
      <c r="H1113" s="13" t="n">
        <f aca="false">Sens!$H$1107/Sens!$H$1108</f>
        <v>0.234731715958496</v>
      </c>
      <c r="I1113" s="13" t="n">
        <f aca="false">Sens!$I$1107/Sens!$I$1108</f>
        <v>0.262231204480418</v>
      </c>
      <c r="J1113" s="13" t="n">
        <f aca="false">Sens!$J$1107/Sens!$J$1108</f>
        <v>0.284728366013706</v>
      </c>
      <c r="K1113" s="13" t="n">
        <f aca="false">Sens!$K$1107/Sens!$K$1108</f>
        <v>0.300823304959505</v>
      </c>
      <c r="L1113" s="13" t="n">
        <f aca="false">Sens!$L$1107/Sens!$L$1108</f>
        <v>0.308263164529735</v>
      </c>
      <c r="M1113" s="13" t="n">
        <f aca="false">Sens!$M$1107/Sens!$M$1108</f>
        <v>0.308856517936036</v>
      </c>
      <c r="N1113" s="13" t="n">
        <f aca="false">Sens!$N$1107/Sens!$N$1108</f>
        <v>0.185979484737251</v>
      </c>
      <c r="O1113" s="13" t="n">
        <f aca="false">Sens!$O$1107/Sens!$O$1108</f>
        <v>0.174270432341096</v>
      </c>
    </row>
    <row r="1114" customFormat="false" ht="17.15" hidden="false" customHeight="false" outlineLevel="0" collapsed="false">
      <c r="A1114" s="0" t="s">
        <v>695</v>
      </c>
      <c r="B1114" s="0" t="s">
        <v>52</v>
      </c>
      <c r="C1114" s="13" t="n">
        <f aca="false">Sens!$C$1105/Sens!$C$1107</f>
        <v>0.0215795060896058</v>
      </c>
      <c r="D1114" s="13" t="n">
        <f aca="false">Sens!$D$1105/Sens!$D$1107</f>
        <v>0.0676152269462122</v>
      </c>
      <c r="E1114" s="13" t="n">
        <f aca="false">Sens!$E$1105/Sens!$E$1107</f>
        <v>0.106620641395783</v>
      </c>
      <c r="F1114" s="13" t="n">
        <f aca="false">Sens!$F$1105/Sens!$F$1107</f>
        <v>0.172523487401099</v>
      </c>
      <c r="G1114" s="13" t="n">
        <f aca="false">Sens!$G$1105/Sens!$G$1107</f>
        <v>0.140939911795589</v>
      </c>
      <c r="H1114" s="13" t="n">
        <f aca="false">Sens!$H$1105/Sens!$H$1107</f>
        <v>0.272018642937714</v>
      </c>
      <c r="I1114" s="13" t="n">
        <f aca="false">Sens!$I$1105/Sens!$I$1107</f>
        <v>0.362159512436497</v>
      </c>
      <c r="J1114" s="13" t="n">
        <f aca="false">Sens!$J$1105/Sens!$J$1107</f>
        <v>0.422151735934609</v>
      </c>
      <c r="K1114" s="13" t="n">
        <f aca="false">Sens!$K$1105/Sens!$K$1107</f>
        <v>0.45769342068485</v>
      </c>
      <c r="L1114" s="13" t="n">
        <f aca="false">Sens!$L$1105/Sens!$L$1107</f>
        <v>0.469047103913472</v>
      </c>
      <c r="M1114" s="13" t="n">
        <f aca="false">Sens!$M$1105/Sens!$M$1107</f>
        <v>0.463233328258093</v>
      </c>
      <c r="N1114" s="13" t="n">
        <f aca="false">Sens!$N$1105/Sens!$N$1107</f>
        <v>0.0506537999838362</v>
      </c>
      <c r="O1114" s="13" t="n">
        <f aca="false">Sens!$O$1105/Sens!$O$1107</f>
        <v>0.0824881615167056</v>
      </c>
    </row>
    <row r="1117" customFormat="false" ht="19.4" hidden="false" customHeight="false" outlineLevel="0" collapsed="false">
      <c r="A1117" s="31" t="s">
        <v>1149</v>
      </c>
    </row>
    <row r="1118" customFormat="false" ht="17.15" hidden="false" customHeight="false" outlineLevel="0" collapsed="false">
      <c r="A1118" s="6" t="s">
        <v>16</v>
      </c>
      <c r="B1118" s="6" t="s">
        <v>17</v>
      </c>
      <c r="C1118" s="20" t="s">
        <v>494</v>
      </c>
      <c r="D1118" s="20" t="s">
        <v>495</v>
      </c>
      <c r="E1118" s="20" t="s">
        <v>577</v>
      </c>
      <c r="F1118" s="20" t="s">
        <v>578</v>
      </c>
      <c r="G1118" s="20" t="s">
        <v>579</v>
      </c>
      <c r="H1118" s="20" t="s">
        <v>580</v>
      </c>
      <c r="I1118" s="20" t="s">
        <v>581</v>
      </c>
      <c r="J1118" s="20" t="s">
        <v>582</v>
      </c>
      <c r="K1118" s="20" t="s">
        <v>583</v>
      </c>
      <c r="L1118" s="20" t="s">
        <v>584</v>
      </c>
      <c r="M1118" s="20" t="s">
        <v>585</v>
      </c>
      <c r="N1118" s="20" t="s">
        <v>586</v>
      </c>
      <c r="O1118" s="20" t="s">
        <v>587</v>
      </c>
      <c r="P1118" s="6" t="s">
        <v>23</v>
      </c>
      <c r="R1118" s="20" t="n">
        <v>2023</v>
      </c>
      <c r="S1118" s="20" t="n">
        <v>2024</v>
      </c>
      <c r="T1118" s="20" t="n">
        <v>2025</v>
      </c>
      <c r="U1118" s="20" t="n">
        <v>2026</v>
      </c>
      <c r="V1118" s="20" t="n">
        <v>2027</v>
      </c>
      <c r="W1118" s="20" t="n">
        <v>2028</v>
      </c>
      <c r="X1118" s="20" t="n">
        <v>2029</v>
      </c>
      <c r="Y1118" s="20" t="n">
        <v>2030</v>
      </c>
      <c r="Z1118" s="20" t="n">
        <v>2031</v>
      </c>
      <c r="AA1118" s="20" t="n">
        <v>2032</v>
      </c>
    </row>
    <row r="1119" customFormat="false" ht="17.15" hidden="false" customHeight="false" outlineLevel="0" collapsed="false">
      <c r="A1119" s="1" t="s">
        <v>710</v>
      </c>
    </row>
    <row r="1120" customFormat="false" ht="15" hidden="false" customHeight="false" outlineLevel="0" collapsed="false">
      <c r="A1120" s="0" t="s">
        <v>516</v>
      </c>
      <c r="B1120" s="0" t="s">
        <v>86</v>
      </c>
      <c r="C1120" s="38" t="n">
        <f aca="false">Sens!$C$1027</f>
        <v>247.029</v>
      </c>
      <c r="D1120" s="38" t="n">
        <f aca="false">Sens!$D$1027</f>
        <v>269.287</v>
      </c>
      <c r="E1120" s="38" t="n">
        <f aca="false">Sens!$E$1027</f>
        <v>134.686</v>
      </c>
      <c r="F1120" s="38" t="n">
        <f aca="false">Sens!$F$1027</f>
        <v>158.293876822267</v>
      </c>
      <c r="G1120" s="38" t="n">
        <f aca="false">Sens!$G$1027</f>
        <v>292.979876822267</v>
      </c>
      <c r="H1120" s="38" t="n">
        <f aca="false">Sens!$H$1027</f>
        <v>318.184543087396</v>
      </c>
      <c r="I1120" s="38" t="n">
        <f aca="false">Sens!$I$1027</f>
        <v>341.736278761793</v>
      </c>
      <c r="J1120" s="38" t="n">
        <f aca="false">Sens!$J$1027</f>
        <v>362.927192787048</v>
      </c>
      <c r="K1120" s="38" t="n">
        <f aca="false">Sens!$K$1027</f>
        <v>381.0735524264</v>
      </c>
      <c r="L1120" s="38" t="n">
        <f aca="false">Sens!$L$1027</f>
        <v>400.12723004772</v>
      </c>
      <c r="M1120" s="38" t="n">
        <f aca="false">Sens!$M$1027</f>
        <v>420.133591550106</v>
      </c>
      <c r="N1120" s="38" t="n">
        <f aca="false">Sens!$N$1027</f>
        <v>118.892</v>
      </c>
      <c r="O1120" s="38" t="n">
        <f aca="false">Sens!$O$1027</f>
        <v>150.395</v>
      </c>
    </row>
    <row r="1121" customFormat="false" ht="15" hidden="false" customHeight="false" outlineLevel="0" collapsed="false">
      <c r="A1121" s="0" t="s">
        <v>517</v>
      </c>
      <c r="B1121" s="0" t="s">
        <v>86</v>
      </c>
      <c r="C1121" s="38" t="n">
        <f aca="false">Sens!$C$1029</f>
        <v>21.215</v>
      </c>
      <c r="D1121" s="38" t="n">
        <f aca="false">Sens!$D$1029</f>
        <v>22.561</v>
      </c>
      <c r="E1121" s="38" t="n">
        <f aca="false">Sens!$E$1029</f>
        <v>11.579</v>
      </c>
      <c r="F1121" s="38" t="n">
        <f aca="false">Sens!$F$1029</f>
        <v>11.5938724610325</v>
      </c>
      <c r="G1121" s="38" t="n">
        <f aca="false">Sens!$G$1029</f>
        <v>23.1728724610325</v>
      </c>
      <c r="H1121" s="38" t="n">
        <f aca="false">Sens!$H$1029</f>
        <v>24.353392759506</v>
      </c>
      <c r="I1121" s="38" t="n">
        <f aca="false">Sens!$I$1029</f>
        <v>25.4240338872015</v>
      </c>
      <c r="J1121" s="38" t="n">
        <f aca="false">Sens!$J$1029</f>
        <v>26.3642491017174</v>
      </c>
      <c r="K1121" s="38" t="n">
        <f aca="false">Sens!$K$1029</f>
        <v>27.155176574769</v>
      </c>
      <c r="L1121" s="38" t="n">
        <f aca="false">Sens!$L$1029</f>
        <v>27.969831872012</v>
      </c>
      <c r="M1121" s="38" t="n">
        <f aca="false">Sens!$M$1029</f>
        <v>28.8089268281724</v>
      </c>
      <c r="N1121" s="38" t="n">
        <f aca="false">Sens!$N$1029</f>
        <v>11.128</v>
      </c>
      <c r="O1121" s="38" t="n">
        <f aca="false">Sens!$O$1029</f>
        <v>11.433</v>
      </c>
    </row>
    <row r="1122" customFormat="false" ht="15" hidden="false" customHeight="false" outlineLevel="0" collapsed="false">
      <c r="A1122" s="0" t="s">
        <v>518</v>
      </c>
      <c r="B1122" s="0" t="s">
        <v>86</v>
      </c>
      <c r="C1122" s="38" t="n">
        <f aca="false">Sens!$C$1031</f>
        <v>156.146</v>
      </c>
      <c r="D1122" s="38" t="n">
        <f aca="false">Sens!$D$1031</f>
        <v>172.162</v>
      </c>
      <c r="E1122" s="38" t="n">
        <f aca="false">Sens!$E$1031</f>
        <v>88.358</v>
      </c>
      <c r="F1122" s="38" t="n">
        <f aca="false">Sens!$F$1031</f>
        <v>102.004388260171</v>
      </c>
      <c r="G1122" s="38" t="n">
        <f aca="false">Sens!$G$1031</f>
        <v>190.362388260171</v>
      </c>
      <c r="H1122" s="38" t="n">
        <f aca="false">Sens!$H$1031</f>
        <v>210.343106588311</v>
      </c>
      <c r="I1122" s="38" t="n">
        <f aca="false">Sens!$I$1031</f>
        <v>229.969728494648</v>
      </c>
      <c r="J1122" s="38" t="n">
        <f aca="false">Sens!$J$1031</f>
        <v>248.747636972598</v>
      </c>
      <c r="K1122" s="38" t="n">
        <f aca="false">Sens!$K$1031</f>
        <v>266.15997156068</v>
      </c>
      <c r="L1122" s="38" t="n">
        <f aca="false">Sens!$L$1031</f>
        <v>284.791169569927</v>
      </c>
      <c r="M1122" s="38" t="n">
        <f aca="false">Sens!$M$1031</f>
        <v>304.726551439822</v>
      </c>
      <c r="N1122" s="38" t="n">
        <f aca="false">Sens!$N$1031</f>
        <v>76.86</v>
      </c>
      <c r="O1122" s="38" t="n">
        <f aca="false">Sens!$O$1031</f>
        <v>95.302</v>
      </c>
    </row>
    <row r="1123" customFormat="false" ht="15" hidden="false" customHeight="false" outlineLevel="0" collapsed="false">
      <c r="A1123" s="0" t="s">
        <v>519</v>
      </c>
      <c r="B1123" s="0" t="s">
        <v>86</v>
      </c>
      <c r="C1123" s="38" t="n">
        <f aca="false">Sens!$C$1033</f>
        <v>56.214</v>
      </c>
      <c r="D1123" s="38" t="n">
        <f aca="false">Sens!$D$1033</f>
        <v>68.635</v>
      </c>
      <c r="E1123" s="38" t="n">
        <f aca="false">Sens!$E$1033</f>
        <v>37.052</v>
      </c>
      <c r="F1123" s="38" t="n">
        <f aca="false">Sens!$F$1033</f>
        <v>46.1572219944148</v>
      </c>
      <c r="G1123" s="38" t="n">
        <f aca="false">Sens!$G$1033</f>
        <v>83.2092219944148</v>
      </c>
      <c r="H1123" s="38" t="n">
        <f aca="false">Sens!$H$1033</f>
        <v>99.8969223878976</v>
      </c>
      <c r="I1123" s="38" t="n">
        <f aca="false">Sens!$I$1033</f>
        <v>116.583111095496</v>
      </c>
      <c r="J1123" s="38" t="n">
        <f aca="false">Sens!$J$1033</f>
        <v>132.148941941952</v>
      </c>
      <c r="K1123" s="38" t="n">
        <f aca="false">Sens!$K$1033</f>
        <v>145.363836136147</v>
      </c>
      <c r="L1123" s="38" t="n">
        <f aca="false">Sens!$L$1033</f>
        <v>159.900219749762</v>
      </c>
      <c r="M1123" s="38" t="n">
        <f aca="false">Sens!$M$1033</f>
        <v>175.890241724738</v>
      </c>
      <c r="N1123" s="38" t="n">
        <f aca="false">Sens!$N$1033</f>
        <v>29.615</v>
      </c>
      <c r="O1123" s="38" t="n">
        <f aca="false">Sens!$O$1033</f>
        <v>39.02</v>
      </c>
    </row>
    <row r="1124" customFormat="false" ht="15" hidden="false" customHeight="false" outlineLevel="0" collapsed="false">
      <c r="A1124" s="0" t="s">
        <v>520</v>
      </c>
      <c r="B1124" s="0" t="s">
        <v>86</v>
      </c>
      <c r="C1124" s="38" t="n">
        <f aca="false">Sens!$C$1035</f>
        <v>44.374</v>
      </c>
      <c r="D1124" s="38" t="n">
        <f aca="false">Sens!$D$1035</f>
        <v>49.619</v>
      </c>
      <c r="E1124" s="38" t="n">
        <f aca="false">Sens!$E$1035</f>
        <v>27.157</v>
      </c>
      <c r="F1124" s="38" t="n">
        <f aca="false">Sens!$F$1035</f>
        <v>27.7764165988154</v>
      </c>
      <c r="G1124" s="38" t="n">
        <f aca="false">Sens!$G$1035</f>
        <v>54.9334165988154</v>
      </c>
      <c r="H1124" s="38" t="n">
        <f aca="false">Sens!$H$1035</f>
        <v>61.1564112561829</v>
      </c>
      <c r="I1124" s="38" t="n">
        <f aca="false">Sens!$I$1035</f>
        <v>67.2020282103945</v>
      </c>
      <c r="J1124" s="38" t="n">
        <f aca="false">Sens!$J$1035</f>
        <v>72.8757274028885</v>
      </c>
      <c r="K1124" s="38" t="n">
        <f aca="false">Sens!$K$1035</f>
        <v>77.9770283210907</v>
      </c>
      <c r="L1124" s="38" t="n">
        <f aca="false">Sens!$L$1035</f>
        <v>83.4354203035671</v>
      </c>
      <c r="M1124" s="38" t="n">
        <f aca="false">Sens!$M$1035</f>
        <v>89.2758997248168</v>
      </c>
      <c r="N1124" s="38" t="n">
        <f aca="false">Sens!$N$1035</f>
        <v>23.923</v>
      </c>
      <c r="O1124" s="38" t="n">
        <f aca="false">Sens!$O$1035</f>
        <v>25.696</v>
      </c>
    </row>
    <row r="1125" customFormat="false" ht="15" hidden="false" customHeight="false" outlineLevel="0" collapsed="false">
      <c r="A1125" s="0" t="s">
        <v>521</v>
      </c>
      <c r="B1125" s="0" t="s">
        <v>86</v>
      </c>
      <c r="C1125" s="38" t="n">
        <f aca="false">Sens!$C$1037</f>
        <v>5.425</v>
      </c>
      <c r="D1125" s="38" t="n">
        <f aca="false">Sens!$D$1037</f>
        <v>5.935</v>
      </c>
      <c r="E1125" s="38" t="n">
        <f aca="false">Sens!$E$1037</f>
        <v>3.474</v>
      </c>
      <c r="F1125" s="38" t="n">
        <f aca="false">Sens!$F$1037</f>
        <v>3.22246550883619</v>
      </c>
      <c r="G1125" s="38" t="n">
        <f aca="false">Sens!$G$1037</f>
        <v>6.69646550883619</v>
      </c>
      <c r="H1125" s="38" t="n">
        <f aca="false">Sens!$H$1037</f>
        <v>7.16251344209196</v>
      </c>
      <c r="I1125" s="38" t="n">
        <f aca="false">Sens!$I$1037</f>
        <v>7.61421070299826</v>
      </c>
      <c r="J1125" s="38" t="n">
        <f aca="false">Sens!$J$1037</f>
        <v>8.04465753523932</v>
      </c>
      <c r="K1125" s="38" t="n">
        <f aca="false">Sens!$K$1037</f>
        <v>8.44689041200128</v>
      </c>
      <c r="L1125" s="38" t="n">
        <f aca="false">Sens!$L$1037</f>
        <v>8.86923493260135</v>
      </c>
      <c r="M1125" s="38" t="n">
        <f aca="false">Sens!$M$1037</f>
        <v>9.31269667923142</v>
      </c>
      <c r="N1125" s="38" t="n">
        <f aca="false">Sens!$N$1037</f>
        <v>2.811</v>
      </c>
      <c r="O1125" s="38" t="n">
        <f aca="false">Sens!$O$1037</f>
        <v>3.124</v>
      </c>
    </row>
    <row r="1126" customFormat="false" ht="17.15" hidden="false" customHeight="false" outlineLevel="0" collapsed="false">
      <c r="A1126" s="0" t="s">
        <v>711</v>
      </c>
      <c r="B1126" s="0" t="s">
        <v>86</v>
      </c>
      <c r="C1126" s="38" t="n">
        <f aca="false">Sens!$C$1107</f>
        <v>107.556</v>
      </c>
      <c r="D1126" s="38" t="n">
        <f aca="false">Sens!$D$1107</f>
        <v>128.725</v>
      </c>
      <c r="E1126" s="38" t="n">
        <f aca="false">Sens!$E$1107</f>
        <v>79.819</v>
      </c>
      <c r="F1126" s="38" t="n">
        <f aca="false">Sens!$F$1107</f>
        <v>86.7327334389669</v>
      </c>
      <c r="G1126" s="38" t="n">
        <f aca="false">Sens!$G$1107</f>
        <v>166.551733438967</v>
      </c>
      <c r="H1126" s="38" t="n">
        <f aca="false">Sens!$H$1107</f>
        <v>221.182967828978</v>
      </c>
      <c r="I1126" s="38" t="n">
        <f aca="false">Sens!$I$1107</f>
        <v>280.27345865789</v>
      </c>
      <c r="J1126" s="38" t="n">
        <f aca="false">Sens!$J$1107</f>
        <v>338.800945197185</v>
      </c>
      <c r="K1126" s="38" t="n">
        <f aca="false">Sens!$K$1107</f>
        <v>389.88570147276</v>
      </c>
      <c r="L1126" s="38" t="n">
        <f aca="false">Sens!$L$1107</f>
        <v>430.080689379143</v>
      </c>
      <c r="M1126" s="38" t="n">
        <f aca="false">Sens!$M$1107</f>
        <v>459.456235951751</v>
      </c>
      <c r="N1126" s="38" t="n">
        <f aca="false">Sens!$N$1107</f>
        <v>60.14</v>
      </c>
      <c r="O1126" s="38" t="n">
        <f aca="false">Sens!$O$1107</f>
        <v>68.585</v>
      </c>
    </row>
    <row r="1127" customFormat="false" ht="15" hidden="false" customHeight="false" outlineLevel="0" collapsed="false">
      <c r="A1127" s="1" t="s">
        <v>509</v>
      </c>
      <c r="B1127" s="8" t="s">
        <v>86</v>
      </c>
      <c r="C1127" s="38" t="n">
        <f aca="false">Sens!$C$1042</f>
        <v>387.497</v>
      </c>
      <c r="D1127" s="38" t="n">
        <f aca="false">Sens!$D$1042</f>
        <v>426.305</v>
      </c>
      <c r="E1127" s="38" t="n">
        <f aca="false">Sens!$E$1042</f>
        <v>220.32</v>
      </c>
      <c r="F1127" s="38" t="n">
        <f aca="false">Sens!$F$1042</f>
        <v>250.639773480586</v>
      </c>
      <c r="G1127" s="38" t="n">
        <f aca="false">Sens!$G$1042</f>
        <v>470.959773480586</v>
      </c>
      <c r="H1127" s="38" t="n">
        <f aca="false">Sens!$H$1042</f>
        <v>521.386990416437</v>
      </c>
      <c r="I1127" s="38" t="n">
        <f aca="false">Sens!$I$1042</f>
        <v>570.143862887555</v>
      </c>
      <c r="J1127" s="38" t="n">
        <f aca="false">Sens!$J$1042</f>
        <v>615.391435791933</v>
      </c>
      <c r="K1127" s="38" t="n">
        <f aca="false">Sens!$K$1042</f>
        <v>655.208227561543</v>
      </c>
      <c r="L1127" s="38" t="n">
        <f aca="false">Sens!$L$1042</f>
        <v>697.807739249767</v>
      </c>
      <c r="M1127" s="38" t="n">
        <f aca="false">Sens!$M$1042</f>
        <v>743.399328463592</v>
      </c>
      <c r="N1127" s="38" t="n">
        <f aca="false">Sens!$N$1042</f>
        <v>192.955</v>
      </c>
      <c r="O1127" s="38" t="n">
        <f aca="false">Sens!$O$1042</f>
        <v>233.35</v>
      </c>
    </row>
    <row r="1128" customFormat="false" ht="15" hidden="false" customHeight="false" outlineLevel="0" collapsed="false">
      <c r="A1128" s="1" t="s">
        <v>512</v>
      </c>
      <c r="B1128" s="8" t="s">
        <v>86</v>
      </c>
      <c r="C1128" s="38" t="n">
        <f aca="false">Sens!$C$1043</f>
        <v>142.906</v>
      </c>
      <c r="D1128" s="38" t="n">
        <f aca="false">Sens!$D$1043</f>
        <v>161.894</v>
      </c>
      <c r="E1128" s="38" t="n">
        <f aca="false">Sens!$E$1043</f>
        <v>81.986</v>
      </c>
      <c r="F1128" s="38" t="n">
        <f aca="false">Sens!$F$1043</f>
        <v>98.408468164951</v>
      </c>
      <c r="G1128" s="38" t="n">
        <f aca="false">Sens!$G$1043</f>
        <v>180.394468164951</v>
      </c>
      <c r="H1128" s="38" t="n">
        <f aca="false">Sens!$H$1043</f>
        <v>199.709899104949</v>
      </c>
      <c r="I1128" s="38" t="n">
        <f aca="false">Sens!$I$1043</f>
        <v>218.385528264976</v>
      </c>
      <c r="J1128" s="38" t="n">
        <f aca="false">Sens!$J$1043</f>
        <v>235.71696994951</v>
      </c>
      <c r="K1128" s="38" t="n">
        <f aca="false">Sens!$K$1043</f>
        <v>250.968227869545</v>
      </c>
      <c r="L1128" s="38" t="n">
        <f aca="false">Sens!$L$1043</f>
        <v>267.285367225822</v>
      </c>
      <c r="M1128" s="38" t="n">
        <f aca="false">Sens!$M$1043</f>
        <v>284.748579483295</v>
      </c>
      <c r="N1128" s="38" t="n">
        <f aca="false">Sens!$N$1043</f>
        <v>70.274</v>
      </c>
      <c r="O1128" s="38" t="n">
        <f aca="false">Sens!$O$1043</f>
        <v>91.62</v>
      </c>
    </row>
    <row r="1129" customFormat="false" ht="15" hidden="false" customHeight="false" outlineLevel="0" collapsed="false">
      <c r="A1129" s="1" t="s">
        <v>513</v>
      </c>
      <c r="B1129" s="8" t="s">
        <v>86</v>
      </c>
      <c r="C1129" s="38" t="n">
        <f aca="false">Sens!$C$1107</f>
        <v>107.556</v>
      </c>
      <c r="D1129" s="38" t="n">
        <f aca="false">Sens!$D$1107</f>
        <v>128.725</v>
      </c>
      <c r="E1129" s="38" t="n">
        <f aca="false">Sens!$E$1107</f>
        <v>79.819</v>
      </c>
      <c r="F1129" s="38" t="n">
        <f aca="false">Sens!$F$1107</f>
        <v>86.7327334389669</v>
      </c>
      <c r="G1129" s="38" t="n">
        <f aca="false">Sens!$G$1107</f>
        <v>166.551733438967</v>
      </c>
      <c r="H1129" s="38" t="n">
        <f aca="false">Sens!$H$1107</f>
        <v>221.182967828978</v>
      </c>
      <c r="I1129" s="38" t="n">
        <f aca="false">Sens!$I$1107</f>
        <v>280.27345865789</v>
      </c>
      <c r="J1129" s="38" t="n">
        <f aca="false">Sens!$J$1107</f>
        <v>338.800945197185</v>
      </c>
      <c r="K1129" s="38" t="n">
        <f aca="false">Sens!$K$1107</f>
        <v>389.88570147276</v>
      </c>
      <c r="L1129" s="38" t="n">
        <f aca="false">Sens!$L$1107</f>
        <v>430.080689379143</v>
      </c>
      <c r="M1129" s="38" t="n">
        <f aca="false">Sens!$M$1107</f>
        <v>459.456235951751</v>
      </c>
      <c r="N1129" s="38" t="n">
        <f aca="false">Sens!$N$1107</f>
        <v>60.14</v>
      </c>
      <c r="O1129" s="38" t="n">
        <f aca="false">Sens!$O$1107</f>
        <v>68.585</v>
      </c>
    </row>
    <row r="1130" customFormat="false" ht="17.15" hidden="false" customHeight="false" outlineLevel="0" collapsed="false">
      <c r="A1130" s="0" t="s">
        <v>685</v>
      </c>
      <c r="B1130" s="0" t="s">
        <v>86</v>
      </c>
      <c r="C1130" s="38" t="n">
        <f aca="false">Sens!$C$1105</f>
        <v>2.32100535697364</v>
      </c>
      <c r="D1130" s="38" t="n">
        <f aca="false">Sens!$D$1105</f>
        <v>8.70377008865116</v>
      </c>
      <c r="E1130" s="38" t="n">
        <f aca="false">Sens!$E$1105</f>
        <v>8.51035297557002</v>
      </c>
      <c r="F1130" s="38" t="n">
        <f aca="false">Sens!$F$1105</f>
        <v>14.9634336447205</v>
      </c>
      <c r="G1130" s="38" t="n">
        <f aca="false">Sens!$G$1105</f>
        <v>23.4737866202905</v>
      </c>
      <c r="H1130" s="38" t="n">
        <f aca="false">Sens!$H$1105</f>
        <v>60.1658907497746</v>
      </c>
      <c r="I1130" s="38" t="n">
        <f aca="false">Sens!$I$1105</f>
        <v>101.503699136432</v>
      </c>
      <c r="J1130" s="38" t="n">
        <f aca="false">Sens!$J$1105</f>
        <v>143.025407151278</v>
      </c>
      <c r="K1130" s="38" t="n">
        <f aca="false">Sens!$K$1105</f>
        <v>178.44812038318</v>
      </c>
      <c r="L1130" s="38" t="n">
        <f aca="false">Sens!$L$1105</f>
        <v>201.728101802396</v>
      </c>
      <c r="M1130" s="38" t="n">
        <f aca="false">Sens!$M$1105</f>
        <v>212.835441368865</v>
      </c>
      <c r="N1130" s="38" t="n">
        <f aca="false">Sens!$N$1105</f>
        <v>3.04631953102791</v>
      </c>
      <c r="O1130" s="38" t="n">
        <f aca="false">Sens!$O$1105</f>
        <v>5.65745055762326</v>
      </c>
    </row>
    <row r="1131" customFormat="false" ht="17.15" hidden="false" customHeight="false" outlineLevel="0" collapsed="false">
      <c r="A1131" s="0" t="s">
        <v>687</v>
      </c>
      <c r="B1131" s="0" t="s">
        <v>86</v>
      </c>
      <c r="C1131" s="38" t="n">
        <f aca="false">Sens!$C$1106</f>
        <v>105.234994643026</v>
      </c>
      <c r="D1131" s="38" t="n">
        <f aca="false">Sens!$D$1106</f>
        <v>120.021229911349</v>
      </c>
      <c r="E1131" s="38" t="n">
        <f aca="false">Sens!$E$1106</f>
        <v>71.30864702443</v>
      </c>
      <c r="F1131" s="38" t="n">
        <f aca="false">Sens!$F$1106</f>
        <v>71.7692997942464</v>
      </c>
      <c r="G1131" s="38" t="n">
        <f aca="false">Sens!$G$1106</f>
        <v>143.077946818676</v>
      </c>
      <c r="H1131" s="38" t="n">
        <f aca="false">Sens!$H$1106</f>
        <v>161.017077079203</v>
      </c>
      <c r="I1131" s="38" t="n">
        <f aca="false">Sens!$I$1106</f>
        <v>178.769759521457</v>
      </c>
      <c r="J1131" s="38" t="n">
        <f aca="false">Sens!$J$1106</f>
        <v>195.775538045907</v>
      </c>
      <c r="K1131" s="38" t="n">
        <f aca="false">Sens!$K$1106</f>
        <v>211.43758108958</v>
      </c>
      <c r="L1131" s="38" t="n">
        <f aca="false">Sens!$L$1106</f>
        <v>228.352587576746</v>
      </c>
      <c r="M1131" s="38" t="n">
        <f aca="false">Sens!$M$1106</f>
        <v>246.620794582886</v>
      </c>
      <c r="N1131" s="38" t="n">
        <f aca="false">Sens!$N$1106</f>
        <v>57.0936804689721</v>
      </c>
      <c r="O1131" s="38" t="n">
        <f aca="false">Sens!$O$1106</f>
        <v>62.9275494423768</v>
      </c>
    </row>
    <row r="1132" customFormat="false" ht="15" hidden="false" customHeight="false" outlineLevel="0" collapsed="false">
      <c r="A1132" s="3" t="s">
        <v>514</v>
      </c>
      <c r="B1132" s="8" t="s">
        <v>86</v>
      </c>
      <c r="C1132" s="38" t="n">
        <f aca="false">Sens!$C$1108</f>
        <v>637.959</v>
      </c>
      <c r="D1132" s="38" t="n">
        <f aca="false">Sens!$D$1108</f>
        <v>716.924</v>
      </c>
      <c r="E1132" s="38" t="n">
        <f aca="false">Sens!$E$1108</f>
        <v>382.125</v>
      </c>
      <c r="F1132" s="38" t="n">
        <f aca="false">Sens!$F$1108</f>
        <v>435.780975084504</v>
      </c>
      <c r="G1132" s="38" t="n">
        <f aca="false">Sens!$G$1108</f>
        <v>817.905975084504</v>
      </c>
      <c r="H1132" s="38" t="n">
        <f aca="false">Sens!$H$1108</f>
        <v>942.279857350364</v>
      </c>
      <c r="I1132" s="38" t="n">
        <f aca="false">Sens!$I$1108</f>
        <v>1068.80284981042</v>
      </c>
      <c r="J1132" s="38" t="n">
        <f aca="false">Sens!$J$1108</f>
        <v>1189.90935093863</v>
      </c>
      <c r="K1132" s="38" t="n">
        <f aca="false">Sens!$K$1108</f>
        <v>1296.06215690385</v>
      </c>
      <c r="L1132" s="38" t="n">
        <f aca="false">Sens!$L$1108</f>
        <v>1395.17379585473</v>
      </c>
      <c r="M1132" s="38" t="n">
        <f aca="false">Sens!$M$1108</f>
        <v>1487.60414389864</v>
      </c>
      <c r="N1132" s="38" t="n">
        <f aca="false">Sens!$N$1108</f>
        <v>323.369</v>
      </c>
      <c r="O1132" s="38" t="n">
        <f aca="false">Sens!$O$1108</f>
        <v>393.555</v>
      </c>
    </row>
    <row r="1133" customFormat="false" ht="17.15" hidden="false" customHeight="false" outlineLevel="0" collapsed="false">
      <c r="A1133" s="24" t="s">
        <v>697</v>
      </c>
      <c r="B1133" s="25" t="s">
        <v>86</v>
      </c>
      <c r="C1133" s="41" t="n">
        <f aca="false">Sens!$C$1120+Sens!$C$1121+Sens!$C$1122+Sens!$C$1123+Sens!$C$1124+Sens!$C$1125-(Sens!$C$1127+Sens!$C$1128)</f>
        <v>0</v>
      </c>
      <c r="D1133" s="41" t="n">
        <f aca="false">Sens!$D$1120+Sens!$D$1121+Sens!$D$1122+Sens!$D$1123+Sens!$D$1124+Sens!$D$1125-(Sens!$D$1127+Sens!$D$1128)</f>
        <v>0</v>
      </c>
      <c r="E1133" s="41" t="n">
        <f aca="false">Sens!$E$1120+Sens!$E$1121+Sens!$E$1122+Sens!$E$1123+Sens!$E$1124+Sens!$E$1125-(Sens!$E$1127+Sens!$E$1128)</f>
        <v>0</v>
      </c>
      <c r="F1133" s="41" t="n">
        <f aca="false">Sens!$F$1120+Sens!$F$1121+Sens!$F$1122+Sens!$F$1123+Sens!$F$1124+Sens!$F$1125-(Sens!$F$1127+Sens!$F$1128)</f>
        <v>0</v>
      </c>
      <c r="G1133" s="41" t="n">
        <f aca="false">Sens!$G$1120+Sens!$G$1121+Sens!$G$1122+Sens!$G$1123+Sens!$G$1124+Sens!$G$1125-(Sens!$G$1127+Sens!$G$1128)</f>
        <v>0</v>
      </c>
      <c r="H1133" s="41" t="n">
        <f aca="false">Sens!$H$1120+Sens!$H$1121+Sens!$H$1122+Sens!$H$1123+Sens!$H$1124+Sens!$H$1125-(Sens!$H$1127+Sens!$H$1128)</f>
        <v>0</v>
      </c>
      <c r="I1133" s="41" t="n">
        <f aca="false">Sens!$I$1120+Sens!$I$1121+Sens!$I$1122+Sens!$I$1123+Sens!$I$1124+Sens!$I$1125-(Sens!$I$1127+Sens!$I$1128)</f>
        <v>0</v>
      </c>
      <c r="J1133" s="41" t="n">
        <f aca="false">Sens!$J$1120+Sens!$J$1121+Sens!$J$1122+Sens!$J$1123+Sens!$J$1124+Sens!$J$1125-(Sens!$J$1127+Sens!$J$1128)</f>
        <v>0</v>
      </c>
      <c r="K1133" s="41" t="n">
        <f aca="false">Sens!$K$1120+Sens!$K$1121+Sens!$K$1122+Sens!$K$1123+Sens!$K$1124+Sens!$K$1125-(Sens!$K$1127+Sens!$K$1128)</f>
        <v>0</v>
      </c>
      <c r="L1133" s="41" t="n">
        <f aca="false">Sens!$L$1120+Sens!$L$1121+Sens!$L$1122+Sens!$L$1123+Sens!$L$1124+Sens!$L$1125-(Sens!$L$1127+Sens!$L$1128)</f>
        <v>0</v>
      </c>
      <c r="M1133" s="41" t="n">
        <f aca="false">Sens!$M$1120+Sens!$M$1121+Sens!$M$1122+Sens!$M$1123+Sens!$M$1124+Sens!$M$1125-(Sens!$M$1127+Sens!$M$1128)</f>
        <v>0</v>
      </c>
      <c r="N1133" s="41" t="n">
        <f aca="false">Sens!$N$1120+Sens!$N$1121+Sens!$N$1122+Sens!$N$1123+Sens!$N$1124+Sens!$N$1125-(Sens!$N$1127+Sens!$N$1128)</f>
        <v>0</v>
      </c>
      <c r="O1133" s="41" t="n">
        <f aca="false">Sens!$O$1120+Sens!$O$1121+Sens!$O$1122+Sens!$O$1123+Sens!$O$1124+Sens!$O$1125-(Sens!$O$1127+Sens!$O$1128)</f>
        <v>0</v>
      </c>
    </row>
    <row r="1134" customFormat="false" ht="17.15" hidden="false" customHeight="false" outlineLevel="0" collapsed="false">
      <c r="A1134" s="24" t="s">
        <v>698</v>
      </c>
      <c r="B1134" s="25" t="s">
        <v>86</v>
      </c>
      <c r="C1134" s="41" t="n">
        <f aca="false">Sens!$C$1130+Sens!$C$1131-Sens!$C$1129</f>
        <v>0</v>
      </c>
      <c r="D1134" s="41" t="n">
        <f aca="false">Sens!$D$1130+Sens!$D$1131-Sens!$D$1129</f>
        <v>0</v>
      </c>
      <c r="E1134" s="41" t="n">
        <f aca="false">Sens!$E$1130+Sens!$E$1131-Sens!$E$1129</f>
        <v>0</v>
      </c>
      <c r="F1134" s="41" t="n">
        <f aca="false">Sens!$F$1130+Sens!$F$1131-Sens!$F$1129</f>
        <v>0</v>
      </c>
      <c r="G1134" s="41" t="n">
        <f aca="false">Sens!$G$1130+Sens!$G$1131-Sens!$G$1129</f>
        <v>0</v>
      </c>
      <c r="H1134" s="41" t="n">
        <f aca="false">Sens!$H$1130+Sens!$H$1131-Sens!$H$1129</f>
        <v>0</v>
      </c>
      <c r="I1134" s="41" t="n">
        <f aca="false">Sens!$I$1130+Sens!$I$1131-Sens!$I$1129</f>
        <v>0</v>
      </c>
      <c r="J1134" s="41" t="n">
        <f aca="false">Sens!$J$1130+Sens!$J$1131-Sens!$J$1129</f>
        <v>0</v>
      </c>
      <c r="K1134" s="41" t="n">
        <f aca="false">Sens!$K$1130+Sens!$K$1131-Sens!$K$1129</f>
        <v>0</v>
      </c>
      <c r="L1134" s="41" t="n">
        <f aca="false">Sens!$L$1130+Sens!$L$1131-Sens!$L$1129</f>
        <v>0</v>
      </c>
      <c r="M1134" s="41" t="n">
        <f aca="false">Sens!$M$1130+Sens!$M$1131-Sens!$M$1129</f>
        <v>0</v>
      </c>
      <c r="N1134" s="41" t="n">
        <f aca="false">Sens!$N$1130+Sens!$N$1131-Sens!$N$1129</f>
        <v>0</v>
      </c>
      <c r="O1134" s="41" t="n">
        <f aca="false">Sens!$O$1130+Sens!$O$1131-Sens!$O$1129</f>
        <v>0</v>
      </c>
    </row>
    <row r="1135" customFormat="false" ht="17.15" hidden="false" customHeight="false" outlineLevel="0" collapsed="false">
      <c r="A1135" s="24" t="s">
        <v>757</v>
      </c>
      <c r="B1135" s="25" t="s">
        <v>86</v>
      </c>
      <c r="C1135" s="41" t="n">
        <f aca="false">Sens!$C$1120+Sens!$C$1121+Sens!$C$1122+Sens!$C$1123+Sens!$C$1124+Sens!$C$1125+Sens!$C$1126-Sens!$C$1132</f>
        <v>0</v>
      </c>
      <c r="D1135" s="41" t="n">
        <f aca="false">Sens!$D$1120+Sens!$D$1121+Sens!$D$1122+Sens!$D$1123+Sens!$D$1124+Sens!$D$1125+Sens!$D$1126-Sens!$D$1132</f>
        <v>0</v>
      </c>
      <c r="E1135" s="41" t="n">
        <f aca="false">Sens!$E$1120+Sens!$E$1121+Sens!$E$1122+Sens!$E$1123+Sens!$E$1124+Sens!$E$1125+Sens!$E$1126-Sens!$E$1132</f>
        <v>0</v>
      </c>
      <c r="F1135" s="41" t="n">
        <f aca="false">Sens!$F$1120+Sens!$F$1121+Sens!$F$1122+Sens!$F$1123+Sens!$F$1124+Sens!$F$1125+Sens!$F$1126-Sens!$F$1132</f>
        <v>0</v>
      </c>
      <c r="G1135" s="41" t="n">
        <f aca="false">Sens!$G$1120+Sens!$G$1121+Sens!$G$1122+Sens!$G$1123+Sens!$G$1124+Sens!$G$1125+Sens!$G$1126-Sens!$G$1132</f>
        <v>0</v>
      </c>
      <c r="H1135" s="41" t="n">
        <f aca="false">Sens!$H$1120+Sens!$H$1121+Sens!$H$1122+Sens!$H$1123+Sens!$H$1124+Sens!$H$1125+Sens!$H$1126-Sens!$H$1132</f>
        <v>0</v>
      </c>
      <c r="I1135" s="41" t="n">
        <f aca="false">Sens!$I$1120+Sens!$I$1121+Sens!$I$1122+Sens!$I$1123+Sens!$I$1124+Sens!$I$1125+Sens!$I$1126-Sens!$I$1132</f>
        <v>0</v>
      </c>
      <c r="J1135" s="41" t="n">
        <f aca="false">Sens!$J$1120+Sens!$J$1121+Sens!$J$1122+Sens!$J$1123+Sens!$J$1124+Sens!$J$1125+Sens!$J$1126-Sens!$J$1132</f>
        <v>0</v>
      </c>
      <c r="K1135" s="41" t="n">
        <f aca="false">Sens!$K$1120+Sens!$K$1121+Sens!$K$1122+Sens!$K$1123+Sens!$K$1124+Sens!$K$1125+Sens!$K$1126-Sens!$K$1132</f>
        <v>0</v>
      </c>
      <c r="L1135" s="41" t="n">
        <f aca="false">Sens!$L$1120+Sens!$L$1121+Sens!$L$1122+Sens!$L$1123+Sens!$L$1124+Sens!$L$1125+Sens!$L$1126-Sens!$L$1132</f>
        <v>0</v>
      </c>
      <c r="M1135" s="41" t="n">
        <f aca="false">Sens!$M$1120+Sens!$M$1121+Sens!$M$1122+Sens!$M$1123+Sens!$M$1124+Sens!$M$1125+Sens!$M$1126-Sens!$M$1132</f>
        <v>0</v>
      </c>
      <c r="N1135" s="41" t="n">
        <f aca="false">Sens!$N$1120+Sens!$N$1121+Sens!$N$1122+Sens!$N$1123+Sens!$N$1124+Sens!$N$1125+Sens!$N$1126-Sens!$N$1132</f>
        <v>0</v>
      </c>
      <c r="O1135" s="41" t="n">
        <f aca="false">Sens!$O$1120+Sens!$O$1121+Sens!$O$1122+Sens!$O$1123+Sens!$O$1124+Sens!$O$1125+Sens!$O$1126-Sens!$O$1132</f>
        <v>0</v>
      </c>
    </row>
    <row r="1136" customFormat="false" ht="17.15" hidden="false" customHeight="false" outlineLevel="0" collapsed="false">
      <c r="A1136" s="24" t="s">
        <v>699</v>
      </c>
      <c r="B1136" s="25" t="s">
        <v>86</v>
      </c>
      <c r="C1136" s="41" t="n">
        <f aca="false">Sens!$C$1127+Sens!$C$1128+Sens!$C$1129-Sens!$C$1132</f>
        <v>0</v>
      </c>
      <c r="D1136" s="41" t="n">
        <f aca="false">Sens!$D$1127+Sens!$D$1128+Sens!$D$1129-Sens!$D$1132</f>
        <v>0</v>
      </c>
      <c r="E1136" s="41" t="n">
        <f aca="false">Sens!$E$1127+Sens!$E$1128+Sens!$E$1129-Sens!$E$1132</f>
        <v>0</v>
      </c>
      <c r="F1136" s="41" t="n">
        <f aca="false">Sens!$F$1127+Sens!$F$1128+Sens!$F$1129-Sens!$F$1132</f>
        <v>0</v>
      </c>
      <c r="G1136" s="41" t="n">
        <f aca="false">Sens!$G$1127+Sens!$G$1128+Sens!$G$1129-Sens!$G$1132</f>
        <v>0</v>
      </c>
      <c r="H1136" s="41" t="n">
        <f aca="false">Sens!$H$1127+Sens!$H$1128+Sens!$H$1129-Sens!$H$1132</f>
        <v>0</v>
      </c>
      <c r="I1136" s="41" t="n">
        <f aca="false">Sens!$I$1127+Sens!$I$1128+Sens!$I$1129-Sens!$I$1132</f>
        <v>0</v>
      </c>
      <c r="J1136" s="41" t="n">
        <f aca="false">Sens!$J$1127+Sens!$J$1128+Sens!$J$1129-Sens!$J$1132</f>
        <v>0</v>
      </c>
      <c r="K1136" s="41" t="n">
        <f aca="false">Sens!$K$1127+Sens!$K$1128+Sens!$K$1129-Sens!$K$1132</f>
        <v>0</v>
      </c>
      <c r="L1136" s="41" t="n">
        <f aca="false">Sens!$L$1127+Sens!$L$1128+Sens!$L$1129-Sens!$L$1132</f>
        <v>0</v>
      </c>
      <c r="M1136" s="41" t="n">
        <f aca="false">Sens!$M$1127+Sens!$M$1128+Sens!$M$1129-Sens!$M$1132</f>
        <v>0</v>
      </c>
      <c r="N1136" s="41" t="n">
        <f aca="false">Sens!$N$1127+Sens!$N$1128+Sens!$N$1129-Sens!$N$1132</f>
        <v>0</v>
      </c>
      <c r="O1136" s="41" t="n">
        <f aca="false">Sens!$O$1127+Sens!$O$1128+Sens!$O$1129-Sens!$O$1132</f>
        <v>0</v>
      </c>
    </row>
    <row r="1137" customFormat="false" ht="17.15" hidden="false" customHeight="false" outlineLevel="0" collapsed="false">
      <c r="A1137" s="1" t="s">
        <v>713</v>
      </c>
    </row>
    <row r="1138" customFormat="false" ht="17.15" hidden="false" customHeight="false" outlineLevel="0" collapsed="false">
      <c r="A1138" s="0" t="s">
        <v>714</v>
      </c>
      <c r="B1138" s="0" t="s">
        <v>86</v>
      </c>
      <c r="C1138" s="38" t="n">
        <f aca="false">Sens!$C$1044*m_ad</f>
        <v>20.5341564414228</v>
      </c>
      <c r="D1138" s="38" t="n">
        <f aca="false">Sens!$D$1044*m_ad</f>
        <v>24.8720617299587</v>
      </c>
      <c r="E1138" s="38" t="n">
        <f aca="false">Sens!$E$1044*m_ad</f>
        <v>13.5017112462207</v>
      </c>
      <c r="F1138" s="38" t="n">
        <f aca="false">Sens!$F$1044*m_ad</f>
        <v>16.5719724165257</v>
      </c>
      <c r="G1138" s="38" t="n">
        <f aca="false">Sens!$G$1044*m_ad</f>
        <v>30.0820919220415</v>
      </c>
      <c r="H1138" s="38" t="n">
        <f aca="false">Sens!$H$1044*m_ad</f>
        <v>36.1150883276314</v>
      </c>
      <c r="I1138" s="38" t="n">
        <f aca="false">Sens!$I$1044*m_ad</f>
        <v>42.1475382231996</v>
      </c>
      <c r="J1138" s="38" t="n">
        <f aca="false">Sens!$J$1044*m_ad</f>
        <v>47.7749523864693</v>
      </c>
      <c r="K1138" s="38" t="n">
        <f aca="false">Sens!$K$1044*m_ad</f>
        <v>52.5524476251162</v>
      </c>
      <c r="L1138" s="38" t="n">
        <f aca="false">Sens!$L$1044*m_ad</f>
        <v>57.8076923876279</v>
      </c>
      <c r="M1138" s="38" t="n">
        <f aca="false">Sens!$M$1044*m_ad</f>
        <v>63.5884616263907</v>
      </c>
      <c r="N1138" s="38" t="n">
        <f aca="false">Sens!$N$1044*m_ad</f>
        <v>10.8543555706248</v>
      </c>
      <c r="O1138" s="38" t="n">
        <f aca="false">Sens!$O$1044*m_ad</f>
        <v>14.0094731821399</v>
      </c>
    </row>
    <row r="1139" customFormat="false" ht="17.15" hidden="false" customHeight="false" outlineLevel="0" collapsed="false">
      <c r="A1139" s="0" t="s">
        <v>715</v>
      </c>
      <c r="B1139" s="0" t="s">
        <v>86</v>
      </c>
      <c r="C1139" s="38" t="n">
        <f aca="false">Sens!$C$1042-Sens!$C$1044</f>
        <v>346.428687117154</v>
      </c>
      <c r="D1139" s="38" t="n">
        <f aca="false">Sens!$D$1042-Sens!$D$1044</f>
        <v>376.560876540083</v>
      </c>
      <c r="E1139" s="38" t="n">
        <f aca="false">Sens!$E$1042-Sens!$E$1044</f>
        <v>193.316577507559</v>
      </c>
      <c r="F1139" s="38" t="n">
        <f aca="false">Sens!$F$1042-Sens!$F$1044</f>
        <v>217.495828647535</v>
      </c>
      <c r="G1139" s="38" t="n">
        <f aca="false">Sens!$G$1042-Sens!$G$1044</f>
        <v>410.795589636503</v>
      </c>
      <c r="H1139" s="38" t="n">
        <f aca="false">Sens!$H$1042-Sens!$H$1044</f>
        <v>449.156813761174</v>
      </c>
      <c r="I1139" s="38" t="n">
        <f aca="false">Sens!$I$1042-Sens!$I$1044</f>
        <v>485.848786441156</v>
      </c>
      <c r="J1139" s="38" t="n">
        <f aca="false">Sens!$J$1042-Sens!$J$1044</f>
        <v>519.841531018994</v>
      </c>
      <c r="K1139" s="38" t="n">
        <f aca="false">Sens!$K$1042-Sens!$K$1044</f>
        <v>550.103332311311</v>
      </c>
      <c r="L1139" s="38" t="n">
        <f aca="false">Sens!$L$1042-Sens!$L$1044</f>
        <v>582.192354474511</v>
      </c>
      <c r="M1139" s="38" t="n">
        <f aca="false">Sens!$M$1042-Sens!$M$1044</f>
        <v>616.22240521081</v>
      </c>
      <c r="N1139" s="38" t="n">
        <f aca="false">Sens!$N$1042-Sens!$N$1044</f>
        <v>171.24628885875</v>
      </c>
      <c r="O1139" s="38" t="n">
        <f aca="false">Sens!$O$1042-Sens!$O$1044</f>
        <v>205.33105363572</v>
      </c>
    </row>
    <row r="1140" customFormat="false" ht="17.15" hidden="false" customHeight="false" outlineLevel="0" collapsed="false">
      <c r="A1140" s="0" t="s">
        <v>716</v>
      </c>
      <c r="B1140" s="0" t="s">
        <v>86</v>
      </c>
      <c r="C1140" s="38" t="n">
        <f aca="false">Sens!$C$1091*Sens!$C$1041</f>
        <v>0</v>
      </c>
      <c r="D1140" s="38" t="n">
        <f aca="false">Sens!$D$1091*Sens!$D$1041</f>
        <v>0</v>
      </c>
      <c r="E1140" s="38" t="n">
        <f aca="false">Sens!$E$1091*Sens!$E$1041</f>
        <v>0</v>
      </c>
      <c r="F1140" s="38" t="n">
        <f aca="false">Sens!$F$1091*Sens!$F$1041</f>
        <v>0</v>
      </c>
      <c r="G1140" s="38" t="n">
        <f aca="false">Sens!$G$1091*Sens!$G$1041</f>
        <v>0</v>
      </c>
      <c r="H1140" s="38" t="n">
        <f aca="false">Sens!$H$1091*Sens!$H$1041</f>
        <v>0</v>
      </c>
      <c r="I1140" s="38" t="n">
        <f aca="false">Sens!$I$1091*Sens!$I$1041</f>
        <v>0</v>
      </c>
      <c r="J1140" s="38" t="n">
        <f aca="false">Sens!$J$1091*Sens!$J$1041</f>
        <v>0</v>
      </c>
      <c r="K1140" s="38" t="n">
        <f aca="false">Sens!$K$1091*Sens!$K$1041</f>
        <v>0</v>
      </c>
      <c r="L1140" s="38" t="n">
        <f aca="false">Sens!$L$1091*Sens!$L$1041</f>
        <v>0</v>
      </c>
      <c r="M1140" s="38" t="n">
        <f aca="false">Sens!$M$1091*Sens!$M$1041</f>
        <v>0</v>
      </c>
      <c r="N1140" s="38" t="n">
        <f aca="false">Sens!$N$1091*Sens!$N$1041</f>
        <v>0</v>
      </c>
      <c r="O1140" s="38" t="n">
        <f aca="false">Sens!$O$1091*Sens!$O$1041</f>
        <v>0</v>
      </c>
    </row>
    <row r="1141" customFormat="false" ht="17.15" hidden="false" customHeight="false" outlineLevel="0" collapsed="false">
      <c r="A1141" s="0" t="s">
        <v>717</v>
      </c>
      <c r="B1141" s="0" t="s">
        <v>52</v>
      </c>
      <c r="C1141" s="28" t="n">
        <f aca="false">(Sens!$C$1142-Sens!$C$1138+Sens!$C$1140)/Sens!$C$1139</f>
        <v>0.0127958328031826</v>
      </c>
      <c r="D1141" s="28" t="n">
        <f aca="false">(Sens!$D$1142-Sens!$D$1138+Sens!$D$1140)/Sens!$D$1139</f>
        <v>0.0126060314965726</v>
      </c>
      <c r="E1141" s="28" t="n">
        <f aca="false">(Sens!$E$1142-Sens!$E$1138+Sens!$E$1140)/Sens!$E$1139</f>
        <v>0.0201135815868003</v>
      </c>
      <c r="F1141" s="28" t="n">
        <f aca="false">Sens!$O$1141+(Sens!$E$1141-Sens!$N$1141)</f>
        <v>0.0164587930208895</v>
      </c>
      <c r="G1141" s="28" t="n">
        <f aca="false">(Sens!$G$1142-Sens!$G$1138+Sens!$G$1140)/Sens!$G$1139</f>
        <v>0.0181589080050774</v>
      </c>
      <c r="H1141" s="28" t="n">
        <f aca="false">Sens!$G$1141+step_na</f>
        <v>0.0211589080050774</v>
      </c>
      <c r="I1141" s="28" t="n">
        <f aca="false">Sens!$H$1141+step_na</f>
        <v>0.0241589080050774</v>
      </c>
      <c r="J1141" s="28" t="n">
        <f aca="false">Sens!$I$1141+step_na</f>
        <v>0.0271589080050774</v>
      </c>
      <c r="K1141" s="28" t="n">
        <f aca="false">Sens!$J$1141+step_na</f>
        <v>0.0301589080050774</v>
      </c>
      <c r="L1141" s="28" t="n">
        <f aca="false">Sens!$K$1141</f>
        <v>0.0301589080050774</v>
      </c>
      <c r="M1141" s="28" t="n">
        <f aca="false">Sens!$L$1141</f>
        <v>0.0301589080050774</v>
      </c>
      <c r="N1141" s="28" t="n">
        <f aca="false">(Sens!$N$1142-Sens!$N$1138+Sens!$N$1140)/Sens!$N$1139</f>
        <v>0.0146201383169259</v>
      </c>
      <c r="O1141" s="28" t="n">
        <f aca="false">(Sens!$O$1142-Sens!$O$1138+Sens!$O$1140)/Sens!$O$1139</f>
        <v>0.0109653497510151</v>
      </c>
      <c r="P1141" s="8" t="s">
        <v>718</v>
      </c>
    </row>
    <row r="1142" customFormat="false" ht="17.15" hidden="false" customHeight="false" outlineLevel="0" collapsed="false">
      <c r="A1142" s="1" t="s">
        <v>719</v>
      </c>
      <c r="B1142" s="8" t="s">
        <v>86</v>
      </c>
      <c r="C1142" s="38" t="n">
        <f aca="false">Q!$D$22</f>
        <v>24.967</v>
      </c>
      <c r="D1142" s="38" t="n">
        <f aca="false">Q!$E$22</f>
        <v>29.619</v>
      </c>
      <c r="E1142" s="38" t="n">
        <f aca="false">Q!$P$22</f>
        <v>17.39</v>
      </c>
      <c r="F1142" s="38" t="n">
        <f aca="false">Sens!$F$1138+Sens!$F$1139*Sens!$F$1141-Sens!$F$1140</f>
        <v>20.1516912431423</v>
      </c>
      <c r="G1142" s="38" t="n">
        <f aca="false">Sens!$E$1142+Sens!$F$1142</f>
        <v>37.5416912431423</v>
      </c>
      <c r="H1142" s="38" t="n">
        <f aca="false">Sens!$H$1138+Sens!$H$1139*Sens!$H$1141-Sens!$H$1140</f>
        <v>45.6187560298578</v>
      </c>
      <c r="I1142" s="38" t="n">
        <f aca="false">Sens!$I$1138+Sens!$I$1139*Sens!$I$1141-Sens!$I$1140</f>
        <v>53.8851143592099</v>
      </c>
      <c r="J1142" s="38" t="n">
        <f aca="false">Sens!$J$1138+Sens!$J$1139*Sens!$J$1141-Sens!$J$1140</f>
        <v>61.8932807046327</v>
      </c>
      <c r="K1142" s="38" t="n">
        <f aca="false">Sens!$K$1138+Sens!$K$1139*Sens!$K$1141-Sens!$K$1140</f>
        <v>69.1429634175796</v>
      </c>
      <c r="L1142" s="38" t="n">
        <f aca="false">Sens!$L$1138+Sens!$L$1139*Sens!$L$1141-Sens!$L$1140</f>
        <v>75.365978047484</v>
      </c>
      <c r="M1142" s="38" t="n">
        <f aca="false">Sens!$M$1138+Sens!$M$1139*Sens!$M$1141-Sens!$M$1140</f>
        <v>82.173056455811</v>
      </c>
      <c r="N1142" s="38" t="n">
        <f aca="false">Q!$N$22</f>
        <v>13.358</v>
      </c>
      <c r="O1142" s="38" t="n">
        <f aca="false">Q!$O$22</f>
        <v>16.261</v>
      </c>
    </row>
    <row r="1143" customFormat="false" ht="17.15" hidden="false" customHeight="false" outlineLevel="0" collapsed="false">
      <c r="A1143" s="0" t="s">
        <v>720</v>
      </c>
      <c r="B1143" s="0" t="s">
        <v>86</v>
      </c>
      <c r="C1143" s="38" t="n">
        <f aca="false">Sens!$C$1045*m_ad</f>
        <v>7.57284355857716</v>
      </c>
      <c r="D1143" s="38" t="n">
        <f aca="false">Sens!$D$1045*m_ad</f>
        <v>9.44543827004127</v>
      </c>
      <c r="E1143" s="38" t="n">
        <f aca="false">Sens!$E$1045*m_ad</f>
        <v>5.02428875377928</v>
      </c>
      <c r="F1143" s="38" t="n">
        <f aca="false">Sens!$F$1045*m_ad</f>
        <v>6.50663858068173</v>
      </c>
      <c r="G1143" s="38" t="n">
        <f aca="false">Sens!$G$1045*m_ad</f>
        <v>11.5225190751659</v>
      </c>
      <c r="H1143" s="38" t="n">
        <f aca="false">Sens!$H$1045*m_ad</f>
        <v>13.8333728663174</v>
      </c>
      <c r="I1143" s="38" t="n">
        <f aca="false">Sens!$I$1045*m_ad</f>
        <v>16.1440173245485</v>
      </c>
      <c r="J1143" s="38" t="n">
        <f aca="false">Sens!$J$1045*m_ad</f>
        <v>18.2995185845066</v>
      </c>
      <c r="K1143" s="38" t="n">
        <f aca="false">Sens!$K$1045*m_ad</f>
        <v>20.1294704429572</v>
      </c>
      <c r="L1143" s="38" t="n">
        <f aca="false">Sens!$L$1045*m_ad</f>
        <v>22.142417487253</v>
      </c>
      <c r="M1143" s="38" t="n">
        <f aca="false">Sens!$M$1045*m_ad</f>
        <v>24.3566592359783</v>
      </c>
      <c r="N1143" s="38" t="n">
        <f aca="false">Sens!$N$1045*m_ad</f>
        <v>3.95314442937518</v>
      </c>
      <c r="O1143" s="38" t="n">
        <f aca="false">Sens!$O$1045*m_ad</f>
        <v>5.50052681786011</v>
      </c>
    </row>
    <row r="1144" customFormat="false" ht="17.15" hidden="false" customHeight="false" outlineLevel="0" collapsed="false">
      <c r="A1144" s="0" t="s">
        <v>721</v>
      </c>
      <c r="B1144" s="0" t="s">
        <v>86</v>
      </c>
      <c r="C1144" s="38" t="n">
        <f aca="false">Sens!$C$1043-Sens!$C$1045</f>
        <v>127.760312882846</v>
      </c>
      <c r="D1144" s="38" t="n">
        <f aca="false">Sens!$D$1043-Sens!$D$1045</f>
        <v>143.003123459917</v>
      </c>
      <c r="E1144" s="38" t="n">
        <f aca="false">Sens!$E$1043-Sens!$E$1045</f>
        <v>71.9374224924414</v>
      </c>
      <c r="F1144" s="38" t="n">
        <f aca="false">Sens!$F$1043-Sens!$F$1045</f>
        <v>85.3951910035875</v>
      </c>
      <c r="G1144" s="38" t="n">
        <f aca="false">Sens!$G$1043-Sens!$G$1045</f>
        <v>157.349430014619</v>
      </c>
      <c r="H1144" s="38" t="n">
        <f aca="false">Sens!$H$1043-Sens!$H$1045</f>
        <v>172.043153372315</v>
      </c>
      <c r="I1144" s="38" t="n">
        <f aca="false">Sens!$I$1043-Sens!$I$1045</f>
        <v>186.097493615879</v>
      </c>
      <c r="J1144" s="38" t="n">
        <f aca="false">Sens!$J$1043-Sens!$J$1045</f>
        <v>199.117932780497</v>
      </c>
      <c r="K1144" s="38" t="n">
        <f aca="false">Sens!$K$1043-Sens!$K$1045</f>
        <v>210.70928698363</v>
      </c>
      <c r="L1144" s="38" t="n">
        <f aca="false">Sens!$L$1043-Sens!$L$1045</f>
        <v>223.000532251316</v>
      </c>
      <c r="M1144" s="38" t="n">
        <f aca="false">Sens!$M$1043-Sens!$M$1045</f>
        <v>236.035261011339</v>
      </c>
      <c r="N1144" s="38" t="n">
        <f aca="false">Sens!$N$1043-Sens!$N$1045</f>
        <v>62.3677111412496</v>
      </c>
      <c r="O1144" s="38" t="n">
        <f aca="false">Sens!$O$1043-Sens!$O$1045</f>
        <v>80.6189463642798</v>
      </c>
    </row>
    <row r="1145" customFormat="false" ht="17.15" hidden="false" customHeight="false" outlineLevel="0" collapsed="false">
      <c r="A1145" s="0" t="s">
        <v>722</v>
      </c>
      <c r="B1145" s="0" t="s">
        <v>86</v>
      </c>
      <c r="C1145" s="38" t="n">
        <f aca="false">Sens!$C$1091*(1-Sens!$C$1041)</f>
        <v>0</v>
      </c>
      <c r="D1145" s="38" t="n">
        <f aca="false">Sens!$D$1091*(1-Sens!$D$1041)</f>
        <v>0</v>
      </c>
      <c r="E1145" s="38" t="n">
        <f aca="false">Sens!$E$1091*(1-Sens!$E$1041)</f>
        <v>0</v>
      </c>
      <c r="F1145" s="38" t="n">
        <f aca="false">Sens!$F$1091*(1-Sens!$F$1041)</f>
        <v>0</v>
      </c>
      <c r="G1145" s="38" t="n">
        <f aca="false">Sens!$G$1091*(1-Sens!$G$1041)</f>
        <v>0</v>
      </c>
      <c r="H1145" s="38" t="n">
        <f aca="false">Sens!$H$1091*(1-Sens!$H$1041)</f>
        <v>0</v>
      </c>
      <c r="I1145" s="38" t="n">
        <f aca="false">Sens!$I$1091*(1-Sens!$I$1041)</f>
        <v>0</v>
      </c>
      <c r="J1145" s="38" t="n">
        <f aca="false">Sens!$J$1091*(1-Sens!$J$1041)</f>
        <v>0</v>
      </c>
      <c r="K1145" s="38" t="n">
        <f aca="false">Sens!$K$1091*(1-Sens!$K$1041)</f>
        <v>0</v>
      </c>
      <c r="L1145" s="38" t="n">
        <f aca="false">Sens!$L$1091*(1-Sens!$L$1041)</f>
        <v>0</v>
      </c>
      <c r="M1145" s="38" t="n">
        <f aca="false">Sens!$M$1091*(1-Sens!$M$1041)</f>
        <v>0</v>
      </c>
      <c r="N1145" s="38" t="n">
        <f aca="false">Sens!$N$1091*(1-Sens!$N$1041)</f>
        <v>0</v>
      </c>
      <c r="O1145" s="38" t="n">
        <f aca="false">Sens!$O$1091*(1-Sens!$O$1041)</f>
        <v>0</v>
      </c>
    </row>
    <row r="1146" customFormat="false" ht="17.15" hidden="false" customHeight="false" outlineLevel="0" collapsed="false">
      <c r="A1146" s="0" t="s">
        <v>723</v>
      </c>
      <c r="B1146" s="0" t="s">
        <v>52</v>
      </c>
      <c r="C1146" s="28" t="n">
        <f aca="false">(Sens!$C$1147-Sens!$C$1143+Sens!$C$1145)/Sens!$C$1144</f>
        <v>-0.0295932553174328</v>
      </c>
      <c r="D1146" s="28" t="n">
        <f aca="false">(Sens!$D$1147-Sens!$D$1143+Sens!$D$1145)/Sens!$D$1144</f>
        <v>-0.0328345154737642</v>
      </c>
      <c r="E1146" s="28" t="n">
        <f aca="false">(Sens!$E$1147-Sens!$E$1143+Sens!$E$1145)/Sens!$E$1144</f>
        <v>-0.0261795417256875</v>
      </c>
      <c r="F1146" s="28" t="n">
        <f aca="false">Sens!$O$1146+(Sens!$E$1146-Sens!$N$1146)</f>
        <v>-0.0435123710750293</v>
      </c>
      <c r="G1146" s="28" t="n">
        <f aca="false">(Sens!$G$1147-Sens!$G$1143+Sens!$G$1145)/Sens!$G$1144</f>
        <v>-0.0355300157931035</v>
      </c>
      <c r="H1146" s="28" t="n">
        <f aca="false">Sens!$G$1146+step_in</f>
        <v>-0.0355300157931035</v>
      </c>
      <c r="I1146" s="28" t="n">
        <f aca="false">Sens!$H$1146+step_in</f>
        <v>-0.0355300157931035</v>
      </c>
      <c r="J1146" s="28" t="n">
        <f aca="false">Sens!$I$1146+step_in</f>
        <v>-0.0355300157931035</v>
      </c>
      <c r="K1146" s="28" t="n">
        <f aca="false">Sens!$J$1146+step_in</f>
        <v>-0.0355300157931035</v>
      </c>
      <c r="L1146" s="28" t="n">
        <f aca="false">Sens!$K$1146</f>
        <v>-0.0355300157931035</v>
      </c>
      <c r="M1146" s="28" t="n">
        <f aca="false">Sens!$L$1146</f>
        <v>-0.0355300157931035</v>
      </c>
      <c r="N1146" s="28" t="n">
        <f aca="false">(Sens!$N$1147-Sens!$N$1143+Sens!$N$1145)/Sens!$N$1144</f>
        <v>-0.0231232540522295</v>
      </c>
      <c r="O1146" s="28" t="n">
        <f aca="false">(Sens!$O$1147-Sens!$O$1143+Sens!$O$1145)/Sens!$O$1144</f>
        <v>-0.0404560834015714</v>
      </c>
      <c r="P1146" s="8" t="s">
        <v>718</v>
      </c>
    </row>
    <row r="1147" customFormat="false" ht="17.15" hidden="false" customHeight="false" outlineLevel="0" collapsed="false">
      <c r="A1147" s="1" t="s">
        <v>724</v>
      </c>
      <c r="B1147" s="8" t="s">
        <v>86</v>
      </c>
      <c r="C1147" s="38" t="n">
        <f aca="false">Q!$D$23</f>
        <v>3.792</v>
      </c>
      <c r="D1147" s="38" t="n">
        <f aca="false">Q!$E$23</f>
        <v>4.75</v>
      </c>
      <c r="E1147" s="38" t="n">
        <f aca="false">Q!$P$23</f>
        <v>3.141</v>
      </c>
      <c r="F1147" s="38" t="n">
        <f aca="false">Sens!$F$1143+Sens!$F$1144*Sens!$F$1146-Sens!$F$1145</f>
        <v>2.79089134171062</v>
      </c>
      <c r="G1147" s="38" t="n">
        <f aca="false">Sens!$E$1147+Sens!$F$1147</f>
        <v>5.93189134171062</v>
      </c>
      <c r="H1147" s="38" t="n">
        <f aca="false">Sens!$H$1143+Sens!$H$1144*Sens!$H$1146-Sens!$H$1145</f>
        <v>7.7206769099037</v>
      </c>
      <c r="I1147" s="38" t="n">
        <f aca="false">Sens!$I$1143+Sens!$I$1144*Sens!$I$1146-Sens!$I$1145</f>
        <v>9.53197043731938</v>
      </c>
      <c r="J1147" s="38" t="n">
        <f aca="false">Sens!$J$1143+Sens!$J$1144*Sens!$J$1146-Sens!$J$1145</f>
        <v>11.2248552881254</v>
      </c>
      <c r="K1147" s="38" t="n">
        <f aca="false">Sens!$K$1143+Sens!$K$1144*Sens!$K$1146-Sens!$K$1145</f>
        <v>12.6429661486753</v>
      </c>
      <c r="L1147" s="38" t="n">
        <f aca="false">Sens!$L$1143+Sens!$L$1144*Sens!$L$1146-Sens!$L$1145</f>
        <v>14.2192050544932</v>
      </c>
      <c r="M1147" s="38" t="n">
        <f aca="false">Sens!$M$1143+Sens!$M$1144*Sens!$M$1146-Sens!$M$1145</f>
        <v>15.9703226845161</v>
      </c>
      <c r="N1147" s="38" t="n">
        <f aca="false">Q!$N$23</f>
        <v>2.511</v>
      </c>
      <c r="O1147" s="38" t="n">
        <f aca="false">Q!$O$23</f>
        <v>2.239</v>
      </c>
    </row>
    <row r="1148" customFormat="false" ht="17.15" hidden="false" customHeight="false" outlineLevel="0" collapsed="false">
      <c r="A1148" s="0" t="s">
        <v>725</v>
      </c>
      <c r="B1148" s="0" t="s">
        <v>86</v>
      </c>
      <c r="C1148" s="38" t="n">
        <f aca="false">Sens!$C$1088</f>
        <v>1.60348603981278</v>
      </c>
      <c r="D1148" s="38" t="n">
        <f aca="false">Sens!$D$1088</f>
        <v>3.15361039430823</v>
      </c>
      <c r="E1148" s="38" t="n">
        <f aca="false">Sens!$E$1088</f>
        <v>0.109507403378603</v>
      </c>
      <c r="F1148" s="38" t="n">
        <f aca="false">Sens!$F$1088</f>
        <v>5.20408182832593</v>
      </c>
      <c r="G1148" s="38" t="n">
        <f aca="false">Sens!$G$1088</f>
        <v>5.31358923170454</v>
      </c>
      <c r="H1148" s="38" t="n">
        <f aca="false">Sens!$H$1088</f>
        <v>13.2680557483549</v>
      </c>
      <c r="I1148" s="38" t="n">
        <f aca="false">Sens!$I$1088</f>
        <v>24.1263512073762</v>
      </c>
      <c r="J1148" s="38" t="n">
        <f aca="false">Sens!$J$1088</f>
        <v>34.3431836831596</v>
      </c>
      <c r="K1148" s="38" t="n">
        <f aca="false">Sens!$K$1088</f>
        <v>39.1647402840778</v>
      </c>
      <c r="L1148" s="38" t="n">
        <f aca="false">Sens!$L$1088</f>
        <v>43.2003494833776</v>
      </c>
      <c r="M1148" s="38" t="n">
        <f aca="false">Sens!$M$1088</f>
        <v>44.7319707352949</v>
      </c>
      <c r="N1148" s="38" t="n">
        <f aca="false">Sens!$N$1088</f>
        <v>0.560395828660207</v>
      </c>
      <c r="O1148" s="38" t="n">
        <f aca="false">Sens!$O$1088</f>
        <v>2.59321456564803</v>
      </c>
    </row>
    <row r="1149" customFormat="false" ht="17.15" hidden="false" customHeight="false" outlineLevel="0" collapsed="false">
      <c r="A1149" s="0" t="s">
        <v>643</v>
      </c>
      <c r="B1149" s="0" t="s">
        <v>86</v>
      </c>
      <c r="C1149" s="38" t="n">
        <f aca="false">Sens!$C$1093</f>
        <v>38.2305139601872</v>
      </c>
      <c r="D1149" s="38" t="n">
        <f aca="false">Sens!$D$1093</f>
        <v>42.4523896056918</v>
      </c>
      <c r="E1149" s="38" t="n">
        <f aca="false">Sens!$E$1093</f>
        <v>30.6724925966214</v>
      </c>
      <c r="F1149" s="38" t="n">
        <f aca="false">Sens!$F$1093</f>
        <v>27.7901543472</v>
      </c>
      <c r="G1149" s="38" t="n">
        <f aca="false">Sens!$G$1093</f>
        <v>58.4626469438214</v>
      </c>
      <c r="H1149" s="38" t="n">
        <f aca="false">Sens!$H$1093</f>
        <v>62.3482385559623</v>
      </c>
      <c r="I1149" s="38" t="n">
        <f aca="false">Sens!$I$1093</f>
        <v>69.2223447066625</v>
      </c>
      <c r="J1149" s="38" t="n">
        <f aca="false">Sens!$J$1093</f>
        <v>75.8072384055508</v>
      </c>
      <c r="K1149" s="38" t="n">
        <f aca="false">Sens!$K$1093</f>
        <v>81.8718174779949</v>
      </c>
      <c r="L1149" s="38" t="n">
        <f aca="false">Sens!$L$1093</f>
        <v>88.4215628762345</v>
      </c>
      <c r="M1149" s="38" t="n">
        <f aca="false">Sens!$M$1093</f>
        <v>95.4952879063332</v>
      </c>
      <c r="N1149" s="38" t="n">
        <f aca="false">Sens!$N$1093</f>
        <v>21.1466041713398</v>
      </c>
      <c r="O1149" s="38" t="n">
        <f aca="false">Sens!$O$1093</f>
        <v>21.305785434352</v>
      </c>
    </row>
    <row r="1150" customFormat="false" ht="17.15" hidden="false" customHeight="false" outlineLevel="0" collapsed="false">
      <c r="A1150" s="1" t="s">
        <v>726</v>
      </c>
      <c r="B1150" s="8" t="s">
        <v>86</v>
      </c>
      <c r="C1150" s="38" t="n">
        <f aca="false">Q!$D$24</f>
        <v>39.834</v>
      </c>
      <c r="D1150" s="38" t="n">
        <f aca="false">Q!$E$24</f>
        <v>45.606</v>
      </c>
      <c r="E1150" s="38" t="n">
        <f aca="false">Q!$P$24</f>
        <v>30.782</v>
      </c>
      <c r="F1150" s="38" t="n">
        <f aca="false">Sens!$F$1148+Sens!$F$1149</f>
        <v>32.9942361755259</v>
      </c>
      <c r="G1150" s="38" t="n">
        <f aca="false">Sens!$G$1148+Sens!$G$1149</f>
        <v>63.7762361755259</v>
      </c>
      <c r="H1150" s="38" t="n">
        <f aca="false">Sens!$H$1148+Sens!$H$1149</f>
        <v>75.6162943043172</v>
      </c>
      <c r="I1150" s="38" t="n">
        <f aca="false">Sens!$I$1148+Sens!$I$1149</f>
        <v>93.3486959140387</v>
      </c>
      <c r="J1150" s="38" t="n">
        <f aca="false">Sens!$J$1148+Sens!$J$1149</f>
        <v>110.15042208871</v>
      </c>
      <c r="K1150" s="38" t="n">
        <f aca="false">Sens!$K$1148+Sens!$K$1149</f>
        <v>121.036557762073</v>
      </c>
      <c r="L1150" s="38" t="n">
        <f aca="false">Sens!$L$1148+Sens!$L$1149</f>
        <v>131.621912359612</v>
      </c>
      <c r="M1150" s="38" t="n">
        <f aca="false">Sens!$M$1148+Sens!$M$1149</f>
        <v>140.227258641628</v>
      </c>
      <c r="N1150" s="38" t="n">
        <f aca="false">Q!$N$24</f>
        <v>21.707</v>
      </c>
      <c r="O1150" s="38" t="n">
        <f aca="false">Q!$O$24</f>
        <v>23.899</v>
      </c>
    </row>
    <row r="1151" customFormat="false" ht="17.15" hidden="false" customHeight="false" outlineLevel="0" collapsed="false">
      <c r="A1151" s="5" t="s">
        <v>727</v>
      </c>
      <c r="B1151" s="0" t="s">
        <v>86</v>
      </c>
      <c r="C1151" s="38" t="n">
        <f aca="false">Q!$D$26</f>
        <v>0</v>
      </c>
      <c r="D1151" s="38" t="n">
        <f aca="false">Q!$E$26</f>
        <v>0</v>
      </c>
      <c r="E1151" s="38" t="n">
        <f aca="false">Q!$P$26</f>
        <v>0</v>
      </c>
      <c r="F1151" s="39" t="n">
        <v>0</v>
      </c>
      <c r="G1151" s="38" t="n">
        <f aca="false">Sens!$E$1151+Sens!$F$1151</f>
        <v>0</v>
      </c>
      <c r="H1151" s="39" t="n">
        <v>0</v>
      </c>
      <c r="I1151" s="39" t="n">
        <v>0</v>
      </c>
      <c r="J1151" s="39" t="n">
        <v>0</v>
      </c>
      <c r="K1151" s="39" t="n">
        <v>0</v>
      </c>
      <c r="L1151" s="39" t="n">
        <v>0</v>
      </c>
      <c r="M1151" s="39" t="n">
        <v>0</v>
      </c>
      <c r="N1151" s="38" t="n">
        <f aca="false">Q!$N$26</f>
        <v>0</v>
      </c>
      <c r="O1151" s="38" t="n">
        <f aca="false">Q!$O$26</f>
        <v>0</v>
      </c>
    </row>
    <row r="1152" customFormat="false" ht="15" hidden="false" customHeight="false" outlineLevel="0" collapsed="false">
      <c r="A1152" s="3" t="s">
        <v>531</v>
      </c>
      <c r="B1152" s="8" t="s">
        <v>86</v>
      </c>
      <c r="C1152" s="38" t="n">
        <f aca="false">Q!$D$25</f>
        <v>68.593</v>
      </c>
      <c r="D1152" s="38" t="n">
        <f aca="false">Q!$E$25</f>
        <v>79.975</v>
      </c>
      <c r="E1152" s="38" t="n">
        <f aca="false">Q!$P$25</f>
        <v>51.313</v>
      </c>
      <c r="F1152" s="38" t="n">
        <f aca="false">Sens!$F$1142+Sens!$F$1147+Sens!$F$1150+Sens!$F$1151</f>
        <v>55.9368187603788</v>
      </c>
      <c r="G1152" s="38" t="n">
        <f aca="false">Sens!$G$1142+Sens!$G$1147+Sens!$G$1150+Sens!$G$1151</f>
        <v>107.249818760379</v>
      </c>
      <c r="H1152" s="38" t="n">
        <f aca="false">Sens!$H$1142+Sens!$H$1147+Sens!$H$1150+Sens!$H$1151</f>
        <v>128.955727244079</v>
      </c>
      <c r="I1152" s="38" t="n">
        <f aca="false">Sens!$I$1142+Sens!$I$1147+Sens!$I$1150+Sens!$I$1151</f>
        <v>156.765780710568</v>
      </c>
      <c r="J1152" s="38" t="n">
        <f aca="false">Sens!$J$1142+Sens!$J$1147+Sens!$J$1150+Sens!$J$1151</f>
        <v>183.268558081468</v>
      </c>
      <c r="K1152" s="38" t="n">
        <f aca="false">Sens!$K$1142+Sens!$K$1147+Sens!$K$1150+Sens!$K$1151</f>
        <v>202.822487328328</v>
      </c>
      <c r="L1152" s="38" t="n">
        <f aca="false">Sens!$L$1142+Sens!$L$1147+Sens!$L$1150+Sens!$L$1151</f>
        <v>221.207095461589</v>
      </c>
      <c r="M1152" s="38" t="n">
        <f aca="false">Sens!$M$1142+Sens!$M$1147+Sens!$M$1150+Sens!$M$1151</f>
        <v>238.370637781955</v>
      </c>
      <c r="N1152" s="38" t="n">
        <f aca="false">Q!$N$25</f>
        <v>37.576</v>
      </c>
      <c r="O1152" s="38" t="n">
        <f aca="false">Q!$O$25</f>
        <v>42.399</v>
      </c>
    </row>
    <row r="1153" customFormat="false" ht="17.15" hidden="false" customHeight="false" outlineLevel="0" collapsed="false">
      <c r="A1153" s="24" t="s">
        <v>758</v>
      </c>
      <c r="B1153" s="25" t="s">
        <v>86</v>
      </c>
      <c r="C1153" s="41" t="n">
        <f aca="false">Sens!$C$1142+Sens!$C$1147+Sens!$C$1150+Sens!$C$1151-Sens!$C$1152</f>
        <v>0</v>
      </c>
      <c r="D1153" s="41" t="n">
        <f aca="false">Sens!$D$1142+Sens!$D$1147+Sens!$D$1150+Sens!$D$1151-Sens!$D$1152</f>
        <v>0</v>
      </c>
      <c r="E1153" s="41" t="n">
        <f aca="false">Sens!$E$1142+Sens!$E$1147+Sens!$E$1150+Sens!$E$1151-Sens!$E$1152</f>
        <v>0</v>
      </c>
      <c r="F1153" s="41" t="n">
        <f aca="false">Sens!$F$1142+Sens!$F$1147+Sens!$F$1150+Sens!$F$1151-Sens!$F$1152</f>
        <v>0</v>
      </c>
      <c r="G1153" s="41" t="n">
        <f aca="false">Sens!$G$1142+Sens!$G$1147+Sens!$G$1150+Sens!$G$1151-Sens!$G$1152</f>
        <v>0</v>
      </c>
      <c r="H1153" s="41" t="n">
        <f aca="false">Sens!$H$1142+Sens!$H$1147+Sens!$H$1150+Sens!$H$1151-Sens!$H$1152</f>
        <v>0</v>
      </c>
      <c r="I1153" s="41" t="n">
        <f aca="false">Sens!$I$1142+Sens!$I$1147+Sens!$I$1150+Sens!$I$1151-Sens!$I$1152</f>
        <v>0</v>
      </c>
      <c r="J1153" s="41" t="n">
        <f aca="false">Sens!$J$1142+Sens!$J$1147+Sens!$J$1150+Sens!$J$1151-Sens!$J$1152</f>
        <v>0</v>
      </c>
      <c r="K1153" s="41" t="n">
        <f aca="false">Sens!$K$1142+Sens!$K$1147+Sens!$K$1150+Sens!$K$1151-Sens!$K$1152</f>
        <v>0</v>
      </c>
      <c r="L1153" s="41" t="n">
        <f aca="false">Sens!$L$1142+Sens!$L$1147+Sens!$L$1150+Sens!$L$1151-Sens!$L$1152</f>
        <v>0</v>
      </c>
      <c r="M1153" s="41" t="n">
        <f aca="false">Sens!$M$1142+Sens!$M$1147+Sens!$M$1150+Sens!$M$1151-Sens!$M$1152</f>
        <v>0</v>
      </c>
      <c r="N1153" s="41" t="n">
        <f aca="false">Sens!$N$1142+Sens!$N$1147+Sens!$N$1150+Sens!$N$1151-Sens!$N$1152</f>
        <v>0</v>
      </c>
      <c r="O1153" s="41" t="n">
        <f aca="false">Sens!$O$1142+Sens!$O$1147+Sens!$O$1150+Sens!$O$1151-Sens!$O$1152</f>
        <v>0</v>
      </c>
    </row>
    <row r="1154" customFormat="false" ht="17.15" hidden="false" customHeight="false" outlineLevel="0" collapsed="false">
      <c r="A1154" s="5" t="s">
        <v>729</v>
      </c>
      <c r="B1154" s="0" t="s">
        <v>86</v>
      </c>
      <c r="C1154" s="38" t="n">
        <f aca="false">Sens!$C$1090</f>
        <v>0</v>
      </c>
      <c r="D1154" s="38" t="n">
        <f aca="false">Sens!$D$1090</f>
        <v>0</v>
      </c>
      <c r="E1154" s="38" t="n">
        <f aca="false">Sens!$E$1090</f>
        <v>0</v>
      </c>
      <c r="F1154" s="38" t="n">
        <f aca="false">Sens!$F$1090</f>
        <v>0</v>
      </c>
      <c r="G1154" s="38" t="n">
        <f aca="false">Sens!$G$1090</f>
        <v>0</v>
      </c>
      <c r="H1154" s="38" t="n">
        <f aca="false">Sens!$H$1090</f>
        <v>0</v>
      </c>
      <c r="I1154" s="38" t="n">
        <f aca="false">Sens!$I$1090</f>
        <v>0</v>
      </c>
      <c r="J1154" s="38" t="n">
        <f aca="false">Sens!$J$1090</f>
        <v>0</v>
      </c>
      <c r="K1154" s="38" t="n">
        <f aca="false">Sens!$K$1090</f>
        <v>0</v>
      </c>
      <c r="L1154" s="38" t="n">
        <f aca="false">Sens!$L$1090</f>
        <v>0</v>
      </c>
      <c r="M1154" s="38" t="n">
        <f aca="false">Sens!$M$1090</f>
        <v>0</v>
      </c>
      <c r="N1154" s="38" t="n">
        <f aca="false">Sens!$N$1090</f>
        <v>0</v>
      </c>
      <c r="O1154" s="38" t="n">
        <f aca="false">Sens!$O$1090</f>
        <v>0</v>
      </c>
      <c r="P1154" s="5" t="s">
        <v>730</v>
      </c>
    </row>
    <row r="1155" customFormat="false" ht="17.15" hidden="false" customHeight="false" outlineLevel="0" collapsed="false">
      <c r="A1155" s="5" t="s">
        <v>731</v>
      </c>
      <c r="B1155" s="0" t="s">
        <v>86</v>
      </c>
      <c r="C1155" s="38" t="n">
        <f aca="false">Sens!$C$1152+Sens!$C$1154</f>
        <v>68.593</v>
      </c>
      <c r="D1155" s="38" t="n">
        <f aca="false">Sens!$D$1152+Sens!$D$1154</f>
        <v>79.975</v>
      </c>
      <c r="E1155" s="38" t="n">
        <f aca="false">Sens!$E$1152+Sens!$E$1154</f>
        <v>51.313</v>
      </c>
      <c r="F1155" s="38" t="n">
        <f aca="false">Sens!$F$1152+Sens!$F$1154</f>
        <v>55.9368187603788</v>
      </c>
      <c r="G1155" s="38" t="n">
        <f aca="false">Sens!$G$1152+Sens!$G$1154</f>
        <v>107.249818760379</v>
      </c>
      <c r="H1155" s="38" t="n">
        <f aca="false">Sens!$H$1152+Sens!$H$1154</f>
        <v>128.955727244079</v>
      </c>
      <c r="I1155" s="38" t="n">
        <f aca="false">Sens!$I$1152+Sens!$I$1154</f>
        <v>156.765780710568</v>
      </c>
      <c r="J1155" s="38" t="n">
        <f aca="false">Sens!$J$1152+Sens!$J$1154</f>
        <v>183.268558081468</v>
      </c>
      <c r="K1155" s="38" t="n">
        <f aca="false">Sens!$K$1152+Sens!$K$1154</f>
        <v>202.822487328328</v>
      </c>
      <c r="L1155" s="38" t="n">
        <f aca="false">Sens!$L$1152+Sens!$L$1154</f>
        <v>221.207095461589</v>
      </c>
      <c r="M1155" s="38" t="n">
        <f aca="false">Sens!$M$1152+Sens!$M$1154</f>
        <v>238.370637781955</v>
      </c>
      <c r="N1155" s="38" t="n">
        <f aca="false">Sens!$N$1152+Sens!$N$1154</f>
        <v>37.576</v>
      </c>
      <c r="O1155" s="38" t="n">
        <f aca="false">Sens!$O$1152+Sens!$O$1154</f>
        <v>42.399</v>
      </c>
    </row>
    <row r="1156" customFormat="false" ht="17.15" hidden="false" customHeight="false" outlineLevel="0" collapsed="false">
      <c r="A1156" s="0" t="s">
        <v>732</v>
      </c>
      <c r="B1156" s="0" t="s">
        <v>52</v>
      </c>
      <c r="C1156" s="13" t="n">
        <f aca="false">Sens!$C$1142/Sens!$C$1127</f>
        <v>0.0644314665661928</v>
      </c>
      <c r="D1156" s="13" t="n">
        <f aca="false">Sens!$D$1142/Sens!$D$1127</f>
        <v>0.0694784250712518</v>
      </c>
      <c r="E1156" s="13" t="n">
        <f aca="false">Sens!$E$1142/Sens!$E$1127</f>
        <v>0.0789306463326071</v>
      </c>
      <c r="F1156" s="13" t="n">
        <f aca="false">Sens!$F$1142/Sens!$F$1127</f>
        <v>0.0804010112333714</v>
      </c>
      <c r="G1156" s="13" t="n">
        <f aca="false">Sens!$G$1142/Sens!$G$1127</f>
        <v>0.0797131588664012</v>
      </c>
      <c r="H1156" s="13" t="n">
        <f aca="false">Sens!$H$1142/Sens!$H$1127</f>
        <v>0.0874950024998162</v>
      </c>
      <c r="I1156" s="13" t="n">
        <f aca="false">Sens!$I$1142/Sens!$I$1127</f>
        <v>0.0945114345111126</v>
      </c>
      <c r="J1156" s="13" t="n">
        <f aca="false">Sens!$J$1142/Sens!$J$1127</f>
        <v>0.100575466450851</v>
      </c>
      <c r="K1156" s="13" t="n">
        <f aca="false">Sens!$K$1142/Sens!$K$1127</f>
        <v>0.10552822829302</v>
      </c>
      <c r="L1156" s="13" t="n">
        <f aca="false">Sens!$L$1142/Sens!$L$1127</f>
        <v>0.108003929747916</v>
      </c>
      <c r="M1156" s="13" t="n">
        <f aca="false">Sens!$M$1142/Sens!$M$1127</f>
        <v>0.110536898957981</v>
      </c>
      <c r="N1156" s="13" t="n">
        <f aca="false">Sens!$N$1142/Sens!$N$1127</f>
        <v>0.069228576611127</v>
      </c>
      <c r="O1156" s="13" t="n">
        <f aca="false">Sens!$O$1142/Sens!$O$1127</f>
        <v>0.069685022498393</v>
      </c>
    </row>
    <row r="1157" customFormat="false" ht="17.15" hidden="false" customHeight="false" outlineLevel="0" collapsed="false">
      <c r="A1157" s="0" t="s">
        <v>733</v>
      </c>
      <c r="B1157" s="0" t="s">
        <v>52</v>
      </c>
      <c r="C1157" s="13" t="n">
        <f aca="false">Sens!$C$1147/Sens!$C$1128</f>
        <v>0.026534925055631</v>
      </c>
      <c r="D1157" s="13" t="n">
        <f aca="false">Sens!$D$1147/Sens!$D$1128</f>
        <v>0.0293401855535103</v>
      </c>
      <c r="E1157" s="13" t="n">
        <f aca="false">Sens!$E$1147/Sens!$E$1128</f>
        <v>0.03831141902276</v>
      </c>
      <c r="F1157" s="13" t="n">
        <f aca="false">Sens!$F$1147/Sens!$F$1128</f>
        <v>0.0283602762420056</v>
      </c>
      <c r="G1157" s="13" t="n">
        <f aca="false">Sens!$G$1147/Sens!$G$1128</f>
        <v>0.0328828893815444</v>
      </c>
      <c r="H1157" s="13" t="n">
        <f aca="false">Sens!$H$1147/Sens!$H$1128</f>
        <v>0.0386594602696505</v>
      </c>
      <c r="I1157" s="13" t="n">
        <f aca="false">Sens!$I$1147/Sens!$I$1128</f>
        <v>0.0436474454742892</v>
      </c>
      <c r="J1157" s="13" t="n">
        <f aca="false">Sens!$J$1147/Sens!$J$1128</f>
        <v>0.0476200559108228</v>
      </c>
      <c r="K1157" s="13" t="n">
        <f aca="false">Sens!$K$1147/Sens!$K$1128</f>
        <v>0.0503767598631936</v>
      </c>
      <c r="L1157" s="13" t="n">
        <f aca="false">Sens!$L$1147/Sens!$L$1128</f>
        <v>0.053198591460788</v>
      </c>
      <c r="M1157" s="13" t="n">
        <f aca="false">Sens!$M$1147/Sens!$M$1128</f>
        <v>0.0560856974721203</v>
      </c>
      <c r="N1157" s="13" t="n">
        <f aca="false">Sens!$N$1147/Sens!$N$1128</f>
        <v>0.0357315650169337</v>
      </c>
      <c r="O1157" s="13" t="n">
        <f aca="false">Sens!$O$1147/Sens!$O$1128</f>
        <v>0.0244378956559703</v>
      </c>
    </row>
    <row r="1158" customFormat="false" ht="17.15" hidden="false" customHeight="false" outlineLevel="0" collapsed="false">
      <c r="A1158" s="14" t="s">
        <v>734</v>
      </c>
      <c r="B1158" s="14" t="s">
        <v>52</v>
      </c>
      <c r="C1158" s="17" t="n">
        <f aca="false">Sens!$C$1150/Sens!$C$1129</f>
        <v>0.370355907620217</v>
      </c>
      <c r="D1158" s="17" t="n">
        <f aca="false">Sens!$D$1150/Sens!$D$1129</f>
        <v>0.35429015342785</v>
      </c>
      <c r="E1158" s="17" t="n">
        <f aca="false">Sens!$E$1150/Sens!$E$1129</f>
        <v>0.385647527531039</v>
      </c>
      <c r="F1158" s="17" t="n">
        <f aca="false">Sens!$F$1150/Sens!$F$1129</f>
        <v>0.380412733085874</v>
      </c>
      <c r="G1158" s="17" t="n">
        <f aca="false">Sens!$G$1150/Sens!$G$1129</f>
        <v>0.382921479462697</v>
      </c>
      <c r="H1158" s="17" t="n">
        <f aca="false">Sens!$H$1150/Sens!$H$1129</f>
        <v>0.341872138919779</v>
      </c>
      <c r="I1158" s="17" t="n">
        <f aca="false">Sens!$I$1150/Sens!$I$1129</f>
        <v>0.333062917769831</v>
      </c>
      <c r="J1158" s="17" t="n">
        <f aca="false">Sens!$J$1150/Sens!$J$1129</f>
        <v>0.325118402561131</v>
      </c>
      <c r="K1158" s="17" t="n">
        <f aca="false">Sens!$K$1150/Sens!$K$1129</f>
        <v>0.310441130066754</v>
      </c>
      <c r="L1158" s="17" t="n">
        <f aca="false">Sens!$L$1150/Sens!$L$1129</f>
        <v>0.306040042275833</v>
      </c>
      <c r="M1158" s="17" t="n">
        <f aca="false">Sens!$M$1150/Sens!$M$1129</f>
        <v>0.305202645364365</v>
      </c>
      <c r="N1158" s="17" t="n">
        <f aca="false">Sens!$N$1150/Sens!$N$1129</f>
        <v>0.360941137346192</v>
      </c>
      <c r="O1158" s="17" t="n">
        <f aca="false">Sens!$O$1150/Sens!$O$1129</f>
        <v>0.348458117664212</v>
      </c>
    </row>
    <row r="1159" customFormat="false" ht="17.15" hidden="false" customHeight="false" outlineLevel="0" collapsed="false">
      <c r="A1159" s="0" t="s">
        <v>735</v>
      </c>
      <c r="B1159" s="0" t="s">
        <v>52</v>
      </c>
      <c r="C1159" s="13" t="n">
        <f aca="false">Sens!$C$1148/Sens!$C$1130</f>
        <v>0.690858396769735</v>
      </c>
      <c r="D1159" s="13" t="n">
        <f aca="false">Sens!$D$1148/Sens!$D$1130</f>
        <v>0.362326941335482</v>
      </c>
      <c r="E1159" s="13" t="n">
        <f aca="false">Sens!$E$1148/Sens!$E$1130</f>
        <v>0.0128675512864105</v>
      </c>
      <c r="F1159" s="13" t="n">
        <f aca="false">Sens!$F$1148/Sens!$F$1130</f>
        <v>0.347786607799212</v>
      </c>
      <c r="G1159" s="13" t="n">
        <f aca="false">Sens!$G$1148/Sens!$G$1130</f>
        <v>0.226362679258213</v>
      </c>
      <c r="H1159" s="13" t="n">
        <f aca="false">Sens!$H$1148/Sens!$H$1130</f>
        <v>0.220524546100974</v>
      </c>
      <c r="I1159" s="13" t="n">
        <f aca="false">Sens!$I$1148/Sens!$I$1130</f>
        <v>0.237689378935321</v>
      </c>
      <c r="J1159" s="13" t="n">
        <f aca="false">Sens!$J$1148/Sens!$J$1130</f>
        <v>0.240119461060752</v>
      </c>
      <c r="K1159" s="13" t="n">
        <f aca="false">Sens!$K$1148/Sens!$K$1130</f>
        <v>0.21947409812992</v>
      </c>
      <c r="L1159" s="13" t="n">
        <f aca="false">Sens!$L$1148/Sens!$L$1130</f>
        <v>0.214151370569554</v>
      </c>
      <c r="M1159" s="13" t="n">
        <f aca="false">Sens!$M$1148/Sens!$M$1130</f>
        <v>0.210171625776225</v>
      </c>
      <c r="N1159" s="13" t="n">
        <f aca="false">Sens!$N$1148/Sens!$N$1130</f>
        <v>0.183958321821583</v>
      </c>
      <c r="O1159" s="13" t="n">
        <f aca="false">Sens!$O$1148/Sens!$O$1130</f>
        <v>0.458371582612197</v>
      </c>
    </row>
    <row r="1160" customFormat="false" ht="15" hidden="false" customHeight="false" outlineLevel="0" collapsed="false">
      <c r="A1160" s="5" t="s">
        <v>736</v>
      </c>
      <c r="B1160" s="0" t="s">
        <v>52</v>
      </c>
      <c r="C1160" s="13" t="n">
        <f aca="false">Sens!$C$1152/Sens!$C$1132</f>
        <v>0.107519448742004</v>
      </c>
      <c r="D1160" s="13" t="n">
        <f aca="false">Sens!$D$1152/Sens!$D$1132</f>
        <v>0.111552967957552</v>
      </c>
      <c r="E1160" s="13" t="n">
        <f aca="false">Sens!$E$1152/Sens!$E$1132</f>
        <v>0.13428328426562</v>
      </c>
      <c r="F1160" s="13" t="n">
        <f aca="false">Sens!$F$1152/Sens!$F$1132</f>
        <v>0.128359937579955</v>
      </c>
      <c r="G1160" s="13" t="n">
        <f aca="false">Sens!$G$1152/Sens!$G$1132</f>
        <v>0.131127320288005</v>
      </c>
      <c r="H1160" s="13" t="n">
        <f aca="false">Sens!$H$1152/Sens!$H$1132</f>
        <v>0.136855018430188</v>
      </c>
      <c r="I1160" s="13" t="n">
        <f aca="false">Sens!$I$1152/Sens!$I$1132</f>
        <v>0.146674179188776</v>
      </c>
      <c r="J1160" s="13" t="n">
        <f aca="false">Sens!$J$1152/Sens!$J$1132</f>
        <v>0.154018924161662</v>
      </c>
      <c r="K1160" s="13" t="n">
        <f aca="false">Sens!$K$1152/Sens!$K$1132</f>
        <v>0.156491327401186</v>
      </c>
      <c r="L1160" s="13" t="n">
        <f aca="false">Sens!$L$1152/Sens!$L$1132</f>
        <v>0.158551641464905</v>
      </c>
      <c r="M1160" s="13" t="n">
        <f aca="false">Sens!$M$1152/Sens!$M$1132</f>
        <v>0.160237949564489</v>
      </c>
      <c r="N1160" s="13" t="n">
        <f aca="false">Sens!$N$1152/Sens!$N$1132</f>
        <v>0.116201614873411</v>
      </c>
      <c r="O1160" s="13" t="n">
        <f aca="false">Sens!$O$1152/Sens!$O$1132</f>
        <v>0.107733353660861</v>
      </c>
    </row>
    <row r="1161" customFormat="false" ht="17.15" hidden="false" customHeight="false" outlineLevel="0" collapsed="false">
      <c r="A1161" s="1" t="s">
        <v>737</v>
      </c>
    </row>
    <row r="1162" customFormat="false" ht="17.15" hidden="false" customHeight="false" outlineLevel="0" collapsed="false">
      <c r="A1162" s="5" t="s">
        <v>738</v>
      </c>
      <c r="B1162" s="0" t="s">
        <v>52</v>
      </c>
      <c r="D1162" s="28" t="n">
        <f aca="false">(Q!$E$29+Q!$E$30-(1-ext_sh_hi)*Sens!$D$1084)/Sens!$D$1040</f>
        <v>0.0346991409369958</v>
      </c>
    </row>
    <row r="1163" customFormat="false" ht="17.15" hidden="false" customHeight="false" outlineLevel="0" collapsed="false">
      <c r="A1163" s="0" t="s">
        <v>535</v>
      </c>
      <c r="B1163" s="0" t="s">
        <v>86</v>
      </c>
      <c r="C1163" s="38" t="n">
        <f aca="false">Q!$D$29</f>
        <v>14.285</v>
      </c>
      <c r="D1163" s="38" t="n">
        <f aca="false">Q!$E$29</f>
        <v>15.503</v>
      </c>
      <c r="E1163" s="38" t="n">
        <f aca="false">Q!$P$29</f>
        <v>8.78</v>
      </c>
      <c r="F1163" s="38" t="n">
        <f aca="false">(Sens!$D$1162*Sens!$F$1040+(1-ext_sh_hi)*Sens!$F$1084)*Sens!$F$1041</f>
        <v>8.69698482441957</v>
      </c>
      <c r="G1163" s="38" t="n">
        <f aca="false">Sens!$E$1163+Sens!$F$1163</f>
        <v>17.4769848244196</v>
      </c>
      <c r="H1163" s="38" t="n">
        <f aca="false">(Sens!$D$1162*Sens!$H$1040+(1-ext_sh_hi)*Sens!$H$1084)*Sens!$H$1041</f>
        <v>18.091680663176</v>
      </c>
      <c r="I1163" s="38" t="n">
        <f aca="false">(Sens!$D$1162*Sens!$I$1040+(1-ext_sh_hi)*Sens!$I$1084)*Sens!$I$1041</f>
        <v>19.7835022526985</v>
      </c>
      <c r="J1163" s="38" t="n">
        <f aca="false">(Sens!$D$1162*Sens!$J$1040+(1-ext_sh_hi)*Sens!$J$1084)*Sens!$J$1041</f>
        <v>21.3535541619645</v>
      </c>
      <c r="K1163" s="38" t="n">
        <f aca="false">(Sens!$D$1162*Sens!$K$1040+(1-ext_sh_hi)*Sens!$K$1084)*Sens!$K$1041</f>
        <v>22.7351626312372</v>
      </c>
      <c r="L1163" s="38" t="n">
        <f aca="false">(Sens!$D$1162*Sens!$L$1040+(1-ext_sh_hi)*Sens!$L$1084)*Sens!$L$1041</f>
        <v>24.2133290911541</v>
      </c>
      <c r="M1163" s="38" t="n">
        <f aca="false">(Sens!$D$1162*Sens!$M$1040+(1-ext_sh_hi)*Sens!$M$1084)*Sens!$M$1041</f>
        <v>25.7953180708262</v>
      </c>
      <c r="N1163" s="38" t="n">
        <f aca="false">Q!$N$29</f>
        <v>7.272</v>
      </c>
      <c r="O1163" s="38" t="n">
        <f aca="false">Q!$O$29</f>
        <v>8.231</v>
      </c>
    </row>
    <row r="1164" customFormat="false" ht="17.15" hidden="false" customHeight="false" outlineLevel="0" collapsed="false">
      <c r="A1164" s="0" t="s">
        <v>537</v>
      </c>
      <c r="B1164" s="0" t="s">
        <v>86</v>
      </c>
      <c r="C1164" s="38" t="n">
        <f aca="false">Q!$D$30</f>
        <v>4.462</v>
      </c>
      <c r="D1164" s="38" t="n">
        <f aca="false">Q!$E$30</f>
        <v>4.907</v>
      </c>
      <c r="E1164" s="38" t="n">
        <f aca="false">Q!$P$30</f>
        <v>2.57</v>
      </c>
      <c r="F1164" s="38" t="n">
        <f aca="false">(Sens!$D$1162*Sens!$F$1040+(1-ext_sh_hi)*Sens!$F$1084)*(1-Sens!$F$1041)</f>
        <v>3.4146893062495</v>
      </c>
      <c r="G1164" s="38" t="n">
        <f aca="false">Sens!$E$1164+Sens!$F$1164</f>
        <v>5.9846893062495</v>
      </c>
      <c r="H1164" s="38" t="n">
        <f aca="false">(Sens!$D$1162*Sens!$H$1040+(1-ext_sh_hi)*Sens!$H$1084)*(1-Sens!$H$1041)</f>
        <v>6.92976193555585</v>
      </c>
      <c r="I1164" s="38" t="n">
        <f aca="false">(Sens!$D$1162*Sens!$I$1040+(1-ext_sh_hi)*Sens!$I$1084)*(1-Sens!$I$1041)</f>
        <v>7.57779022386669</v>
      </c>
      <c r="J1164" s="38" t="n">
        <f aca="false">(Sens!$D$1162*Sens!$J$1040+(1-ext_sh_hi)*Sens!$J$1084)*(1-Sens!$J$1041)</f>
        <v>8.17917636151966</v>
      </c>
      <c r="K1164" s="38" t="n">
        <f aca="false">(Sens!$D$1162*Sens!$K$1040+(1-ext_sh_hi)*Sens!$K$1084)*(1-Sens!$K$1041)</f>
        <v>8.70838190955341</v>
      </c>
      <c r="L1164" s="38" t="n">
        <f aca="false">(Sens!$D$1162*Sens!$L$1040+(1-ext_sh_hi)*Sens!$L$1084)*(1-Sens!$L$1041)</f>
        <v>9.2745726277655</v>
      </c>
      <c r="M1164" s="38" t="n">
        <f aca="false">(Sens!$D$1162*Sens!$M$1040+(1-ext_sh_hi)*Sens!$M$1084)*(1-Sens!$M$1041)</f>
        <v>9.88053109110022</v>
      </c>
      <c r="N1164" s="38" t="n">
        <f aca="false">Q!$N$30</f>
        <v>2.316</v>
      </c>
      <c r="O1164" s="38" t="n">
        <f aca="false">Q!$O$30</f>
        <v>2.591</v>
      </c>
    </row>
    <row r="1165" customFormat="false" ht="17.15" hidden="false" customHeight="false" outlineLevel="0" collapsed="false">
      <c r="A1165" s="0" t="s">
        <v>538</v>
      </c>
      <c r="B1165" s="0" t="s">
        <v>86</v>
      </c>
      <c r="C1165" s="38" t="n">
        <f aca="false">Sens!$C$1096</f>
        <v>13.32</v>
      </c>
      <c r="D1165" s="38" t="n">
        <f aca="false">Sens!$D$1096</f>
        <v>21.45</v>
      </c>
      <c r="E1165" s="38" t="n">
        <f aca="false">Sens!$E$1096</f>
        <v>15.353</v>
      </c>
      <c r="F1165" s="38" t="n">
        <f aca="false">Sens!$F$1096</f>
        <v>17.1763451695531</v>
      </c>
      <c r="G1165" s="38" t="n">
        <f aca="false">Sens!$G$1096</f>
        <v>32.5293451695531</v>
      </c>
      <c r="H1165" s="38" t="n">
        <f aca="false">Sens!$H$1096</f>
        <v>58.1660495081669</v>
      </c>
      <c r="I1165" s="38" t="n">
        <f aca="false">Sens!$I$1096</f>
        <v>82.9814740708868</v>
      </c>
      <c r="J1165" s="38" t="n">
        <f aca="false">Sens!$J$1096</f>
        <v>108.495970044888</v>
      </c>
      <c r="K1165" s="38" t="n">
        <f aca="false">Sens!$K$1096</f>
        <v>134.325895052708</v>
      </c>
      <c r="L1165" s="38" t="n">
        <f aca="false">Sens!$L$1096</f>
        <v>151.418018426849</v>
      </c>
      <c r="M1165" s="38" t="n">
        <f aca="false">Sens!$M$1096</f>
        <v>161.47785589886</v>
      </c>
      <c r="N1165" s="38" t="n">
        <f aca="false">Sens!$N$1096</f>
        <v>9.234</v>
      </c>
      <c r="O1165" s="38" t="n">
        <f aca="false">Sens!$O$1096</f>
        <v>12.216</v>
      </c>
    </row>
    <row r="1166" customFormat="false" ht="17.15" hidden="false" customHeight="false" outlineLevel="0" collapsed="false">
      <c r="A1166" s="5" t="s">
        <v>739</v>
      </c>
      <c r="B1166" s="0" t="s">
        <v>86</v>
      </c>
      <c r="C1166" s="38" t="n">
        <f aca="false">Sens!$C$1163+Sens!$C$1164+Sens!$C$1165</f>
        <v>32.067</v>
      </c>
      <c r="D1166" s="38" t="n">
        <f aca="false">Sens!$D$1163+Sens!$D$1164+Sens!$D$1165</f>
        <v>41.86</v>
      </c>
      <c r="E1166" s="38" t="n">
        <f aca="false">Sens!$E$1163+Sens!$E$1164+Sens!$E$1165</f>
        <v>26.703</v>
      </c>
      <c r="F1166" s="38" t="n">
        <f aca="false">Sens!$F$1163+Sens!$F$1164+Sens!$F$1165</f>
        <v>29.2880193002221</v>
      </c>
      <c r="G1166" s="38" t="n">
        <f aca="false">Sens!$G$1163+Sens!$G$1164+Sens!$G$1165</f>
        <v>55.9910193002221</v>
      </c>
      <c r="H1166" s="38" t="n">
        <f aca="false">Sens!$H$1163+Sens!$H$1164+Sens!$H$1165</f>
        <v>83.1874921068988</v>
      </c>
      <c r="I1166" s="38" t="n">
        <f aca="false">Sens!$I$1163+Sens!$I$1164+Sens!$I$1165</f>
        <v>110.342766547452</v>
      </c>
      <c r="J1166" s="38" t="n">
        <f aca="false">Sens!$J$1163+Sens!$J$1164+Sens!$J$1165</f>
        <v>138.028700568372</v>
      </c>
      <c r="K1166" s="38" t="n">
        <f aca="false">Sens!$K$1163+Sens!$K$1164+Sens!$K$1165</f>
        <v>165.769439593499</v>
      </c>
      <c r="L1166" s="38" t="n">
        <f aca="false">Sens!$L$1163+Sens!$L$1164+Sens!$L$1165</f>
        <v>184.905920145768</v>
      </c>
      <c r="M1166" s="38" t="n">
        <f aca="false">Sens!$M$1163+Sens!$M$1164+Sens!$M$1165</f>
        <v>197.153705060786</v>
      </c>
      <c r="N1166" s="38" t="n">
        <f aca="false">Sens!$N$1163+Sens!$N$1164+Sens!$N$1165</f>
        <v>18.822</v>
      </c>
      <c r="O1166" s="38" t="n">
        <f aca="false">Sens!$O$1163+Sens!$O$1164+Sens!$O$1165</f>
        <v>23.038</v>
      </c>
    </row>
    <row r="1167" customFormat="false" ht="17.15" hidden="false" customHeight="false" outlineLevel="0" collapsed="false">
      <c r="A1167" s="0" t="s">
        <v>740</v>
      </c>
      <c r="B1167" s="0" t="s">
        <v>86</v>
      </c>
      <c r="C1167" s="38" t="n">
        <f aca="false">Sens!$C$1138+Sens!$C$1143</f>
        <v>28.107</v>
      </c>
      <c r="D1167" s="38" t="n">
        <f aca="false">Sens!$D$1138+Sens!$D$1143</f>
        <v>34.3175</v>
      </c>
      <c r="E1167" s="38" t="n">
        <f aca="false">Sens!$E$1138+Sens!$E$1143</f>
        <v>18.526</v>
      </c>
      <c r="F1167" s="38" t="n">
        <f aca="false">Sens!$F$1138+Sens!$F$1143</f>
        <v>23.0786109972074</v>
      </c>
      <c r="G1167" s="38" t="n">
        <f aca="false">Sens!$G$1138+Sens!$G$1143</f>
        <v>41.6046109972074</v>
      </c>
      <c r="H1167" s="38" t="n">
        <f aca="false">Sens!$H$1138+Sens!$H$1143</f>
        <v>49.9484611939488</v>
      </c>
      <c r="I1167" s="38" t="n">
        <f aca="false">Sens!$I$1138+Sens!$I$1143</f>
        <v>58.2915555477481</v>
      </c>
      <c r="J1167" s="38" t="n">
        <f aca="false">Sens!$J$1138+Sens!$J$1143</f>
        <v>66.0744709709759</v>
      </c>
      <c r="K1167" s="38" t="n">
        <f aca="false">Sens!$K$1138+Sens!$K$1143</f>
        <v>72.6819180680735</v>
      </c>
      <c r="L1167" s="38" t="n">
        <f aca="false">Sens!$L$1138+Sens!$L$1143</f>
        <v>79.9501098748808</v>
      </c>
      <c r="M1167" s="38" t="n">
        <f aca="false">Sens!$M$1138+Sens!$M$1143</f>
        <v>87.9451208623689</v>
      </c>
      <c r="N1167" s="38" t="n">
        <f aca="false">Sens!$N$1138+Sens!$N$1143</f>
        <v>14.8075</v>
      </c>
      <c r="O1167" s="38" t="n">
        <f aca="false">Sens!$O$1138+Sens!$O$1143</f>
        <v>19.51</v>
      </c>
    </row>
    <row r="1168" customFormat="false" ht="17.15" hidden="false" customHeight="false" outlineLevel="0" collapsed="false">
      <c r="A1168" s="0" t="s">
        <v>741</v>
      </c>
      <c r="B1168" s="0" t="s">
        <v>86</v>
      </c>
      <c r="C1168" s="38" t="n">
        <f aca="false">Sens!$C$1142+Sens!$C$1147+Sens!$C$1163+Sens!$C$1164-Sens!$C$1167</f>
        <v>19.399</v>
      </c>
      <c r="D1168" s="38" t="n">
        <f aca="false">Sens!$D$1142+Sens!$D$1147+Sens!$D$1163+Sens!$D$1164-Sens!$D$1167</f>
        <v>20.4615</v>
      </c>
      <c r="E1168" s="38" t="n">
        <f aca="false">Sens!$E$1142+Sens!$E$1147+Sens!$E$1163+Sens!$E$1164-Sens!$E$1167</f>
        <v>13.355</v>
      </c>
      <c r="F1168" s="38" t="n">
        <f aca="false">Sens!$F$1142+Sens!$F$1147+Sens!$F$1163+Sens!$F$1164-Sens!$F$1167</f>
        <v>11.9756457183146</v>
      </c>
      <c r="G1168" s="38" t="n">
        <f aca="false">Sens!$G$1142+Sens!$G$1147+Sens!$G$1163+Sens!$G$1164-Sens!$G$1167</f>
        <v>25.3306457183146</v>
      </c>
      <c r="H1168" s="38" t="n">
        <f aca="false">Sens!$H$1142+Sens!$H$1147+Sens!$H$1163+Sens!$H$1164-Sens!$H$1167</f>
        <v>28.4124143445446</v>
      </c>
      <c r="I1168" s="38" t="n">
        <f aca="false">Sens!$I$1142+Sens!$I$1147+Sens!$I$1163+Sens!$I$1164-Sens!$I$1167</f>
        <v>32.4868217253464</v>
      </c>
      <c r="J1168" s="38" t="n">
        <f aca="false">Sens!$J$1142+Sens!$J$1147+Sens!$J$1163+Sens!$J$1164-Sens!$J$1167</f>
        <v>36.5763955452664</v>
      </c>
      <c r="K1168" s="38" t="n">
        <f aca="false">Sens!$K$1142+Sens!$K$1147+Sens!$K$1163+Sens!$K$1164-Sens!$K$1167</f>
        <v>40.547556038972</v>
      </c>
      <c r="L1168" s="38" t="n">
        <f aca="false">Sens!$L$1142+Sens!$L$1147+Sens!$L$1163+Sens!$L$1164-Sens!$L$1167</f>
        <v>43.122974946016</v>
      </c>
      <c r="M1168" s="38" t="n">
        <f aca="false">Sens!$M$1142+Sens!$M$1147+Sens!$M$1163+Sens!$M$1164-Sens!$M$1167</f>
        <v>45.8741074398846</v>
      </c>
      <c r="N1168" s="38" t="n">
        <f aca="false">Sens!$N$1142+Sens!$N$1147+Sens!$N$1163+Sens!$N$1164-Sens!$N$1167</f>
        <v>10.6495</v>
      </c>
      <c r="O1168" s="38" t="n">
        <f aca="false">Sens!$O$1142+Sens!$O$1147+Sens!$O$1163+Sens!$O$1164-Sens!$O$1167</f>
        <v>9.81200000000001</v>
      </c>
    </row>
    <row r="1169" customFormat="false" ht="17.15" hidden="false" customHeight="false" outlineLevel="0" collapsed="false">
      <c r="A1169" s="0" t="s">
        <v>742</v>
      </c>
      <c r="B1169" s="0" t="s">
        <v>86</v>
      </c>
      <c r="C1169" s="38" t="n">
        <f aca="false">Sens!$C$1149+Sens!$C$1165-ext_sh_hi*Sens!$C$1084</f>
        <v>51.3470500115664</v>
      </c>
      <c r="D1169" s="38" t="n">
        <f aca="false">Sens!$D$1149+Sens!$D$1165-ext_sh_hi*Sens!$D$1084</f>
        <v>60.2799375433739</v>
      </c>
      <c r="E1169" s="38" t="n">
        <f aca="false">Sens!$E$1149+Sens!$E$1165-ext_sh_hi*Sens!$E$1084</f>
        <v>39.5095167090767</v>
      </c>
      <c r="F1169" s="38" t="n">
        <f aca="false">Sens!$F$1149+Sens!$F$1165-ext_sh_hi*Sens!$F$1084</f>
        <v>38.4505236292084</v>
      </c>
      <c r="G1169" s="38" t="n">
        <f aca="false">Sens!$G$1149+Sens!$G$1165-ext_sh_hi*Sens!$G$1084</f>
        <v>77.9600403382851</v>
      </c>
      <c r="H1169" s="38" t="n">
        <f aca="false">Sens!$H$1149+Sens!$H$1165-ext_sh_hi*Sens!$H$1084</f>
        <v>86.2651711064388</v>
      </c>
      <c r="I1169" s="38" t="n">
        <f aca="false">Sens!$I$1149+Sens!$I$1165-ext_sh_hi*Sens!$I$1084</f>
        <v>95.7762007205588</v>
      </c>
      <c r="J1169" s="38" t="n">
        <f aca="false">Sens!$J$1149+Sens!$J$1165-ext_sh_hi*Sens!$J$1084</f>
        <v>104.887075298715</v>
      </c>
      <c r="K1169" s="38" t="n">
        <f aca="false">Sens!$K$1149+Sens!$K$1165-ext_sh_hi*Sens!$K$1084</f>
        <v>113.278041322612</v>
      </c>
      <c r="L1169" s="38" t="n">
        <f aca="false">Sens!$L$1149+Sens!$L$1165-ext_sh_hi*Sens!$L$1084</f>
        <v>122.340284628421</v>
      </c>
      <c r="M1169" s="38" t="n">
        <f aca="false">Sens!$M$1149+Sens!$M$1165-ext_sh_hi*Sens!$M$1084</f>
        <v>132.127507398694</v>
      </c>
      <c r="N1169" s="38" t="n">
        <f aca="false">Sens!$N$1149+Sens!$N$1165-ext_sh_hi*Sens!$N$1084</f>
        <v>28.5693781401809</v>
      </c>
      <c r="O1169" s="38" t="n">
        <f aca="false">Sens!$O$1149+Sens!$O$1165-ext_sh_hi*Sens!$O$1084</f>
        <v>31.7105594031931</v>
      </c>
    </row>
    <row r="1170" customFormat="false" ht="17.15" hidden="false" customHeight="false" outlineLevel="0" collapsed="false">
      <c r="A1170" s="0" t="s">
        <v>743</v>
      </c>
      <c r="B1170" s="0" t="s">
        <v>86</v>
      </c>
      <c r="C1170" s="38" t="n">
        <f aca="false">Sens!$C$1087</f>
        <v>1.80694998843362</v>
      </c>
      <c r="D1170" s="38" t="n">
        <f aca="false">Sens!$D$1087</f>
        <v>6.77606245662606</v>
      </c>
      <c r="E1170" s="38" t="n">
        <f aca="false">Sens!$E$1087</f>
        <v>6.62548329092326</v>
      </c>
      <c r="F1170" s="38" t="n">
        <f aca="false">Sens!$F$1087</f>
        <v>11.7200577158706</v>
      </c>
      <c r="G1170" s="38" t="n">
        <f aca="false">Sens!$G$1087</f>
        <v>18.3455410067939</v>
      </c>
      <c r="H1170" s="38" t="n">
        <f aca="false">Sens!$H$1087</f>
        <v>47.5171727060453</v>
      </c>
      <c r="I1170" s="38" t="n">
        <f aca="false">Sens!$I$1087</f>
        <v>80.5539692643667</v>
      </c>
      <c r="J1170" s="38" t="n">
        <f aca="false">Sens!$J$1087</f>
        <v>113.759316834883</v>
      </c>
      <c r="K1170" s="38" t="n">
        <f aca="false">Sens!$K$1087</f>
        <v>142.084411492169</v>
      </c>
      <c r="L1170" s="38" t="n">
        <f aca="false">Sens!$L$1087</f>
        <v>160.69964615804</v>
      </c>
      <c r="M1170" s="38" t="n">
        <f aca="false">Sens!$M$1087</f>
        <v>169.577607141793</v>
      </c>
      <c r="N1170" s="38" t="n">
        <f aca="false">Sens!$N$1087</f>
        <v>2.37162185981912</v>
      </c>
      <c r="O1170" s="38" t="n">
        <f aca="false">Sens!$O$1087</f>
        <v>4.40444059680694</v>
      </c>
    </row>
    <row r="1171" customFormat="false" ht="17.15" hidden="false" customHeight="false" outlineLevel="0" collapsed="false">
      <c r="A1171" s="0" t="s">
        <v>744</v>
      </c>
      <c r="B1171" s="0" t="s">
        <v>86</v>
      </c>
      <c r="C1171" s="38" t="n">
        <f aca="false">Sens!$C$1152+Sens!$C$1166</f>
        <v>100.66</v>
      </c>
      <c r="D1171" s="38" t="n">
        <f aca="false">Sens!$D$1152+Sens!$D$1166</f>
        <v>121.835</v>
      </c>
      <c r="E1171" s="38" t="n">
        <f aca="false">Sens!$E$1152+Sens!$E$1166</f>
        <v>78.016</v>
      </c>
      <c r="F1171" s="38" t="n">
        <f aca="false">Sens!$F$1152+Sens!$F$1166</f>
        <v>85.2248380606009</v>
      </c>
      <c r="G1171" s="38" t="n">
        <f aca="false">Sens!$G$1152+Sens!$G$1166</f>
        <v>163.240838060601</v>
      </c>
      <c r="H1171" s="38" t="n">
        <f aca="false">Sens!$H$1152+Sens!$H$1166</f>
        <v>212.143219350977</v>
      </c>
      <c r="I1171" s="38" t="n">
        <f aca="false">Sens!$I$1152+Sens!$I$1166</f>
        <v>267.10854725802</v>
      </c>
      <c r="J1171" s="38" t="n">
        <f aca="false">Sens!$J$1152+Sens!$J$1166</f>
        <v>321.29725864984</v>
      </c>
      <c r="K1171" s="38" t="n">
        <f aca="false">Sens!$K$1152+Sens!$K$1166</f>
        <v>368.591926921827</v>
      </c>
      <c r="L1171" s="38" t="n">
        <f aca="false">Sens!$L$1152+Sens!$L$1166</f>
        <v>406.113015607358</v>
      </c>
      <c r="M1171" s="38" t="n">
        <f aca="false">Sens!$M$1152+Sens!$M$1166</f>
        <v>435.524342842741</v>
      </c>
      <c r="N1171" s="38" t="n">
        <f aca="false">Sens!$N$1152+Sens!$N$1166</f>
        <v>56.398</v>
      </c>
      <c r="O1171" s="38" t="n">
        <f aca="false">Sens!$O$1152+Sens!$O$1166</f>
        <v>65.437</v>
      </c>
    </row>
    <row r="1172" customFormat="false" ht="17.15" hidden="false" customHeight="false" outlineLevel="0" collapsed="false">
      <c r="A1172" s="1" t="s">
        <v>745</v>
      </c>
    </row>
    <row r="1173" customFormat="false" ht="15" hidden="false" customHeight="false" outlineLevel="0" collapsed="false">
      <c r="A1173" s="5" t="s">
        <v>541</v>
      </c>
      <c r="B1173" s="0" t="s">
        <v>86</v>
      </c>
      <c r="C1173" s="38" t="n">
        <f aca="false">Q!$D$34</f>
        <v>2.406</v>
      </c>
      <c r="D1173" s="38" t="n">
        <f aca="false">Q!$E$34</f>
        <v>2.274</v>
      </c>
      <c r="E1173" s="38" t="n">
        <f aca="false">Q!$P$34</f>
        <v>2.114</v>
      </c>
      <c r="F1173" s="38" t="n">
        <f aca="false">Sens!$F$1211</f>
        <v>3.24888962733561</v>
      </c>
      <c r="G1173" s="38" t="n">
        <f aca="false">Sens!$E$1173+Sens!$F$1173</f>
        <v>5.36288962733561</v>
      </c>
      <c r="H1173" s="38" t="n">
        <f aca="false">Sens!$H$1211</f>
        <v>7.42354172302123</v>
      </c>
      <c r="I1173" s="38" t="n">
        <f aca="false">Sens!$I$1211</f>
        <v>7.42354172302123</v>
      </c>
      <c r="J1173" s="38" t="n">
        <f aca="false">Sens!$J$1211</f>
        <v>7.42354172302123</v>
      </c>
      <c r="K1173" s="38" t="n">
        <f aca="false">Sens!$K$1211</f>
        <v>7.42354172302123</v>
      </c>
      <c r="L1173" s="38" t="n">
        <f aca="false">Sens!$L$1211</f>
        <v>7.42354172302123</v>
      </c>
      <c r="M1173" s="38" t="n">
        <f aca="false">Sens!$M$1211</f>
        <v>7.42354172302123</v>
      </c>
      <c r="N1173" s="38" t="n">
        <f aca="false">Q!$N$34</f>
        <v>1.057</v>
      </c>
      <c r="O1173" s="38" t="n">
        <f aca="false">Q!$O$34</f>
        <v>1.217</v>
      </c>
    </row>
    <row r="1174" customFormat="false" ht="15" hidden="false" customHeight="false" outlineLevel="0" collapsed="false">
      <c r="A1174" s="5" t="s">
        <v>746</v>
      </c>
      <c r="B1174" s="0" t="s">
        <v>86</v>
      </c>
      <c r="F1174" s="38" t="n">
        <f aca="false">Sens!$F$1212</f>
        <v>2.59</v>
      </c>
      <c r="H1174" s="38" t="n">
        <f aca="false">Sens!$H$1212</f>
        <v>4.10615747614889</v>
      </c>
      <c r="I1174" s="38" t="n">
        <f aca="false">Sens!$I$1212</f>
        <v>3.53813945011571</v>
      </c>
      <c r="J1174" s="38" t="n">
        <f aca="false">Sens!$J$1212</f>
        <v>4.73659289527528</v>
      </c>
      <c r="K1174" s="38" t="n">
        <f aca="false">Sens!$K$1212</f>
        <v>7.77805146659055</v>
      </c>
      <c r="L1174" s="38" t="n">
        <f aca="false">Sens!$L$1212</f>
        <v>14.5115533583535</v>
      </c>
      <c r="M1174" s="38" t="n">
        <f aca="false">Sens!$M$1212</f>
        <v>23.5727480393346</v>
      </c>
    </row>
    <row r="1175" customFormat="false" ht="17.15" hidden="false" customHeight="false" outlineLevel="0" collapsed="false">
      <c r="A1175" s="5" t="s">
        <v>747</v>
      </c>
      <c r="B1175" s="0" t="s">
        <v>86</v>
      </c>
      <c r="C1175" s="38" t="n">
        <f aca="false">Q!$D$39</f>
        <v>2.427</v>
      </c>
      <c r="D1175" s="38" t="n">
        <f aca="false">Q!$E$39</f>
        <v>19.61</v>
      </c>
      <c r="E1175" s="38" t="n">
        <f aca="false">Q!$P$39</f>
        <v>71.492</v>
      </c>
      <c r="F1175" s="39" t="n">
        <v>0</v>
      </c>
      <c r="G1175" s="38" t="n">
        <f aca="false">Sens!$E$1175+Sens!$F$1175</f>
        <v>71.492</v>
      </c>
      <c r="H1175" s="39" t="n">
        <v>0</v>
      </c>
      <c r="I1175" s="39" t="n">
        <v>0</v>
      </c>
      <c r="J1175" s="39" t="n">
        <v>0</v>
      </c>
      <c r="K1175" s="39" t="n">
        <v>0</v>
      </c>
      <c r="L1175" s="39" t="n">
        <v>0</v>
      </c>
      <c r="M1175" s="39" t="n">
        <v>0</v>
      </c>
      <c r="N1175" s="38" t="n">
        <f aca="false">Q!$N$39</f>
        <v>6.017</v>
      </c>
      <c r="O1175" s="38" t="n">
        <f aca="false">Q!$O$39</f>
        <v>13.593</v>
      </c>
      <c r="P1175" s="5" t="s">
        <v>748</v>
      </c>
    </row>
    <row r="1176" customFormat="false" ht="15" hidden="false" customHeight="false" outlineLevel="0" collapsed="false">
      <c r="A1176" s="5" t="s">
        <v>544</v>
      </c>
      <c r="B1176" s="0" t="s">
        <v>86</v>
      </c>
      <c r="C1176" s="38" t="n">
        <f aca="false">Q!$D$36</f>
        <v>68.614</v>
      </c>
      <c r="D1176" s="38" t="n">
        <f aca="false">Q!$E$36</f>
        <v>97.311</v>
      </c>
      <c r="E1176" s="38" t="n">
        <f aca="false">Q!$P$36</f>
        <v>120.691</v>
      </c>
      <c r="F1176" s="38" t="n">
        <f aca="false">Sens!$F$1152-Sens!$F$1173+Sens!$F$1174+Sens!$F$1175</f>
        <v>55.2779291330432</v>
      </c>
      <c r="G1176" s="38" t="n">
        <f aca="false">Sens!$E$1176+Sens!$F$1176</f>
        <v>175.968929133043</v>
      </c>
      <c r="H1176" s="38" t="n">
        <f aca="false">Sens!$H$1152-Sens!$H$1173+Sens!$H$1174+Sens!$H$1175</f>
        <v>125.638342997206</v>
      </c>
      <c r="I1176" s="38" t="n">
        <f aca="false">Sens!$I$1152-Sens!$I$1173+Sens!$I$1174+Sens!$I$1175</f>
        <v>152.880378437663</v>
      </c>
      <c r="J1176" s="38" t="n">
        <f aca="false">Sens!$J$1152-Sens!$J$1173+Sens!$J$1174+Sens!$J$1175</f>
        <v>180.581609253723</v>
      </c>
      <c r="K1176" s="38" t="n">
        <f aca="false">Sens!$K$1152-Sens!$K$1173+Sens!$K$1174+Sens!$K$1175</f>
        <v>203.176997071897</v>
      </c>
      <c r="L1176" s="38" t="n">
        <f aca="false">Sens!$L$1152-Sens!$L$1173+Sens!$L$1174+Sens!$L$1175</f>
        <v>228.295107096922</v>
      </c>
      <c r="M1176" s="38" t="n">
        <f aca="false">Sens!$M$1152-Sens!$M$1173+Sens!$M$1174+Sens!$M$1175</f>
        <v>254.519844098269</v>
      </c>
      <c r="N1176" s="38" t="n">
        <f aca="false">Q!$N$36</f>
        <v>42.536</v>
      </c>
      <c r="O1176" s="38" t="n">
        <f aca="false">Q!$O$36</f>
        <v>54.775</v>
      </c>
    </row>
    <row r="1177" customFormat="false" ht="15" hidden="false" customHeight="false" outlineLevel="0" collapsed="false">
      <c r="A1177" s="5" t="s">
        <v>545</v>
      </c>
      <c r="B1177" s="0" t="s">
        <v>86</v>
      </c>
      <c r="C1177" s="38" t="n">
        <f aca="false">Q!$D$37</f>
        <v>9.265</v>
      </c>
      <c r="D1177" s="38" t="n">
        <f aca="false">Q!$E$37</f>
        <v>19.087</v>
      </c>
      <c r="E1177" s="38" t="n">
        <f aca="false">Q!$P$37</f>
        <v>27.759</v>
      </c>
      <c r="F1177" s="38" t="n">
        <f aca="false">Sens!$F$1176*tax</f>
        <v>9.59539316114992</v>
      </c>
      <c r="G1177" s="38" t="n">
        <f aca="false">Sens!$E$1177+Sens!$F$1177</f>
        <v>37.3543931611499</v>
      </c>
      <c r="H1177" s="38" t="n">
        <f aca="false">Sens!$H$1176*tax</f>
        <v>21.8088722946201</v>
      </c>
      <c r="I1177" s="38" t="n">
        <f aca="false">Sens!$I$1176*tax</f>
        <v>26.5376681207449</v>
      </c>
      <c r="J1177" s="38" t="n">
        <f aca="false">Sens!$J$1176*tax</f>
        <v>31.3461731587705</v>
      </c>
      <c r="K1177" s="38" t="n">
        <f aca="false">Sens!$K$1176*tax</f>
        <v>35.2683828570068</v>
      </c>
      <c r="L1177" s="38" t="n">
        <f aca="false">Sens!$L$1176*tax</f>
        <v>39.6284980953155</v>
      </c>
      <c r="M1177" s="38" t="n">
        <f aca="false">Sens!$M$1176*tax</f>
        <v>44.1807066534552</v>
      </c>
      <c r="N1177" s="38" t="n">
        <f aca="false">Q!$N$37</f>
        <v>7.231</v>
      </c>
      <c r="O1177" s="38" t="n">
        <f aca="false">Q!$O$37</f>
        <v>11.856</v>
      </c>
    </row>
    <row r="1178" customFormat="false" ht="15" hidden="false" customHeight="false" outlineLevel="0" collapsed="false">
      <c r="A1178" s="3" t="s">
        <v>546</v>
      </c>
      <c r="B1178" s="8" t="s">
        <v>86</v>
      </c>
      <c r="C1178" s="38" t="n">
        <f aca="false">Q!$D$38</f>
        <v>59.248</v>
      </c>
      <c r="D1178" s="38" t="n">
        <f aca="false">Q!$E$38</f>
        <v>77.67</v>
      </c>
      <c r="E1178" s="38" t="n">
        <f aca="false">Q!$P$38</f>
        <v>92.902</v>
      </c>
      <c r="F1178" s="38" t="n">
        <f aca="false">Sens!$F$1176-Sens!$F$1177</f>
        <v>45.6825359718933</v>
      </c>
      <c r="G1178" s="38" t="n">
        <f aca="false">Sens!$E$1178+Sens!$F$1178</f>
        <v>138.584535971893</v>
      </c>
      <c r="H1178" s="38" t="n">
        <f aca="false">Sens!$H$1176-Sens!$H$1177</f>
        <v>103.829470702586</v>
      </c>
      <c r="I1178" s="38" t="n">
        <f aca="false">Sens!$I$1176-Sens!$I$1177</f>
        <v>126.342710316918</v>
      </c>
      <c r="J1178" s="38" t="n">
        <f aca="false">Sens!$J$1176-Sens!$J$1177</f>
        <v>149.235436094952</v>
      </c>
      <c r="K1178" s="38" t="n">
        <f aca="false">Sens!$K$1176-Sens!$K$1177</f>
        <v>167.90861421489</v>
      </c>
      <c r="L1178" s="38" t="n">
        <f aca="false">Sens!$L$1176-Sens!$L$1177</f>
        <v>188.666609001606</v>
      </c>
      <c r="M1178" s="38" t="n">
        <f aca="false">Sens!$M$1176-Sens!$M$1177</f>
        <v>210.339137444813</v>
      </c>
      <c r="N1178" s="38" t="n">
        <f aca="false">Q!$N$38</f>
        <v>35.291</v>
      </c>
      <c r="O1178" s="38" t="n">
        <f aca="false">Q!$O$38</f>
        <v>42.379</v>
      </c>
    </row>
    <row r="1179" customFormat="false" ht="17.15" hidden="false" customHeight="false" outlineLevel="0" collapsed="false">
      <c r="A1179" s="5" t="s">
        <v>549</v>
      </c>
      <c r="B1179" s="5" t="s">
        <v>33</v>
      </c>
      <c r="C1179" s="22" t="n">
        <f aca="false">Q!$D$41</f>
        <v>10.721</v>
      </c>
      <c r="D1179" s="22" t="n">
        <f aca="false">Q!$E$41</f>
        <v>10.827</v>
      </c>
      <c r="E1179" s="22" t="n">
        <f aca="false">(Q!$L$41+Q!$M$41)/2</f>
        <v>10.8885</v>
      </c>
      <c r="F1179" s="22" t="n">
        <f aca="false">Sens!$G$1179</f>
        <v>10.924806</v>
      </c>
      <c r="G1179" s="22" t="n">
        <f aca="false">Q!$M$41*(1+sh_g*0.25)</f>
        <v>10.924806</v>
      </c>
      <c r="H1179" s="22" t="n">
        <f aca="false">Sens!$G$1179*(1+sh_g)</f>
        <v>11.012204448</v>
      </c>
      <c r="I1179" s="22" t="n">
        <f aca="false">Sens!$H$1179*(1+sh_g)</f>
        <v>11.100302083584</v>
      </c>
      <c r="J1179" s="22" t="n">
        <f aca="false">Sens!$I$1179*(1+sh_g)</f>
        <v>11.1891045002527</v>
      </c>
      <c r="K1179" s="22" t="n">
        <f aca="false">Sens!$J$1179*(1+sh_g)</f>
        <v>11.2786173362547</v>
      </c>
      <c r="L1179" s="22" t="n">
        <f aca="false">Sens!$K$1179*(1+sh_g)</f>
        <v>11.3688462749447</v>
      </c>
      <c r="M1179" s="22" t="n">
        <f aca="false">Sens!$L$1179*(1+sh_g)</f>
        <v>11.4597970451443</v>
      </c>
      <c r="P1179" s="5" t="s">
        <v>749</v>
      </c>
    </row>
    <row r="1180" customFormat="false" ht="17.15" hidden="false" customHeight="false" outlineLevel="0" collapsed="false">
      <c r="A1180" s="5" t="s">
        <v>750</v>
      </c>
      <c r="B1180" s="0" t="s">
        <v>86</v>
      </c>
      <c r="C1180" s="38" t="n">
        <f aca="false">Sens!$C$1178+Sens!$C$1154*(1-tax)</f>
        <v>59.248</v>
      </c>
      <c r="D1180" s="38" t="n">
        <f aca="false">Sens!$D$1178+Sens!$D$1154*(1-tax)</f>
        <v>77.67</v>
      </c>
      <c r="E1180" s="38" t="n">
        <f aca="false">Sens!$E$1178+Sens!$E$1154*(1-tax)</f>
        <v>92.902</v>
      </c>
      <c r="F1180" s="38" t="n">
        <f aca="false">Sens!$F$1178+Sens!$F$1154*(1-tax)</f>
        <v>45.6825359718933</v>
      </c>
      <c r="G1180" s="38" t="n">
        <f aca="false">Sens!$G$1178+Sens!$G$1154*(1-tax)</f>
        <v>138.584535971893</v>
      </c>
      <c r="H1180" s="38" t="n">
        <f aca="false">Sens!$H$1178+Sens!$H$1154*(1-tax)</f>
        <v>103.829470702586</v>
      </c>
      <c r="I1180" s="38" t="n">
        <f aca="false">Sens!$I$1178+Sens!$I$1154*(1-tax)</f>
        <v>126.342710316918</v>
      </c>
      <c r="J1180" s="38" t="n">
        <f aca="false">Sens!$J$1178+Sens!$J$1154*(1-tax)</f>
        <v>149.235436094952</v>
      </c>
      <c r="K1180" s="38" t="n">
        <f aca="false">Sens!$K$1178+Sens!$K$1154*(1-tax)</f>
        <v>167.90861421489</v>
      </c>
      <c r="L1180" s="38" t="n">
        <f aca="false">Sens!$L$1178+Sens!$L$1154*(1-tax)</f>
        <v>188.666609001606</v>
      </c>
      <c r="M1180" s="38" t="n">
        <f aca="false">Sens!$M$1178+Sens!$M$1154*(1-tax)</f>
        <v>210.339137444813</v>
      </c>
      <c r="N1180" s="38" t="n">
        <f aca="false">Sens!$N$1178+Sens!$N$1154*(1-tax)</f>
        <v>35.291</v>
      </c>
      <c r="O1180" s="38" t="n">
        <f aca="false">Sens!$O$1178+Sens!$O$1154*(1-tax)</f>
        <v>42.379</v>
      </c>
    </row>
    <row r="1181" customFormat="false" ht="17.15" hidden="false" customHeight="false" outlineLevel="0" collapsed="false">
      <c r="A1181" s="43" t="s">
        <v>751</v>
      </c>
      <c r="B1181" s="14" t="s">
        <v>27</v>
      </c>
      <c r="C1181" s="44" t="n">
        <f aca="false">Sens!$C$1180/Sens!$C$1179</f>
        <v>5.52635015390355</v>
      </c>
      <c r="D1181" s="44" t="n">
        <f aca="false">Sens!$D$1180/Sens!$D$1179</f>
        <v>7.1737323358271</v>
      </c>
      <c r="E1181" s="44" t="n">
        <f aca="false">Sens!$E$1180/Sens!$E$1179</f>
        <v>8.53212104513937</v>
      </c>
      <c r="F1181" s="14"/>
      <c r="G1181" s="44" t="n">
        <f aca="false">Sens!$G$1180/Sens!$G$1179</f>
        <v>12.6853086427249</v>
      </c>
      <c r="H1181" s="44" t="n">
        <f aca="false">Sens!$H$1180/Sens!$H$1179</f>
        <v>9.42858182418174</v>
      </c>
      <c r="I1181" s="44" t="n">
        <f aca="false">Sens!$I$1180/Sens!$I$1179</f>
        <v>11.3819163988125</v>
      </c>
      <c r="J1181" s="44" t="n">
        <f aca="false">Sens!$J$1180/Sens!$J$1179</f>
        <v>13.3375674605222</v>
      </c>
      <c r="K1181" s="44" t="n">
        <f aca="false">Sens!$K$1180/Sens!$K$1179</f>
        <v>14.887340283738</v>
      </c>
      <c r="L1181" s="44" t="n">
        <f aca="false">Sens!$L$1180/Sens!$L$1179</f>
        <v>16.5950532216624</v>
      </c>
      <c r="M1181" s="44" t="n">
        <f aca="false">Sens!$M$1180/Sens!$M$1179</f>
        <v>18.3545255309681</v>
      </c>
      <c r="N1181" s="14"/>
      <c r="O1181" s="14"/>
    </row>
    <row r="1182" customFormat="false" ht="17.15" hidden="false" customHeight="false" outlineLevel="0" collapsed="false">
      <c r="A1182" s="0" t="s">
        <v>752</v>
      </c>
      <c r="B1182" s="0" t="s">
        <v>27</v>
      </c>
      <c r="C1182" s="30" t="n">
        <f aca="false">Sens!$C$1178/Sens!$C$1179</f>
        <v>5.52635015390355</v>
      </c>
      <c r="D1182" s="30" t="n">
        <f aca="false">Sens!$D$1178/Sens!$D$1179</f>
        <v>7.1737323358271</v>
      </c>
      <c r="E1182" s="30" t="n">
        <f aca="false">Sens!$E$1178/Sens!$E$1179</f>
        <v>8.53212104513937</v>
      </c>
      <c r="G1182" s="30" t="n">
        <f aca="false">Sens!$G$1178/Sens!$G$1179</f>
        <v>12.6853086427249</v>
      </c>
      <c r="H1182" s="30" t="n">
        <f aca="false">Sens!$H$1178/Sens!$H$1179</f>
        <v>9.42858182418174</v>
      </c>
      <c r="I1182" s="30" t="n">
        <f aca="false">Sens!$I$1178/Sens!$I$1179</f>
        <v>11.3819163988125</v>
      </c>
      <c r="J1182" s="30" t="n">
        <f aca="false">Sens!$J$1178/Sens!$J$1179</f>
        <v>13.3375674605222</v>
      </c>
      <c r="K1182" s="30" t="n">
        <f aca="false">Sens!$K$1178/Sens!$K$1179</f>
        <v>14.887340283738</v>
      </c>
      <c r="L1182" s="30" t="n">
        <f aca="false">Sens!$L$1178/Sens!$L$1179</f>
        <v>16.5950532216624</v>
      </c>
      <c r="M1182" s="30" t="n">
        <f aca="false">Sens!$M$1178/Sens!$M$1179</f>
        <v>18.3545255309681</v>
      </c>
    </row>
    <row r="1183" customFormat="false" ht="17.15" hidden="false" customHeight="false" outlineLevel="0" collapsed="false">
      <c r="A1183" s="0" t="s">
        <v>753</v>
      </c>
      <c r="B1183" s="0" t="s">
        <v>27</v>
      </c>
      <c r="C1183" s="30" t="n">
        <f aca="false">(Sens!$C$1178-Sens!$C$1175*(1-tax))/Sens!$C$1179</f>
        <v>5.33926775917445</v>
      </c>
      <c r="D1183" s="30" t="n">
        <f aca="false">(Sens!$D$1178-Sens!$D$1175*(1-tax))/Sens!$D$1179</f>
        <v>5.67691812755503</v>
      </c>
      <c r="E1183" s="30" t="n">
        <f aca="false">(Sens!$E$1178-Sens!$E$1175*(1-tax))/Sens!$E$1179</f>
        <v>3.10602057006846</v>
      </c>
      <c r="G1183" s="30" t="n">
        <f aca="false">(Sens!$G$1178-Sens!$G$1175*(1-tax))/Sens!$G$1179</f>
        <v>7.27724052482796</v>
      </c>
      <c r="H1183" s="30" t="n">
        <f aca="false">(Sens!$H$1178-Sens!$H$1175*(1-tax))/Sens!$H$1179</f>
        <v>9.42858182418174</v>
      </c>
      <c r="I1183" s="30" t="n">
        <f aca="false">(Sens!$I$1178-Sens!$I$1175*(1-tax))/Sens!$I$1179</f>
        <v>11.3819163988125</v>
      </c>
      <c r="J1183" s="30" t="n">
        <f aca="false">(Sens!$J$1178-Sens!$J$1175*(1-tax))/Sens!$J$1179</f>
        <v>13.3375674605222</v>
      </c>
      <c r="K1183" s="30" t="n">
        <f aca="false">(Sens!$K$1178-Sens!$K$1175*(1-tax))/Sens!$K$1179</f>
        <v>14.887340283738</v>
      </c>
      <c r="L1183" s="30" t="n">
        <f aca="false">(Sens!$L$1178-Sens!$L$1175*(1-tax))/Sens!$L$1179</f>
        <v>16.5950532216624</v>
      </c>
      <c r="M1183" s="30" t="n">
        <f aca="false">(Sens!$M$1178-Sens!$M$1175*(1-tax))/Sens!$M$1179</f>
        <v>18.3545255309681</v>
      </c>
      <c r="P1183" s="5" t="s">
        <v>754</v>
      </c>
    </row>
    <row r="1184" customFormat="false" ht="17.15" hidden="false" customHeight="false" outlineLevel="0" collapsed="false">
      <c r="A1184" s="0" t="s">
        <v>755</v>
      </c>
      <c r="B1184" s="0" t="s">
        <v>52</v>
      </c>
      <c r="H1184" s="13" t="n">
        <f aca="false">Sens!$H$1181/Sens!$G$1181-1</f>
        <v>-0.256732170281954</v>
      </c>
      <c r="I1184" s="13" t="n">
        <f aca="false">Sens!$I$1181/Sens!$H$1181-1</f>
        <v>0.207171620404355</v>
      </c>
      <c r="J1184" s="13" t="n">
        <f aca="false">Sens!$J$1181/Sens!$I$1181-1</f>
        <v>0.171820894934148</v>
      </c>
      <c r="K1184" s="13" t="n">
        <f aca="false">Sens!$K$1181/Sens!$J$1181-1</f>
        <v>0.116196062573104</v>
      </c>
      <c r="L1184" s="13" t="n">
        <f aca="false">Sens!$L$1181/Sens!$K$1181-1</f>
        <v>0.114709068603061</v>
      </c>
      <c r="M1184" s="13" t="n">
        <f aca="false">Sens!$M$1181/Sens!$L$1181-1</f>
        <v>0.106023902774168</v>
      </c>
    </row>
    <row r="1187" customFormat="false" ht="19.4" hidden="false" customHeight="false" outlineLevel="0" collapsed="false">
      <c r="A1187" s="31" t="s">
        <v>1150</v>
      </c>
    </row>
    <row r="1188" customFormat="false" ht="17.15" hidden="false" customHeight="false" outlineLevel="0" collapsed="false">
      <c r="A1188" s="6" t="s">
        <v>16</v>
      </c>
      <c r="B1188" s="6" t="s">
        <v>17</v>
      </c>
      <c r="C1188" s="20" t="s">
        <v>494</v>
      </c>
      <c r="D1188" s="20" t="s">
        <v>495</v>
      </c>
      <c r="E1188" s="20" t="s">
        <v>577</v>
      </c>
      <c r="F1188" s="20" t="s">
        <v>578</v>
      </c>
      <c r="G1188" s="20" t="s">
        <v>579</v>
      </c>
      <c r="H1188" s="20" t="s">
        <v>580</v>
      </c>
      <c r="I1188" s="20" t="s">
        <v>581</v>
      </c>
      <c r="J1188" s="20" t="s">
        <v>582</v>
      </c>
      <c r="K1188" s="20" t="s">
        <v>583</v>
      </c>
      <c r="L1188" s="20" t="s">
        <v>584</v>
      </c>
      <c r="M1188" s="20" t="s">
        <v>585</v>
      </c>
      <c r="N1188" s="20" t="s">
        <v>586</v>
      </c>
      <c r="O1188" s="20" t="s">
        <v>587</v>
      </c>
      <c r="P1188" s="6" t="s">
        <v>23</v>
      </c>
      <c r="R1188" s="20" t="n">
        <v>2023</v>
      </c>
      <c r="S1188" s="20" t="n">
        <v>2024</v>
      </c>
      <c r="T1188" s="20" t="n">
        <v>2025</v>
      </c>
      <c r="U1188" s="20" t="n">
        <v>2026</v>
      </c>
      <c r="V1188" s="20" t="n">
        <v>2027</v>
      </c>
      <c r="W1188" s="20" t="n">
        <v>2028</v>
      </c>
      <c r="X1188" s="20" t="n">
        <v>2029</v>
      </c>
      <c r="Y1188" s="20" t="n">
        <v>2030</v>
      </c>
      <c r="Z1188" s="20" t="n">
        <v>2031</v>
      </c>
      <c r="AA1188" s="20" t="n">
        <v>2032</v>
      </c>
    </row>
    <row r="1189" customFormat="false" ht="15" hidden="false" customHeight="false" outlineLevel="0" collapsed="false">
      <c r="A1189" s="5" t="s">
        <v>546</v>
      </c>
      <c r="B1189" s="0" t="s">
        <v>86</v>
      </c>
      <c r="C1189" s="38" t="n">
        <f aca="false">Sens!$C$1178</f>
        <v>59.248</v>
      </c>
      <c r="D1189" s="38" t="n">
        <f aca="false">Sens!$D$1178</f>
        <v>77.67</v>
      </c>
      <c r="E1189" s="38" t="n">
        <f aca="false">Sens!$E$1178</f>
        <v>92.902</v>
      </c>
      <c r="F1189" s="38" t="n">
        <f aca="false">Sens!$F$1178</f>
        <v>45.6825359718933</v>
      </c>
      <c r="G1189" s="38" t="n">
        <f aca="false">Sens!$G$1178</f>
        <v>138.584535971893</v>
      </c>
      <c r="H1189" s="38" t="n">
        <f aca="false">Sens!$H$1178</f>
        <v>103.829470702586</v>
      </c>
      <c r="I1189" s="38" t="n">
        <f aca="false">Sens!$I$1178</f>
        <v>126.342710316918</v>
      </c>
      <c r="J1189" s="38" t="n">
        <f aca="false">Sens!$J$1178</f>
        <v>149.235436094952</v>
      </c>
      <c r="K1189" s="38" t="n">
        <f aca="false">Sens!$K$1178</f>
        <v>167.90861421489</v>
      </c>
      <c r="L1189" s="38" t="n">
        <f aca="false">Sens!$L$1178</f>
        <v>188.666609001606</v>
      </c>
      <c r="M1189" s="38" t="n">
        <f aca="false">Sens!$M$1178</f>
        <v>210.339137444813</v>
      </c>
    </row>
    <row r="1190" customFormat="false" ht="17.15" hidden="false" customHeight="false" outlineLevel="0" collapsed="false">
      <c r="A1190" s="5" t="s">
        <v>778</v>
      </c>
      <c r="B1190" s="0" t="s">
        <v>86</v>
      </c>
      <c r="C1190" s="38" t="n">
        <f aca="false">Sens!$C$1166</f>
        <v>32.067</v>
      </c>
      <c r="D1190" s="38" t="n">
        <f aca="false">Sens!$D$1166</f>
        <v>41.86</v>
      </c>
      <c r="E1190" s="38" t="n">
        <f aca="false">Sens!$E$1166</f>
        <v>26.703</v>
      </c>
      <c r="F1190" s="38" t="n">
        <f aca="false">Sens!$F$1166</f>
        <v>29.2880193002221</v>
      </c>
      <c r="G1190" s="38" t="n">
        <f aca="false">Sens!$G$1166</f>
        <v>55.9910193002221</v>
      </c>
      <c r="H1190" s="38" t="n">
        <f aca="false">Sens!$H$1166</f>
        <v>83.1874921068988</v>
      </c>
      <c r="I1190" s="38" t="n">
        <f aca="false">Sens!$I$1166</f>
        <v>110.342766547452</v>
      </c>
      <c r="J1190" s="38" t="n">
        <f aca="false">Sens!$J$1166</f>
        <v>138.028700568372</v>
      </c>
      <c r="K1190" s="38" t="n">
        <f aca="false">Sens!$K$1166</f>
        <v>165.769439593499</v>
      </c>
      <c r="L1190" s="38" t="n">
        <f aca="false">Sens!$L$1166</f>
        <v>184.905920145768</v>
      </c>
      <c r="M1190" s="38" t="n">
        <f aca="false">Sens!$M$1166</f>
        <v>197.153705060786</v>
      </c>
    </row>
    <row r="1191" customFormat="false" ht="15" hidden="false" customHeight="false" outlineLevel="0" collapsed="false">
      <c r="A1191" s="5" t="s">
        <v>779</v>
      </c>
      <c r="B1191" s="0" t="s">
        <v>86</v>
      </c>
      <c r="C1191" s="38" t="n">
        <f aca="false">Q!$D$48</f>
        <v>22.011</v>
      </c>
      <c r="D1191" s="38" t="n">
        <f aca="false">Q!$E$48</f>
        <v>19.467</v>
      </c>
      <c r="E1191" s="38" t="n">
        <f aca="false">Q!$P$48</f>
        <v>10.07</v>
      </c>
      <c r="F1191" s="38" t="n">
        <f aca="false">sbc_r*Sens!$F$1108</f>
        <v>10.8507035798037</v>
      </c>
      <c r="G1191" s="38" t="n">
        <f aca="false">Sens!$E$1191+Sens!$F$1191</f>
        <v>20.9207035798037</v>
      </c>
      <c r="H1191" s="38" t="n">
        <f aca="false">sbc_r*Sens!$H$1108</f>
        <v>23.46224366345</v>
      </c>
      <c r="I1191" s="38" t="n">
        <f aca="false">sbc_r*Sens!$I$1108</f>
        <v>26.6125957111676</v>
      </c>
      <c r="J1191" s="38" t="n">
        <f aca="false">sbc_r*Sens!$J$1108</f>
        <v>29.6280801413323</v>
      </c>
      <c r="K1191" s="38" t="n">
        <f aca="false">sbc_r*Sens!$K$1108</f>
        <v>32.2712258901105</v>
      </c>
      <c r="L1191" s="38" t="n">
        <f aca="false">sbc_r*Sens!$L$1108</f>
        <v>34.7390505016737</v>
      </c>
      <c r="M1191" s="38" t="n">
        <f aca="false">sbc_r*Sens!$M$1108</f>
        <v>37.0405146906692</v>
      </c>
    </row>
    <row r="1192" customFormat="false" ht="17.15" hidden="false" customHeight="false" outlineLevel="0" collapsed="false">
      <c r="A1192" s="5" t="s">
        <v>780</v>
      </c>
      <c r="B1192" s="0" t="s">
        <v>86</v>
      </c>
      <c r="C1192" s="38" t="n">
        <f aca="false">Q!$D$44-Sens!$C$1189-Sens!$C$1190-Sens!$C$1191</f>
        <v>2.551</v>
      </c>
      <c r="D1192" s="38" t="n">
        <f aca="false">Q!$E$44-Sens!$D$1189-Sens!$D$1190-Sens!$D$1191</f>
        <v>0.51700000000001</v>
      </c>
      <c r="E1192" s="38" t="n">
        <f aca="false">Q!$P$44-Sens!$E$1189-Sens!$E$1190-Sens!$E$1191</f>
        <v>-58.256</v>
      </c>
      <c r="F1192" s="38" t="n">
        <f aca="false">oth_r*Sens!$F$1108</f>
        <v>5.22265251035878</v>
      </c>
      <c r="G1192" s="38" t="n">
        <f aca="false">Sens!$E$1192+Sens!$F$1192</f>
        <v>-53.0333474896412</v>
      </c>
      <c r="H1192" s="38" t="n">
        <f aca="false">oth_r*Sens!$H$1108</f>
        <v>11.2928295263397</v>
      </c>
      <c r="I1192" s="38" t="n">
        <f aca="false">oth_r*Sens!$I$1108</f>
        <v>12.8091546115766</v>
      </c>
      <c r="J1192" s="38" t="n">
        <f aca="false">oth_r*Sens!$J$1108</f>
        <v>14.2605653162668</v>
      </c>
      <c r="K1192" s="38" t="n">
        <f aca="false">oth_r*Sens!$K$1108</f>
        <v>15.5327622460396</v>
      </c>
      <c r="L1192" s="38" t="n">
        <f aca="false">oth_r*Sens!$L$1108</f>
        <v>16.720573737517</v>
      </c>
      <c r="M1192" s="38" t="n">
        <f aca="false">oth_r*Sens!$M$1108</f>
        <v>17.8283127551536</v>
      </c>
      <c r="P1192" s="8" t="s">
        <v>781</v>
      </c>
    </row>
    <row r="1193" customFormat="false" ht="15" hidden="false" customHeight="false" outlineLevel="0" collapsed="false">
      <c r="A1193" s="3" t="s">
        <v>552</v>
      </c>
      <c r="B1193" s="8" t="s">
        <v>86</v>
      </c>
      <c r="C1193" s="38" t="n">
        <f aca="false">Q!$D$44</f>
        <v>115.877</v>
      </c>
      <c r="D1193" s="38" t="n">
        <f aca="false">Q!$E$44</f>
        <v>139.514</v>
      </c>
      <c r="E1193" s="38" t="n">
        <f aca="false">Q!$P$44</f>
        <v>71.419</v>
      </c>
      <c r="F1193" s="38" t="n">
        <f aca="false">Sens!$F$1189+Sens!$F$1190+Sens!$F$1191+Sens!$F$1192</f>
        <v>91.0439113622779</v>
      </c>
      <c r="G1193" s="38" t="n">
        <f aca="false">Sens!$E$1193+Sens!$F$1193</f>
        <v>162.462911362278</v>
      </c>
      <c r="H1193" s="38" t="n">
        <f aca="false">Sens!$H$1189+Sens!$H$1190+Sens!$H$1191+Sens!$H$1192</f>
        <v>221.772035999275</v>
      </c>
      <c r="I1193" s="38" t="n">
        <f aca="false">Sens!$I$1189+Sens!$I$1190+Sens!$I$1191+Sens!$I$1192</f>
        <v>276.107227187114</v>
      </c>
      <c r="J1193" s="38" t="n">
        <f aca="false">Sens!$J$1189+Sens!$J$1190+Sens!$J$1191+Sens!$J$1192</f>
        <v>331.152782120923</v>
      </c>
      <c r="K1193" s="38" t="n">
        <f aca="false">Sens!$K$1189+Sens!$K$1190+Sens!$K$1191+Sens!$K$1192</f>
        <v>381.482041944539</v>
      </c>
      <c r="L1193" s="38" t="n">
        <f aca="false">Sens!$L$1189+Sens!$L$1190+Sens!$L$1191+Sens!$L$1192</f>
        <v>425.032153386565</v>
      </c>
      <c r="M1193" s="38" t="n">
        <f aca="false">Sens!$M$1189+Sens!$M$1190+Sens!$M$1191+Sens!$M$1192</f>
        <v>462.361669951422</v>
      </c>
    </row>
    <row r="1194" customFormat="false" ht="17.15" hidden="false" customHeight="false" outlineLevel="0" collapsed="false">
      <c r="A1194" s="5" t="s">
        <v>782</v>
      </c>
      <c r="B1194" s="0" t="s">
        <v>86</v>
      </c>
      <c r="C1194" s="38" t="n">
        <f aca="false">Sens!$C$1077</f>
        <v>25.2781053077374</v>
      </c>
      <c r="D1194" s="38" t="n">
        <f aca="false">Sens!$D$1077</f>
        <v>69.5686316310026</v>
      </c>
      <c r="E1194" s="38" t="n">
        <f aca="false">Sens!$E$1077</f>
        <v>64.1899206485108</v>
      </c>
      <c r="F1194" s="38" t="n">
        <f aca="false">Sens!$F$1077</f>
        <v>88.7165504612134</v>
      </c>
      <c r="G1194" s="38" t="n">
        <f aca="false">Sens!$G$1077</f>
        <v>152.906471109724</v>
      </c>
      <c r="H1194" s="38" t="n">
        <f aca="false">Sens!$H$1077</f>
        <v>158.8570919558</v>
      </c>
      <c r="I1194" s="38" t="n">
        <f aca="false">Sens!$I$1077</f>
        <v>163.7171759284</v>
      </c>
      <c r="J1194" s="38" t="n">
        <f aca="false">Sens!$J$1077</f>
        <v>167.9065904884</v>
      </c>
      <c r="K1194" s="38" t="n">
        <f aca="false">Sens!$K$1077</f>
        <v>124.190708220161</v>
      </c>
      <c r="L1194" s="38" t="n">
        <f aca="false">Sens!$L$1077</f>
        <v>105.611313311921</v>
      </c>
      <c r="M1194" s="38" t="n">
        <f aca="false">Sens!$M$1077</f>
        <v>105.784785327882</v>
      </c>
    </row>
    <row r="1195" customFormat="false" ht="17.15" hidden="false" customHeight="false" outlineLevel="0" collapsed="false">
      <c r="A1195" s="5" t="s">
        <v>783</v>
      </c>
      <c r="B1195" s="0" t="s">
        <v>86</v>
      </c>
      <c r="C1195" s="38" t="n">
        <f aca="false">cx_awso*Sens!$C$1106</f>
        <v>21.0469989286053</v>
      </c>
      <c r="D1195" s="38" t="n">
        <f aca="false">cx_awso*Sens!$D$1106</f>
        <v>24.0042459822698</v>
      </c>
      <c r="E1195" s="38" t="n">
        <f aca="false">cx_awso*Sens!$E$1106</f>
        <v>14.261729404886</v>
      </c>
      <c r="F1195" s="38" t="n">
        <f aca="false">cx_awso*Sens!$F$1106</f>
        <v>14.3538599588493</v>
      </c>
      <c r="G1195" s="38" t="n">
        <f aca="false">Sens!$E$1195+Sens!$F$1195</f>
        <v>28.6155893637353</v>
      </c>
      <c r="H1195" s="38" t="n">
        <f aca="false">cx_awso*Sens!$H$1106</f>
        <v>32.2034154158406</v>
      </c>
      <c r="I1195" s="38" t="n">
        <f aca="false">cx_awso*Sens!$I$1106</f>
        <v>35.7539519042915</v>
      </c>
      <c r="J1195" s="38" t="n">
        <f aca="false">cx_awso*Sens!$J$1106</f>
        <v>39.1551076091815</v>
      </c>
      <c r="K1195" s="38" t="n">
        <f aca="false">cx_awso*Sens!$K$1106</f>
        <v>42.287516217916</v>
      </c>
      <c r="L1195" s="38" t="n">
        <f aca="false">cx_awso*Sens!$L$1106</f>
        <v>45.6705175153492</v>
      </c>
      <c r="M1195" s="38" t="n">
        <f aca="false">cx_awso*Sens!$M$1106</f>
        <v>49.3241589165772</v>
      </c>
    </row>
    <row r="1196" customFormat="false" ht="17.15" hidden="false" customHeight="false" outlineLevel="0" collapsed="false">
      <c r="A1196" s="5" t="s">
        <v>784</v>
      </c>
      <c r="B1196" s="0" t="s">
        <v>86</v>
      </c>
      <c r="C1196" s="38" t="n">
        <f aca="false">Q!$D$46-Sens!$C$1194-Sens!$C$1195</f>
        <v>31.3328957636573</v>
      </c>
      <c r="D1196" s="38" t="n">
        <f aca="false">Q!$E$46-Sens!$D$1194-Sens!$D$1195</f>
        <v>34.7471223867276</v>
      </c>
      <c r="E1196" s="38" t="n">
        <f aca="false">Q!$P$46-Sens!$E$1194-Sens!$E$1195</f>
        <v>17.8583499466032</v>
      </c>
      <c r="F1196" s="38" t="n">
        <f aca="false">cx_rt*Sens!$F$1040</f>
        <v>20.6195895799373</v>
      </c>
      <c r="G1196" s="38" t="n">
        <f aca="false">Sens!$E$1196+Sens!$F$1196</f>
        <v>38.4779395265405</v>
      </c>
      <c r="H1196" s="38" t="n">
        <f aca="false">cx_rt*Sens!$H$1040</f>
        <v>42.5978994743075</v>
      </c>
      <c r="I1196" s="38" t="n">
        <f aca="false">cx_rt*Sens!$I$1040</f>
        <v>46.5813904136335</v>
      </c>
      <c r="J1196" s="38" t="n">
        <f aca="false">cx_rt*Sens!$J$1040</f>
        <v>50.2781676586844</v>
      </c>
      <c r="K1196" s="38" t="n">
        <f aca="false">cx_rt*Sens!$K$1040</f>
        <v>53.5312440191755</v>
      </c>
      <c r="L1196" s="38" t="n">
        <f aca="false">cx_rt*Sens!$L$1040</f>
        <v>57.0116717051447</v>
      </c>
      <c r="M1196" s="38" t="n">
        <f aca="false">cx_rt*Sens!$M$1040</f>
        <v>60.7365554669226</v>
      </c>
    </row>
    <row r="1197" customFormat="false" ht="15" hidden="false" customHeight="false" outlineLevel="0" collapsed="false">
      <c r="A1197" s="3" t="s">
        <v>785</v>
      </c>
      <c r="B1197" s="8" t="s">
        <v>86</v>
      </c>
      <c r="C1197" s="38" t="n">
        <f aca="false">Q!$D$46</f>
        <v>77.658</v>
      </c>
      <c r="D1197" s="38" t="n">
        <f aca="false">Q!$E$46</f>
        <v>128.32</v>
      </c>
      <c r="E1197" s="38" t="n">
        <f aca="false">Q!$P$46</f>
        <v>96.31</v>
      </c>
      <c r="F1197" s="38" t="n">
        <f aca="false">Sens!$F$1194+Sens!$F$1195+Sens!$F$1196</f>
        <v>123.69</v>
      </c>
      <c r="G1197" s="38" t="n">
        <f aca="false">Sens!$E$1197+Sens!$F$1197</f>
        <v>220</v>
      </c>
      <c r="H1197" s="38" t="n">
        <f aca="false">Sens!$H$1194+Sens!$H$1195+Sens!$H$1196</f>
        <v>233.658406845948</v>
      </c>
      <c r="I1197" s="38" t="n">
        <f aca="false">Sens!$I$1194+Sens!$I$1195+Sens!$I$1196</f>
        <v>246.052518246325</v>
      </c>
      <c r="J1197" s="38" t="n">
        <f aca="false">Sens!$J$1194+Sens!$J$1195+Sens!$J$1196</f>
        <v>257.339865756266</v>
      </c>
      <c r="K1197" s="38" t="n">
        <f aca="false">Sens!$K$1194+Sens!$K$1195+Sens!$K$1196</f>
        <v>220.009468457252</v>
      </c>
      <c r="L1197" s="38" t="n">
        <f aca="false">Sens!$L$1194+Sens!$L$1195+Sens!$L$1196</f>
        <v>208.293502532415</v>
      </c>
      <c r="M1197" s="38" t="n">
        <f aca="false">Sens!$M$1194+Sens!$M$1195+Sens!$M$1196</f>
        <v>215.845499711382</v>
      </c>
    </row>
    <row r="1198" customFormat="false" ht="17.15" hidden="false" customHeight="false" outlineLevel="0" collapsed="false">
      <c r="A1198" s="5" t="s">
        <v>560</v>
      </c>
      <c r="B1198" s="0" t="s">
        <v>86</v>
      </c>
      <c r="C1198" s="38" t="n">
        <f aca="false">Q!$D$50</f>
        <v>2.043</v>
      </c>
      <c r="D1198" s="38" t="n">
        <f aca="false">Q!$E$50</f>
        <v>1.557</v>
      </c>
      <c r="E1198" s="38" t="n">
        <f aca="false">lease_pr/2</f>
        <v>0.8</v>
      </c>
      <c r="F1198" s="38" t="n">
        <f aca="false">lease_pr/2</f>
        <v>0.8</v>
      </c>
      <c r="G1198" s="38" t="n">
        <f aca="false">Sens!$E$1198+Sens!$F$1198</f>
        <v>1.6</v>
      </c>
      <c r="H1198" s="38" t="n">
        <f aca="false">lease_pr</f>
        <v>1.6</v>
      </c>
      <c r="I1198" s="38" t="n">
        <f aca="false">lease_pr</f>
        <v>1.6</v>
      </c>
      <c r="J1198" s="38" t="n">
        <f aca="false">lease_pr</f>
        <v>1.6</v>
      </c>
      <c r="K1198" s="38" t="n">
        <f aca="false">lease_pr</f>
        <v>1.6</v>
      </c>
      <c r="L1198" s="38" t="n">
        <f aca="false">lease_pr</f>
        <v>1.6</v>
      </c>
      <c r="M1198" s="38" t="n">
        <f aca="false">lease_pr</f>
        <v>1.6</v>
      </c>
      <c r="P1198" s="8" t="s">
        <v>786</v>
      </c>
    </row>
    <row r="1199" customFormat="false" ht="15" hidden="false" customHeight="false" outlineLevel="0" collapsed="false">
      <c r="A1199" s="47" t="s">
        <v>787</v>
      </c>
      <c r="B1199" s="14" t="s">
        <v>86</v>
      </c>
      <c r="C1199" s="48" t="n">
        <f aca="false">Sens!$C$1193-Sens!$C$1197-Sens!$C$1198</f>
        <v>36.176</v>
      </c>
      <c r="D1199" s="48" t="n">
        <f aca="false">Sens!$D$1193-Sens!$D$1197-Sens!$D$1198</f>
        <v>9.63700000000002</v>
      </c>
      <c r="E1199" s="48" t="n">
        <f aca="false">Sens!$E$1193-Sens!$E$1197-Sens!$E$1198</f>
        <v>-25.691</v>
      </c>
      <c r="F1199" s="48" t="n">
        <f aca="false">Sens!$F$1193-Sens!$F$1197-Sens!$F$1198</f>
        <v>-33.4460886377222</v>
      </c>
      <c r="G1199" s="48" t="n">
        <f aca="false">Sens!$G$1193-Sens!$G$1197-Sens!$G$1198</f>
        <v>-59.1370886377222</v>
      </c>
      <c r="H1199" s="48" t="n">
        <f aca="false">Sens!$H$1193-Sens!$H$1197-Sens!$H$1198</f>
        <v>-13.4863708466735</v>
      </c>
      <c r="I1199" s="48" t="n">
        <f aca="false">Sens!$I$1193-Sens!$I$1197-Sens!$I$1198</f>
        <v>28.4547089407887</v>
      </c>
      <c r="J1199" s="48" t="n">
        <f aca="false">Sens!$J$1193-Sens!$J$1197-Sens!$J$1198</f>
        <v>72.212916364657</v>
      </c>
      <c r="K1199" s="48" t="n">
        <f aca="false">Sens!$K$1193-Sens!$K$1197-Sens!$K$1198</f>
        <v>159.872573487287</v>
      </c>
      <c r="L1199" s="48" t="n">
        <f aca="false">Sens!$L$1193-Sens!$L$1197-Sens!$L$1198</f>
        <v>215.13865085415</v>
      </c>
      <c r="M1199" s="48" t="n">
        <f aca="false">Sens!$M$1193-Sens!$M$1197-Sens!$M$1198</f>
        <v>244.91617024004</v>
      </c>
      <c r="N1199" s="14"/>
      <c r="O1199" s="14"/>
    </row>
    <row r="1200" customFormat="false" ht="17.15" hidden="false" customHeight="false" outlineLevel="0" collapsed="false">
      <c r="A1200" s="5" t="s">
        <v>788</v>
      </c>
      <c r="B1200" s="0" t="s">
        <v>86</v>
      </c>
      <c r="C1200" s="38" t="n">
        <f aca="false">dps*Sens!$C$1179</f>
        <v>0</v>
      </c>
      <c r="D1200" s="38" t="n">
        <f aca="false">dps*Sens!$D$1179</f>
        <v>0</v>
      </c>
      <c r="E1200" s="38" t="n">
        <f aca="false">dps*Sens!$E$1179</f>
        <v>0</v>
      </c>
      <c r="F1200" s="38" t="n">
        <f aca="false">0</f>
        <v>0</v>
      </c>
      <c r="G1200" s="38" t="n">
        <f aca="false">dps*Sens!$G$1179</f>
        <v>0</v>
      </c>
      <c r="H1200" s="38" t="n">
        <f aca="false">dps*Sens!$H$1179</f>
        <v>0</v>
      </c>
      <c r="I1200" s="38" t="n">
        <f aca="false">dps*Sens!$I$1179</f>
        <v>0</v>
      </c>
      <c r="J1200" s="38" t="n">
        <f aca="false">dps*Sens!$J$1179</f>
        <v>0</v>
      </c>
      <c r="K1200" s="38" t="n">
        <f aca="false">dps*Sens!$K$1179</f>
        <v>0</v>
      </c>
      <c r="L1200" s="38" t="n">
        <f aca="false">dps*Sens!$L$1179</f>
        <v>0</v>
      </c>
      <c r="M1200" s="38" t="n">
        <f aca="false">dps*Sens!$M$1179</f>
        <v>0</v>
      </c>
      <c r="P1200" s="8" t="s">
        <v>789</v>
      </c>
    </row>
    <row r="1201" customFormat="false" ht="17.15" hidden="false" customHeight="false" outlineLevel="0" collapsed="false">
      <c r="A1201" s="5" t="s">
        <v>790</v>
      </c>
      <c r="B1201" s="0" t="s">
        <v>86</v>
      </c>
      <c r="C1201" s="38" t="n">
        <f aca="false">0</f>
        <v>0</v>
      </c>
      <c r="D1201" s="38" t="n">
        <f aca="false">0</f>
        <v>0</v>
      </c>
      <c r="E1201" s="38" t="n">
        <f aca="false">0</f>
        <v>0</v>
      </c>
      <c r="F1201" s="38" t="n">
        <f aca="false">0</f>
        <v>0</v>
      </c>
      <c r="G1201" s="38" t="n">
        <f aca="false">0</f>
        <v>0</v>
      </c>
      <c r="H1201" s="38" t="n">
        <f aca="false">0</f>
        <v>0</v>
      </c>
      <c r="I1201" s="38" t="n">
        <f aca="false">0</f>
        <v>0</v>
      </c>
      <c r="J1201" s="38" t="n">
        <f aca="false">0</f>
        <v>0</v>
      </c>
      <c r="K1201" s="38" t="n">
        <f aca="false">0</f>
        <v>0</v>
      </c>
      <c r="L1201" s="38" t="n">
        <f aca="false">0</f>
        <v>0</v>
      </c>
      <c r="M1201" s="38" t="n">
        <f aca="false">0</f>
        <v>0</v>
      </c>
      <c r="P1201" s="8" t="s">
        <v>791</v>
      </c>
    </row>
    <row r="1202" customFormat="false" ht="15" hidden="false" customHeight="false" outlineLevel="0" collapsed="false">
      <c r="A1202" s="3" t="s">
        <v>792</v>
      </c>
      <c r="B1202" s="8" t="s">
        <v>86</v>
      </c>
      <c r="C1202" s="38" t="n">
        <f aca="false">Sens!$C$1199-Sens!$C$1200</f>
        <v>36.176</v>
      </c>
      <c r="D1202" s="38" t="n">
        <f aca="false">Sens!$D$1199-Sens!$D$1200</f>
        <v>9.63700000000002</v>
      </c>
      <c r="E1202" s="38" t="n">
        <f aca="false">Sens!$E$1199-Sens!$E$1200</f>
        <v>-25.691</v>
      </c>
      <c r="F1202" s="38" t="n">
        <f aca="false">Sens!$F$1199-Sens!$F$1200</f>
        <v>-33.4460886377222</v>
      </c>
      <c r="G1202" s="38" t="n">
        <f aca="false">Sens!$G$1199-Sens!$G$1200</f>
        <v>-59.1370886377222</v>
      </c>
      <c r="H1202" s="38" t="n">
        <f aca="false">Sens!$H$1199-Sens!$H$1200</f>
        <v>-13.4863708466735</v>
      </c>
      <c r="I1202" s="38" t="n">
        <f aca="false">Sens!$I$1199-Sens!$I$1200</f>
        <v>28.4547089407887</v>
      </c>
      <c r="J1202" s="38" t="n">
        <f aca="false">Sens!$J$1199-Sens!$J$1200</f>
        <v>72.212916364657</v>
      </c>
      <c r="K1202" s="38" t="n">
        <f aca="false">Sens!$K$1199-Sens!$K$1200</f>
        <v>159.872573487287</v>
      </c>
      <c r="L1202" s="38" t="n">
        <f aca="false">Sens!$L$1199-Sens!$L$1200</f>
        <v>215.13865085415</v>
      </c>
      <c r="M1202" s="38" t="n">
        <f aca="false">Sens!$M$1199-Sens!$M$1200</f>
        <v>244.91617024004</v>
      </c>
    </row>
    <row r="1203" customFormat="false" ht="17.15" hidden="false" customHeight="false" outlineLevel="0" collapsed="false">
      <c r="A1203" s="5" t="s">
        <v>793</v>
      </c>
      <c r="B1203" s="0" t="s">
        <v>86</v>
      </c>
      <c r="E1203" s="38" t="n">
        <f aca="false">Q!$P$53</f>
        <v>39.767</v>
      </c>
      <c r="F1203" s="38" t="n">
        <f aca="false">inv_2h26</f>
        <v>21.3</v>
      </c>
      <c r="G1203" s="38" t="n">
        <f aca="false">Sens!$E$1203+Sens!$F$1203</f>
        <v>61.067</v>
      </c>
      <c r="H1203" s="39" t="n">
        <v>0</v>
      </c>
      <c r="I1203" s="39" t="n">
        <v>0</v>
      </c>
      <c r="J1203" s="39" t="n">
        <v>0</v>
      </c>
      <c r="K1203" s="39" t="n">
        <v>0</v>
      </c>
      <c r="L1203" s="39" t="n">
        <v>0</v>
      </c>
      <c r="M1203" s="39" t="n">
        <v>0</v>
      </c>
    </row>
    <row r="1204" customFormat="false" ht="17.15" hidden="false" customHeight="false" outlineLevel="0" collapsed="false">
      <c r="A1204" s="5" t="s">
        <v>794</v>
      </c>
      <c r="B1204" s="0" t="s">
        <v>86</v>
      </c>
      <c r="F1204" s="38" t="n">
        <f aca="false">iss_2h26</f>
        <v>29.249999</v>
      </c>
      <c r="G1204" s="38" t="n">
        <f aca="false">Sens!$F$1204</f>
        <v>29.249999</v>
      </c>
      <c r="H1204" s="39" t="n">
        <v>0</v>
      </c>
      <c r="I1204" s="39" t="n">
        <v>0</v>
      </c>
      <c r="J1204" s="39" t="n">
        <v>0</v>
      </c>
      <c r="K1204" s="39" t="n">
        <v>0</v>
      </c>
      <c r="L1204" s="39" t="n">
        <v>0</v>
      </c>
      <c r="M1204" s="39" t="n">
        <v>0</v>
      </c>
    </row>
    <row r="1205" customFormat="false" ht="17.15" hidden="false" customHeight="false" outlineLevel="0" collapsed="false">
      <c r="A1205" s="5" t="s">
        <v>795</v>
      </c>
      <c r="B1205" s="0" t="s">
        <v>86</v>
      </c>
      <c r="F1205" s="38" t="n">
        <f aca="false">cash_q2</f>
        <v>122.988</v>
      </c>
      <c r="G1205" s="38" t="n">
        <f aca="false">cash_q2</f>
        <v>122.988</v>
      </c>
      <c r="H1205" s="38" t="n">
        <f aca="false">Sens!$G$1208</f>
        <v>97.4919103622779</v>
      </c>
      <c r="I1205" s="38" t="n">
        <f aca="false">Sens!$H$1208</f>
        <v>84.0055395156044</v>
      </c>
      <c r="J1205" s="38" t="n">
        <f aca="false">Sens!$I$1208</f>
        <v>112.460248456393</v>
      </c>
      <c r="K1205" s="38" t="n">
        <f aca="false">Sens!$J$1208</f>
        <v>184.67316482105</v>
      </c>
      <c r="L1205" s="38" t="n">
        <f aca="false">Sens!$K$1208</f>
        <v>344.545738308337</v>
      </c>
      <c r="M1205" s="38" t="n">
        <f aca="false">Sens!$L$1208</f>
        <v>559.684389162487</v>
      </c>
    </row>
    <row r="1206" customFormat="false" ht="15" hidden="false" customHeight="false" outlineLevel="0" collapsed="false">
      <c r="A1206" s="5" t="s">
        <v>796</v>
      </c>
      <c r="B1206" s="0" t="s">
        <v>86</v>
      </c>
      <c r="F1206" s="38" t="n">
        <f aca="false">Sens!$F$1205+Sens!$F$1202-Sens!$F$1201-Sens!$F$1203+Sens!$F$1204</f>
        <v>97.4919103622779</v>
      </c>
      <c r="H1206" s="38" t="n">
        <f aca="false">Sens!$H$1205+Sens!$H$1202-Sens!$H$1201-Sens!$H$1203+Sens!$H$1204</f>
        <v>84.0055395156044</v>
      </c>
      <c r="I1206" s="38" t="n">
        <f aca="false">Sens!$I$1205+Sens!$I$1202-Sens!$I$1201-Sens!$I$1203+Sens!$I$1204</f>
        <v>112.460248456393</v>
      </c>
      <c r="J1206" s="38" t="n">
        <f aca="false">Sens!$J$1205+Sens!$J$1202-Sens!$J$1201-Sens!$J$1203+Sens!$J$1204</f>
        <v>184.67316482105</v>
      </c>
      <c r="K1206" s="38" t="n">
        <f aca="false">Sens!$K$1205+Sens!$K$1202-Sens!$K$1201-Sens!$K$1203+Sens!$K$1204</f>
        <v>344.545738308337</v>
      </c>
      <c r="L1206" s="38" t="n">
        <f aca="false">Sens!$L$1205+Sens!$L$1202-Sens!$L$1201-Sens!$L$1203+Sens!$L$1204</f>
        <v>559.684389162487</v>
      </c>
      <c r="M1206" s="38" t="n">
        <f aca="false">Sens!$M$1205+Sens!$M$1202-Sens!$M$1201-Sens!$M$1203+Sens!$M$1204</f>
        <v>804.600559402527</v>
      </c>
    </row>
    <row r="1207" customFormat="false" ht="17.15" hidden="false" customHeight="false" outlineLevel="0" collapsed="false">
      <c r="A1207" s="5" t="s">
        <v>797</v>
      </c>
      <c r="B1207" s="0" t="s">
        <v>86</v>
      </c>
      <c r="F1207" s="38" t="n">
        <f aca="false">MAX(0,min_cash-Sens!$F$1206)</f>
        <v>0</v>
      </c>
      <c r="G1207" s="38" t="n">
        <f aca="false">Sens!$F$1207</f>
        <v>0</v>
      </c>
      <c r="H1207" s="38" t="n">
        <f aca="false">MAX(0,min_cash-Sens!$H$1206)</f>
        <v>0</v>
      </c>
      <c r="I1207" s="38" t="n">
        <f aca="false">MAX(0,min_cash-Sens!$I$1206)</f>
        <v>0</v>
      </c>
      <c r="J1207" s="38" t="n">
        <f aca="false">MAX(0,min_cash-Sens!$J$1206)</f>
        <v>0</v>
      </c>
      <c r="K1207" s="38" t="n">
        <f aca="false">MAX(0,min_cash-Sens!$K$1206)</f>
        <v>0</v>
      </c>
      <c r="L1207" s="38" t="n">
        <f aca="false">MAX(0,min_cash-Sens!$L$1206)</f>
        <v>0</v>
      </c>
      <c r="M1207" s="38" t="n">
        <f aca="false">MAX(0,min_cash-Sens!$M$1206)</f>
        <v>0</v>
      </c>
      <c r="P1207" s="5" t="s">
        <v>798</v>
      </c>
    </row>
    <row r="1208" customFormat="false" ht="15" hidden="false" customHeight="false" outlineLevel="0" collapsed="false">
      <c r="A1208" s="5" t="s">
        <v>799</v>
      </c>
      <c r="B1208" s="0" t="s">
        <v>86</v>
      </c>
      <c r="D1208" s="38" t="n">
        <f aca="false">Q!$E$61</f>
        <v>123.029</v>
      </c>
      <c r="E1208" s="38" t="n">
        <f aca="false">Q!$M$61</f>
        <v>122.988</v>
      </c>
      <c r="F1208" s="38" t="n">
        <f aca="false">Sens!$F$1206+Sens!$F$1207</f>
        <v>97.4919103622779</v>
      </c>
      <c r="G1208" s="38" t="n">
        <f aca="false">Sens!$F$1208</f>
        <v>97.4919103622779</v>
      </c>
      <c r="H1208" s="38" t="n">
        <f aca="false">Sens!$H$1206+Sens!$H$1207</f>
        <v>84.0055395156044</v>
      </c>
      <c r="I1208" s="38" t="n">
        <f aca="false">Sens!$I$1206+Sens!$I$1207</f>
        <v>112.460248456393</v>
      </c>
      <c r="J1208" s="38" t="n">
        <f aca="false">Sens!$J$1206+Sens!$J$1207</f>
        <v>184.67316482105</v>
      </c>
      <c r="K1208" s="38" t="n">
        <f aca="false">Sens!$K$1206+Sens!$K$1207</f>
        <v>344.545738308337</v>
      </c>
      <c r="L1208" s="38" t="n">
        <f aca="false">Sens!$L$1206+Sens!$L$1207</f>
        <v>559.684389162487</v>
      </c>
      <c r="M1208" s="38" t="n">
        <f aca="false">Sens!$M$1206+Sens!$M$1207</f>
        <v>804.600559402527</v>
      </c>
    </row>
    <row r="1209" customFormat="false" ht="15" hidden="false" customHeight="false" outlineLevel="0" collapsed="false">
      <c r="A1209" s="5" t="s">
        <v>800</v>
      </c>
      <c r="B1209" s="0" t="s">
        <v>86</v>
      </c>
      <c r="D1209" s="38" t="n">
        <f aca="false">Q!$E$62</f>
        <v>68.836</v>
      </c>
      <c r="E1209" s="38" t="n">
        <f aca="false">Q!$M$62</f>
        <v>132.995</v>
      </c>
      <c r="F1209" s="38" t="n">
        <f aca="false">debt_q2+Sens!$F$1204+Sens!$F$1207</f>
        <v>162.244999</v>
      </c>
      <c r="G1209" s="38" t="n">
        <f aca="false">Sens!$F$1209</f>
        <v>162.244999</v>
      </c>
      <c r="H1209" s="38" t="n">
        <f aca="false">Sens!$G$1209+Sens!$H$1207</f>
        <v>162.244999</v>
      </c>
      <c r="I1209" s="38" t="n">
        <f aca="false">Sens!$H$1209+Sens!$I$1207</f>
        <v>162.244999</v>
      </c>
      <c r="J1209" s="38" t="n">
        <f aca="false">Sens!$I$1209+Sens!$J$1207</f>
        <v>162.244999</v>
      </c>
      <c r="K1209" s="38" t="n">
        <f aca="false">Sens!$J$1209+Sens!$K$1207</f>
        <v>162.244999</v>
      </c>
      <c r="L1209" s="38" t="n">
        <f aca="false">Sens!$K$1209+Sens!$L$1207</f>
        <v>162.244999</v>
      </c>
      <c r="M1209" s="38" t="n">
        <f aca="false">Sens!$L$1209+Sens!$M$1207</f>
        <v>162.244999</v>
      </c>
    </row>
    <row r="1210" customFormat="false" ht="15" hidden="false" customHeight="false" outlineLevel="0" collapsed="false">
      <c r="A1210" s="5" t="s">
        <v>801</v>
      </c>
      <c r="B1210" s="0" t="s">
        <v>86</v>
      </c>
      <c r="D1210" s="38" t="n">
        <f aca="false">Sens!$D$1209-Sens!$D$1208</f>
        <v>-54.193</v>
      </c>
      <c r="E1210" s="38" t="n">
        <f aca="false">Sens!$E$1209-Sens!$E$1208</f>
        <v>10.007</v>
      </c>
      <c r="F1210" s="38" t="n">
        <f aca="false">Sens!$F$1209-Sens!$F$1208</f>
        <v>64.7530886377222</v>
      </c>
      <c r="G1210" s="38" t="n">
        <f aca="false">Sens!$G$1209-Sens!$G$1208</f>
        <v>64.7530886377222</v>
      </c>
      <c r="H1210" s="38" t="n">
        <f aca="false">Sens!$H$1209-Sens!$H$1208</f>
        <v>78.2394594843956</v>
      </c>
      <c r="I1210" s="38" t="n">
        <f aca="false">Sens!$I$1209-Sens!$I$1208</f>
        <v>49.784750543607</v>
      </c>
      <c r="J1210" s="38" t="n">
        <f aca="false">Sens!$J$1209-Sens!$J$1208</f>
        <v>-22.42816582105</v>
      </c>
      <c r="K1210" s="38" t="n">
        <f aca="false">Sens!$K$1209-Sens!$K$1208</f>
        <v>-182.300739308337</v>
      </c>
      <c r="L1210" s="38" t="n">
        <f aca="false">Sens!$L$1209-Sens!$L$1208</f>
        <v>-397.439390162487</v>
      </c>
      <c r="M1210" s="38" t="n">
        <f aca="false">Sens!$M$1209-Sens!$M$1208</f>
        <v>-642.355560402527</v>
      </c>
    </row>
    <row r="1211" customFormat="false" ht="17.15" hidden="false" customHeight="false" outlineLevel="0" collapsed="false">
      <c r="A1211" s="5" t="s">
        <v>802</v>
      </c>
      <c r="B1211" s="0" t="s">
        <v>86</v>
      </c>
      <c r="F1211" s="38" t="n">
        <f aca="false">debt_q2*kd_book*0.5+iss_2h26*kd_new*iss_t</f>
        <v>3.24888962733561</v>
      </c>
      <c r="H1211" s="38" t="n">
        <f aca="false">debt_q2*kd_book+(Sens!$G$1209-debt_q2)*kd_new</f>
        <v>7.42354172302123</v>
      </c>
      <c r="I1211" s="38" t="n">
        <f aca="false">debt_q2*kd_book+(Sens!$H$1209-debt_q2)*kd_new</f>
        <v>7.42354172302123</v>
      </c>
      <c r="J1211" s="38" t="n">
        <f aca="false">debt_q2*kd_book+(Sens!$I$1209-debt_q2)*kd_new</f>
        <v>7.42354172302123</v>
      </c>
      <c r="K1211" s="38" t="n">
        <f aca="false">debt_q2*kd_book+(Sens!$J$1209-debt_q2)*kd_new</f>
        <v>7.42354172302123</v>
      </c>
      <c r="L1211" s="38" t="n">
        <f aca="false">debt_q2*kd_book+(Sens!$K$1209-debt_q2)*kd_new</f>
        <v>7.42354172302123</v>
      </c>
      <c r="M1211" s="38" t="n">
        <f aca="false">debt_q2*kd_book+(Sens!$L$1209-debt_q2)*kd_new</f>
        <v>7.42354172302123</v>
      </c>
    </row>
    <row r="1212" customFormat="false" ht="17.15" hidden="false" customHeight="false" outlineLevel="0" collapsed="false">
      <c r="A1212" s="5" t="s">
        <v>803</v>
      </c>
      <c r="B1212" s="0" t="s">
        <v>86</v>
      </c>
      <c r="F1212" s="38" t="n">
        <f aca="false">cash_q2*y_cash*0.5</f>
        <v>2.59</v>
      </c>
      <c r="H1212" s="38" t="n">
        <f aca="false">Sens!$G$1208*y_cash</f>
        <v>4.10615747614889</v>
      </c>
      <c r="I1212" s="38" t="n">
        <f aca="false">Sens!$H$1208*y_cash</f>
        <v>3.53813945011571</v>
      </c>
      <c r="J1212" s="38" t="n">
        <f aca="false">Sens!$I$1208*y_cash</f>
        <v>4.73659289527528</v>
      </c>
      <c r="K1212" s="38" t="n">
        <f aca="false">Sens!$J$1208*y_cash</f>
        <v>7.77805146659055</v>
      </c>
      <c r="L1212" s="38" t="n">
        <f aca="false">Sens!$K$1208*y_cash</f>
        <v>14.5115533583535</v>
      </c>
      <c r="M1212" s="38" t="n">
        <f aca="false">Sens!$L$1208*y_cash</f>
        <v>23.5727480393346</v>
      </c>
    </row>
    <row r="1213" customFormat="false" ht="17.15" hidden="false" customHeight="false" outlineLevel="0" collapsed="false">
      <c r="A1213" s="47" t="s">
        <v>804</v>
      </c>
      <c r="B1213" s="14" t="s">
        <v>86</v>
      </c>
      <c r="C1213" s="14"/>
      <c r="D1213" s="14"/>
      <c r="E1213" s="14"/>
      <c r="F1213" s="14"/>
      <c r="G1213" s="48" t="n">
        <f aca="false">SUM(Sens!$G$1202:$K$1202)</f>
        <v>187.916739308337</v>
      </c>
      <c r="H1213" s="14"/>
      <c r="I1213" s="14"/>
      <c r="J1213" s="14"/>
      <c r="K1213" s="14"/>
      <c r="L1213" s="14"/>
      <c r="M1213" s="14"/>
      <c r="N1213" s="14"/>
      <c r="O1213" s="14"/>
    </row>
    <row r="1214" customFormat="false" ht="17.15" hidden="false" customHeight="false" outlineLevel="0" collapsed="false">
      <c r="A1214" s="0" t="s">
        <v>770</v>
      </c>
      <c r="B1214" s="0" t="s">
        <v>86</v>
      </c>
      <c r="G1214" s="38" t="n">
        <f aca="false">SUM(Sens!$G$1207:$K$1207)</f>
        <v>0</v>
      </c>
    </row>
    <row r="1215" customFormat="false" ht="17.15" hidden="false" customHeight="false" outlineLevel="0" collapsed="false">
      <c r="A1215" s="24" t="s">
        <v>807</v>
      </c>
      <c r="B1215" s="25" t="s">
        <v>86</v>
      </c>
      <c r="C1215" s="25"/>
      <c r="D1215" s="25"/>
      <c r="E1215" s="25"/>
      <c r="F1215" s="25"/>
      <c r="G1215" s="41" t="n">
        <f aca="false">Sens!$G$1213-(Sens!$G$1202+Sens!$H$1202+Sens!$I$1202+Sens!$J$1202+Sens!$K$1202)</f>
        <v>0</v>
      </c>
      <c r="H1215" s="25"/>
      <c r="I1215" s="25"/>
      <c r="J1215" s="25"/>
      <c r="K1215" s="25"/>
      <c r="L1215" s="25"/>
      <c r="M1215" s="25"/>
      <c r="N1215" s="25"/>
      <c r="O1215" s="25"/>
    </row>
    <row r="1218" customFormat="false" ht="19.4" hidden="false" customHeight="false" outlineLevel="0" collapsed="false">
      <c r="A1218" s="31" t="s">
        <v>1151</v>
      </c>
    </row>
    <row r="1219" customFormat="false" ht="17.15" hidden="false" customHeight="false" outlineLevel="0" collapsed="false">
      <c r="A1219" s="6" t="s">
        <v>16</v>
      </c>
      <c r="B1219" s="6" t="s">
        <v>17</v>
      </c>
      <c r="C1219" s="20" t="s">
        <v>494</v>
      </c>
      <c r="D1219" s="20" t="s">
        <v>495</v>
      </c>
      <c r="E1219" s="20" t="s">
        <v>577</v>
      </c>
      <c r="F1219" s="20" t="s">
        <v>578</v>
      </c>
      <c r="G1219" s="20" t="s">
        <v>579</v>
      </c>
      <c r="H1219" s="20" t="s">
        <v>580</v>
      </c>
      <c r="I1219" s="20" t="s">
        <v>581</v>
      </c>
      <c r="J1219" s="20" t="s">
        <v>582</v>
      </c>
      <c r="K1219" s="20" t="s">
        <v>583</v>
      </c>
      <c r="L1219" s="20" t="s">
        <v>584</v>
      </c>
      <c r="M1219" s="20" t="s">
        <v>585</v>
      </c>
      <c r="N1219" s="20" t="s">
        <v>586</v>
      </c>
      <c r="O1219" s="20" t="s">
        <v>587</v>
      </c>
      <c r="P1219" s="6" t="s">
        <v>23</v>
      </c>
      <c r="R1219" s="20" t="n">
        <v>2023</v>
      </c>
      <c r="S1219" s="20" t="n">
        <v>2024</v>
      </c>
      <c r="T1219" s="20" t="n">
        <v>2025</v>
      </c>
      <c r="U1219" s="20" t="n">
        <v>2026</v>
      </c>
      <c r="V1219" s="20" t="n">
        <v>2027</v>
      </c>
      <c r="W1219" s="20" t="n">
        <v>2028</v>
      </c>
      <c r="X1219" s="20" t="n">
        <v>2029</v>
      </c>
      <c r="Y1219" s="20" t="n">
        <v>2030</v>
      </c>
      <c r="Z1219" s="20" t="n">
        <v>2031</v>
      </c>
      <c r="AA1219" s="20" t="n">
        <v>2032</v>
      </c>
    </row>
    <row r="1220" customFormat="false" ht="17.15" hidden="false" customHeight="false" outlineLevel="0" collapsed="false">
      <c r="A1220" s="1" t="s">
        <v>909</v>
      </c>
    </row>
    <row r="1221" customFormat="false" ht="17.15" hidden="false" customHeight="false" outlineLevel="0" collapsed="false">
      <c r="A1221" s="0" t="s">
        <v>910</v>
      </c>
      <c r="B1221" s="0" t="s">
        <v>86</v>
      </c>
      <c r="H1221" s="38" t="n">
        <f aca="false">Sens!$H$1155*(1-tax)</f>
        <v>106.571008375345</v>
      </c>
      <c r="I1221" s="38" t="n">
        <f aca="false">Sens!$I$1155*(1-tax)</f>
        <v>129.553666875549</v>
      </c>
      <c r="J1221" s="38" t="n">
        <f aca="false">Sens!$J$1155*(1-tax)</f>
        <v>151.455972182379</v>
      </c>
      <c r="K1221" s="38" t="n">
        <f aca="false">Sens!$K$1155*(1-tax)</f>
        <v>167.615641877341</v>
      </c>
      <c r="L1221" s="38" t="n">
        <f aca="false">Sens!$L$1155*(1-tax)</f>
        <v>182.808966510677</v>
      </c>
      <c r="M1221" s="38" t="n">
        <f aca="false">Sens!$M$1155*(1-tax)</f>
        <v>196.993183462222</v>
      </c>
    </row>
    <row r="1222" customFormat="false" ht="15" hidden="false" customHeight="false" outlineLevel="0" collapsed="false">
      <c r="A1222" s="5" t="s">
        <v>911</v>
      </c>
      <c r="B1222" s="0" t="s">
        <v>86</v>
      </c>
      <c r="H1222" s="38" t="n">
        <f aca="false">Sens!$H$1166</f>
        <v>83.1874921068988</v>
      </c>
      <c r="I1222" s="38" t="n">
        <f aca="false">Sens!$I$1166</f>
        <v>110.342766547452</v>
      </c>
      <c r="J1222" s="38" t="n">
        <f aca="false">Sens!$J$1166</f>
        <v>138.028700568372</v>
      </c>
      <c r="K1222" s="38" t="n">
        <f aca="false">Sens!$K$1166</f>
        <v>165.769439593499</v>
      </c>
      <c r="L1222" s="38" t="n">
        <f aca="false">Sens!$L$1166</f>
        <v>184.905920145768</v>
      </c>
      <c r="M1222" s="38" t="n">
        <f aca="false">Sens!$M$1166</f>
        <v>197.153705060786</v>
      </c>
    </row>
    <row r="1223" customFormat="false" ht="15" hidden="false" customHeight="false" outlineLevel="0" collapsed="false">
      <c r="A1223" s="5" t="s">
        <v>912</v>
      </c>
      <c r="B1223" s="0" t="s">
        <v>86</v>
      </c>
      <c r="H1223" s="38" t="n">
        <f aca="false">Sens!$H$1197</f>
        <v>233.658406845948</v>
      </c>
      <c r="I1223" s="38" t="n">
        <f aca="false">Sens!$I$1197</f>
        <v>246.052518246325</v>
      </c>
      <c r="J1223" s="38" t="n">
        <f aca="false">Sens!$J$1197</f>
        <v>257.339865756266</v>
      </c>
      <c r="K1223" s="38" t="n">
        <f aca="false">Sens!$K$1197</f>
        <v>220.009468457252</v>
      </c>
      <c r="L1223" s="38" t="n">
        <f aca="false">Sens!$L$1197</f>
        <v>208.293502532415</v>
      </c>
      <c r="M1223" s="38" t="n">
        <f aca="false">Sens!$M$1197</f>
        <v>215.845499711382</v>
      </c>
    </row>
    <row r="1224" customFormat="false" ht="15" hidden="false" customHeight="false" outlineLevel="0" collapsed="false">
      <c r="A1224" s="5" t="s">
        <v>913</v>
      </c>
      <c r="B1224" s="0" t="s">
        <v>86</v>
      </c>
      <c r="H1224" s="38" t="n">
        <f aca="false">Sens!$H$1198</f>
        <v>1.6</v>
      </c>
      <c r="I1224" s="38" t="n">
        <f aca="false">Sens!$I$1198</f>
        <v>1.6</v>
      </c>
      <c r="J1224" s="38" t="n">
        <f aca="false">Sens!$J$1198</f>
        <v>1.6</v>
      </c>
      <c r="K1224" s="38" t="n">
        <f aca="false">Sens!$K$1198</f>
        <v>1.6</v>
      </c>
      <c r="L1224" s="38" t="n">
        <f aca="false">Sens!$L$1198</f>
        <v>1.6</v>
      </c>
      <c r="M1224" s="38" t="n">
        <f aca="false">Sens!$M$1198</f>
        <v>1.6</v>
      </c>
    </row>
    <row r="1225" customFormat="false" ht="15" hidden="false" customHeight="false" outlineLevel="0" collapsed="false">
      <c r="A1225" s="5" t="s">
        <v>914</v>
      </c>
      <c r="B1225" s="0" t="s">
        <v>86</v>
      </c>
      <c r="H1225" s="38" t="n">
        <f aca="false">Sens!$H$1192</f>
        <v>11.2928295263397</v>
      </c>
      <c r="I1225" s="38" t="n">
        <f aca="false">Sens!$I$1192</f>
        <v>12.8091546115766</v>
      </c>
      <c r="J1225" s="38" t="n">
        <f aca="false">Sens!$J$1192</f>
        <v>14.2605653162668</v>
      </c>
      <c r="K1225" s="38" t="n">
        <f aca="false">Sens!$K$1192</f>
        <v>15.5327622460396</v>
      </c>
      <c r="L1225" s="38" t="n">
        <f aca="false">Sens!$L$1192</f>
        <v>16.720573737517</v>
      </c>
      <c r="M1225" s="38" t="n">
        <f aca="false">Sens!$M$1192</f>
        <v>17.8283127551536</v>
      </c>
    </row>
    <row r="1226" customFormat="false" ht="17.15" hidden="false" customHeight="false" outlineLevel="0" collapsed="false">
      <c r="A1226" s="1" t="s">
        <v>915</v>
      </c>
      <c r="B1226" s="8" t="s">
        <v>86</v>
      </c>
      <c r="H1226" s="38" t="n">
        <f aca="false">Sens!$H$1221+Sens!$H$1222-Sens!$H$1223-Sens!$H$1224+Sens!$H$1225</f>
        <v>-34.2070768373646</v>
      </c>
      <c r="I1226" s="38" t="n">
        <f aca="false">Sens!$I$1221+Sens!$I$1222-Sens!$I$1223-Sens!$I$1224+Sens!$I$1225</f>
        <v>5.05306978825211</v>
      </c>
      <c r="J1226" s="38" t="n">
        <f aca="false">Sens!$J$1221+Sens!$J$1222-Sens!$J$1223-Sens!$J$1224+Sens!$J$1225</f>
        <v>44.8053723107515</v>
      </c>
      <c r="K1226" s="38" t="n">
        <f aca="false">Sens!$K$1221+Sens!$K$1222-Sens!$K$1223-Sens!$K$1224+Sens!$K$1225</f>
        <v>127.308375259627</v>
      </c>
      <c r="L1226" s="38" t="n">
        <f aca="false">Sens!$L$1221+Sens!$L$1222-Sens!$L$1223-Sens!$L$1224+Sens!$L$1225</f>
        <v>174.541957861547</v>
      </c>
      <c r="M1226" s="38" t="n">
        <f aca="false">Sens!$M$1221+Sens!$M$1222-Sens!$M$1223-Sens!$M$1224+Sens!$M$1225</f>
        <v>194.52970156678</v>
      </c>
    </row>
    <row r="1227" customFormat="false" ht="15" hidden="false" customHeight="false" outlineLevel="0" collapsed="false">
      <c r="A1227" s="5" t="s">
        <v>916</v>
      </c>
      <c r="B1227" s="0" t="s">
        <v>57</v>
      </c>
      <c r="H1227" s="40" t="n">
        <f aca="false">1/(1+wacc)^(2027-2026-0.5)</f>
        <v>0.947751320380232</v>
      </c>
      <c r="I1227" s="40" t="n">
        <f aca="false">1/(1+wacc)^(2028-2026-0.5)</f>
        <v>0.851301099754987</v>
      </c>
      <c r="J1227" s="40" t="n">
        <f aca="false">1/(1+wacc)^(2029-2026-0.5)</f>
        <v>0.764666370660713</v>
      </c>
      <c r="K1227" s="40" t="n">
        <f aca="false">1/(1+wacc)^(2030-2026-0.5)</f>
        <v>0.686848235703811</v>
      </c>
      <c r="L1227" s="40" t="n">
        <f aca="false">1/(1+wacc)^(2031-2026-0.5)</f>
        <v>0.616949452715975</v>
      </c>
      <c r="M1227" s="40" t="n">
        <f aca="false">1/(1+wacc)^(2032-2026-0.5)</f>
        <v>0.554164089562688</v>
      </c>
    </row>
    <row r="1228" customFormat="false" ht="15" hidden="false" customHeight="false" outlineLevel="0" collapsed="false">
      <c r="A1228" s="5" t="s">
        <v>917</v>
      </c>
      <c r="B1228" s="0" t="s">
        <v>86</v>
      </c>
      <c r="H1228" s="38" t="n">
        <f aca="false">Sens!$H$1226*Sens!$H$1227</f>
        <v>-32.4198022389603</v>
      </c>
      <c r="I1228" s="38" t="n">
        <f aca="false">Sens!$I$1226*Sens!$I$1227</f>
        <v>4.30168386787772</v>
      </c>
      <c r="J1228" s="38" t="n">
        <f aca="false">Sens!$J$1226*Sens!$J$1227</f>
        <v>34.2611614309644</v>
      </c>
      <c r="K1228" s="38" t="n">
        <f aca="false">Sens!$K$1226*Sens!$K$1227</f>
        <v>87.4415329373937</v>
      </c>
      <c r="L1228" s="38" t="n">
        <f aca="false">Sens!$L$1226*Sens!$L$1227</f>
        <v>107.683565378656</v>
      </c>
      <c r="M1228" s="38" t="n">
        <f aca="false">Sens!$M$1226*Sens!$M$1227</f>
        <v>107.801374961656</v>
      </c>
    </row>
    <row r="1229" customFormat="false" ht="15" hidden="false" customHeight="false" outlineLevel="0" collapsed="false">
      <c r="A1229" s="5" t="s">
        <v>918</v>
      </c>
      <c r="B1229" s="0" t="s">
        <v>86</v>
      </c>
      <c r="C1229" s="38" t="n">
        <f aca="false">SUM(Sens!$H$1228:$M$1228)</f>
        <v>309.069516337588</v>
      </c>
    </row>
    <row r="1230" customFormat="false" ht="17.15" hidden="false" customHeight="false" outlineLevel="0" collapsed="false">
      <c r="A1230" s="5" t="s">
        <v>919</v>
      </c>
      <c r="B1230" s="0" t="s">
        <v>86</v>
      </c>
      <c r="C1230" s="38" t="n">
        <f aca="false">Sens!$M$1221*(1+tg)*(1-tg/ronic)/(wacc-tg)</f>
        <v>1790.88785922573</v>
      </c>
    </row>
    <row r="1231" customFormat="false" ht="15" hidden="false" customHeight="false" outlineLevel="0" collapsed="false">
      <c r="A1231" s="5" t="s">
        <v>920</v>
      </c>
      <c r="B1231" s="0" t="s">
        <v>86</v>
      </c>
      <c r="C1231" s="38" t="n">
        <f aca="false">Sens!$C$1230/(1+wacc)^6</f>
        <v>940.591760506565</v>
      </c>
    </row>
    <row r="1232" customFormat="false" ht="17.15" hidden="false" customHeight="false" outlineLevel="0" collapsed="false">
      <c r="A1232" s="5" t="s">
        <v>921</v>
      </c>
      <c r="B1232" s="0" t="s">
        <v>86</v>
      </c>
      <c r="C1232" s="38" t="n">
        <f aca="false">Sens!$C$1229+Sens!$C$1231</f>
        <v>1249.66127684415</v>
      </c>
    </row>
    <row r="1233" customFormat="false" ht="17.15" hidden="false" customHeight="false" outlineLevel="0" collapsed="false">
      <c r="A1233" s="5" t="s">
        <v>922</v>
      </c>
      <c r="B1233" s="0" t="s">
        <v>52</v>
      </c>
      <c r="C1233" s="13" t="n">
        <f aca="false">Sens!$C$1231/Sens!$C$1232</f>
        <v>0.752677367807939</v>
      </c>
    </row>
    <row r="1234" customFormat="false" ht="17.15" hidden="false" customHeight="false" outlineLevel="0" collapsed="false">
      <c r="A1234" s="5" t="s">
        <v>923</v>
      </c>
      <c r="B1234" s="0" t="s">
        <v>86</v>
      </c>
      <c r="C1234" s="38" t="n">
        <f aca="false">Sens!$G$1210+fin_debt</f>
        <v>89.2740886377222</v>
      </c>
    </row>
    <row r="1235" customFormat="false" ht="17.15" hidden="false" customHeight="false" outlineLevel="0" collapsed="false">
      <c r="A1235" s="5" t="s">
        <v>924</v>
      </c>
      <c r="B1235" s="0" t="s">
        <v>86</v>
      </c>
      <c r="C1235" s="38" t="n">
        <f aca="false">(ant_val*ant_sh+oai_val*oai_sh)*(1-liq_disc)</f>
        <v>178.944</v>
      </c>
    </row>
    <row r="1236" customFormat="false" ht="15" hidden="false" customHeight="false" outlineLevel="0" collapsed="false">
      <c r="A1236" s="5" t="s">
        <v>925</v>
      </c>
      <c r="B1236" s="0" t="s">
        <v>86</v>
      </c>
      <c r="C1236" s="38" t="n">
        <f aca="false">Sens!$C$1232-Sens!$C$1234+Sens!$C$1235</f>
        <v>1339.33118820643</v>
      </c>
    </row>
    <row r="1237" customFormat="false" ht="17.15" hidden="false" customHeight="false" outlineLevel="0" collapsed="false">
      <c r="A1237" s="5" t="s">
        <v>926</v>
      </c>
      <c r="B1237" s="0" t="s">
        <v>27</v>
      </c>
      <c r="C1237" s="30" t="n">
        <f aca="false">Sens!$C$1236/sh_out</f>
        <v>124.169497402582</v>
      </c>
    </row>
    <row r="1238" customFormat="false" ht="17.15" hidden="false" customHeight="false" outlineLevel="0" collapsed="false">
      <c r="A1238" s="1" t="s">
        <v>927</v>
      </c>
      <c r="B1238" s="8" t="s">
        <v>27</v>
      </c>
      <c r="C1238" s="30" t="n">
        <f aca="false">Sens!$C$1237*(1+ke)^tp_yf-dps*tp_yf</f>
        <v>136.011399137201</v>
      </c>
    </row>
    <row r="1239" customFormat="false" ht="17.15" hidden="false" customHeight="false" outlineLevel="0" collapsed="false">
      <c r="A1239" s="3" t="s">
        <v>928</v>
      </c>
    </row>
    <row r="1240" customFormat="false" ht="17.15" hidden="false" customHeight="false" outlineLevel="0" collapsed="false">
      <c r="A1240" s="5" t="s">
        <v>929</v>
      </c>
      <c r="B1240" s="0" t="s">
        <v>86</v>
      </c>
      <c r="C1240" s="38" t="n">
        <f aca="false">(1-tp_yf)*(Sens!$H$1167+Sens!$H$1191*Sens!$H$1033/Sens!$H$1108)+tp_yf*(Sens!$I$1167+Sens!$I$1191*Sens!$I$1033/Sens!$I$1108)</f>
        <v>59.634664536349</v>
      </c>
    </row>
    <row r="1241" customFormat="false" ht="15" hidden="false" customHeight="false" outlineLevel="0" collapsed="false">
      <c r="A1241" s="5" t="s">
        <v>930</v>
      </c>
      <c r="B1241" s="0" t="s">
        <v>57</v>
      </c>
      <c r="C1241" s="30" t="n">
        <f aca="false">m_ads*m_x</f>
        <v>9.11</v>
      </c>
    </row>
    <row r="1242" customFormat="false" ht="17.15" hidden="false" customHeight="false" outlineLevel="0" collapsed="false">
      <c r="A1242" s="5" t="s">
        <v>931</v>
      </c>
      <c r="B1242" s="0" t="s">
        <v>86</v>
      </c>
      <c r="C1242" s="38" t="n">
        <f aca="false">Sens!$C$1240*Sens!$C$1241</f>
        <v>543.271793926139</v>
      </c>
    </row>
    <row r="1243" customFormat="false" ht="17.15" hidden="false" customHeight="false" outlineLevel="0" collapsed="false">
      <c r="A1243" s="5" t="s">
        <v>932</v>
      </c>
      <c r="B1243" s="0" t="s">
        <v>86</v>
      </c>
      <c r="C1243" s="38" t="n">
        <f aca="false">(1-tp_yf)*(Sens!$H$1168+Sens!$H$1191*(Sens!$H$1040-Sens!$H$1033)/Sens!$H$1108+IF(internal_ai_reading=2,1,0)*(1-ext_sh_hi)*Sens!$H$1070)+tp_yf*(Sens!$I$1168+Sens!$I$1191*(Sens!$I$1040-Sens!$I$1033)/Sens!$I$1108+IF(internal_ai_reading=2,1,0)*(1-ext_sh_hi)*Sens!$I$1070)</f>
        <v>48.2673138433763</v>
      </c>
    </row>
    <row r="1244" customFormat="false" ht="17.15" hidden="false" customHeight="false" outlineLevel="0" collapsed="false">
      <c r="A1244" s="5" t="s">
        <v>933</v>
      </c>
      <c r="B1244" s="0" t="s">
        <v>57</v>
      </c>
      <c r="C1244" s="30" t="n">
        <f aca="false">m_retail*m_x</f>
        <v>17.72</v>
      </c>
    </row>
    <row r="1245" customFormat="false" ht="17.15" hidden="false" customHeight="false" outlineLevel="0" collapsed="false">
      <c r="A1245" s="5" t="s">
        <v>934</v>
      </c>
      <c r="B1245" s="0" t="s">
        <v>86</v>
      </c>
      <c r="C1245" s="38" t="n">
        <f aca="false">Sens!$C$1243*Sens!$C$1244</f>
        <v>855.296801304628</v>
      </c>
    </row>
    <row r="1246" customFormat="false" ht="17.15" hidden="false" customHeight="false" outlineLevel="0" collapsed="false">
      <c r="A1246" s="0" t="s">
        <v>935</v>
      </c>
      <c r="B1246" s="0" t="s">
        <v>86</v>
      </c>
      <c r="C1246" s="38" t="n">
        <f aca="false">(1-tp_yf)*(Sens!$H$1169+Sens!$H$1191*Sens!$H$1106/Sens!$H$1108)+tp_yf*(Sens!$I$1169+Sens!$I$1191*Sens!$I$1106/Sens!$I$1108)</f>
        <v>98.4550051598806</v>
      </c>
    </row>
    <row r="1247" customFormat="false" ht="17.15" hidden="false" customHeight="false" outlineLevel="0" collapsed="false">
      <c r="A1247" s="0" t="s">
        <v>936</v>
      </c>
      <c r="B1247" s="0" t="s">
        <v>57</v>
      </c>
      <c r="C1247" s="30" t="n">
        <f aca="false">m_cloud*m_x</f>
        <v>13.82</v>
      </c>
    </row>
    <row r="1248" customFormat="false" ht="17.15" hidden="false" customHeight="false" outlineLevel="0" collapsed="false">
      <c r="A1248" s="0" t="s">
        <v>937</v>
      </c>
      <c r="B1248" s="0" t="s">
        <v>86</v>
      </c>
      <c r="C1248" s="38" t="n">
        <f aca="false">Sens!$C$1246*Sens!$C$1247</f>
        <v>1360.64817130955</v>
      </c>
    </row>
    <row r="1249" customFormat="false" ht="17.15" hidden="false" customHeight="false" outlineLevel="0" collapsed="false">
      <c r="A1249" s="0" t="s">
        <v>938</v>
      </c>
      <c r="B1249" s="0" t="s">
        <v>86</v>
      </c>
      <c r="H1249" s="38" t="n">
        <f aca="false">Sens!$H$1087-tax*Sens!$H$1088-ext_sh_hi*Sens!$H$1077</f>
        <v>-113.643048426014</v>
      </c>
      <c r="I1249" s="38" t="n">
        <f aca="false">Sens!$I$1087-tax*Sens!$I$1088-ext_sh_hi*Sens!$I$1077</f>
        <v>-87.3511679174583</v>
      </c>
      <c r="J1249" s="38" t="n">
        <f aca="false">Sens!$J$1087-tax*Sens!$J$1088-ext_sh_hi*Sens!$J$1077</f>
        <v>-60.1087189358168</v>
      </c>
      <c r="K1249" s="38" t="n">
        <f aca="false">Sens!$K$1087-tax*Sens!$K$1088-ext_sh_hi*Sens!$K$1077</f>
        <v>11.0953103695617</v>
      </c>
      <c r="L1249" s="38" t="n">
        <f aca="false">Sens!$L$1087-tax*Sens!$L$1088-ext_sh_hi*Sens!$L$1077</f>
        <v>47.5894206311839</v>
      </c>
      <c r="M1249" s="38" t="n">
        <f aca="false">Sens!$M$1087-tax*Sens!$M$1088-ext_sh_hi*Sens!$M$1077</f>
        <v>56.0280438489996</v>
      </c>
    </row>
    <row r="1250" customFormat="false" ht="17.15" hidden="false" customHeight="false" outlineLevel="0" collapsed="false">
      <c r="A1250" s="5" t="s">
        <v>939</v>
      </c>
      <c r="B1250" s="0" t="s">
        <v>86</v>
      </c>
      <c r="H1250" s="38" t="n">
        <f aca="false">Sens!$H$1249*Sens!$H$1227</f>
        <v>-107.70534919779</v>
      </c>
      <c r="I1250" s="38" t="n">
        <f aca="false">Sens!$I$1249*Sens!$I$1227</f>
        <v>-74.3621453130148</v>
      </c>
      <c r="J1250" s="38" t="n">
        <f aca="false">Sens!$J$1249*Sens!$J$1227</f>
        <v>-45.9631159537159</v>
      </c>
      <c r="K1250" s="38" t="n">
        <f aca="false">Sens!$K$1249*Sens!$K$1227</f>
        <v>7.62079435191962</v>
      </c>
      <c r="L1250" s="38" t="n">
        <f aca="false">Sens!$L$1249*Sens!$L$1227</f>
        <v>29.3602670134792</v>
      </c>
      <c r="M1250" s="38" t="n">
        <f aca="false">Sens!$M$1249*Sens!$M$1227</f>
        <v>31.0487299095593</v>
      </c>
    </row>
    <row r="1251" customFormat="false" ht="17.15" hidden="false" customHeight="false" outlineLevel="0" collapsed="false">
      <c r="A1251" s="5" t="s">
        <v>940</v>
      </c>
      <c r="B1251" s="0" t="s">
        <v>86</v>
      </c>
      <c r="C1251" s="38" t="n">
        <f aca="false">Sens!$M$1088*(1-tax)*(1+tg)*(1-tg/ronic)/(wacc-tg)</f>
        <v>336.073033384084</v>
      </c>
    </row>
    <row r="1252" customFormat="false" ht="17.15" hidden="false" customHeight="false" outlineLevel="0" collapsed="false">
      <c r="A1252" s="0" t="s">
        <v>941</v>
      </c>
      <c r="B1252" s="0" t="s">
        <v>86</v>
      </c>
      <c r="C1252" s="38" t="n">
        <f aca="false">(SUM(Sens!$H$1250:$M$1250)+Sens!$C$1251/(1+wacc)^6)*(1+wacc)^tp_yf</f>
        <v>18.0304017151649</v>
      </c>
    </row>
    <row r="1253" customFormat="false" ht="17.15" hidden="false" customHeight="false" outlineLevel="0" collapsed="false">
      <c r="A1253" s="5" t="s">
        <v>942</v>
      </c>
      <c r="B1253" s="0" t="s">
        <v>86</v>
      </c>
      <c r="C1253" s="38" t="n">
        <f aca="false">(1-tp_yf)*(Sens!$H$1170)+tp_yf*(Sens!$I$1170)</f>
        <v>74.6707041238437</v>
      </c>
    </row>
    <row r="1254" customFormat="false" ht="17.15" hidden="false" customHeight="false" outlineLevel="0" collapsed="false">
      <c r="A1254" s="5" t="s">
        <v>943</v>
      </c>
      <c r="B1254" s="0" t="s">
        <v>86</v>
      </c>
      <c r="C1254" s="38" t="n">
        <f aca="false">Sens!$C$1253*m_ai</f>
        <v>448.024224743062</v>
      </c>
    </row>
    <row r="1255" customFormat="false" ht="17.15" hidden="false" customHeight="false" outlineLevel="0" collapsed="false">
      <c r="A1255" s="0" t="s">
        <v>944</v>
      </c>
      <c r="B1255" s="0" t="s">
        <v>86</v>
      </c>
      <c r="C1255" s="38" t="n">
        <f aca="false">IF(ai_leg=1,Sens!$C$1252,Sens!$C$1254)</f>
        <v>18.0304017151649</v>
      </c>
    </row>
    <row r="1256" customFormat="false" ht="17.15" hidden="false" customHeight="false" outlineLevel="0" collapsed="false">
      <c r="A1256" s="5" t="s">
        <v>945</v>
      </c>
      <c r="B1256" s="0" t="s">
        <v>86</v>
      </c>
      <c r="C1256" s="38" t="n">
        <f aca="false">Sens!$C$1242+Sens!$C$1245+Sens!$C$1248+Sens!$C$1255</f>
        <v>2777.24716825548</v>
      </c>
    </row>
    <row r="1257" customFormat="false" ht="17.15" hidden="false" customHeight="false" outlineLevel="0" collapsed="false">
      <c r="A1257" s="5" t="s">
        <v>946</v>
      </c>
      <c r="B1257" s="0" t="s">
        <v>86</v>
      </c>
      <c r="C1257" s="38" t="n">
        <f aca="false">Sens!$H$1210+fin_debt</f>
        <v>102.760459484396</v>
      </c>
    </row>
    <row r="1258" customFormat="false" ht="15" hidden="false" customHeight="false" outlineLevel="0" collapsed="false">
      <c r="A1258" s="5" t="s">
        <v>947</v>
      </c>
      <c r="B1258" s="0" t="s">
        <v>86</v>
      </c>
      <c r="C1258" s="38" t="n">
        <f aca="false">Sens!$C$1256-Sens!$C$1257+Sens!$C$1235</f>
        <v>2853.43070877109</v>
      </c>
    </row>
    <row r="1259" customFormat="false" ht="15" hidden="false" customHeight="false" outlineLevel="0" collapsed="false">
      <c r="A1259" s="3" t="s">
        <v>948</v>
      </c>
      <c r="B1259" s="8" t="s">
        <v>27</v>
      </c>
      <c r="C1259" s="30" t="n">
        <f aca="false">Sens!$C$1258/sh_val</f>
        <v>258.689889405785</v>
      </c>
    </row>
    <row r="1260" customFormat="false" ht="17.15" hidden="false" customHeight="false" outlineLevel="0" collapsed="false">
      <c r="A1260" s="47" t="s">
        <v>949</v>
      </c>
      <c r="B1260" s="14" t="s">
        <v>27</v>
      </c>
      <c r="C1260" s="44" t="n">
        <f aca="false">w_dcf*Sens!$C$1238+(1-w_dcf)*Sens!$C$1259</f>
        <v>197.350644271493</v>
      </c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</row>
    <row r="1261" customFormat="false" ht="17.15" hidden="false" customHeight="false" outlineLevel="0" collapsed="false">
      <c r="A1261" s="5" t="s">
        <v>950</v>
      </c>
      <c r="B1261" s="0" t="s">
        <v>27</v>
      </c>
      <c r="C1261" s="30" t="n">
        <f aca="false">v022_wdcf*Sens!$C$1238+(1-v022_wdcf)*Sens!$C$1259</f>
        <v>203.484568784922</v>
      </c>
    </row>
    <row r="1262" customFormat="false" ht="17.15" hidden="false" customHeight="false" outlineLevel="0" collapsed="false">
      <c r="A1262" s="5" t="s">
        <v>951</v>
      </c>
      <c r="B1262" s="0" t="s">
        <v>27</v>
      </c>
      <c r="C1262" s="30" t="n">
        <f aca="false">(Sens!$C$1258-Sens!$C$1255+Sens!$C$1254)/sh_val</f>
        <v>297.672807120358</v>
      </c>
    </row>
    <row r="1265" customFormat="false" ht="19.4" hidden="false" customHeight="false" outlineLevel="0" collapsed="false">
      <c r="A1265" s="31" t="s">
        <v>1152</v>
      </c>
    </row>
    <row r="1266" customFormat="false" ht="17.15" hidden="false" customHeight="false" outlineLevel="0" collapsed="false">
      <c r="A1266" s="6" t="s">
        <v>16</v>
      </c>
      <c r="B1266" s="6" t="s">
        <v>17</v>
      </c>
      <c r="C1266" s="20" t="s">
        <v>494</v>
      </c>
      <c r="D1266" s="20" t="s">
        <v>495</v>
      </c>
      <c r="E1266" s="20" t="s">
        <v>577</v>
      </c>
      <c r="F1266" s="20" t="s">
        <v>578</v>
      </c>
      <c r="G1266" s="20" t="s">
        <v>579</v>
      </c>
      <c r="H1266" s="20" t="s">
        <v>580</v>
      </c>
      <c r="I1266" s="20" t="s">
        <v>581</v>
      </c>
      <c r="J1266" s="20" t="s">
        <v>582</v>
      </c>
      <c r="K1266" s="20" t="s">
        <v>583</v>
      </c>
      <c r="L1266" s="20" t="s">
        <v>584</v>
      </c>
      <c r="M1266" s="20" t="s">
        <v>585</v>
      </c>
      <c r="N1266" s="20" t="s">
        <v>586</v>
      </c>
      <c r="O1266" s="20" t="s">
        <v>587</v>
      </c>
      <c r="P1266" s="6" t="s">
        <v>23</v>
      </c>
      <c r="R1266" s="20" t="n">
        <v>2023</v>
      </c>
      <c r="S1266" s="20" t="n">
        <v>2024</v>
      </c>
      <c r="T1266" s="20" t="n">
        <v>2025</v>
      </c>
      <c r="U1266" s="20" t="n">
        <v>2026</v>
      </c>
      <c r="V1266" s="20" t="n">
        <v>2027</v>
      </c>
      <c r="W1266" s="20" t="n">
        <v>2028</v>
      </c>
      <c r="X1266" s="20" t="n">
        <v>2029</v>
      </c>
      <c r="Y1266" s="20" t="n">
        <v>2030</v>
      </c>
      <c r="Z1266" s="20" t="n">
        <v>2031</v>
      </c>
      <c r="AA1266" s="20" t="n">
        <v>2032</v>
      </c>
    </row>
    <row r="1267" customFormat="false" ht="17.15" hidden="false" customHeight="false" outlineLevel="0" collapsed="false">
      <c r="A1267" s="1" t="s">
        <v>660</v>
      </c>
    </row>
    <row r="1268" customFormat="false" ht="17.15" hidden="false" customHeight="false" outlineLevel="0" collapsed="false">
      <c r="A1268" s="0" t="s">
        <v>516</v>
      </c>
      <c r="B1268" s="0" t="s">
        <v>86</v>
      </c>
      <c r="C1268" s="38" t="n">
        <f aca="false">Q!$D$10</f>
        <v>247.029</v>
      </c>
      <c r="D1268" s="38" t="n">
        <f aca="false">Q!$E$10</f>
        <v>269.287</v>
      </c>
      <c r="E1268" s="38" t="n">
        <f aca="false">Q!$P$10</f>
        <v>134.686</v>
      </c>
      <c r="F1268" s="38" t="n">
        <f aca="false">Sens!$O$1268*(1+Sens!$F$1269)*Sens!$F$1280</f>
        <v>158.850067275712</v>
      </c>
      <c r="G1268" s="38" t="n">
        <f aca="false">Sens!$E$1268+Sens!$F$1268</f>
        <v>293.536067275712</v>
      </c>
      <c r="H1268" s="38" t="n">
        <f aca="false">Sens!$G$1268*(1+Sens!$H$1269)</f>
        <v>318.78858186036</v>
      </c>
      <c r="I1268" s="38" t="n">
        <f aca="false">Sens!$H$1268*(1+Sens!$I$1269)</f>
        <v>342.385027945199</v>
      </c>
      <c r="J1268" s="38" t="n">
        <f aca="false">Sens!$I$1268*(1+Sens!$J$1269)</f>
        <v>363.616170617583</v>
      </c>
      <c r="K1268" s="38" t="n">
        <f aca="false">Sens!$J$1268*(1+Sens!$K$1269)</f>
        <v>381.796979148463</v>
      </c>
      <c r="L1268" s="38" t="n">
        <f aca="false">Sens!$K$1268*(1+Sens!$L$1269)</f>
        <v>400.886828105886</v>
      </c>
      <c r="M1268" s="38" t="n">
        <f aca="false">Sens!$L$1268*(1+Sens!$M$1269)</f>
        <v>420.93116951118</v>
      </c>
      <c r="N1268" s="38" t="n">
        <f aca="false">Q!$N$10</f>
        <v>118.892</v>
      </c>
      <c r="O1268" s="38" t="n">
        <f aca="false">Q!$O$10</f>
        <v>150.395</v>
      </c>
      <c r="P1268" s="8" t="s">
        <v>661</v>
      </c>
    </row>
    <row r="1269" customFormat="false" ht="17.15" hidden="false" customHeight="false" outlineLevel="0" collapsed="false">
      <c r="A1269" s="0" t="s">
        <v>662</v>
      </c>
      <c r="B1269" s="0" t="s">
        <v>52</v>
      </c>
      <c r="E1269" s="13" t="n">
        <f aca="false">Sens!$E$1268/Sens!$N$1268-1</f>
        <v>0.132843252699929</v>
      </c>
      <c r="F1269" s="13" t="n">
        <f aca="false">Sens!$O$1268/(Q!$F$10+Q!$G$10)-1</f>
        <v>0.0980382135842941</v>
      </c>
      <c r="G1269" s="13" t="n">
        <f aca="false">Sens!$G$1268/Sens!$D$1268-1</f>
        <v>0.0900491567573316</v>
      </c>
      <c r="H1269" s="13" t="n">
        <f aca="false">Sens!$F$1269+(g_os-Sens!$F$1269)*1/4</f>
        <v>0.0860286601882206</v>
      </c>
      <c r="I1269" s="13" t="n">
        <f aca="false">Sens!$F$1269+(g_os-Sens!$F$1269)*2/4</f>
        <v>0.074019106792147</v>
      </c>
      <c r="J1269" s="13" t="n">
        <f aca="false">Sens!$F$1269+(g_os-Sens!$F$1269)*3/4</f>
        <v>0.0620095533960735</v>
      </c>
      <c r="K1269" s="13" t="n">
        <f aca="false">Sens!$F$1269+(g_os-Sens!$F$1269)*4/4</f>
        <v>0.05</v>
      </c>
      <c r="L1269" s="13" t="n">
        <f aca="false">g_os</f>
        <v>0.05</v>
      </c>
      <c r="M1269" s="13" t="n">
        <f aca="false">g_os</f>
        <v>0.05</v>
      </c>
      <c r="P1269" s="8" t="s">
        <v>663</v>
      </c>
    </row>
    <row r="1270" customFormat="false" ht="17.15" hidden="false" customHeight="false" outlineLevel="0" collapsed="false">
      <c r="A1270" s="0" t="s">
        <v>517</v>
      </c>
      <c r="B1270" s="0" t="s">
        <v>86</v>
      </c>
      <c r="C1270" s="38" t="n">
        <f aca="false">Q!$D$11</f>
        <v>21.215</v>
      </c>
      <c r="D1270" s="38" t="n">
        <f aca="false">Q!$E$11</f>
        <v>22.561</v>
      </c>
      <c r="E1270" s="38" t="n">
        <f aca="false">Q!$P$11</f>
        <v>11.579</v>
      </c>
      <c r="F1270" s="38" t="n">
        <f aca="false">Sens!$O$1270*(1+Sens!$F$1271)*Sens!$F$1280</f>
        <v>11.6346093569298</v>
      </c>
      <c r="G1270" s="38" t="n">
        <f aca="false">Sens!$E$1270+Sens!$F$1270</f>
        <v>23.2136093569298</v>
      </c>
      <c r="H1270" s="38" t="n">
        <f aca="false">Sens!$G$1270*(1+Sens!$H$1271)</f>
        <v>24.3962049584363</v>
      </c>
      <c r="I1270" s="38" t="n">
        <f aca="false">Sens!$H$1270*(1+Sens!$I$1271)</f>
        <v>25.4687282263902</v>
      </c>
      <c r="J1270" s="38" t="n">
        <f aca="false">Sens!$I$1270*(1+Sens!$J$1271)</f>
        <v>26.4105962981158</v>
      </c>
      <c r="K1270" s="38" t="n">
        <f aca="false">Sens!$J$1270*(1+Sens!$K$1271)</f>
        <v>27.2029141870593</v>
      </c>
      <c r="L1270" s="38" t="n">
        <f aca="false">Sens!$K$1270*(1+Sens!$L$1271)</f>
        <v>28.0190016126711</v>
      </c>
      <c r="M1270" s="38" t="n">
        <f aca="false">Sens!$L$1270*(1+Sens!$M$1271)</f>
        <v>28.8595716610512</v>
      </c>
      <c r="N1270" s="38" t="n">
        <f aca="false">Q!$N$11</f>
        <v>11.128</v>
      </c>
      <c r="O1270" s="38" t="n">
        <f aca="false">Q!$O$11</f>
        <v>11.433</v>
      </c>
      <c r="P1270" s="8" t="s">
        <v>661</v>
      </c>
    </row>
    <row r="1271" customFormat="false" ht="17.15" hidden="false" customHeight="false" outlineLevel="0" collapsed="false">
      <c r="A1271" s="0" t="s">
        <v>664</v>
      </c>
      <c r="B1271" s="0" t="s">
        <v>52</v>
      </c>
      <c r="E1271" s="13" t="n">
        <f aca="false">Sens!$E$1270/Sens!$N$1270-1</f>
        <v>0.0405283968368082</v>
      </c>
      <c r="F1271" s="13" t="n">
        <f aca="false">Sens!$O$1270/(Q!$F$11+Q!$G$11)-1</f>
        <v>0.0579254187100955</v>
      </c>
      <c r="G1271" s="13" t="n">
        <f aca="false">Sens!$G$1270/Sens!$D$1270-1</f>
        <v>0.0289264375218197</v>
      </c>
      <c r="H1271" s="13" t="n">
        <f aca="false">Sens!$F$1271+(g_ps-Sens!$F$1271)*1/4</f>
        <v>0.0509440640325716</v>
      </c>
      <c r="I1271" s="13" t="n">
        <f aca="false">Sens!$F$1271+(g_ps-Sens!$F$1271)*2/4</f>
        <v>0.0439627093550477</v>
      </c>
      <c r="J1271" s="13" t="n">
        <f aca="false">Sens!$F$1271+(g_ps-Sens!$F$1271)*3/4</f>
        <v>0.0369813546775239</v>
      </c>
      <c r="K1271" s="13" t="n">
        <f aca="false">Sens!$F$1271+(g_ps-Sens!$F$1271)*4/4</f>
        <v>0.03</v>
      </c>
      <c r="L1271" s="13" t="n">
        <f aca="false">g_ps</f>
        <v>0.03</v>
      </c>
      <c r="M1271" s="13" t="n">
        <f aca="false">g_ps</f>
        <v>0.03</v>
      </c>
      <c r="P1271" s="8" t="s">
        <v>665</v>
      </c>
    </row>
    <row r="1272" customFormat="false" ht="17.15" hidden="false" customHeight="false" outlineLevel="0" collapsed="false">
      <c r="A1272" s="0" t="s">
        <v>518</v>
      </c>
      <c r="B1272" s="0" t="s">
        <v>86</v>
      </c>
      <c r="C1272" s="38" t="n">
        <f aca="false">Q!$D$12</f>
        <v>156.146</v>
      </c>
      <c r="D1272" s="38" t="n">
        <f aca="false">Q!$E$12</f>
        <v>172.162</v>
      </c>
      <c r="E1272" s="38" t="n">
        <f aca="false">Q!$P$12</f>
        <v>88.358</v>
      </c>
      <c r="F1272" s="38" t="n">
        <f aca="false">Sens!$O$1272*(1+Sens!$F$1273)*Sens!$F$1280</f>
        <v>102.362796734957</v>
      </c>
      <c r="G1272" s="38" t="n">
        <f aca="false">Sens!$E$1272+Sens!$F$1272</f>
        <v>190.720796734957</v>
      </c>
      <c r="H1272" s="38" t="n">
        <f aca="false">Sens!$G$1272*(1+Sens!$H$1273)</f>
        <v>210.739134147658</v>
      </c>
      <c r="I1272" s="38" t="n">
        <f aca="false">Sens!$H$1272*(1+Sens!$I$1273)</f>
        <v>230.402708456656</v>
      </c>
      <c r="J1272" s="38" t="n">
        <f aca="false">Sens!$I$1272*(1+Sens!$J$1273)</f>
        <v>249.215971405616</v>
      </c>
      <c r="K1272" s="38" t="n">
        <f aca="false">Sens!$J$1272*(1+Sens!$K$1273)</f>
        <v>266.661089404009</v>
      </c>
      <c r="L1272" s="38" t="n">
        <f aca="false">Sens!$K$1272*(1+Sens!$L$1273)</f>
        <v>285.32736566229</v>
      </c>
      <c r="M1272" s="38" t="n">
        <f aca="false">Sens!$L$1272*(1+Sens!$M$1273)</f>
        <v>305.30028125865</v>
      </c>
      <c r="N1272" s="38" t="n">
        <f aca="false">Q!$N$12</f>
        <v>76.86</v>
      </c>
      <c r="O1272" s="38" t="n">
        <f aca="false">Q!$O$12</f>
        <v>95.302</v>
      </c>
      <c r="P1272" s="8" t="s">
        <v>661</v>
      </c>
    </row>
    <row r="1273" customFormat="false" ht="17.15" hidden="false" customHeight="false" outlineLevel="0" collapsed="false">
      <c r="A1273" s="0" t="s">
        <v>666</v>
      </c>
      <c r="B1273" s="0" t="s">
        <v>52</v>
      </c>
      <c r="E1273" s="13" t="n">
        <f aca="false">Sens!$E$1272/Sens!$N$1272-1</f>
        <v>0.1495966692688</v>
      </c>
      <c r="F1273" s="13" t="n">
        <f aca="false">Sens!$O$1272/(Q!$F$12+Q!$G$12)-1</f>
        <v>0.11661530890813</v>
      </c>
      <c r="G1273" s="13" t="n">
        <f aca="false">Sens!$G$1272/Sens!$D$1272-1</f>
        <v>0.107798449919013</v>
      </c>
      <c r="H1273" s="13" t="n">
        <f aca="false">Sens!$F$1273+(g_sp-Sens!$F$1273)*1/4</f>
        <v>0.104961481681098</v>
      </c>
      <c r="I1273" s="13" t="n">
        <f aca="false">Sens!$F$1273+(g_sp-Sens!$F$1273)*2/4</f>
        <v>0.0933076544540651</v>
      </c>
      <c r="J1273" s="13" t="n">
        <f aca="false">Sens!$F$1273+(g_sp-Sens!$F$1273)*3/4</f>
        <v>0.0816538272270325</v>
      </c>
      <c r="K1273" s="13" t="n">
        <f aca="false">Sens!$F$1273+(g_sp-Sens!$F$1273)*4/4</f>
        <v>0.07</v>
      </c>
      <c r="L1273" s="13" t="n">
        <f aca="false">g_sp</f>
        <v>0.07</v>
      </c>
      <c r="M1273" s="13" t="n">
        <f aca="false">g_sp</f>
        <v>0.07</v>
      </c>
      <c r="P1273" s="8" t="s">
        <v>667</v>
      </c>
    </row>
    <row r="1274" customFormat="false" ht="17.15" hidden="false" customHeight="false" outlineLevel="0" collapsed="false">
      <c r="A1274" s="0" t="s">
        <v>519</v>
      </c>
      <c r="B1274" s="0" t="s">
        <v>86</v>
      </c>
      <c r="C1274" s="38" t="n">
        <f aca="false">Q!$D$13</f>
        <v>56.214</v>
      </c>
      <c r="D1274" s="38" t="n">
        <f aca="false">Q!$E$13</f>
        <v>68.635</v>
      </c>
      <c r="E1274" s="38" t="n">
        <f aca="false">Q!$P$13</f>
        <v>37.052</v>
      </c>
      <c r="F1274" s="38" t="n">
        <f aca="false">Sens!$O$1274*(1+Sens!$F$1275)*Sens!$F$1280</f>
        <v>46.319402659556</v>
      </c>
      <c r="G1274" s="38" t="n">
        <f aca="false">Sens!$E$1274+Sens!$F$1274</f>
        <v>83.371402659556</v>
      </c>
      <c r="H1274" s="38" t="n">
        <f aca="false">Sens!$G$1274*(1+Sens!$H$1275)</f>
        <v>100.091628562647</v>
      </c>
      <c r="I1274" s="38" t="n">
        <f aca="false">Sens!$H$1274*(1+Sens!$I$1275)</f>
        <v>116.810339833472</v>
      </c>
      <c r="J1274" s="38" t="n">
        <f aca="false">Sens!$I$1274*(1+Sens!$J$1275)</f>
        <v>132.406509586357</v>
      </c>
      <c r="K1274" s="38" t="n">
        <f aca="false">Sens!$J$1274*(1+Sens!$K$1275)</f>
        <v>145.647160544992</v>
      </c>
      <c r="L1274" s="38" t="n">
        <f aca="false">Sens!$K$1274*(1+Sens!$L$1275)</f>
        <v>160.211876599492</v>
      </c>
      <c r="M1274" s="38" t="n">
        <f aca="false">Sens!$L$1274*(1+Sens!$M$1275)</f>
        <v>176.233064259441</v>
      </c>
      <c r="N1274" s="38" t="n">
        <f aca="false">Q!$N$13</f>
        <v>29.615</v>
      </c>
      <c r="O1274" s="38" t="n">
        <f aca="false">Q!$O$13</f>
        <v>39.02</v>
      </c>
      <c r="P1274" s="8" t="s">
        <v>661</v>
      </c>
    </row>
    <row r="1275" customFormat="false" ht="17.15" hidden="false" customHeight="false" outlineLevel="0" collapsed="false">
      <c r="A1275" s="0" t="s">
        <v>668</v>
      </c>
      <c r="B1275" s="0" t="s">
        <v>52</v>
      </c>
      <c r="E1275" s="13" t="n">
        <f aca="false">Sens!$E$1274/Sens!$N$1274-1</f>
        <v>0.25112274185379</v>
      </c>
      <c r="F1275" s="13" t="n">
        <f aca="false">Sens!$O$1274/(Q!$F$13+Q!$G$13)-1</f>
        <v>0.234068123596572</v>
      </c>
      <c r="G1275" s="13" t="n">
        <f aca="false">Sens!$G$1274/Sens!$D$1274-1</f>
        <v>0.21470682100322</v>
      </c>
      <c r="H1275" s="13" t="n">
        <f aca="false">Sens!$F$1275+(g_ad-Sens!$F$1275)*1/4</f>
        <v>0.200551092697429</v>
      </c>
      <c r="I1275" s="13" t="n">
        <f aca="false">Sens!$F$1275+(g_ad-Sens!$F$1275)*2/4</f>
        <v>0.167034061798286</v>
      </c>
      <c r="J1275" s="13" t="n">
        <f aca="false">Sens!$F$1275+(g_ad-Sens!$F$1275)*3/4</f>
        <v>0.133517030899143</v>
      </c>
      <c r="K1275" s="13" t="n">
        <f aca="false">Sens!$F$1275+(g_ad-Sens!$F$1275)*4/4</f>
        <v>0.1</v>
      </c>
      <c r="L1275" s="13" t="n">
        <f aca="false">g_ad</f>
        <v>0.1</v>
      </c>
      <c r="M1275" s="13" t="n">
        <f aca="false">g_ad</f>
        <v>0.1</v>
      </c>
      <c r="P1275" s="8" t="s">
        <v>669</v>
      </c>
    </row>
    <row r="1276" customFormat="false" ht="17.15" hidden="false" customHeight="false" outlineLevel="0" collapsed="false">
      <c r="A1276" s="0" t="s">
        <v>520</v>
      </c>
      <c r="B1276" s="0" t="s">
        <v>86</v>
      </c>
      <c r="C1276" s="38" t="n">
        <f aca="false">Q!$D$14</f>
        <v>44.374</v>
      </c>
      <c r="D1276" s="38" t="n">
        <f aca="false">Q!$E$14</f>
        <v>49.619</v>
      </c>
      <c r="E1276" s="38" t="n">
        <f aca="false">Q!$P$14</f>
        <v>27.157</v>
      </c>
      <c r="F1276" s="38" t="n">
        <f aca="false">Sens!$O$1276*(1+Sens!$F$1277)*Sens!$F$1280</f>
        <v>27.8740134108545</v>
      </c>
      <c r="G1276" s="38" t="n">
        <f aca="false">Sens!$E$1276+Sens!$F$1276</f>
        <v>55.0310134108545</v>
      </c>
      <c r="H1276" s="38" t="n">
        <f aca="false">Sens!$G$1276*(1+Sens!$H$1277)</f>
        <v>61.2650640788891</v>
      </c>
      <c r="I1276" s="38" t="n">
        <f aca="false">Sens!$H$1276*(1+Sens!$I$1277)</f>
        <v>67.3214219077462</v>
      </c>
      <c r="J1276" s="38" t="n">
        <f aca="false">Sens!$I$1276*(1+Sens!$J$1277)</f>
        <v>73.0052012115448</v>
      </c>
      <c r="K1276" s="38" t="n">
        <f aca="false">Sens!$J$1276*(1+Sens!$K$1277)</f>
        <v>78.115565296353</v>
      </c>
      <c r="L1276" s="38" t="n">
        <f aca="false">Sens!$K$1276*(1+Sens!$L$1277)</f>
        <v>83.5836548670977</v>
      </c>
      <c r="M1276" s="38" t="n">
        <f aca="false">Sens!$L$1276*(1+Sens!$M$1277)</f>
        <v>89.4345107077945</v>
      </c>
      <c r="N1276" s="38" t="n">
        <f aca="false">Q!$N$14</f>
        <v>23.923</v>
      </c>
      <c r="O1276" s="38" t="n">
        <f aca="false">Q!$O$14</f>
        <v>25.696</v>
      </c>
      <c r="P1276" s="8" t="s">
        <v>661</v>
      </c>
    </row>
    <row r="1277" customFormat="false" ht="17.15" hidden="false" customHeight="false" outlineLevel="0" collapsed="false">
      <c r="A1277" s="0" t="s">
        <v>670</v>
      </c>
      <c r="B1277" s="0" t="s">
        <v>52</v>
      </c>
      <c r="E1277" s="13" t="n">
        <f aca="false">Sens!$E$1276/Sens!$N$1276-1</f>
        <v>0.135183714417088</v>
      </c>
      <c r="F1277" s="13" t="n">
        <f aca="false">Sens!$O$1276/(Q!$F$14+Q!$G$14)-1</f>
        <v>0.127709997366804</v>
      </c>
      <c r="G1277" s="13" t="n">
        <f aca="false">Sens!$G$1276/Sens!$D$1276-1</f>
        <v>0.109071392225852</v>
      </c>
      <c r="H1277" s="13" t="n">
        <f aca="false">Sens!$F$1277+(g_sub-Sens!$F$1277)*1/4</f>
        <v>0.113282498025103</v>
      </c>
      <c r="I1277" s="13" t="n">
        <f aca="false">Sens!$F$1277+(g_sub-Sens!$F$1277)*2/4</f>
        <v>0.0988549986834021</v>
      </c>
      <c r="J1277" s="13" t="n">
        <f aca="false">Sens!$F$1277+(g_sub-Sens!$F$1277)*3/4</f>
        <v>0.084427499341701</v>
      </c>
      <c r="K1277" s="13" t="n">
        <f aca="false">Sens!$F$1277+(g_sub-Sens!$F$1277)*4/4</f>
        <v>0.07</v>
      </c>
      <c r="L1277" s="13" t="n">
        <f aca="false">g_sub</f>
        <v>0.07</v>
      </c>
      <c r="M1277" s="13" t="n">
        <f aca="false">g_sub</f>
        <v>0.07</v>
      </c>
      <c r="P1277" s="8" t="s">
        <v>671</v>
      </c>
    </row>
    <row r="1278" customFormat="false" ht="17.15" hidden="false" customHeight="false" outlineLevel="0" collapsed="false">
      <c r="A1278" s="0" t="s">
        <v>521</v>
      </c>
      <c r="B1278" s="0" t="s">
        <v>86</v>
      </c>
      <c r="C1278" s="38" t="n">
        <f aca="false">Q!$D$15</f>
        <v>5.425</v>
      </c>
      <c r="D1278" s="38" t="n">
        <f aca="false">Q!$E$15</f>
        <v>5.935</v>
      </c>
      <c r="E1278" s="38" t="n">
        <f aca="false">Q!$P$15</f>
        <v>3.474</v>
      </c>
      <c r="F1278" s="38" t="n">
        <f aca="false">Sens!$O$1278*(1+Sens!$F$1279)*Sens!$F$1280</f>
        <v>3.23378814865366</v>
      </c>
      <c r="G1278" s="38" t="n">
        <f aca="false">Sens!$E$1278+Sens!$F$1278</f>
        <v>6.70778814865366</v>
      </c>
      <c r="H1278" s="38" t="n">
        <f aca="false">Sens!$G$1278*(1+Sens!$H$1279)</f>
        <v>7.17462409356706</v>
      </c>
      <c r="I1278" s="38" t="n">
        <f aca="false">Sens!$H$1278*(1+Sens!$I$1279)</f>
        <v>7.62708510146572</v>
      </c>
      <c r="J1278" s="38" t="n">
        <f aca="false">Sens!$I$1278*(1+Sens!$J$1279)</f>
        <v>8.05825974966217</v>
      </c>
      <c r="K1278" s="38" t="n">
        <f aca="false">Sens!$J$1278*(1+Sens!$K$1279)</f>
        <v>8.46117273714528</v>
      </c>
      <c r="L1278" s="38" t="n">
        <f aca="false">Sens!$K$1278*(1+Sens!$L$1279)</f>
        <v>8.88423137400254</v>
      </c>
      <c r="M1278" s="38" t="n">
        <f aca="false">Sens!$L$1278*(1+Sens!$M$1279)</f>
        <v>9.32844294270267</v>
      </c>
      <c r="N1278" s="38" t="n">
        <f aca="false">Q!$N$15</f>
        <v>2.811</v>
      </c>
      <c r="O1278" s="38" t="n">
        <f aca="false">Q!$O$15</f>
        <v>3.124</v>
      </c>
      <c r="P1278" s="8" t="s">
        <v>661</v>
      </c>
    </row>
    <row r="1279" customFormat="false" ht="17.15" hidden="false" customHeight="false" outlineLevel="0" collapsed="false">
      <c r="A1279" s="0" t="s">
        <v>672</v>
      </c>
      <c r="B1279" s="0" t="s">
        <v>52</v>
      </c>
      <c r="E1279" s="13" t="n">
        <f aca="false">Sens!$E$1278/Sens!$N$1278-1</f>
        <v>0.235859124866596</v>
      </c>
      <c r="F1279" s="13" t="n">
        <f aca="false">Sens!$O$1278/(Q!$F$15+Q!$G$15)-1</f>
        <v>0.0761281433000345</v>
      </c>
      <c r="G1279" s="13" t="n">
        <f aca="false">Sens!$G$1278/Sens!$D$1278-1</f>
        <v>0.13020861813878</v>
      </c>
      <c r="H1279" s="13" t="n">
        <f aca="false">Sens!$F$1279+(g_ot-Sens!$F$1279)*1/4</f>
        <v>0.0695961074750259</v>
      </c>
      <c r="I1279" s="13" t="n">
        <f aca="false">Sens!$F$1279+(g_ot-Sens!$F$1279)*2/4</f>
        <v>0.0630640716500172</v>
      </c>
      <c r="J1279" s="13" t="n">
        <f aca="false">Sens!$F$1279+(g_ot-Sens!$F$1279)*3/4</f>
        <v>0.0565320358250086</v>
      </c>
      <c r="K1279" s="13" t="n">
        <f aca="false">Sens!$F$1279+(g_ot-Sens!$F$1279)*4/4</f>
        <v>0.05</v>
      </c>
      <c r="L1279" s="13" t="n">
        <f aca="false">g_ot</f>
        <v>0.05</v>
      </c>
      <c r="M1279" s="13" t="n">
        <f aca="false">g_ot</f>
        <v>0.05</v>
      </c>
      <c r="P1279" s="8" t="s">
        <v>673</v>
      </c>
    </row>
    <row r="1280" customFormat="false" ht="17.15" hidden="false" customHeight="false" outlineLevel="0" collapsed="false">
      <c r="A1280" s="0" t="s">
        <v>674</v>
      </c>
      <c r="B1280" s="0" t="s">
        <v>57</v>
      </c>
      <c r="F1280" s="40" t="n">
        <f aca="false">(g26q3_mid*Q!$O$8/Q!$J$8-Sens!$F$1309-Sens!$F$1313)/(Sens!$O$1268*(1+Sens!$F$1269)+Sens!$O$1270*(1+Sens!$F$1271)+Sens!$O$1272*(1+Sens!$F$1273)+Sens!$O$1274*(1+Sens!$F$1275)+Sens!$O$1276*(1+Sens!$F$1277)+Sens!$O$1278*(1+Sens!$F$1279))</f>
        <v>0.961914675235545</v>
      </c>
      <c r="P1280" s="8" t="s">
        <v>675</v>
      </c>
    </row>
    <row r="1281" customFormat="false" ht="17.15" hidden="false" customHeight="false" outlineLevel="0" collapsed="false">
      <c r="A1281" s="3" t="s">
        <v>676</v>
      </c>
      <c r="B1281" s="8" t="s">
        <v>86</v>
      </c>
      <c r="C1281" s="38" t="n">
        <f aca="false">Sens!$C$1268+Sens!$C$1270+Sens!$C$1272+Sens!$C$1274+Sens!$C$1276+Sens!$C$1278</f>
        <v>530.403</v>
      </c>
      <c r="D1281" s="38" t="n">
        <f aca="false">Sens!$D$1268+Sens!$D$1270+Sens!$D$1272+Sens!$D$1274+Sens!$D$1276+Sens!$D$1278</f>
        <v>588.199</v>
      </c>
      <c r="E1281" s="38" t="n">
        <f aca="false">Sens!$E$1268+Sens!$E$1270+Sens!$E$1272+Sens!$E$1274+Sens!$E$1276+Sens!$E$1278</f>
        <v>302.306</v>
      </c>
      <c r="F1281" s="38" t="n">
        <f aca="false">Sens!$F$1268+Sens!$F$1270+Sens!$F$1272+Sens!$F$1274+Sens!$F$1276+Sens!$F$1278</f>
        <v>350.274677586663</v>
      </c>
      <c r="G1281" s="38" t="n">
        <f aca="false">Sens!$G$1268+Sens!$G$1270+Sens!$G$1272+Sens!$G$1274+Sens!$G$1276+Sens!$G$1278</f>
        <v>652.580677586663</v>
      </c>
      <c r="H1281" s="38" t="n">
        <f aca="false">Sens!$H$1268+Sens!$H$1270+Sens!$H$1272+Sens!$H$1274+Sens!$H$1276+Sens!$H$1278</f>
        <v>722.455237701558</v>
      </c>
      <c r="I1281" s="38" t="n">
        <f aca="false">Sens!$I$1268+Sens!$I$1270+Sens!$I$1272+Sens!$I$1274+Sens!$I$1276+Sens!$I$1278</f>
        <v>790.015311470929</v>
      </c>
      <c r="J1281" s="38" t="n">
        <f aca="false">Sens!$J$1268+Sens!$J$1270+Sens!$J$1272+Sens!$J$1274+Sens!$J$1276+Sens!$J$1278</f>
        <v>852.712708868879</v>
      </c>
      <c r="K1281" s="38" t="n">
        <f aca="false">Sens!$K$1268+Sens!$K$1270+Sens!$K$1272+Sens!$K$1274+Sens!$K$1276+Sens!$K$1278</f>
        <v>907.884881318022</v>
      </c>
      <c r="L1281" s="38" t="n">
        <f aca="false">Sens!$L$1268+Sens!$L$1270+Sens!$L$1272+Sens!$L$1274+Sens!$L$1276+Sens!$L$1278</f>
        <v>966.912958221439</v>
      </c>
      <c r="M1281" s="38" t="n">
        <f aca="false">Sens!$M$1268+Sens!$M$1270+Sens!$M$1272+Sens!$M$1274+Sens!$M$1276+Sens!$M$1278</f>
        <v>1030.08704034082</v>
      </c>
      <c r="N1281" s="38" t="n">
        <f aca="false">Sens!$N$1268+Sens!$N$1270+Sens!$N$1272+Sens!$N$1274+Sens!$N$1276+Sens!$N$1278</f>
        <v>263.229</v>
      </c>
      <c r="O1281" s="38" t="n">
        <f aca="false">Sens!$O$1268+Sens!$O$1270+Sens!$O$1272+Sens!$O$1274+Sens!$O$1276+Sens!$O$1278</f>
        <v>324.97</v>
      </c>
    </row>
    <row r="1282" customFormat="false" ht="17.15" hidden="false" customHeight="false" outlineLevel="0" collapsed="false">
      <c r="A1282" s="5" t="s">
        <v>677</v>
      </c>
      <c r="B1282" s="0" t="s">
        <v>52</v>
      </c>
      <c r="C1282" s="13" t="n">
        <f aca="false">Q!$D$5/(Q!$D$5+Q!$D$6)</f>
        <v>0.730570905519011</v>
      </c>
      <c r="D1282" s="13" t="n">
        <f aca="false">Q!$E$5/(Q!$E$5+Q!$E$6)</f>
        <v>0.724763217890544</v>
      </c>
      <c r="E1282" s="13" t="n">
        <f aca="false">Q!$P$5/(Q!$P$5+Q!$P$6)</f>
        <v>0.728797972914861</v>
      </c>
      <c r="F1282" s="13" t="n">
        <f aca="false">Sens!$O$1282</f>
        <v>0.718066283041511</v>
      </c>
      <c r="G1282" s="13" t="n">
        <f aca="false">Sens!$G$1283/Sens!$G$1281</f>
        <v>0.723037705503559</v>
      </c>
      <c r="H1282" s="13" t="n">
        <f aca="false">Sens!$G$1282</f>
        <v>0.723037705503559</v>
      </c>
      <c r="I1282" s="13" t="n">
        <f aca="false">Sens!$G$1282</f>
        <v>0.723037705503559</v>
      </c>
      <c r="J1282" s="13" t="n">
        <f aca="false">Sens!$G$1282</f>
        <v>0.723037705503559</v>
      </c>
      <c r="K1282" s="13" t="n">
        <f aca="false">Sens!$G$1282</f>
        <v>0.723037705503559</v>
      </c>
      <c r="L1282" s="13" t="n">
        <f aca="false">Sens!$G$1282</f>
        <v>0.723037705503559</v>
      </c>
      <c r="M1282" s="13" t="n">
        <f aca="false">Sens!$G$1282</f>
        <v>0.723037705503559</v>
      </c>
      <c r="N1282" s="13" t="n">
        <f aca="false">Q!$N$5/(Q!$N$5+Q!$N$6)</f>
        <v>0.733030935041352</v>
      </c>
      <c r="O1282" s="13" t="n">
        <f aca="false">Q!$O$5/(Q!$O$5+Q!$O$6)</f>
        <v>0.718066283041511</v>
      </c>
      <c r="P1282" s="8" t="s">
        <v>678</v>
      </c>
    </row>
    <row r="1283" customFormat="false" ht="17.15" hidden="false" customHeight="false" outlineLevel="0" collapsed="false">
      <c r="A1283" s="1" t="s">
        <v>509</v>
      </c>
      <c r="B1283" s="8" t="s">
        <v>86</v>
      </c>
      <c r="C1283" s="38" t="n">
        <f aca="false">Q!$D$5</f>
        <v>387.497</v>
      </c>
      <c r="D1283" s="38" t="n">
        <f aca="false">Q!$E$5</f>
        <v>426.305</v>
      </c>
      <c r="E1283" s="38" t="n">
        <f aca="false">Q!$P$5</f>
        <v>220.32</v>
      </c>
      <c r="F1283" s="38" t="n">
        <f aca="false">Sens!$F$1281*Sens!$F$1282</f>
        <v>251.520435778219</v>
      </c>
      <c r="G1283" s="38" t="n">
        <f aca="false">Sens!$E$1283+Sens!$F$1283</f>
        <v>471.840435778219</v>
      </c>
      <c r="H1283" s="38" t="n">
        <f aca="false">Sens!$H$1281*Sens!$H$1282</f>
        <v>522.362377396763</v>
      </c>
      <c r="I1283" s="38" t="n">
        <f aca="false">Sens!$I$1281*Sens!$I$1282</f>
        <v>571.21085811862</v>
      </c>
      <c r="J1283" s="38" t="n">
        <f aca="false">Sens!$J$1281*Sens!$J$1282</f>
        <v>616.543440474279</v>
      </c>
      <c r="K1283" s="38" t="n">
        <f aca="false">Sens!$K$1281*Sens!$K$1282</f>
        <v>656.435001449554</v>
      </c>
      <c r="L1283" s="38" t="n">
        <f aca="false">Sens!$L$1281*Sens!$L$1282</f>
        <v>699.114526734088</v>
      </c>
      <c r="M1283" s="38" t="n">
        <f aca="false">Sens!$M$1281*Sens!$M$1282</f>
        <v>744.791770116979</v>
      </c>
      <c r="N1283" s="38" t="n">
        <f aca="false">Q!$N$5</f>
        <v>192.955</v>
      </c>
      <c r="O1283" s="38" t="n">
        <f aca="false">Q!$O$5</f>
        <v>233.35</v>
      </c>
      <c r="P1283" s="5" t="s">
        <v>679</v>
      </c>
    </row>
    <row r="1284" customFormat="false" ht="17.15" hidden="false" customHeight="false" outlineLevel="0" collapsed="false">
      <c r="A1284" s="1" t="s">
        <v>512</v>
      </c>
      <c r="B1284" s="8" t="s">
        <v>86</v>
      </c>
      <c r="C1284" s="38" t="n">
        <f aca="false">Q!$D$6</f>
        <v>142.906</v>
      </c>
      <c r="D1284" s="38" t="n">
        <f aca="false">Q!$E$6</f>
        <v>161.894</v>
      </c>
      <c r="E1284" s="38" t="n">
        <f aca="false">Q!$P$6</f>
        <v>81.986</v>
      </c>
      <c r="F1284" s="38" t="n">
        <f aca="false">Sens!$F$1281*(1-Sens!$F$1282)</f>
        <v>98.754241808444</v>
      </c>
      <c r="G1284" s="38" t="n">
        <f aca="false">Sens!$E$1284+Sens!$F$1284</f>
        <v>180.740241808444</v>
      </c>
      <c r="H1284" s="38" t="n">
        <f aca="false">Sens!$H$1281*(1-Sens!$H$1282)</f>
        <v>200.092860304795</v>
      </c>
      <c r="I1284" s="38" t="n">
        <f aca="false">Sens!$I$1281*(1-Sens!$I$1282)</f>
        <v>218.804453352309</v>
      </c>
      <c r="J1284" s="38" t="n">
        <f aca="false">Sens!$J$1281*(1-Sens!$J$1282)</f>
        <v>236.1692683946</v>
      </c>
      <c r="K1284" s="38" t="n">
        <f aca="false">Sens!$K$1281*(1-Sens!$K$1282)</f>
        <v>251.449879868468</v>
      </c>
      <c r="L1284" s="38" t="n">
        <f aca="false">Sens!$L$1281*(1-Sens!$L$1282)</f>
        <v>267.798431487351</v>
      </c>
      <c r="M1284" s="38" t="n">
        <f aca="false">Sens!$M$1281*(1-Sens!$M$1282)</f>
        <v>285.295270223841</v>
      </c>
      <c r="N1284" s="38" t="n">
        <f aca="false">Q!$N$6</f>
        <v>70.274</v>
      </c>
      <c r="O1284" s="38" t="n">
        <f aca="false">Q!$O$6</f>
        <v>91.62</v>
      </c>
      <c r="P1284" s="5" t="s">
        <v>680</v>
      </c>
    </row>
    <row r="1285" customFormat="false" ht="17.15" hidden="false" customHeight="false" outlineLevel="0" collapsed="false">
      <c r="A1285" s="5" t="s">
        <v>681</v>
      </c>
      <c r="B1285" s="0" t="s">
        <v>86</v>
      </c>
      <c r="C1285" s="38" t="n">
        <f aca="false">Sens!$C$1274*Sens!$C$1282</f>
        <v>41.0683128828457</v>
      </c>
      <c r="D1285" s="38" t="n">
        <f aca="false">Sens!$D$1274*Sens!$D$1282</f>
        <v>49.7441234599175</v>
      </c>
      <c r="E1285" s="38" t="n">
        <f aca="false">Sens!$E$1274*Sens!$E$1282</f>
        <v>27.0034224924414</v>
      </c>
      <c r="F1285" s="38" t="n">
        <f aca="false">Sens!$F$1274*Sens!$F$1282</f>
        <v>33.2604013004505</v>
      </c>
      <c r="G1285" s="38" t="n">
        <f aca="false">Sens!$G$1274*Sens!$G$1282</f>
        <v>60.2806676835787</v>
      </c>
      <c r="H1285" s="38" t="n">
        <f aca="false">Sens!$H$1274*Sens!$H$1282</f>
        <v>72.370021456051</v>
      </c>
      <c r="I1285" s="38" t="n">
        <f aca="false">Sens!$I$1274*Sens!$I$1282</f>
        <v>84.4582800922843</v>
      </c>
      <c r="J1285" s="38" t="n">
        <f aca="false">Sens!$J$1274*Sens!$J$1282</f>
        <v>95.7348988850543</v>
      </c>
      <c r="K1285" s="38" t="n">
        <f aca="false">Sens!$K$1274*Sens!$K$1282</f>
        <v>105.30838877356</v>
      </c>
      <c r="L1285" s="38" t="n">
        <f aca="false">Sens!$L$1274*Sens!$L$1282</f>
        <v>115.839227650916</v>
      </c>
      <c r="M1285" s="38" t="n">
        <f aca="false">Sens!$M$1274*Sens!$M$1282</f>
        <v>127.423150416007</v>
      </c>
      <c r="N1285" s="38" t="n">
        <f aca="false">Sens!$N$1274*Sens!$N$1282</f>
        <v>21.7087111412496</v>
      </c>
      <c r="O1285" s="38" t="n">
        <f aca="false">Sens!$O$1274*Sens!$O$1282</f>
        <v>28.0189463642798</v>
      </c>
      <c r="P1285" s="5" t="s">
        <v>682</v>
      </c>
    </row>
    <row r="1286" customFormat="false" ht="15" hidden="false" customHeight="false" outlineLevel="0" collapsed="false">
      <c r="A1286" s="5" t="s">
        <v>683</v>
      </c>
      <c r="B1286" s="0" t="s">
        <v>86</v>
      </c>
      <c r="C1286" s="38" t="n">
        <f aca="false">Sens!$C$1274-Sens!$C$1285</f>
        <v>15.1456871171543</v>
      </c>
      <c r="D1286" s="38" t="n">
        <f aca="false">Sens!$D$1274-Sens!$D$1285</f>
        <v>18.8908765400825</v>
      </c>
      <c r="E1286" s="38" t="n">
        <f aca="false">Sens!$E$1274-Sens!$E$1285</f>
        <v>10.0485775075586</v>
      </c>
      <c r="F1286" s="38" t="n">
        <f aca="false">Sens!$F$1274-Sens!$F$1285</f>
        <v>13.0590013591055</v>
      </c>
      <c r="G1286" s="38" t="n">
        <f aca="false">Sens!$G$1274-Sens!$G$1285</f>
        <v>23.0907349759773</v>
      </c>
      <c r="H1286" s="38" t="n">
        <f aca="false">Sens!$H$1274-Sens!$H$1285</f>
        <v>27.7216071065963</v>
      </c>
      <c r="I1286" s="38" t="n">
        <f aca="false">Sens!$I$1274-Sens!$I$1285</f>
        <v>32.3520597411873</v>
      </c>
      <c r="J1286" s="38" t="n">
        <f aca="false">Sens!$J$1274-Sens!$J$1285</f>
        <v>36.6716107013023</v>
      </c>
      <c r="K1286" s="38" t="n">
        <f aca="false">Sens!$K$1274-Sens!$K$1285</f>
        <v>40.3387717714325</v>
      </c>
      <c r="L1286" s="38" t="n">
        <f aca="false">Sens!$L$1274-Sens!$L$1285</f>
        <v>44.3726489485758</v>
      </c>
      <c r="M1286" s="38" t="n">
        <f aca="false">Sens!$M$1274-Sens!$M$1285</f>
        <v>48.8099138434334</v>
      </c>
      <c r="N1286" s="38" t="n">
        <f aca="false">Sens!$N$1274-Sens!$N$1285</f>
        <v>7.90628885875037</v>
      </c>
      <c r="O1286" s="38" t="n">
        <f aca="false">Sens!$O$1274-Sens!$O$1285</f>
        <v>11.0010536357202</v>
      </c>
    </row>
    <row r="1287" customFormat="false" ht="19.4" hidden="false" customHeight="false" outlineLevel="0" collapsed="false">
      <c r="A1287" s="31" t="s">
        <v>1153</v>
      </c>
    </row>
    <row r="1288" customFormat="false" ht="17.15" hidden="false" customHeight="false" outlineLevel="0" collapsed="false">
      <c r="A1288" s="6" t="s">
        <v>16</v>
      </c>
      <c r="B1288" s="6" t="s">
        <v>17</v>
      </c>
      <c r="C1288" s="20" t="s">
        <v>494</v>
      </c>
      <c r="D1288" s="20" t="s">
        <v>495</v>
      </c>
      <c r="E1288" s="20" t="s">
        <v>577</v>
      </c>
      <c r="F1288" s="20" t="s">
        <v>578</v>
      </c>
      <c r="G1288" s="20" t="s">
        <v>579</v>
      </c>
      <c r="H1288" s="20" t="s">
        <v>580</v>
      </c>
      <c r="I1288" s="20" t="s">
        <v>581</v>
      </c>
      <c r="J1288" s="20" t="s">
        <v>582</v>
      </c>
      <c r="K1288" s="20" t="s">
        <v>583</v>
      </c>
      <c r="L1288" s="20" t="s">
        <v>584</v>
      </c>
      <c r="M1288" s="20" t="s">
        <v>585</v>
      </c>
      <c r="N1288" s="20" t="s">
        <v>586</v>
      </c>
      <c r="O1288" s="20" t="s">
        <v>587</v>
      </c>
      <c r="P1288" s="6" t="s">
        <v>23</v>
      </c>
      <c r="R1288" s="20" t="n">
        <v>2023</v>
      </c>
      <c r="S1288" s="20" t="n">
        <v>2024</v>
      </c>
      <c r="T1288" s="20" t="n">
        <v>2025</v>
      </c>
      <c r="U1288" s="20" t="n">
        <v>2026</v>
      </c>
      <c r="V1288" s="20" t="n">
        <v>2027</v>
      </c>
      <c r="W1288" s="20" t="n">
        <v>2028</v>
      </c>
      <c r="X1288" s="20" t="n">
        <v>2029</v>
      </c>
      <c r="Y1288" s="20" t="n">
        <v>2030</v>
      </c>
      <c r="Z1288" s="20" t="n">
        <v>2031</v>
      </c>
      <c r="AA1288" s="20" t="n">
        <v>2032</v>
      </c>
    </row>
    <row r="1289" customFormat="false" ht="17.15" hidden="false" customHeight="false" outlineLevel="0" collapsed="false">
      <c r="A1289" s="1" t="s">
        <v>588</v>
      </c>
    </row>
    <row r="1290" customFormat="false" ht="17.15" hidden="false" customHeight="false" outlineLevel="0" collapsed="false">
      <c r="A1290" s="5" t="s">
        <v>589</v>
      </c>
      <c r="B1290" s="0" t="s">
        <v>144</v>
      </c>
      <c r="H1290" s="32" t="n">
        <f aca="false">(pace_B*0.75)</f>
        <v>2725.725</v>
      </c>
      <c r="I1290" s="32" t="n">
        <f aca="false">(pace_B*0.75)</f>
        <v>2725.725</v>
      </c>
      <c r="J1290" s="32" t="n">
        <f aca="false">(pace_B*0.75)</f>
        <v>2725.725</v>
      </c>
      <c r="K1290" s="32" t="n">
        <f aca="false">(pace_B*0.75)+(Sens!$J$1291*tg-(pace_B*0.75))*1/3</f>
        <v>1933.350375</v>
      </c>
      <c r="L1290" s="32" t="n">
        <f aca="false">(pace_B*0.75)+(Sens!$J$1291*tg-(pace_B*0.75))*2/3</f>
        <v>1140.97575</v>
      </c>
      <c r="M1290" s="32" t="n">
        <f aca="false">(pace_B*0.75)+(Sens!$J$1291*tg-(pace_B*0.75))*3/3</f>
        <v>348.601125</v>
      </c>
      <c r="P1290" s="5" t="s">
        <v>590</v>
      </c>
    </row>
    <row r="1291" customFormat="false" ht="17.15" hidden="false" customHeight="false" outlineLevel="0" collapsed="false">
      <c r="A1291" s="15" t="s">
        <v>591</v>
      </c>
      <c r="B1291" s="14" t="s">
        <v>129</v>
      </c>
      <c r="C1291" s="33" t="n">
        <f aca="false">mw_ye24</f>
        <v>360</v>
      </c>
      <c r="D1291" s="33" t="n">
        <f aca="false">mw_ye25</f>
        <v>1440</v>
      </c>
      <c r="E1291" s="33" t="n">
        <f aca="false">mw_open</f>
        <v>2080</v>
      </c>
      <c r="F1291" s="33" t="n">
        <f aca="false">Sens!$E$1291+(pace_B*0.75)*0.5</f>
        <v>3442.8625</v>
      </c>
      <c r="G1291" s="33" t="n">
        <f aca="false">Sens!$F$1291</f>
        <v>3442.8625</v>
      </c>
      <c r="H1291" s="33" t="n">
        <f aca="false">Sens!$G$1291+Sens!$H$1290</f>
        <v>6168.5875</v>
      </c>
      <c r="I1291" s="33" t="n">
        <f aca="false">Sens!$H$1291+Sens!$I$1290</f>
        <v>8894.3125</v>
      </c>
      <c r="J1291" s="33" t="n">
        <f aca="false">Sens!$I$1291+Sens!$J$1290</f>
        <v>11620.0375</v>
      </c>
      <c r="K1291" s="33" t="n">
        <f aca="false">Sens!$J$1291+Sens!$K$1290</f>
        <v>13553.387875</v>
      </c>
      <c r="L1291" s="33" t="n">
        <f aca="false">Sens!$K$1291+Sens!$L$1290</f>
        <v>14694.363625</v>
      </c>
      <c r="M1291" s="33" t="n">
        <f aca="false">Sens!$L$1291+Sens!$M$1290</f>
        <v>15042.96475</v>
      </c>
      <c r="N1291" s="33" t="n">
        <f aca="false">(mw_ye24+mw_ye25)/2</f>
        <v>900</v>
      </c>
      <c r="O1291" s="33" t="n">
        <f aca="false">mw_ye25</f>
        <v>1440</v>
      </c>
      <c r="P1291" s="5" t="s">
        <v>592</v>
      </c>
    </row>
    <row r="1292" customFormat="false" ht="17.15" hidden="false" customHeight="false" outlineLevel="0" collapsed="false">
      <c r="A1292" s="5" t="s">
        <v>593</v>
      </c>
      <c r="B1292" s="0" t="s">
        <v>129</v>
      </c>
      <c r="C1292" s="32" t="n">
        <f aca="false">(mw_ye23+mw_ye24)/2</f>
        <v>240</v>
      </c>
      <c r="D1292" s="32" t="n">
        <f aca="false">(Sens!$C$1291+Sens!$D$1291)/2</f>
        <v>900</v>
      </c>
      <c r="E1292" s="32" t="n">
        <f aca="false">(Sens!$D$1291+Sens!$E$1291)/2</f>
        <v>1760</v>
      </c>
      <c r="F1292" s="32" t="n">
        <f aca="false">(Sens!$E$1291+Sens!$F$1291)/2</f>
        <v>2761.43125</v>
      </c>
      <c r="G1292" s="32" t="n">
        <f aca="false">(Sens!$E$1292+Sens!$F$1292)/2</f>
        <v>2260.715625</v>
      </c>
      <c r="H1292" s="32" t="n">
        <f aca="false">(Sens!$G$1291+Sens!$H$1291)/2</f>
        <v>4805.725</v>
      </c>
      <c r="I1292" s="32" t="n">
        <f aca="false">(Sens!$H$1291+Sens!$I$1291)/2</f>
        <v>7531.45</v>
      </c>
      <c r="J1292" s="32" t="n">
        <f aca="false">(Sens!$I$1291+Sens!$J$1291)/2</f>
        <v>10257.175</v>
      </c>
      <c r="K1292" s="32" t="n">
        <f aca="false">(Sens!$J$1291+Sens!$K$1291)/2</f>
        <v>12586.7126875</v>
      </c>
      <c r="L1292" s="32" t="n">
        <f aca="false">(Sens!$K$1291+Sens!$L$1291)/2</f>
        <v>14123.87575</v>
      </c>
      <c r="M1292" s="32" t="n">
        <f aca="false">(Sens!$L$1291+Sens!$M$1291)/2</f>
        <v>14868.6641875</v>
      </c>
      <c r="N1292" s="32" t="n">
        <f aca="false">(Sens!$C$1291+Sens!$N$1291)/2</f>
        <v>630</v>
      </c>
      <c r="O1292" s="32" t="n">
        <f aca="false">(Sens!$N$1291+Sens!$O$1291)/2</f>
        <v>1170</v>
      </c>
    </row>
    <row r="1293" customFormat="false" ht="15" hidden="false" customHeight="false" outlineLevel="0" collapsed="false">
      <c r="A1293" s="5" t="s">
        <v>594</v>
      </c>
      <c r="B1293" s="5" t="s">
        <v>123</v>
      </c>
      <c r="C1293" s="34" t="n">
        <v>1</v>
      </c>
      <c r="D1293" s="34" t="n">
        <v>1</v>
      </c>
      <c r="E1293" s="34" t="n">
        <v>0.5</v>
      </c>
      <c r="F1293" s="34" t="n">
        <v>0.5</v>
      </c>
      <c r="G1293" s="34" t="n">
        <v>1</v>
      </c>
      <c r="H1293" s="34" t="n">
        <v>1</v>
      </c>
      <c r="I1293" s="34" t="n">
        <v>1</v>
      </c>
      <c r="J1293" s="34" t="n">
        <v>1</v>
      </c>
      <c r="K1293" s="34" t="n">
        <v>1</v>
      </c>
      <c r="L1293" s="34" t="n">
        <v>1</v>
      </c>
      <c r="M1293" s="34" t="n">
        <v>1</v>
      </c>
      <c r="N1293" s="34" t="n">
        <v>0.5</v>
      </c>
      <c r="O1293" s="34" t="n">
        <v>0.5</v>
      </c>
    </row>
    <row r="1294" customFormat="false" ht="17.15" hidden="false" customHeight="false" outlineLevel="0" collapsed="false">
      <c r="A1294" s="5" t="s">
        <v>595</v>
      </c>
      <c r="B1294" s="0" t="s">
        <v>129</v>
      </c>
      <c r="C1294" s="32" t="n">
        <f aca="false">Sens!$C$1291-mw_ye23</f>
        <v>240</v>
      </c>
      <c r="D1294" s="32" t="n">
        <f aca="false">Sens!$D$1291-Sens!$C$1291</f>
        <v>1080</v>
      </c>
      <c r="E1294" s="32" t="n">
        <f aca="false">Sens!$E$1291-Sens!$D$1291</f>
        <v>640</v>
      </c>
      <c r="F1294" s="32" t="n">
        <f aca="false">Sens!$F$1291-Sens!$E$1291</f>
        <v>1362.8625</v>
      </c>
      <c r="G1294" s="32" t="n">
        <f aca="false">Sens!$E$1294+Sens!$F$1294</f>
        <v>2002.8625</v>
      </c>
      <c r="H1294" s="32" t="n">
        <f aca="false">Sens!$H$1291-Sens!$G$1291</f>
        <v>2725.725</v>
      </c>
      <c r="I1294" s="32" t="n">
        <f aca="false">Sens!$I$1291-Sens!$H$1291</f>
        <v>2725.725</v>
      </c>
      <c r="J1294" s="32" t="n">
        <f aca="false">Sens!$J$1291-Sens!$I$1291</f>
        <v>2725.725</v>
      </c>
      <c r="K1294" s="32" t="n">
        <f aca="false">Sens!$K$1291-Sens!$J$1291</f>
        <v>1933.350375</v>
      </c>
      <c r="L1294" s="32" t="n">
        <f aca="false">Sens!$L$1291-Sens!$K$1291</f>
        <v>1140.97575</v>
      </c>
      <c r="M1294" s="32" t="n">
        <f aca="false">Sens!$M$1291-Sens!$L$1291</f>
        <v>348.601124999999</v>
      </c>
      <c r="N1294" s="32" t="n">
        <f aca="false">Sens!$N$1291-Sens!$C$1291</f>
        <v>540</v>
      </c>
      <c r="O1294" s="32" t="n">
        <f aca="false">Sens!$O$1291-Sens!$N$1291</f>
        <v>540</v>
      </c>
    </row>
    <row r="1295" customFormat="false" ht="17.15" hidden="false" customHeight="false" outlineLevel="0" collapsed="false">
      <c r="A1295" s="5" t="s">
        <v>596</v>
      </c>
      <c r="B1295" s="0" t="s">
        <v>129</v>
      </c>
      <c r="C1295" s="32" t="n">
        <f aca="false">Sens!$C$1294/ext_sh</f>
        <v>300</v>
      </c>
      <c r="D1295" s="32" t="n">
        <f aca="false">Sens!$D$1294/ext_sh</f>
        <v>1350</v>
      </c>
      <c r="E1295" s="32" t="n">
        <f aca="false">Sens!$E$1294/ext_sh</f>
        <v>800</v>
      </c>
      <c r="F1295" s="32" t="n">
        <f aca="false">Sens!$F$1294/ext_sh</f>
        <v>1703.578125</v>
      </c>
      <c r="G1295" s="32" t="n">
        <f aca="false">Sens!$G$1294/ext_sh</f>
        <v>2503.578125</v>
      </c>
      <c r="H1295" s="32" t="n">
        <f aca="false">Sens!$H$1294/ext_sh</f>
        <v>3407.15625</v>
      </c>
      <c r="I1295" s="32" t="n">
        <f aca="false">Sens!$I$1294/ext_sh</f>
        <v>3407.15625</v>
      </c>
      <c r="J1295" s="32" t="n">
        <f aca="false">Sens!$J$1294/ext_sh</f>
        <v>3407.15625</v>
      </c>
      <c r="K1295" s="32" t="n">
        <f aca="false">Sens!$K$1294/ext_sh</f>
        <v>2416.68796875</v>
      </c>
      <c r="L1295" s="32" t="n">
        <f aca="false">Sens!$L$1294/ext_sh</f>
        <v>1426.2196875</v>
      </c>
      <c r="M1295" s="32" t="n">
        <f aca="false">Sens!$M$1294/ext_sh</f>
        <v>435.751406249999</v>
      </c>
      <c r="N1295" s="32" t="n">
        <f aca="false">Sens!$N$1294/ext_sh</f>
        <v>675</v>
      </c>
      <c r="O1295" s="32" t="n">
        <f aca="false">Sens!$O$1294/ext_sh</f>
        <v>675</v>
      </c>
      <c r="P1295" s="8" t="s">
        <v>597</v>
      </c>
      <c r="R1295" s="32" t="n">
        <f aca="false">mw_ye23/ext_sh</f>
        <v>150</v>
      </c>
      <c r="S1295" s="32" t="n">
        <f aca="false">Sens!$C$1295</f>
        <v>300</v>
      </c>
      <c r="T1295" s="32" t="n">
        <f aca="false">Sens!$D$1295</f>
        <v>1350</v>
      </c>
      <c r="U1295" s="32" t="n">
        <f aca="false">Sens!$G$1295</f>
        <v>2503.578125</v>
      </c>
      <c r="V1295" s="32" t="n">
        <f aca="false">Sens!$H$1295</f>
        <v>3407.15625</v>
      </c>
      <c r="W1295" s="32" t="n">
        <f aca="false">Sens!$I$1295</f>
        <v>3407.15625</v>
      </c>
      <c r="X1295" s="32" t="n">
        <f aca="false">Sens!$J$1295</f>
        <v>3407.15625</v>
      </c>
      <c r="Y1295" s="32" t="n">
        <f aca="false">Sens!$K$1295</f>
        <v>2416.68796875</v>
      </c>
      <c r="Z1295" s="32" t="n">
        <f aca="false">Sens!$L$1295</f>
        <v>1426.2196875</v>
      </c>
      <c r="AA1295" s="32" t="n">
        <f aca="false">Sens!$M$1295</f>
        <v>435.751406249999</v>
      </c>
    </row>
    <row r="1296" customFormat="false" ht="17.15" hidden="false" customHeight="false" outlineLevel="0" collapsed="false">
      <c r="A1296" s="1" t="s">
        <v>598</v>
      </c>
    </row>
    <row r="1297" customFormat="false" ht="17.15" hidden="false" customHeight="false" outlineLevel="0" collapsed="false">
      <c r="A1297" s="0" t="s">
        <v>599</v>
      </c>
      <c r="B1297" s="0" t="s">
        <v>52</v>
      </c>
      <c r="F1297" s="35" t="n">
        <f aca="false">na_vr26</f>
        <v>0</v>
      </c>
      <c r="G1297" s="35" t="n">
        <f aca="false">na_vr26</f>
        <v>0</v>
      </c>
      <c r="H1297" s="35" t="n">
        <f aca="false">na_vr27</f>
        <v>0.5</v>
      </c>
      <c r="I1297" s="35" t="n">
        <f aca="false">na_vr28</f>
        <v>1</v>
      </c>
      <c r="J1297" s="35" t="n">
        <f aca="false">na_vr28</f>
        <v>1</v>
      </c>
      <c r="K1297" s="35" t="n">
        <f aca="false">na_vr28</f>
        <v>1</v>
      </c>
      <c r="L1297" s="35" t="n">
        <f aca="false">na_vr28</f>
        <v>1</v>
      </c>
      <c r="M1297" s="35" t="n">
        <f aca="false">na_vr28</f>
        <v>1</v>
      </c>
    </row>
    <row r="1298" customFormat="false" ht="17.15" hidden="false" customHeight="false" outlineLevel="0" collapsed="false">
      <c r="A1298" s="5" t="s">
        <v>600</v>
      </c>
      <c r="B1298" s="0" t="s">
        <v>173</v>
      </c>
      <c r="F1298" s="36" t="n">
        <f aca="false">cust_sh*tk_he_gb300*cf_chip+(1-cust_sh)*((1-Sens!$F$1297)*tk_he_gb300+Sens!$F$1297*tk_he_vr200)</f>
        <v>10.8864110021101</v>
      </c>
      <c r="G1298" s="36" t="n">
        <f aca="false">cust_sh*tk_he_gb300*cf_chip+(1-cust_sh)*((1-Sens!$G$1297)*tk_he_gb300+Sens!$G$1297*tk_he_vr200)</f>
        <v>10.8864110021101</v>
      </c>
      <c r="H1298" s="36" t="n">
        <f aca="false">cust_sh*tk_he_gb300*cf_chip+(1-cust_sh)*((1-Sens!$H$1297)*tk_he_gb300+Sens!$H$1297*tk_he_vr200)</f>
        <v>11.2211760027286</v>
      </c>
      <c r="I1298" s="36" t="n">
        <f aca="false">cust_sh*tk_he_gb300*cf_chip+(1-cust_sh)*((1-Sens!$I$1297)*tk_he_gb300+Sens!$I$1297*tk_he_vr200)</f>
        <v>11.5559410033471</v>
      </c>
      <c r="J1298" s="36" t="n">
        <f aca="false">cust_sh*tk_he_gb300*cf_chip+(1-cust_sh)*((1-Sens!$J$1297)*tk_he_gb300+Sens!$J$1297*tk_he_vr200)</f>
        <v>11.5559410033471</v>
      </c>
      <c r="K1298" s="36" t="n">
        <f aca="false">cust_sh*tk_he_gb300*cf_chip+(1-cust_sh)*((1-Sens!$K$1297)*tk_he_gb300+Sens!$K$1297*tk_he_vr200)</f>
        <v>11.5559410033471</v>
      </c>
      <c r="L1298" s="36" t="n">
        <f aca="false">cust_sh*tk_he_gb300*cf_chip+(1-cust_sh)*((1-Sens!$L$1297)*tk_he_gb300+Sens!$L$1297*tk_he_vr200)</f>
        <v>11.5559410033471</v>
      </c>
      <c r="M1298" s="36" t="n">
        <f aca="false">cust_sh*tk_he_gb300*cf_chip+(1-cust_sh)*((1-Sens!$M$1297)*tk_he_gb300+Sens!$M$1297*tk_he_vr200)</f>
        <v>11.5559410033471</v>
      </c>
    </row>
    <row r="1299" customFormat="false" ht="17.15" hidden="false" customHeight="false" outlineLevel="0" collapsed="false">
      <c r="A1299" s="5" t="s">
        <v>601</v>
      </c>
      <c r="B1299" s="0" t="s">
        <v>173</v>
      </c>
      <c r="F1299" s="36" t="n">
        <f aca="false">cust_sh*tk_ox_gb300+(1-cust_sh)*((1-Sens!$F$1297)*tk_ox_gb300+Sens!$F$1297*tk_ox_vr200)</f>
        <v>1.98263481314457</v>
      </c>
      <c r="G1299" s="36" t="n">
        <f aca="false">cust_sh*tk_ox_gb300+(1-cust_sh)*((1-Sens!$G$1297)*tk_ox_gb300+Sens!$G$1297*tk_ox_vr200)</f>
        <v>1.98263481314457</v>
      </c>
      <c r="H1299" s="36" t="n">
        <f aca="false">cust_sh*tk_ox_gb300+(1-cust_sh)*((1-Sens!$H$1297)*tk_ox_gb300+Sens!$H$1297*tk_ox_vr200)</f>
        <v>2.01034999693694</v>
      </c>
      <c r="I1299" s="36" t="n">
        <f aca="false">cust_sh*tk_ox_gb300+(1-cust_sh)*((1-Sens!$I$1297)*tk_ox_gb300+Sens!$I$1297*tk_ox_vr200)</f>
        <v>2.0380651807293</v>
      </c>
      <c r="J1299" s="36" t="n">
        <f aca="false">cust_sh*tk_ox_gb300+(1-cust_sh)*((1-Sens!$J$1297)*tk_ox_gb300+Sens!$J$1297*tk_ox_vr200)</f>
        <v>2.0380651807293</v>
      </c>
      <c r="K1299" s="36" t="n">
        <f aca="false">cust_sh*tk_ox_gb300+(1-cust_sh)*((1-Sens!$K$1297)*tk_ox_gb300+Sens!$K$1297*tk_ox_vr200)</f>
        <v>2.0380651807293</v>
      </c>
      <c r="L1299" s="36" t="n">
        <f aca="false">cust_sh*tk_ox_gb300+(1-cust_sh)*((1-Sens!$L$1297)*tk_ox_gb300+Sens!$L$1297*tk_ox_vr200)</f>
        <v>2.0380651807293</v>
      </c>
      <c r="M1299" s="36" t="n">
        <f aca="false">cust_sh*tk_ox_gb300+(1-cust_sh)*((1-Sens!$M$1297)*tk_ox_gb300+Sens!$M$1297*tk_ox_vr200)</f>
        <v>2.0380651807293</v>
      </c>
    </row>
    <row r="1300" customFormat="false" ht="17.15" hidden="false" customHeight="false" outlineLevel="0" collapsed="false">
      <c r="A1300" s="5" t="s">
        <v>602</v>
      </c>
      <c r="B1300" s="0" t="s">
        <v>192</v>
      </c>
      <c r="F1300" s="36" t="n">
        <f aca="false">cust_sh*tk_cx_gb300*cf_cx+(1-cust_sh)*((1-Sens!$F$1297)*tk_cx_gb300+Sens!$F$1297*tk_cx_vr200)</f>
        <v>32.237224</v>
      </c>
      <c r="G1300" s="36" t="n">
        <f aca="false">cust_sh*tk_cx_gb300*cf_cx+(1-cust_sh)*((1-Sens!$G$1297)*tk_cx_gb300+Sens!$G$1297*tk_cx_vr200)</f>
        <v>32.237224</v>
      </c>
      <c r="H1300" s="36" t="n">
        <f aca="false">cust_sh*tk_cx_gb300*cf_cx+(1-cust_sh)*((1-Sens!$H$1297)*tk_cx_gb300+Sens!$H$1297*tk_cx_vr200)</f>
        <v>33.574506</v>
      </c>
      <c r="I1300" s="36" t="n">
        <f aca="false">cust_sh*tk_cx_gb300*cf_cx+(1-cust_sh)*((1-Sens!$I$1297)*tk_cx_gb300+Sens!$I$1297*tk_cx_vr200)</f>
        <v>34.911788</v>
      </c>
      <c r="J1300" s="36" t="n">
        <f aca="false">cust_sh*tk_cx_gb300*cf_cx+(1-cust_sh)*((1-Sens!$J$1297)*tk_cx_gb300+Sens!$J$1297*tk_cx_vr200)</f>
        <v>34.911788</v>
      </c>
      <c r="K1300" s="36" t="n">
        <f aca="false">cust_sh*tk_cx_gb300*cf_cx+(1-cust_sh)*((1-Sens!$K$1297)*tk_cx_gb300+Sens!$K$1297*tk_cx_vr200)</f>
        <v>34.911788</v>
      </c>
      <c r="L1300" s="36" t="n">
        <f aca="false">cust_sh*tk_cx_gb300*cf_cx+(1-cust_sh)*((1-Sens!$L$1297)*tk_cx_gb300+Sens!$L$1297*tk_cx_vr200)</f>
        <v>34.911788</v>
      </c>
      <c r="M1300" s="36" t="n">
        <f aca="false">cust_sh*tk_cx_gb300*cf_cx+(1-cust_sh)*((1-Sens!$M$1297)*tk_cx_gb300+Sens!$M$1297*tk_cx_vr200)</f>
        <v>34.911788</v>
      </c>
    </row>
    <row r="1301" customFormat="false" ht="17.15" hidden="false" customHeight="false" outlineLevel="0" collapsed="false">
      <c r="A1301" s="5" t="s">
        <v>603</v>
      </c>
      <c r="B1301" s="0" t="s">
        <v>129</v>
      </c>
      <c r="F1301" s="32" t="n">
        <f aca="false">Sens!$F$1291-mw_open</f>
        <v>1362.8625</v>
      </c>
      <c r="G1301" s="32" t="n">
        <f aca="false">Sens!$F$1301</f>
        <v>1362.8625</v>
      </c>
      <c r="H1301" s="32" t="n">
        <f aca="false">Sens!$H$1291-mw_open</f>
        <v>4088.5875</v>
      </c>
      <c r="I1301" s="32" t="n">
        <f aca="false">Sens!$I$1291-mw_open</f>
        <v>6814.3125</v>
      </c>
      <c r="J1301" s="32" t="n">
        <f aca="false">Sens!$J$1291-mw_open</f>
        <v>9540.0375</v>
      </c>
      <c r="K1301" s="32" t="n">
        <f aca="false">Sens!$K$1291-mw_open</f>
        <v>11473.387875</v>
      </c>
      <c r="L1301" s="32" t="n">
        <f aca="false">Sens!$L$1291-mw_open</f>
        <v>12614.363625</v>
      </c>
      <c r="M1301" s="32" t="n">
        <f aca="false">Sens!$M$1291-mw_open</f>
        <v>12962.96475</v>
      </c>
    </row>
    <row r="1302" customFormat="false" ht="17.15" hidden="false" customHeight="false" outlineLevel="0" collapsed="false">
      <c r="A1302" s="0" t="s">
        <v>604</v>
      </c>
      <c r="B1302" s="0" t="s">
        <v>605</v>
      </c>
      <c r="F1302" s="32" t="n">
        <f aca="false">Sens!$F$1294*Sens!$F$1298</f>
        <v>14836.6813143633</v>
      </c>
      <c r="G1302" s="32" t="n">
        <f aca="false">Sens!$F$1302</f>
        <v>14836.6813143633</v>
      </c>
      <c r="H1302" s="32" t="n">
        <f aca="false">Sens!$G$1302+Sens!$H$1294*Sens!$H$1298</f>
        <v>45422.5212744007</v>
      </c>
      <c r="I1302" s="32" t="n">
        <f aca="false">Sens!$H$1302+Sens!$I$1294*Sens!$I$1298</f>
        <v>76920.838565749</v>
      </c>
      <c r="J1302" s="32" t="n">
        <f aca="false">Sens!$I$1302+Sens!$J$1294*Sens!$J$1298</f>
        <v>108419.155857097</v>
      </c>
      <c r="K1302" s="32" t="n">
        <f aca="false">Sens!$J$1302+Sens!$K$1294*Sens!$K$1298</f>
        <v>130760.838729396</v>
      </c>
      <c r="L1302" s="32" t="n">
        <f aca="false">Sens!$K$1302+Sens!$L$1294*Sens!$L$1298</f>
        <v>143945.887182646</v>
      </c>
      <c r="M1302" s="32" t="n">
        <f aca="false">Sens!$L$1302+Sens!$M$1294*Sens!$M$1298</f>
        <v>147974.301216846</v>
      </c>
    </row>
    <row r="1303" customFormat="false" ht="17.15" hidden="false" customHeight="false" outlineLevel="0" collapsed="false">
      <c r="A1303" s="0" t="s">
        <v>606</v>
      </c>
      <c r="B1303" s="0" t="s">
        <v>605</v>
      </c>
      <c r="F1303" s="32" t="n">
        <f aca="false">Sens!$F$1294*Sens!$F$1299</f>
        <v>2702.05863802924</v>
      </c>
      <c r="G1303" s="32" t="n">
        <f aca="false">Sens!$F$1303</f>
        <v>2702.05863802924</v>
      </c>
      <c r="H1303" s="32" t="n">
        <f aca="false">Sens!$G$1303+Sens!$H$1294*Sens!$H$1299</f>
        <v>8181.71988343017</v>
      </c>
      <c r="I1303" s="32" t="n">
        <f aca="false">Sens!$H$1303+Sens!$I$1294*Sens!$I$1299</f>
        <v>13736.9250981735</v>
      </c>
      <c r="J1303" s="32" t="n">
        <f aca="false">Sens!$I$1303+Sens!$J$1294*Sens!$J$1299</f>
        <v>19292.1303129169</v>
      </c>
      <c r="K1303" s="32" t="n">
        <f aca="false">Sens!$J$1303+Sens!$K$1294*Sens!$K$1299</f>
        <v>23232.4243943543</v>
      </c>
      <c r="L1303" s="32" t="n">
        <f aca="false">Sens!$K$1303+Sens!$L$1294*Sens!$L$1299</f>
        <v>25557.8073424858</v>
      </c>
      <c r="M1303" s="32" t="n">
        <f aca="false">Sens!$L$1303+Sens!$M$1294*Sens!$M$1299</f>
        <v>26268.2791573114</v>
      </c>
    </row>
    <row r="1304" customFormat="false" ht="17.15" hidden="false" customHeight="false" outlineLevel="0" collapsed="false">
      <c r="A1304" s="5" t="s">
        <v>607</v>
      </c>
      <c r="B1304" s="0" t="s">
        <v>173</v>
      </c>
      <c r="F1304" s="36" t="n">
        <f aca="false">IF(Sens!$F$1301&gt;0,Sens!$F$1302/Sens!$F$1301,Sens!$F$1298)</f>
        <v>10.8864110021101</v>
      </c>
      <c r="G1304" s="36" t="n">
        <f aca="false">IF(Sens!$G$1301&gt;0,Sens!$G$1302/Sens!$G$1301,Sens!$G$1298)</f>
        <v>10.8864110021101</v>
      </c>
      <c r="H1304" s="36" t="n">
        <f aca="false">IF(Sens!$H$1301&gt;0,Sens!$H$1302/Sens!$H$1301,Sens!$H$1298)</f>
        <v>11.1095876691891</v>
      </c>
      <c r="I1304" s="36" t="n">
        <f aca="false">IF(Sens!$I$1301&gt;0,Sens!$I$1302/Sens!$I$1301,Sens!$I$1298)</f>
        <v>11.2881290028523</v>
      </c>
      <c r="J1304" s="36" t="n">
        <f aca="false">IF(Sens!$J$1301&gt;0,Sens!$J$1302/Sens!$J$1301,Sens!$J$1298)</f>
        <v>11.3646467172794</v>
      </c>
      <c r="K1304" s="36" t="n">
        <f aca="false">IF(Sens!$K$1301&gt;0,Sens!$K$1302/Sens!$K$1301,Sens!$K$1298)</f>
        <v>11.3968812136403</v>
      </c>
      <c r="L1304" s="36" t="n">
        <f aca="false">IF(Sens!$L$1301&gt;0,Sens!$L$1302/Sens!$L$1301,Sens!$L$1298)</f>
        <v>11.4112682543386</v>
      </c>
      <c r="M1304" s="36" t="n">
        <f aca="false">IF(Sens!$M$1301&gt;0,Sens!$M$1302/Sens!$M$1301,Sens!$M$1298)</f>
        <v>11.4151588059241</v>
      </c>
    </row>
    <row r="1305" customFormat="false" ht="17.15" hidden="false" customHeight="false" outlineLevel="0" collapsed="false">
      <c r="A1305" s="5" t="s">
        <v>608</v>
      </c>
      <c r="B1305" s="0" t="s">
        <v>173</v>
      </c>
      <c r="F1305" s="36" t="n">
        <f aca="false">IF(Sens!$F$1301&gt;0,Sens!$F$1303/Sens!$F$1301,Sens!$F$1299)</f>
        <v>1.98263481314457</v>
      </c>
      <c r="G1305" s="36" t="n">
        <f aca="false">IF(Sens!$G$1301&gt;0,Sens!$G$1303/Sens!$G$1301,Sens!$G$1299)</f>
        <v>1.98263481314457</v>
      </c>
      <c r="H1305" s="36" t="n">
        <f aca="false">IF(Sens!$H$1301&gt;0,Sens!$H$1303/Sens!$H$1301,Sens!$H$1299)</f>
        <v>2.00111160233948</v>
      </c>
      <c r="I1305" s="36" t="n">
        <f aca="false">IF(Sens!$I$1301&gt;0,Sens!$I$1303/Sens!$I$1301,Sens!$I$1299)</f>
        <v>2.01589303369541</v>
      </c>
      <c r="J1305" s="36" t="n">
        <f aca="false">IF(Sens!$J$1301&gt;0,Sens!$J$1303/Sens!$J$1301,Sens!$J$1299)</f>
        <v>2.02222793284795</v>
      </c>
      <c r="K1305" s="36" t="n">
        <f aca="false">IF(Sens!$K$1301&gt;0,Sens!$K$1303/Sens!$K$1301,Sens!$K$1299)</f>
        <v>2.02489662578015</v>
      </c>
      <c r="L1305" s="36" t="n">
        <f aca="false">IF(Sens!$L$1301&gt;0,Sens!$L$1303/Sens!$L$1301,Sens!$L$1299)</f>
        <v>2.02608772842362</v>
      </c>
      <c r="M1305" s="36" t="n">
        <f aca="false">IF(Sens!$M$1301&gt;0,Sens!$M$1303/Sens!$M$1301,Sens!$M$1299)</f>
        <v>2.0264098270661</v>
      </c>
    </row>
    <row r="1306" customFormat="false" ht="17.15" hidden="false" customHeight="false" outlineLevel="0" collapsed="false">
      <c r="A1306" s="15" t="s">
        <v>609</v>
      </c>
      <c r="B1306" s="14" t="s">
        <v>173</v>
      </c>
      <c r="C1306" s="14"/>
      <c r="D1306" s="14"/>
      <c r="E1306" s="14"/>
      <c r="F1306" s="37" t="n">
        <f aca="false">Sens!$F$1304*k_B</f>
        <v>10.7987645808025</v>
      </c>
      <c r="G1306" s="37" t="n">
        <f aca="false">Sens!$G$1304*k_B</f>
        <v>10.7987645808025</v>
      </c>
      <c r="H1306" s="37" t="n">
        <f aca="false">Sens!$H$1304*k_B</f>
        <v>11.0201444540452</v>
      </c>
      <c r="I1306" s="37" t="n">
        <f aca="false">Sens!$I$1304*k_B</f>
        <v>11.1972483526393</v>
      </c>
      <c r="J1306" s="37" t="n">
        <f aca="false">Sens!$J$1304*k_B</f>
        <v>11.2731500234653</v>
      </c>
      <c r="K1306" s="37" t="n">
        <f aca="false">Sens!$K$1304*k_B</f>
        <v>11.3051250001142</v>
      </c>
      <c r="L1306" s="37" t="n">
        <f aca="false">Sens!$L$1304*k_B</f>
        <v>11.3193962108451</v>
      </c>
      <c r="M1306" s="37" t="n">
        <f aca="false">Sens!$M$1304*k_B</f>
        <v>11.3232554396262</v>
      </c>
      <c r="N1306" s="14"/>
      <c r="O1306" s="14"/>
      <c r="P1306" s="5" t="s">
        <v>610</v>
      </c>
    </row>
    <row r="1307" customFormat="false" ht="17.15" hidden="false" customHeight="false" outlineLevel="0" collapsed="false">
      <c r="A1307" s="5" t="s">
        <v>611</v>
      </c>
      <c r="B1307" s="0" t="s">
        <v>129</v>
      </c>
      <c r="F1307" s="32" t="n">
        <f aca="false">Sens!$F$1301/2</f>
        <v>681.43125</v>
      </c>
      <c r="H1307" s="32" t="n">
        <f aca="false">(Sens!$G$1301+Sens!$H$1301)/2</f>
        <v>2725.725</v>
      </c>
      <c r="I1307" s="32" t="n">
        <f aca="false">(Sens!$H$1301+Sens!$I$1301)/2</f>
        <v>5451.45</v>
      </c>
      <c r="J1307" s="32" t="n">
        <f aca="false">(Sens!$I$1301+Sens!$J$1301)/2</f>
        <v>8177.175</v>
      </c>
      <c r="K1307" s="32" t="n">
        <f aca="false">(Sens!$J$1301+Sens!$K$1301)/2</f>
        <v>10506.7126875</v>
      </c>
      <c r="L1307" s="32" t="n">
        <f aca="false">(Sens!$K$1301+Sens!$L$1301)/2</f>
        <v>12043.87575</v>
      </c>
      <c r="M1307" s="32" t="n">
        <f aca="false">(Sens!$L$1301+Sens!$M$1301)/2</f>
        <v>12788.6641875</v>
      </c>
    </row>
    <row r="1308" customFormat="false" ht="17.15" hidden="false" customHeight="false" outlineLevel="0" collapsed="false">
      <c r="A1308" s="1" t="s">
        <v>612</v>
      </c>
    </row>
    <row r="1309" customFormat="false" ht="17.15" hidden="false" customHeight="false" outlineLevel="0" collapsed="false">
      <c r="A1309" s="1" t="s">
        <v>613</v>
      </c>
      <c r="B1309" s="8" t="s">
        <v>86</v>
      </c>
      <c r="C1309" s="38" t="n">
        <f aca="false">Sens!$C$1292*rpm_open*Sens!$C$1293/1000</f>
        <v>2.32100535697364</v>
      </c>
      <c r="D1309" s="38" t="n">
        <f aca="false">Sens!$D$1292*rpm_open*Sens!$D$1293/1000</f>
        <v>8.70377008865116</v>
      </c>
      <c r="E1309" s="38" t="n">
        <f aca="false">Sens!$E$1292*rpm_open*Sens!$E$1293/1000</f>
        <v>8.51035297557002</v>
      </c>
      <c r="F1309" s="38" t="n">
        <f aca="false">(mw_open*rpm_open+Sens!$F$1307*Sens!$F$1306)*Sens!$F$1293/1000</f>
        <v>13.7369977035951</v>
      </c>
      <c r="G1309" s="38" t="n">
        <f aca="false">Sens!$E$1309+Sens!$F$1309</f>
        <v>22.2473506791651</v>
      </c>
      <c r="H1309" s="38" t="n">
        <f aca="false">(mw_open*rpm_open+Sens!$H$1307*Sens!$H$1306)/1000</f>
        <v>50.1532630024405</v>
      </c>
      <c r="I1309" s="38" t="n">
        <f aca="false">(mw_open*rpm_open+Sens!$I$1307*Sens!$I$1306)/1000</f>
        <v>81.1566192924336</v>
      </c>
      <c r="J1309" s="38" t="n">
        <f aca="false">(mw_open*rpm_open+Sens!$J$1307*Sens!$J$1306)/1000</f>
        <v>112.297900303568</v>
      </c>
      <c r="K1309" s="38" t="n">
        <f aca="false">(mw_open*rpm_open+Sens!$K$1307*Sens!$K$1306)/1000</f>
        <v>138.895080032911</v>
      </c>
      <c r="L1309" s="38" t="n">
        <f aca="false">(mw_open*rpm_open+Sens!$L$1307*Sens!$L$1306)/1000</f>
        <v>156.444781288878</v>
      </c>
      <c r="M1309" s="38" t="n">
        <f aca="false">(mw_open*rpm_open+Sens!$M$1307*Sens!$M$1306)/1000</f>
        <v>164.9246910871</v>
      </c>
      <c r="N1309" s="38" t="n">
        <f aca="false">Sens!$N$1292*rpm_open*Sens!$N$1293/1000</f>
        <v>3.04631953102791</v>
      </c>
      <c r="O1309" s="38" t="n">
        <f aca="false">Sens!$O$1292*rpm_open*Sens!$O$1293/1000</f>
        <v>5.65745055762326</v>
      </c>
      <c r="P1309" s="5" t="s">
        <v>614</v>
      </c>
    </row>
    <row r="1310" customFormat="false" ht="17.15" hidden="false" customHeight="false" outlineLevel="0" collapsed="false">
      <c r="A1310" s="5" t="s">
        <v>615</v>
      </c>
      <c r="B1310" s="0" t="s">
        <v>173</v>
      </c>
      <c r="C1310" s="36" t="n">
        <f aca="false">Sens!$C$1309*1000/(Sens!$C$1292*Sens!$C$1293)</f>
        <v>9.67085565405685</v>
      </c>
      <c r="D1310" s="36" t="n">
        <f aca="false">Sens!$D$1309*1000/(Sens!$D$1292*Sens!$D$1293)</f>
        <v>9.67085565405685</v>
      </c>
      <c r="E1310" s="36" t="n">
        <f aca="false">Sens!$E$1309*1000/(Sens!$E$1292*Sens!$E$1293)</f>
        <v>9.67085565405685</v>
      </c>
      <c r="F1310" s="36" t="n">
        <f aca="false">Sens!$F$1309*1000/(Sens!$F$1292*Sens!$F$1293)</f>
        <v>9.94918682374955</v>
      </c>
      <c r="G1310" s="36" t="n">
        <f aca="false">Sens!$G$1309*1000/(Sens!$G$1292*Sens!$G$1293)</f>
        <v>9.84084439154754</v>
      </c>
      <c r="H1310" s="36" t="n">
        <f aca="false">Sens!$H$1309*1000/(Sens!$H$1292*Sens!$H$1293)</f>
        <v>10.4361491767508</v>
      </c>
      <c r="I1310" s="36" t="n">
        <f aca="false">Sens!$I$1309*1000/(Sens!$I$1292*Sens!$I$1293)</f>
        <v>10.7756964850638</v>
      </c>
      <c r="J1310" s="36" t="n">
        <f aca="false">Sens!$J$1309*1000/(Sens!$J$1292*Sens!$J$1293)</f>
        <v>10.9482289522766</v>
      </c>
      <c r="K1310" s="36" t="n">
        <f aca="false">Sens!$K$1309*1000/(Sens!$K$1292*Sens!$K$1293)</f>
        <v>11.0350560532656</v>
      </c>
      <c r="L1310" s="36" t="n">
        <f aca="false">Sens!$L$1309*1000/(Sens!$L$1292*Sens!$L$1293)</f>
        <v>11.0766183488182</v>
      </c>
      <c r="M1310" s="36" t="n">
        <f aca="false">Sens!$M$1309*1000/(Sens!$M$1292*Sens!$M$1293)</f>
        <v>11.0920987257047</v>
      </c>
      <c r="N1310" s="36" t="n">
        <f aca="false">Sens!$N$1309*1000/(Sens!$N$1292*Sens!$N$1293)</f>
        <v>9.67085565405685</v>
      </c>
      <c r="O1310" s="36" t="n">
        <f aca="false">Sens!$O$1309*1000/(Sens!$O$1292*Sens!$O$1293)</f>
        <v>9.67085565405685</v>
      </c>
    </row>
    <row r="1311" customFormat="false" ht="17.15" hidden="false" customHeight="false" outlineLevel="0" collapsed="false">
      <c r="A1311" s="0" t="s">
        <v>616</v>
      </c>
      <c r="B1311" s="0" t="s">
        <v>86</v>
      </c>
      <c r="C1311" s="38" t="n">
        <f aca="false">Sens!$C$1292/ext_sh*(ox_open+rent_mw)*Sens!$C$1293/1000</f>
        <v>0.642569210675032</v>
      </c>
      <c r="D1311" s="38" t="n">
        <f aca="false">Sens!$D$1292/ext_sh*(ox_open+rent_mw)*Sens!$D$1293/1000</f>
        <v>2.40963454003137</v>
      </c>
      <c r="E1311" s="38" t="n">
        <f aca="false">Sens!$E$1292/ext_sh*(ox_open+rent_mw)*Sens!$E$1293/1000</f>
        <v>2.35608710580845</v>
      </c>
      <c r="F1311" s="38" t="n">
        <f aca="false">((mw_open*ox_open+Sens!$F$1307*Sens!$F$1305)/ext_sh+Sens!$F$1292/ext_sh*rent_mw)*Sens!$F$1293/1000</f>
        <v>3.73678157819469</v>
      </c>
      <c r="G1311" s="38" t="n">
        <f aca="false">Sens!$E$1311+Sens!$F$1311</f>
        <v>6.09286868400315</v>
      </c>
      <c r="H1311" s="38" t="n">
        <f aca="false">((mw_open*ox_open+Sens!$H$1307*Sens!$H$1305)/ext_sh+Sens!$H$1292/ext_sh*rent_mw)*Sens!$H$1293/1000</f>
        <v>13.2504064557921</v>
      </c>
      <c r="I1311" s="38" t="n">
        <f aca="false">((mw_open*ox_open+Sens!$I$1307*Sens!$I$1305)/ext_sh+Sens!$I$1292/ext_sh*rent_mw)*Sens!$I$1293/1000</f>
        <v>21.0326050448572</v>
      </c>
      <c r="J1311" s="38" t="n">
        <f aca="false">((mw_open*ox_open+Sens!$J$1307*Sens!$J$1305)/ext_sh+Sens!$J$1292/ext_sh*rent_mw)*Sens!$J$1293/1000</f>
        <v>28.829192961416</v>
      </c>
      <c r="K1311" s="38" t="n">
        <f aca="false">((mw_open*ox_open+Sens!$K$1307*Sens!$K$1305)/ext_sh+Sens!$K$1292/ext_sh*rent_mw)*Sens!$K$1293/1000</f>
        <v>35.4906932391495</v>
      </c>
      <c r="L1311" s="38" t="n">
        <f aca="false">((mw_open*ox_open+Sens!$L$1307*Sens!$L$1305)/ext_sh+Sens!$L$1292/ext_sh*rent_mw)*Sens!$L$1293/1000</f>
        <v>39.8862668776634</v>
      </c>
      <c r="M1311" s="38" t="n">
        <f aca="false">((mw_open*ox_open+Sens!$M$1307*Sens!$M$1305)/ext_sh+Sens!$M$1292/ext_sh*rent_mw)*Sens!$M$1293/1000</f>
        <v>42.0135860213221</v>
      </c>
      <c r="N1311" s="38" t="n">
        <f aca="false">Sens!$N$1292/ext_sh*(ox_open+rent_mw)*Sens!$N$1293/1000</f>
        <v>0.84337208901098</v>
      </c>
      <c r="O1311" s="38" t="n">
        <f aca="false">Sens!$O$1292/ext_sh*(ox_open+rent_mw)*Sens!$O$1293/1000</f>
        <v>1.56626245102039</v>
      </c>
    </row>
    <row r="1312" customFormat="false" ht="17.15" hidden="false" customHeight="false" outlineLevel="0" collapsed="false">
      <c r="A1312" s="0" t="s">
        <v>617</v>
      </c>
      <c r="B1312" s="0" t="s">
        <v>86</v>
      </c>
      <c r="C1312" s="38" t="n">
        <f aca="false">Q!$D$7</f>
        <v>107.556</v>
      </c>
      <c r="D1312" s="38" t="n">
        <f aca="false">Q!$E$7</f>
        <v>128.725</v>
      </c>
      <c r="E1312" s="38" t="n">
        <f aca="false">Q!$P$7</f>
        <v>79.819</v>
      </c>
      <c r="N1312" s="38" t="n">
        <f aca="false">Q!$N$7</f>
        <v>60.14</v>
      </c>
      <c r="O1312" s="38" t="n">
        <f aca="false">Q!$O$7</f>
        <v>68.585</v>
      </c>
    </row>
    <row r="1313" customFormat="false" ht="17.15" hidden="false" customHeight="false" outlineLevel="0" collapsed="false">
      <c r="A1313" s="1" t="s">
        <v>618</v>
      </c>
      <c r="B1313" s="8" t="s">
        <v>86</v>
      </c>
      <c r="C1313" s="38" t="n">
        <f aca="false">Sens!$C$1312-Sens!$C$1309</f>
        <v>105.234994643026</v>
      </c>
      <c r="D1313" s="38" t="n">
        <f aca="false">Sens!$D$1312-Sens!$D$1309</f>
        <v>120.021229911349</v>
      </c>
      <c r="E1313" s="38" t="n">
        <f aca="false">Sens!$E$1312-Sens!$E$1309</f>
        <v>71.30864702443</v>
      </c>
      <c r="F1313" s="38" t="n">
        <f aca="false">Sens!$O$1313*(1+Sens!$F$1314)</f>
        <v>71.7692997942464</v>
      </c>
      <c r="G1313" s="38" t="n">
        <f aca="false">Sens!$E$1313+Sens!$F$1313</f>
        <v>143.077946818676</v>
      </c>
      <c r="H1313" s="38" t="n">
        <f aca="false">Sens!$G$1313*(1+Sens!$H$1314)</f>
        <v>161.017077079203</v>
      </c>
      <c r="I1313" s="38" t="n">
        <f aca="false">Sens!$H$1313*(1+Sens!$I$1314)</f>
        <v>178.769759521457</v>
      </c>
      <c r="J1313" s="38" t="n">
        <f aca="false">Sens!$I$1313*(1+Sens!$J$1314)</f>
        <v>195.775538045907</v>
      </c>
      <c r="K1313" s="38" t="n">
        <f aca="false">Sens!$J$1313*(1+Sens!$K$1314)</f>
        <v>211.43758108958</v>
      </c>
      <c r="L1313" s="38" t="n">
        <f aca="false">Sens!$K$1313*(1+Sens!$L$1314)</f>
        <v>228.352587576746</v>
      </c>
      <c r="M1313" s="38" t="n">
        <f aca="false">Sens!$L$1313*(1+Sens!$M$1314)</f>
        <v>246.620794582886</v>
      </c>
      <c r="N1313" s="38" t="n">
        <f aca="false">Sens!$N$1312-Sens!$N$1309</f>
        <v>57.0936804689721</v>
      </c>
      <c r="O1313" s="38" t="n">
        <f aca="false">Sens!$O$1312-Sens!$O$1309</f>
        <v>62.9275494423768</v>
      </c>
      <c r="P1313" s="5" t="s">
        <v>619</v>
      </c>
    </row>
    <row r="1314" customFormat="false" ht="17.15" hidden="false" customHeight="false" outlineLevel="0" collapsed="false">
      <c r="A1314" s="0" t="s">
        <v>620</v>
      </c>
      <c r="B1314" s="0" t="s">
        <v>52</v>
      </c>
      <c r="D1314" s="13" t="n">
        <f aca="false">Sens!$D$1313/Sens!$C$1313-1</f>
        <v>0.140506827776062</v>
      </c>
      <c r="E1314" s="13" t="n">
        <f aca="false">Sens!$E$1313/Sens!$N$1313-1</f>
        <v>0.248976181579029</v>
      </c>
      <c r="F1314" s="13" t="n">
        <f aca="false">Sens!$D$1314</f>
        <v>0.140506827776062</v>
      </c>
      <c r="G1314" s="13" t="n">
        <f aca="false">Sens!$G$1313/Sens!$D$1313-1</f>
        <v>0.19210532106993</v>
      </c>
      <c r="H1314" s="13" t="n">
        <f aca="false">Sens!$F$1314+(g_awso_lt-Sens!$F$1314)*1/4</f>
        <v>0.125380120832046</v>
      </c>
      <c r="I1314" s="13" t="n">
        <f aca="false">Sens!$F$1314+(g_awso_lt-Sens!$F$1314)*2/4</f>
        <v>0.110253413888031</v>
      </c>
      <c r="J1314" s="13" t="n">
        <f aca="false">Sens!$F$1314+(g_awso_lt-Sens!$F$1314)*3/4</f>
        <v>0.0951267069440154</v>
      </c>
      <c r="K1314" s="13" t="n">
        <f aca="false">Sens!$F$1314+(g_awso_lt-Sens!$F$1314)*4/4</f>
        <v>0.08</v>
      </c>
      <c r="L1314" s="13" t="n">
        <f aca="false">g_awso_lt</f>
        <v>0.08</v>
      </c>
      <c r="M1314" s="13" t="n">
        <f aca="false">g_awso_lt</f>
        <v>0.08</v>
      </c>
      <c r="P1314" s="5" t="s">
        <v>621</v>
      </c>
    </row>
    <row r="1315" customFormat="false" ht="17.15" hidden="false" customHeight="false" outlineLevel="0" collapsed="false">
      <c r="A1315" s="1" t="s">
        <v>622</v>
      </c>
    </row>
    <row r="1316" customFormat="false" ht="17.15" hidden="false" customHeight="false" outlineLevel="0" collapsed="false">
      <c r="A1316" s="0" t="s">
        <v>623</v>
      </c>
      <c r="B1316" s="0" t="s">
        <v>86</v>
      </c>
      <c r="F1316" s="38" t="n">
        <f aca="false">cx_rt*Sens!$F$1281+cx_awso*Sens!$F$1313</f>
        <v>35.0458997125301</v>
      </c>
    </row>
    <row r="1317" customFormat="false" ht="17.15" hidden="false" customHeight="false" outlineLevel="0" collapsed="false">
      <c r="A1317" s="0" t="s">
        <v>624</v>
      </c>
      <c r="B1317" s="0" t="s">
        <v>52</v>
      </c>
      <c r="C1317" s="13" t="n">
        <f aca="false">tk_cx_h100/(tk_cx_h100+tk_fac*(1-colo_sh))</f>
        <v>0.730756458006641</v>
      </c>
      <c r="D1317" s="13" t="n">
        <f aca="false">tk_cx_h100/(tk_cx_h100+tk_fac*(1-colo_sh))</f>
        <v>0.730756458006641</v>
      </c>
      <c r="E1317" s="13" t="n">
        <f aca="false">Sens!$F$1317</f>
        <v>0.760792334328868</v>
      </c>
      <c r="F1317" s="13" t="n">
        <f aca="false">Sens!$F$1300/(Sens!$F$1300+tk_fac*(1-colo_sh))</f>
        <v>0.760792334328868</v>
      </c>
      <c r="G1317" s="13" t="n">
        <f aca="false">Sens!$G$1300/(Sens!$G$1300+tk_fac*(1-colo_sh))</f>
        <v>0.760792334328868</v>
      </c>
      <c r="H1317" s="13" t="n">
        <f aca="false">Sens!$H$1300/(Sens!$H$1300+tk_fac*(1-colo_sh))</f>
        <v>0.768110668862996</v>
      </c>
      <c r="I1317" s="13" t="n">
        <f aca="false">Sens!$I$1300/(Sens!$I$1300+tk_fac*(1-colo_sh))</f>
        <v>0.77499450139483</v>
      </c>
      <c r="J1317" s="13" t="n">
        <f aca="false">Sens!$J$1300/(Sens!$J$1300+tk_fac*(1-colo_sh))</f>
        <v>0.77499450139483</v>
      </c>
      <c r="K1317" s="13" t="n">
        <f aca="false">Sens!$K$1300/(Sens!$K$1300+tk_fac*(1-colo_sh))</f>
        <v>0.77499450139483</v>
      </c>
      <c r="L1317" s="13" t="n">
        <f aca="false">Sens!$L$1300/(Sens!$L$1300+tk_fac*(1-colo_sh))</f>
        <v>0.77499450139483</v>
      </c>
      <c r="M1317" s="13" t="n">
        <f aca="false">Sens!$M$1300/(Sens!$M$1300+tk_fac*(1-colo_sh))</f>
        <v>0.77499450139483</v>
      </c>
    </row>
    <row r="1318" customFormat="false" ht="17.15" hidden="false" customHeight="false" outlineLevel="0" collapsed="false">
      <c r="A1318" s="1" t="s">
        <v>625</v>
      </c>
      <c r="B1318" s="8" t="s">
        <v>86</v>
      </c>
      <c r="C1318" s="38" t="n">
        <f aca="false">Q!$D$46-cx_rt*Q!$D$16-cx_awso*Sens!$C$1313</f>
        <v>25.2781053077374</v>
      </c>
      <c r="D1318" s="38" t="n">
        <f aca="false">Q!$E$46-cx_rt*Q!$E$16-cx_awso*Sens!$D$1313</f>
        <v>69.5686316310026</v>
      </c>
      <c r="E1318" s="38" t="n">
        <f aca="false">Q!$P$46-cx_rt*Q!$P$16-cx_awso*Sens!$E$1313</f>
        <v>64.1899206485108</v>
      </c>
      <c r="F1318" s="38" t="n">
        <f aca="false">MAX(Sens!$F$1295*(Sens!$F$1300+tk_fac*(1-colo_sh))/1000,capex_g26-Q!$P$46-Sens!$F$1316)</f>
        <v>88.6441002874699</v>
      </c>
      <c r="G1318" s="38" t="n">
        <f aca="false">Sens!$E$1318+Sens!$F$1318</f>
        <v>152.834020935981</v>
      </c>
      <c r="H1318" s="38" t="n">
        <f aca="false">Sens!$H$1295*(Sens!$H$1300+tk_fac*(1-colo_sh))/1000+Sens!$H$1319</f>
        <v>148.928523708563</v>
      </c>
      <c r="I1318" s="38" t="n">
        <f aca="false">Sens!$I$1295*(Sens!$I$1300+tk_fac*(1-colo_sh))/1000+Sens!$I$1319</f>
        <v>153.484852432875</v>
      </c>
      <c r="J1318" s="38" t="n">
        <f aca="false">Sens!$J$1295*(Sens!$J$1300+tk_fac*(1-colo_sh))/1000+Sens!$J$1319</f>
        <v>158.721620632875</v>
      </c>
      <c r="K1318" s="38" t="n">
        <f aca="false">Sens!$K$1295*(Sens!$K$1300+tk_fac*(1-colo_sh))/1000+Sens!$K$1319</f>
        <v>119.339983678401</v>
      </c>
      <c r="L1318" s="38" t="n">
        <f aca="false">Sens!$L$1295*(Sens!$L$1300+tk_fac*(1-colo_sh))/1000+Sens!$L$1319</f>
        <v>111.378955923926</v>
      </c>
      <c r="M1318" s="38" t="n">
        <f aca="false">Sens!$M$1295*(Sens!$M$1300+tk_fac*(1-colo_sh))/1000+Sens!$M$1319</f>
        <v>107.034025710889</v>
      </c>
      <c r="P1318" s="5" t="s">
        <v>626</v>
      </c>
      <c r="R1318" s="38" t="n">
        <f aca="false">Q!$C$46-cx_rt*Q!$C$16-cx_awso*(Q!$C$7-mw_ye23/2*rpm_open/1000)</f>
        <v>1.50429979529945</v>
      </c>
      <c r="S1318" s="38" t="n">
        <f aca="false">Sens!$C$1318</f>
        <v>25.2781053077374</v>
      </c>
      <c r="T1318" s="38" t="n">
        <f aca="false">Sens!$D$1318</f>
        <v>69.5686316310026</v>
      </c>
      <c r="U1318" s="38" t="n">
        <f aca="false">Sens!$G$1318</f>
        <v>152.834020935981</v>
      </c>
      <c r="V1318" s="38" t="n">
        <f aca="false">Sens!$H$1318</f>
        <v>148.928523708563</v>
      </c>
      <c r="W1318" s="38" t="n">
        <f aca="false">Sens!$I$1318</f>
        <v>153.484852432875</v>
      </c>
      <c r="X1318" s="38" t="n">
        <f aca="false">Sens!$J$1318</f>
        <v>158.721620632875</v>
      </c>
      <c r="Y1318" s="38" t="n">
        <f aca="false">Sens!$K$1318</f>
        <v>119.339983678401</v>
      </c>
      <c r="Z1318" s="38" t="n">
        <f aca="false">Sens!$L$1318</f>
        <v>111.378955923926</v>
      </c>
      <c r="AA1318" s="38" t="n">
        <f aca="false">Sens!$M$1318</f>
        <v>107.034025710889</v>
      </c>
    </row>
    <row r="1319" customFormat="false" ht="17.15" hidden="false" customHeight="false" outlineLevel="0" collapsed="false">
      <c r="A1319" s="0" t="s">
        <v>627</v>
      </c>
      <c r="B1319" s="0" t="s">
        <v>86</v>
      </c>
      <c r="H1319" s="38" t="n">
        <f aca="false">SUMPRODUCT(--(Sens!$R$1288:$AA$1288=2027-tk_life),Sens!$R$1295:$AA$1295)*Sens!$H$1300/1000</f>
        <v>0</v>
      </c>
      <c r="I1319" s="38" t="n">
        <f aca="false">SUMPRODUCT(--(Sens!$R$1288:$AA$1288=2028-tk_life),Sens!$R$1295:$AA$1295)*Sens!$I$1300/1000</f>
        <v>0</v>
      </c>
      <c r="J1319" s="38" t="n">
        <f aca="false">SUMPRODUCT(--(Sens!$R$1288:$AA$1288=2029-tk_life),Sens!$R$1295:$AA$1295)*Sens!$J$1300/1000</f>
        <v>5.2367682</v>
      </c>
      <c r="K1319" s="38" t="n">
        <f aca="false">SUMPRODUCT(--(Sens!$R$1288:$AA$1288=2030-tk_life),Sens!$R$1295:$AA$1295)*Sens!$K$1300/1000</f>
        <v>10.4735364</v>
      </c>
      <c r="L1319" s="38" t="n">
        <f aca="false">SUMPRODUCT(--(Sens!$R$1288:$AA$1288=2031-tk_life),Sens!$R$1295:$AA$1295)*Sens!$L$1300/1000</f>
        <v>47.1309138</v>
      </c>
      <c r="M1319" s="38" t="n">
        <f aca="false">SUMPRODUCT(--(Sens!$R$1288:$AA$1288=2032-tk_life),Sens!$R$1295:$AA$1295)*Sens!$M$1300/1000</f>
        <v>87.4043887414375</v>
      </c>
    </row>
    <row r="1320" customFormat="false" ht="17.15" hidden="false" customHeight="false" outlineLevel="0" collapsed="false">
      <c r="A1320" s="5" t="s">
        <v>628</v>
      </c>
      <c r="B1320" s="0" t="s">
        <v>86</v>
      </c>
      <c r="C1320" s="38" t="n">
        <f aca="false">Sens!$C$1318*Sens!$C$1317</f>
        <v>18.472138699801</v>
      </c>
      <c r="D1320" s="38" t="n">
        <f aca="false">Sens!$D$1318*Sens!$D$1317</f>
        <v>50.8377268390402</v>
      </c>
      <c r="E1320" s="38" t="n">
        <f aca="false">Sens!$E$1318*Sens!$E$1317</f>
        <v>48.8351995705653</v>
      </c>
      <c r="F1320" s="38" t="n">
        <f aca="false">Sens!$F$1318*Sens!$F$1317</f>
        <v>67.4397519821865</v>
      </c>
      <c r="G1320" s="38" t="n">
        <f aca="false">Sens!$E$1320+Sens!$F$1320</f>
        <v>116.274951552752</v>
      </c>
      <c r="H1320" s="38" t="n">
        <f aca="false">(Sens!$H$1318-Sens!$H$1319)*Sens!$H$1317+Sens!$H$1319</f>
        <v>114.393587958563</v>
      </c>
      <c r="I1320" s="38" t="n">
        <f aca="false">(Sens!$I$1318-Sens!$I$1319)*Sens!$I$1317+Sens!$I$1319</f>
        <v>118.949916682875</v>
      </c>
      <c r="J1320" s="38" t="n">
        <f aca="false">(Sens!$J$1318-Sens!$J$1319)*Sens!$J$1317+Sens!$J$1319</f>
        <v>124.186684882875</v>
      </c>
      <c r="K1320" s="38" t="n">
        <f aca="false">(Sens!$K$1318-Sens!$K$1319)*Sens!$K$1317+Sens!$K$1319</f>
        <v>94.8444344271506</v>
      </c>
      <c r="L1320" s="38" t="n">
        <f aca="false">(Sens!$L$1318-Sens!$L$1319)*Sens!$L$1317+Sens!$L$1319</f>
        <v>96.9227931714262</v>
      </c>
      <c r="M1320" s="38" t="n">
        <f aca="false">(Sens!$M$1318-Sens!$M$1319)*Sens!$M$1317+Sens!$M$1319</f>
        <v>102.617249457139</v>
      </c>
      <c r="R1320" s="38" t="n">
        <f aca="false">Sens!$R$1318*Sens!$C$1317</f>
        <v>1.09927679019314</v>
      </c>
      <c r="S1320" s="38" t="n">
        <f aca="false">Sens!$C$1320</f>
        <v>18.472138699801</v>
      </c>
      <c r="T1320" s="38" t="n">
        <f aca="false">Sens!$D$1320</f>
        <v>50.8377268390402</v>
      </c>
      <c r="U1320" s="38" t="n">
        <f aca="false">Sens!$G$1320</f>
        <v>116.274951552752</v>
      </c>
      <c r="V1320" s="38" t="n">
        <f aca="false">Sens!$H$1320</f>
        <v>114.393587958563</v>
      </c>
      <c r="W1320" s="38" t="n">
        <f aca="false">Sens!$I$1320</f>
        <v>118.949916682875</v>
      </c>
      <c r="X1320" s="38" t="n">
        <f aca="false">Sens!$J$1320</f>
        <v>124.186684882875</v>
      </c>
      <c r="Y1320" s="38" t="n">
        <f aca="false">Sens!$K$1320</f>
        <v>94.8444344271506</v>
      </c>
      <c r="Z1320" s="38" t="n">
        <f aca="false">Sens!$L$1320</f>
        <v>96.9227931714262</v>
      </c>
      <c r="AA1320" s="38" t="n">
        <f aca="false">Sens!$M$1320</f>
        <v>102.617249457139</v>
      </c>
    </row>
    <row r="1321" customFormat="false" ht="15" hidden="false" customHeight="false" outlineLevel="0" collapsed="false">
      <c r="A1321" s="5" t="s">
        <v>629</v>
      </c>
      <c r="B1321" s="0" t="s">
        <v>86</v>
      </c>
      <c r="C1321" s="38" t="n">
        <f aca="false">Sens!$C$1318-Sens!$C$1320</f>
        <v>6.80596660793636</v>
      </c>
      <c r="D1321" s="38" t="n">
        <f aca="false">Sens!$D$1318-Sens!$D$1320</f>
        <v>18.7309047919624</v>
      </c>
      <c r="E1321" s="38" t="n">
        <f aca="false">Sens!$E$1318-Sens!$E$1320</f>
        <v>15.3547210779455</v>
      </c>
      <c r="F1321" s="38" t="n">
        <f aca="false">Sens!$F$1318-Sens!$F$1320</f>
        <v>21.2043483052834</v>
      </c>
      <c r="G1321" s="38" t="n">
        <f aca="false">Sens!$G$1318-Sens!$G$1320</f>
        <v>36.5590693832289</v>
      </c>
      <c r="H1321" s="38" t="n">
        <f aca="false">Sens!$H$1318-Sens!$H$1320</f>
        <v>34.53493575</v>
      </c>
      <c r="I1321" s="38" t="n">
        <f aca="false">Sens!$I$1318-Sens!$I$1320</f>
        <v>34.53493575</v>
      </c>
      <c r="J1321" s="38" t="n">
        <f aca="false">Sens!$J$1318-Sens!$J$1320</f>
        <v>34.53493575</v>
      </c>
      <c r="K1321" s="38" t="n">
        <f aca="false">Sens!$K$1318-Sens!$K$1320</f>
        <v>24.49554925125</v>
      </c>
      <c r="L1321" s="38" t="n">
        <f aca="false">Sens!$L$1318-Sens!$L$1320</f>
        <v>14.4561627525</v>
      </c>
      <c r="M1321" s="38" t="n">
        <f aca="false">Sens!$M$1318-Sens!$M$1320</f>
        <v>4.41677625374999</v>
      </c>
      <c r="R1321" s="38" t="n">
        <f aca="false">Sens!$R$1318-Sens!$R$1320</f>
        <v>0.405023005106309</v>
      </c>
      <c r="S1321" s="38" t="n">
        <f aca="false">Sens!$S$1318-Sens!$S$1320</f>
        <v>6.80596660793636</v>
      </c>
      <c r="T1321" s="38" t="n">
        <f aca="false">Sens!$T$1318-Sens!$T$1320</f>
        <v>18.7309047919624</v>
      </c>
      <c r="U1321" s="38" t="n">
        <f aca="false">Sens!$U$1318-Sens!$U$1320</f>
        <v>36.5590693832289</v>
      </c>
      <c r="V1321" s="38" t="n">
        <f aca="false">Sens!$V$1318-Sens!$V$1320</f>
        <v>34.53493575</v>
      </c>
      <c r="W1321" s="38" t="n">
        <f aca="false">Sens!$W$1318-Sens!$W$1320</f>
        <v>34.53493575</v>
      </c>
      <c r="X1321" s="38" t="n">
        <f aca="false">Sens!$X$1318-Sens!$X$1320</f>
        <v>34.53493575</v>
      </c>
      <c r="Y1321" s="38" t="n">
        <f aca="false">Sens!$Y$1318-Sens!$Y$1320</f>
        <v>24.49554925125</v>
      </c>
      <c r="Z1321" s="38" t="n">
        <f aca="false">Sens!$Z$1318-Sens!$Z$1320</f>
        <v>14.4561627525</v>
      </c>
      <c r="AA1321" s="38" t="n">
        <f aca="false">Sens!$AA$1318-Sens!$AA$1320</f>
        <v>4.41677625374999</v>
      </c>
    </row>
    <row r="1322" customFormat="false" ht="17.15" hidden="false" customHeight="false" outlineLevel="0" collapsed="false">
      <c r="A1322" s="0" t="s">
        <v>630</v>
      </c>
      <c r="B1322" s="0" t="s">
        <v>52</v>
      </c>
      <c r="C1322" s="13" t="n">
        <f aca="false">Sens!$C$1318/Sens!$C$1438</f>
        <v>0.325505489553393</v>
      </c>
      <c r="D1322" s="13" t="n">
        <f aca="false">Sens!$D$1318/Sens!$D$1438</f>
        <v>0.54214956071542</v>
      </c>
      <c r="E1322" s="13" t="n">
        <f aca="false">Sens!$E$1318/Sens!$E$1438</f>
        <v>0.666492790452817</v>
      </c>
      <c r="F1322" s="13" t="n">
        <f aca="false">Sens!$F$1318/Sens!$F$1438</f>
        <v>0.716663435099603</v>
      </c>
      <c r="G1322" s="13" t="n">
        <f aca="false">Sens!$G$1318/Sens!$G$1438</f>
        <v>0.694700095163549</v>
      </c>
      <c r="H1322" s="13" t="n">
        <f aca="false">Sens!$H$1318/Sens!$H$1438</f>
        <v>0.665423661114347</v>
      </c>
      <c r="I1322" s="13" t="n">
        <f aca="false">Sens!$I$1318/Sens!$I$1438</f>
        <v>0.650613245768246</v>
      </c>
      <c r="J1322" s="13" t="n">
        <f aca="false">Sens!$J$1318/Sens!$J$1438</f>
        <v>0.639362871431046</v>
      </c>
      <c r="K1322" s="13" t="n">
        <f aca="false">Sens!$K$1318/Sens!$K$1438</f>
        <v>0.554400112743355</v>
      </c>
      <c r="L1322" s="13" t="n">
        <f aca="false">Sens!$L$1318/Sens!$L$1438</f>
        <v>0.520052564197264</v>
      </c>
      <c r="M1322" s="13" t="n">
        <f aca="false">Sens!$M$1318/Sens!$M$1438</f>
        <v>0.492769092719962</v>
      </c>
    </row>
    <row r="1323" customFormat="false" ht="17.15" hidden="false" customHeight="false" outlineLevel="0" collapsed="false">
      <c r="A1323" s="0" t="s">
        <v>631</v>
      </c>
      <c r="B1323" s="0" t="s">
        <v>86</v>
      </c>
      <c r="C1323" s="38" t="n">
        <f aca="false">Sens!$S$1323</f>
        <v>0.183212798365523</v>
      </c>
      <c r="D1323" s="38" t="n">
        <f aca="false">Sens!$T$1323</f>
        <v>3.2619025816657</v>
      </c>
      <c r="E1323" s="38" t="n">
        <f aca="false">Sens!$G$1323/2</f>
        <v>5.86742852741953</v>
      </c>
      <c r="F1323" s="38" t="n">
        <f aca="false">Sens!$G$1323/2</f>
        <v>5.86742852741953</v>
      </c>
      <c r="G1323" s="38" t="n">
        <f aca="false">Sens!$U$1323</f>
        <v>11.7348570548391</v>
      </c>
      <c r="H1323" s="38" t="n">
        <f aca="false">Sens!$V$1323</f>
        <v>31.1140156469644</v>
      </c>
      <c r="I1323" s="38" t="n">
        <f aca="false">Sens!$W$1323</f>
        <v>50.1796136400581</v>
      </c>
      <c r="J1323" s="38" t="n">
        <f aca="false">Sens!$X$1323</f>
        <v>70.0045997538706</v>
      </c>
      <c r="K1323" s="38" t="n">
        <f aca="false">Sens!$Y$1323</f>
        <v>90.5191677693176</v>
      </c>
      <c r="L1323" s="38" t="n">
        <f aca="false">Sens!$Z$1323</f>
        <v>103.247883723876</v>
      </c>
      <c r="M1323" s="38" t="n">
        <f aca="false">Sens!$AA$1323</f>
        <v>110.928728112607</v>
      </c>
      <c r="N1323" s="38" t="n">
        <f aca="false">Sens!$D$1323/2</f>
        <v>1.63095129083285</v>
      </c>
      <c r="O1323" s="38" t="n">
        <f aca="false">Sens!$D$1323/2</f>
        <v>1.63095129083285</v>
      </c>
      <c r="R1323" s="38" t="n">
        <f aca="false">SUMPRODUCT(--(Sens!$R$1288:$AA$1288&lt;Sens!R$1288),--(Sens!$R$1288:$AA$1288&gt;=Sens!R$1288-tk_life),Sens!$R$1320:$AA$1320)/tk_life</f>
        <v>0</v>
      </c>
      <c r="S1323" s="38" t="n">
        <f aca="false">SUMPRODUCT(--(Sens!$R$1288:$AA$1288&lt;Sens!S$1288),--(Sens!$R$1288:$AA$1288&gt;=Sens!S$1288-tk_life),Sens!$R$1320:$AA$1320)/tk_life</f>
        <v>0.183212798365523</v>
      </c>
      <c r="T1323" s="38" t="n">
        <f aca="false">SUMPRODUCT(--(Sens!$R$1288:$AA$1288&lt;Sens!T$1288),--(Sens!$R$1288:$AA$1288&gt;=Sens!T$1288-tk_life),Sens!$R$1320:$AA$1320)/tk_life</f>
        <v>3.2619025816657</v>
      </c>
      <c r="U1323" s="38" t="n">
        <f aca="false">SUMPRODUCT(--(Sens!$R$1288:$AA$1288&lt;Sens!U$1288),--(Sens!$R$1288:$AA$1288&gt;=Sens!U$1288-tk_life),Sens!$R$1320:$AA$1320)/tk_life</f>
        <v>11.7348570548391</v>
      </c>
      <c r="V1323" s="38" t="n">
        <f aca="false">SUMPRODUCT(--(Sens!$R$1288:$AA$1288&lt;Sens!V$1288),--(Sens!$R$1288:$AA$1288&gt;=Sens!V$1288-tk_life),Sens!$R$1320:$AA$1320)/tk_life</f>
        <v>31.1140156469644</v>
      </c>
      <c r="W1323" s="38" t="n">
        <f aca="false">SUMPRODUCT(--(Sens!$R$1288:$AA$1288&lt;Sens!W$1288),--(Sens!$R$1288:$AA$1288&gt;=Sens!W$1288-tk_life),Sens!$R$1320:$AA$1320)/tk_life</f>
        <v>50.1796136400581</v>
      </c>
      <c r="X1323" s="38" t="n">
        <f aca="false">SUMPRODUCT(--(Sens!$R$1288:$AA$1288&lt;Sens!X$1288),--(Sens!$R$1288:$AA$1288&gt;=Sens!X$1288-tk_life),Sens!$R$1320:$AA$1320)/tk_life</f>
        <v>70.0045997538706</v>
      </c>
      <c r="Y1323" s="38" t="n">
        <f aca="false">SUMPRODUCT(--(Sens!$R$1288:$AA$1288&lt;Sens!Y$1288),--(Sens!$R$1288:$AA$1288&gt;=Sens!Y$1288-tk_life),Sens!$R$1320:$AA$1320)/tk_life</f>
        <v>90.5191677693176</v>
      </c>
      <c r="Z1323" s="38" t="n">
        <f aca="false">SUMPRODUCT(--(Sens!$R$1288:$AA$1288&lt;Sens!Z$1288),--(Sens!$R$1288:$AA$1288&gt;=Sens!Z$1288-tk_life),Sens!$R$1320:$AA$1320)/tk_life</f>
        <v>103.247883723876</v>
      </c>
      <c r="AA1323" s="38" t="n">
        <f aca="false">SUMPRODUCT(--(Sens!$R$1288:$AA$1288&lt;Sens!AA$1288),--(Sens!$R$1288:$AA$1288&gt;=Sens!AA$1288-tk_life),Sens!$R$1320:$AA$1320)/tk_life</f>
        <v>110.928728112607</v>
      </c>
    </row>
    <row r="1324" customFormat="false" ht="17.15" hidden="false" customHeight="false" outlineLevel="0" collapsed="false">
      <c r="A1324" s="0" t="s">
        <v>632</v>
      </c>
      <c r="B1324" s="0" t="s">
        <v>86</v>
      </c>
      <c r="C1324" s="38" t="n">
        <f aca="false">Sens!$S$1324</f>
        <v>0.0202511502553155</v>
      </c>
      <c r="D1324" s="38" t="n">
        <f aca="false">Sens!$T$1324</f>
        <v>0.360549480652134</v>
      </c>
      <c r="E1324" s="38" t="n">
        <f aca="false">Sens!$G$1324/2</f>
        <v>0.648547360125127</v>
      </c>
      <c r="F1324" s="38" t="n">
        <f aca="false">Sens!$G$1324/2</f>
        <v>0.648547360125127</v>
      </c>
      <c r="G1324" s="38" t="n">
        <f aca="false">Sens!$U$1324</f>
        <v>1.29709472025025</v>
      </c>
      <c r="H1324" s="38" t="n">
        <f aca="false">Sens!$V$1324</f>
        <v>3.1250481894117</v>
      </c>
      <c r="I1324" s="38" t="n">
        <f aca="false">Sens!$W$1324</f>
        <v>4.8517949769117</v>
      </c>
      <c r="J1324" s="38" t="n">
        <f aca="false">Sens!$X$1324</f>
        <v>6.5785417644117</v>
      </c>
      <c r="K1324" s="38" t="n">
        <f aca="false">Sens!$Y$1324</f>
        <v>8.3052885519117</v>
      </c>
      <c r="L1324" s="38" t="n">
        <f aca="false">Sens!$Z$1324</f>
        <v>9.5300660144742</v>
      </c>
      <c r="M1324" s="38" t="n">
        <f aca="false">Sens!$AA$1324</f>
        <v>10.2528741520992</v>
      </c>
      <c r="N1324" s="38" t="n">
        <f aca="false">Sens!$D$1324/2</f>
        <v>0.180274740326067</v>
      </c>
      <c r="O1324" s="38" t="n">
        <f aca="false">Sens!$D$1324/2</f>
        <v>0.180274740326067</v>
      </c>
      <c r="R1324" s="38" t="n">
        <f aca="false">SUMPRODUCT(--(Sens!$R$1288:$AA$1288&lt;Sens!R$1288),Sens!$R$1321:$AA$1321)/fac_life</f>
        <v>0</v>
      </c>
      <c r="S1324" s="38" t="n">
        <f aca="false">SUMPRODUCT(--(Sens!$R$1288:$AA$1288&lt;Sens!S$1288),Sens!$R$1321:$AA$1321)/fac_life</f>
        <v>0.0202511502553155</v>
      </c>
      <c r="T1324" s="38" t="n">
        <f aca="false">SUMPRODUCT(--(Sens!$R$1288:$AA$1288&lt;Sens!T$1288),Sens!$R$1321:$AA$1321)/fac_life</f>
        <v>0.360549480652134</v>
      </c>
      <c r="U1324" s="38" t="n">
        <f aca="false">SUMPRODUCT(--(Sens!$R$1288:$AA$1288&lt;Sens!U$1288),Sens!$R$1321:$AA$1321)/fac_life</f>
        <v>1.29709472025025</v>
      </c>
      <c r="V1324" s="38" t="n">
        <f aca="false">SUMPRODUCT(--(Sens!$R$1288:$AA$1288&lt;Sens!V$1288),Sens!$R$1321:$AA$1321)/fac_life</f>
        <v>3.1250481894117</v>
      </c>
      <c r="W1324" s="38" t="n">
        <f aca="false">SUMPRODUCT(--(Sens!$R$1288:$AA$1288&lt;Sens!W$1288),Sens!$R$1321:$AA$1321)/fac_life</f>
        <v>4.8517949769117</v>
      </c>
      <c r="X1324" s="38" t="n">
        <f aca="false">SUMPRODUCT(--(Sens!$R$1288:$AA$1288&lt;Sens!X$1288),Sens!$R$1321:$AA$1321)/fac_life</f>
        <v>6.5785417644117</v>
      </c>
      <c r="Y1324" s="38" t="n">
        <f aca="false">SUMPRODUCT(--(Sens!$R$1288:$AA$1288&lt;Sens!Y$1288),Sens!$R$1321:$AA$1321)/fac_life</f>
        <v>8.3052885519117</v>
      </c>
      <c r="Z1324" s="38" t="n">
        <f aca="false">SUMPRODUCT(--(Sens!$R$1288:$AA$1288&lt;Sens!Z$1288),Sens!$R$1321:$AA$1321)/fac_life</f>
        <v>9.5300660144742</v>
      </c>
      <c r="AA1324" s="38" t="n">
        <f aca="false">SUMPRODUCT(--(Sens!$R$1288:$AA$1288&lt;Sens!AA$1288),Sens!$R$1321:$AA$1321)/fac_life</f>
        <v>10.2528741520992</v>
      </c>
    </row>
    <row r="1325" customFormat="false" ht="17.15" hidden="false" customHeight="false" outlineLevel="0" collapsed="false">
      <c r="A1325" s="1" t="s">
        <v>633</v>
      </c>
      <c r="B1325" s="8" t="s">
        <v>86</v>
      </c>
      <c r="C1325" s="38" t="n">
        <f aca="false">Sens!$C$1323+Sens!$C$1324</f>
        <v>0.203463948620839</v>
      </c>
      <c r="D1325" s="38" t="n">
        <f aca="false">Sens!$D$1323+Sens!$D$1324</f>
        <v>3.62245206231783</v>
      </c>
      <c r="E1325" s="38" t="n">
        <f aca="false">Sens!$E$1323+Sens!$E$1324</f>
        <v>6.51597588754466</v>
      </c>
      <c r="F1325" s="38" t="n">
        <f aca="false">Sens!$F$1323+Sens!$F$1324</f>
        <v>6.51597588754466</v>
      </c>
      <c r="G1325" s="38" t="n">
        <f aca="false">Sens!$G$1323+Sens!$G$1324</f>
        <v>13.0319517750893</v>
      </c>
      <c r="H1325" s="38" t="n">
        <f aca="false">Sens!$H$1323+Sens!$H$1324</f>
        <v>34.2390638363761</v>
      </c>
      <c r="I1325" s="38" t="n">
        <f aca="false">Sens!$I$1323+Sens!$I$1324</f>
        <v>55.0314086169698</v>
      </c>
      <c r="J1325" s="38" t="n">
        <f aca="false">Sens!$J$1323+Sens!$J$1324</f>
        <v>76.5831415182823</v>
      </c>
      <c r="K1325" s="38" t="n">
        <f aca="false">Sens!$K$1323+Sens!$K$1324</f>
        <v>98.8244563212293</v>
      </c>
      <c r="L1325" s="38" t="n">
        <f aca="false">Sens!$L$1323+Sens!$L$1324</f>
        <v>112.77794973835</v>
      </c>
      <c r="M1325" s="38" t="n">
        <f aca="false">Sens!$M$1323+Sens!$M$1324</f>
        <v>121.181602264706</v>
      </c>
      <c r="N1325" s="38" t="n">
        <f aca="false">Sens!$N$1323+Sens!$N$1324</f>
        <v>1.81122603115892</v>
      </c>
      <c r="O1325" s="38" t="n">
        <f aca="false">Sens!$O$1323+Sens!$O$1324</f>
        <v>1.81122603115892</v>
      </c>
      <c r="R1325" s="38" t="n">
        <f aca="false">Sens!$R$1323+Sens!$R$1324</f>
        <v>0</v>
      </c>
      <c r="S1325" s="38" t="n">
        <f aca="false">Sens!$S$1323+Sens!$S$1324</f>
        <v>0.203463948620839</v>
      </c>
      <c r="T1325" s="38" t="n">
        <f aca="false">Sens!$T$1323+Sens!$T$1324</f>
        <v>3.62245206231783</v>
      </c>
      <c r="U1325" s="38" t="n">
        <f aca="false">Sens!$U$1323+Sens!$U$1324</f>
        <v>13.0319517750893</v>
      </c>
      <c r="V1325" s="38" t="n">
        <f aca="false">Sens!$V$1323+Sens!$V$1324</f>
        <v>34.2390638363761</v>
      </c>
      <c r="W1325" s="38" t="n">
        <f aca="false">Sens!$W$1323+Sens!$W$1324</f>
        <v>55.0314086169698</v>
      </c>
      <c r="X1325" s="38" t="n">
        <f aca="false">Sens!$X$1323+Sens!$X$1324</f>
        <v>76.5831415182823</v>
      </c>
      <c r="Y1325" s="38" t="n">
        <f aca="false">Sens!$Y$1323+Sens!$Y$1324</f>
        <v>98.8244563212293</v>
      </c>
      <c r="Z1325" s="38" t="n">
        <f aca="false">Sens!$Z$1323+Sens!$Z$1324</f>
        <v>112.77794973835</v>
      </c>
      <c r="AA1325" s="38" t="n">
        <f aca="false">Sens!$AA$1323+Sens!$AA$1324</f>
        <v>121.181602264706</v>
      </c>
    </row>
    <row r="1326" customFormat="false" ht="17.15" hidden="false" customHeight="false" outlineLevel="0" collapsed="false">
      <c r="A1326" s="0" t="s">
        <v>634</v>
      </c>
      <c r="B1326" s="0" t="s">
        <v>86</v>
      </c>
      <c r="C1326" s="38" t="n">
        <f aca="false">Sens!$S$1326</f>
        <v>26.578941154416</v>
      </c>
      <c r="D1326" s="38" t="n">
        <f aca="false">Sens!$T$1326</f>
        <v>92.5251207231008</v>
      </c>
      <c r="G1326" s="38" t="n">
        <f aca="false">Sens!$U$1326</f>
        <v>232.327189883992</v>
      </c>
      <c r="H1326" s="38" t="n">
        <f aca="false">Sens!$V$1326</f>
        <v>347.016649756179</v>
      </c>
      <c r="I1326" s="38" t="n">
        <f aca="false">Sens!$W$1326</f>
        <v>445.470093572084</v>
      </c>
      <c r="J1326" s="38" t="n">
        <f aca="false">Sens!$X$1326</f>
        <v>527.608572686676</v>
      </c>
      <c r="K1326" s="38" t="n">
        <f aca="false">Sens!$Y$1326</f>
        <v>548.124100043848</v>
      </c>
      <c r="L1326" s="38" t="n">
        <f aca="false">Sens!$Z$1326</f>
        <v>546.725106229424</v>
      </c>
      <c r="M1326" s="38" t="n">
        <f aca="false">Sens!$AA$1326</f>
        <v>532.577529675607</v>
      </c>
      <c r="R1326" s="38" t="n">
        <f aca="false">SUM(Sens!$R$1318:$R$1318)-SUM(Sens!$R$1325:$R$1325)</f>
        <v>1.50429979529945</v>
      </c>
      <c r="S1326" s="38" t="n">
        <f aca="false">SUM(Sens!$R$1318:$S$1318)-SUM(Sens!$R$1325:$S$1325)</f>
        <v>26.578941154416</v>
      </c>
      <c r="T1326" s="38" t="n">
        <f aca="false">SUM(Sens!$R$1318:$T$1318)-SUM(Sens!$R$1325:$T$1325)</f>
        <v>92.5251207231008</v>
      </c>
      <c r="U1326" s="38" t="n">
        <f aca="false">SUM(Sens!$R$1318:$U$1318)-SUM(Sens!$R$1325:$U$1325)</f>
        <v>232.327189883992</v>
      </c>
      <c r="V1326" s="38" t="n">
        <f aca="false">SUM(Sens!$R$1318:$V$1318)-SUM(Sens!$R$1325:$V$1325)</f>
        <v>347.016649756179</v>
      </c>
      <c r="W1326" s="38" t="n">
        <f aca="false">SUM(Sens!$R$1318:$W$1318)-SUM(Sens!$R$1325:$W$1325)</f>
        <v>445.470093572084</v>
      </c>
      <c r="X1326" s="38" t="n">
        <f aca="false">SUM(Sens!$R$1318:$X$1318)-SUM(Sens!$R$1325:$X$1325)</f>
        <v>527.608572686676</v>
      </c>
      <c r="Y1326" s="38" t="n">
        <f aca="false">SUM(Sens!$R$1318:$Y$1318)-SUM(Sens!$R$1325:$Y$1325)</f>
        <v>548.124100043848</v>
      </c>
      <c r="Z1326" s="38" t="n">
        <f aca="false">SUM(Sens!$R$1318:$Z$1318)-SUM(Sens!$R$1325:$Z$1325)</f>
        <v>546.725106229424</v>
      </c>
      <c r="AA1326" s="38" t="n">
        <f aca="false">SUM(Sens!$R$1318:$AA$1318)-SUM(Sens!$R$1325:$AA$1325)</f>
        <v>532.577529675607</v>
      </c>
    </row>
    <row r="1327" customFormat="false" ht="17.15" hidden="false" customHeight="false" outlineLevel="0" collapsed="false">
      <c r="A1327" s="1" t="s">
        <v>635</v>
      </c>
    </row>
    <row r="1328" customFormat="false" ht="17.15" hidden="false" customHeight="false" outlineLevel="0" collapsed="false">
      <c r="A1328" s="0" t="s">
        <v>636</v>
      </c>
      <c r="B1328" s="0" t="s">
        <v>86</v>
      </c>
      <c r="C1328" s="38" t="n">
        <f aca="false">Sens!$C$1309-ext_sh*Sens!$C$1311</f>
        <v>1.80694998843362</v>
      </c>
      <c r="D1328" s="38" t="n">
        <f aca="false">Sens!$D$1309-ext_sh*Sens!$D$1311</f>
        <v>6.77606245662607</v>
      </c>
      <c r="E1328" s="38" t="n">
        <f aca="false">Sens!$E$1309-ext_sh*Sens!$E$1311</f>
        <v>6.62548329092326</v>
      </c>
      <c r="F1328" s="38" t="n">
        <f aca="false">Sens!$F$1309-ext_sh*Sens!$F$1311</f>
        <v>10.7475724410394</v>
      </c>
      <c r="G1328" s="38" t="n">
        <f aca="false">Sens!$G$1309-ext_sh*Sens!$G$1311</f>
        <v>17.3730557319626</v>
      </c>
      <c r="H1328" s="38" t="n">
        <f aca="false">Sens!$H$1309-ext_sh*Sens!$H$1311</f>
        <v>39.5529378378068</v>
      </c>
      <c r="I1328" s="38" t="n">
        <f aca="false">Sens!$I$1309-ext_sh*Sens!$I$1311</f>
        <v>64.3305352565479</v>
      </c>
      <c r="J1328" s="38" t="n">
        <f aca="false">Sens!$J$1309-ext_sh*Sens!$J$1311</f>
        <v>89.2345459344354</v>
      </c>
      <c r="K1328" s="38" t="n">
        <f aca="false">Sens!$K$1309-ext_sh*Sens!$K$1311</f>
        <v>110.502525441592</v>
      </c>
      <c r="L1328" s="38" t="n">
        <f aca="false">Sens!$L$1309-ext_sh*Sens!$L$1311</f>
        <v>124.535767786747</v>
      </c>
      <c r="M1328" s="38" t="n">
        <f aca="false">Sens!$M$1309-ext_sh*Sens!$M$1311</f>
        <v>131.313822270043</v>
      </c>
      <c r="N1328" s="38" t="n">
        <f aca="false">Sens!$N$1309-ext_sh*Sens!$N$1311</f>
        <v>2.37162185981912</v>
      </c>
      <c r="O1328" s="38" t="n">
        <f aca="false">Sens!$O$1309-ext_sh*Sens!$O$1311</f>
        <v>4.40444059680694</v>
      </c>
    </row>
    <row r="1329" customFormat="false" ht="17.15" hidden="false" customHeight="false" outlineLevel="0" collapsed="false">
      <c r="A1329" s="1" t="s">
        <v>637</v>
      </c>
      <c r="B1329" s="8" t="s">
        <v>86</v>
      </c>
      <c r="C1329" s="38" t="n">
        <f aca="false">Sens!$C$1328-ext_sh*Sens!$C$1325</f>
        <v>1.64417882953695</v>
      </c>
      <c r="D1329" s="38" t="n">
        <f aca="false">Sens!$D$1328-ext_sh*Sens!$D$1325</f>
        <v>3.8781008067718</v>
      </c>
      <c r="E1329" s="38" t="n">
        <f aca="false">Sens!$E$1328-ext_sh*Sens!$E$1325</f>
        <v>1.41270258088753</v>
      </c>
      <c r="F1329" s="38" t="n">
        <f aca="false">Sens!$F$1328-ext_sh*Sens!$F$1325</f>
        <v>5.53479173100364</v>
      </c>
      <c r="G1329" s="38" t="n">
        <f aca="false">Sens!$G$1328-ext_sh*Sens!$G$1325</f>
        <v>6.94749431189117</v>
      </c>
      <c r="H1329" s="38" t="n">
        <f aca="false">Sens!$H$1328-ext_sh*Sens!$H$1325</f>
        <v>12.161686768706</v>
      </c>
      <c r="I1329" s="38" t="n">
        <f aca="false">Sens!$I$1328-ext_sh*Sens!$I$1325</f>
        <v>20.305408362972</v>
      </c>
      <c r="J1329" s="38" t="n">
        <f aca="false">Sens!$J$1328-ext_sh*Sens!$J$1325</f>
        <v>27.9680327198095</v>
      </c>
      <c r="K1329" s="38" t="n">
        <f aca="false">Sens!$K$1328-ext_sh*Sens!$K$1325</f>
        <v>31.4429603846084</v>
      </c>
      <c r="L1329" s="38" t="n">
        <f aca="false">Sens!$L$1328-ext_sh*Sens!$L$1325</f>
        <v>34.3134079960672</v>
      </c>
      <c r="M1329" s="38" t="n">
        <f aca="false">Sens!$M$1328-ext_sh*Sens!$M$1325</f>
        <v>34.3685404582777</v>
      </c>
      <c r="N1329" s="38" t="n">
        <f aca="false">Sens!$N$1328-ext_sh*Sens!$N$1325</f>
        <v>0.92264103489199</v>
      </c>
      <c r="O1329" s="38" t="n">
        <f aca="false">Sens!$O$1328-ext_sh*Sens!$O$1325</f>
        <v>2.95545977187981</v>
      </c>
    </row>
    <row r="1330" customFormat="false" ht="17.15" hidden="false" customHeight="false" outlineLevel="0" collapsed="false">
      <c r="A1330" s="0" t="s">
        <v>638</v>
      </c>
      <c r="B1330" s="0" t="s">
        <v>52</v>
      </c>
      <c r="C1330" s="13" t="n">
        <f aca="false">Sens!$C$1329/Sens!$C$1309</f>
        <v>0.708390794789371</v>
      </c>
      <c r="D1330" s="13" t="n">
        <f aca="false">Sens!$D$1329/Sens!$D$1309</f>
        <v>0.445565630441968</v>
      </c>
      <c r="E1330" s="13" t="n">
        <f aca="false">Sens!$E$1329/Sens!$E$1309</f>
        <v>0.165998118402711</v>
      </c>
      <c r="F1330" s="13" t="n">
        <f aca="false">Sens!$F$1329/Sens!$F$1309</f>
        <v>0.402911309328903</v>
      </c>
      <c r="G1330" s="13" t="n">
        <f aca="false">Sens!$G$1329/Sens!$G$1309</f>
        <v>0.312284119223129</v>
      </c>
      <c r="H1330" s="13" t="n">
        <f aca="false">Sens!$H$1329/Sens!$H$1309</f>
        <v>0.24249043911887</v>
      </c>
      <c r="I1330" s="13" t="n">
        <f aca="false">Sens!$I$1329/Sens!$I$1309</f>
        <v>0.250200273742368</v>
      </c>
      <c r="J1330" s="13" t="n">
        <f aca="false">Sens!$J$1329/Sens!$J$1309</f>
        <v>0.249052142953744</v>
      </c>
      <c r="K1330" s="13" t="n">
        <f aca="false">Sens!$K$1329/Sens!$K$1309</f>
        <v>0.226379223635264</v>
      </c>
      <c r="L1330" s="13" t="n">
        <f aca="false">Sens!$L$1329/Sens!$L$1309</f>
        <v>0.219332391361185</v>
      </c>
      <c r="M1330" s="13" t="n">
        <f aca="false">Sens!$M$1329/Sens!$M$1309</f>
        <v>0.208389297149733</v>
      </c>
      <c r="N1330" s="13" t="n">
        <f aca="false">Sens!$N$1329/Sens!$N$1309</f>
        <v>0.302870734830849</v>
      </c>
      <c r="O1330" s="13" t="n">
        <f aca="false">Sens!$O$1329/Sens!$O$1309</f>
        <v>0.52240134346334</v>
      </c>
    </row>
    <row r="1331" customFormat="false" ht="17.15" hidden="false" customHeight="false" outlineLevel="0" collapsed="false">
      <c r="A1331" s="5" t="s">
        <v>639</v>
      </c>
      <c r="B1331" s="0" t="s">
        <v>86</v>
      </c>
      <c r="C1331" s="39" t="n">
        <v>0</v>
      </c>
      <c r="D1331" s="39" t="n">
        <v>0</v>
      </c>
      <c r="E1331" s="39" t="n">
        <v>0</v>
      </c>
      <c r="F1331" s="38" t="n">
        <f aca="false">IF(internal_ai_reading=2,1,0)*(1-ext_sh)/ext_sh*(mw_open*he_open+Sens!$F$1307*Sens!$F$1304)*Sens!$F$1293/1000</f>
        <v>3.46212295437561</v>
      </c>
      <c r="G1331" s="38" t="n">
        <f aca="false">Sens!$E$1331+Sens!$F$1331</f>
        <v>3.46212295437561</v>
      </c>
      <c r="H1331" s="38" t="n">
        <f aca="false">IF(internal_ai_reading=2,1,0)*(1-ext_sh)/ext_sh*(mw_open*he_open+Sens!$H$1307*Sens!$H$1304)*Sens!$H$1293/1000</f>
        <v>12.6400809568559</v>
      </c>
      <c r="I1331" s="38" t="n">
        <f aca="false">IF(internal_ai_reading=2,1,0)*(1-ext_sh)/ext_sh*(mw_open*he_open+Sens!$I$1307*Sens!$I$1304)*Sens!$I$1293/1000</f>
        <v>20.4538284576056</v>
      </c>
      <c r="J1331" s="38" t="n">
        <f aca="false">IF(internal_ai_reading=2,1,0)*(1-ext_sh)/ext_sh*(mw_open*he_open+Sens!$J$1307*Sens!$J$1304)*Sens!$J$1293/1000</f>
        <v>28.3023369995481</v>
      </c>
      <c r="K1331" s="38" t="n">
        <f aca="false">IF(internal_ai_reading=2,1,0)*(1-ext_sh)/ext_sh*(mw_open*he_open+Sens!$K$1307*Sens!$K$1304)*Sens!$K$1293/1000</f>
        <v>35.0055998557771</v>
      </c>
      <c r="L1331" s="38" t="n">
        <f aca="false">IF(internal_ai_reading=2,1,0)*(1-ext_sh)/ext_sh*(mw_open*he_open+Sens!$L$1307*Sens!$L$1304)*Sens!$L$1293/1000</f>
        <v>39.4286349957492</v>
      </c>
      <c r="M1331" s="38" t="n">
        <f aca="false">IF(internal_ai_reading=2,1,0)*(1-ext_sh)/ext_sh*(mw_open*he_open+Sens!$M$1307*Sens!$M$1304)*Sens!$M$1293/1000</f>
        <v>41.5658188984426</v>
      </c>
      <c r="N1331" s="39" t="n">
        <v>0</v>
      </c>
      <c r="O1331" s="39" t="n">
        <v>0</v>
      </c>
      <c r="P1331" s="8" t="s">
        <v>640</v>
      </c>
    </row>
    <row r="1332" customFormat="false" ht="17.15" hidden="false" customHeight="false" outlineLevel="0" collapsed="false">
      <c r="A1332" s="5" t="s">
        <v>641</v>
      </c>
      <c r="B1332" s="0" t="s">
        <v>86</v>
      </c>
      <c r="C1332" s="38" t="n">
        <f aca="false">(1-ext_sh)*(Sens!$C$1311+Sens!$C$1325)</f>
        <v>0.169206631859174</v>
      </c>
      <c r="D1332" s="38" t="n">
        <f aca="false">(1-ext_sh)*(Sens!$D$1311+Sens!$D$1325)</f>
        <v>1.20641732046984</v>
      </c>
      <c r="E1332" s="38" t="n">
        <f aca="false">(1-ext_sh)*(Sens!$E$1311+Sens!$E$1325)</f>
        <v>1.77441259867062</v>
      </c>
      <c r="F1332" s="38" t="n">
        <f aca="false">(1-ext_sh)*(Sens!$F$1311+Sens!$F$1325)</f>
        <v>2.05055149314787</v>
      </c>
      <c r="G1332" s="38" t="n">
        <f aca="false">(1-ext_sh)*(Sens!$G$1311+Sens!$G$1325)</f>
        <v>3.82496409181849</v>
      </c>
      <c r="H1332" s="38" t="n">
        <f aca="false">(1-ext_sh)*(Sens!$H$1311+Sens!$H$1325)</f>
        <v>9.49789405843363</v>
      </c>
      <c r="I1332" s="38" t="n">
        <f aca="false">(1-ext_sh)*(Sens!$I$1311+Sens!$I$1325)</f>
        <v>15.2128027323654</v>
      </c>
      <c r="J1332" s="38" t="n">
        <f aca="false">(1-ext_sh)*(Sens!$J$1311+Sens!$J$1325)</f>
        <v>21.0824668959397</v>
      </c>
      <c r="K1332" s="38" t="n">
        <f aca="false">(1-ext_sh)*(Sens!$K$1311+Sens!$K$1325)</f>
        <v>26.8630299120757</v>
      </c>
      <c r="L1332" s="38" t="n">
        <f aca="false">(1-ext_sh)*(Sens!$L$1311+Sens!$L$1325)</f>
        <v>30.5328433232027</v>
      </c>
      <c r="M1332" s="38" t="n">
        <f aca="false">(1-ext_sh)*(Sens!$M$1311+Sens!$M$1325)</f>
        <v>32.6390376572056</v>
      </c>
      <c r="N1332" s="38" t="n">
        <f aca="false">(1-ext_sh)*(Sens!$N$1311+Sens!$N$1325)</f>
        <v>0.530919624033979</v>
      </c>
      <c r="O1332" s="38" t="n">
        <f aca="false">(1-ext_sh)*(Sens!$O$1311+Sens!$O$1325)</f>
        <v>0.675497696435861</v>
      </c>
    </row>
    <row r="1333" customFormat="false" ht="17.15" hidden="false" customHeight="false" outlineLevel="0" collapsed="false">
      <c r="A1333" s="0" t="s">
        <v>642</v>
      </c>
      <c r="B1333" s="0" t="s">
        <v>86</v>
      </c>
      <c r="C1333" s="38" t="n">
        <f aca="false">Q!$D$24</f>
        <v>39.834</v>
      </c>
      <c r="D1333" s="38" t="n">
        <f aca="false">Q!$E$24</f>
        <v>45.606</v>
      </c>
      <c r="E1333" s="38" t="n">
        <f aca="false">Q!$P$24</f>
        <v>30.782</v>
      </c>
      <c r="N1333" s="38" t="n">
        <f aca="false">Q!$N$24</f>
        <v>21.707</v>
      </c>
      <c r="O1333" s="38" t="n">
        <f aca="false">Q!$O$24</f>
        <v>23.899</v>
      </c>
    </row>
    <row r="1334" customFormat="false" ht="17.15" hidden="false" customHeight="false" outlineLevel="0" collapsed="false">
      <c r="A1334" s="0" t="s">
        <v>643</v>
      </c>
      <c r="B1334" s="0" t="s">
        <v>86</v>
      </c>
      <c r="C1334" s="38" t="n">
        <f aca="false">Sens!$C$1333-Sens!$C$1329</f>
        <v>38.1898211704631</v>
      </c>
      <c r="D1334" s="38" t="n">
        <f aca="false">Sens!$D$1333-Sens!$D$1329</f>
        <v>41.7278991932282</v>
      </c>
      <c r="E1334" s="38" t="n">
        <f aca="false">Sens!$E$1333-Sens!$E$1329</f>
        <v>29.3692974191125</v>
      </c>
      <c r="F1334" s="38" t="n">
        <f aca="false">Sens!$F$1313*Sens!$F$1335</f>
        <v>26.8997276714137</v>
      </c>
      <c r="G1334" s="38" t="n">
        <f aca="false">Sens!$E$1334+Sens!$F$1334</f>
        <v>56.2690250905262</v>
      </c>
      <c r="H1334" s="38" t="n">
        <f aca="false">Sens!$H$1313*Sens!$H$1335</f>
        <v>60.3505333937343</v>
      </c>
      <c r="I1334" s="38" t="n">
        <f aca="false">Sens!$I$1313*Sens!$I$1335</f>
        <v>67.0043857303571</v>
      </c>
      <c r="J1334" s="38" t="n">
        <f aca="false">Sens!$J$1313*Sens!$J$1335</f>
        <v>73.3782922956925</v>
      </c>
      <c r="K1334" s="38" t="n">
        <f aca="false">Sens!$K$1313*Sens!$K$1335</f>
        <v>79.2485556793479</v>
      </c>
      <c r="L1334" s="38" t="n">
        <f aca="false">Sens!$L$1313*Sens!$L$1335</f>
        <v>85.5884401336958</v>
      </c>
      <c r="M1334" s="38" t="n">
        <f aca="false">Sens!$M$1313*Sens!$M$1335</f>
        <v>92.4355153443914</v>
      </c>
      <c r="N1334" s="38" t="n">
        <f aca="false">Sens!$N$1333-Sens!$N$1329</f>
        <v>20.784358965108</v>
      </c>
      <c r="O1334" s="38" t="n">
        <f aca="false">Sens!$O$1333-Sens!$O$1329</f>
        <v>20.9435402281202</v>
      </c>
      <c r="P1334" s="5" t="s">
        <v>644</v>
      </c>
    </row>
    <row r="1335" customFormat="false" ht="17.15" hidden="false" customHeight="false" outlineLevel="0" collapsed="false">
      <c r="A1335" s="0" t="s">
        <v>645</v>
      </c>
      <c r="B1335" s="0" t="s">
        <v>52</v>
      </c>
      <c r="C1335" s="13" t="n">
        <f aca="false">Sens!$C$1334/Sens!$C$1313</f>
        <v>0.362900395443635</v>
      </c>
      <c r="D1335" s="13" t="n">
        <f aca="false">Sens!$D$1334/Sens!$D$1313</f>
        <v>0.34767098474203</v>
      </c>
      <c r="E1335" s="13" t="n">
        <f aca="false">Sens!$E$1334/Sens!$E$1313</f>
        <v>0.411861655558416</v>
      </c>
      <c r="F1335" s="13" t="n">
        <f aca="false">(Sens!$O$1334+Sens!$E$1334)/(Sens!$O$1313+Sens!$E$1313)</f>
        <v>0.37480827803158</v>
      </c>
      <c r="G1335" s="13" t="n">
        <f aca="false">Sens!$G$1334/Sens!$G$1313</f>
        <v>0.393275318395757</v>
      </c>
      <c r="H1335" s="13" t="n">
        <f aca="false">Sens!$F$1335</f>
        <v>0.37480827803158</v>
      </c>
      <c r="I1335" s="13" t="n">
        <f aca="false">Sens!$F$1335</f>
        <v>0.37480827803158</v>
      </c>
      <c r="J1335" s="13" t="n">
        <f aca="false">Sens!$F$1335</f>
        <v>0.37480827803158</v>
      </c>
      <c r="K1335" s="13" t="n">
        <f aca="false">Sens!$F$1335</f>
        <v>0.37480827803158</v>
      </c>
      <c r="L1335" s="13" t="n">
        <f aca="false">Sens!$F$1335</f>
        <v>0.37480827803158</v>
      </c>
      <c r="M1335" s="13" t="n">
        <f aca="false">Sens!$F$1335</f>
        <v>0.37480827803158</v>
      </c>
      <c r="N1335" s="13" t="n">
        <f aca="false">Sens!$N$1334/Sens!$N$1313</f>
        <v>0.364039571356823</v>
      </c>
      <c r="O1335" s="13" t="n">
        <f aca="false">Sens!$O$1334/Sens!$O$1313</f>
        <v>0.332819892300086</v>
      </c>
      <c r="P1335" s="8" t="s">
        <v>646</v>
      </c>
    </row>
    <row r="1336" customFormat="false" ht="17.15" hidden="false" customHeight="false" outlineLevel="0" collapsed="false">
      <c r="A1336" s="0" t="s">
        <v>647</v>
      </c>
      <c r="B1336" s="0" t="s">
        <v>52</v>
      </c>
      <c r="D1336" s="13" t="n">
        <f aca="false">(Q!$E$31-ext_sh*Sens!$D$1325)/Sens!$D$1313</f>
        <v>0.154572973163571</v>
      </c>
    </row>
    <row r="1337" customFormat="false" ht="17.15" hidden="false" customHeight="false" outlineLevel="0" collapsed="false">
      <c r="A1337" s="0" t="s">
        <v>648</v>
      </c>
      <c r="B1337" s="0" t="s">
        <v>86</v>
      </c>
      <c r="C1337" s="38" t="n">
        <f aca="false">Q!$D$31</f>
        <v>13.32</v>
      </c>
      <c r="D1337" s="38" t="n">
        <f aca="false">Q!$E$31</f>
        <v>21.45</v>
      </c>
      <c r="E1337" s="38" t="n">
        <f aca="false">Q!$P$31</f>
        <v>15.353</v>
      </c>
      <c r="F1337" s="38" t="n">
        <f aca="false">ext_sh*Sens!$F$1325+Sens!$D$1336*Sens!$F$1313</f>
        <v>16.3063747611001</v>
      </c>
      <c r="G1337" s="38" t="n">
        <f aca="false">Sens!$E$1337+Sens!$F$1337</f>
        <v>31.6593747611001</v>
      </c>
      <c r="H1337" s="38" t="n">
        <f aca="false">ext_sh*Sens!$H$1325+Sens!$D$1336*Sens!$H$1313</f>
        <v>52.2801394033412</v>
      </c>
      <c r="I1337" s="38" t="n">
        <f aca="false">ext_sh*Sens!$I$1325+Sens!$D$1336*Sens!$I$1313</f>
        <v>71.6581001345442</v>
      </c>
      <c r="J1337" s="38" t="n">
        <f aca="false">ext_sh*Sens!$J$1325+Sens!$D$1336*Sens!$J$1313</f>
        <v>91.5281202030796</v>
      </c>
      <c r="K1337" s="38" t="n">
        <f aca="false">ext_sh*Sens!$K$1325+Sens!$D$1336*Sens!$K$1313</f>
        <v>111.742100604513</v>
      </c>
      <c r="L1337" s="38" t="n">
        <f aca="false">ext_sh*Sens!$L$1325+Sens!$D$1336*Sens!$L$1313</f>
        <v>125.519498182013</v>
      </c>
      <c r="M1337" s="38" t="n">
        <f aca="false">ext_sh*Sens!$M$1325+Sens!$D$1336*Sens!$M$1313</f>
        <v>135.066191274404</v>
      </c>
      <c r="N1337" s="38" t="n">
        <f aca="false">Q!$N$31</f>
        <v>9.234</v>
      </c>
      <c r="O1337" s="38" t="n">
        <f aca="false">Q!$O$31</f>
        <v>12.216</v>
      </c>
    </row>
    <row r="1338" customFormat="false" ht="17.15" hidden="false" customHeight="false" outlineLevel="0" collapsed="false">
      <c r="A1338" s="1" t="s">
        <v>649</v>
      </c>
    </row>
    <row r="1339" customFormat="false" ht="17.15" hidden="false" customHeight="false" outlineLevel="0" collapsed="false">
      <c r="A1339" s="15" t="s">
        <v>650</v>
      </c>
      <c r="B1339" s="14" t="s">
        <v>52</v>
      </c>
      <c r="C1339" s="14"/>
      <c r="D1339" s="14"/>
      <c r="E1339" s="14"/>
      <c r="F1339" s="14"/>
      <c r="G1339" s="17" t="n">
        <f aca="false">Sens!$G$1329*(1-tax)/(ext_sh*(Sens!$D$1326+Sens!$G$1326)/2)</f>
        <v>0.0441855930609618</v>
      </c>
      <c r="H1339" s="17" t="n">
        <f aca="false">Sens!$H$1329*(1-tax)/(ext_sh*(Sens!$G$1326+Sens!$H$1326)/2)</f>
        <v>0.0433706438230593</v>
      </c>
      <c r="I1339" s="17" t="n">
        <f aca="false">Sens!$I$1329*(1-tax)/(ext_sh*(Sens!$H$1326+Sens!$I$1326)/2)</f>
        <v>0.0529368592147163</v>
      </c>
      <c r="J1339" s="17" t="n">
        <f aca="false">Sens!$J$1329*(1-tax)/(ext_sh*(Sens!$I$1326+Sens!$J$1326)/2)</f>
        <v>0.0593816712899597</v>
      </c>
      <c r="K1339" s="17" t="n">
        <f aca="false">Sens!$K$1329*(1-tax)/(ext_sh*(Sens!$J$1326+Sens!$K$1326)/2)</f>
        <v>0.0603889554751671</v>
      </c>
      <c r="L1339" s="17" t="n">
        <f aca="false">Sens!$L$1329*(1-tax)/(ext_sh*(Sens!$K$1326+Sens!$L$1326)/2)</f>
        <v>0.0647512258990437</v>
      </c>
      <c r="M1339" s="17" t="n">
        <f aca="false">Sens!$M$1329*(1-tax)/(ext_sh*(Sens!$L$1326+Sens!$M$1326)/2)</f>
        <v>0.0657894567457333</v>
      </c>
      <c r="N1339" s="14"/>
      <c r="O1339" s="14"/>
      <c r="P1339" s="8" t="s">
        <v>651</v>
      </c>
    </row>
    <row r="1340" customFormat="false" ht="17.15" hidden="false" customHeight="false" outlineLevel="0" collapsed="false">
      <c r="A1340" s="5" t="s">
        <v>652</v>
      </c>
      <c r="B1340" s="0" t="s">
        <v>57</v>
      </c>
      <c r="H1340" s="36" t="n">
        <f aca="false">Sens!$H$1309*1000/(mw_open*he_open+Sens!$H$1307*Sens!$H$1304)</f>
        <v>0.991949006767191</v>
      </c>
      <c r="I1340" s="36" t="n">
        <f aca="false">Sens!$I$1309*1000/(mw_open*he_open+Sens!$I$1307*Sens!$I$1304)</f>
        <v>0.991949006767191</v>
      </c>
      <c r="J1340" s="36" t="n">
        <f aca="false">Sens!$J$1309*1000/(mw_open*he_open+Sens!$J$1307*Sens!$J$1304)</f>
        <v>0.991949006767192</v>
      </c>
      <c r="K1340" s="36" t="n">
        <f aca="false">Sens!$K$1309*1000/(mw_open*he_open+Sens!$K$1307*Sens!$K$1304)</f>
        <v>0.991949006767192</v>
      </c>
      <c r="L1340" s="36" t="n">
        <f aca="false">Sens!$L$1309*1000/(mw_open*he_open+Sens!$L$1307*Sens!$L$1304)</f>
        <v>0.991949006767191</v>
      </c>
      <c r="M1340" s="36" t="n">
        <f aca="false">Sens!$M$1309*1000/(mw_open*he_open+Sens!$M$1307*Sens!$M$1304)</f>
        <v>0.991949006767191</v>
      </c>
    </row>
    <row r="1341" customFormat="false" ht="17.15" hidden="false" customHeight="false" outlineLevel="0" collapsed="false">
      <c r="A1341" s="5" t="s">
        <v>653</v>
      </c>
      <c r="B1341" s="0" t="s">
        <v>57</v>
      </c>
      <c r="H1341" s="36" t="n">
        <f aca="false">Sens!$H$1340*(Sens!$H$1309+wacc*ext_sh*(Sens!$G$1326+Sens!$H$1326)/2/(1-tax)-Sens!$H$1329)/Sens!$H$1309</f>
        <v>1.37977027440891</v>
      </c>
      <c r="I1341" s="36" t="n">
        <f aca="false">Sens!$I$1340*(Sens!$I$1309+wacc*ext_sh*(Sens!$H$1326+Sens!$I$1326)/2/(1-tax)-Sens!$I$1329)/Sens!$I$1309</f>
        <v>1.2749397584974</v>
      </c>
      <c r="J1341" s="36" t="n">
        <f aca="false">Sens!$J$1340*(Sens!$J$1309+wacc*ext_sh*(Sens!$I$1326+Sens!$J$1326)/2/(1-tax)-Sens!$J$1329)/Sens!$J$1309</f>
        <v>1.21625603224878</v>
      </c>
      <c r="K1341" s="36" t="n">
        <f aca="false">Sens!$K$1340*(Sens!$K$1309+wacc*ext_sh*(Sens!$J$1326+Sens!$K$1326)/2/(1-tax)-Sens!$K$1329)/Sens!$K$1309</f>
        <v>1.18868941856889</v>
      </c>
      <c r="L1341" s="36" t="n">
        <f aca="false">Sens!$L$1340*(Sens!$L$1309+wacc*ext_sh*(Sens!$K$1326+Sens!$L$1326)/2/(1-tax)-Sens!$L$1329)/Sens!$L$1309</f>
        <v>1.15506604924977</v>
      </c>
      <c r="M1341" s="36" t="n">
        <f aca="false">Sens!$M$1340*(Sens!$M$1309+wacc*ext_sh*(Sens!$L$1326+Sens!$M$1326)/2/(1-tax)-Sens!$M$1329)/Sens!$M$1309</f>
        <v>1.14121981832162</v>
      </c>
    </row>
    <row r="1342" customFormat="false" ht="17.15" hidden="false" customHeight="false" outlineLevel="0" collapsed="false">
      <c r="A1342" s="5" t="s">
        <v>654</v>
      </c>
      <c r="B1342" s="0" t="s">
        <v>52</v>
      </c>
      <c r="C1342" s="13" t="n">
        <f aca="false">Sens!$C$1310/tk_pq</f>
        <v>0.195316432429398</v>
      </c>
      <c r="D1342" s="13" t="n">
        <f aca="false">Sens!$D$1310/tk_pq</f>
        <v>0.195316432429398</v>
      </c>
      <c r="E1342" s="13" t="n">
        <f aca="false">Sens!$E$1310/tk_pq</f>
        <v>0.195316432429398</v>
      </c>
      <c r="F1342" s="13" t="n">
        <f aca="false">Sens!$F$1310/tk_pq</f>
        <v>0.200937719008675</v>
      </c>
      <c r="G1342" s="13" t="n">
        <f aca="false">Sens!$G$1310/tk_pq</f>
        <v>0.198749592322125</v>
      </c>
      <c r="H1342" s="13" t="n">
        <f aca="false">Sens!$H$1310/tk_pq</f>
        <v>0.210772603626741</v>
      </c>
      <c r="I1342" s="13" t="n">
        <f aca="false">Sens!$I$1310/tk_pq</f>
        <v>0.217630235595727</v>
      </c>
      <c r="J1342" s="13" t="n">
        <f aca="false">Sens!$J$1310/tk_pq</f>
        <v>0.221114769661761</v>
      </c>
      <c r="K1342" s="13" t="n">
        <f aca="false">Sens!$K$1310/tk_pq</f>
        <v>0.222868364194653</v>
      </c>
      <c r="L1342" s="13" t="n">
        <f aca="false">Sens!$L$1310/tk_pq</f>
        <v>0.223707772782817</v>
      </c>
      <c r="M1342" s="13" t="n">
        <f aca="false">Sens!$M$1310/tk_pq</f>
        <v>0.224020420607819</v>
      </c>
      <c r="N1342" s="13" t="n">
        <f aca="false">Sens!$N$1310/tk_pq</f>
        <v>0.195316432429398</v>
      </c>
      <c r="O1342" s="13" t="n">
        <f aca="false">Sens!$O$1310/tk_pq</f>
        <v>0.195316432429398</v>
      </c>
      <c r="P1342" s="5" t="s">
        <v>655</v>
      </c>
    </row>
    <row r="1345" customFormat="false" ht="17.15" hidden="false" customHeight="false" outlineLevel="0" collapsed="false">
      <c r="A1345" s="1" t="s">
        <v>684</v>
      </c>
    </row>
    <row r="1346" customFormat="false" ht="17.15" hidden="false" customHeight="false" outlineLevel="0" collapsed="false">
      <c r="A1346" s="0" t="s">
        <v>685</v>
      </c>
      <c r="B1346" s="0" t="s">
        <v>86</v>
      </c>
      <c r="C1346" s="38" t="n">
        <f aca="false">Sens!$C$1309</f>
        <v>2.32100535697364</v>
      </c>
      <c r="D1346" s="38" t="n">
        <f aca="false">Sens!$D$1309</f>
        <v>8.70377008865116</v>
      </c>
      <c r="E1346" s="38" t="n">
        <f aca="false">Sens!$E$1309</f>
        <v>8.51035297557002</v>
      </c>
      <c r="F1346" s="38" t="n">
        <f aca="false">Sens!$F$1309</f>
        <v>13.7369977035951</v>
      </c>
      <c r="G1346" s="38" t="n">
        <f aca="false">Sens!$G$1309</f>
        <v>22.2473506791651</v>
      </c>
      <c r="H1346" s="38" t="n">
        <f aca="false">Sens!$H$1309</f>
        <v>50.1532630024405</v>
      </c>
      <c r="I1346" s="38" t="n">
        <f aca="false">Sens!$I$1309</f>
        <v>81.1566192924336</v>
      </c>
      <c r="J1346" s="38" t="n">
        <f aca="false">Sens!$J$1309</f>
        <v>112.297900303568</v>
      </c>
      <c r="K1346" s="38" t="n">
        <f aca="false">Sens!$K$1309</f>
        <v>138.895080032911</v>
      </c>
      <c r="L1346" s="38" t="n">
        <f aca="false">Sens!$L$1309</f>
        <v>156.444781288878</v>
      </c>
      <c r="M1346" s="38" t="n">
        <f aca="false">Sens!$M$1309</f>
        <v>164.9246910871</v>
      </c>
      <c r="N1346" s="38" t="n">
        <f aca="false">Sens!$N$1309</f>
        <v>3.04631953102791</v>
      </c>
      <c r="O1346" s="38" t="n">
        <f aca="false">Sens!$O$1309</f>
        <v>5.65745055762326</v>
      </c>
      <c r="P1346" s="8" t="s">
        <v>686</v>
      </c>
    </row>
    <row r="1347" customFormat="false" ht="17.15" hidden="false" customHeight="false" outlineLevel="0" collapsed="false">
      <c r="A1347" s="0" t="s">
        <v>687</v>
      </c>
      <c r="B1347" s="0" t="s">
        <v>86</v>
      </c>
      <c r="C1347" s="38" t="n">
        <f aca="false">Sens!$C$1313</f>
        <v>105.234994643026</v>
      </c>
      <c r="D1347" s="38" t="n">
        <f aca="false">Sens!$D$1313</f>
        <v>120.021229911349</v>
      </c>
      <c r="E1347" s="38" t="n">
        <f aca="false">Sens!$E$1313</f>
        <v>71.30864702443</v>
      </c>
      <c r="F1347" s="38" t="n">
        <f aca="false">Sens!$F$1313</f>
        <v>71.7692997942464</v>
      </c>
      <c r="G1347" s="38" t="n">
        <f aca="false">Sens!$G$1313</f>
        <v>143.077946818676</v>
      </c>
      <c r="H1347" s="38" t="n">
        <f aca="false">Sens!$H$1313</f>
        <v>161.017077079203</v>
      </c>
      <c r="I1347" s="38" t="n">
        <f aca="false">Sens!$I$1313</f>
        <v>178.769759521457</v>
      </c>
      <c r="J1347" s="38" t="n">
        <f aca="false">Sens!$J$1313</f>
        <v>195.775538045907</v>
      </c>
      <c r="K1347" s="38" t="n">
        <f aca="false">Sens!$K$1313</f>
        <v>211.43758108958</v>
      </c>
      <c r="L1347" s="38" t="n">
        <f aca="false">Sens!$L$1313</f>
        <v>228.352587576746</v>
      </c>
      <c r="M1347" s="38" t="n">
        <f aca="false">Sens!$M$1313</f>
        <v>246.620794582886</v>
      </c>
      <c r="N1347" s="38" t="n">
        <f aca="false">Sens!$N$1313</f>
        <v>57.0936804689721</v>
      </c>
      <c r="O1347" s="38" t="n">
        <f aca="false">Sens!$O$1313</f>
        <v>62.9275494423768</v>
      </c>
      <c r="P1347" s="8" t="s">
        <v>686</v>
      </c>
    </row>
    <row r="1348" customFormat="false" ht="17.15" hidden="false" customHeight="false" outlineLevel="0" collapsed="false">
      <c r="A1348" s="1" t="s">
        <v>513</v>
      </c>
      <c r="B1348" s="8" t="s">
        <v>86</v>
      </c>
      <c r="C1348" s="38" t="n">
        <f aca="false">Q!$D$7</f>
        <v>107.556</v>
      </c>
      <c r="D1348" s="38" t="n">
        <f aca="false">Q!$E$7</f>
        <v>128.725</v>
      </c>
      <c r="E1348" s="38" t="n">
        <f aca="false">Q!$P$7</f>
        <v>79.819</v>
      </c>
      <c r="F1348" s="38" t="n">
        <f aca="false">Sens!$F$1346+Sens!$F$1347</f>
        <v>85.5062974978415</v>
      </c>
      <c r="G1348" s="38" t="n">
        <f aca="false">Sens!$G$1346+Sens!$G$1347</f>
        <v>165.325297497842</v>
      </c>
      <c r="H1348" s="38" t="n">
        <f aca="false">Sens!$H$1346+Sens!$H$1347</f>
        <v>211.170340081644</v>
      </c>
      <c r="I1348" s="38" t="n">
        <f aca="false">Sens!$I$1346+Sens!$I$1347</f>
        <v>259.926378813891</v>
      </c>
      <c r="J1348" s="38" t="n">
        <f aca="false">Sens!$J$1346+Sens!$J$1347</f>
        <v>308.073438349475</v>
      </c>
      <c r="K1348" s="38" t="n">
        <f aca="false">Sens!$K$1346+Sens!$K$1347</f>
        <v>350.332661122491</v>
      </c>
      <c r="L1348" s="38" t="n">
        <f aca="false">Sens!$L$1346+Sens!$L$1347</f>
        <v>384.797368865624</v>
      </c>
      <c r="M1348" s="38" t="n">
        <f aca="false">Sens!$M$1346+Sens!$M$1347</f>
        <v>411.545485669986</v>
      </c>
      <c r="N1348" s="38" t="n">
        <f aca="false">Q!$N$7</f>
        <v>60.14</v>
      </c>
      <c r="O1348" s="38" t="n">
        <f aca="false">Q!$O$7</f>
        <v>68.585</v>
      </c>
      <c r="P1348" s="5" t="s">
        <v>688</v>
      </c>
    </row>
    <row r="1349" customFormat="false" ht="15" hidden="false" customHeight="false" outlineLevel="0" collapsed="false">
      <c r="A1349" s="3" t="s">
        <v>689</v>
      </c>
      <c r="B1349" s="8" t="s">
        <v>86</v>
      </c>
      <c r="C1349" s="38" t="n">
        <f aca="false">Q!$D$8</f>
        <v>637.959</v>
      </c>
      <c r="D1349" s="38" t="n">
        <f aca="false">Q!$E$8</f>
        <v>716.924</v>
      </c>
      <c r="E1349" s="38" t="n">
        <f aca="false">Q!$P$8</f>
        <v>382.125</v>
      </c>
      <c r="F1349" s="38" t="n">
        <f aca="false">Sens!$F$1281+Sens!$F$1348</f>
        <v>435.780975084504</v>
      </c>
      <c r="G1349" s="38" t="n">
        <f aca="false">Sens!$G$1281+Sens!$G$1348</f>
        <v>817.905975084504</v>
      </c>
      <c r="H1349" s="38" t="n">
        <f aca="false">Sens!$H$1281+Sens!$H$1348</f>
        <v>933.625577783201</v>
      </c>
      <c r="I1349" s="38" t="n">
        <f aca="false">Sens!$I$1281+Sens!$I$1348</f>
        <v>1049.94169028482</v>
      </c>
      <c r="J1349" s="38" t="n">
        <f aca="false">Sens!$J$1281+Sens!$J$1348</f>
        <v>1160.78614721835</v>
      </c>
      <c r="K1349" s="38" t="n">
        <f aca="false">Sens!$K$1281+Sens!$K$1348</f>
        <v>1258.21754244051</v>
      </c>
      <c r="L1349" s="38" t="n">
        <f aca="false">Sens!$L$1281+Sens!$L$1348</f>
        <v>1351.71032708706</v>
      </c>
      <c r="M1349" s="38" t="n">
        <f aca="false">Sens!$M$1281+Sens!$M$1348</f>
        <v>1441.63252601081</v>
      </c>
      <c r="N1349" s="38" t="n">
        <f aca="false">Q!$N$8</f>
        <v>323.369</v>
      </c>
      <c r="O1349" s="38" t="n">
        <f aca="false">Q!$O$8</f>
        <v>393.555</v>
      </c>
    </row>
    <row r="1350" customFormat="false" ht="17.15" hidden="false" customHeight="false" outlineLevel="0" collapsed="false">
      <c r="A1350" s="24" t="s">
        <v>697</v>
      </c>
      <c r="B1350" s="25" t="s">
        <v>86</v>
      </c>
      <c r="C1350" s="41" t="n">
        <f aca="false">Sens!$C$1281-(Sens!$C$1283+Sens!$C$1284)</f>
        <v>0</v>
      </c>
      <c r="D1350" s="41" t="n">
        <f aca="false">Sens!$D$1281-(Sens!$D$1283+Sens!$D$1284)</f>
        <v>0</v>
      </c>
      <c r="E1350" s="41" t="n">
        <f aca="false">Sens!$E$1281-(Sens!$E$1283+Sens!$E$1284)</f>
        <v>0</v>
      </c>
      <c r="F1350" s="41" t="n">
        <f aca="false">Sens!$F$1281-(Sens!$F$1283+Sens!$F$1284)</f>
        <v>0</v>
      </c>
      <c r="G1350" s="41" t="n">
        <f aca="false">Sens!$G$1281-(Sens!$G$1283+Sens!$G$1284)</f>
        <v>0</v>
      </c>
      <c r="H1350" s="41" t="n">
        <f aca="false">Sens!$H$1281-(Sens!$H$1283+Sens!$H$1284)</f>
        <v>0</v>
      </c>
      <c r="I1350" s="41" t="n">
        <f aca="false">Sens!$I$1281-(Sens!$I$1283+Sens!$I$1284)</f>
        <v>0</v>
      </c>
      <c r="J1350" s="41" t="n">
        <f aca="false">Sens!$J$1281-(Sens!$J$1283+Sens!$J$1284)</f>
        <v>0</v>
      </c>
      <c r="K1350" s="41" t="n">
        <f aca="false">Sens!$K$1281-(Sens!$K$1283+Sens!$K$1284)</f>
        <v>0</v>
      </c>
      <c r="L1350" s="41" t="n">
        <f aca="false">Sens!$L$1281-(Sens!$L$1283+Sens!$L$1284)</f>
        <v>0</v>
      </c>
      <c r="M1350" s="41" t="n">
        <f aca="false">Sens!$M$1281-(Sens!$M$1283+Sens!$M$1284)</f>
        <v>0</v>
      </c>
      <c r="N1350" s="41" t="n">
        <f aca="false">Sens!$N$1281-(Sens!$N$1283+Sens!$N$1284)</f>
        <v>0</v>
      </c>
      <c r="O1350" s="41" t="n">
        <f aca="false">Sens!$O$1281-(Sens!$O$1283+Sens!$O$1284)</f>
        <v>0</v>
      </c>
    </row>
    <row r="1351" customFormat="false" ht="17.15" hidden="false" customHeight="false" outlineLevel="0" collapsed="false">
      <c r="A1351" s="24" t="s">
        <v>698</v>
      </c>
      <c r="B1351" s="25" t="s">
        <v>86</v>
      </c>
      <c r="C1351" s="41" t="n">
        <f aca="false">Sens!$C$1346+Sens!$C$1347-Sens!$C$1348</f>
        <v>0</v>
      </c>
      <c r="D1351" s="41" t="n">
        <f aca="false">Sens!$D$1346+Sens!$D$1347-Sens!$D$1348</f>
        <v>0</v>
      </c>
      <c r="E1351" s="41" t="n">
        <f aca="false">Sens!$E$1346+Sens!$E$1347-Sens!$E$1348</f>
        <v>0</v>
      </c>
      <c r="F1351" s="41" t="n">
        <f aca="false">Sens!$F$1346+Sens!$F$1347-Sens!$F$1348</f>
        <v>0</v>
      </c>
      <c r="G1351" s="41" t="n">
        <f aca="false">Sens!$G$1346+Sens!$G$1347-Sens!$G$1348</f>
        <v>0</v>
      </c>
      <c r="H1351" s="41" t="n">
        <f aca="false">Sens!$H$1346+Sens!$H$1347-Sens!$H$1348</f>
        <v>0</v>
      </c>
      <c r="I1351" s="41" t="n">
        <f aca="false">Sens!$I$1346+Sens!$I$1347-Sens!$I$1348</f>
        <v>0</v>
      </c>
      <c r="J1351" s="41" t="n">
        <f aca="false">Sens!$J$1346+Sens!$J$1347-Sens!$J$1348</f>
        <v>0</v>
      </c>
      <c r="K1351" s="41" t="n">
        <f aca="false">Sens!$K$1346+Sens!$K$1347-Sens!$K$1348</f>
        <v>0</v>
      </c>
      <c r="L1351" s="41" t="n">
        <f aca="false">Sens!$L$1346+Sens!$L$1347-Sens!$L$1348</f>
        <v>0</v>
      </c>
      <c r="M1351" s="41" t="n">
        <f aca="false">Sens!$M$1346+Sens!$M$1347-Sens!$M$1348</f>
        <v>0</v>
      </c>
      <c r="N1351" s="41" t="n">
        <f aca="false">Sens!$N$1346+Sens!$N$1347-Sens!$N$1348</f>
        <v>0</v>
      </c>
      <c r="O1351" s="41" t="n">
        <f aca="false">Sens!$O$1346+Sens!$O$1347-Sens!$O$1348</f>
        <v>0</v>
      </c>
    </row>
    <row r="1352" customFormat="false" ht="17.15" hidden="false" customHeight="false" outlineLevel="0" collapsed="false">
      <c r="A1352" s="24" t="s">
        <v>699</v>
      </c>
      <c r="B1352" s="25" t="s">
        <v>86</v>
      </c>
      <c r="C1352" s="41" t="n">
        <f aca="false">Sens!$C$1283+Sens!$C$1284+Sens!$C$1348-Sens!$C$1349</f>
        <v>0</v>
      </c>
      <c r="D1352" s="41" t="n">
        <f aca="false">Sens!$D$1283+Sens!$D$1284+Sens!$D$1348-Sens!$D$1349</f>
        <v>0</v>
      </c>
      <c r="E1352" s="41" t="n">
        <f aca="false">Sens!$E$1283+Sens!$E$1284+Sens!$E$1348-Sens!$E$1349</f>
        <v>0</v>
      </c>
      <c r="F1352" s="41" t="n">
        <f aca="false">Sens!$F$1283+Sens!$F$1284+Sens!$F$1348-Sens!$F$1349</f>
        <v>0</v>
      </c>
      <c r="G1352" s="41" t="n">
        <f aca="false">Sens!$G$1283+Sens!$G$1284+Sens!$G$1348-Sens!$G$1349</f>
        <v>0</v>
      </c>
      <c r="H1352" s="41" t="n">
        <f aca="false">Sens!$H$1283+Sens!$H$1284+Sens!$H$1348-Sens!$H$1349</f>
        <v>0</v>
      </c>
      <c r="I1352" s="41" t="n">
        <f aca="false">Sens!$I$1283+Sens!$I$1284+Sens!$I$1348-Sens!$I$1349</f>
        <v>0</v>
      </c>
      <c r="J1352" s="41" t="n">
        <f aca="false">Sens!$J$1283+Sens!$J$1284+Sens!$J$1348-Sens!$J$1349</f>
        <v>0</v>
      </c>
      <c r="K1352" s="41" t="n">
        <f aca="false">Sens!$K$1283+Sens!$K$1284+Sens!$K$1348-Sens!$K$1349</f>
        <v>0</v>
      </c>
      <c r="L1352" s="41" t="n">
        <f aca="false">Sens!$L$1283+Sens!$L$1284+Sens!$L$1348-Sens!$L$1349</f>
        <v>0</v>
      </c>
      <c r="M1352" s="41" t="n">
        <f aca="false">Sens!$M$1283+Sens!$M$1284+Sens!$M$1348-Sens!$M$1349</f>
        <v>0</v>
      </c>
      <c r="N1352" s="41" t="n">
        <f aca="false">Sens!$N$1283+Sens!$N$1284+Sens!$N$1348-Sens!$N$1349</f>
        <v>0</v>
      </c>
      <c r="O1352" s="41" t="n">
        <f aca="false">Sens!$O$1283+Sens!$O$1284+Sens!$O$1348-Sens!$O$1349</f>
        <v>0</v>
      </c>
    </row>
    <row r="1353" customFormat="false" ht="15" hidden="false" customHeight="false" outlineLevel="0" collapsed="false">
      <c r="A1353" s="5" t="s">
        <v>693</v>
      </c>
      <c r="B1353" s="0" t="s">
        <v>52</v>
      </c>
      <c r="G1353" s="13" t="n">
        <f aca="false">Sens!$G$1349/Sens!$D$1349-1</f>
        <v>0.140854504918937</v>
      </c>
      <c r="H1353" s="13" t="n">
        <f aca="false">Sens!$H$1349/Sens!$G$1349-1</f>
        <v>0.141482769687239</v>
      </c>
      <c r="I1353" s="13" t="n">
        <f aca="false">Sens!$I$1349/Sens!$H$1349-1</f>
        <v>0.124585396190408</v>
      </c>
      <c r="J1353" s="13" t="n">
        <f aca="false">Sens!$J$1349/Sens!$I$1349-1</f>
        <v>0.105572012197616</v>
      </c>
      <c r="K1353" s="13" t="n">
        <f aca="false">Sens!$K$1349/Sens!$J$1349-1</f>
        <v>0.0839356977645174</v>
      </c>
      <c r="L1353" s="13" t="n">
        <f aca="false">Sens!$L$1349/Sens!$K$1349-1</f>
        <v>0.0743057392644562</v>
      </c>
      <c r="M1353" s="13" t="n">
        <f aca="false">Sens!$M$1349/Sens!$L$1349-1</f>
        <v>0.0665247554315318</v>
      </c>
    </row>
    <row r="1354" customFormat="false" ht="17.15" hidden="false" customHeight="false" outlineLevel="0" collapsed="false">
      <c r="A1354" s="0" t="s">
        <v>694</v>
      </c>
      <c r="B1354" s="0" t="s">
        <v>52</v>
      </c>
      <c r="C1354" s="13" t="n">
        <f aca="false">Sens!$C$1348/Sens!$C$1349</f>
        <v>0.168593906504964</v>
      </c>
      <c r="D1354" s="13" t="n">
        <f aca="false">Sens!$D$1348/Sens!$D$1349</f>
        <v>0.179551807444025</v>
      </c>
      <c r="E1354" s="13" t="n">
        <f aca="false">Sens!$E$1348/Sens!$E$1349</f>
        <v>0.208881910369643</v>
      </c>
      <c r="F1354" s="13" t="n">
        <f aca="false">Sens!$F$1348/Sens!$F$1349</f>
        <v>0.19621392944302</v>
      </c>
      <c r="G1354" s="13" t="n">
        <f aca="false">Sens!$G$1348/Sens!$G$1349</f>
        <v>0.202132399730618</v>
      </c>
      <c r="H1354" s="13" t="n">
        <f aca="false">Sens!$H$1348/Sens!$H$1349</f>
        <v>0.226183113559341</v>
      </c>
      <c r="I1354" s="13" t="n">
        <f aca="false">Sens!$I$1348/Sens!$I$1349</f>
        <v>0.247562680117388</v>
      </c>
      <c r="J1354" s="13" t="n">
        <f aca="false">Sens!$J$1348/Sens!$J$1349</f>
        <v>0.265400684775336</v>
      </c>
      <c r="K1354" s="13" t="n">
        <f aca="false">Sens!$K$1348/Sens!$K$1349</f>
        <v>0.278435683262662</v>
      </c>
      <c r="L1354" s="13" t="n">
        <f aca="false">Sens!$L$1348/Sens!$L$1349</f>
        <v>0.284674431462592</v>
      </c>
      <c r="M1354" s="13" t="n">
        <f aca="false">Sens!$M$1348/Sens!$M$1349</f>
        <v>0.285471837132302</v>
      </c>
      <c r="N1354" s="13" t="n">
        <f aca="false">Sens!$N$1348/Sens!$N$1349</f>
        <v>0.185979484737251</v>
      </c>
      <c r="O1354" s="13" t="n">
        <f aca="false">Sens!$O$1348/Sens!$O$1349</f>
        <v>0.174270432341096</v>
      </c>
    </row>
    <row r="1355" customFormat="false" ht="17.15" hidden="false" customHeight="false" outlineLevel="0" collapsed="false">
      <c r="A1355" s="0" t="s">
        <v>695</v>
      </c>
      <c r="B1355" s="0" t="s">
        <v>52</v>
      </c>
      <c r="C1355" s="13" t="n">
        <f aca="false">Sens!$C$1346/Sens!$C$1348</f>
        <v>0.0215795060896058</v>
      </c>
      <c r="D1355" s="13" t="n">
        <f aca="false">Sens!$D$1346/Sens!$D$1348</f>
        <v>0.0676152269462122</v>
      </c>
      <c r="E1355" s="13" t="n">
        <f aca="false">Sens!$E$1346/Sens!$E$1348</f>
        <v>0.106620641395783</v>
      </c>
      <c r="F1355" s="13" t="n">
        <f aca="false">Sens!$F$1346/Sens!$F$1348</f>
        <v>0.160654806787089</v>
      </c>
      <c r="G1355" s="13" t="n">
        <f aca="false">Sens!$G$1346/Sens!$G$1348</f>
        <v>0.134567129264991</v>
      </c>
      <c r="H1355" s="13" t="n">
        <f aca="false">Sens!$H$1346/Sens!$H$1348</f>
        <v>0.237501454906262</v>
      </c>
      <c r="I1355" s="13" t="n">
        <f aca="false">Sens!$I$1346/Sens!$I$1348</f>
        <v>0.3122292537709</v>
      </c>
      <c r="J1355" s="13" t="n">
        <f aca="false">Sens!$J$1346/Sens!$J$1348</f>
        <v>0.364516658447453</v>
      </c>
      <c r="K1355" s="13" t="n">
        <f aca="false">Sens!$K$1346/Sens!$K$1348</f>
        <v>0.396466260347755</v>
      </c>
      <c r="L1355" s="13" t="n">
        <f aca="false">Sens!$L$1346/Sens!$L$1348</f>
        <v>0.406564061885544</v>
      </c>
      <c r="M1355" s="13" t="n">
        <f aca="false">Sens!$M$1346/Sens!$M$1348</f>
        <v>0.400744745914554</v>
      </c>
      <c r="N1355" s="13" t="n">
        <f aca="false">Sens!$N$1346/Sens!$N$1348</f>
        <v>0.0506537999838362</v>
      </c>
      <c r="O1355" s="13" t="n">
        <f aca="false">Sens!$O$1346/Sens!$O$1348</f>
        <v>0.0824881615167056</v>
      </c>
    </row>
    <row r="1358" customFormat="false" ht="19.4" hidden="false" customHeight="false" outlineLevel="0" collapsed="false">
      <c r="A1358" s="31" t="s">
        <v>1154</v>
      </c>
    </row>
    <row r="1359" customFormat="false" ht="17.15" hidden="false" customHeight="false" outlineLevel="0" collapsed="false">
      <c r="A1359" s="6" t="s">
        <v>16</v>
      </c>
      <c r="B1359" s="6" t="s">
        <v>17</v>
      </c>
      <c r="C1359" s="20" t="s">
        <v>494</v>
      </c>
      <c r="D1359" s="20" t="s">
        <v>495</v>
      </c>
      <c r="E1359" s="20" t="s">
        <v>577</v>
      </c>
      <c r="F1359" s="20" t="s">
        <v>578</v>
      </c>
      <c r="G1359" s="20" t="s">
        <v>579</v>
      </c>
      <c r="H1359" s="20" t="s">
        <v>580</v>
      </c>
      <c r="I1359" s="20" t="s">
        <v>581</v>
      </c>
      <c r="J1359" s="20" t="s">
        <v>582</v>
      </c>
      <c r="K1359" s="20" t="s">
        <v>583</v>
      </c>
      <c r="L1359" s="20" t="s">
        <v>584</v>
      </c>
      <c r="M1359" s="20" t="s">
        <v>585</v>
      </c>
      <c r="N1359" s="20" t="s">
        <v>586</v>
      </c>
      <c r="O1359" s="20" t="s">
        <v>587</v>
      </c>
      <c r="P1359" s="6" t="s">
        <v>23</v>
      </c>
      <c r="R1359" s="20" t="n">
        <v>2023</v>
      </c>
      <c r="S1359" s="20" t="n">
        <v>2024</v>
      </c>
      <c r="T1359" s="20" t="n">
        <v>2025</v>
      </c>
      <c r="U1359" s="20" t="n">
        <v>2026</v>
      </c>
      <c r="V1359" s="20" t="n">
        <v>2027</v>
      </c>
      <c r="W1359" s="20" t="n">
        <v>2028</v>
      </c>
      <c r="X1359" s="20" t="n">
        <v>2029</v>
      </c>
      <c r="Y1359" s="20" t="n">
        <v>2030</v>
      </c>
      <c r="Z1359" s="20" t="n">
        <v>2031</v>
      </c>
      <c r="AA1359" s="20" t="n">
        <v>2032</v>
      </c>
    </row>
    <row r="1360" customFormat="false" ht="17.15" hidden="false" customHeight="false" outlineLevel="0" collapsed="false">
      <c r="A1360" s="1" t="s">
        <v>710</v>
      </c>
    </row>
    <row r="1361" customFormat="false" ht="15" hidden="false" customHeight="false" outlineLevel="0" collapsed="false">
      <c r="A1361" s="0" t="s">
        <v>516</v>
      </c>
      <c r="B1361" s="0" t="s">
        <v>86</v>
      </c>
      <c r="C1361" s="38" t="n">
        <f aca="false">Sens!$C$1268</f>
        <v>247.029</v>
      </c>
      <c r="D1361" s="38" t="n">
        <f aca="false">Sens!$D$1268</f>
        <v>269.287</v>
      </c>
      <c r="E1361" s="38" t="n">
        <f aca="false">Sens!$E$1268</f>
        <v>134.686</v>
      </c>
      <c r="F1361" s="38" t="n">
        <f aca="false">Sens!$F$1268</f>
        <v>158.850067275712</v>
      </c>
      <c r="G1361" s="38" t="n">
        <f aca="false">Sens!$G$1268</f>
        <v>293.536067275712</v>
      </c>
      <c r="H1361" s="38" t="n">
        <f aca="false">Sens!$H$1268</f>
        <v>318.78858186036</v>
      </c>
      <c r="I1361" s="38" t="n">
        <f aca="false">Sens!$I$1268</f>
        <v>342.385027945199</v>
      </c>
      <c r="J1361" s="38" t="n">
        <f aca="false">Sens!$J$1268</f>
        <v>363.616170617583</v>
      </c>
      <c r="K1361" s="38" t="n">
        <f aca="false">Sens!$K$1268</f>
        <v>381.796979148463</v>
      </c>
      <c r="L1361" s="38" t="n">
        <f aca="false">Sens!$L$1268</f>
        <v>400.886828105886</v>
      </c>
      <c r="M1361" s="38" t="n">
        <f aca="false">Sens!$M$1268</f>
        <v>420.93116951118</v>
      </c>
      <c r="N1361" s="38" t="n">
        <f aca="false">Sens!$N$1268</f>
        <v>118.892</v>
      </c>
      <c r="O1361" s="38" t="n">
        <f aca="false">Sens!$O$1268</f>
        <v>150.395</v>
      </c>
    </row>
    <row r="1362" customFormat="false" ht="15" hidden="false" customHeight="false" outlineLevel="0" collapsed="false">
      <c r="A1362" s="0" t="s">
        <v>517</v>
      </c>
      <c r="B1362" s="0" t="s">
        <v>86</v>
      </c>
      <c r="C1362" s="38" t="n">
        <f aca="false">Sens!$C$1270</f>
        <v>21.215</v>
      </c>
      <c r="D1362" s="38" t="n">
        <f aca="false">Sens!$D$1270</f>
        <v>22.561</v>
      </c>
      <c r="E1362" s="38" t="n">
        <f aca="false">Sens!$E$1270</f>
        <v>11.579</v>
      </c>
      <c r="F1362" s="38" t="n">
        <f aca="false">Sens!$F$1270</f>
        <v>11.6346093569298</v>
      </c>
      <c r="G1362" s="38" t="n">
        <f aca="false">Sens!$G$1270</f>
        <v>23.2136093569298</v>
      </c>
      <c r="H1362" s="38" t="n">
        <f aca="false">Sens!$H$1270</f>
        <v>24.3962049584363</v>
      </c>
      <c r="I1362" s="38" t="n">
        <f aca="false">Sens!$I$1270</f>
        <v>25.4687282263902</v>
      </c>
      <c r="J1362" s="38" t="n">
        <f aca="false">Sens!$J$1270</f>
        <v>26.4105962981158</v>
      </c>
      <c r="K1362" s="38" t="n">
        <f aca="false">Sens!$K$1270</f>
        <v>27.2029141870593</v>
      </c>
      <c r="L1362" s="38" t="n">
        <f aca="false">Sens!$L$1270</f>
        <v>28.0190016126711</v>
      </c>
      <c r="M1362" s="38" t="n">
        <f aca="false">Sens!$M$1270</f>
        <v>28.8595716610512</v>
      </c>
      <c r="N1362" s="38" t="n">
        <f aca="false">Sens!$N$1270</f>
        <v>11.128</v>
      </c>
      <c r="O1362" s="38" t="n">
        <f aca="false">Sens!$O$1270</f>
        <v>11.433</v>
      </c>
    </row>
    <row r="1363" customFormat="false" ht="15" hidden="false" customHeight="false" outlineLevel="0" collapsed="false">
      <c r="A1363" s="0" t="s">
        <v>518</v>
      </c>
      <c r="B1363" s="0" t="s">
        <v>86</v>
      </c>
      <c r="C1363" s="38" t="n">
        <f aca="false">Sens!$C$1272</f>
        <v>156.146</v>
      </c>
      <c r="D1363" s="38" t="n">
        <f aca="false">Sens!$D$1272</f>
        <v>172.162</v>
      </c>
      <c r="E1363" s="38" t="n">
        <f aca="false">Sens!$E$1272</f>
        <v>88.358</v>
      </c>
      <c r="F1363" s="38" t="n">
        <f aca="false">Sens!$F$1272</f>
        <v>102.362796734957</v>
      </c>
      <c r="G1363" s="38" t="n">
        <f aca="false">Sens!$G$1272</f>
        <v>190.720796734957</v>
      </c>
      <c r="H1363" s="38" t="n">
        <f aca="false">Sens!$H$1272</f>
        <v>210.739134147658</v>
      </c>
      <c r="I1363" s="38" t="n">
        <f aca="false">Sens!$I$1272</f>
        <v>230.402708456656</v>
      </c>
      <c r="J1363" s="38" t="n">
        <f aca="false">Sens!$J$1272</f>
        <v>249.215971405616</v>
      </c>
      <c r="K1363" s="38" t="n">
        <f aca="false">Sens!$K$1272</f>
        <v>266.661089404009</v>
      </c>
      <c r="L1363" s="38" t="n">
        <f aca="false">Sens!$L$1272</f>
        <v>285.32736566229</v>
      </c>
      <c r="M1363" s="38" t="n">
        <f aca="false">Sens!$M$1272</f>
        <v>305.30028125865</v>
      </c>
      <c r="N1363" s="38" t="n">
        <f aca="false">Sens!$N$1272</f>
        <v>76.86</v>
      </c>
      <c r="O1363" s="38" t="n">
        <f aca="false">Sens!$O$1272</f>
        <v>95.302</v>
      </c>
    </row>
    <row r="1364" customFormat="false" ht="15" hidden="false" customHeight="false" outlineLevel="0" collapsed="false">
      <c r="A1364" s="0" t="s">
        <v>519</v>
      </c>
      <c r="B1364" s="0" t="s">
        <v>86</v>
      </c>
      <c r="C1364" s="38" t="n">
        <f aca="false">Sens!$C$1274</f>
        <v>56.214</v>
      </c>
      <c r="D1364" s="38" t="n">
        <f aca="false">Sens!$D$1274</f>
        <v>68.635</v>
      </c>
      <c r="E1364" s="38" t="n">
        <f aca="false">Sens!$E$1274</f>
        <v>37.052</v>
      </c>
      <c r="F1364" s="38" t="n">
        <f aca="false">Sens!$F$1274</f>
        <v>46.319402659556</v>
      </c>
      <c r="G1364" s="38" t="n">
        <f aca="false">Sens!$G$1274</f>
        <v>83.371402659556</v>
      </c>
      <c r="H1364" s="38" t="n">
        <f aca="false">Sens!$H$1274</f>
        <v>100.091628562647</v>
      </c>
      <c r="I1364" s="38" t="n">
        <f aca="false">Sens!$I$1274</f>
        <v>116.810339833472</v>
      </c>
      <c r="J1364" s="38" t="n">
        <f aca="false">Sens!$J$1274</f>
        <v>132.406509586357</v>
      </c>
      <c r="K1364" s="38" t="n">
        <f aca="false">Sens!$K$1274</f>
        <v>145.647160544992</v>
      </c>
      <c r="L1364" s="38" t="n">
        <f aca="false">Sens!$L$1274</f>
        <v>160.211876599492</v>
      </c>
      <c r="M1364" s="38" t="n">
        <f aca="false">Sens!$M$1274</f>
        <v>176.233064259441</v>
      </c>
      <c r="N1364" s="38" t="n">
        <f aca="false">Sens!$N$1274</f>
        <v>29.615</v>
      </c>
      <c r="O1364" s="38" t="n">
        <f aca="false">Sens!$O$1274</f>
        <v>39.02</v>
      </c>
    </row>
    <row r="1365" customFormat="false" ht="15" hidden="false" customHeight="false" outlineLevel="0" collapsed="false">
      <c r="A1365" s="0" t="s">
        <v>520</v>
      </c>
      <c r="B1365" s="0" t="s">
        <v>86</v>
      </c>
      <c r="C1365" s="38" t="n">
        <f aca="false">Sens!$C$1276</f>
        <v>44.374</v>
      </c>
      <c r="D1365" s="38" t="n">
        <f aca="false">Sens!$D$1276</f>
        <v>49.619</v>
      </c>
      <c r="E1365" s="38" t="n">
        <f aca="false">Sens!$E$1276</f>
        <v>27.157</v>
      </c>
      <c r="F1365" s="38" t="n">
        <f aca="false">Sens!$F$1276</f>
        <v>27.8740134108545</v>
      </c>
      <c r="G1365" s="38" t="n">
        <f aca="false">Sens!$G$1276</f>
        <v>55.0310134108545</v>
      </c>
      <c r="H1365" s="38" t="n">
        <f aca="false">Sens!$H$1276</f>
        <v>61.2650640788891</v>
      </c>
      <c r="I1365" s="38" t="n">
        <f aca="false">Sens!$I$1276</f>
        <v>67.3214219077462</v>
      </c>
      <c r="J1365" s="38" t="n">
        <f aca="false">Sens!$J$1276</f>
        <v>73.0052012115448</v>
      </c>
      <c r="K1365" s="38" t="n">
        <f aca="false">Sens!$K$1276</f>
        <v>78.115565296353</v>
      </c>
      <c r="L1365" s="38" t="n">
        <f aca="false">Sens!$L$1276</f>
        <v>83.5836548670977</v>
      </c>
      <c r="M1365" s="38" t="n">
        <f aca="false">Sens!$M$1276</f>
        <v>89.4345107077945</v>
      </c>
      <c r="N1365" s="38" t="n">
        <f aca="false">Sens!$N$1276</f>
        <v>23.923</v>
      </c>
      <c r="O1365" s="38" t="n">
        <f aca="false">Sens!$O$1276</f>
        <v>25.696</v>
      </c>
    </row>
    <row r="1366" customFormat="false" ht="15" hidden="false" customHeight="false" outlineLevel="0" collapsed="false">
      <c r="A1366" s="0" t="s">
        <v>521</v>
      </c>
      <c r="B1366" s="0" t="s">
        <v>86</v>
      </c>
      <c r="C1366" s="38" t="n">
        <f aca="false">Sens!$C$1278</f>
        <v>5.425</v>
      </c>
      <c r="D1366" s="38" t="n">
        <f aca="false">Sens!$D$1278</f>
        <v>5.935</v>
      </c>
      <c r="E1366" s="38" t="n">
        <f aca="false">Sens!$E$1278</f>
        <v>3.474</v>
      </c>
      <c r="F1366" s="38" t="n">
        <f aca="false">Sens!$F$1278</f>
        <v>3.23378814865366</v>
      </c>
      <c r="G1366" s="38" t="n">
        <f aca="false">Sens!$G$1278</f>
        <v>6.70778814865366</v>
      </c>
      <c r="H1366" s="38" t="n">
        <f aca="false">Sens!$H$1278</f>
        <v>7.17462409356706</v>
      </c>
      <c r="I1366" s="38" t="n">
        <f aca="false">Sens!$I$1278</f>
        <v>7.62708510146572</v>
      </c>
      <c r="J1366" s="38" t="n">
        <f aca="false">Sens!$J$1278</f>
        <v>8.05825974966217</v>
      </c>
      <c r="K1366" s="38" t="n">
        <f aca="false">Sens!$K$1278</f>
        <v>8.46117273714528</v>
      </c>
      <c r="L1366" s="38" t="n">
        <f aca="false">Sens!$L$1278</f>
        <v>8.88423137400254</v>
      </c>
      <c r="M1366" s="38" t="n">
        <f aca="false">Sens!$M$1278</f>
        <v>9.32844294270267</v>
      </c>
      <c r="N1366" s="38" t="n">
        <f aca="false">Sens!$N$1278</f>
        <v>2.811</v>
      </c>
      <c r="O1366" s="38" t="n">
        <f aca="false">Sens!$O$1278</f>
        <v>3.124</v>
      </c>
    </row>
    <row r="1367" customFormat="false" ht="17.15" hidden="false" customHeight="false" outlineLevel="0" collapsed="false">
      <c r="A1367" s="0" t="s">
        <v>711</v>
      </c>
      <c r="B1367" s="0" t="s">
        <v>86</v>
      </c>
      <c r="C1367" s="38" t="n">
        <f aca="false">Sens!$C$1348</f>
        <v>107.556</v>
      </c>
      <c r="D1367" s="38" t="n">
        <f aca="false">Sens!$D$1348</f>
        <v>128.725</v>
      </c>
      <c r="E1367" s="38" t="n">
        <f aca="false">Sens!$E$1348</f>
        <v>79.819</v>
      </c>
      <c r="F1367" s="38" t="n">
        <f aca="false">Sens!$F$1348</f>
        <v>85.5062974978415</v>
      </c>
      <c r="G1367" s="38" t="n">
        <f aca="false">Sens!$G$1348</f>
        <v>165.325297497842</v>
      </c>
      <c r="H1367" s="38" t="n">
        <f aca="false">Sens!$H$1348</f>
        <v>211.170340081644</v>
      </c>
      <c r="I1367" s="38" t="n">
        <f aca="false">Sens!$I$1348</f>
        <v>259.926378813891</v>
      </c>
      <c r="J1367" s="38" t="n">
        <f aca="false">Sens!$J$1348</f>
        <v>308.073438349475</v>
      </c>
      <c r="K1367" s="38" t="n">
        <f aca="false">Sens!$K$1348</f>
        <v>350.332661122491</v>
      </c>
      <c r="L1367" s="38" t="n">
        <f aca="false">Sens!$L$1348</f>
        <v>384.797368865624</v>
      </c>
      <c r="M1367" s="38" t="n">
        <f aca="false">Sens!$M$1348</f>
        <v>411.545485669986</v>
      </c>
      <c r="N1367" s="38" t="n">
        <f aca="false">Sens!$N$1348</f>
        <v>60.14</v>
      </c>
      <c r="O1367" s="38" t="n">
        <f aca="false">Sens!$O$1348</f>
        <v>68.585</v>
      </c>
    </row>
    <row r="1368" customFormat="false" ht="15" hidden="false" customHeight="false" outlineLevel="0" collapsed="false">
      <c r="A1368" s="1" t="s">
        <v>509</v>
      </c>
      <c r="B1368" s="8" t="s">
        <v>86</v>
      </c>
      <c r="C1368" s="38" t="n">
        <f aca="false">Sens!$C$1283</f>
        <v>387.497</v>
      </c>
      <c r="D1368" s="38" t="n">
        <f aca="false">Sens!$D$1283</f>
        <v>426.305</v>
      </c>
      <c r="E1368" s="38" t="n">
        <f aca="false">Sens!$E$1283</f>
        <v>220.32</v>
      </c>
      <c r="F1368" s="38" t="n">
        <f aca="false">Sens!$F$1283</f>
        <v>251.520435778219</v>
      </c>
      <c r="G1368" s="38" t="n">
        <f aca="false">Sens!$G$1283</f>
        <v>471.840435778219</v>
      </c>
      <c r="H1368" s="38" t="n">
        <f aca="false">Sens!$H$1283</f>
        <v>522.362377396763</v>
      </c>
      <c r="I1368" s="38" t="n">
        <f aca="false">Sens!$I$1283</f>
        <v>571.21085811862</v>
      </c>
      <c r="J1368" s="38" t="n">
        <f aca="false">Sens!$J$1283</f>
        <v>616.543440474279</v>
      </c>
      <c r="K1368" s="38" t="n">
        <f aca="false">Sens!$K$1283</f>
        <v>656.435001449554</v>
      </c>
      <c r="L1368" s="38" t="n">
        <f aca="false">Sens!$L$1283</f>
        <v>699.114526734088</v>
      </c>
      <c r="M1368" s="38" t="n">
        <f aca="false">Sens!$M$1283</f>
        <v>744.791770116979</v>
      </c>
      <c r="N1368" s="38" t="n">
        <f aca="false">Sens!$N$1283</f>
        <v>192.955</v>
      </c>
      <c r="O1368" s="38" t="n">
        <f aca="false">Sens!$O$1283</f>
        <v>233.35</v>
      </c>
    </row>
    <row r="1369" customFormat="false" ht="15" hidden="false" customHeight="false" outlineLevel="0" collapsed="false">
      <c r="A1369" s="1" t="s">
        <v>512</v>
      </c>
      <c r="B1369" s="8" t="s">
        <v>86</v>
      </c>
      <c r="C1369" s="38" t="n">
        <f aca="false">Sens!$C$1284</f>
        <v>142.906</v>
      </c>
      <c r="D1369" s="38" t="n">
        <f aca="false">Sens!$D$1284</f>
        <v>161.894</v>
      </c>
      <c r="E1369" s="38" t="n">
        <f aca="false">Sens!$E$1284</f>
        <v>81.986</v>
      </c>
      <c r="F1369" s="38" t="n">
        <f aca="false">Sens!$F$1284</f>
        <v>98.754241808444</v>
      </c>
      <c r="G1369" s="38" t="n">
        <f aca="false">Sens!$G$1284</f>
        <v>180.740241808444</v>
      </c>
      <c r="H1369" s="38" t="n">
        <f aca="false">Sens!$H$1284</f>
        <v>200.092860304795</v>
      </c>
      <c r="I1369" s="38" t="n">
        <f aca="false">Sens!$I$1284</f>
        <v>218.804453352309</v>
      </c>
      <c r="J1369" s="38" t="n">
        <f aca="false">Sens!$J$1284</f>
        <v>236.1692683946</v>
      </c>
      <c r="K1369" s="38" t="n">
        <f aca="false">Sens!$K$1284</f>
        <v>251.449879868468</v>
      </c>
      <c r="L1369" s="38" t="n">
        <f aca="false">Sens!$L$1284</f>
        <v>267.798431487351</v>
      </c>
      <c r="M1369" s="38" t="n">
        <f aca="false">Sens!$M$1284</f>
        <v>285.295270223841</v>
      </c>
      <c r="N1369" s="38" t="n">
        <f aca="false">Sens!$N$1284</f>
        <v>70.274</v>
      </c>
      <c r="O1369" s="38" t="n">
        <f aca="false">Sens!$O$1284</f>
        <v>91.62</v>
      </c>
    </row>
    <row r="1370" customFormat="false" ht="15" hidden="false" customHeight="false" outlineLevel="0" collapsed="false">
      <c r="A1370" s="1" t="s">
        <v>513</v>
      </c>
      <c r="B1370" s="8" t="s">
        <v>86</v>
      </c>
      <c r="C1370" s="38" t="n">
        <f aca="false">Sens!$C$1348</f>
        <v>107.556</v>
      </c>
      <c r="D1370" s="38" t="n">
        <f aca="false">Sens!$D$1348</f>
        <v>128.725</v>
      </c>
      <c r="E1370" s="38" t="n">
        <f aca="false">Sens!$E$1348</f>
        <v>79.819</v>
      </c>
      <c r="F1370" s="38" t="n">
        <f aca="false">Sens!$F$1348</f>
        <v>85.5062974978415</v>
      </c>
      <c r="G1370" s="38" t="n">
        <f aca="false">Sens!$G$1348</f>
        <v>165.325297497842</v>
      </c>
      <c r="H1370" s="38" t="n">
        <f aca="false">Sens!$H$1348</f>
        <v>211.170340081644</v>
      </c>
      <c r="I1370" s="38" t="n">
        <f aca="false">Sens!$I$1348</f>
        <v>259.926378813891</v>
      </c>
      <c r="J1370" s="38" t="n">
        <f aca="false">Sens!$J$1348</f>
        <v>308.073438349475</v>
      </c>
      <c r="K1370" s="38" t="n">
        <f aca="false">Sens!$K$1348</f>
        <v>350.332661122491</v>
      </c>
      <c r="L1370" s="38" t="n">
        <f aca="false">Sens!$L$1348</f>
        <v>384.797368865624</v>
      </c>
      <c r="M1370" s="38" t="n">
        <f aca="false">Sens!$M$1348</f>
        <v>411.545485669986</v>
      </c>
      <c r="N1370" s="38" t="n">
        <f aca="false">Sens!$N$1348</f>
        <v>60.14</v>
      </c>
      <c r="O1370" s="38" t="n">
        <f aca="false">Sens!$O$1348</f>
        <v>68.585</v>
      </c>
    </row>
    <row r="1371" customFormat="false" ht="17.15" hidden="false" customHeight="false" outlineLevel="0" collapsed="false">
      <c r="A1371" s="0" t="s">
        <v>685</v>
      </c>
      <c r="B1371" s="0" t="s">
        <v>86</v>
      </c>
      <c r="C1371" s="38" t="n">
        <f aca="false">Sens!$C$1346</f>
        <v>2.32100535697364</v>
      </c>
      <c r="D1371" s="38" t="n">
        <f aca="false">Sens!$D$1346</f>
        <v>8.70377008865116</v>
      </c>
      <c r="E1371" s="38" t="n">
        <f aca="false">Sens!$E$1346</f>
        <v>8.51035297557002</v>
      </c>
      <c r="F1371" s="38" t="n">
        <f aca="false">Sens!$F$1346</f>
        <v>13.7369977035951</v>
      </c>
      <c r="G1371" s="38" t="n">
        <f aca="false">Sens!$G$1346</f>
        <v>22.2473506791651</v>
      </c>
      <c r="H1371" s="38" t="n">
        <f aca="false">Sens!$H$1346</f>
        <v>50.1532630024405</v>
      </c>
      <c r="I1371" s="38" t="n">
        <f aca="false">Sens!$I$1346</f>
        <v>81.1566192924336</v>
      </c>
      <c r="J1371" s="38" t="n">
        <f aca="false">Sens!$J$1346</f>
        <v>112.297900303568</v>
      </c>
      <c r="K1371" s="38" t="n">
        <f aca="false">Sens!$K$1346</f>
        <v>138.895080032911</v>
      </c>
      <c r="L1371" s="38" t="n">
        <f aca="false">Sens!$L$1346</f>
        <v>156.444781288878</v>
      </c>
      <c r="M1371" s="38" t="n">
        <f aca="false">Sens!$M$1346</f>
        <v>164.9246910871</v>
      </c>
      <c r="N1371" s="38" t="n">
        <f aca="false">Sens!$N$1346</f>
        <v>3.04631953102791</v>
      </c>
      <c r="O1371" s="38" t="n">
        <f aca="false">Sens!$O$1346</f>
        <v>5.65745055762326</v>
      </c>
    </row>
    <row r="1372" customFormat="false" ht="17.15" hidden="false" customHeight="false" outlineLevel="0" collapsed="false">
      <c r="A1372" s="0" t="s">
        <v>687</v>
      </c>
      <c r="B1372" s="0" t="s">
        <v>86</v>
      </c>
      <c r="C1372" s="38" t="n">
        <f aca="false">Sens!$C$1347</f>
        <v>105.234994643026</v>
      </c>
      <c r="D1372" s="38" t="n">
        <f aca="false">Sens!$D$1347</f>
        <v>120.021229911349</v>
      </c>
      <c r="E1372" s="38" t="n">
        <f aca="false">Sens!$E$1347</f>
        <v>71.30864702443</v>
      </c>
      <c r="F1372" s="38" t="n">
        <f aca="false">Sens!$F$1347</f>
        <v>71.7692997942464</v>
      </c>
      <c r="G1372" s="38" t="n">
        <f aca="false">Sens!$G$1347</f>
        <v>143.077946818676</v>
      </c>
      <c r="H1372" s="38" t="n">
        <f aca="false">Sens!$H$1347</f>
        <v>161.017077079203</v>
      </c>
      <c r="I1372" s="38" t="n">
        <f aca="false">Sens!$I$1347</f>
        <v>178.769759521457</v>
      </c>
      <c r="J1372" s="38" t="n">
        <f aca="false">Sens!$J$1347</f>
        <v>195.775538045907</v>
      </c>
      <c r="K1372" s="38" t="n">
        <f aca="false">Sens!$K$1347</f>
        <v>211.43758108958</v>
      </c>
      <c r="L1372" s="38" t="n">
        <f aca="false">Sens!$L$1347</f>
        <v>228.352587576746</v>
      </c>
      <c r="M1372" s="38" t="n">
        <f aca="false">Sens!$M$1347</f>
        <v>246.620794582886</v>
      </c>
      <c r="N1372" s="38" t="n">
        <f aca="false">Sens!$N$1347</f>
        <v>57.0936804689721</v>
      </c>
      <c r="O1372" s="38" t="n">
        <f aca="false">Sens!$O$1347</f>
        <v>62.9275494423768</v>
      </c>
    </row>
    <row r="1373" customFormat="false" ht="15" hidden="false" customHeight="false" outlineLevel="0" collapsed="false">
      <c r="A1373" s="3" t="s">
        <v>514</v>
      </c>
      <c r="B1373" s="8" t="s">
        <v>86</v>
      </c>
      <c r="C1373" s="38" t="n">
        <f aca="false">Sens!$C$1349</f>
        <v>637.959</v>
      </c>
      <c r="D1373" s="38" t="n">
        <f aca="false">Sens!$D$1349</f>
        <v>716.924</v>
      </c>
      <c r="E1373" s="38" t="n">
        <f aca="false">Sens!$E$1349</f>
        <v>382.125</v>
      </c>
      <c r="F1373" s="38" t="n">
        <f aca="false">Sens!$F$1349</f>
        <v>435.780975084504</v>
      </c>
      <c r="G1373" s="38" t="n">
        <f aca="false">Sens!$G$1349</f>
        <v>817.905975084504</v>
      </c>
      <c r="H1373" s="38" t="n">
        <f aca="false">Sens!$H$1349</f>
        <v>933.625577783201</v>
      </c>
      <c r="I1373" s="38" t="n">
        <f aca="false">Sens!$I$1349</f>
        <v>1049.94169028482</v>
      </c>
      <c r="J1373" s="38" t="n">
        <f aca="false">Sens!$J$1349</f>
        <v>1160.78614721835</v>
      </c>
      <c r="K1373" s="38" t="n">
        <f aca="false">Sens!$K$1349</f>
        <v>1258.21754244051</v>
      </c>
      <c r="L1373" s="38" t="n">
        <f aca="false">Sens!$L$1349</f>
        <v>1351.71032708706</v>
      </c>
      <c r="M1373" s="38" t="n">
        <f aca="false">Sens!$M$1349</f>
        <v>1441.63252601081</v>
      </c>
      <c r="N1373" s="38" t="n">
        <f aca="false">Sens!$N$1349</f>
        <v>323.369</v>
      </c>
      <c r="O1373" s="38" t="n">
        <f aca="false">Sens!$O$1349</f>
        <v>393.555</v>
      </c>
    </row>
    <row r="1374" customFormat="false" ht="17.15" hidden="false" customHeight="false" outlineLevel="0" collapsed="false">
      <c r="A1374" s="24" t="s">
        <v>697</v>
      </c>
      <c r="B1374" s="25" t="s">
        <v>86</v>
      </c>
      <c r="C1374" s="41" t="n">
        <f aca="false">Sens!$C$1361+Sens!$C$1362+Sens!$C$1363+Sens!$C$1364+Sens!$C$1365+Sens!$C$1366-(Sens!$C$1368+Sens!$C$1369)</f>
        <v>0</v>
      </c>
      <c r="D1374" s="41" t="n">
        <f aca="false">Sens!$D$1361+Sens!$D$1362+Sens!$D$1363+Sens!$D$1364+Sens!$D$1365+Sens!$D$1366-(Sens!$D$1368+Sens!$D$1369)</f>
        <v>0</v>
      </c>
      <c r="E1374" s="41" t="n">
        <f aca="false">Sens!$E$1361+Sens!$E$1362+Sens!$E$1363+Sens!$E$1364+Sens!$E$1365+Sens!$E$1366-(Sens!$E$1368+Sens!$E$1369)</f>
        <v>0</v>
      </c>
      <c r="F1374" s="41" t="n">
        <f aca="false">Sens!$F$1361+Sens!$F$1362+Sens!$F$1363+Sens!$F$1364+Sens!$F$1365+Sens!$F$1366-(Sens!$F$1368+Sens!$F$1369)</f>
        <v>0</v>
      </c>
      <c r="G1374" s="41" t="n">
        <f aca="false">Sens!$G$1361+Sens!$G$1362+Sens!$G$1363+Sens!$G$1364+Sens!$G$1365+Sens!$G$1366-(Sens!$G$1368+Sens!$G$1369)</f>
        <v>0</v>
      </c>
      <c r="H1374" s="41" t="n">
        <f aca="false">Sens!$H$1361+Sens!$H$1362+Sens!$H$1363+Sens!$H$1364+Sens!$H$1365+Sens!$H$1366-(Sens!$H$1368+Sens!$H$1369)</f>
        <v>0</v>
      </c>
      <c r="I1374" s="41" t="n">
        <f aca="false">Sens!$I$1361+Sens!$I$1362+Sens!$I$1363+Sens!$I$1364+Sens!$I$1365+Sens!$I$1366-(Sens!$I$1368+Sens!$I$1369)</f>
        <v>0</v>
      </c>
      <c r="J1374" s="41" t="n">
        <f aca="false">Sens!$J$1361+Sens!$J$1362+Sens!$J$1363+Sens!$J$1364+Sens!$J$1365+Sens!$J$1366-(Sens!$J$1368+Sens!$J$1369)</f>
        <v>0</v>
      </c>
      <c r="K1374" s="41" t="n">
        <f aca="false">Sens!$K$1361+Sens!$K$1362+Sens!$K$1363+Sens!$K$1364+Sens!$K$1365+Sens!$K$1366-(Sens!$K$1368+Sens!$K$1369)</f>
        <v>0</v>
      </c>
      <c r="L1374" s="41" t="n">
        <f aca="false">Sens!$L$1361+Sens!$L$1362+Sens!$L$1363+Sens!$L$1364+Sens!$L$1365+Sens!$L$1366-(Sens!$L$1368+Sens!$L$1369)</f>
        <v>0</v>
      </c>
      <c r="M1374" s="41" t="n">
        <f aca="false">Sens!$M$1361+Sens!$M$1362+Sens!$M$1363+Sens!$M$1364+Sens!$M$1365+Sens!$M$1366-(Sens!$M$1368+Sens!$M$1369)</f>
        <v>0</v>
      </c>
      <c r="N1374" s="41" t="n">
        <f aca="false">Sens!$N$1361+Sens!$N$1362+Sens!$N$1363+Sens!$N$1364+Sens!$N$1365+Sens!$N$1366-(Sens!$N$1368+Sens!$N$1369)</f>
        <v>0</v>
      </c>
      <c r="O1374" s="41" t="n">
        <f aca="false">Sens!$O$1361+Sens!$O$1362+Sens!$O$1363+Sens!$O$1364+Sens!$O$1365+Sens!$O$1366-(Sens!$O$1368+Sens!$O$1369)</f>
        <v>0</v>
      </c>
    </row>
    <row r="1375" customFormat="false" ht="17.15" hidden="false" customHeight="false" outlineLevel="0" collapsed="false">
      <c r="A1375" s="24" t="s">
        <v>698</v>
      </c>
      <c r="B1375" s="25" t="s">
        <v>86</v>
      </c>
      <c r="C1375" s="41" t="n">
        <f aca="false">Sens!$C$1371+Sens!$C$1372-Sens!$C$1370</f>
        <v>0</v>
      </c>
      <c r="D1375" s="41" t="n">
        <f aca="false">Sens!$D$1371+Sens!$D$1372-Sens!$D$1370</f>
        <v>0</v>
      </c>
      <c r="E1375" s="41" t="n">
        <f aca="false">Sens!$E$1371+Sens!$E$1372-Sens!$E$1370</f>
        <v>0</v>
      </c>
      <c r="F1375" s="41" t="n">
        <f aca="false">Sens!$F$1371+Sens!$F$1372-Sens!$F$1370</f>
        <v>0</v>
      </c>
      <c r="G1375" s="41" t="n">
        <f aca="false">Sens!$G$1371+Sens!$G$1372-Sens!$G$1370</f>
        <v>0</v>
      </c>
      <c r="H1375" s="41" t="n">
        <f aca="false">Sens!$H$1371+Sens!$H$1372-Sens!$H$1370</f>
        <v>0</v>
      </c>
      <c r="I1375" s="41" t="n">
        <f aca="false">Sens!$I$1371+Sens!$I$1372-Sens!$I$1370</f>
        <v>0</v>
      </c>
      <c r="J1375" s="41" t="n">
        <f aca="false">Sens!$J$1371+Sens!$J$1372-Sens!$J$1370</f>
        <v>0</v>
      </c>
      <c r="K1375" s="41" t="n">
        <f aca="false">Sens!$K$1371+Sens!$K$1372-Sens!$K$1370</f>
        <v>0</v>
      </c>
      <c r="L1375" s="41" t="n">
        <f aca="false">Sens!$L$1371+Sens!$L$1372-Sens!$L$1370</f>
        <v>0</v>
      </c>
      <c r="M1375" s="41" t="n">
        <f aca="false">Sens!$M$1371+Sens!$M$1372-Sens!$M$1370</f>
        <v>0</v>
      </c>
      <c r="N1375" s="41" t="n">
        <f aca="false">Sens!$N$1371+Sens!$N$1372-Sens!$N$1370</f>
        <v>0</v>
      </c>
      <c r="O1375" s="41" t="n">
        <f aca="false">Sens!$O$1371+Sens!$O$1372-Sens!$O$1370</f>
        <v>0</v>
      </c>
    </row>
    <row r="1376" customFormat="false" ht="17.15" hidden="false" customHeight="false" outlineLevel="0" collapsed="false">
      <c r="A1376" s="24" t="s">
        <v>757</v>
      </c>
      <c r="B1376" s="25" t="s">
        <v>86</v>
      </c>
      <c r="C1376" s="41" t="n">
        <f aca="false">Sens!$C$1361+Sens!$C$1362+Sens!$C$1363+Sens!$C$1364+Sens!$C$1365+Sens!$C$1366+Sens!$C$1367-Sens!$C$1373</f>
        <v>0</v>
      </c>
      <c r="D1376" s="41" t="n">
        <f aca="false">Sens!$D$1361+Sens!$D$1362+Sens!$D$1363+Sens!$D$1364+Sens!$D$1365+Sens!$D$1366+Sens!$D$1367-Sens!$D$1373</f>
        <v>0</v>
      </c>
      <c r="E1376" s="41" t="n">
        <f aca="false">Sens!$E$1361+Sens!$E$1362+Sens!$E$1363+Sens!$E$1364+Sens!$E$1365+Sens!$E$1366+Sens!$E$1367-Sens!$E$1373</f>
        <v>0</v>
      </c>
      <c r="F1376" s="41" t="n">
        <f aca="false">Sens!$F$1361+Sens!$F$1362+Sens!$F$1363+Sens!$F$1364+Sens!$F$1365+Sens!$F$1366+Sens!$F$1367-Sens!$F$1373</f>
        <v>0</v>
      </c>
      <c r="G1376" s="41" t="n">
        <f aca="false">Sens!$G$1361+Sens!$G$1362+Sens!$G$1363+Sens!$G$1364+Sens!$G$1365+Sens!$G$1366+Sens!$G$1367-Sens!$G$1373</f>
        <v>0</v>
      </c>
      <c r="H1376" s="41" t="n">
        <f aca="false">Sens!$H$1361+Sens!$H$1362+Sens!$H$1363+Sens!$H$1364+Sens!$H$1365+Sens!$H$1366+Sens!$H$1367-Sens!$H$1373</f>
        <v>0</v>
      </c>
      <c r="I1376" s="41" t="n">
        <f aca="false">Sens!$I$1361+Sens!$I$1362+Sens!$I$1363+Sens!$I$1364+Sens!$I$1365+Sens!$I$1366+Sens!$I$1367-Sens!$I$1373</f>
        <v>0</v>
      </c>
      <c r="J1376" s="41" t="n">
        <f aca="false">Sens!$J$1361+Sens!$J$1362+Sens!$J$1363+Sens!$J$1364+Sens!$J$1365+Sens!$J$1366+Sens!$J$1367-Sens!$J$1373</f>
        <v>0</v>
      </c>
      <c r="K1376" s="41" t="n">
        <f aca="false">Sens!$K$1361+Sens!$K$1362+Sens!$K$1363+Sens!$K$1364+Sens!$K$1365+Sens!$K$1366+Sens!$K$1367-Sens!$K$1373</f>
        <v>0</v>
      </c>
      <c r="L1376" s="41" t="n">
        <f aca="false">Sens!$L$1361+Sens!$L$1362+Sens!$L$1363+Sens!$L$1364+Sens!$L$1365+Sens!$L$1366+Sens!$L$1367-Sens!$L$1373</f>
        <v>0</v>
      </c>
      <c r="M1376" s="41" t="n">
        <f aca="false">Sens!$M$1361+Sens!$M$1362+Sens!$M$1363+Sens!$M$1364+Sens!$M$1365+Sens!$M$1366+Sens!$M$1367-Sens!$M$1373</f>
        <v>0</v>
      </c>
      <c r="N1376" s="41" t="n">
        <f aca="false">Sens!$N$1361+Sens!$N$1362+Sens!$N$1363+Sens!$N$1364+Sens!$N$1365+Sens!$N$1366+Sens!$N$1367-Sens!$N$1373</f>
        <v>0</v>
      </c>
      <c r="O1376" s="41" t="n">
        <f aca="false">Sens!$O$1361+Sens!$O$1362+Sens!$O$1363+Sens!$O$1364+Sens!$O$1365+Sens!$O$1366+Sens!$O$1367-Sens!$O$1373</f>
        <v>0</v>
      </c>
    </row>
    <row r="1377" customFormat="false" ht="17.15" hidden="false" customHeight="false" outlineLevel="0" collapsed="false">
      <c r="A1377" s="24" t="s">
        <v>699</v>
      </c>
      <c r="B1377" s="25" t="s">
        <v>86</v>
      </c>
      <c r="C1377" s="41" t="n">
        <f aca="false">Sens!$C$1368+Sens!$C$1369+Sens!$C$1370-Sens!$C$1373</f>
        <v>0</v>
      </c>
      <c r="D1377" s="41" t="n">
        <f aca="false">Sens!$D$1368+Sens!$D$1369+Sens!$D$1370-Sens!$D$1373</f>
        <v>0</v>
      </c>
      <c r="E1377" s="41" t="n">
        <f aca="false">Sens!$E$1368+Sens!$E$1369+Sens!$E$1370-Sens!$E$1373</f>
        <v>0</v>
      </c>
      <c r="F1377" s="41" t="n">
        <f aca="false">Sens!$F$1368+Sens!$F$1369+Sens!$F$1370-Sens!$F$1373</f>
        <v>0</v>
      </c>
      <c r="G1377" s="41" t="n">
        <f aca="false">Sens!$G$1368+Sens!$G$1369+Sens!$G$1370-Sens!$G$1373</f>
        <v>0</v>
      </c>
      <c r="H1377" s="41" t="n">
        <f aca="false">Sens!$H$1368+Sens!$H$1369+Sens!$H$1370-Sens!$H$1373</f>
        <v>0</v>
      </c>
      <c r="I1377" s="41" t="n">
        <f aca="false">Sens!$I$1368+Sens!$I$1369+Sens!$I$1370-Sens!$I$1373</f>
        <v>0</v>
      </c>
      <c r="J1377" s="41" t="n">
        <f aca="false">Sens!$J$1368+Sens!$J$1369+Sens!$J$1370-Sens!$J$1373</f>
        <v>0</v>
      </c>
      <c r="K1377" s="41" t="n">
        <f aca="false">Sens!$K$1368+Sens!$K$1369+Sens!$K$1370-Sens!$K$1373</f>
        <v>0</v>
      </c>
      <c r="L1377" s="41" t="n">
        <f aca="false">Sens!$L$1368+Sens!$L$1369+Sens!$L$1370-Sens!$L$1373</f>
        <v>0</v>
      </c>
      <c r="M1377" s="41" t="n">
        <f aca="false">Sens!$M$1368+Sens!$M$1369+Sens!$M$1370-Sens!$M$1373</f>
        <v>0</v>
      </c>
      <c r="N1377" s="41" t="n">
        <f aca="false">Sens!$N$1368+Sens!$N$1369+Sens!$N$1370-Sens!$N$1373</f>
        <v>0</v>
      </c>
      <c r="O1377" s="41" t="n">
        <f aca="false">Sens!$O$1368+Sens!$O$1369+Sens!$O$1370-Sens!$O$1373</f>
        <v>0</v>
      </c>
    </row>
    <row r="1378" customFormat="false" ht="17.15" hidden="false" customHeight="false" outlineLevel="0" collapsed="false">
      <c r="A1378" s="1" t="s">
        <v>713</v>
      </c>
    </row>
    <row r="1379" customFormat="false" ht="17.15" hidden="false" customHeight="false" outlineLevel="0" collapsed="false">
      <c r="A1379" s="0" t="s">
        <v>714</v>
      </c>
      <c r="B1379" s="0" t="s">
        <v>86</v>
      </c>
      <c r="C1379" s="38" t="n">
        <f aca="false">Sens!$C$1285*m_ad</f>
        <v>20.5341564414228</v>
      </c>
      <c r="D1379" s="38" t="n">
        <f aca="false">Sens!$D$1285*m_ad</f>
        <v>24.8720617299587</v>
      </c>
      <c r="E1379" s="38" t="n">
        <f aca="false">Sens!$E$1285*m_ad</f>
        <v>13.5017112462207</v>
      </c>
      <c r="F1379" s="38" t="n">
        <f aca="false">Sens!$F$1285*m_ad</f>
        <v>16.6302006502252</v>
      </c>
      <c r="G1379" s="38" t="n">
        <f aca="false">Sens!$G$1285*m_ad</f>
        <v>30.1403338417894</v>
      </c>
      <c r="H1379" s="38" t="n">
        <f aca="false">Sens!$H$1285*m_ad</f>
        <v>36.1850107280255</v>
      </c>
      <c r="I1379" s="38" t="n">
        <f aca="false">Sens!$I$1285*m_ad</f>
        <v>42.2291400461422</v>
      </c>
      <c r="J1379" s="38" t="n">
        <f aca="false">Sens!$J$1285*m_ad</f>
        <v>47.8674494425272</v>
      </c>
      <c r="K1379" s="38" t="n">
        <f aca="false">Sens!$K$1285*m_ad</f>
        <v>52.6541943867799</v>
      </c>
      <c r="L1379" s="38" t="n">
        <f aca="false">Sens!$L$1285*m_ad</f>
        <v>57.9196138254579</v>
      </c>
      <c r="M1379" s="38" t="n">
        <f aca="false">Sens!$M$1285*m_ad</f>
        <v>63.7115752080037</v>
      </c>
      <c r="N1379" s="38" t="n">
        <f aca="false">Sens!$N$1285*m_ad</f>
        <v>10.8543555706248</v>
      </c>
      <c r="O1379" s="38" t="n">
        <f aca="false">Sens!$O$1285*m_ad</f>
        <v>14.0094731821399</v>
      </c>
    </row>
    <row r="1380" customFormat="false" ht="17.15" hidden="false" customHeight="false" outlineLevel="0" collapsed="false">
      <c r="A1380" s="0" t="s">
        <v>715</v>
      </c>
      <c r="B1380" s="0" t="s">
        <v>86</v>
      </c>
      <c r="C1380" s="38" t="n">
        <f aca="false">Sens!$C$1283-Sens!$C$1285</f>
        <v>346.428687117154</v>
      </c>
      <c r="D1380" s="38" t="n">
        <f aca="false">Sens!$D$1283-Sens!$D$1285</f>
        <v>376.560876540083</v>
      </c>
      <c r="E1380" s="38" t="n">
        <f aca="false">Sens!$E$1283-Sens!$E$1285</f>
        <v>193.316577507559</v>
      </c>
      <c r="F1380" s="38" t="n">
        <f aca="false">Sens!$F$1283-Sens!$F$1285</f>
        <v>218.260034477768</v>
      </c>
      <c r="G1380" s="38" t="n">
        <f aca="false">Sens!$G$1283-Sens!$G$1285</f>
        <v>411.55976809464</v>
      </c>
      <c r="H1380" s="38" t="n">
        <f aca="false">Sens!$H$1283-Sens!$H$1285</f>
        <v>449.992355940712</v>
      </c>
      <c r="I1380" s="38" t="n">
        <f aca="false">Sens!$I$1283-Sens!$I$1285</f>
        <v>486.752578026336</v>
      </c>
      <c r="J1380" s="38" t="n">
        <f aca="false">Sens!$J$1283-Sens!$J$1285</f>
        <v>520.808541589225</v>
      </c>
      <c r="K1380" s="38" t="n">
        <f aca="false">Sens!$K$1283-Sens!$K$1285</f>
        <v>551.126612675994</v>
      </c>
      <c r="L1380" s="38" t="n">
        <f aca="false">Sens!$L$1283-Sens!$L$1285</f>
        <v>583.275299083172</v>
      </c>
      <c r="M1380" s="38" t="n">
        <f aca="false">Sens!$M$1283-Sens!$M$1285</f>
        <v>617.368619700971</v>
      </c>
      <c r="N1380" s="38" t="n">
        <f aca="false">Sens!$N$1283-Sens!$N$1285</f>
        <v>171.24628885875</v>
      </c>
      <c r="O1380" s="38" t="n">
        <f aca="false">Sens!$O$1283-Sens!$O$1285</f>
        <v>205.33105363572</v>
      </c>
    </row>
    <row r="1381" customFormat="false" ht="17.15" hidden="false" customHeight="false" outlineLevel="0" collapsed="false">
      <c r="A1381" s="0" t="s">
        <v>716</v>
      </c>
      <c r="B1381" s="0" t="s">
        <v>86</v>
      </c>
      <c r="C1381" s="38" t="n">
        <f aca="false">Sens!$C$1332*Sens!$C$1282</f>
        <v>0.123617442257179</v>
      </c>
      <c r="D1381" s="38" t="n">
        <f aca="false">Sens!$D$1332*Sens!$D$1282</f>
        <v>0.874366899302609</v>
      </c>
      <c r="E1381" s="38" t="n">
        <f aca="false">Sens!$E$1332*Sens!$E$1282</f>
        <v>1.29318830502574</v>
      </c>
      <c r="F1381" s="38" t="n">
        <f aca="false">Sens!$F$1332*Sens!$F$1282</f>
        <v>1.47243188886991</v>
      </c>
      <c r="G1381" s="38" t="n">
        <f aca="false">Sens!$G$1332*Sens!$G$1282</f>
        <v>2.76559326058195</v>
      </c>
      <c r="H1381" s="38" t="n">
        <f aca="false">Sens!$H$1332*Sens!$H$1282</f>
        <v>6.86733552712574</v>
      </c>
      <c r="I1381" s="38" t="n">
        <f aca="false">Sens!$I$1332*Sens!$I$1282</f>
        <v>10.9994299818878</v>
      </c>
      <c r="J1381" s="38" t="n">
        <f aca="false">Sens!$J$1332*Sens!$J$1282</f>
        <v>15.243418490795</v>
      </c>
      <c r="K1381" s="38" t="n">
        <f aca="false">Sens!$K$1332*Sens!$K$1282</f>
        <v>19.4229835105007</v>
      </c>
      <c r="L1381" s="38" t="n">
        <f aca="false">Sens!$L$1332*Sens!$L$1282</f>
        <v>22.0763969789082</v>
      </c>
      <c r="M1381" s="38" t="n">
        <f aca="false">Sens!$M$1332*Sens!$M$1282</f>
        <v>23.5992548975102</v>
      </c>
      <c r="N1381" s="38" t="n">
        <f aca="false">Sens!$N$1332*Sens!$N$1282</f>
        <v>0.389180508437431</v>
      </c>
      <c r="O1381" s="38" t="n">
        <f aca="false">Sens!$O$1332*Sens!$O$1282</f>
        <v>0.485052120082802</v>
      </c>
    </row>
    <row r="1382" customFormat="false" ht="17.15" hidden="false" customHeight="false" outlineLevel="0" collapsed="false">
      <c r="A1382" s="0" t="s">
        <v>717</v>
      </c>
      <c r="B1382" s="0" t="s">
        <v>52</v>
      </c>
      <c r="C1382" s="28" t="n">
        <f aca="false">(Sens!$C$1383-Sens!$C$1379+Sens!$C$1381)/Sens!$C$1380</f>
        <v>0.0131526665379575</v>
      </c>
      <c r="D1382" s="28" t="n">
        <f aca="false">(Sens!$D$1383-Sens!$D$1379+Sens!$D$1381)/Sens!$D$1380</f>
        <v>0.0149280116962589</v>
      </c>
      <c r="E1382" s="28" t="n">
        <f aca="false">(Sens!$E$1383-Sens!$E$1379+Sens!$E$1381)/Sens!$E$1380</f>
        <v>0.0268030663774938</v>
      </c>
      <c r="F1382" s="28" t="n">
        <f aca="false">Sens!$O$1382+(Sens!$E$1382-Sens!$N$1382)</f>
        <v>0.0232379346966962</v>
      </c>
      <c r="G1382" s="28" t="n">
        <f aca="false">(Sens!$G$1383-Sens!$G$1379+Sens!$G$1381)/Sens!$G$1380</f>
        <v>0.0248929594252398</v>
      </c>
      <c r="H1382" s="28" t="n">
        <f aca="false">Sens!$G$1382+step_na</f>
        <v>0.0278929594252398</v>
      </c>
      <c r="I1382" s="28" t="n">
        <f aca="false">Sens!$H$1382+step_na</f>
        <v>0.0308929594252398</v>
      </c>
      <c r="J1382" s="28" t="n">
        <f aca="false">Sens!$I$1382+step_na</f>
        <v>0.0338929594252398</v>
      </c>
      <c r="K1382" s="28" t="n">
        <f aca="false">Sens!$J$1382+step_na</f>
        <v>0.0368929594252398</v>
      </c>
      <c r="L1382" s="28" t="n">
        <f aca="false">Sens!$K$1382</f>
        <v>0.0368929594252398</v>
      </c>
      <c r="M1382" s="28" t="n">
        <f aca="false">Sens!$L$1382</f>
        <v>0.0368929594252398</v>
      </c>
      <c r="N1382" s="28" t="n">
        <f aca="false">(Sens!$N$1383-Sens!$N$1379+Sens!$N$1381)/Sens!$N$1380</f>
        <v>0.0168927744775755</v>
      </c>
      <c r="O1382" s="28" t="n">
        <f aca="false">(Sens!$O$1383-Sens!$O$1379+Sens!$O$1381)/Sens!$O$1380</f>
        <v>0.0133276427967779</v>
      </c>
      <c r="P1382" s="8" t="s">
        <v>718</v>
      </c>
    </row>
    <row r="1383" customFormat="false" ht="17.15" hidden="false" customHeight="false" outlineLevel="0" collapsed="false">
      <c r="A1383" s="1" t="s">
        <v>719</v>
      </c>
      <c r="B1383" s="8" t="s">
        <v>86</v>
      </c>
      <c r="C1383" s="38" t="n">
        <f aca="false">Q!$D$22</f>
        <v>24.967</v>
      </c>
      <c r="D1383" s="38" t="n">
        <f aca="false">Q!$E$22</f>
        <v>29.619</v>
      </c>
      <c r="E1383" s="38" t="n">
        <f aca="false">Q!$P$22</f>
        <v>17.39</v>
      </c>
      <c r="F1383" s="38" t="n">
        <f aca="false">Sens!$F$1379+Sens!$F$1380*Sens!$F$1382-Sens!$F$1381</f>
        <v>20.2296811894484</v>
      </c>
      <c r="G1383" s="38" t="n">
        <f aca="false">Sens!$E$1383+Sens!$F$1383</f>
        <v>37.6196811894484</v>
      </c>
      <c r="H1383" s="38" t="n">
        <f aca="false">Sens!$H$1379+Sens!$H$1380*Sens!$H$1382-Sens!$H$1381</f>
        <v>41.8692937268221</v>
      </c>
      <c r="I1383" s="38" t="n">
        <f aca="false">Sens!$I$1379+Sens!$I$1380*Sens!$I$1382-Sens!$I$1381</f>
        <v>46.2669377073529</v>
      </c>
      <c r="J1383" s="38" t="n">
        <f aca="false">Sens!$J$1379+Sens!$J$1380*Sens!$J$1382-Sens!$J$1381</f>
        <v>50.2757737201341</v>
      </c>
      <c r="K1383" s="38" t="n">
        <f aca="false">Sens!$K$1379+Sens!$K$1380*Sens!$K$1382-Sens!$K$1381</f>
        <v>53.5639026359044</v>
      </c>
      <c r="L1383" s="38" t="n">
        <f aca="false">Sens!$L$1379+Sens!$L$1380*Sens!$L$1382-Sens!$L$1381</f>
        <v>57.3619687893698</v>
      </c>
      <c r="M1383" s="38" t="n">
        <f aca="false">Sens!$M$1379+Sens!$M$1380*Sens!$M$1382-Sens!$M$1381</f>
        <v>62.8888757475376</v>
      </c>
      <c r="N1383" s="38" t="n">
        <f aca="false">Q!$N$22</f>
        <v>13.358</v>
      </c>
      <c r="O1383" s="38" t="n">
        <f aca="false">Q!$O$22</f>
        <v>16.261</v>
      </c>
    </row>
    <row r="1384" customFormat="false" ht="17.15" hidden="false" customHeight="false" outlineLevel="0" collapsed="false">
      <c r="A1384" s="0" t="s">
        <v>720</v>
      </c>
      <c r="B1384" s="0" t="s">
        <v>86</v>
      </c>
      <c r="C1384" s="38" t="n">
        <f aca="false">Sens!$C$1286*m_ad</f>
        <v>7.57284355857716</v>
      </c>
      <c r="D1384" s="38" t="n">
        <f aca="false">Sens!$D$1286*m_ad</f>
        <v>9.44543827004127</v>
      </c>
      <c r="E1384" s="38" t="n">
        <f aca="false">Sens!$E$1286*m_ad</f>
        <v>5.02428875377928</v>
      </c>
      <c r="F1384" s="38" t="n">
        <f aca="false">Sens!$F$1286*m_ad</f>
        <v>6.52950067955277</v>
      </c>
      <c r="G1384" s="38" t="n">
        <f aca="false">Sens!$G$1286*m_ad</f>
        <v>11.5453674879886</v>
      </c>
      <c r="H1384" s="38" t="n">
        <f aca="false">Sens!$H$1286*m_ad</f>
        <v>13.8608035532981</v>
      </c>
      <c r="I1384" s="38" t="n">
        <f aca="false">Sens!$I$1286*m_ad</f>
        <v>16.1760298705936</v>
      </c>
      <c r="J1384" s="38" t="n">
        <f aca="false">Sens!$J$1286*m_ad</f>
        <v>18.3358053506511</v>
      </c>
      <c r="K1384" s="38" t="n">
        <f aca="false">Sens!$K$1286*m_ad</f>
        <v>20.1693858857163</v>
      </c>
      <c r="L1384" s="38" t="n">
        <f aca="false">Sens!$L$1286*m_ad</f>
        <v>22.1863244742879</v>
      </c>
      <c r="M1384" s="38" t="n">
        <f aca="false">Sens!$M$1286*m_ad</f>
        <v>24.4049569217167</v>
      </c>
      <c r="N1384" s="38" t="n">
        <f aca="false">Sens!$N$1286*m_ad</f>
        <v>3.95314442937518</v>
      </c>
      <c r="O1384" s="38" t="n">
        <f aca="false">Sens!$O$1286*m_ad</f>
        <v>5.50052681786011</v>
      </c>
    </row>
    <row r="1385" customFormat="false" ht="17.15" hidden="false" customHeight="false" outlineLevel="0" collapsed="false">
      <c r="A1385" s="0" t="s">
        <v>721</v>
      </c>
      <c r="B1385" s="0" t="s">
        <v>86</v>
      </c>
      <c r="C1385" s="38" t="n">
        <f aca="false">Sens!$C$1284-Sens!$C$1286</f>
        <v>127.760312882846</v>
      </c>
      <c r="D1385" s="38" t="n">
        <f aca="false">Sens!$D$1284-Sens!$D$1286</f>
        <v>143.003123459917</v>
      </c>
      <c r="E1385" s="38" t="n">
        <f aca="false">Sens!$E$1284-Sens!$E$1286</f>
        <v>71.9374224924414</v>
      </c>
      <c r="F1385" s="38" t="n">
        <f aca="false">Sens!$F$1284-Sens!$F$1286</f>
        <v>85.6952404493385</v>
      </c>
      <c r="G1385" s="38" t="n">
        <f aca="false">Sens!$G$1284-Sens!$G$1286</f>
        <v>157.649506832467</v>
      </c>
      <c r="H1385" s="38" t="n">
        <f aca="false">Sens!$H$1284-Sens!$H$1286</f>
        <v>172.371253198199</v>
      </c>
      <c r="I1385" s="38" t="n">
        <f aca="false">Sens!$I$1284-Sens!$I$1286</f>
        <v>186.452393611121</v>
      </c>
      <c r="J1385" s="38" t="n">
        <f aca="false">Sens!$J$1284-Sens!$J$1286</f>
        <v>199.497657693298</v>
      </c>
      <c r="K1385" s="38" t="n">
        <f aca="false">Sens!$K$1284-Sens!$K$1286</f>
        <v>211.111108097036</v>
      </c>
      <c r="L1385" s="38" t="n">
        <f aca="false">Sens!$L$1284-Sens!$L$1286</f>
        <v>223.425782538775</v>
      </c>
      <c r="M1385" s="38" t="n">
        <f aca="false">Sens!$M$1284-Sens!$M$1286</f>
        <v>236.485356380408</v>
      </c>
      <c r="N1385" s="38" t="n">
        <f aca="false">Sens!$N$1284-Sens!$N$1286</f>
        <v>62.3677111412496</v>
      </c>
      <c r="O1385" s="38" t="n">
        <f aca="false">Sens!$O$1284-Sens!$O$1286</f>
        <v>80.6189463642798</v>
      </c>
    </row>
    <row r="1386" customFormat="false" ht="17.15" hidden="false" customHeight="false" outlineLevel="0" collapsed="false">
      <c r="A1386" s="0" t="s">
        <v>722</v>
      </c>
      <c r="B1386" s="0" t="s">
        <v>86</v>
      </c>
      <c r="C1386" s="38" t="n">
        <f aca="false">Sens!$C$1332*(1-Sens!$C$1282)</f>
        <v>0.0455891896019953</v>
      </c>
      <c r="D1386" s="38" t="n">
        <f aca="false">Sens!$D$1332*(1-Sens!$D$1282)</f>
        <v>0.332050421167231</v>
      </c>
      <c r="E1386" s="38" t="n">
        <f aca="false">Sens!$E$1332*(1-Sens!$E$1282)</f>
        <v>0.481224293644882</v>
      </c>
      <c r="F1386" s="38" t="n">
        <f aca="false">Sens!$F$1332*(1-Sens!$F$1282)</f>
        <v>0.578119604277958</v>
      </c>
      <c r="G1386" s="38" t="n">
        <f aca="false">Sens!$G$1332*(1-Sens!$G$1282)</f>
        <v>1.05937083123654</v>
      </c>
      <c r="H1386" s="38" t="n">
        <f aca="false">Sens!$H$1332*(1-Sens!$H$1282)</f>
        <v>2.63055853130789</v>
      </c>
      <c r="I1386" s="38" t="n">
        <f aca="false">Sens!$I$1332*(1-Sens!$I$1282)</f>
        <v>4.21337275047764</v>
      </c>
      <c r="J1386" s="38" t="n">
        <f aca="false">Sens!$J$1332*(1-Sens!$J$1282)</f>
        <v>5.8390484051447</v>
      </c>
      <c r="K1386" s="38" t="n">
        <f aca="false">Sens!$K$1332*(1-Sens!$K$1282)</f>
        <v>7.44004640157502</v>
      </c>
      <c r="L1386" s="38" t="n">
        <f aca="false">Sens!$L$1332*(1-Sens!$L$1282)</f>
        <v>8.45644634429455</v>
      </c>
      <c r="M1386" s="38" t="n">
        <f aca="false">Sens!$M$1332*(1-Sens!$M$1282)</f>
        <v>9.0397827596954</v>
      </c>
      <c r="N1386" s="38" t="n">
        <f aca="false">Sens!$N$1332*(1-Sens!$N$1282)</f>
        <v>0.141739115596548</v>
      </c>
      <c r="O1386" s="38" t="n">
        <f aca="false">Sens!$O$1332*(1-Sens!$O$1282)</f>
        <v>0.190445576353059</v>
      </c>
    </row>
    <row r="1387" customFormat="false" ht="17.15" hidden="false" customHeight="false" outlineLevel="0" collapsed="false">
      <c r="A1387" s="0" t="s">
        <v>723</v>
      </c>
      <c r="B1387" s="0" t="s">
        <v>52</v>
      </c>
      <c r="C1387" s="28" t="n">
        <f aca="false">(Sens!$C$1388-Sens!$C$1384+Sens!$C$1386)/Sens!$C$1385</f>
        <v>-0.0292364215826579</v>
      </c>
      <c r="D1387" s="28" t="n">
        <f aca="false">(Sens!$D$1388-Sens!$D$1384+Sens!$D$1386)/Sens!$D$1385</f>
        <v>-0.0305125352740778</v>
      </c>
      <c r="E1387" s="28" t="n">
        <f aca="false">(Sens!$E$1388-Sens!$E$1384+Sens!$E$1386)/Sens!$E$1385</f>
        <v>-0.019490056934994</v>
      </c>
      <c r="F1387" s="28" t="n">
        <f aca="false">Sens!$O$1387+(Sens!$E$1387-Sens!$N$1387)</f>
        <v>-0.0367332293992226</v>
      </c>
      <c r="G1387" s="28" t="n">
        <f aca="false">(Sens!$G$1388-Sens!$G$1384+Sens!$G$1386)/Sens!$G$1385</f>
        <v>-0.0288074387200626</v>
      </c>
      <c r="H1387" s="28" t="n">
        <f aca="false">Sens!$G$1387+step_in</f>
        <v>-0.0288074387200626</v>
      </c>
      <c r="I1387" s="28" t="n">
        <f aca="false">Sens!$H$1387+step_in</f>
        <v>-0.0288074387200626</v>
      </c>
      <c r="J1387" s="28" t="n">
        <f aca="false">Sens!$I$1387+step_in</f>
        <v>-0.0288074387200626</v>
      </c>
      <c r="K1387" s="28" t="n">
        <f aca="false">Sens!$J$1387+step_in</f>
        <v>-0.0288074387200626</v>
      </c>
      <c r="L1387" s="28" t="n">
        <f aca="false">Sens!$K$1387</f>
        <v>-0.0288074387200626</v>
      </c>
      <c r="M1387" s="28" t="n">
        <f aca="false">Sens!$L$1387</f>
        <v>-0.0288074387200626</v>
      </c>
      <c r="N1387" s="28" t="n">
        <f aca="false">(Sens!$N$1388-Sens!$N$1384+Sens!$N$1386)/Sens!$N$1385</f>
        <v>-0.02085061789158</v>
      </c>
      <c r="O1387" s="28" t="n">
        <f aca="false">(Sens!$O$1388-Sens!$O$1384+Sens!$O$1386)/Sens!$O$1385</f>
        <v>-0.0380937903558086</v>
      </c>
      <c r="P1387" s="8" t="s">
        <v>718</v>
      </c>
    </row>
    <row r="1388" customFormat="false" ht="17.15" hidden="false" customHeight="false" outlineLevel="0" collapsed="false">
      <c r="A1388" s="1" t="s">
        <v>724</v>
      </c>
      <c r="B1388" s="8" t="s">
        <v>86</v>
      </c>
      <c r="C1388" s="38" t="n">
        <f aca="false">Q!$D$23</f>
        <v>3.792</v>
      </c>
      <c r="D1388" s="38" t="n">
        <f aca="false">Q!$E$23</f>
        <v>4.75</v>
      </c>
      <c r="E1388" s="38" t="n">
        <f aca="false">Q!$P$23</f>
        <v>3.141</v>
      </c>
      <c r="F1388" s="38" t="n">
        <f aca="false">Sens!$F$1384+Sens!$F$1385*Sens!$F$1387-Sens!$F$1386</f>
        <v>2.80351814942772</v>
      </c>
      <c r="G1388" s="38" t="n">
        <f aca="false">Sens!$E$1388+Sens!$F$1388</f>
        <v>5.94451814942772</v>
      </c>
      <c r="H1388" s="38" t="n">
        <f aca="false">Sens!$H$1384+Sens!$H$1385*Sens!$H$1387-Sens!$H$1386</f>
        <v>6.26467070838274</v>
      </c>
      <c r="I1388" s="38" t="n">
        <f aca="false">Sens!$I$1384+Sens!$I$1385*Sens!$I$1387-Sens!$I$1386</f>
        <v>6.59144121695461</v>
      </c>
      <c r="J1388" s="38" t="n">
        <f aca="false">Sens!$J$1384+Sens!$J$1385*Sens!$J$1387-Sens!$J$1386</f>
        <v>6.74974039671073</v>
      </c>
      <c r="K1388" s="38" t="n">
        <f aca="false">Sens!$K$1384+Sens!$K$1385*Sens!$K$1387-Sens!$K$1386</f>
        <v>6.64776917451137</v>
      </c>
      <c r="L1388" s="38" t="n">
        <f aca="false">Sens!$L$1384+Sens!$L$1385*Sens!$L$1387-Sens!$L$1386</f>
        <v>7.29355359102554</v>
      </c>
      <c r="M1388" s="38" t="n">
        <f aca="false">Sens!$M$1384+Sens!$M$1385*Sens!$M$1387-Sens!$M$1386</f>
        <v>8.55263674990052</v>
      </c>
      <c r="N1388" s="38" t="n">
        <f aca="false">Q!$N$23</f>
        <v>2.511</v>
      </c>
      <c r="O1388" s="38" t="n">
        <f aca="false">Q!$O$23</f>
        <v>2.239</v>
      </c>
    </row>
    <row r="1389" customFormat="false" ht="17.15" hidden="false" customHeight="false" outlineLevel="0" collapsed="false">
      <c r="A1389" s="0" t="s">
        <v>725</v>
      </c>
      <c r="B1389" s="0" t="s">
        <v>86</v>
      </c>
      <c r="C1389" s="38" t="n">
        <f aca="false">Sens!$C$1329</f>
        <v>1.64417882953695</v>
      </c>
      <c r="D1389" s="38" t="n">
        <f aca="false">Sens!$D$1329</f>
        <v>3.8781008067718</v>
      </c>
      <c r="E1389" s="38" t="n">
        <f aca="false">Sens!$E$1329</f>
        <v>1.41270258088753</v>
      </c>
      <c r="F1389" s="38" t="n">
        <f aca="false">Sens!$F$1329</f>
        <v>5.53479173100364</v>
      </c>
      <c r="G1389" s="38" t="n">
        <f aca="false">Sens!$G$1329</f>
        <v>6.94749431189117</v>
      </c>
      <c r="H1389" s="38" t="n">
        <f aca="false">Sens!$H$1329</f>
        <v>12.161686768706</v>
      </c>
      <c r="I1389" s="38" t="n">
        <f aca="false">Sens!$I$1329</f>
        <v>20.305408362972</v>
      </c>
      <c r="J1389" s="38" t="n">
        <f aca="false">Sens!$J$1329</f>
        <v>27.9680327198095</v>
      </c>
      <c r="K1389" s="38" t="n">
        <f aca="false">Sens!$K$1329</f>
        <v>31.4429603846084</v>
      </c>
      <c r="L1389" s="38" t="n">
        <f aca="false">Sens!$L$1329</f>
        <v>34.3134079960672</v>
      </c>
      <c r="M1389" s="38" t="n">
        <f aca="false">Sens!$M$1329</f>
        <v>34.3685404582777</v>
      </c>
      <c r="N1389" s="38" t="n">
        <f aca="false">Sens!$N$1329</f>
        <v>0.92264103489199</v>
      </c>
      <c r="O1389" s="38" t="n">
        <f aca="false">Sens!$O$1329</f>
        <v>2.95545977187981</v>
      </c>
    </row>
    <row r="1390" customFormat="false" ht="17.15" hidden="false" customHeight="false" outlineLevel="0" collapsed="false">
      <c r="A1390" s="0" t="s">
        <v>643</v>
      </c>
      <c r="B1390" s="0" t="s">
        <v>86</v>
      </c>
      <c r="C1390" s="38" t="n">
        <f aca="false">Sens!$C$1334</f>
        <v>38.1898211704631</v>
      </c>
      <c r="D1390" s="38" t="n">
        <f aca="false">Sens!$D$1334</f>
        <v>41.7278991932282</v>
      </c>
      <c r="E1390" s="38" t="n">
        <f aca="false">Sens!$E$1334</f>
        <v>29.3692974191125</v>
      </c>
      <c r="F1390" s="38" t="n">
        <f aca="false">Sens!$F$1334</f>
        <v>26.8997276714137</v>
      </c>
      <c r="G1390" s="38" t="n">
        <f aca="false">Sens!$G$1334</f>
        <v>56.2690250905262</v>
      </c>
      <c r="H1390" s="38" t="n">
        <f aca="false">Sens!$H$1334</f>
        <v>60.3505333937343</v>
      </c>
      <c r="I1390" s="38" t="n">
        <f aca="false">Sens!$I$1334</f>
        <v>67.0043857303571</v>
      </c>
      <c r="J1390" s="38" t="n">
        <f aca="false">Sens!$J$1334</f>
        <v>73.3782922956925</v>
      </c>
      <c r="K1390" s="38" t="n">
        <f aca="false">Sens!$K$1334</f>
        <v>79.2485556793479</v>
      </c>
      <c r="L1390" s="38" t="n">
        <f aca="false">Sens!$L$1334</f>
        <v>85.5884401336958</v>
      </c>
      <c r="M1390" s="38" t="n">
        <f aca="false">Sens!$M$1334</f>
        <v>92.4355153443914</v>
      </c>
      <c r="N1390" s="38" t="n">
        <f aca="false">Sens!$N$1334</f>
        <v>20.784358965108</v>
      </c>
      <c r="O1390" s="38" t="n">
        <f aca="false">Sens!$O$1334</f>
        <v>20.9435402281202</v>
      </c>
    </row>
    <row r="1391" customFormat="false" ht="17.15" hidden="false" customHeight="false" outlineLevel="0" collapsed="false">
      <c r="A1391" s="1" t="s">
        <v>726</v>
      </c>
      <c r="B1391" s="8" t="s">
        <v>86</v>
      </c>
      <c r="C1391" s="38" t="n">
        <f aca="false">Q!$D$24</f>
        <v>39.834</v>
      </c>
      <c r="D1391" s="38" t="n">
        <f aca="false">Q!$E$24</f>
        <v>45.606</v>
      </c>
      <c r="E1391" s="38" t="n">
        <f aca="false">Q!$P$24</f>
        <v>30.782</v>
      </c>
      <c r="F1391" s="38" t="n">
        <f aca="false">Sens!$F$1389+Sens!$F$1390</f>
        <v>32.4345194024173</v>
      </c>
      <c r="G1391" s="38" t="n">
        <f aca="false">Sens!$G$1389+Sens!$G$1390</f>
        <v>63.2165194024173</v>
      </c>
      <c r="H1391" s="38" t="n">
        <f aca="false">Sens!$H$1389+Sens!$H$1390</f>
        <v>72.5122201624402</v>
      </c>
      <c r="I1391" s="38" t="n">
        <f aca="false">Sens!$I$1389+Sens!$I$1390</f>
        <v>87.3097940933291</v>
      </c>
      <c r="J1391" s="38" t="n">
        <f aca="false">Sens!$J$1389+Sens!$J$1390</f>
        <v>101.346325015502</v>
      </c>
      <c r="K1391" s="38" t="n">
        <f aca="false">Sens!$K$1389+Sens!$K$1390</f>
        <v>110.691516063956</v>
      </c>
      <c r="L1391" s="38" t="n">
        <f aca="false">Sens!$L$1389+Sens!$L$1390</f>
        <v>119.901848129763</v>
      </c>
      <c r="M1391" s="38" t="n">
        <f aca="false">Sens!$M$1389+Sens!$M$1390</f>
        <v>126.804055802669</v>
      </c>
      <c r="N1391" s="38" t="n">
        <f aca="false">Q!$N$24</f>
        <v>21.707</v>
      </c>
      <c r="O1391" s="38" t="n">
        <f aca="false">Q!$O$24</f>
        <v>23.899</v>
      </c>
    </row>
    <row r="1392" customFormat="false" ht="17.15" hidden="false" customHeight="false" outlineLevel="0" collapsed="false">
      <c r="A1392" s="5" t="s">
        <v>727</v>
      </c>
      <c r="B1392" s="0" t="s">
        <v>86</v>
      </c>
      <c r="C1392" s="38" t="n">
        <f aca="false">Q!$D$26</f>
        <v>0</v>
      </c>
      <c r="D1392" s="38" t="n">
        <f aca="false">Q!$E$26</f>
        <v>0</v>
      </c>
      <c r="E1392" s="38" t="n">
        <f aca="false">Q!$P$26</f>
        <v>0</v>
      </c>
      <c r="F1392" s="39" t="n">
        <v>0</v>
      </c>
      <c r="G1392" s="38" t="n">
        <f aca="false">Sens!$E$1392+Sens!$F$1392</f>
        <v>0</v>
      </c>
      <c r="H1392" s="39" t="n">
        <v>0</v>
      </c>
      <c r="I1392" s="39" t="n">
        <v>0</v>
      </c>
      <c r="J1392" s="39" t="n">
        <v>0</v>
      </c>
      <c r="K1392" s="39" t="n">
        <v>0</v>
      </c>
      <c r="L1392" s="39" t="n">
        <v>0</v>
      </c>
      <c r="M1392" s="39" t="n">
        <v>0</v>
      </c>
      <c r="N1392" s="38" t="n">
        <f aca="false">Q!$N$26</f>
        <v>0</v>
      </c>
      <c r="O1392" s="38" t="n">
        <f aca="false">Q!$O$26</f>
        <v>0</v>
      </c>
    </row>
    <row r="1393" customFormat="false" ht="15" hidden="false" customHeight="false" outlineLevel="0" collapsed="false">
      <c r="A1393" s="3" t="s">
        <v>531</v>
      </c>
      <c r="B1393" s="8" t="s">
        <v>86</v>
      </c>
      <c r="C1393" s="38" t="n">
        <f aca="false">Q!$D$25</f>
        <v>68.593</v>
      </c>
      <c r="D1393" s="38" t="n">
        <f aca="false">Q!$E$25</f>
        <v>79.975</v>
      </c>
      <c r="E1393" s="38" t="n">
        <f aca="false">Q!$P$25</f>
        <v>51.313</v>
      </c>
      <c r="F1393" s="38" t="n">
        <f aca="false">Sens!$F$1383+Sens!$F$1388+Sens!$F$1391+Sens!$F$1392</f>
        <v>55.4677187412934</v>
      </c>
      <c r="G1393" s="38" t="n">
        <f aca="false">Sens!$G$1383+Sens!$G$1388+Sens!$G$1391+Sens!$G$1392</f>
        <v>106.780718741293</v>
      </c>
      <c r="H1393" s="38" t="n">
        <f aca="false">Sens!$H$1383+Sens!$H$1388+Sens!$H$1391+Sens!$H$1392</f>
        <v>120.646184597645</v>
      </c>
      <c r="I1393" s="38" t="n">
        <f aca="false">Sens!$I$1383+Sens!$I$1388+Sens!$I$1391+Sens!$I$1392</f>
        <v>140.168173017637</v>
      </c>
      <c r="J1393" s="38" t="n">
        <f aca="false">Sens!$J$1383+Sens!$J$1388+Sens!$J$1391+Sens!$J$1392</f>
        <v>158.371839132347</v>
      </c>
      <c r="K1393" s="38" t="n">
        <f aca="false">Sens!$K$1383+Sens!$K$1388+Sens!$K$1391+Sens!$K$1392</f>
        <v>170.903187874372</v>
      </c>
      <c r="L1393" s="38" t="n">
        <f aca="false">Sens!$L$1383+Sens!$L$1388+Sens!$L$1391+Sens!$L$1392</f>
        <v>184.557370510158</v>
      </c>
      <c r="M1393" s="38" t="n">
        <f aca="false">Sens!$M$1383+Sens!$M$1388+Sens!$M$1391+Sens!$M$1392</f>
        <v>198.245568300107</v>
      </c>
      <c r="N1393" s="38" t="n">
        <f aca="false">Q!$N$25</f>
        <v>37.576</v>
      </c>
      <c r="O1393" s="38" t="n">
        <f aca="false">Q!$O$25</f>
        <v>42.399</v>
      </c>
    </row>
    <row r="1394" customFormat="false" ht="17.15" hidden="false" customHeight="false" outlineLevel="0" collapsed="false">
      <c r="A1394" s="24" t="s">
        <v>758</v>
      </c>
      <c r="B1394" s="25" t="s">
        <v>86</v>
      </c>
      <c r="C1394" s="41" t="n">
        <f aca="false">Sens!$C$1383+Sens!$C$1388+Sens!$C$1391+Sens!$C$1392-Sens!$C$1393</f>
        <v>0</v>
      </c>
      <c r="D1394" s="41" t="n">
        <f aca="false">Sens!$D$1383+Sens!$D$1388+Sens!$D$1391+Sens!$D$1392-Sens!$D$1393</f>
        <v>0</v>
      </c>
      <c r="E1394" s="41" t="n">
        <f aca="false">Sens!$E$1383+Sens!$E$1388+Sens!$E$1391+Sens!$E$1392-Sens!$E$1393</f>
        <v>0</v>
      </c>
      <c r="F1394" s="41" t="n">
        <f aca="false">Sens!$F$1383+Sens!$F$1388+Sens!$F$1391+Sens!$F$1392-Sens!$F$1393</f>
        <v>0</v>
      </c>
      <c r="G1394" s="41" t="n">
        <f aca="false">Sens!$G$1383+Sens!$G$1388+Sens!$G$1391+Sens!$G$1392-Sens!$G$1393</f>
        <v>0</v>
      </c>
      <c r="H1394" s="41" t="n">
        <f aca="false">Sens!$H$1383+Sens!$H$1388+Sens!$H$1391+Sens!$H$1392-Sens!$H$1393</f>
        <v>0</v>
      </c>
      <c r="I1394" s="41" t="n">
        <f aca="false">Sens!$I$1383+Sens!$I$1388+Sens!$I$1391+Sens!$I$1392-Sens!$I$1393</f>
        <v>0</v>
      </c>
      <c r="J1394" s="41" t="n">
        <f aca="false">Sens!$J$1383+Sens!$J$1388+Sens!$J$1391+Sens!$J$1392-Sens!$J$1393</f>
        <v>0</v>
      </c>
      <c r="K1394" s="41" t="n">
        <f aca="false">Sens!$K$1383+Sens!$K$1388+Sens!$K$1391+Sens!$K$1392-Sens!$K$1393</f>
        <v>0</v>
      </c>
      <c r="L1394" s="41" t="n">
        <f aca="false">Sens!$L$1383+Sens!$L$1388+Sens!$L$1391+Sens!$L$1392-Sens!$L$1393</f>
        <v>0</v>
      </c>
      <c r="M1394" s="41" t="n">
        <f aca="false">Sens!$M$1383+Sens!$M$1388+Sens!$M$1391+Sens!$M$1392-Sens!$M$1393</f>
        <v>0</v>
      </c>
      <c r="N1394" s="41" t="n">
        <f aca="false">Sens!$N$1383+Sens!$N$1388+Sens!$N$1391+Sens!$N$1392-Sens!$N$1393</f>
        <v>0</v>
      </c>
      <c r="O1394" s="41" t="n">
        <f aca="false">Sens!$O$1383+Sens!$O$1388+Sens!$O$1391+Sens!$O$1392-Sens!$O$1393</f>
        <v>0</v>
      </c>
    </row>
    <row r="1395" customFormat="false" ht="17.15" hidden="false" customHeight="false" outlineLevel="0" collapsed="false">
      <c r="A1395" s="5" t="s">
        <v>729</v>
      </c>
      <c r="B1395" s="0" t="s">
        <v>86</v>
      </c>
      <c r="C1395" s="38" t="n">
        <f aca="false">Sens!$C$1331</f>
        <v>0</v>
      </c>
      <c r="D1395" s="38" t="n">
        <f aca="false">Sens!$D$1331</f>
        <v>0</v>
      </c>
      <c r="E1395" s="38" t="n">
        <f aca="false">Sens!$E$1331</f>
        <v>0</v>
      </c>
      <c r="F1395" s="38" t="n">
        <f aca="false">Sens!$F$1331</f>
        <v>3.46212295437561</v>
      </c>
      <c r="G1395" s="38" t="n">
        <f aca="false">Sens!$G$1331</f>
        <v>3.46212295437561</v>
      </c>
      <c r="H1395" s="38" t="n">
        <f aca="false">Sens!$H$1331</f>
        <v>12.6400809568559</v>
      </c>
      <c r="I1395" s="38" t="n">
        <f aca="false">Sens!$I$1331</f>
        <v>20.4538284576056</v>
      </c>
      <c r="J1395" s="38" t="n">
        <f aca="false">Sens!$J$1331</f>
        <v>28.3023369995481</v>
      </c>
      <c r="K1395" s="38" t="n">
        <f aca="false">Sens!$K$1331</f>
        <v>35.0055998557771</v>
      </c>
      <c r="L1395" s="38" t="n">
        <f aca="false">Sens!$L$1331</f>
        <v>39.4286349957492</v>
      </c>
      <c r="M1395" s="38" t="n">
        <f aca="false">Sens!$M$1331</f>
        <v>41.5658188984426</v>
      </c>
      <c r="N1395" s="38" t="n">
        <f aca="false">Sens!$N$1331</f>
        <v>0</v>
      </c>
      <c r="O1395" s="38" t="n">
        <f aca="false">Sens!$O$1331</f>
        <v>0</v>
      </c>
      <c r="P1395" s="5" t="s">
        <v>730</v>
      </c>
    </row>
    <row r="1396" customFormat="false" ht="17.15" hidden="false" customHeight="false" outlineLevel="0" collapsed="false">
      <c r="A1396" s="5" t="s">
        <v>731</v>
      </c>
      <c r="B1396" s="0" t="s">
        <v>86</v>
      </c>
      <c r="C1396" s="38" t="n">
        <f aca="false">Sens!$C$1393+Sens!$C$1395</f>
        <v>68.593</v>
      </c>
      <c r="D1396" s="38" t="n">
        <f aca="false">Sens!$D$1393+Sens!$D$1395</f>
        <v>79.975</v>
      </c>
      <c r="E1396" s="38" t="n">
        <f aca="false">Sens!$E$1393+Sens!$E$1395</f>
        <v>51.313</v>
      </c>
      <c r="F1396" s="38" t="n">
        <f aca="false">Sens!$F$1393+Sens!$F$1395</f>
        <v>58.929841695669</v>
      </c>
      <c r="G1396" s="38" t="n">
        <f aca="false">Sens!$G$1393+Sens!$G$1395</f>
        <v>110.242841695669</v>
      </c>
      <c r="H1396" s="38" t="n">
        <f aca="false">Sens!$H$1393+Sens!$H$1395</f>
        <v>133.286265554501</v>
      </c>
      <c r="I1396" s="38" t="n">
        <f aca="false">Sens!$I$1393+Sens!$I$1395</f>
        <v>160.622001475242</v>
      </c>
      <c r="J1396" s="38" t="n">
        <f aca="false">Sens!$J$1393+Sens!$J$1395</f>
        <v>186.674176131895</v>
      </c>
      <c r="K1396" s="38" t="n">
        <f aca="false">Sens!$K$1393+Sens!$K$1395</f>
        <v>205.908787730149</v>
      </c>
      <c r="L1396" s="38" t="n">
        <f aca="false">Sens!$L$1393+Sens!$L$1395</f>
        <v>223.986005505907</v>
      </c>
      <c r="M1396" s="38" t="n">
        <f aca="false">Sens!$M$1393+Sens!$M$1395</f>
        <v>239.81138719855</v>
      </c>
      <c r="N1396" s="38" t="n">
        <f aca="false">Sens!$N$1393+Sens!$N$1395</f>
        <v>37.576</v>
      </c>
      <c r="O1396" s="38" t="n">
        <f aca="false">Sens!$O$1393+Sens!$O$1395</f>
        <v>42.399</v>
      </c>
    </row>
    <row r="1397" customFormat="false" ht="17.15" hidden="false" customHeight="false" outlineLevel="0" collapsed="false">
      <c r="A1397" s="0" t="s">
        <v>732</v>
      </c>
      <c r="B1397" s="0" t="s">
        <v>52</v>
      </c>
      <c r="C1397" s="13" t="n">
        <f aca="false">Sens!$C$1383/Sens!$C$1368</f>
        <v>0.0644314665661928</v>
      </c>
      <c r="D1397" s="13" t="n">
        <f aca="false">Sens!$D$1383/Sens!$D$1368</f>
        <v>0.0694784250712518</v>
      </c>
      <c r="E1397" s="13" t="n">
        <f aca="false">Sens!$E$1383/Sens!$E$1368</f>
        <v>0.0789306463326071</v>
      </c>
      <c r="F1397" s="13" t="n">
        <f aca="false">Sens!$F$1383/Sens!$F$1368</f>
        <v>0.0804295727576035</v>
      </c>
      <c r="G1397" s="13" t="n">
        <f aca="false">Sens!$G$1383/Sens!$G$1368</f>
        <v>0.079729667779323</v>
      </c>
      <c r="H1397" s="13" t="n">
        <f aca="false">Sens!$H$1383/Sens!$H$1368</f>
        <v>0.0801537314679538</v>
      </c>
      <c r="I1397" s="13" t="n">
        <f aca="false">Sens!$I$1383/Sens!$I$1368</f>
        <v>0.080998001087971</v>
      </c>
      <c r="J1397" s="13" t="n">
        <f aca="false">Sens!$J$1383/Sens!$J$1368</f>
        <v>0.0815445764558929</v>
      </c>
      <c r="K1397" s="13" t="n">
        <f aca="false">Sens!$K$1383/Sens!$K$1368</f>
        <v>0.0815981818727269</v>
      </c>
      <c r="L1397" s="13" t="n">
        <f aca="false">Sens!$L$1383/Sens!$L$1368</f>
        <v>0.0820494591313044</v>
      </c>
      <c r="M1397" s="13" t="n">
        <f aca="false">Sens!$M$1383/Sens!$M$1368</f>
        <v>0.0844381990655726</v>
      </c>
      <c r="N1397" s="13" t="n">
        <f aca="false">Sens!$N$1383/Sens!$N$1368</f>
        <v>0.069228576611127</v>
      </c>
      <c r="O1397" s="13" t="n">
        <f aca="false">Sens!$O$1383/Sens!$O$1368</f>
        <v>0.069685022498393</v>
      </c>
    </row>
    <row r="1398" customFormat="false" ht="17.15" hidden="false" customHeight="false" outlineLevel="0" collapsed="false">
      <c r="A1398" s="0" t="s">
        <v>733</v>
      </c>
      <c r="B1398" s="0" t="s">
        <v>52</v>
      </c>
      <c r="C1398" s="13" t="n">
        <f aca="false">Sens!$C$1388/Sens!$C$1369</f>
        <v>0.026534925055631</v>
      </c>
      <c r="D1398" s="13" t="n">
        <f aca="false">Sens!$D$1388/Sens!$D$1369</f>
        <v>0.0293401855535103</v>
      </c>
      <c r="E1398" s="13" t="n">
        <f aca="false">Sens!$E$1388/Sens!$E$1369</f>
        <v>0.03831141902276</v>
      </c>
      <c r="F1398" s="13" t="n">
        <f aca="false">Sens!$F$1388/Sens!$F$1369</f>
        <v>0.0283888377662377</v>
      </c>
      <c r="G1398" s="13" t="n">
        <f aca="false">Sens!$G$1388/Sens!$G$1369</f>
        <v>0.0328898428482129</v>
      </c>
      <c r="H1398" s="13" t="n">
        <f aca="false">Sens!$H$1388/Sens!$H$1369</f>
        <v>0.0313088168105547</v>
      </c>
      <c r="I1398" s="13" t="n">
        <f aca="false">Sens!$I$1388/Sens!$I$1369</f>
        <v>0.0301248037504126</v>
      </c>
      <c r="J1398" s="13" t="n">
        <f aca="false">Sens!$J$1388/Sens!$J$1369</f>
        <v>0.0285800961428776</v>
      </c>
      <c r="K1398" s="13" t="n">
        <f aca="false">Sens!$K$1388/Sens!$K$1369</f>
        <v>0.0264377504494684</v>
      </c>
      <c r="L1398" s="13" t="n">
        <f aca="false">Sens!$L$1388/Sens!$L$1369</f>
        <v>0.0272352364071634</v>
      </c>
      <c r="M1398" s="13" t="n">
        <f aca="false">Sens!$M$1388/Sens!$M$1369</f>
        <v>0.0299781932703973</v>
      </c>
      <c r="N1398" s="13" t="n">
        <f aca="false">Sens!$N$1388/Sens!$N$1369</f>
        <v>0.0357315650169337</v>
      </c>
      <c r="O1398" s="13" t="n">
        <f aca="false">Sens!$O$1388/Sens!$O$1369</f>
        <v>0.0244378956559703</v>
      </c>
    </row>
    <row r="1399" customFormat="false" ht="17.15" hidden="false" customHeight="false" outlineLevel="0" collapsed="false">
      <c r="A1399" s="14" t="s">
        <v>734</v>
      </c>
      <c r="B1399" s="14" t="s">
        <v>52</v>
      </c>
      <c r="C1399" s="17" t="n">
        <f aca="false">Sens!$C$1391/Sens!$C$1370</f>
        <v>0.370355907620217</v>
      </c>
      <c r="D1399" s="17" t="n">
        <f aca="false">Sens!$D$1391/Sens!$D$1370</f>
        <v>0.35429015342785</v>
      </c>
      <c r="E1399" s="17" t="n">
        <f aca="false">Sens!$E$1391/Sens!$E$1370</f>
        <v>0.385647527531039</v>
      </c>
      <c r="F1399" s="17" t="n">
        <f aca="false">Sens!$F$1391/Sens!$F$1370</f>
        <v>0.379323165094783</v>
      </c>
      <c r="G1399" s="17" t="n">
        <f aca="false">Sens!$G$1391/Sens!$G$1370</f>
        <v>0.382376565227368</v>
      </c>
      <c r="H1399" s="17" t="n">
        <f aca="false">Sens!$H$1391/Sens!$H$1370</f>
        <v>0.343382598779759</v>
      </c>
      <c r="I1399" s="17" t="n">
        <f aca="false">Sens!$I$1391/Sens!$I$1370</f>
        <v>0.335902013838478</v>
      </c>
      <c r="J1399" s="17" t="n">
        <f aca="false">Sens!$J$1391/Sens!$J$1370</f>
        <v>0.32896807189374</v>
      </c>
      <c r="K1399" s="17" t="n">
        <f aca="false">Sens!$K$1391/Sens!$K$1370</f>
        <v>0.315961165908119</v>
      </c>
      <c r="L1399" s="17" t="n">
        <f aca="false">Sens!$L$1391/Sens!$L$1370</f>
        <v>0.311597370021608</v>
      </c>
      <c r="M1399" s="17" t="n">
        <f aca="false">Sens!$M$1391/Sens!$M$1370</f>
        <v>0.308116745822725</v>
      </c>
      <c r="N1399" s="17" t="n">
        <f aca="false">Sens!$N$1391/Sens!$N$1370</f>
        <v>0.360941137346192</v>
      </c>
      <c r="O1399" s="17" t="n">
        <f aca="false">Sens!$O$1391/Sens!$O$1370</f>
        <v>0.348458117664212</v>
      </c>
    </row>
    <row r="1400" customFormat="false" ht="17.15" hidden="false" customHeight="false" outlineLevel="0" collapsed="false">
      <c r="A1400" s="0" t="s">
        <v>735</v>
      </c>
      <c r="B1400" s="0" t="s">
        <v>52</v>
      </c>
      <c r="C1400" s="13" t="n">
        <f aca="false">Sens!$C$1389/Sens!$C$1371</f>
        <v>0.708390794789371</v>
      </c>
      <c r="D1400" s="13" t="n">
        <f aca="false">Sens!$D$1389/Sens!$D$1371</f>
        <v>0.445565630441968</v>
      </c>
      <c r="E1400" s="13" t="n">
        <f aca="false">Sens!$E$1389/Sens!$E$1371</f>
        <v>0.165998118402711</v>
      </c>
      <c r="F1400" s="13" t="n">
        <f aca="false">Sens!$F$1389/Sens!$F$1371</f>
        <v>0.402911309328903</v>
      </c>
      <c r="G1400" s="13" t="n">
        <f aca="false">Sens!$G$1389/Sens!$G$1371</f>
        <v>0.312284119223129</v>
      </c>
      <c r="H1400" s="13" t="n">
        <f aca="false">Sens!$H$1389/Sens!$H$1371</f>
        <v>0.24249043911887</v>
      </c>
      <c r="I1400" s="13" t="n">
        <f aca="false">Sens!$I$1389/Sens!$I$1371</f>
        <v>0.250200273742368</v>
      </c>
      <c r="J1400" s="13" t="n">
        <f aca="false">Sens!$J$1389/Sens!$J$1371</f>
        <v>0.249052142953744</v>
      </c>
      <c r="K1400" s="13" t="n">
        <f aca="false">Sens!$K$1389/Sens!$K$1371</f>
        <v>0.226379223635264</v>
      </c>
      <c r="L1400" s="13" t="n">
        <f aca="false">Sens!$L$1389/Sens!$L$1371</f>
        <v>0.219332391361185</v>
      </c>
      <c r="M1400" s="13" t="n">
        <f aca="false">Sens!$M$1389/Sens!$M$1371</f>
        <v>0.208389297149733</v>
      </c>
      <c r="N1400" s="13" t="n">
        <f aca="false">Sens!$N$1389/Sens!$N$1371</f>
        <v>0.302870734830849</v>
      </c>
      <c r="O1400" s="13" t="n">
        <f aca="false">Sens!$O$1389/Sens!$O$1371</f>
        <v>0.52240134346334</v>
      </c>
    </row>
    <row r="1401" customFormat="false" ht="15" hidden="false" customHeight="false" outlineLevel="0" collapsed="false">
      <c r="A1401" s="5" t="s">
        <v>736</v>
      </c>
      <c r="B1401" s="0" t="s">
        <v>52</v>
      </c>
      <c r="C1401" s="13" t="n">
        <f aca="false">Sens!$C$1393/Sens!$C$1373</f>
        <v>0.107519448742004</v>
      </c>
      <c r="D1401" s="13" t="n">
        <f aca="false">Sens!$D$1393/Sens!$D$1373</f>
        <v>0.111552967957552</v>
      </c>
      <c r="E1401" s="13" t="n">
        <f aca="false">Sens!$E$1393/Sens!$E$1373</f>
        <v>0.13428328426562</v>
      </c>
      <c r="F1401" s="13" t="n">
        <f aca="false">Sens!$F$1393/Sens!$F$1373</f>
        <v>0.127283479345415</v>
      </c>
      <c r="G1401" s="13" t="n">
        <f aca="false">Sens!$G$1393/Sens!$G$1373</f>
        <v>0.130553782456793</v>
      </c>
      <c r="H1401" s="13" t="n">
        <f aca="false">Sens!$H$1393/Sens!$H$1373</f>
        <v>0.129223306932215</v>
      </c>
      <c r="I1401" s="13" t="n">
        <f aca="false">Sens!$I$1393/Sens!$I$1373</f>
        <v>0.133500911826458</v>
      </c>
      <c r="J1401" s="13" t="n">
        <f aca="false">Sens!$J$1393/Sens!$J$1373</f>
        <v>0.136434983749471</v>
      </c>
      <c r="K1401" s="13" t="n">
        <f aca="false">Sens!$K$1393/Sens!$K$1373</f>
        <v>0.135829601884964</v>
      </c>
      <c r="L1401" s="13" t="n">
        <f aca="false">Sens!$L$1393/Sens!$L$1373</f>
        <v>0.136536184426348</v>
      </c>
      <c r="M1401" s="13" t="n">
        <f aca="false">Sens!$M$1393/Sens!$M$1373</f>
        <v>0.137514633391825</v>
      </c>
      <c r="N1401" s="13" t="n">
        <f aca="false">Sens!$N$1393/Sens!$N$1373</f>
        <v>0.116201614873411</v>
      </c>
      <c r="O1401" s="13" t="n">
        <f aca="false">Sens!$O$1393/Sens!$O$1373</f>
        <v>0.107733353660861</v>
      </c>
    </row>
    <row r="1402" customFormat="false" ht="17.15" hidden="false" customHeight="false" outlineLevel="0" collapsed="false">
      <c r="A1402" s="1" t="s">
        <v>737</v>
      </c>
    </row>
    <row r="1403" customFormat="false" ht="17.15" hidden="false" customHeight="false" outlineLevel="0" collapsed="false">
      <c r="A1403" s="5" t="s">
        <v>738</v>
      </c>
      <c r="B1403" s="0" t="s">
        <v>52</v>
      </c>
      <c r="D1403" s="28" t="n">
        <f aca="false">(Q!$E$29+Q!$E$30-(1-ext_sh)*Sens!$D$1325)/Sens!$D$1281</f>
        <v>0.0334674312393194</v>
      </c>
    </row>
    <row r="1404" customFormat="false" ht="17.15" hidden="false" customHeight="false" outlineLevel="0" collapsed="false">
      <c r="A1404" s="0" t="s">
        <v>535</v>
      </c>
      <c r="B1404" s="0" t="s">
        <v>86</v>
      </c>
      <c r="C1404" s="38" t="n">
        <f aca="false">Q!$D$29</f>
        <v>14.285</v>
      </c>
      <c r="D1404" s="38" t="n">
        <f aca="false">Q!$E$29</f>
        <v>15.503</v>
      </c>
      <c r="E1404" s="38" t="n">
        <f aca="false">Q!$P$29</f>
        <v>8.78</v>
      </c>
      <c r="F1404" s="38" t="n">
        <f aca="false">(Sens!$D$1403*Sens!$F$1281+(1-ext_sh)*Sens!$F$1325)*Sens!$F$1282</f>
        <v>9.35352340688265</v>
      </c>
      <c r="G1404" s="38" t="n">
        <f aca="false">Sens!$E$1404+Sens!$F$1404</f>
        <v>18.1335234068826</v>
      </c>
      <c r="H1404" s="38" t="n">
        <f aca="false">(Sens!$D$1403*Sens!$H$1281+(1-ext_sh)*Sens!$H$1325)*Sens!$H$1282</f>
        <v>22.4333537785022</v>
      </c>
      <c r="I1404" s="38" t="n">
        <f aca="false">(Sens!$D$1403*Sens!$I$1281+(1-ext_sh)*Sens!$I$1325)*Sens!$I$1282</f>
        <v>27.0749168006461</v>
      </c>
      <c r="J1404" s="38" t="n">
        <f aca="false">(Sens!$D$1403*Sens!$J$1281+(1-ext_sh)*Sens!$J$1325)*Sens!$J$1282</f>
        <v>31.708624984853</v>
      </c>
      <c r="K1404" s="38" t="n">
        <f aca="false">(Sens!$D$1403*Sens!$K$1281+(1-ext_sh)*Sens!$K$1325)*Sens!$K$1282</f>
        <v>36.2599549033231</v>
      </c>
      <c r="L1404" s="38" t="n">
        <f aca="false">(Sens!$D$1403*Sens!$L$1281+(1-ext_sh)*Sens!$L$1325)*Sens!$L$1282</f>
        <v>39.7061093539249</v>
      </c>
      <c r="M1404" s="38" t="n">
        <f aca="false">(Sens!$D$1403*Sens!$M$1281+(1-ext_sh)*Sens!$M$1325)*Sens!$M$1282</f>
        <v>42.4500408841446</v>
      </c>
      <c r="N1404" s="38" t="n">
        <f aca="false">Q!$N$29</f>
        <v>7.272</v>
      </c>
      <c r="O1404" s="38" t="n">
        <f aca="false">Q!$O$29</f>
        <v>8.231</v>
      </c>
    </row>
    <row r="1405" customFormat="false" ht="17.15" hidden="false" customHeight="false" outlineLevel="0" collapsed="false">
      <c r="A1405" s="0" t="s">
        <v>537</v>
      </c>
      <c r="B1405" s="0" t="s">
        <v>86</v>
      </c>
      <c r="C1405" s="38" t="n">
        <f aca="false">Q!$D$30</f>
        <v>4.462</v>
      </c>
      <c r="D1405" s="38" t="n">
        <f aca="false">Q!$E$30</f>
        <v>4.907</v>
      </c>
      <c r="E1405" s="38" t="n">
        <f aca="false">Q!$P$30</f>
        <v>2.57</v>
      </c>
      <c r="F1405" s="38" t="n">
        <f aca="false">(Sens!$D$1403*Sens!$F$1281+(1-ext_sh)*Sens!$F$1325)*(1-Sens!$F$1282)</f>
        <v>3.67246545763269</v>
      </c>
      <c r="G1405" s="38" t="n">
        <f aca="false">Sens!$E$1405+Sens!$F$1405</f>
        <v>6.24246545763269</v>
      </c>
      <c r="H1405" s="38" t="n">
        <f aca="false">(Sens!$D$1403*Sens!$H$1281+(1-ext_sh)*Sens!$H$1325)*(1-Sens!$H$1282)</f>
        <v>8.59317998003603</v>
      </c>
      <c r="I1405" s="38" t="n">
        <f aca="false">(Sens!$D$1403*Sens!$I$1281+(1-ext_sh)*Sens!$I$1325)*(1-Sens!$I$1282)</f>
        <v>10.3711480374107</v>
      </c>
      <c r="J1405" s="38" t="n">
        <f aca="false">(Sens!$D$1403*Sens!$J$1281+(1-ext_sh)*Sens!$J$1325)*(1-Sens!$J$1282)</f>
        <v>12.1461072697665</v>
      </c>
      <c r="K1405" s="38" t="n">
        <f aca="false">(Sens!$D$1403*Sens!$K$1281+(1-ext_sh)*Sens!$K$1325)*(1-Sens!$K$1282)</f>
        <v>13.8895111996513</v>
      </c>
      <c r="L1405" s="38" t="n">
        <f aca="false">(Sens!$D$1403*Sens!$L$1281+(1-ext_sh)*Sens!$L$1325)*(1-Sens!$L$1282)</f>
        <v>15.209573537428</v>
      </c>
      <c r="M1405" s="38" t="n">
        <f aca="false">(Sens!$D$1403*Sens!$M$1281+(1-ext_sh)*Sens!$M$1325)*(1-Sens!$M$1282)</f>
        <v>16.2606467619171</v>
      </c>
      <c r="N1405" s="38" t="n">
        <f aca="false">Q!$N$30</f>
        <v>2.316</v>
      </c>
      <c r="O1405" s="38" t="n">
        <f aca="false">Q!$O$30</f>
        <v>2.591</v>
      </c>
    </row>
    <row r="1406" customFormat="false" ht="17.15" hidden="false" customHeight="false" outlineLevel="0" collapsed="false">
      <c r="A1406" s="0" t="s">
        <v>538</v>
      </c>
      <c r="B1406" s="0" t="s">
        <v>86</v>
      </c>
      <c r="C1406" s="38" t="n">
        <f aca="false">Sens!$C$1337</f>
        <v>13.32</v>
      </c>
      <c r="D1406" s="38" t="n">
        <f aca="false">Sens!$D$1337</f>
        <v>21.45</v>
      </c>
      <c r="E1406" s="38" t="n">
        <f aca="false">Sens!$E$1337</f>
        <v>15.353</v>
      </c>
      <c r="F1406" s="38" t="n">
        <f aca="false">Sens!$F$1337</f>
        <v>16.3063747611001</v>
      </c>
      <c r="G1406" s="38" t="n">
        <f aca="false">Sens!$G$1337</f>
        <v>31.6593747611001</v>
      </c>
      <c r="H1406" s="38" t="n">
        <f aca="false">Sens!$H$1337</f>
        <v>52.2801394033412</v>
      </c>
      <c r="I1406" s="38" t="n">
        <f aca="false">Sens!$I$1337</f>
        <v>71.6581001345442</v>
      </c>
      <c r="J1406" s="38" t="n">
        <f aca="false">Sens!$J$1337</f>
        <v>91.5281202030796</v>
      </c>
      <c r="K1406" s="38" t="n">
        <f aca="false">Sens!$K$1337</f>
        <v>111.742100604513</v>
      </c>
      <c r="L1406" s="38" t="n">
        <f aca="false">Sens!$L$1337</f>
        <v>125.519498182013</v>
      </c>
      <c r="M1406" s="38" t="n">
        <f aca="false">Sens!$M$1337</f>
        <v>135.066191274404</v>
      </c>
      <c r="N1406" s="38" t="n">
        <f aca="false">Sens!$N$1337</f>
        <v>9.234</v>
      </c>
      <c r="O1406" s="38" t="n">
        <f aca="false">Sens!$O$1337</f>
        <v>12.216</v>
      </c>
    </row>
    <row r="1407" customFormat="false" ht="17.15" hidden="false" customHeight="false" outlineLevel="0" collapsed="false">
      <c r="A1407" s="5" t="s">
        <v>739</v>
      </c>
      <c r="B1407" s="0" t="s">
        <v>86</v>
      </c>
      <c r="C1407" s="38" t="n">
        <f aca="false">Sens!$C$1404+Sens!$C$1405+Sens!$C$1406</f>
        <v>32.067</v>
      </c>
      <c r="D1407" s="38" t="n">
        <f aca="false">Sens!$D$1404+Sens!$D$1405+Sens!$D$1406</f>
        <v>41.86</v>
      </c>
      <c r="E1407" s="38" t="n">
        <f aca="false">Sens!$E$1404+Sens!$E$1405+Sens!$E$1406</f>
        <v>26.703</v>
      </c>
      <c r="F1407" s="38" t="n">
        <f aca="false">Sens!$F$1404+Sens!$F$1405+Sens!$F$1406</f>
        <v>29.3323636256154</v>
      </c>
      <c r="G1407" s="38" t="n">
        <f aca="false">Sens!$G$1404+Sens!$G$1405+Sens!$G$1406</f>
        <v>56.0353636256154</v>
      </c>
      <c r="H1407" s="38" t="n">
        <f aca="false">Sens!$H$1404+Sens!$H$1405+Sens!$H$1406</f>
        <v>83.3066731618794</v>
      </c>
      <c r="I1407" s="38" t="n">
        <f aca="false">Sens!$I$1404+Sens!$I$1405+Sens!$I$1406</f>
        <v>109.104164972601</v>
      </c>
      <c r="J1407" s="38" t="n">
        <f aca="false">Sens!$J$1404+Sens!$J$1405+Sens!$J$1406</f>
        <v>135.382852457699</v>
      </c>
      <c r="K1407" s="38" t="n">
        <f aca="false">Sens!$K$1404+Sens!$K$1405+Sens!$K$1406</f>
        <v>161.891566707488</v>
      </c>
      <c r="L1407" s="38" t="n">
        <f aca="false">Sens!$L$1404+Sens!$L$1405+Sens!$L$1406</f>
        <v>180.435181073365</v>
      </c>
      <c r="M1407" s="38" t="n">
        <f aca="false">Sens!$M$1404+Sens!$M$1405+Sens!$M$1406</f>
        <v>193.776878920466</v>
      </c>
      <c r="N1407" s="38" t="n">
        <f aca="false">Sens!$N$1404+Sens!$N$1405+Sens!$N$1406</f>
        <v>18.822</v>
      </c>
      <c r="O1407" s="38" t="n">
        <f aca="false">Sens!$O$1404+Sens!$O$1405+Sens!$O$1406</f>
        <v>23.038</v>
      </c>
    </row>
    <row r="1408" customFormat="false" ht="17.15" hidden="false" customHeight="false" outlineLevel="0" collapsed="false">
      <c r="A1408" s="0" t="s">
        <v>740</v>
      </c>
      <c r="B1408" s="0" t="s">
        <v>86</v>
      </c>
      <c r="C1408" s="38" t="n">
        <f aca="false">Sens!$C$1379+Sens!$C$1384</f>
        <v>28.107</v>
      </c>
      <c r="D1408" s="38" t="n">
        <f aca="false">Sens!$D$1379+Sens!$D$1384</f>
        <v>34.3175</v>
      </c>
      <c r="E1408" s="38" t="n">
        <f aca="false">Sens!$E$1379+Sens!$E$1384</f>
        <v>18.526</v>
      </c>
      <c r="F1408" s="38" t="n">
        <f aca="false">Sens!$F$1379+Sens!$F$1384</f>
        <v>23.159701329778</v>
      </c>
      <c r="G1408" s="38" t="n">
        <f aca="false">Sens!$G$1379+Sens!$G$1384</f>
        <v>41.685701329778</v>
      </c>
      <c r="H1408" s="38" t="n">
        <f aca="false">Sens!$H$1379+Sens!$H$1384</f>
        <v>50.0458142813236</v>
      </c>
      <c r="I1408" s="38" t="n">
        <f aca="false">Sens!$I$1379+Sens!$I$1384</f>
        <v>58.4051699167358</v>
      </c>
      <c r="J1408" s="38" t="n">
        <f aca="false">Sens!$J$1379+Sens!$J$1384</f>
        <v>66.2032547931783</v>
      </c>
      <c r="K1408" s="38" t="n">
        <f aca="false">Sens!$K$1379+Sens!$K$1384</f>
        <v>72.8235802724961</v>
      </c>
      <c r="L1408" s="38" t="n">
        <f aca="false">Sens!$L$1379+Sens!$L$1384</f>
        <v>80.1059382997457</v>
      </c>
      <c r="M1408" s="38" t="n">
        <f aca="false">Sens!$M$1379+Sens!$M$1384</f>
        <v>88.1165321297203</v>
      </c>
      <c r="N1408" s="38" t="n">
        <f aca="false">Sens!$N$1379+Sens!$N$1384</f>
        <v>14.8075</v>
      </c>
      <c r="O1408" s="38" t="n">
        <f aca="false">Sens!$O$1379+Sens!$O$1384</f>
        <v>19.51</v>
      </c>
    </row>
    <row r="1409" customFormat="false" ht="17.15" hidden="false" customHeight="false" outlineLevel="0" collapsed="false">
      <c r="A1409" s="0" t="s">
        <v>741</v>
      </c>
      <c r="B1409" s="0" t="s">
        <v>86</v>
      </c>
      <c r="C1409" s="38" t="n">
        <f aca="false">Sens!$C$1383+Sens!$C$1388+Sens!$C$1404+Sens!$C$1405-Sens!$C$1408</f>
        <v>19.399</v>
      </c>
      <c r="D1409" s="38" t="n">
        <f aca="false">Sens!$D$1383+Sens!$D$1388+Sens!$D$1404+Sens!$D$1405-Sens!$D$1408</f>
        <v>20.4615</v>
      </c>
      <c r="E1409" s="38" t="n">
        <f aca="false">Sens!$E$1383+Sens!$E$1388+Sens!$E$1404+Sens!$E$1405-Sens!$E$1408</f>
        <v>13.355</v>
      </c>
      <c r="F1409" s="38" t="n">
        <f aca="false">Sens!$F$1383+Sens!$F$1388+Sens!$F$1404+Sens!$F$1405-Sens!$F$1408</f>
        <v>12.8994868736134</v>
      </c>
      <c r="G1409" s="38" t="n">
        <f aca="false">Sens!$G$1383+Sens!$G$1388+Sens!$G$1404+Sens!$G$1405-Sens!$G$1408</f>
        <v>26.2544868736134</v>
      </c>
      <c r="H1409" s="38" t="n">
        <f aca="false">Sens!$H$1383+Sens!$H$1388+Sens!$H$1404+Sens!$H$1405-Sens!$H$1408</f>
        <v>29.1146839124194</v>
      </c>
      <c r="I1409" s="38" t="n">
        <f aca="false">Sens!$I$1383+Sens!$I$1388+Sens!$I$1404+Sens!$I$1405-Sens!$I$1408</f>
        <v>31.8992738456285</v>
      </c>
      <c r="J1409" s="38" t="n">
        <f aca="false">Sens!$J$1383+Sens!$J$1388+Sens!$J$1404+Sens!$J$1405-Sens!$J$1408</f>
        <v>34.676991578286</v>
      </c>
      <c r="K1409" s="38" t="n">
        <f aca="false">Sens!$K$1383+Sens!$K$1388+Sens!$K$1404+Sens!$K$1405-Sens!$K$1408</f>
        <v>37.5375576408941</v>
      </c>
      <c r="L1409" s="38" t="n">
        <f aca="false">Sens!$L$1383+Sens!$L$1388+Sens!$L$1404+Sens!$L$1405-Sens!$L$1408</f>
        <v>39.4652669720025</v>
      </c>
      <c r="M1409" s="38" t="n">
        <f aca="false">Sens!$M$1383+Sens!$M$1388+Sens!$M$1404+Sens!$M$1405-Sens!$M$1408</f>
        <v>42.0356680137794</v>
      </c>
      <c r="N1409" s="38" t="n">
        <f aca="false">Sens!$N$1383+Sens!$N$1388+Sens!$N$1404+Sens!$N$1405-Sens!$N$1408</f>
        <v>10.6495</v>
      </c>
      <c r="O1409" s="38" t="n">
        <f aca="false">Sens!$O$1383+Sens!$O$1388+Sens!$O$1404+Sens!$O$1405-Sens!$O$1408</f>
        <v>9.81200000000001</v>
      </c>
    </row>
    <row r="1410" customFormat="false" ht="17.15" hidden="false" customHeight="false" outlineLevel="0" collapsed="false">
      <c r="A1410" s="0" t="s">
        <v>742</v>
      </c>
      <c r="B1410" s="0" t="s">
        <v>86</v>
      </c>
      <c r="C1410" s="38" t="n">
        <f aca="false">Sens!$C$1390+Sens!$C$1406-ext_sh*Sens!$C$1325</f>
        <v>51.3470500115664</v>
      </c>
      <c r="D1410" s="38" t="n">
        <f aca="false">Sens!$D$1390+Sens!$D$1406-ext_sh*Sens!$D$1325</f>
        <v>60.2799375433739</v>
      </c>
      <c r="E1410" s="38" t="n">
        <f aca="false">Sens!$E$1390+Sens!$E$1406-ext_sh*Sens!$E$1325</f>
        <v>39.5095167090767</v>
      </c>
      <c r="F1410" s="38" t="n">
        <f aca="false">Sens!$F$1390+Sens!$F$1406-ext_sh*Sens!$F$1325</f>
        <v>37.993321722478</v>
      </c>
      <c r="G1410" s="38" t="n">
        <f aca="false">Sens!$G$1390+Sens!$G$1406-ext_sh*Sens!$G$1325</f>
        <v>77.5028384315548</v>
      </c>
      <c r="H1410" s="38" t="n">
        <f aca="false">Sens!$H$1390+Sens!$H$1406-ext_sh*Sens!$H$1325</f>
        <v>85.2394217279746</v>
      </c>
      <c r="I1410" s="38" t="n">
        <f aca="false">Sens!$I$1390+Sens!$I$1406-ext_sh*Sens!$I$1325</f>
        <v>94.6373589713254</v>
      </c>
      <c r="J1410" s="38" t="n">
        <f aca="false">Sens!$J$1390+Sens!$J$1406-ext_sh*Sens!$J$1325</f>
        <v>103.639899284146</v>
      </c>
      <c r="K1410" s="38" t="n">
        <f aca="false">Sens!$K$1390+Sens!$K$1406-ext_sh*Sens!$K$1325</f>
        <v>111.931091226878</v>
      </c>
      <c r="L1410" s="38" t="n">
        <f aca="false">Sens!$L$1390+Sens!$L$1406-ext_sh*Sens!$L$1325</f>
        <v>120.885578525028</v>
      </c>
      <c r="M1410" s="38" t="n">
        <f aca="false">Sens!$M$1390+Sens!$M$1406-ext_sh*Sens!$M$1325</f>
        <v>130.55642480703</v>
      </c>
      <c r="N1410" s="38" t="n">
        <f aca="false">Sens!$N$1390+Sens!$N$1406-ext_sh*Sens!$N$1325</f>
        <v>28.5693781401809</v>
      </c>
      <c r="O1410" s="38" t="n">
        <f aca="false">Sens!$O$1390+Sens!$O$1406-ext_sh*Sens!$O$1325</f>
        <v>31.7105594031931</v>
      </c>
    </row>
    <row r="1411" customFormat="false" ht="17.15" hidden="false" customHeight="false" outlineLevel="0" collapsed="false">
      <c r="A1411" s="0" t="s">
        <v>743</v>
      </c>
      <c r="B1411" s="0" t="s">
        <v>86</v>
      </c>
      <c r="C1411" s="38" t="n">
        <f aca="false">Sens!$C$1328</f>
        <v>1.80694998843362</v>
      </c>
      <c r="D1411" s="38" t="n">
        <f aca="false">Sens!$D$1328</f>
        <v>6.77606245662607</v>
      </c>
      <c r="E1411" s="38" t="n">
        <f aca="false">Sens!$E$1328</f>
        <v>6.62548329092326</v>
      </c>
      <c r="F1411" s="38" t="n">
        <f aca="false">Sens!$F$1328</f>
        <v>10.7475724410394</v>
      </c>
      <c r="G1411" s="38" t="n">
        <f aca="false">Sens!$G$1328</f>
        <v>17.3730557319626</v>
      </c>
      <c r="H1411" s="38" t="n">
        <f aca="false">Sens!$H$1328</f>
        <v>39.5529378378068</v>
      </c>
      <c r="I1411" s="38" t="n">
        <f aca="false">Sens!$I$1328</f>
        <v>64.3305352565479</v>
      </c>
      <c r="J1411" s="38" t="n">
        <f aca="false">Sens!$J$1328</f>
        <v>89.2345459344354</v>
      </c>
      <c r="K1411" s="38" t="n">
        <f aca="false">Sens!$K$1328</f>
        <v>110.502525441592</v>
      </c>
      <c r="L1411" s="38" t="n">
        <f aca="false">Sens!$L$1328</f>
        <v>124.535767786747</v>
      </c>
      <c r="M1411" s="38" t="n">
        <f aca="false">Sens!$M$1328</f>
        <v>131.313822270043</v>
      </c>
      <c r="N1411" s="38" t="n">
        <f aca="false">Sens!$N$1328</f>
        <v>2.37162185981912</v>
      </c>
      <c r="O1411" s="38" t="n">
        <f aca="false">Sens!$O$1328</f>
        <v>4.40444059680694</v>
      </c>
    </row>
    <row r="1412" customFormat="false" ht="17.15" hidden="false" customHeight="false" outlineLevel="0" collapsed="false">
      <c r="A1412" s="0" t="s">
        <v>744</v>
      </c>
      <c r="B1412" s="0" t="s">
        <v>86</v>
      </c>
      <c r="C1412" s="38" t="n">
        <f aca="false">Sens!$C$1393+Sens!$C$1407</f>
        <v>100.66</v>
      </c>
      <c r="D1412" s="38" t="n">
        <f aca="false">Sens!$D$1393+Sens!$D$1407</f>
        <v>121.835</v>
      </c>
      <c r="E1412" s="38" t="n">
        <f aca="false">Sens!$E$1393+Sens!$E$1407</f>
        <v>78.016</v>
      </c>
      <c r="F1412" s="38" t="n">
        <f aca="false">Sens!$F$1393+Sens!$F$1407</f>
        <v>84.8000823669088</v>
      </c>
      <c r="G1412" s="38" t="n">
        <f aca="false">Sens!$G$1393+Sens!$G$1407</f>
        <v>162.816082366909</v>
      </c>
      <c r="H1412" s="38" t="n">
        <f aca="false">Sens!$H$1393+Sens!$H$1407</f>
        <v>203.952857759525</v>
      </c>
      <c r="I1412" s="38" t="n">
        <f aca="false">Sens!$I$1393+Sens!$I$1407</f>
        <v>249.272337990237</v>
      </c>
      <c r="J1412" s="38" t="n">
        <f aca="false">Sens!$J$1393+Sens!$J$1407</f>
        <v>293.754691590046</v>
      </c>
      <c r="K1412" s="38" t="n">
        <f aca="false">Sens!$K$1393+Sens!$K$1407</f>
        <v>332.79475458186</v>
      </c>
      <c r="L1412" s="38" t="n">
        <f aca="false">Sens!$L$1393+Sens!$L$1407</f>
        <v>364.992551583524</v>
      </c>
      <c r="M1412" s="38" t="n">
        <f aca="false">Sens!$M$1393+Sens!$M$1407</f>
        <v>392.022447220573</v>
      </c>
      <c r="N1412" s="38" t="n">
        <f aca="false">Sens!$N$1393+Sens!$N$1407</f>
        <v>56.398</v>
      </c>
      <c r="O1412" s="38" t="n">
        <f aca="false">Sens!$O$1393+Sens!$O$1407</f>
        <v>65.437</v>
      </c>
    </row>
    <row r="1413" customFormat="false" ht="17.15" hidden="false" customHeight="false" outlineLevel="0" collapsed="false">
      <c r="A1413" s="1" t="s">
        <v>745</v>
      </c>
    </row>
    <row r="1414" customFormat="false" ht="15" hidden="false" customHeight="false" outlineLevel="0" collapsed="false">
      <c r="A1414" s="5" t="s">
        <v>541</v>
      </c>
      <c r="B1414" s="0" t="s">
        <v>86</v>
      </c>
      <c r="C1414" s="38" t="n">
        <f aca="false">Q!$D$34</f>
        <v>2.406</v>
      </c>
      <c r="D1414" s="38" t="n">
        <f aca="false">Q!$E$34</f>
        <v>2.274</v>
      </c>
      <c r="E1414" s="38" t="n">
        <f aca="false">Q!$P$34</f>
        <v>2.114</v>
      </c>
      <c r="F1414" s="38" t="n">
        <f aca="false">Sens!$F$1452</f>
        <v>3.24888962733561</v>
      </c>
      <c r="G1414" s="38" t="n">
        <f aca="false">Sens!$E$1414+Sens!$F$1414</f>
        <v>5.36288962733561</v>
      </c>
      <c r="H1414" s="38" t="n">
        <f aca="false">Sens!$H$1452</f>
        <v>7.42354172302123</v>
      </c>
      <c r="I1414" s="38" t="n">
        <f aca="false">Sens!$I$1452</f>
        <v>7.42354172302123</v>
      </c>
      <c r="J1414" s="38" t="n">
        <f aca="false">Sens!$J$1452</f>
        <v>7.42354172302123</v>
      </c>
      <c r="K1414" s="38" t="n">
        <f aca="false">Sens!$K$1452</f>
        <v>7.42354172302123</v>
      </c>
      <c r="L1414" s="38" t="n">
        <f aca="false">Sens!$L$1452</f>
        <v>7.42354172302123</v>
      </c>
      <c r="M1414" s="38" t="n">
        <f aca="false">Sens!$M$1452</f>
        <v>7.42354172302123</v>
      </c>
      <c r="N1414" s="38" t="n">
        <f aca="false">Q!$N$34</f>
        <v>1.057</v>
      </c>
      <c r="O1414" s="38" t="n">
        <f aca="false">Q!$O$34</f>
        <v>1.217</v>
      </c>
    </row>
    <row r="1415" customFormat="false" ht="15" hidden="false" customHeight="false" outlineLevel="0" collapsed="false">
      <c r="A1415" s="5" t="s">
        <v>746</v>
      </c>
      <c r="B1415" s="0" t="s">
        <v>86</v>
      </c>
      <c r="F1415" s="38" t="n">
        <f aca="false">Sens!$F$1453</f>
        <v>2.59</v>
      </c>
      <c r="H1415" s="38" t="n">
        <f aca="false">Sens!$H$1453</f>
        <v>4.09169724556773</v>
      </c>
      <c r="I1415" s="38" t="n">
        <f aca="false">Sens!$I$1453</f>
        <v>3.64031291381221</v>
      </c>
      <c r="J1415" s="38" t="n">
        <f aca="false">Sens!$J$1453</f>
        <v>4.61041075330372</v>
      </c>
      <c r="K1415" s="38" t="n">
        <f aca="false">Sens!$K$1453</f>
        <v>7.00707986331512</v>
      </c>
      <c r="L1415" s="38" t="n">
        <f aca="false">Sens!$L$1453</f>
        <v>12.5806674777544</v>
      </c>
      <c r="M1415" s="38" t="n">
        <f aca="false">Sens!$M$1453</f>
        <v>19.7957234106989</v>
      </c>
    </row>
    <row r="1416" customFormat="false" ht="17.15" hidden="false" customHeight="false" outlineLevel="0" collapsed="false">
      <c r="A1416" s="5" t="s">
        <v>747</v>
      </c>
      <c r="B1416" s="0" t="s">
        <v>86</v>
      </c>
      <c r="C1416" s="38" t="n">
        <f aca="false">Q!$D$39</f>
        <v>2.427</v>
      </c>
      <c r="D1416" s="38" t="n">
        <f aca="false">Q!$E$39</f>
        <v>19.61</v>
      </c>
      <c r="E1416" s="38" t="n">
        <f aca="false">Q!$P$39</f>
        <v>71.492</v>
      </c>
      <c r="F1416" s="39" t="n">
        <v>0</v>
      </c>
      <c r="G1416" s="38" t="n">
        <f aca="false">Sens!$E$1416+Sens!$F$1416</f>
        <v>71.492</v>
      </c>
      <c r="H1416" s="39" t="n">
        <v>0</v>
      </c>
      <c r="I1416" s="39" t="n">
        <v>0</v>
      </c>
      <c r="J1416" s="39" t="n">
        <v>0</v>
      </c>
      <c r="K1416" s="39" t="n">
        <v>0</v>
      </c>
      <c r="L1416" s="39" t="n">
        <v>0</v>
      </c>
      <c r="M1416" s="39" t="n">
        <v>0</v>
      </c>
      <c r="N1416" s="38" t="n">
        <f aca="false">Q!$N$39</f>
        <v>6.017</v>
      </c>
      <c r="O1416" s="38" t="n">
        <f aca="false">Q!$O$39</f>
        <v>13.593</v>
      </c>
      <c r="P1416" s="5" t="s">
        <v>748</v>
      </c>
    </row>
    <row r="1417" customFormat="false" ht="15" hidden="false" customHeight="false" outlineLevel="0" collapsed="false">
      <c r="A1417" s="5" t="s">
        <v>544</v>
      </c>
      <c r="B1417" s="0" t="s">
        <v>86</v>
      </c>
      <c r="C1417" s="38" t="n">
        <f aca="false">Q!$D$36</f>
        <v>68.614</v>
      </c>
      <c r="D1417" s="38" t="n">
        <f aca="false">Q!$E$36</f>
        <v>97.311</v>
      </c>
      <c r="E1417" s="38" t="n">
        <f aca="false">Q!$P$36</f>
        <v>120.691</v>
      </c>
      <c r="F1417" s="38" t="n">
        <f aca="false">Sens!$F$1393-Sens!$F$1414+Sens!$F$1415+Sens!$F$1416</f>
        <v>54.8088291139578</v>
      </c>
      <c r="G1417" s="38" t="n">
        <f aca="false">Sens!$E$1417+Sens!$F$1417</f>
        <v>175.499829113958</v>
      </c>
      <c r="H1417" s="38" t="n">
        <f aca="false">Sens!$H$1393-Sens!$H$1414+Sens!$H$1415+Sens!$H$1416</f>
        <v>117.314340120192</v>
      </c>
      <c r="I1417" s="38" t="n">
        <f aca="false">Sens!$I$1393-Sens!$I$1414+Sens!$I$1415+Sens!$I$1416</f>
        <v>136.384944208428</v>
      </c>
      <c r="J1417" s="38" t="n">
        <f aca="false">Sens!$J$1393-Sens!$J$1414+Sens!$J$1415+Sens!$J$1416</f>
        <v>155.558708162629</v>
      </c>
      <c r="K1417" s="38" t="n">
        <f aca="false">Sens!$K$1393-Sens!$K$1414+Sens!$K$1415+Sens!$K$1416</f>
        <v>170.486726014666</v>
      </c>
      <c r="L1417" s="38" t="n">
        <f aca="false">Sens!$L$1393-Sens!$L$1414+Sens!$L$1415+Sens!$L$1416</f>
        <v>189.714496264891</v>
      </c>
      <c r="M1417" s="38" t="n">
        <f aca="false">Sens!$M$1393-Sens!$M$1414+Sens!$M$1415+Sens!$M$1416</f>
        <v>210.617749987785</v>
      </c>
      <c r="N1417" s="38" t="n">
        <f aca="false">Q!$N$36</f>
        <v>42.536</v>
      </c>
      <c r="O1417" s="38" t="n">
        <f aca="false">Q!$O$36</f>
        <v>54.775</v>
      </c>
    </row>
    <row r="1418" customFormat="false" ht="15" hidden="false" customHeight="false" outlineLevel="0" collapsed="false">
      <c r="A1418" s="5" t="s">
        <v>545</v>
      </c>
      <c r="B1418" s="0" t="s">
        <v>86</v>
      </c>
      <c r="C1418" s="38" t="n">
        <f aca="false">Q!$D$37</f>
        <v>9.265</v>
      </c>
      <c r="D1418" s="38" t="n">
        <f aca="false">Q!$E$37</f>
        <v>19.087</v>
      </c>
      <c r="E1418" s="38" t="n">
        <f aca="false">Q!$P$37</f>
        <v>27.759</v>
      </c>
      <c r="F1418" s="38" t="n">
        <f aca="false">Sens!$F$1417*tax</f>
        <v>9.51396465639907</v>
      </c>
      <c r="G1418" s="38" t="n">
        <f aca="false">Sens!$E$1418+Sens!$F$1418</f>
        <v>37.2729646563991</v>
      </c>
      <c r="H1418" s="38" t="n">
        <f aca="false">Sens!$H$1417*tax</f>
        <v>20.3639541956215</v>
      </c>
      <c r="I1418" s="38" t="n">
        <f aca="false">Sens!$I$1417*tax</f>
        <v>23.6743159786549</v>
      </c>
      <c r="J1418" s="38" t="n">
        <f aca="false">Sens!$J$1417*tax</f>
        <v>27.0025847181883</v>
      </c>
      <c r="K1418" s="38" t="n">
        <f aca="false">Sens!$K$1417*tax</f>
        <v>29.5938576304243</v>
      </c>
      <c r="L1418" s="38" t="n">
        <f aca="false">Sens!$L$1417*tax</f>
        <v>32.9315010272876</v>
      </c>
      <c r="M1418" s="38" t="n">
        <f aca="false">Sens!$M$1417*tax</f>
        <v>36.5599824296152</v>
      </c>
      <c r="N1418" s="38" t="n">
        <f aca="false">Q!$N$37</f>
        <v>7.231</v>
      </c>
      <c r="O1418" s="38" t="n">
        <f aca="false">Q!$O$37</f>
        <v>11.856</v>
      </c>
    </row>
    <row r="1419" customFormat="false" ht="15" hidden="false" customHeight="false" outlineLevel="0" collapsed="false">
      <c r="A1419" s="3" t="s">
        <v>546</v>
      </c>
      <c r="B1419" s="8" t="s">
        <v>86</v>
      </c>
      <c r="C1419" s="38" t="n">
        <f aca="false">Q!$D$38</f>
        <v>59.248</v>
      </c>
      <c r="D1419" s="38" t="n">
        <f aca="false">Q!$E$38</f>
        <v>77.67</v>
      </c>
      <c r="E1419" s="38" t="n">
        <f aca="false">Q!$P$38</f>
        <v>92.902</v>
      </c>
      <c r="F1419" s="38" t="n">
        <f aca="false">Sens!$F$1417-Sens!$F$1418</f>
        <v>45.2948644575587</v>
      </c>
      <c r="G1419" s="38" t="n">
        <f aca="false">Sens!$E$1419+Sens!$F$1419</f>
        <v>138.196864457559</v>
      </c>
      <c r="H1419" s="38" t="n">
        <f aca="false">Sens!$H$1417-Sens!$H$1418</f>
        <v>96.9503859245701</v>
      </c>
      <c r="I1419" s="38" t="n">
        <f aca="false">Sens!$I$1417-Sens!$I$1418</f>
        <v>112.710628229773</v>
      </c>
      <c r="J1419" s="38" t="n">
        <f aca="false">Sens!$J$1417-Sens!$J$1418</f>
        <v>128.556123444441</v>
      </c>
      <c r="K1419" s="38" t="n">
        <f aca="false">Sens!$K$1417-Sens!$K$1418</f>
        <v>140.892868384242</v>
      </c>
      <c r="L1419" s="38" t="n">
        <f aca="false">Sens!$L$1417-Sens!$L$1418</f>
        <v>156.782995237604</v>
      </c>
      <c r="M1419" s="38" t="n">
        <f aca="false">Sens!$M$1417-Sens!$M$1418</f>
        <v>174.05776755817</v>
      </c>
      <c r="N1419" s="38" t="n">
        <f aca="false">Q!$N$38</f>
        <v>35.291</v>
      </c>
      <c r="O1419" s="38" t="n">
        <f aca="false">Q!$O$38</f>
        <v>42.379</v>
      </c>
    </row>
    <row r="1420" customFormat="false" ht="17.15" hidden="false" customHeight="false" outlineLevel="0" collapsed="false">
      <c r="A1420" s="5" t="s">
        <v>549</v>
      </c>
      <c r="B1420" s="5" t="s">
        <v>33</v>
      </c>
      <c r="C1420" s="22" t="n">
        <f aca="false">Q!$D$41</f>
        <v>10.721</v>
      </c>
      <c r="D1420" s="22" t="n">
        <f aca="false">Q!$E$41</f>
        <v>10.827</v>
      </c>
      <c r="E1420" s="22" t="n">
        <f aca="false">(Q!$L$41+Q!$M$41)/2</f>
        <v>10.8885</v>
      </c>
      <c r="F1420" s="22" t="n">
        <f aca="false">Sens!$G$1420</f>
        <v>10.924806</v>
      </c>
      <c r="G1420" s="22" t="n">
        <f aca="false">Q!$M$41*(1+sh_g*0.25)</f>
        <v>10.924806</v>
      </c>
      <c r="H1420" s="22" t="n">
        <f aca="false">Sens!$G$1420*(1+sh_g)</f>
        <v>11.012204448</v>
      </c>
      <c r="I1420" s="22" t="n">
        <f aca="false">Sens!$H$1420*(1+sh_g)</f>
        <v>11.100302083584</v>
      </c>
      <c r="J1420" s="22" t="n">
        <f aca="false">Sens!$I$1420*(1+sh_g)</f>
        <v>11.1891045002527</v>
      </c>
      <c r="K1420" s="22" t="n">
        <f aca="false">Sens!$J$1420*(1+sh_g)</f>
        <v>11.2786173362547</v>
      </c>
      <c r="L1420" s="22" t="n">
        <f aca="false">Sens!$K$1420*(1+sh_g)</f>
        <v>11.3688462749447</v>
      </c>
      <c r="M1420" s="22" t="n">
        <f aca="false">Sens!$L$1420*(1+sh_g)</f>
        <v>11.4597970451443</v>
      </c>
      <c r="P1420" s="5" t="s">
        <v>749</v>
      </c>
    </row>
    <row r="1421" customFormat="false" ht="17.15" hidden="false" customHeight="false" outlineLevel="0" collapsed="false">
      <c r="A1421" s="5" t="s">
        <v>750</v>
      </c>
      <c r="B1421" s="0" t="s">
        <v>86</v>
      </c>
      <c r="C1421" s="38" t="n">
        <f aca="false">Sens!$C$1419+Sens!$C$1395*(1-tax)</f>
        <v>59.248</v>
      </c>
      <c r="D1421" s="38" t="n">
        <f aca="false">Sens!$D$1419+Sens!$D$1395*(1-tax)</f>
        <v>77.67</v>
      </c>
      <c r="E1421" s="38" t="n">
        <f aca="false">Sens!$E$1419+Sens!$E$1395*(1-tax)</f>
        <v>92.902</v>
      </c>
      <c r="F1421" s="38" t="n">
        <f aca="false">Sens!$F$1419+Sens!$F$1395*(1-tax)</f>
        <v>48.1560164377953</v>
      </c>
      <c r="G1421" s="38" t="n">
        <f aca="false">Sens!$G$1419+Sens!$G$1395*(1-tax)</f>
        <v>141.058016437795</v>
      </c>
      <c r="H1421" s="38" t="n">
        <f aca="false">Sens!$H$1419+Sens!$H$1395*(1-tax)</f>
        <v>107.396344412079</v>
      </c>
      <c r="I1421" s="38" t="n">
        <f aca="false">Sens!$I$1419+Sens!$I$1395*(1-tax)</f>
        <v>129.613988556977</v>
      </c>
      <c r="J1421" s="38" t="n">
        <f aca="false">Sens!$J$1419+Sens!$J$1395*(1-tax)</f>
        <v>151.945612673654</v>
      </c>
      <c r="K1421" s="38" t="n">
        <f aca="false">Sens!$K$1419+Sens!$K$1395*(1-tax)</f>
        <v>169.822037759969</v>
      </c>
      <c r="L1421" s="38" t="n">
        <f aca="false">Sens!$L$1419+Sens!$L$1395*(1-tax)</f>
        <v>189.367429292303</v>
      </c>
      <c r="M1421" s="38" t="n">
        <f aca="false">Sens!$M$1419+Sens!$M$1395*(1-tax)</f>
        <v>208.408403459511</v>
      </c>
      <c r="N1421" s="38" t="n">
        <f aca="false">Sens!$N$1419+Sens!$N$1395*(1-tax)</f>
        <v>35.291</v>
      </c>
      <c r="O1421" s="38" t="n">
        <f aca="false">Sens!$O$1419+Sens!$O$1395*(1-tax)</f>
        <v>42.379</v>
      </c>
    </row>
    <row r="1422" customFormat="false" ht="17.15" hidden="false" customHeight="false" outlineLevel="0" collapsed="false">
      <c r="A1422" s="43" t="s">
        <v>751</v>
      </c>
      <c r="B1422" s="14" t="s">
        <v>27</v>
      </c>
      <c r="C1422" s="44" t="n">
        <f aca="false">Sens!$C$1421/Sens!$C$1420</f>
        <v>5.52635015390355</v>
      </c>
      <c r="D1422" s="44" t="n">
        <f aca="false">Sens!$D$1421/Sens!$D$1420</f>
        <v>7.1737323358271</v>
      </c>
      <c r="E1422" s="44" t="n">
        <f aca="false">Sens!$E$1421/Sens!$E$1420</f>
        <v>8.53212104513937</v>
      </c>
      <c r="F1422" s="14"/>
      <c r="G1422" s="44" t="n">
        <f aca="false">Sens!$G$1421/Sens!$G$1420</f>
        <v>12.9117181978147</v>
      </c>
      <c r="H1422" s="44" t="n">
        <f aca="false">Sens!$H$1421/Sens!$H$1420</f>
        <v>9.75248370289599</v>
      </c>
      <c r="I1422" s="44" t="n">
        <f aca="false">Sens!$I$1421/Sens!$I$1420</f>
        <v>11.676618129939</v>
      </c>
      <c r="J1422" s="44" t="n">
        <f aca="false">Sens!$J$1421/Sens!$J$1420</f>
        <v>13.5797831426297</v>
      </c>
      <c r="K1422" s="44" t="n">
        <f aca="false">Sens!$K$1421/Sens!$K$1420</f>
        <v>15.0569908258242</v>
      </c>
      <c r="L1422" s="44" t="n">
        <f aca="false">Sens!$L$1421/Sens!$L$1420</f>
        <v>16.6566971452187</v>
      </c>
      <c r="M1422" s="44" t="n">
        <f aca="false">Sens!$M$1421/Sens!$M$1420</f>
        <v>18.1860466322846</v>
      </c>
      <c r="N1422" s="14"/>
      <c r="O1422" s="14"/>
    </row>
    <row r="1423" customFormat="false" ht="17.15" hidden="false" customHeight="false" outlineLevel="0" collapsed="false">
      <c r="A1423" s="0" t="s">
        <v>752</v>
      </c>
      <c r="B1423" s="0" t="s">
        <v>27</v>
      </c>
      <c r="C1423" s="30" t="n">
        <f aca="false">Sens!$C$1419/Sens!$C$1420</f>
        <v>5.52635015390355</v>
      </c>
      <c r="D1423" s="30" t="n">
        <f aca="false">Sens!$D$1419/Sens!$D$1420</f>
        <v>7.1737323358271</v>
      </c>
      <c r="E1423" s="30" t="n">
        <f aca="false">Sens!$E$1419/Sens!$E$1420</f>
        <v>8.53212104513937</v>
      </c>
      <c r="G1423" s="30" t="n">
        <f aca="false">Sens!$G$1419/Sens!$G$1420</f>
        <v>12.6498232057905</v>
      </c>
      <c r="H1423" s="30" t="n">
        <f aca="false">Sens!$H$1419/Sens!$H$1420</f>
        <v>8.8039035583087</v>
      </c>
      <c r="I1423" s="30" t="n">
        <f aca="false">Sens!$I$1419/Sens!$I$1420</f>
        <v>10.1538343173974</v>
      </c>
      <c r="J1423" s="30" t="n">
        <f aca="false">Sens!$J$1419/Sens!$J$1420</f>
        <v>11.4894023414955</v>
      </c>
      <c r="K1423" s="30" t="n">
        <f aca="false">Sens!$K$1419/Sens!$K$1420</f>
        <v>12.4920337470221</v>
      </c>
      <c r="L1423" s="30" t="n">
        <f aca="false">Sens!$L$1419/Sens!$L$1420</f>
        <v>13.7905809829737</v>
      </c>
      <c r="M1423" s="30" t="n">
        <f aca="false">Sens!$M$1419/Sens!$M$1420</f>
        <v>15.1885558594531</v>
      </c>
    </row>
    <row r="1424" customFormat="false" ht="17.15" hidden="false" customHeight="false" outlineLevel="0" collapsed="false">
      <c r="A1424" s="0" t="s">
        <v>753</v>
      </c>
      <c r="B1424" s="0" t="s">
        <v>27</v>
      </c>
      <c r="C1424" s="30" t="n">
        <f aca="false">(Sens!$C$1419-Sens!$C$1416*(1-tax))/Sens!$C$1420</f>
        <v>5.33926775917445</v>
      </c>
      <c r="D1424" s="30" t="n">
        <f aca="false">(Sens!$D$1419-Sens!$D$1416*(1-tax))/Sens!$D$1420</f>
        <v>5.67691812755503</v>
      </c>
      <c r="E1424" s="30" t="n">
        <f aca="false">(Sens!$E$1419-Sens!$E$1416*(1-tax))/Sens!$E$1420</f>
        <v>3.10602057006846</v>
      </c>
      <c r="G1424" s="30" t="n">
        <f aca="false">(Sens!$G$1419-Sens!$G$1416*(1-tax))/Sens!$G$1420</f>
        <v>7.24175508789347</v>
      </c>
      <c r="H1424" s="30" t="n">
        <f aca="false">(Sens!$H$1419-Sens!$H$1416*(1-tax))/Sens!$H$1420</f>
        <v>8.8039035583087</v>
      </c>
      <c r="I1424" s="30" t="n">
        <f aca="false">(Sens!$I$1419-Sens!$I$1416*(1-tax))/Sens!$I$1420</f>
        <v>10.1538343173974</v>
      </c>
      <c r="J1424" s="30" t="n">
        <f aca="false">(Sens!$J$1419-Sens!$J$1416*(1-tax))/Sens!$J$1420</f>
        <v>11.4894023414955</v>
      </c>
      <c r="K1424" s="30" t="n">
        <f aca="false">(Sens!$K$1419-Sens!$K$1416*(1-tax))/Sens!$K$1420</f>
        <v>12.4920337470221</v>
      </c>
      <c r="L1424" s="30" t="n">
        <f aca="false">(Sens!$L$1419-Sens!$L$1416*(1-tax))/Sens!$L$1420</f>
        <v>13.7905809829737</v>
      </c>
      <c r="M1424" s="30" t="n">
        <f aca="false">(Sens!$M$1419-Sens!$M$1416*(1-tax))/Sens!$M$1420</f>
        <v>15.1885558594531</v>
      </c>
      <c r="P1424" s="5" t="s">
        <v>754</v>
      </c>
    </row>
    <row r="1425" customFormat="false" ht="17.15" hidden="false" customHeight="false" outlineLevel="0" collapsed="false">
      <c r="A1425" s="0" t="s">
        <v>755</v>
      </c>
      <c r="B1425" s="0" t="s">
        <v>52</v>
      </c>
      <c r="H1425" s="13" t="n">
        <f aca="false">Sens!$H$1422/Sens!$G$1422-1</f>
        <v>-0.244679634926776</v>
      </c>
      <c r="I1425" s="13" t="n">
        <f aca="false">Sens!$I$1422/Sens!$H$1422-1</f>
        <v>0.197296861564781</v>
      </c>
      <c r="J1425" s="13" t="n">
        <f aca="false">Sens!$J$1422/Sens!$I$1422-1</f>
        <v>0.16298940254036</v>
      </c>
      <c r="K1425" s="13" t="n">
        <f aca="false">Sens!$K$1422/Sens!$J$1422-1</f>
        <v>0.108779917004506</v>
      </c>
      <c r="L1425" s="13" t="n">
        <f aca="false">Sens!$L$1422/Sens!$K$1422-1</f>
        <v>0.106243427913292</v>
      </c>
      <c r="M1425" s="13" t="n">
        <f aca="false">Sens!$M$1422/Sens!$L$1422-1</f>
        <v>0.0918158908535363</v>
      </c>
    </row>
    <row r="1428" customFormat="false" ht="19.4" hidden="false" customHeight="false" outlineLevel="0" collapsed="false">
      <c r="A1428" s="31" t="s">
        <v>1155</v>
      </c>
    </row>
    <row r="1429" customFormat="false" ht="17.15" hidden="false" customHeight="false" outlineLevel="0" collapsed="false">
      <c r="A1429" s="6" t="s">
        <v>16</v>
      </c>
      <c r="B1429" s="6" t="s">
        <v>17</v>
      </c>
      <c r="C1429" s="20" t="s">
        <v>494</v>
      </c>
      <c r="D1429" s="20" t="s">
        <v>495</v>
      </c>
      <c r="E1429" s="20" t="s">
        <v>577</v>
      </c>
      <c r="F1429" s="20" t="s">
        <v>578</v>
      </c>
      <c r="G1429" s="20" t="s">
        <v>579</v>
      </c>
      <c r="H1429" s="20" t="s">
        <v>580</v>
      </c>
      <c r="I1429" s="20" t="s">
        <v>581</v>
      </c>
      <c r="J1429" s="20" t="s">
        <v>582</v>
      </c>
      <c r="K1429" s="20" t="s">
        <v>583</v>
      </c>
      <c r="L1429" s="20" t="s">
        <v>584</v>
      </c>
      <c r="M1429" s="20" t="s">
        <v>585</v>
      </c>
      <c r="N1429" s="20" t="s">
        <v>586</v>
      </c>
      <c r="O1429" s="20" t="s">
        <v>587</v>
      </c>
      <c r="P1429" s="6" t="s">
        <v>23</v>
      </c>
      <c r="R1429" s="20" t="n">
        <v>2023</v>
      </c>
      <c r="S1429" s="20" t="n">
        <v>2024</v>
      </c>
      <c r="T1429" s="20" t="n">
        <v>2025</v>
      </c>
      <c r="U1429" s="20" t="n">
        <v>2026</v>
      </c>
      <c r="V1429" s="20" t="n">
        <v>2027</v>
      </c>
      <c r="W1429" s="20" t="n">
        <v>2028</v>
      </c>
      <c r="X1429" s="20" t="n">
        <v>2029</v>
      </c>
      <c r="Y1429" s="20" t="n">
        <v>2030</v>
      </c>
      <c r="Z1429" s="20" t="n">
        <v>2031</v>
      </c>
      <c r="AA1429" s="20" t="n">
        <v>2032</v>
      </c>
    </row>
    <row r="1430" customFormat="false" ht="15" hidden="false" customHeight="false" outlineLevel="0" collapsed="false">
      <c r="A1430" s="5" t="s">
        <v>546</v>
      </c>
      <c r="B1430" s="0" t="s">
        <v>86</v>
      </c>
      <c r="C1430" s="38" t="n">
        <f aca="false">Sens!$C$1419</f>
        <v>59.248</v>
      </c>
      <c r="D1430" s="38" t="n">
        <f aca="false">Sens!$D$1419</f>
        <v>77.67</v>
      </c>
      <c r="E1430" s="38" t="n">
        <f aca="false">Sens!$E$1419</f>
        <v>92.902</v>
      </c>
      <c r="F1430" s="38" t="n">
        <f aca="false">Sens!$F$1419</f>
        <v>45.2948644575587</v>
      </c>
      <c r="G1430" s="38" t="n">
        <f aca="false">Sens!$G$1419</f>
        <v>138.196864457559</v>
      </c>
      <c r="H1430" s="38" t="n">
        <f aca="false">Sens!$H$1419</f>
        <v>96.9503859245701</v>
      </c>
      <c r="I1430" s="38" t="n">
        <f aca="false">Sens!$I$1419</f>
        <v>112.710628229773</v>
      </c>
      <c r="J1430" s="38" t="n">
        <f aca="false">Sens!$J$1419</f>
        <v>128.556123444441</v>
      </c>
      <c r="K1430" s="38" t="n">
        <f aca="false">Sens!$K$1419</f>
        <v>140.892868384242</v>
      </c>
      <c r="L1430" s="38" t="n">
        <f aca="false">Sens!$L$1419</f>
        <v>156.782995237604</v>
      </c>
      <c r="M1430" s="38" t="n">
        <f aca="false">Sens!$M$1419</f>
        <v>174.05776755817</v>
      </c>
    </row>
    <row r="1431" customFormat="false" ht="17.15" hidden="false" customHeight="false" outlineLevel="0" collapsed="false">
      <c r="A1431" s="5" t="s">
        <v>778</v>
      </c>
      <c r="B1431" s="0" t="s">
        <v>86</v>
      </c>
      <c r="C1431" s="38" t="n">
        <f aca="false">Sens!$C$1407</f>
        <v>32.067</v>
      </c>
      <c r="D1431" s="38" t="n">
        <f aca="false">Sens!$D$1407</f>
        <v>41.86</v>
      </c>
      <c r="E1431" s="38" t="n">
        <f aca="false">Sens!$E$1407</f>
        <v>26.703</v>
      </c>
      <c r="F1431" s="38" t="n">
        <f aca="false">Sens!$F$1407</f>
        <v>29.3323636256154</v>
      </c>
      <c r="G1431" s="38" t="n">
        <f aca="false">Sens!$G$1407</f>
        <v>56.0353636256154</v>
      </c>
      <c r="H1431" s="38" t="n">
        <f aca="false">Sens!$H$1407</f>
        <v>83.3066731618794</v>
      </c>
      <c r="I1431" s="38" t="n">
        <f aca="false">Sens!$I$1407</f>
        <v>109.104164972601</v>
      </c>
      <c r="J1431" s="38" t="n">
        <f aca="false">Sens!$J$1407</f>
        <v>135.382852457699</v>
      </c>
      <c r="K1431" s="38" t="n">
        <f aca="false">Sens!$K$1407</f>
        <v>161.891566707488</v>
      </c>
      <c r="L1431" s="38" t="n">
        <f aca="false">Sens!$L$1407</f>
        <v>180.435181073365</v>
      </c>
      <c r="M1431" s="38" t="n">
        <f aca="false">Sens!$M$1407</f>
        <v>193.776878920466</v>
      </c>
    </row>
    <row r="1432" customFormat="false" ht="15" hidden="false" customHeight="false" outlineLevel="0" collapsed="false">
      <c r="A1432" s="5" t="s">
        <v>779</v>
      </c>
      <c r="B1432" s="0" t="s">
        <v>86</v>
      </c>
      <c r="C1432" s="38" t="n">
        <f aca="false">Q!$D$48</f>
        <v>22.011</v>
      </c>
      <c r="D1432" s="38" t="n">
        <f aca="false">Q!$E$48</f>
        <v>19.467</v>
      </c>
      <c r="E1432" s="38" t="n">
        <f aca="false">Q!$P$48</f>
        <v>10.07</v>
      </c>
      <c r="F1432" s="38" t="n">
        <f aca="false">sbc_r*Sens!$F$1349</f>
        <v>10.8507035798037</v>
      </c>
      <c r="G1432" s="38" t="n">
        <f aca="false">Sens!$E$1432+Sens!$F$1432</f>
        <v>20.9207035798037</v>
      </c>
      <c r="H1432" s="38" t="n">
        <f aca="false">sbc_r*Sens!$H$1349</f>
        <v>23.2467569220616</v>
      </c>
      <c r="I1432" s="38" t="n">
        <f aca="false">sbc_r*Sens!$I$1349</f>
        <v>26.1429633433388</v>
      </c>
      <c r="J1432" s="38" t="n">
        <f aca="false">sbc_r*Sens!$J$1349</f>
        <v>28.9029285883036</v>
      </c>
      <c r="K1432" s="38" t="n">
        <f aca="false">sbc_r*Sens!$K$1349</f>
        <v>31.3289160668008</v>
      </c>
      <c r="L1432" s="38" t="n">
        <f aca="false">sbc_r*Sens!$L$1349</f>
        <v>33.6568343354986</v>
      </c>
      <c r="M1432" s="38" t="n">
        <f aca="false">sbc_r*Sens!$M$1349</f>
        <v>35.8958470082672</v>
      </c>
    </row>
    <row r="1433" customFormat="false" ht="17.15" hidden="false" customHeight="false" outlineLevel="0" collapsed="false">
      <c r="A1433" s="5" t="s">
        <v>780</v>
      </c>
      <c r="B1433" s="0" t="s">
        <v>86</v>
      </c>
      <c r="C1433" s="38" t="n">
        <f aca="false">Q!$D$44-Sens!$C$1430-Sens!$C$1431-Sens!$C$1432</f>
        <v>2.551</v>
      </c>
      <c r="D1433" s="38" t="n">
        <f aca="false">Q!$E$44-Sens!$D$1430-Sens!$D$1431-Sens!$D$1432</f>
        <v>0.51700000000001</v>
      </c>
      <c r="E1433" s="38" t="n">
        <f aca="false">Q!$P$44-Sens!$E$1430-Sens!$E$1431-Sens!$E$1432</f>
        <v>-58.256</v>
      </c>
      <c r="F1433" s="38" t="n">
        <f aca="false">oth_r*Sens!$F$1349</f>
        <v>5.22265251035878</v>
      </c>
      <c r="G1433" s="38" t="n">
        <f aca="false">Sens!$E$1433+Sens!$F$1433</f>
        <v>-53.0333474896412</v>
      </c>
      <c r="H1433" s="38" t="n">
        <f aca="false">oth_r*Sens!$H$1349</f>
        <v>11.1891116095628</v>
      </c>
      <c r="I1433" s="38" t="n">
        <f aca="false">oth_r*Sens!$I$1349</f>
        <v>12.5831115124588</v>
      </c>
      <c r="J1433" s="38" t="n">
        <f aca="false">oth_r*Sens!$J$1349</f>
        <v>13.9115359145361</v>
      </c>
      <c r="K1433" s="38" t="n">
        <f aca="false">oth_r*Sens!$K$1349</f>
        <v>15.0792103884988</v>
      </c>
      <c r="L1433" s="38" t="n">
        <f aca="false">oth_r*Sens!$L$1349</f>
        <v>16.1996822639405</v>
      </c>
      <c r="M1433" s="38" t="n">
        <f aca="false">oth_r*Sens!$M$1349</f>
        <v>17.2773621646177</v>
      </c>
      <c r="P1433" s="8" t="s">
        <v>781</v>
      </c>
    </row>
    <row r="1434" customFormat="false" ht="15" hidden="false" customHeight="false" outlineLevel="0" collapsed="false">
      <c r="A1434" s="3" t="s">
        <v>552</v>
      </c>
      <c r="B1434" s="8" t="s">
        <v>86</v>
      </c>
      <c r="C1434" s="38" t="n">
        <f aca="false">Q!$D$44</f>
        <v>115.877</v>
      </c>
      <c r="D1434" s="38" t="n">
        <f aca="false">Q!$E$44</f>
        <v>139.514</v>
      </c>
      <c r="E1434" s="38" t="n">
        <f aca="false">Q!$P$44</f>
        <v>71.419</v>
      </c>
      <c r="F1434" s="38" t="n">
        <f aca="false">Sens!$F$1430+Sens!$F$1431+Sens!$F$1432+Sens!$F$1433</f>
        <v>90.7005841733366</v>
      </c>
      <c r="G1434" s="38" t="n">
        <f aca="false">Sens!$E$1434+Sens!$F$1434</f>
        <v>162.119584173337</v>
      </c>
      <c r="H1434" s="38" t="n">
        <f aca="false">Sens!$H$1430+Sens!$H$1431+Sens!$H$1432+Sens!$H$1433</f>
        <v>214.692927618074</v>
      </c>
      <c r="I1434" s="38" t="n">
        <f aca="false">Sens!$I$1430+Sens!$I$1431+Sens!$I$1432+Sens!$I$1433</f>
        <v>260.540868058171</v>
      </c>
      <c r="J1434" s="38" t="n">
        <f aca="false">Sens!$J$1430+Sens!$J$1431+Sens!$J$1432+Sens!$J$1433</f>
        <v>306.75344040498</v>
      </c>
      <c r="K1434" s="38" t="n">
        <f aca="false">Sens!$K$1430+Sens!$K$1431+Sens!$K$1432+Sens!$K$1433</f>
        <v>349.192561547029</v>
      </c>
      <c r="L1434" s="38" t="n">
        <f aca="false">Sens!$L$1430+Sens!$L$1431+Sens!$L$1432+Sens!$L$1433</f>
        <v>387.074692910408</v>
      </c>
      <c r="M1434" s="38" t="n">
        <f aca="false">Sens!$M$1430+Sens!$M$1431+Sens!$M$1432+Sens!$M$1433</f>
        <v>421.00785565152</v>
      </c>
    </row>
    <row r="1435" customFormat="false" ht="17.15" hidden="false" customHeight="false" outlineLevel="0" collapsed="false">
      <c r="A1435" s="5" t="s">
        <v>782</v>
      </c>
      <c r="B1435" s="0" t="s">
        <v>86</v>
      </c>
      <c r="C1435" s="38" t="n">
        <f aca="false">Sens!$C$1318</f>
        <v>25.2781053077374</v>
      </c>
      <c r="D1435" s="38" t="n">
        <f aca="false">Sens!$D$1318</f>
        <v>69.5686316310026</v>
      </c>
      <c r="E1435" s="38" t="n">
        <f aca="false">Sens!$E$1318</f>
        <v>64.1899206485108</v>
      </c>
      <c r="F1435" s="38" t="n">
        <f aca="false">Sens!$F$1318</f>
        <v>88.6441002874699</v>
      </c>
      <c r="G1435" s="38" t="n">
        <f aca="false">Sens!$G$1318</f>
        <v>152.834020935981</v>
      </c>
      <c r="H1435" s="38" t="n">
        <f aca="false">Sens!$H$1318</f>
        <v>148.928523708563</v>
      </c>
      <c r="I1435" s="38" t="n">
        <f aca="false">Sens!$I$1318</f>
        <v>153.484852432875</v>
      </c>
      <c r="J1435" s="38" t="n">
        <f aca="false">Sens!$J$1318</f>
        <v>158.721620632875</v>
      </c>
      <c r="K1435" s="38" t="n">
        <f aca="false">Sens!$K$1318</f>
        <v>119.339983678401</v>
      </c>
      <c r="L1435" s="38" t="n">
        <f aca="false">Sens!$L$1318</f>
        <v>111.378955923926</v>
      </c>
      <c r="M1435" s="38" t="n">
        <f aca="false">Sens!$M$1318</f>
        <v>107.034025710889</v>
      </c>
    </row>
    <row r="1436" customFormat="false" ht="17.15" hidden="false" customHeight="false" outlineLevel="0" collapsed="false">
      <c r="A1436" s="5" t="s">
        <v>783</v>
      </c>
      <c r="B1436" s="0" t="s">
        <v>86</v>
      </c>
      <c r="C1436" s="38" t="n">
        <f aca="false">cx_awso*Sens!$C$1347</f>
        <v>21.0469989286053</v>
      </c>
      <c r="D1436" s="38" t="n">
        <f aca="false">cx_awso*Sens!$D$1347</f>
        <v>24.0042459822698</v>
      </c>
      <c r="E1436" s="38" t="n">
        <f aca="false">cx_awso*Sens!$E$1347</f>
        <v>14.261729404886</v>
      </c>
      <c r="F1436" s="38" t="n">
        <f aca="false">cx_awso*Sens!$F$1347</f>
        <v>14.3538599588493</v>
      </c>
      <c r="G1436" s="38" t="n">
        <f aca="false">Sens!$E$1436+Sens!$F$1436</f>
        <v>28.6155893637353</v>
      </c>
      <c r="H1436" s="38" t="n">
        <f aca="false">cx_awso*Sens!$H$1347</f>
        <v>32.2034154158406</v>
      </c>
      <c r="I1436" s="38" t="n">
        <f aca="false">cx_awso*Sens!$I$1347</f>
        <v>35.7539519042915</v>
      </c>
      <c r="J1436" s="38" t="n">
        <f aca="false">cx_awso*Sens!$J$1347</f>
        <v>39.1551076091815</v>
      </c>
      <c r="K1436" s="38" t="n">
        <f aca="false">cx_awso*Sens!$K$1347</f>
        <v>42.287516217916</v>
      </c>
      <c r="L1436" s="38" t="n">
        <f aca="false">cx_awso*Sens!$L$1347</f>
        <v>45.6705175153492</v>
      </c>
      <c r="M1436" s="38" t="n">
        <f aca="false">cx_awso*Sens!$M$1347</f>
        <v>49.3241589165772</v>
      </c>
    </row>
    <row r="1437" customFormat="false" ht="17.15" hidden="false" customHeight="false" outlineLevel="0" collapsed="false">
      <c r="A1437" s="5" t="s">
        <v>784</v>
      </c>
      <c r="B1437" s="0" t="s">
        <v>86</v>
      </c>
      <c r="C1437" s="38" t="n">
        <f aca="false">Q!$D$46-Sens!$C$1435-Sens!$C$1436</f>
        <v>31.3328957636573</v>
      </c>
      <c r="D1437" s="38" t="n">
        <f aca="false">Q!$E$46-Sens!$D$1435-Sens!$D$1436</f>
        <v>34.7471223867276</v>
      </c>
      <c r="E1437" s="38" t="n">
        <f aca="false">Q!$P$46-Sens!$E$1435-Sens!$E$1436</f>
        <v>17.8583499466032</v>
      </c>
      <c r="F1437" s="38" t="n">
        <f aca="false">cx_rt*Sens!$F$1281</f>
        <v>20.6920397536808</v>
      </c>
      <c r="G1437" s="38" t="n">
        <f aca="false">Sens!$E$1437+Sens!$F$1437</f>
        <v>38.5503897002841</v>
      </c>
      <c r="H1437" s="38" t="n">
        <f aca="false">cx_rt*Sens!$H$1281</f>
        <v>42.678142199066</v>
      </c>
      <c r="I1437" s="38" t="n">
        <f aca="false">cx_rt*Sens!$I$1281</f>
        <v>46.6691693033635</v>
      </c>
      <c r="J1437" s="38" t="n">
        <f aca="false">cx_rt*Sens!$J$1281</f>
        <v>50.3729398652241</v>
      </c>
      <c r="K1437" s="38" t="n">
        <f aca="false">cx_rt*Sens!$K$1281</f>
        <v>53.6321671478819</v>
      </c>
      <c r="L1437" s="38" t="n">
        <f aca="false">cx_rt*Sens!$L$1281</f>
        <v>57.1191771775082</v>
      </c>
      <c r="M1437" s="38" t="n">
        <f aca="false">cx_rt*Sens!$M$1281</f>
        <v>60.8511072948177</v>
      </c>
    </row>
    <row r="1438" customFormat="false" ht="15" hidden="false" customHeight="false" outlineLevel="0" collapsed="false">
      <c r="A1438" s="3" t="s">
        <v>785</v>
      </c>
      <c r="B1438" s="8" t="s">
        <v>86</v>
      </c>
      <c r="C1438" s="38" t="n">
        <f aca="false">Q!$D$46</f>
        <v>77.658</v>
      </c>
      <c r="D1438" s="38" t="n">
        <f aca="false">Q!$E$46</f>
        <v>128.32</v>
      </c>
      <c r="E1438" s="38" t="n">
        <f aca="false">Q!$P$46</f>
        <v>96.31</v>
      </c>
      <c r="F1438" s="38" t="n">
        <f aca="false">Sens!$F$1435+Sens!$F$1436+Sens!$F$1437</f>
        <v>123.69</v>
      </c>
      <c r="G1438" s="38" t="n">
        <f aca="false">Sens!$E$1438+Sens!$F$1438</f>
        <v>220</v>
      </c>
      <c r="H1438" s="38" t="n">
        <f aca="false">Sens!$H$1435+Sens!$H$1436+Sens!$H$1437</f>
        <v>223.810081323469</v>
      </c>
      <c r="I1438" s="38" t="n">
        <f aca="false">Sens!$I$1435+Sens!$I$1436+Sens!$I$1437</f>
        <v>235.90797364053</v>
      </c>
      <c r="J1438" s="38" t="n">
        <f aca="false">Sens!$J$1435+Sens!$J$1436+Sens!$J$1437</f>
        <v>248.249668107281</v>
      </c>
      <c r="K1438" s="38" t="n">
        <f aca="false">Sens!$K$1435+Sens!$K$1436+Sens!$K$1437</f>
        <v>215.259667044198</v>
      </c>
      <c r="L1438" s="38" t="n">
        <f aca="false">Sens!$L$1435+Sens!$L$1436+Sens!$L$1437</f>
        <v>214.168650616784</v>
      </c>
      <c r="M1438" s="38" t="n">
        <f aca="false">Sens!$M$1435+Sens!$M$1436+Sens!$M$1437</f>
        <v>217.209291922284</v>
      </c>
    </row>
    <row r="1439" customFormat="false" ht="17.15" hidden="false" customHeight="false" outlineLevel="0" collapsed="false">
      <c r="A1439" s="5" t="s">
        <v>560</v>
      </c>
      <c r="B1439" s="0" t="s">
        <v>86</v>
      </c>
      <c r="C1439" s="38" t="n">
        <f aca="false">Q!$D$50</f>
        <v>2.043</v>
      </c>
      <c r="D1439" s="38" t="n">
        <f aca="false">Q!$E$50</f>
        <v>1.557</v>
      </c>
      <c r="E1439" s="38" t="n">
        <f aca="false">lease_pr/2</f>
        <v>0.8</v>
      </c>
      <c r="F1439" s="38" t="n">
        <f aca="false">lease_pr/2</f>
        <v>0.8</v>
      </c>
      <c r="G1439" s="38" t="n">
        <f aca="false">Sens!$E$1439+Sens!$F$1439</f>
        <v>1.6</v>
      </c>
      <c r="H1439" s="38" t="n">
        <f aca="false">lease_pr</f>
        <v>1.6</v>
      </c>
      <c r="I1439" s="38" t="n">
        <f aca="false">lease_pr</f>
        <v>1.6</v>
      </c>
      <c r="J1439" s="38" t="n">
        <f aca="false">lease_pr</f>
        <v>1.6</v>
      </c>
      <c r="K1439" s="38" t="n">
        <f aca="false">lease_pr</f>
        <v>1.6</v>
      </c>
      <c r="L1439" s="38" t="n">
        <f aca="false">lease_pr</f>
        <v>1.6</v>
      </c>
      <c r="M1439" s="38" t="n">
        <f aca="false">lease_pr</f>
        <v>1.6</v>
      </c>
      <c r="P1439" s="8" t="s">
        <v>786</v>
      </c>
    </row>
    <row r="1440" customFormat="false" ht="15" hidden="false" customHeight="false" outlineLevel="0" collapsed="false">
      <c r="A1440" s="47" t="s">
        <v>787</v>
      </c>
      <c r="B1440" s="14" t="s">
        <v>86</v>
      </c>
      <c r="C1440" s="48" t="n">
        <f aca="false">Sens!$C$1434-Sens!$C$1438-Sens!$C$1439</f>
        <v>36.176</v>
      </c>
      <c r="D1440" s="48" t="n">
        <f aca="false">Sens!$D$1434-Sens!$D$1438-Sens!$D$1439</f>
        <v>9.63700000000002</v>
      </c>
      <c r="E1440" s="48" t="n">
        <f aca="false">Sens!$E$1434-Sens!$E$1438-Sens!$E$1439</f>
        <v>-25.691</v>
      </c>
      <c r="F1440" s="48" t="n">
        <f aca="false">Sens!$F$1434-Sens!$F$1438-Sens!$F$1439</f>
        <v>-33.7894158266634</v>
      </c>
      <c r="G1440" s="48" t="n">
        <f aca="false">Sens!$G$1434-Sens!$G$1438-Sens!$G$1439</f>
        <v>-59.4804158266634</v>
      </c>
      <c r="H1440" s="48" t="n">
        <f aca="false">Sens!$H$1434-Sens!$H$1438-Sens!$H$1439</f>
        <v>-10.7171537053952</v>
      </c>
      <c r="I1440" s="48" t="n">
        <f aca="false">Sens!$I$1434-Sens!$I$1438-Sens!$I$1439</f>
        <v>23.0328944176412</v>
      </c>
      <c r="J1440" s="48" t="n">
        <f aca="false">Sens!$J$1434-Sens!$J$1438-Sens!$J$1439</f>
        <v>56.9037722976991</v>
      </c>
      <c r="K1440" s="48" t="n">
        <f aca="false">Sens!$K$1434-Sens!$K$1438-Sens!$K$1439</f>
        <v>132.332894502831</v>
      </c>
      <c r="L1440" s="48" t="n">
        <f aca="false">Sens!$L$1434-Sens!$L$1438-Sens!$L$1439</f>
        <v>171.306042293625</v>
      </c>
      <c r="M1440" s="48" t="n">
        <f aca="false">Sens!$M$1434-Sens!$M$1438-Sens!$M$1439</f>
        <v>202.198563729236</v>
      </c>
      <c r="N1440" s="14"/>
      <c r="O1440" s="14"/>
    </row>
    <row r="1441" customFormat="false" ht="17.15" hidden="false" customHeight="false" outlineLevel="0" collapsed="false">
      <c r="A1441" s="5" t="s">
        <v>788</v>
      </c>
      <c r="B1441" s="0" t="s">
        <v>86</v>
      </c>
      <c r="C1441" s="38" t="n">
        <f aca="false">dps*Sens!$C$1420</f>
        <v>0</v>
      </c>
      <c r="D1441" s="38" t="n">
        <f aca="false">dps*Sens!$D$1420</f>
        <v>0</v>
      </c>
      <c r="E1441" s="38" t="n">
        <f aca="false">dps*Sens!$E$1420</f>
        <v>0</v>
      </c>
      <c r="F1441" s="38" t="n">
        <f aca="false">0</f>
        <v>0</v>
      </c>
      <c r="G1441" s="38" t="n">
        <f aca="false">dps*Sens!$G$1420</f>
        <v>0</v>
      </c>
      <c r="H1441" s="38" t="n">
        <f aca="false">dps*Sens!$H$1420</f>
        <v>0</v>
      </c>
      <c r="I1441" s="38" t="n">
        <f aca="false">dps*Sens!$I$1420</f>
        <v>0</v>
      </c>
      <c r="J1441" s="38" t="n">
        <f aca="false">dps*Sens!$J$1420</f>
        <v>0</v>
      </c>
      <c r="K1441" s="38" t="n">
        <f aca="false">dps*Sens!$K$1420</f>
        <v>0</v>
      </c>
      <c r="L1441" s="38" t="n">
        <f aca="false">dps*Sens!$L$1420</f>
        <v>0</v>
      </c>
      <c r="M1441" s="38" t="n">
        <f aca="false">dps*Sens!$M$1420</f>
        <v>0</v>
      </c>
      <c r="P1441" s="8" t="s">
        <v>789</v>
      </c>
    </row>
    <row r="1442" customFormat="false" ht="17.15" hidden="false" customHeight="false" outlineLevel="0" collapsed="false">
      <c r="A1442" s="5" t="s">
        <v>790</v>
      </c>
      <c r="B1442" s="0" t="s">
        <v>86</v>
      </c>
      <c r="C1442" s="38" t="n">
        <f aca="false">0</f>
        <v>0</v>
      </c>
      <c r="D1442" s="38" t="n">
        <f aca="false">0</f>
        <v>0</v>
      </c>
      <c r="E1442" s="38" t="n">
        <f aca="false">0</f>
        <v>0</v>
      </c>
      <c r="F1442" s="38" t="n">
        <f aca="false">0</f>
        <v>0</v>
      </c>
      <c r="G1442" s="38" t="n">
        <f aca="false">0</f>
        <v>0</v>
      </c>
      <c r="H1442" s="38" t="n">
        <f aca="false">0</f>
        <v>0</v>
      </c>
      <c r="I1442" s="38" t="n">
        <f aca="false">0</f>
        <v>0</v>
      </c>
      <c r="J1442" s="38" t="n">
        <f aca="false">0</f>
        <v>0</v>
      </c>
      <c r="K1442" s="38" t="n">
        <f aca="false">0</f>
        <v>0</v>
      </c>
      <c r="L1442" s="38" t="n">
        <f aca="false">0</f>
        <v>0</v>
      </c>
      <c r="M1442" s="38" t="n">
        <f aca="false">0</f>
        <v>0</v>
      </c>
      <c r="P1442" s="8" t="s">
        <v>791</v>
      </c>
    </row>
    <row r="1443" customFormat="false" ht="15" hidden="false" customHeight="false" outlineLevel="0" collapsed="false">
      <c r="A1443" s="3" t="s">
        <v>792</v>
      </c>
      <c r="B1443" s="8" t="s">
        <v>86</v>
      </c>
      <c r="C1443" s="38" t="n">
        <f aca="false">Sens!$C$1440-Sens!$C$1441</f>
        <v>36.176</v>
      </c>
      <c r="D1443" s="38" t="n">
        <f aca="false">Sens!$D$1440-Sens!$D$1441</f>
        <v>9.63700000000002</v>
      </c>
      <c r="E1443" s="38" t="n">
        <f aca="false">Sens!$E$1440-Sens!$E$1441</f>
        <v>-25.691</v>
      </c>
      <c r="F1443" s="38" t="n">
        <f aca="false">Sens!$F$1440-Sens!$F$1441</f>
        <v>-33.7894158266634</v>
      </c>
      <c r="G1443" s="38" t="n">
        <f aca="false">Sens!$G$1440-Sens!$G$1441</f>
        <v>-59.4804158266634</v>
      </c>
      <c r="H1443" s="38" t="n">
        <f aca="false">Sens!$H$1440-Sens!$H$1441</f>
        <v>-10.7171537053952</v>
      </c>
      <c r="I1443" s="38" t="n">
        <f aca="false">Sens!$I$1440-Sens!$I$1441</f>
        <v>23.0328944176412</v>
      </c>
      <c r="J1443" s="38" t="n">
        <f aca="false">Sens!$J$1440-Sens!$J$1441</f>
        <v>56.9037722976991</v>
      </c>
      <c r="K1443" s="38" t="n">
        <f aca="false">Sens!$K$1440-Sens!$K$1441</f>
        <v>132.332894502831</v>
      </c>
      <c r="L1443" s="38" t="n">
        <f aca="false">Sens!$L$1440-Sens!$L$1441</f>
        <v>171.306042293625</v>
      </c>
      <c r="M1443" s="38" t="n">
        <f aca="false">Sens!$M$1440-Sens!$M$1441</f>
        <v>202.198563729236</v>
      </c>
    </row>
    <row r="1444" customFormat="false" ht="17.15" hidden="false" customHeight="false" outlineLevel="0" collapsed="false">
      <c r="A1444" s="5" t="s">
        <v>793</v>
      </c>
      <c r="B1444" s="0" t="s">
        <v>86</v>
      </c>
      <c r="E1444" s="38" t="n">
        <f aca="false">Q!$P$53</f>
        <v>39.767</v>
      </c>
      <c r="F1444" s="38" t="n">
        <f aca="false">inv_2h26</f>
        <v>21.3</v>
      </c>
      <c r="G1444" s="38" t="n">
        <f aca="false">Sens!$E$1444+Sens!$F$1444</f>
        <v>61.067</v>
      </c>
      <c r="H1444" s="39" t="n">
        <v>0</v>
      </c>
      <c r="I1444" s="39" t="n">
        <v>0</v>
      </c>
      <c r="J1444" s="39" t="n">
        <v>0</v>
      </c>
      <c r="K1444" s="39" t="n">
        <v>0</v>
      </c>
      <c r="L1444" s="39" t="n">
        <v>0</v>
      </c>
      <c r="M1444" s="39" t="n">
        <v>0</v>
      </c>
    </row>
    <row r="1445" customFormat="false" ht="17.15" hidden="false" customHeight="false" outlineLevel="0" collapsed="false">
      <c r="A1445" s="5" t="s">
        <v>794</v>
      </c>
      <c r="B1445" s="0" t="s">
        <v>86</v>
      </c>
      <c r="F1445" s="38" t="n">
        <f aca="false">iss_2h26</f>
        <v>29.249999</v>
      </c>
      <c r="G1445" s="38" t="n">
        <f aca="false">Sens!$F$1445</f>
        <v>29.249999</v>
      </c>
      <c r="H1445" s="39" t="n">
        <v>0</v>
      </c>
      <c r="I1445" s="39" t="n">
        <v>0</v>
      </c>
      <c r="J1445" s="39" t="n">
        <v>0</v>
      </c>
      <c r="K1445" s="39" t="n">
        <v>0</v>
      </c>
      <c r="L1445" s="39" t="n">
        <v>0</v>
      </c>
      <c r="M1445" s="39" t="n">
        <v>0</v>
      </c>
    </row>
    <row r="1446" customFormat="false" ht="17.15" hidden="false" customHeight="false" outlineLevel="0" collapsed="false">
      <c r="A1446" s="5" t="s">
        <v>795</v>
      </c>
      <c r="B1446" s="0" t="s">
        <v>86</v>
      </c>
      <c r="F1446" s="38" t="n">
        <f aca="false">cash_q2</f>
        <v>122.988</v>
      </c>
      <c r="G1446" s="38" t="n">
        <f aca="false">cash_q2</f>
        <v>122.988</v>
      </c>
      <c r="H1446" s="38" t="n">
        <f aca="false">Sens!$G$1449</f>
        <v>97.1485831733366</v>
      </c>
      <c r="I1446" s="38" t="n">
        <f aca="false">Sens!$H$1449</f>
        <v>86.4314294679414</v>
      </c>
      <c r="J1446" s="38" t="n">
        <f aca="false">Sens!$I$1449</f>
        <v>109.464323885583</v>
      </c>
      <c r="K1446" s="38" t="n">
        <f aca="false">Sens!$J$1449</f>
        <v>166.368096183282</v>
      </c>
      <c r="L1446" s="38" t="n">
        <f aca="false">Sens!$K$1449</f>
        <v>298.700990686113</v>
      </c>
      <c r="M1446" s="38" t="n">
        <f aca="false">Sens!$L$1449</f>
        <v>470.007032979737</v>
      </c>
    </row>
    <row r="1447" customFormat="false" ht="15" hidden="false" customHeight="false" outlineLevel="0" collapsed="false">
      <c r="A1447" s="5" t="s">
        <v>796</v>
      </c>
      <c r="B1447" s="0" t="s">
        <v>86</v>
      </c>
      <c r="F1447" s="38" t="n">
        <f aca="false">Sens!$F$1446+Sens!$F$1443-Sens!$F$1442-Sens!$F$1444+Sens!$F$1445</f>
        <v>97.1485831733366</v>
      </c>
      <c r="H1447" s="38" t="n">
        <f aca="false">Sens!$H$1446+Sens!$H$1443-Sens!$H$1442-Sens!$H$1444+Sens!$H$1445</f>
        <v>86.4314294679414</v>
      </c>
      <c r="I1447" s="38" t="n">
        <f aca="false">Sens!$I$1446+Sens!$I$1443-Sens!$I$1442-Sens!$I$1444+Sens!$I$1445</f>
        <v>109.464323885583</v>
      </c>
      <c r="J1447" s="38" t="n">
        <f aca="false">Sens!$J$1446+Sens!$J$1443-Sens!$J$1442-Sens!$J$1444+Sens!$J$1445</f>
        <v>166.368096183282</v>
      </c>
      <c r="K1447" s="38" t="n">
        <f aca="false">Sens!$K$1446+Sens!$K$1443-Sens!$K$1442-Sens!$K$1444+Sens!$K$1445</f>
        <v>298.700990686113</v>
      </c>
      <c r="L1447" s="38" t="n">
        <f aca="false">Sens!$L$1446+Sens!$L$1443-Sens!$L$1442-Sens!$L$1444+Sens!$L$1445</f>
        <v>470.007032979737</v>
      </c>
      <c r="M1447" s="38" t="n">
        <f aca="false">Sens!$M$1446+Sens!$M$1443-Sens!$M$1442-Sens!$M$1444+Sens!$M$1445</f>
        <v>672.205596708973</v>
      </c>
    </row>
    <row r="1448" customFormat="false" ht="17.15" hidden="false" customHeight="false" outlineLevel="0" collapsed="false">
      <c r="A1448" s="5" t="s">
        <v>797</v>
      </c>
      <c r="B1448" s="0" t="s">
        <v>86</v>
      </c>
      <c r="F1448" s="38" t="n">
        <f aca="false">MAX(0,min_cash-Sens!$F$1447)</f>
        <v>0</v>
      </c>
      <c r="G1448" s="38" t="n">
        <f aca="false">Sens!$F$1448</f>
        <v>0</v>
      </c>
      <c r="H1448" s="38" t="n">
        <f aca="false">MAX(0,min_cash-Sens!$H$1447)</f>
        <v>0</v>
      </c>
      <c r="I1448" s="38" t="n">
        <f aca="false">MAX(0,min_cash-Sens!$I$1447)</f>
        <v>0</v>
      </c>
      <c r="J1448" s="38" t="n">
        <f aca="false">MAX(0,min_cash-Sens!$J$1447)</f>
        <v>0</v>
      </c>
      <c r="K1448" s="38" t="n">
        <f aca="false">MAX(0,min_cash-Sens!$K$1447)</f>
        <v>0</v>
      </c>
      <c r="L1448" s="38" t="n">
        <f aca="false">MAX(0,min_cash-Sens!$L$1447)</f>
        <v>0</v>
      </c>
      <c r="M1448" s="38" t="n">
        <f aca="false">MAX(0,min_cash-Sens!$M$1447)</f>
        <v>0</v>
      </c>
      <c r="P1448" s="5" t="s">
        <v>798</v>
      </c>
    </row>
    <row r="1449" customFormat="false" ht="15" hidden="false" customHeight="false" outlineLevel="0" collapsed="false">
      <c r="A1449" s="5" t="s">
        <v>799</v>
      </c>
      <c r="B1449" s="0" t="s">
        <v>86</v>
      </c>
      <c r="D1449" s="38" t="n">
        <f aca="false">Q!$E$61</f>
        <v>123.029</v>
      </c>
      <c r="E1449" s="38" t="n">
        <f aca="false">Q!$M$61</f>
        <v>122.988</v>
      </c>
      <c r="F1449" s="38" t="n">
        <f aca="false">Sens!$F$1447+Sens!$F$1448</f>
        <v>97.1485831733366</v>
      </c>
      <c r="G1449" s="38" t="n">
        <f aca="false">Sens!$F$1449</f>
        <v>97.1485831733366</v>
      </c>
      <c r="H1449" s="38" t="n">
        <f aca="false">Sens!$H$1447+Sens!$H$1448</f>
        <v>86.4314294679414</v>
      </c>
      <c r="I1449" s="38" t="n">
        <f aca="false">Sens!$I$1447+Sens!$I$1448</f>
        <v>109.464323885583</v>
      </c>
      <c r="J1449" s="38" t="n">
        <f aca="false">Sens!$J$1447+Sens!$J$1448</f>
        <v>166.368096183282</v>
      </c>
      <c r="K1449" s="38" t="n">
        <f aca="false">Sens!$K$1447+Sens!$K$1448</f>
        <v>298.700990686113</v>
      </c>
      <c r="L1449" s="38" t="n">
        <f aca="false">Sens!$L$1447+Sens!$L$1448</f>
        <v>470.007032979737</v>
      </c>
      <c r="M1449" s="38" t="n">
        <f aca="false">Sens!$M$1447+Sens!$M$1448</f>
        <v>672.205596708973</v>
      </c>
    </row>
    <row r="1450" customFormat="false" ht="15" hidden="false" customHeight="false" outlineLevel="0" collapsed="false">
      <c r="A1450" s="5" t="s">
        <v>800</v>
      </c>
      <c r="B1450" s="0" t="s">
        <v>86</v>
      </c>
      <c r="D1450" s="38" t="n">
        <f aca="false">Q!$E$62</f>
        <v>68.836</v>
      </c>
      <c r="E1450" s="38" t="n">
        <f aca="false">Q!$M$62</f>
        <v>132.995</v>
      </c>
      <c r="F1450" s="38" t="n">
        <f aca="false">debt_q2+Sens!$F$1445+Sens!$F$1448</f>
        <v>162.244999</v>
      </c>
      <c r="G1450" s="38" t="n">
        <f aca="false">Sens!$F$1450</f>
        <v>162.244999</v>
      </c>
      <c r="H1450" s="38" t="n">
        <f aca="false">Sens!$G$1450+Sens!$H$1448</f>
        <v>162.244999</v>
      </c>
      <c r="I1450" s="38" t="n">
        <f aca="false">Sens!$H$1450+Sens!$I$1448</f>
        <v>162.244999</v>
      </c>
      <c r="J1450" s="38" t="n">
        <f aca="false">Sens!$I$1450+Sens!$J$1448</f>
        <v>162.244999</v>
      </c>
      <c r="K1450" s="38" t="n">
        <f aca="false">Sens!$J$1450+Sens!$K$1448</f>
        <v>162.244999</v>
      </c>
      <c r="L1450" s="38" t="n">
        <f aca="false">Sens!$K$1450+Sens!$L$1448</f>
        <v>162.244999</v>
      </c>
      <c r="M1450" s="38" t="n">
        <f aca="false">Sens!$L$1450+Sens!$M$1448</f>
        <v>162.244999</v>
      </c>
    </row>
    <row r="1451" customFormat="false" ht="15" hidden="false" customHeight="false" outlineLevel="0" collapsed="false">
      <c r="A1451" s="5" t="s">
        <v>801</v>
      </c>
      <c r="B1451" s="0" t="s">
        <v>86</v>
      </c>
      <c r="D1451" s="38" t="n">
        <f aca="false">Sens!$D$1450-Sens!$D$1449</f>
        <v>-54.193</v>
      </c>
      <c r="E1451" s="38" t="n">
        <f aca="false">Sens!$E$1450-Sens!$E$1449</f>
        <v>10.007</v>
      </c>
      <c r="F1451" s="38" t="n">
        <f aca="false">Sens!$F$1450-Sens!$F$1449</f>
        <v>65.0964158266634</v>
      </c>
      <c r="G1451" s="38" t="n">
        <f aca="false">Sens!$G$1450-Sens!$G$1449</f>
        <v>65.0964158266634</v>
      </c>
      <c r="H1451" s="38" t="n">
        <f aca="false">Sens!$H$1450-Sens!$H$1449</f>
        <v>75.8135695320586</v>
      </c>
      <c r="I1451" s="38" t="n">
        <f aca="false">Sens!$I$1450-Sens!$I$1449</f>
        <v>52.7806751144174</v>
      </c>
      <c r="J1451" s="38" t="n">
        <f aca="false">Sens!$J$1450-Sens!$J$1449</f>
        <v>-4.12309718328177</v>
      </c>
      <c r="K1451" s="38" t="n">
        <f aca="false">Sens!$K$1450-Sens!$K$1449</f>
        <v>-136.455991686113</v>
      </c>
      <c r="L1451" s="38" t="n">
        <f aca="false">Sens!$L$1450-Sens!$L$1449</f>
        <v>-307.762033979737</v>
      </c>
      <c r="M1451" s="38" t="n">
        <f aca="false">Sens!$M$1450-Sens!$M$1449</f>
        <v>-509.960597708973</v>
      </c>
    </row>
    <row r="1452" customFormat="false" ht="17.15" hidden="false" customHeight="false" outlineLevel="0" collapsed="false">
      <c r="A1452" s="5" t="s">
        <v>802</v>
      </c>
      <c r="B1452" s="0" t="s">
        <v>86</v>
      </c>
      <c r="F1452" s="38" t="n">
        <f aca="false">debt_q2*kd_book*0.5+iss_2h26*kd_new*iss_t</f>
        <v>3.24888962733561</v>
      </c>
      <c r="H1452" s="38" t="n">
        <f aca="false">debt_q2*kd_book+(Sens!$G$1450-debt_q2)*kd_new</f>
        <v>7.42354172302123</v>
      </c>
      <c r="I1452" s="38" t="n">
        <f aca="false">debt_q2*kd_book+(Sens!$H$1450-debt_q2)*kd_new</f>
        <v>7.42354172302123</v>
      </c>
      <c r="J1452" s="38" t="n">
        <f aca="false">debt_q2*kd_book+(Sens!$I$1450-debt_q2)*kd_new</f>
        <v>7.42354172302123</v>
      </c>
      <c r="K1452" s="38" t="n">
        <f aca="false">debt_q2*kd_book+(Sens!$J$1450-debt_q2)*kd_new</f>
        <v>7.42354172302123</v>
      </c>
      <c r="L1452" s="38" t="n">
        <f aca="false">debt_q2*kd_book+(Sens!$K$1450-debt_q2)*kd_new</f>
        <v>7.42354172302123</v>
      </c>
      <c r="M1452" s="38" t="n">
        <f aca="false">debt_q2*kd_book+(Sens!$L$1450-debt_q2)*kd_new</f>
        <v>7.42354172302123</v>
      </c>
    </row>
    <row r="1453" customFormat="false" ht="17.15" hidden="false" customHeight="false" outlineLevel="0" collapsed="false">
      <c r="A1453" s="5" t="s">
        <v>803</v>
      </c>
      <c r="B1453" s="0" t="s">
        <v>86</v>
      </c>
      <c r="F1453" s="38" t="n">
        <f aca="false">cash_q2*y_cash*0.5</f>
        <v>2.59</v>
      </c>
      <c r="H1453" s="38" t="n">
        <f aca="false">Sens!$G$1449*y_cash</f>
        <v>4.09169724556773</v>
      </c>
      <c r="I1453" s="38" t="n">
        <f aca="false">Sens!$H$1449*y_cash</f>
        <v>3.64031291381221</v>
      </c>
      <c r="J1453" s="38" t="n">
        <f aca="false">Sens!$I$1449*y_cash</f>
        <v>4.61041075330372</v>
      </c>
      <c r="K1453" s="38" t="n">
        <f aca="false">Sens!$J$1449*y_cash</f>
        <v>7.00707986331512</v>
      </c>
      <c r="L1453" s="38" t="n">
        <f aca="false">Sens!$K$1449*y_cash</f>
        <v>12.5806674777544</v>
      </c>
      <c r="M1453" s="38" t="n">
        <f aca="false">Sens!$L$1449*y_cash</f>
        <v>19.7957234106989</v>
      </c>
    </row>
    <row r="1454" customFormat="false" ht="17.15" hidden="false" customHeight="false" outlineLevel="0" collapsed="false">
      <c r="A1454" s="47" t="s">
        <v>804</v>
      </c>
      <c r="B1454" s="14" t="s">
        <v>86</v>
      </c>
      <c r="C1454" s="14"/>
      <c r="D1454" s="14"/>
      <c r="E1454" s="14"/>
      <c r="F1454" s="14"/>
      <c r="G1454" s="48" t="n">
        <f aca="false">SUM(Sens!$G$1443:$K$1443)</f>
        <v>142.071991686112</v>
      </c>
      <c r="H1454" s="14"/>
      <c r="I1454" s="14"/>
      <c r="J1454" s="14"/>
      <c r="K1454" s="14"/>
      <c r="L1454" s="14"/>
      <c r="M1454" s="14"/>
      <c r="N1454" s="14"/>
      <c r="O1454" s="14"/>
    </row>
    <row r="1455" customFormat="false" ht="17.15" hidden="false" customHeight="false" outlineLevel="0" collapsed="false">
      <c r="A1455" s="0" t="s">
        <v>770</v>
      </c>
      <c r="B1455" s="0" t="s">
        <v>86</v>
      </c>
      <c r="G1455" s="38" t="n">
        <f aca="false">SUM(Sens!$G$1448:$K$1448)</f>
        <v>0</v>
      </c>
    </row>
    <row r="1456" customFormat="false" ht="17.15" hidden="false" customHeight="false" outlineLevel="0" collapsed="false">
      <c r="A1456" s="24" t="s">
        <v>807</v>
      </c>
      <c r="B1456" s="25" t="s">
        <v>86</v>
      </c>
      <c r="C1456" s="25"/>
      <c r="D1456" s="25"/>
      <c r="E1456" s="25"/>
      <c r="F1456" s="25"/>
      <c r="G1456" s="41" t="n">
        <f aca="false">Sens!$G$1454-(Sens!$G$1443+Sens!$H$1443+Sens!$I$1443+Sens!$J$1443+Sens!$K$1443)</f>
        <v>0</v>
      </c>
      <c r="H1456" s="25"/>
      <c r="I1456" s="25"/>
      <c r="J1456" s="25"/>
      <c r="K1456" s="25"/>
      <c r="L1456" s="25"/>
      <c r="M1456" s="25"/>
      <c r="N1456" s="25"/>
      <c r="O1456" s="25"/>
    </row>
    <row r="1459" customFormat="false" ht="19.4" hidden="false" customHeight="false" outlineLevel="0" collapsed="false">
      <c r="A1459" s="31" t="s">
        <v>1156</v>
      </c>
    </row>
    <row r="1460" customFormat="false" ht="17.15" hidden="false" customHeight="false" outlineLevel="0" collapsed="false">
      <c r="A1460" s="6" t="s">
        <v>16</v>
      </c>
      <c r="B1460" s="6" t="s">
        <v>17</v>
      </c>
      <c r="C1460" s="20" t="s">
        <v>494</v>
      </c>
      <c r="D1460" s="20" t="s">
        <v>495</v>
      </c>
      <c r="E1460" s="20" t="s">
        <v>577</v>
      </c>
      <c r="F1460" s="20" t="s">
        <v>578</v>
      </c>
      <c r="G1460" s="20" t="s">
        <v>579</v>
      </c>
      <c r="H1460" s="20" t="s">
        <v>580</v>
      </c>
      <c r="I1460" s="20" t="s">
        <v>581</v>
      </c>
      <c r="J1460" s="20" t="s">
        <v>582</v>
      </c>
      <c r="K1460" s="20" t="s">
        <v>583</v>
      </c>
      <c r="L1460" s="20" t="s">
        <v>584</v>
      </c>
      <c r="M1460" s="20" t="s">
        <v>585</v>
      </c>
      <c r="N1460" s="20" t="s">
        <v>586</v>
      </c>
      <c r="O1460" s="20" t="s">
        <v>587</v>
      </c>
      <c r="P1460" s="6" t="s">
        <v>23</v>
      </c>
      <c r="R1460" s="20" t="n">
        <v>2023</v>
      </c>
      <c r="S1460" s="20" t="n">
        <v>2024</v>
      </c>
      <c r="T1460" s="20" t="n">
        <v>2025</v>
      </c>
      <c r="U1460" s="20" t="n">
        <v>2026</v>
      </c>
      <c r="V1460" s="20" t="n">
        <v>2027</v>
      </c>
      <c r="W1460" s="20" t="n">
        <v>2028</v>
      </c>
      <c r="X1460" s="20" t="n">
        <v>2029</v>
      </c>
      <c r="Y1460" s="20" t="n">
        <v>2030</v>
      </c>
      <c r="Z1460" s="20" t="n">
        <v>2031</v>
      </c>
      <c r="AA1460" s="20" t="n">
        <v>2032</v>
      </c>
    </row>
    <row r="1461" customFormat="false" ht="17.15" hidden="false" customHeight="false" outlineLevel="0" collapsed="false">
      <c r="A1461" s="1" t="s">
        <v>909</v>
      </c>
    </row>
    <row r="1462" customFormat="false" ht="17.15" hidden="false" customHeight="false" outlineLevel="0" collapsed="false">
      <c r="A1462" s="0" t="s">
        <v>910</v>
      </c>
      <c r="B1462" s="0" t="s">
        <v>86</v>
      </c>
      <c r="H1462" s="38" t="n">
        <f aca="false">Sens!$H$1396*(1-tax)</f>
        <v>110.149832243139</v>
      </c>
      <c r="I1462" s="38" t="n">
        <f aca="false">Sens!$I$1396*(1-tax)</f>
        <v>132.740507384241</v>
      </c>
      <c r="J1462" s="38" t="n">
        <f aca="false">Sens!$J$1396*(1-tax)</f>
        <v>154.27042763567</v>
      </c>
      <c r="K1462" s="38" t="n">
        <f aca="false">Sens!$K$1396*(1-tax)</f>
        <v>170.166208284902</v>
      </c>
      <c r="L1462" s="38" t="n">
        <f aca="false">Sens!$L$1396*(1-tax)</f>
        <v>185.10550077043</v>
      </c>
      <c r="M1462" s="38" t="n">
        <f aca="false">Sens!$M$1396*(1-tax)</f>
        <v>198.183841073358</v>
      </c>
    </row>
    <row r="1463" customFormat="false" ht="15" hidden="false" customHeight="false" outlineLevel="0" collapsed="false">
      <c r="A1463" s="5" t="s">
        <v>911</v>
      </c>
      <c r="B1463" s="0" t="s">
        <v>86</v>
      </c>
      <c r="H1463" s="38" t="n">
        <f aca="false">Sens!$H$1407</f>
        <v>83.3066731618794</v>
      </c>
      <c r="I1463" s="38" t="n">
        <f aca="false">Sens!$I$1407</f>
        <v>109.104164972601</v>
      </c>
      <c r="J1463" s="38" t="n">
        <f aca="false">Sens!$J$1407</f>
        <v>135.382852457699</v>
      </c>
      <c r="K1463" s="38" t="n">
        <f aca="false">Sens!$K$1407</f>
        <v>161.891566707488</v>
      </c>
      <c r="L1463" s="38" t="n">
        <f aca="false">Sens!$L$1407</f>
        <v>180.435181073365</v>
      </c>
      <c r="M1463" s="38" t="n">
        <f aca="false">Sens!$M$1407</f>
        <v>193.776878920466</v>
      </c>
    </row>
    <row r="1464" customFormat="false" ht="15" hidden="false" customHeight="false" outlineLevel="0" collapsed="false">
      <c r="A1464" s="5" t="s">
        <v>912</v>
      </c>
      <c r="B1464" s="0" t="s">
        <v>86</v>
      </c>
      <c r="H1464" s="38" t="n">
        <f aca="false">Sens!$H$1438</f>
        <v>223.810081323469</v>
      </c>
      <c r="I1464" s="38" t="n">
        <f aca="false">Sens!$I$1438</f>
        <v>235.90797364053</v>
      </c>
      <c r="J1464" s="38" t="n">
        <f aca="false">Sens!$J$1438</f>
        <v>248.249668107281</v>
      </c>
      <c r="K1464" s="38" t="n">
        <f aca="false">Sens!$K$1438</f>
        <v>215.259667044198</v>
      </c>
      <c r="L1464" s="38" t="n">
        <f aca="false">Sens!$L$1438</f>
        <v>214.168650616784</v>
      </c>
      <c r="M1464" s="38" t="n">
        <f aca="false">Sens!$M$1438</f>
        <v>217.209291922284</v>
      </c>
    </row>
    <row r="1465" customFormat="false" ht="15" hidden="false" customHeight="false" outlineLevel="0" collapsed="false">
      <c r="A1465" s="5" t="s">
        <v>913</v>
      </c>
      <c r="B1465" s="0" t="s">
        <v>86</v>
      </c>
      <c r="H1465" s="38" t="n">
        <f aca="false">Sens!$H$1439</f>
        <v>1.6</v>
      </c>
      <c r="I1465" s="38" t="n">
        <f aca="false">Sens!$I$1439</f>
        <v>1.6</v>
      </c>
      <c r="J1465" s="38" t="n">
        <f aca="false">Sens!$J$1439</f>
        <v>1.6</v>
      </c>
      <c r="K1465" s="38" t="n">
        <f aca="false">Sens!$K$1439</f>
        <v>1.6</v>
      </c>
      <c r="L1465" s="38" t="n">
        <f aca="false">Sens!$L$1439</f>
        <v>1.6</v>
      </c>
      <c r="M1465" s="38" t="n">
        <f aca="false">Sens!$M$1439</f>
        <v>1.6</v>
      </c>
    </row>
    <row r="1466" customFormat="false" ht="15" hidden="false" customHeight="false" outlineLevel="0" collapsed="false">
      <c r="A1466" s="5" t="s">
        <v>914</v>
      </c>
      <c r="B1466" s="0" t="s">
        <v>86</v>
      </c>
      <c r="H1466" s="38" t="n">
        <f aca="false">Sens!$H$1433</f>
        <v>11.1891116095628</v>
      </c>
      <c r="I1466" s="38" t="n">
        <f aca="false">Sens!$I$1433</f>
        <v>12.5831115124588</v>
      </c>
      <c r="J1466" s="38" t="n">
        <f aca="false">Sens!$J$1433</f>
        <v>13.9115359145361</v>
      </c>
      <c r="K1466" s="38" t="n">
        <f aca="false">Sens!$K$1433</f>
        <v>15.0792103884988</v>
      </c>
      <c r="L1466" s="38" t="n">
        <f aca="false">Sens!$L$1433</f>
        <v>16.1996822639405</v>
      </c>
      <c r="M1466" s="38" t="n">
        <f aca="false">Sens!$M$1433</f>
        <v>17.2773621646177</v>
      </c>
    </row>
    <row r="1467" customFormat="false" ht="17.15" hidden="false" customHeight="false" outlineLevel="0" collapsed="false">
      <c r="A1467" s="1" t="s">
        <v>915</v>
      </c>
      <c r="B1467" s="8" t="s">
        <v>86</v>
      </c>
      <c r="H1467" s="38" t="n">
        <f aca="false">Sens!$H$1462+Sens!$H$1463-Sens!$H$1464-Sens!$H$1465+Sens!$H$1466</f>
        <v>-20.7644643088883</v>
      </c>
      <c r="I1467" s="38" t="n">
        <f aca="false">Sens!$I$1462+Sens!$I$1463-Sens!$I$1464-Sens!$I$1465+Sens!$I$1466</f>
        <v>16.9198102287704</v>
      </c>
      <c r="J1467" s="38" t="n">
        <f aca="false">Sens!$J$1462+Sens!$J$1463-Sens!$J$1464-Sens!$J$1465+Sens!$J$1466</f>
        <v>53.7151479006245</v>
      </c>
      <c r="K1467" s="38" t="n">
        <f aca="false">Sens!$K$1462+Sens!$K$1463-Sens!$K$1464-Sens!$K$1465+Sens!$K$1466</f>
        <v>130.27731833669</v>
      </c>
      <c r="L1467" s="38" t="n">
        <f aca="false">Sens!$L$1462+Sens!$L$1463-Sens!$L$1464-Sens!$L$1465+Sens!$L$1466</f>
        <v>165.971713490952</v>
      </c>
      <c r="M1467" s="38" t="n">
        <f aca="false">Sens!$M$1462+Sens!$M$1463-Sens!$M$1464-Sens!$M$1465+Sens!$M$1466</f>
        <v>190.428790236157</v>
      </c>
    </row>
    <row r="1468" customFormat="false" ht="15" hidden="false" customHeight="false" outlineLevel="0" collapsed="false">
      <c r="A1468" s="5" t="s">
        <v>916</v>
      </c>
      <c r="B1468" s="0" t="s">
        <v>57</v>
      </c>
      <c r="H1468" s="40" t="n">
        <f aca="false">1/(1+wacc)^(2027-2026-0.5)</f>
        <v>0.947751320380232</v>
      </c>
      <c r="I1468" s="40" t="n">
        <f aca="false">1/(1+wacc)^(2028-2026-0.5)</f>
        <v>0.851301099754987</v>
      </c>
      <c r="J1468" s="40" t="n">
        <f aca="false">1/(1+wacc)^(2029-2026-0.5)</f>
        <v>0.764666370660713</v>
      </c>
      <c r="K1468" s="40" t="n">
        <f aca="false">1/(1+wacc)^(2030-2026-0.5)</f>
        <v>0.686848235703811</v>
      </c>
      <c r="L1468" s="40" t="n">
        <f aca="false">1/(1+wacc)^(2031-2026-0.5)</f>
        <v>0.616949452715975</v>
      </c>
      <c r="M1468" s="40" t="n">
        <f aca="false">1/(1+wacc)^(2032-2026-0.5)</f>
        <v>0.554164089562688</v>
      </c>
    </row>
    <row r="1469" customFormat="false" ht="15" hidden="false" customHeight="false" outlineLevel="0" collapsed="false">
      <c r="A1469" s="5" t="s">
        <v>917</v>
      </c>
      <c r="B1469" s="0" t="s">
        <v>86</v>
      </c>
      <c r="H1469" s="38" t="n">
        <f aca="false">Sens!$H$1467*Sens!$H$1468</f>
        <v>-19.6795484657371</v>
      </c>
      <c r="I1469" s="38" t="n">
        <f aca="false">Sens!$I$1467*Sens!$I$1468</f>
        <v>14.4038530553979</v>
      </c>
      <c r="J1469" s="38" t="n">
        <f aca="false">Sens!$J$1467*Sens!$J$1468</f>
        <v>41.0741671946739</v>
      </c>
      <c r="K1469" s="38" t="n">
        <f aca="false">Sens!$K$1467*Sens!$K$1468</f>
        <v>89.4807462517794</v>
      </c>
      <c r="L1469" s="38" t="n">
        <f aca="false">Sens!$L$1467*Sens!$L$1468</f>
        <v>102.396157804576</v>
      </c>
      <c r="M1469" s="38" t="n">
        <f aca="false">Sens!$M$1467*Sens!$M$1468</f>
        <v>105.528797167744</v>
      </c>
    </row>
    <row r="1470" customFormat="false" ht="15" hidden="false" customHeight="false" outlineLevel="0" collapsed="false">
      <c r="A1470" s="5" t="s">
        <v>918</v>
      </c>
      <c r="B1470" s="0" t="s">
        <v>86</v>
      </c>
      <c r="C1470" s="38" t="n">
        <f aca="false">SUM(Sens!$H$1469:$M$1469)</f>
        <v>333.204173008434</v>
      </c>
    </row>
    <row r="1471" customFormat="false" ht="17.15" hidden="false" customHeight="false" outlineLevel="0" collapsed="false">
      <c r="A1471" s="5" t="s">
        <v>919</v>
      </c>
      <c r="B1471" s="0" t="s">
        <v>86</v>
      </c>
      <c r="C1471" s="38" t="n">
        <f aca="false">Sens!$M$1462*(1+tg)*(1-tg/ronic)/(wacc-tg)</f>
        <v>1801.71226554681</v>
      </c>
    </row>
    <row r="1472" customFormat="false" ht="15" hidden="false" customHeight="false" outlineLevel="0" collapsed="false">
      <c r="A1472" s="5" t="s">
        <v>920</v>
      </c>
      <c r="B1472" s="0" t="s">
        <v>86</v>
      </c>
      <c r="C1472" s="38" t="n">
        <f aca="false">Sens!$C$1471/(1+wacc)^6</f>
        <v>946.276844218273</v>
      </c>
    </row>
    <row r="1473" customFormat="false" ht="17.15" hidden="false" customHeight="false" outlineLevel="0" collapsed="false">
      <c r="A1473" s="5" t="s">
        <v>921</v>
      </c>
      <c r="B1473" s="0" t="s">
        <v>86</v>
      </c>
      <c r="C1473" s="38" t="n">
        <f aca="false">Sens!$C$1470+Sens!$C$1472</f>
        <v>1279.48101722671</v>
      </c>
    </row>
    <row r="1474" customFormat="false" ht="17.15" hidden="false" customHeight="false" outlineLevel="0" collapsed="false">
      <c r="A1474" s="5" t="s">
        <v>922</v>
      </c>
      <c r="B1474" s="0" t="s">
        <v>52</v>
      </c>
      <c r="C1474" s="13" t="n">
        <f aca="false">Sens!$C$1472/Sens!$C$1473</f>
        <v>0.739578650623001</v>
      </c>
    </row>
    <row r="1475" customFormat="false" ht="17.15" hidden="false" customHeight="false" outlineLevel="0" collapsed="false">
      <c r="A1475" s="5" t="s">
        <v>923</v>
      </c>
      <c r="B1475" s="0" t="s">
        <v>86</v>
      </c>
      <c r="C1475" s="38" t="n">
        <f aca="false">Sens!$G$1451+fin_debt</f>
        <v>89.6174158266634</v>
      </c>
    </row>
    <row r="1476" customFormat="false" ht="17.15" hidden="false" customHeight="false" outlineLevel="0" collapsed="false">
      <c r="A1476" s="5" t="s">
        <v>924</v>
      </c>
      <c r="B1476" s="0" t="s">
        <v>86</v>
      </c>
      <c r="C1476" s="38" t="n">
        <f aca="false">(ant_val*ant_sh+oai_val*oai_sh)*(1-liq_disc)</f>
        <v>178.944</v>
      </c>
    </row>
    <row r="1477" customFormat="false" ht="15" hidden="false" customHeight="false" outlineLevel="0" collapsed="false">
      <c r="A1477" s="5" t="s">
        <v>925</v>
      </c>
      <c r="B1477" s="0" t="s">
        <v>86</v>
      </c>
      <c r="C1477" s="38" t="n">
        <f aca="false">Sens!$C$1473-Sens!$C$1475+Sens!$C$1476</f>
        <v>1368.80760140004</v>
      </c>
    </row>
    <row r="1478" customFormat="false" ht="17.15" hidden="false" customHeight="false" outlineLevel="0" collapsed="false">
      <c r="A1478" s="5" t="s">
        <v>926</v>
      </c>
      <c r="B1478" s="0" t="s">
        <v>27</v>
      </c>
      <c r="C1478" s="30" t="n">
        <f aca="false">Sens!$C$1477/sh_out</f>
        <v>126.902257935384</v>
      </c>
    </row>
    <row r="1479" customFormat="false" ht="17.15" hidden="false" customHeight="false" outlineLevel="0" collapsed="false">
      <c r="A1479" s="1" t="s">
        <v>927</v>
      </c>
      <c r="B1479" s="8" t="s">
        <v>27</v>
      </c>
      <c r="C1479" s="30" t="n">
        <f aca="false">Sens!$C$1478*(1+ke)^tp_yf-dps*tp_yf</f>
        <v>139.004779889708</v>
      </c>
    </row>
    <row r="1480" customFormat="false" ht="17.15" hidden="false" customHeight="false" outlineLevel="0" collapsed="false">
      <c r="A1480" s="3" t="s">
        <v>928</v>
      </c>
    </row>
    <row r="1481" customFormat="false" ht="17.15" hidden="false" customHeight="false" outlineLevel="0" collapsed="false">
      <c r="A1481" s="5" t="s">
        <v>929</v>
      </c>
      <c r="B1481" s="0" t="s">
        <v>86</v>
      </c>
      <c r="C1481" s="38" t="n">
        <f aca="false">(1-tp_yf)*(Sens!$H$1408+Sens!$H$1432*Sens!$H$1274/Sens!$H$1349)+tp_yf*(Sens!$I$1408+Sens!$I$1432*Sens!$I$1274/Sens!$I$1349)</f>
        <v>59.7508967198518</v>
      </c>
    </row>
    <row r="1482" customFormat="false" ht="15" hidden="false" customHeight="false" outlineLevel="0" collapsed="false">
      <c r="A1482" s="5" t="s">
        <v>930</v>
      </c>
      <c r="B1482" s="0" t="s">
        <v>57</v>
      </c>
      <c r="C1482" s="30" t="n">
        <f aca="false">m_ads*m_x</f>
        <v>9.11</v>
      </c>
    </row>
    <row r="1483" customFormat="false" ht="17.15" hidden="false" customHeight="false" outlineLevel="0" collapsed="false">
      <c r="A1483" s="5" t="s">
        <v>931</v>
      </c>
      <c r="B1483" s="0" t="s">
        <v>86</v>
      </c>
      <c r="C1483" s="38" t="n">
        <f aca="false">Sens!$C$1481*Sens!$C$1482</f>
        <v>544.330669117849</v>
      </c>
    </row>
    <row r="1484" customFormat="false" ht="17.15" hidden="false" customHeight="false" outlineLevel="0" collapsed="false">
      <c r="A1484" s="5" t="s">
        <v>932</v>
      </c>
      <c r="B1484" s="0" t="s">
        <v>86</v>
      </c>
      <c r="C1484" s="38" t="n">
        <f aca="false">(1-tp_yf)*(Sens!$H$1409+Sens!$H$1432*(Sens!$H$1281-Sens!$H$1274)/Sens!$H$1349+IF(internal_ai_reading=2,1,0)*(1-ext_sh)*Sens!$H$1311)+tp_yf*(Sens!$I$1409+Sens!$I$1432*(Sens!$I$1281-Sens!$I$1274)/Sens!$I$1349+IF(internal_ai_reading=2,1,0)*(1-ext_sh)*Sens!$I$1311)</f>
        <v>51.8697255498945</v>
      </c>
    </row>
    <row r="1485" customFormat="false" ht="17.15" hidden="false" customHeight="false" outlineLevel="0" collapsed="false">
      <c r="A1485" s="5" t="s">
        <v>933</v>
      </c>
      <c r="B1485" s="0" t="s">
        <v>57</v>
      </c>
      <c r="C1485" s="30" t="n">
        <f aca="false">m_retail*m_x</f>
        <v>17.72</v>
      </c>
    </row>
    <row r="1486" customFormat="false" ht="17.15" hidden="false" customHeight="false" outlineLevel="0" collapsed="false">
      <c r="A1486" s="5" t="s">
        <v>934</v>
      </c>
      <c r="B1486" s="0" t="s">
        <v>86</v>
      </c>
      <c r="C1486" s="38" t="n">
        <f aca="false">Sens!$C$1484*Sens!$C$1485</f>
        <v>919.13153674413</v>
      </c>
    </row>
    <row r="1487" customFormat="false" ht="17.15" hidden="false" customHeight="false" outlineLevel="0" collapsed="false">
      <c r="A1487" s="0" t="s">
        <v>935</v>
      </c>
      <c r="B1487" s="0" t="s">
        <v>86</v>
      </c>
      <c r="C1487" s="38" t="n">
        <f aca="false">(1-tp_yf)*(Sens!$H$1410+Sens!$H$1432*Sens!$H$1347/Sens!$H$1349)+tp_yf*(Sens!$I$1410+Sens!$I$1432*Sens!$I$1347/Sens!$I$1349)</f>
        <v>97.3363031479075</v>
      </c>
    </row>
    <row r="1488" customFormat="false" ht="17.15" hidden="false" customHeight="false" outlineLevel="0" collapsed="false">
      <c r="A1488" s="0" t="s">
        <v>936</v>
      </c>
      <c r="B1488" s="0" t="s">
        <v>57</v>
      </c>
      <c r="C1488" s="30" t="n">
        <f aca="false">m_cloud*m_x</f>
        <v>13.82</v>
      </c>
    </row>
    <row r="1489" customFormat="false" ht="17.15" hidden="false" customHeight="false" outlineLevel="0" collapsed="false">
      <c r="A1489" s="0" t="s">
        <v>937</v>
      </c>
      <c r="B1489" s="0" t="s">
        <v>86</v>
      </c>
      <c r="C1489" s="38" t="n">
        <f aca="false">Sens!$C$1487*Sens!$C$1488</f>
        <v>1345.18770950408</v>
      </c>
    </row>
    <row r="1490" customFormat="false" ht="17.15" hidden="false" customHeight="false" outlineLevel="0" collapsed="false">
      <c r="A1490" s="0" t="s">
        <v>938</v>
      </c>
      <c r="B1490" s="0" t="s">
        <v>86</v>
      </c>
      <c r="H1490" s="38" t="n">
        <f aca="false">Sens!$H$1328-tax*Sens!$H$1329-ext_sh*Sens!$H$1318</f>
        <v>-81.7009617697022</v>
      </c>
      <c r="I1490" s="38" t="n">
        <f aca="false">Sens!$I$1328-tax*Sens!$I$1329-ext_sh*Sens!$I$1318</f>
        <v>-61.9820513882852</v>
      </c>
      <c r="J1490" s="38" t="n">
        <f aca="false">Sens!$J$1328-tax*Sens!$J$1329-ext_sh*Sens!$J$1318</f>
        <v>-42.5975682920541</v>
      </c>
      <c r="K1490" s="38" t="n">
        <f aca="false">Sens!$K$1328-tax*Sens!$K$1329-ext_sh*Sens!$K$1318</f>
        <v>9.57252710494538</v>
      </c>
      <c r="L1490" s="38" t="n">
        <f aca="false">Sens!$L$1328-tax*Sens!$L$1329-ext_sh*Sens!$L$1318</f>
        <v>29.4763263638548</v>
      </c>
      <c r="M1490" s="38" t="n">
        <f aca="false">Sens!$M$1328-tax*Sens!$M$1329-ext_sh*Sens!$M$1318</f>
        <v>39.7207548752254</v>
      </c>
    </row>
    <row r="1491" customFormat="false" ht="17.15" hidden="false" customHeight="false" outlineLevel="0" collapsed="false">
      <c r="A1491" s="5" t="s">
        <v>939</v>
      </c>
      <c r="B1491" s="0" t="s">
        <v>86</v>
      </c>
      <c r="H1491" s="38" t="n">
        <f aca="false">Sens!$H$1490*Sens!$H$1468</f>
        <v>-77.4321943935701</v>
      </c>
      <c r="I1491" s="38" t="n">
        <f aca="false">Sens!$I$1490*Sens!$I$1468</f>
        <v>-52.7653885119174</v>
      </c>
      <c r="J1491" s="38" t="n">
        <f aca="false">Sens!$J$1490*Sens!$J$1468</f>
        <v>-32.5729279448569</v>
      </c>
      <c r="K1491" s="38" t="n">
        <f aca="false">Sens!$K$1490*Sens!$K$1468</f>
        <v>6.57487335325864</v>
      </c>
      <c r="L1491" s="38" t="n">
        <f aca="false">Sens!$L$1490*Sens!$L$1468</f>
        <v>18.1854034182577</v>
      </c>
      <c r="M1491" s="38" t="n">
        <f aca="false">Sens!$M$1490*Sens!$M$1468</f>
        <v>22.011815962172</v>
      </c>
    </row>
    <row r="1492" customFormat="false" ht="17.15" hidden="false" customHeight="false" outlineLevel="0" collapsed="false">
      <c r="A1492" s="5" t="s">
        <v>940</v>
      </c>
      <c r="B1492" s="0" t="s">
        <v>86</v>
      </c>
      <c r="C1492" s="38" t="n">
        <f aca="false">Sens!$M$1329*(1-tax)*(1+tg)*(1-tg/ronic)/(wacc-tg)</f>
        <v>258.212179229641</v>
      </c>
    </row>
    <row r="1493" customFormat="false" ht="17.15" hidden="false" customHeight="false" outlineLevel="0" collapsed="false">
      <c r="A1493" s="0" t="s">
        <v>941</v>
      </c>
      <c r="B1493" s="0" t="s">
        <v>86</v>
      </c>
      <c r="C1493" s="38" t="n">
        <f aca="false">(SUM(Sens!$H$1491:$M$1491)+Sens!$C$1492/(1+wacc)^6)*(1+wacc)^tp_yf</f>
        <v>21.4262499634586</v>
      </c>
    </row>
    <row r="1494" customFormat="false" ht="17.15" hidden="false" customHeight="false" outlineLevel="0" collapsed="false">
      <c r="A1494" s="5" t="s">
        <v>942</v>
      </c>
      <c r="B1494" s="0" t="s">
        <v>86</v>
      </c>
      <c r="C1494" s="38" t="n">
        <f aca="false">(1-tp_yf)*(Sens!$H$1411)+tp_yf*(Sens!$I$1411)</f>
        <v>59.9180864011556</v>
      </c>
    </row>
    <row r="1495" customFormat="false" ht="17.15" hidden="false" customHeight="false" outlineLevel="0" collapsed="false">
      <c r="A1495" s="5" t="s">
        <v>943</v>
      </c>
      <c r="B1495" s="0" t="s">
        <v>86</v>
      </c>
      <c r="C1495" s="38" t="n">
        <f aca="false">Sens!$C$1494*m_ai</f>
        <v>359.508518406934</v>
      </c>
    </row>
    <row r="1496" customFormat="false" ht="17.15" hidden="false" customHeight="false" outlineLevel="0" collapsed="false">
      <c r="A1496" s="0" t="s">
        <v>944</v>
      </c>
      <c r="B1496" s="0" t="s">
        <v>86</v>
      </c>
      <c r="C1496" s="38" t="n">
        <f aca="false">IF(ai_leg=1,Sens!$C$1493,Sens!$C$1495)</f>
        <v>21.4262499634586</v>
      </c>
    </row>
    <row r="1497" customFormat="false" ht="17.15" hidden="false" customHeight="false" outlineLevel="0" collapsed="false">
      <c r="A1497" s="5" t="s">
        <v>945</v>
      </c>
      <c r="B1497" s="0" t="s">
        <v>86</v>
      </c>
      <c r="C1497" s="38" t="n">
        <f aca="false">Sens!$C$1483+Sens!$C$1486+Sens!$C$1489+Sens!$C$1496</f>
        <v>2830.07616532952</v>
      </c>
    </row>
    <row r="1498" customFormat="false" ht="17.15" hidden="false" customHeight="false" outlineLevel="0" collapsed="false">
      <c r="A1498" s="5" t="s">
        <v>946</v>
      </c>
      <c r="B1498" s="0" t="s">
        <v>86</v>
      </c>
      <c r="C1498" s="38" t="n">
        <f aca="false">Sens!$H$1451+fin_debt</f>
        <v>100.334569532059</v>
      </c>
    </row>
    <row r="1499" customFormat="false" ht="15" hidden="false" customHeight="false" outlineLevel="0" collapsed="false">
      <c r="A1499" s="5" t="s">
        <v>947</v>
      </c>
      <c r="B1499" s="0" t="s">
        <v>86</v>
      </c>
      <c r="C1499" s="38" t="n">
        <f aca="false">Sens!$C$1497-Sens!$C$1498+Sens!$C$1476</f>
        <v>2908.68559579746</v>
      </c>
    </row>
    <row r="1500" customFormat="false" ht="15" hidden="false" customHeight="false" outlineLevel="0" collapsed="false">
      <c r="A1500" s="3" t="s">
        <v>948</v>
      </c>
      <c r="B1500" s="8" t="s">
        <v>27</v>
      </c>
      <c r="C1500" s="30" t="n">
        <f aca="false">Sens!$C$1499/sh_val</f>
        <v>263.69925604996</v>
      </c>
    </row>
    <row r="1501" customFormat="false" ht="17.15" hidden="false" customHeight="false" outlineLevel="0" collapsed="false">
      <c r="A1501" s="47" t="s">
        <v>949</v>
      </c>
      <c r="B1501" s="14" t="s">
        <v>27</v>
      </c>
      <c r="C1501" s="44" t="n">
        <f aca="false">w_dcf*Sens!$C$1479+(1-w_dcf)*Sens!$C$1500</f>
        <v>201.352017969834</v>
      </c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</row>
    <row r="1502" customFormat="false" ht="17.15" hidden="false" customHeight="false" outlineLevel="0" collapsed="false">
      <c r="A1502" s="5" t="s">
        <v>950</v>
      </c>
      <c r="B1502" s="0" t="s">
        <v>27</v>
      </c>
      <c r="C1502" s="30" t="n">
        <f aca="false">v022_wdcf*Sens!$C$1479+(1-v022_wdcf)*Sens!$C$1500</f>
        <v>207.586741777847</v>
      </c>
    </row>
    <row r="1503" customFormat="false" ht="17.15" hidden="false" customHeight="false" outlineLevel="0" collapsed="false">
      <c r="A1503" s="5" t="s">
        <v>951</v>
      </c>
      <c r="B1503" s="0" t="s">
        <v>27</v>
      </c>
      <c r="C1503" s="30" t="n">
        <f aca="false">(Sens!$C$1499-Sens!$C$1496+Sens!$C$1495)/sh_val</f>
        <v>294.349541113783</v>
      </c>
    </row>
    <row r="1506" customFormat="false" ht="19.4" hidden="false" customHeight="false" outlineLevel="0" collapsed="false">
      <c r="A1506" s="31" t="s">
        <v>1157</v>
      </c>
    </row>
    <row r="1507" customFormat="false" ht="17.15" hidden="false" customHeight="false" outlineLevel="0" collapsed="false">
      <c r="A1507" s="6" t="s">
        <v>16</v>
      </c>
      <c r="B1507" s="6" t="s">
        <v>17</v>
      </c>
      <c r="C1507" s="20" t="s">
        <v>494</v>
      </c>
      <c r="D1507" s="20" t="s">
        <v>495</v>
      </c>
      <c r="E1507" s="20" t="s">
        <v>577</v>
      </c>
      <c r="F1507" s="20" t="s">
        <v>578</v>
      </c>
      <c r="G1507" s="20" t="s">
        <v>579</v>
      </c>
      <c r="H1507" s="20" t="s">
        <v>580</v>
      </c>
      <c r="I1507" s="20" t="s">
        <v>581</v>
      </c>
      <c r="J1507" s="20" t="s">
        <v>582</v>
      </c>
      <c r="K1507" s="20" t="s">
        <v>583</v>
      </c>
      <c r="L1507" s="20" t="s">
        <v>584</v>
      </c>
      <c r="M1507" s="20" t="s">
        <v>585</v>
      </c>
      <c r="N1507" s="20" t="s">
        <v>586</v>
      </c>
      <c r="O1507" s="20" t="s">
        <v>587</v>
      </c>
      <c r="P1507" s="6" t="s">
        <v>23</v>
      </c>
      <c r="R1507" s="20" t="n">
        <v>2023</v>
      </c>
      <c r="S1507" s="20" t="n">
        <v>2024</v>
      </c>
      <c r="T1507" s="20" t="n">
        <v>2025</v>
      </c>
      <c r="U1507" s="20" t="n">
        <v>2026</v>
      </c>
      <c r="V1507" s="20" t="n">
        <v>2027</v>
      </c>
      <c r="W1507" s="20" t="n">
        <v>2028</v>
      </c>
      <c r="X1507" s="20" t="n">
        <v>2029</v>
      </c>
      <c r="Y1507" s="20" t="n">
        <v>2030</v>
      </c>
      <c r="Z1507" s="20" t="n">
        <v>2031</v>
      </c>
      <c r="AA1507" s="20" t="n">
        <v>2032</v>
      </c>
    </row>
    <row r="1508" customFormat="false" ht="17.15" hidden="false" customHeight="false" outlineLevel="0" collapsed="false">
      <c r="A1508" s="1" t="s">
        <v>660</v>
      </c>
    </row>
    <row r="1509" customFormat="false" ht="17.15" hidden="false" customHeight="false" outlineLevel="0" collapsed="false">
      <c r="A1509" s="0" t="s">
        <v>516</v>
      </c>
      <c r="B1509" s="0" t="s">
        <v>86</v>
      </c>
      <c r="C1509" s="38" t="n">
        <f aca="false">Q!$D$10</f>
        <v>247.029</v>
      </c>
      <c r="D1509" s="38" t="n">
        <f aca="false">Q!$E$10</f>
        <v>269.287</v>
      </c>
      <c r="E1509" s="38" t="n">
        <f aca="false">Q!$P$10</f>
        <v>134.686</v>
      </c>
      <c r="F1509" s="38" t="n">
        <f aca="false">Sens!$O$1509*(1+Sens!$F$1510)*Sens!$F$1521</f>
        <v>157.737686368822</v>
      </c>
      <c r="G1509" s="38" t="n">
        <f aca="false">Sens!$E$1509+Sens!$F$1509</f>
        <v>292.423686368822</v>
      </c>
      <c r="H1509" s="38" t="n">
        <f aca="false">Sens!$G$1509*(1+Sens!$H$1510)</f>
        <v>317.580504314432</v>
      </c>
      <c r="I1509" s="38" t="n">
        <f aca="false">Sens!$H$1509*(1+Sens!$I$1510)</f>
        <v>341.087529578386</v>
      </c>
      <c r="J1509" s="38" t="n">
        <f aca="false">Sens!$I$1509*(1+Sens!$J$1510)</f>
        <v>362.238214956512</v>
      </c>
      <c r="K1509" s="38" t="n">
        <f aca="false">Sens!$J$1509*(1+Sens!$K$1510)</f>
        <v>380.350125704338</v>
      </c>
      <c r="L1509" s="38" t="n">
        <f aca="false">Sens!$K$1509*(1+Sens!$L$1510)</f>
        <v>399.367631989555</v>
      </c>
      <c r="M1509" s="38" t="n">
        <f aca="false">Sens!$L$1509*(1+Sens!$M$1510)</f>
        <v>419.336013589032</v>
      </c>
      <c r="N1509" s="38" t="n">
        <f aca="false">Q!$N$10</f>
        <v>118.892</v>
      </c>
      <c r="O1509" s="38" t="n">
        <f aca="false">Q!$O$10</f>
        <v>150.395</v>
      </c>
      <c r="P1509" s="8" t="s">
        <v>661</v>
      </c>
    </row>
    <row r="1510" customFormat="false" ht="17.15" hidden="false" customHeight="false" outlineLevel="0" collapsed="false">
      <c r="A1510" s="0" t="s">
        <v>662</v>
      </c>
      <c r="B1510" s="0" t="s">
        <v>52</v>
      </c>
      <c r="E1510" s="13" t="n">
        <f aca="false">Sens!$E$1509/Sens!$N$1509-1</f>
        <v>0.132843252699929</v>
      </c>
      <c r="F1510" s="13" t="n">
        <f aca="false">Sens!$O$1509/(Q!$F$10+Q!$G$10)-1</f>
        <v>0.0980382135842941</v>
      </c>
      <c r="G1510" s="13" t="n">
        <f aca="false">Sens!$G$1509/Sens!$D$1509-1</f>
        <v>0.085918319001</v>
      </c>
      <c r="H1510" s="13" t="n">
        <f aca="false">Sens!$F$1510+(g_os-Sens!$F$1510)*1/4</f>
        <v>0.0860286601882206</v>
      </c>
      <c r="I1510" s="13" t="n">
        <f aca="false">Sens!$F$1510+(g_os-Sens!$F$1510)*2/4</f>
        <v>0.074019106792147</v>
      </c>
      <c r="J1510" s="13" t="n">
        <f aca="false">Sens!$F$1510+(g_os-Sens!$F$1510)*3/4</f>
        <v>0.0620095533960735</v>
      </c>
      <c r="K1510" s="13" t="n">
        <f aca="false">Sens!$F$1510+(g_os-Sens!$F$1510)*4/4</f>
        <v>0.05</v>
      </c>
      <c r="L1510" s="13" t="n">
        <f aca="false">g_os</f>
        <v>0.05</v>
      </c>
      <c r="M1510" s="13" t="n">
        <f aca="false">g_os</f>
        <v>0.05</v>
      </c>
      <c r="P1510" s="8" t="s">
        <v>663</v>
      </c>
    </row>
    <row r="1511" customFormat="false" ht="17.15" hidden="false" customHeight="false" outlineLevel="0" collapsed="false">
      <c r="A1511" s="0" t="s">
        <v>517</v>
      </c>
      <c r="B1511" s="0" t="s">
        <v>86</v>
      </c>
      <c r="C1511" s="38" t="n">
        <f aca="false">Q!$D$11</f>
        <v>21.215</v>
      </c>
      <c r="D1511" s="38" t="n">
        <f aca="false">Q!$E$11</f>
        <v>22.561</v>
      </c>
      <c r="E1511" s="38" t="n">
        <f aca="false">Q!$P$11</f>
        <v>11.579</v>
      </c>
      <c r="F1511" s="38" t="n">
        <f aca="false">Sens!$O$1511*(1+Sens!$F$1512)*Sens!$F$1521</f>
        <v>11.5531355651353</v>
      </c>
      <c r="G1511" s="38" t="n">
        <f aca="false">Sens!$E$1511+Sens!$F$1511</f>
        <v>23.1321355651353</v>
      </c>
      <c r="H1511" s="38" t="n">
        <f aca="false">Sens!$G$1511*(1+Sens!$H$1512)</f>
        <v>24.3105805605756</v>
      </c>
      <c r="I1511" s="38" t="n">
        <f aca="false">Sens!$H$1511*(1+Sens!$I$1512)</f>
        <v>25.3793395480127</v>
      </c>
      <c r="J1511" s="38" t="n">
        <f aca="false">Sens!$I$1511*(1+Sens!$J$1512)</f>
        <v>26.3179019053191</v>
      </c>
      <c r="K1511" s="38" t="n">
        <f aca="false">Sens!$J$1511*(1+Sens!$K$1512)</f>
        <v>27.1074389624786</v>
      </c>
      <c r="L1511" s="38" t="n">
        <f aca="false">Sens!$K$1511*(1+Sens!$L$1512)</f>
        <v>27.920662131353</v>
      </c>
      <c r="M1511" s="38" t="n">
        <f aca="false">Sens!$L$1511*(1+Sens!$M$1512)</f>
        <v>28.7582819952936</v>
      </c>
      <c r="N1511" s="38" t="n">
        <f aca="false">Q!$N$11</f>
        <v>11.128</v>
      </c>
      <c r="O1511" s="38" t="n">
        <f aca="false">Q!$O$11</f>
        <v>11.433</v>
      </c>
      <c r="P1511" s="8" t="s">
        <v>661</v>
      </c>
    </row>
    <row r="1512" customFormat="false" ht="17.15" hidden="false" customHeight="false" outlineLevel="0" collapsed="false">
      <c r="A1512" s="0" t="s">
        <v>664</v>
      </c>
      <c r="B1512" s="0" t="s">
        <v>52</v>
      </c>
      <c r="E1512" s="13" t="n">
        <f aca="false">Sens!$E$1511/Sens!$N$1511-1</f>
        <v>0.0405283968368082</v>
      </c>
      <c r="F1512" s="13" t="n">
        <f aca="false">Sens!$O$1511/(Q!$F$11+Q!$G$11)-1</f>
        <v>0.0579254187100955</v>
      </c>
      <c r="G1512" s="13" t="n">
        <f aca="false">Sens!$G$1511/Sens!$D$1511-1</f>
        <v>0.0253151706544597</v>
      </c>
      <c r="H1512" s="13" t="n">
        <f aca="false">Sens!$F$1512+(g_ps-Sens!$F$1512)*1/4</f>
        <v>0.0509440640325716</v>
      </c>
      <c r="I1512" s="13" t="n">
        <f aca="false">Sens!$F$1512+(g_ps-Sens!$F$1512)*2/4</f>
        <v>0.0439627093550477</v>
      </c>
      <c r="J1512" s="13" t="n">
        <f aca="false">Sens!$F$1512+(g_ps-Sens!$F$1512)*3/4</f>
        <v>0.0369813546775239</v>
      </c>
      <c r="K1512" s="13" t="n">
        <f aca="false">Sens!$F$1512+(g_ps-Sens!$F$1512)*4/4</f>
        <v>0.03</v>
      </c>
      <c r="L1512" s="13" t="n">
        <f aca="false">g_ps</f>
        <v>0.03</v>
      </c>
      <c r="M1512" s="13" t="n">
        <f aca="false">g_ps</f>
        <v>0.03</v>
      </c>
      <c r="P1512" s="8" t="s">
        <v>665</v>
      </c>
    </row>
    <row r="1513" customFormat="false" ht="17.15" hidden="false" customHeight="false" outlineLevel="0" collapsed="false">
      <c r="A1513" s="0" t="s">
        <v>518</v>
      </c>
      <c r="B1513" s="0" t="s">
        <v>86</v>
      </c>
      <c r="C1513" s="38" t="n">
        <f aca="false">Q!$D$12</f>
        <v>156.146</v>
      </c>
      <c r="D1513" s="38" t="n">
        <f aca="false">Q!$E$12</f>
        <v>172.162</v>
      </c>
      <c r="E1513" s="38" t="n">
        <f aca="false">Q!$P$12</f>
        <v>88.358</v>
      </c>
      <c r="F1513" s="38" t="n">
        <f aca="false">Sens!$O$1513*(1+Sens!$F$1514)*Sens!$F$1521</f>
        <v>101.645979785386</v>
      </c>
      <c r="G1513" s="38" t="n">
        <f aca="false">Sens!$E$1513+Sens!$F$1513</f>
        <v>190.003979785386</v>
      </c>
      <c r="H1513" s="38" t="n">
        <f aca="false">Sens!$G$1513*(1+Sens!$H$1514)</f>
        <v>209.947079028965</v>
      </c>
      <c r="I1513" s="38" t="n">
        <f aca="false">Sens!$H$1513*(1+Sens!$I$1514)</f>
        <v>229.53674853264</v>
      </c>
      <c r="J1513" s="38" t="n">
        <f aca="false">Sens!$I$1513*(1+Sens!$J$1514)</f>
        <v>248.279302539579</v>
      </c>
      <c r="K1513" s="38" t="n">
        <f aca="false">Sens!$J$1513*(1+Sens!$K$1514)</f>
        <v>265.65885371735</v>
      </c>
      <c r="L1513" s="38" t="n">
        <f aca="false">Sens!$K$1513*(1+Sens!$L$1514)</f>
        <v>284.254973477564</v>
      </c>
      <c r="M1513" s="38" t="n">
        <f aca="false">Sens!$L$1513*(1+Sens!$M$1514)</f>
        <v>304.152821620994</v>
      </c>
      <c r="N1513" s="38" t="n">
        <f aca="false">Q!$N$12</f>
        <v>76.86</v>
      </c>
      <c r="O1513" s="38" t="n">
        <f aca="false">Q!$O$12</f>
        <v>95.302</v>
      </c>
      <c r="P1513" s="8" t="s">
        <v>661</v>
      </c>
    </row>
    <row r="1514" customFormat="false" ht="17.15" hidden="false" customHeight="false" outlineLevel="0" collapsed="false">
      <c r="A1514" s="0" t="s">
        <v>666</v>
      </c>
      <c r="B1514" s="0" t="s">
        <v>52</v>
      </c>
      <c r="E1514" s="13" t="n">
        <f aca="false">Sens!$E$1513/Sens!$N$1513-1</f>
        <v>0.1495966692688</v>
      </c>
      <c r="F1514" s="13" t="n">
        <f aca="false">Sens!$O$1513/(Q!$F$12+Q!$G$12)-1</f>
        <v>0.11661530890813</v>
      </c>
      <c r="G1514" s="13" t="n">
        <f aca="false">Sens!$G$1513/Sens!$D$1513-1</f>
        <v>0.103634831062522</v>
      </c>
      <c r="H1514" s="13" t="n">
        <f aca="false">Sens!$F$1514+(g_sp-Sens!$F$1514)*1/4</f>
        <v>0.104961481681098</v>
      </c>
      <c r="I1514" s="13" t="n">
        <f aca="false">Sens!$F$1514+(g_sp-Sens!$F$1514)*2/4</f>
        <v>0.0933076544540651</v>
      </c>
      <c r="J1514" s="13" t="n">
        <f aca="false">Sens!$F$1514+(g_sp-Sens!$F$1514)*3/4</f>
        <v>0.0816538272270325</v>
      </c>
      <c r="K1514" s="13" t="n">
        <f aca="false">Sens!$F$1514+(g_sp-Sens!$F$1514)*4/4</f>
        <v>0.07</v>
      </c>
      <c r="L1514" s="13" t="n">
        <f aca="false">g_sp</f>
        <v>0.07</v>
      </c>
      <c r="M1514" s="13" t="n">
        <f aca="false">g_sp</f>
        <v>0.07</v>
      </c>
      <c r="P1514" s="8" t="s">
        <v>667</v>
      </c>
    </row>
    <row r="1515" customFormat="false" ht="17.15" hidden="false" customHeight="false" outlineLevel="0" collapsed="false">
      <c r="A1515" s="0" t="s">
        <v>519</v>
      </c>
      <c r="B1515" s="0" t="s">
        <v>86</v>
      </c>
      <c r="C1515" s="38" t="n">
        <f aca="false">Q!$D$13</f>
        <v>56.214</v>
      </c>
      <c r="D1515" s="38" t="n">
        <f aca="false">Q!$E$13</f>
        <v>68.635</v>
      </c>
      <c r="E1515" s="38" t="n">
        <f aca="false">Q!$P$13</f>
        <v>37.052</v>
      </c>
      <c r="F1515" s="38" t="n">
        <f aca="false">Sens!$O$1515*(1+Sens!$F$1516)*Sens!$F$1521</f>
        <v>45.9950413292736</v>
      </c>
      <c r="G1515" s="38" t="n">
        <f aca="false">Sens!$E$1515+Sens!$F$1515</f>
        <v>83.0470413292736</v>
      </c>
      <c r="H1515" s="38" t="n">
        <f aca="false">Sens!$G$1515*(1+Sens!$H$1516)</f>
        <v>99.7022162131479</v>
      </c>
      <c r="I1515" s="38" t="n">
        <f aca="false">Sens!$H$1515*(1+Sens!$I$1516)</f>
        <v>116.355882357521</v>
      </c>
      <c r="J1515" s="38" t="n">
        <f aca="false">Sens!$I$1515*(1+Sens!$J$1516)</f>
        <v>131.891374297547</v>
      </c>
      <c r="K1515" s="38" t="n">
        <f aca="false">Sens!$J$1515*(1+Sens!$K$1516)</f>
        <v>145.080511727302</v>
      </c>
      <c r="L1515" s="38" t="n">
        <f aca="false">Sens!$K$1515*(1+Sens!$L$1516)</f>
        <v>159.588562900032</v>
      </c>
      <c r="M1515" s="38" t="n">
        <f aca="false">Sens!$L$1515*(1+Sens!$M$1516)</f>
        <v>175.547419190035</v>
      </c>
      <c r="N1515" s="38" t="n">
        <f aca="false">Q!$N$13</f>
        <v>29.615</v>
      </c>
      <c r="O1515" s="38" t="n">
        <f aca="false">Q!$O$13</f>
        <v>39.02</v>
      </c>
      <c r="P1515" s="8" t="s">
        <v>661</v>
      </c>
    </row>
    <row r="1516" customFormat="false" ht="17.15" hidden="false" customHeight="false" outlineLevel="0" collapsed="false">
      <c r="A1516" s="0" t="s">
        <v>668</v>
      </c>
      <c r="B1516" s="0" t="s">
        <v>52</v>
      </c>
      <c r="E1516" s="13" t="n">
        <f aca="false">Sens!$E$1515/Sens!$N$1515-1</f>
        <v>0.25112274185379</v>
      </c>
      <c r="F1516" s="13" t="n">
        <f aca="false">Sens!$O$1515/(Q!$F$13+Q!$G$13)-1</f>
        <v>0.234068123596572</v>
      </c>
      <c r="G1516" s="13" t="n">
        <f aca="false">Sens!$G$1515/Sens!$D$1515-1</f>
        <v>0.209980932895367</v>
      </c>
      <c r="H1516" s="13" t="n">
        <f aca="false">Sens!$F$1516+(g_ad-Sens!$F$1516)*1/4</f>
        <v>0.200551092697429</v>
      </c>
      <c r="I1516" s="13" t="n">
        <f aca="false">Sens!$F$1516+(g_ad-Sens!$F$1516)*2/4</f>
        <v>0.167034061798286</v>
      </c>
      <c r="J1516" s="13" t="n">
        <f aca="false">Sens!$F$1516+(g_ad-Sens!$F$1516)*3/4</f>
        <v>0.133517030899143</v>
      </c>
      <c r="K1516" s="13" t="n">
        <f aca="false">Sens!$F$1516+(g_ad-Sens!$F$1516)*4/4</f>
        <v>0.1</v>
      </c>
      <c r="L1516" s="13" t="n">
        <f aca="false">g_ad</f>
        <v>0.1</v>
      </c>
      <c r="M1516" s="13" t="n">
        <f aca="false">g_ad</f>
        <v>0.1</v>
      </c>
      <c r="P1516" s="8" t="s">
        <v>669</v>
      </c>
    </row>
    <row r="1517" customFormat="false" ht="17.15" hidden="false" customHeight="false" outlineLevel="0" collapsed="false">
      <c r="A1517" s="0" t="s">
        <v>520</v>
      </c>
      <c r="B1517" s="0" t="s">
        <v>86</v>
      </c>
      <c r="C1517" s="38" t="n">
        <f aca="false">Q!$D$14</f>
        <v>44.374</v>
      </c>
      <c r="D1517" s="38" t="n">
        <f aca="false">Q!$E$14</f>
        <v>49.619</v>
      </c>
      <c r="E1517" s="38" t="n">
        <f aca="false">Q!$P$14</f>
        <v>27.157</v>
      </c>
      <c r="F1517" s="38" t="n">
        <f aca="false">Sens!$O$1517*(1+Sens!$F$1518)*Sens!$F$1521</f>
        <v>27.6788197867763</v>
      </c>
      <c r="G1517" s="38" t="n">
        <f aca="false">Sens!$E$1517+Sens!$F$1517</f>
        <v>54.8358197867763</v>
      </c>
      <c r="H1517" s="38" t="n">
        <f aca="false">Sens!$G$1517*(1+Sens!$H$1518)</f>
        <v>61.0477584334767</v>
      </c>
      <c r="I1517" s="38" t="n">
        <f aca="false">Sens!$H$1517*(1+Sens!$I$1518)</f>
        <v>67.0826345130427</v>
      </c>
      <c r="J1517" s="38" t="n">
        <f aca="false">Sens!$I$1517*(1+Sens!$J$1518)</f>
        <v>72.7462535942322</v>
      </c>
      <c r="K1517" s="38" t="n">
        <f aca="false">Sens!$J$1517*(1+Sens!$K$1518)</f>
        <v>77.8384913458285</v>
      </c>
      <c r="L1517" s="38" t="n">
        <f aca="false">Sens!$K$1517*(1+Sens!$L$1518)</f>
        <v>83.2871857400365</v>
      </c>
      <c r="M1517" s="38" t="n">
        <f aca="false">Sens!$L$1517*(1+Sens!$M$1518)</f>
        <v>89.117288741839</v>
      </c>
      <c r="N1517" s="38" t="n">
        <f aca="false">Q!$N$14</f>
        <v>23.923</v>
      </c>
      <c r="O1517" s="38" t="n">
        <f aca="false">Q!$O$14</f>
        <v>25.696</v>
      </c>
      <c r="P1517" s="8" t="s">
        <v>661</v>
      </c>
    </row>
    <row r="1518" customFormat="false" ht="17.15" hidden="false" customHeight="false" outlineLevel="0" collapsed="false">
      <c r="A1518" s="0" t="s">
        <v>670</v>
      </c>
      <c r="B1518" s="0" t="s">
        <v>52</v>
      </c>
      <c r="E1518" s="13" t="n">
        <f aca="false">Sens!$E$1517/Sens!$N$1517-1</f>
        <v>0.135183714417088</v>
      </c>
      <c r="F1518" s="13" t="n">
        <f aca="false">Sens!$O$1517/(Q!$F$14+Q!$G$14)-1</f>
        <v>0.127709997366804</v>
      </c>
      <c r="G1518" s="13" t="n">
        <f aca="false">Sens!$G$1517/Sens!$D$1517-1</f>
        <v>0.105137543819431</v>
      </c>
      <c r="H1518" s="13" t="n">
        <f aca="false">Sens!$F$1518+(g_sub-Sens!$F$1518)*1/4</f>
        <v>0.113282498025103</v>
      </c>
      <c r="I1518" s="13" t="n">
        <f aca="false">Sens!$F$1518+(g_sub-Sens!$F$1518)*2/4</f>
        <v>0.0988549986834021</v>
      </c>
      <c r="J1518" s="13" t="n">
        <f aca="false">Sens!$F$1518+(g_sub-Sens!$F$1518)*3/4</f>
        <v>0.084427499341701</v>
      </c>
      <c r="K1518" s="13" t="n">
        <f aca="false">Sens!$F$1518+(g_sub-Sens!$F$1518)*4/4</f>
        <v>0.07</v>
      </c>
      <c r="L1518" s="13" t="n">
        <f aca="false">g_sub</f>
        <v>0.07</v>
      </c>
      <c r="M1518" s="13" t="n">
        <f aca="false">g_sub</f>
        <v>0.07</v>
      </c>
      <c r="P1518" s="8" t="s">
        <v>671</v>
      </c>
    </row>
    <row r="1519" customFormat="false" ht="17.15" hidden="false" customHeight="false" outlineLevel="0" collapsed="false">
      <c r="A1519" s="0" t="s">
        <v>521</v>
      </c>
      <c r="B1519" s="0" t="s">
        <v>86</v>
      </c>
      <c r="C1519" s="38" t="n">
        <f aca="false">Q!$D$15</f>
        <v>5.425</v>
      </c>
      <c r="D1519" s="38" t="n">
        <f aca="false">Q!$E$15</f>
        <v>5.935</v>
      </c>
      <c r="E1519" s="38" t="n">
        <f aca="false">Q!$P$15</f>
        <v>3.474</v>
      </c>
      <c r="F1519" s="38" t="n">
        <f aca="false">Sens!$O$1519*(1+Sens!$F$1520)*Sens!$F$1521</f>
        <v>3.21114286901872</v>
      </c>
      <c r="G1519" s="38" t="n">
        <f aca="false">Sens!$E$1519+Sens!$F$1519</f>
        <v>6.68514286901872</v>
      </c>
      <c r="H1519" s="38" t="n">
        <f aca="false">Sens!$G$1519*(1+Sens!$H$1520)</f>
        <v>7.15040279061685</v>
      </c>
      <c r="I1519" s="38" t="n">
        <f aca="false">Sens!$H$1519*(1+Sens!$I$1520)</f>
        <v>7.60133630453079</v>
      </c>
      <c r="J1519" s="38" t="n">
        <f aca="false">Sens!$I$1519*(1+Sens!$J$1520)</f>
        <v>8.03105532081647</v>
      </c>
      <c r="K1519" s="38" t="n">
        <f aca="false">Sens!$J$1519*(1+Sens!$K$1520)</f>
        <v>8.43260808685729</v>
      </c>
      <c r="L1519" s="38" t="n">
        <f aca="false">Sens!$K$1519*(1+Sens!$L$1520)</f>
        <v>8.85423849120016</v>
      </c>
      <c r="M1519" s="38" t="n">
        <f aca="false">Sens!$L$1519*(1+Sens!$M$1520)</f>
        <v>9.29695041576017</v>
      </c>
      <c r="N1519" s="38" t="n">
        <f aca="false">Q!$N$15</f>
        <v>2.811</v>
      </c>
      <c r="O1519" s="38" t="n">
        <f aca="false">Q!$O$15</f>
        <v>3.124</v>
      </c>
      <c r="P1519" s="8" t="s">
        <v>661</v>
      </c>
    </row>
    <row r="1520" customFormat="false" ht="17.15" hidden="false" customHeight="false" outlineLevel="0" collapsed="false">
      <c r="A1520" s="0" t="s">
        <v>672</v>
      </c>
      <c r="B1520" s="0" t="s">
        <v>52</v>
      </c>
      <c r="E1520" s="13" t="n">
        <f aca="false">Sens!$E$1519/Sens!$N$1519-1</f>
        <v>0.235859124866596</v>
      </c>
      <c r="F1520" s="13" t="n">
        <f aca="false">Sens!$O$1519/(Q!$F$15+Q!$G$15)-1</f>
        <v>0.0761281433000345</v>
      </c>
      <c r="G1520" s="13" t="n">
        <f aca="false">Sens!$G$1519/Sens!$D$1519-1</f>
        <v>0.126393069758841</v>
      </c>
      <c r="H1520" s="13" t="n">
        <f aca="false">Sens!$F$1520+(g_ot-Sens!$F$1520)*1/4</f>
        <v>0.0695961074750259</v>
      </c>
      <c r="I1520" s="13" t="n">
        <f aca="false">Sens!$F$1520+(g_ot-Sens!$F$1520)*2/4</f>
        <v>0.0630640716500172</v>
      </c>
      <c r="J1520" s="13" t="n">
        <f aca="false">Sens!$F$1520+(g_ot-Sens!$F$1520)*3/4</f>
        <v>0.0565320358250086</v>
      </c>
      <c r="K1520" s="13" t="n">
        <f aca="false">Sens!$F$1520+(g_ot-Sens!$F$1520)*4/4</f>
        <v>0.05</v>
      </c>
      <c r="L1520" s="13" t="n">
        <f aca="false">g_ot</f>
        <v>0.05</v>
      </c>
      <c r="M1520" s="13" t="n">
        <f aca="false">g_ot</f>
        <v>0.05</v>
      </c>
      <c r="P1520" s="8" t="s">
        <v>673</v>
      </c>
    </row>
    <row r="1521" customFormat="false" ht="17.15" hidden="false" customHeight="false" outlineLevel="0" collapsed="false">
      <c r="A1521" s="0" t="s">
        <v>674</v>
      </c>
      <c r="B1521" s="0" t="s">
        <v>57</v>
      </c>
      <c r="F1521" s="40" t="n">
        <f aca="false">(g26q3_mid*Q!$O$8/Q!$J$8-Sens!$F$1550-Sens!$F$1554)/(Sens!$O$1509*(1+Sens!$F$1510)+Sens!$O$1511*(1+Sens!$F$1512)+Sens!$O$1513*(1+Sens!$F$1514)+Sens!$O$1515*(1+Sens!$F$1516)+Sens!$O$1517*(1+Sens!$F$1518)+Sens!$O$1519*(1+Sens!$F$1520))</f>
        <v>0.955178666009112</v>
      </c>
      <c r="P1521" s="8" t="s">
        <v>675</v>
      </c>
    </row>
    <row r="1522" customFormat="false" ht="17.15" hidden="false" customHeight="false" outlineLevel="0" collapsed="false">
      <c r="A1522" s="3" t="s">
        <v>676</v>
      </c>
      <c r="B1522" s="8" t="s">
        <v>86</v>
      </c>
      <c r="C1522" s="38" t="n">
        <f aca="false">Sens!$C$1509+Sens!$C$1511+Sens!$C$1513+Sens!$C$1515+Sens!$C$1517+Sens!$C$1519</f>
        <v>530.403</v>
      </c>
      <c r="D1522" s="38" t="n">
        <f aca="false">Sens!$D$1509+Sens!$D$1511+Sens!$D$1513+Sens!$D$1515+Sens!$D$1517+Sens!$D$1519</f>
        <v>588.199</v>
      </c>
      <c r="E1522" s="38" t="n">
        <f aca="false">Sens!$E$1509+Sens!$E$1511+Sens!$E$1513+Sens!$E$1515+Sens!$E$1517+Sens!$E$1519</f>
        <v>302.306</v>
      </c>
      <c r="F1522" s="38" t="n">
        <f aca="false">Sens!$F$1509+Sens!$F$1511+Sens!$F$1513+Sens!$F$1515+Sens!$F$1517+Sens!$F$1519</f>
        <v>347.821805704412</v>
      </c>
      <c r="G1522" s="38" t="n">
        <f aca="false">Sens!$G$1509+Sens!$G$1511+Sens!$G$1513+Sens!$G$1515+Sens!$G$1517+Sens!$G$1519</f>
        <v>650.127805704412</v>
      </c>
      <c r="H1522" s="38" t="n">
        <f aca="false">Sens!$H$1509+Sens!$H$1511+Sens!$H$1513+Sens!$H$1515+Sens!$H$1517+Sens!$H$1519</f>
        <v>719.738541341215</v>
      </c>
      <c r="I1522" s="38" t="n">
        <f aca="false">Sens!$I$1509+Sens!$I$1511+Sens!$I$1513+Sens!$I$1515+Sens!$I$1517+Sens!$I$1519</f>
        <v>787.043470834134</v>
      </c>
      <c r="J1522" s="38" t="n">
        <f aca="false">Sens!$J$1509+Sens!$J$1511+Sens!$J$1513+Sens!$J$1515+Sens!$J$1517+Sens!$J$1519</f>
        <v>849.504102614006</v>
      </c>
      <c r="K1522" s="38" t="n">
        <f aca="false">Sens!$K$1509+Sens!$K$1511+Sens!$K$1513+Sens!$K$1515+Sens!$K$1517+Sens!$K$1519</f>
        <v>904.468029544154</v>
      </c>
      <c r="L1522" s="38" t="n">
        <f aca="false">Sens!$L$1509+Sens!$L$1511+Sens!$L$1513+Sens!$L$1515+Sens!$L$1517+Sens!$L$1519</f>
        <v>963.27325472974</v>
      </c>
      <c r="M1522" s="38" t="n">
        <f aca="false">Sens!$M$1509+Sens!$M$1511+Sens!$M$1513+Sens!$M$1515+Sens!$M$1517+Sens!$M$1519</f>
        <v>1026.20877555295</v>
      </c>
      <c r="N1522" s="38" t="n">
        <f aca="false">Sens!$N$1509+Sens!$N$1511+Sens!$N$1513+Sens!$N$1515+Sens!$N$1517+Sens!$N$1519</f>
        <v>263.229</v>
      </c>
      <c r="O1522" s="38" t="n">
        <f aca="false">Sens!$O$1509+Sens!$O$1511+Sens!$O$1513+Sens!$O$1515+Sens!$O$1517+Sens!$O$1519</f>
        <v>324.97</v>
      </c>
    </row>
    <row r="1523" customFormat="false" ht="17.15" hidden="false" customHeight="false" outlineLevel="0" collapsed="false">
      <c r="A1523" s="5" t="s">
        <v>677</v>
      </c>
      <c r="B1523" s="0" t="s">
        <v>52</v>
      </c>
      <c r="C1523" s="13" t="n">
        <f aca="false">Q!$D$5/(Q!$D$5+Q!$D$6)</f>
        <v>0.730570905519011</v>
      </c>
      <c r="D1523" s="13" t="n">
        <f aca="false">Q!$E$5/(Q!$E$5+Q!$E$6)</f>
        <v>0.724763217890544</v>
      </c>
      <c r="E1523" s="13" t="n">
        <f aca="false">Q!$P$5/(Q!$P$5+Q!$P$6)</f>
        <v>0.728797972914861</v>
      </c>
      <c r="F1523" s="13" t="n">
        <f aca="false">Sens!$O$1523</f>
        <v>0.718066283041511</v>
      </c>
      <c r="G1523" s="13" t="n">
        <f aca="false">Sens!$G$1524/Sens!$G$1522</f>
        <v>0.723056462219185</v>
      </c>
      <c r="H1523" s="13" t="n">
        <f aca="false">Sens!$G$1523</f>
        <v>0.723056462219185</v>
      </c>
      <c r="I1523" s="13" t="n">
        <f aca="false">Sens!$G$1523</f>
        <v>0.723056462219185</v>
      </c>
      <c r="J1523" s="13" t="n">
        <f aca="false">Sens!$G$1523</f>
        <v>0.723056462219185</v>
      </c>
      <c r="K1523" s="13" t="n">
        <f aca="false">Sens!$G$1523</f>
        <v>0.723056462219185</v>
      </c>
      <c r="L1523" s="13" t="n">
        <f aca="false">Sens!$G$1523</f>
        <v>0.723056462219185</v>
      </c>
      <c r="M1523" s="13" t="n">
        <f aca="false">Sens!$G$1523</f>
        <v>0.723056462219185</v>
      </c>
      <c r="N1523" s="13" t="n">
        <f aca="false">Q!$N$5/(Q!$N$5+Q!$N$6)</f>
        <v>0.733030935041352</v>
      </c>
      <c r="O1523" s="13" t="n">
        <f aca="false">Q!$O$5/(Q!$O$5+Q!$O$6)</f>
        <v>0.718066283041511</v>
      </c>
      <c r="P1523" s="8" t="s">
        <v>678</v>
      </c>
    </row>
    <row r="1524" customFormat="false" ht="17.15" hidden="false" customHeight="false" outlineLevel="0" collapsed="false">
      <c r="A1524" s="1" t="s">
        <v>509</v>
      </c>
      <c r="B1524" s="8" t="s">
        <v>86</v>
      </c>
      <c r="C1524" s="38" t="n">
        <f aca="false">Q!$D$5</f>
        <v>387.497</v>
      </c>
      <c r="D1524" s="38" t="n">
        <f aca="false">Q!$E$5</f>
        <v>426.305</v>
      </c>
      <c r="E1524" s="38" t="n">
        <f aca="false">Q!$P$5</f>
        <v>220.32</v>
      </c>
      <c r="F1524" s="38" t="n">
        <f aca="false">Sens!$F$1522*Sens!$F$1523</f>
        <v>249.759111182954</v>
      </c>
      <c r="G1524" s="38" t="n">
        <f aca="false">Sens!$E$1524+Sens!$F$1524</f>
        <v>470.079111182954</v>
      </c>
      <c r="H1524" s="38" t="n">
        <f aca="false">Sens!$H$1522*Sens!$H$1523</f>
        <v>520.411603424975</v>
      </c>
      <c r="I1524" s="38" t="n">
        <f aca="false">Sens!$I$1522*Sens!$I$1523</f>
        <v>569.076867634037</v>
      </c>
      <c r="J1524" s="38" t="n">
        <f aca="false">Sens!$J$1522*Sens!$J$1523</f>
        <v>614.239431076767</v>
      </c>
      <c r="K1524" s="38" t="n">
        <f aca="false">Sens!$K$1522*Sens!$K$1523</f>
        <v>653.981453632553</v>
      </c>
      <c r="L1524" s="38" t="n">
        <f aca="false">Sens!$L$1522*Sens!$L$1523</f>
        <v>696.500951715246</v>
      </c>
      <c r="M1524" s="38" t="n">
        <f aca="false">Sens!$M$1522*Sens!$M$1523</f>
        <v>742.006886749601</v>
      </c>
      <c r="N1524" s="38" t="n">
        <f aca="false">Q!$N$5</f>
        <v>192.955</v>
      </c>
      <c r="O1524" s="38" t="n">
        <f aca="false">Q!$O$5</f>
        <v>233.35</v>
      </c>
      <c r="P1524" s="5" t="s">
        <v>679</v>
      </c>
    </row>
    <row r="1525" customFormat="false" ht="17.15" hidden="false" customHeight="false" outlineLevel="0" collapsed="false">
      <c r="A1525" s="1" t="s">
        <v>512</v>
      </c>
      <c r="B1525" s="8" t="s">
        <v>86</v>
      </c>
      <c r="C1525" s="38" t="n">
        <f aca="false">Q!$D$6</f>
        <v>142.906</v>
      </c>
      <c r="D1525" s="38" t="n">
        <f aca="false">Q!$E$6</f>
        <v>161.894</v>
      </c>
      <c r="E1525" s="38" t="n">
        <f aca="false">Q!$P$6</f>
        <v>81.986</v>
      </c>
      <c r="F1525" s="38" t="n">
        <f aca="false">Sens!$F$1522*(1-Sens!$F$1523)</f>
        <v>98.0626945214581</v>
      </c>
      <c r="G1525" s="38" t="n">
        <f aca="false">Sens!$E$1525+Sens!$F$1525</f>
        <v>180.048694521458</v>
      </c>
      <c r="H1525" s="38" t="n">
        <f aca="false">Sens!$H$1522*(1-Sens!$H$1523)</f>
        <v>199.326937916239</v>
      </c>
      <c r="I1525" s="38" t="n">
        <f aca="false">Sens!$I$1522*(1-Sens!$I$1523)</f>
        <v>217.966603200097</v>
      </c>
      <c r="J1525" s="38" t="n">
        <f aca="false">Sens!$J$1522*(1-Sens!$J$1523)</f>
        <v>235.264671537239</v>
      </c>
      <c r="K1525" s="38" t="n">
        <f aca="false">Sens!$K$1522*(1-Sens!$K$1523)</f>
        <v>250.486575911601</v>
      </c>
      <c r="L1525" s="38" t="n">
        <f aca="false">Sens!$L$1522*(1-Sens!$L$1523)</f>
        <v>266.772303014494</v>
      </c>
      <c r="M1525" s="38" t="n">
        <f aca="false">Sens!$M$1522*(1-Sens!$M$1523)</f>
        <v>284.201888803353</v>
      </c>
      <c r="N1525" s="38" t="n">
        <f aca="false">Q!$N$6</f>
        <v>70.274</v>
      </c>
      <c r="O1525" s="38" t="n">
        <f aca="false">Q!$O$6</f>
        <v>91.62</v>
      </c>
      <c r="P1525" s="5" t="s">
        <v>680</v>
      </c>
    </row>
    <row r="1526" customFormat="false" ht="17.15" hidden="false" customHeight="false" outlineLevel="0" collapsed="false">
      <c r="A1526" s="5" t="s">
        <v>681</v>
      </c>
      <c r="B1526" s="0" t="s">
        <v>86</v>
      </c>
      <c r="C1526" s="38" t="n">
        <f aca="false">Sens!$C$1515*Sens!$C$1523</f>
        <v>41.0683128828457</v>
      </c>
      <c r="D1526" s="38" t="n">
        <f aca="false">Sens!$D$1515*Sens!$D$1523</f>
        <v>49.7441234599175</v>
      </c>
      <c r="E1526" s="38" t="n">
        <f aca="false">Sens!$E$1515*Sens!$E$1523</f>
        <v>27.0034224924414</v>
      </c>
      <c r="F1526" s="38" t="n">
        <f aca="false">Sens!$F$1515*Sens!$F$1523</f>
        <v>33.0274883656522</v>
      </c>
      <c r="G1526" s="38" t="n">
        <f aca="false">Sens!$G$1515*Sens!$G$1523</f>
        <v>60.047699901315</v>
      </c>
      <c r="H1526" s="38" t="n">
        <f aca="false">Sens!$H$1515*Sens!$H$1523</f>
        <v>72.090331730491</v>
      </c>
      <c r="I1526" s="38" t="n">
        <f aca="false">Sens!$I$1515*Sens!$I$1523</f>
        <v>84.1318726558207</v>
      </c>
      <c r="J1526" s="38" t="n">
        <f aca="false">Sens!$J$1515*Sens!$J$1523</f>
        <v>95.3649104968107</v>
      </c>
      <c r="K1526" s="38" t="n">
        <f aca="false">Sens!$K$1515*Sens!$K$1523</f>
        <v>104.901401546492</v>
      </c>
      <c r="L1526" s="38" t="n">
        <f aca="false">Sens!$L$1515*Sens!$L$1523</f>
        <v>115.391541701141</v>
      </c>
      <c r="M1526" s="38" t="n">
        <f aca="false">Sens!$M$1515*Sens!$M$1523</f>
        <v>126.930695871255</v>
      </c>
      <c r="N1526" s="38" t="n">
        <f aca="false">Sens!$N$1515*Sens!$N$1523</f>
        <v>21.7087111412496</v>
      </c>
      <c r="O1526" s="38" t="n">
        <f aca="false">Sens!$O$1515*Sens!$O$1523</f>
        <v>28.0189463642798</v>
      </c>
      <c r="P1526" s="5" t="s">
        <v>682</v>
      </c>
    </row>
    <row r="1527" customFormat="false" ht="15" hidden="false" customHeight="false" outlineLevel="0" collapsed="false">
      <c r="A1527" s="5" t="s">
        <v>683</v>
      </c>
      <c r="B1527" s="0" t="s">
        <v>86</v>
      </c>
      <c r="C1527" s="38" t="n">
        <f aca="false">Sens!$C$1515-Sens!$C$1526</f>
        <v>15.1456871171543</v>
      </c>
      <c r="D1527" s="38" t="n">
        <f aca="false">Sens!$D$1515-Sens!$D$1526</f>
        <v>18.8908765400825</v>
      </c>
      <c r="E1527" s="38" t="n">
        <f aca="false">Sens!$E$1515-Sens!$E$1526</f>
        <v>10.0485775075586</v>
      </c>
      <c r="F1527" s="38" t="n">
        <f aca="false">Sens!$F$1515-Sens!$F$1526</f>
        <v>12.9675529636214</v>
      </c>
      <c r="G1527" s="38" t="n">
        <f aca="false">Sens!$G$1515-Sens!$G$1526</f>
        <v>22.9993414279586</v>
      </c>
      <c r="H1527" s="38" t="n">
        <f aca="false">Sens!$H$1515-Sens!$H$1526</f>
        <v>27.6118844826569</v>
      </c>
      <c r="I1527" s="38" t="n">
        <f aca="false">Sens!$I$1515-Sens!$I$1526</f>
        <v>32.2240097017001</v>
      </c>
      <c r="J1527" s="38" t="n">
        <f aca="false">Sens!$J$1515-Sens!$J$1526</f>
        <v>36.5264638007363</v>
      </c>
      <c r="K1527" s="38" t="n">
        <f aca="false">Sens!$K$1515-Sens!$K$1526</f>
        <v>40.17911018081</v>
      </c>
      <c r="L1527" s="38" t="n">
        <f aca="false">Sens!$L$1515-Sens!$L$1526</f>
        <v>44.197021198891</v>
      </c>
      <c r="M1527" s="38" t="n">
        <f aca="false">Sens!$M$1515-Sens!$M$1526</f>
        <v>48.61672331878</v>
      </c>
      <c r="N1527" s="38" t="n">
        <f aca="false">Sens!$N$1515-Sens!$N$1526</f>
        <v>7.90628885875037</v>
      </c>
      <c r="O1527" s="38" t="n">
        <f aca="false">Sens!$O$1515-Sens!$O$1526</f>
        <v>11.0010536357202</v>
      </c>
    </row>
    <row r="1528" customFormat="false" ht="19.4" hidden="false" customHeight="false" outlineLevel="0" collapsed="false">
      <c r="A1528" s="31" t="s">
        <v>1158</v>
      </c>
    </row>
    <row r="1529" customFormat="false" ht="17.15" hidden="false" customHeight="false" outlineLevel="0" collapsed="false">
      <c r="A1529" s="6" t="s">
        <v>16</v>
      </c>
      <c r="B1529" s="6" t="s">
        <v>17</v>
      </c>
      <c r="C1529" s="20" t="s">
        <v>494</v>
      </c>
      <c r="D1529" s="20" t="s">
        <v>495</v>
      </c>
      <c r="E1529" s="20" t="s">
        <v>577</v>
      </c>
      <c r="F1529" s="20" t="s">
        <v>578</v>
      </c>
      <c r="G1529" s="20" t="s">
        <v>579</v>
      </c>
      <c r="H1529" s="20" t="s">
        <v>580</v>
      </c>
      <c r="I1529" s="20" t="s">
        <v>581</v>
      </c>
      <c r="J1529" s="20" t="s">
        <v>582</v>
      </c>
      <c r="K1529" s="20" t="s">
        <v>583</v>
      </c>
      <c r="L1529" s="20" t="s">
        <v>584</v>
      </c>
      <c r="M1529" s="20" t="s">
        <v>585</v>
      </c>
      <c r="N1529" s="20" t="s">
        <v>586</v>
      </c>
      <c r="O1529" s="20" t="s">
        <v>587</v>
      </c>
      <c r="P1529" s="6" t="s">
        <v>23</v>
      </c>
      <c r="R1529" s="20" t="n">
        <v>2023</v>
      </c>
      <c r="S1529" s="20" t="n">
        <v>2024</v>
      </c>
      <c r="T1529" s="20" t="n">
        <v>2025</v>
      </c>
      <c r="U1529" s="20" t="n">
        <v>2026</v>
      </c>
      <c r="V1529" s="20" t="n">
        <v>2027</v>
      </c>
      <c r="W1529" s="20" t="n">
        <v>2028</v>
      </c>
      <c r="X1529" s="20" t="n">
        <v>2029</v>
      </c>
      <c r="Y1529" s="20" t="n">
        <v>2030</v>
      </c>
      <c r="Z1529" s="20" t="n">
        <v>2031</v>
      </c>
      <c r="AA1529" s="20" t="n">
        <v>2032</v>
      </c>
    </row>
    <row r="1530" customFormat="false" ht="17.15" hidden="false" customHeight="false" outlineLevel="0" collapsed="false">
      <c r="A1530" s="1" t="s">
        <v>588</v>
      </c>
    </row>
    <row r="1531" customFormat="false" ht="17.15" hidden="false" customHeight="false" outlineLevel="0" collapsed="false">
      <c r="A1531" s="5" t="s">
        <v>589</v>
      </c>
      <c r="B1531" s="0" t="s">
        <v>144</v>
      </c>
      <c r="H1531" s="32" t="n">
        <f aca="false">(pace_B*1.25)</f>
        <v>4542.875</v>
      </c>
      <c r="I1531" s="32" t="n">
        <f aca="false">(pace_B*1.25)</f>
        <v>4542.875</v>
      </c>
      <c r="J1531" s="32" t="n">
        <f aca="false">(pace_B*1.25)</f>
        <v>4542.875</v>
      </c>
      <c r="K1531" s="32" t="n">
        <f aca="false">(pace_B*1.25)+(Sens!$J$1532*tg-(pace_B*1.25))*1/3</f>
        <v>3208.38395833333</v>
      </c>
      <c r="L1531" s="32" t="n">
        <f aca="false">(pace_B*1.25)+(Sens!$J$1532*tg-(pace_B*1.25))*2/3</f>
        <v>1873.89291666667</v>
      </c>
      <c r="M1531" s="32" t="n">
        <f aca="false">(pace_B*1.25)+(Sens!$J$1532*tg-(pace_B*1.25))*3/3</f>
        <v>539.401875</v>
      </c>
      <c r="P1531" s="5" t="s">
        <v>590</v>
      </c>
    </row>
    <row r="1532" customFormat="false" ht="17.15" hidden="false" customHeight="false" outlineLevel="0" collapsed="false">
      <c r="A1532" s="15" t="s">
        <v>591</v>
      </c>
      <c r="B1532" s="14" t="s">
        <v>129</v>
      </c>
      <c r="C1532" s="33" t="n">
        <f aca="false">mw_ye24</f>
        <v>360</v>
      </c>
      <c r="D1532" s="33" t="n">
        <f aca="false">mw_ye25</f>
        <v>1440</v>
      </c>
      <c r="E1532" s="33" t="n">
        <f aca="false">mw_open</f>
        <v>2080</v>
      </c>
      <c r="F1532" s="33" t="n">
        <f aca="false">Sens!$E$1532+(pace_B*1.25)*0.5</f>
        <v>4351.4375</v>
      </c>
      <c r="G1532" s="33" t="n">
        <f aca="false">Sens!$F$1532</f>
        <v>4351.4375</v>
      </c>
      <c r="H1532" s="33" t="n">
        <f aca="false">Sens!$G$1532+Sens!$H$1531</f>
        <v>8894.3125</v>
      </c>
      <c r="I1532" s="33" t="n">
        <f aca="false">Sens!$H$1532+Sens!$I$1531</f>
        <v>13437.1875</v>
      </c>
      <c r="J1532" s="33" t="n">
        <f aca="false">Sens!$I$1532+Sens!$J$1531</f>
        <v>17980.0625</v>
      </c>
      <c r="K1532" s="33" t="n">
        <f aca="false">Sens!$J$1532+Sens!$K$1531</f>
        <v>21188.4464583333</v>
      </c>
      <c r="L1532" s="33" t="n">
        <f aca="false">Sens!$K$1532+Sens!$L$1531</f>
        <v>23062.339375</v>
      </c>
      <c r="M1532" s="33" t="n">
        <f aca="false">Sens!$L$1532+Sens!$M$1531</f>
        <v>23601.74125</v>
      </c>
      <c r="N1532" s="33" t="n">
        <f aca="false">(mw_ye24+mw_ye25)/2</f>
        <v>900</v>
      </c>
      <c r="O1532" s="33" t="n">
        <f aca="false">mw_ye25</f>
        <v>1440</v>
      </c>
      <c r="P1532" s="5" t="s">
        <v>592</v>
      </c>
    </row>
    <row r="1533" customFormat="false" ht="17.15" hidden="false" customHeight="false" outlineLevel="0" collapsed="false">
      <c r="A1533" s="5" t="s">
        <v>593</v>
      </c>
      <c r="B1533" s="0" t="s">
        <v>129</v>
      </c>
      <c r="C1533" s="32" t="n">
        <f aca="false">(mw_ye23+mw_ye24)/2</f>
        <v>240</v>
      </c>
      <c r="D1533" s="32" t="n">
        <f aca="false">(Sens!$C$1532+Sens!$D$1532)/2</f>
        <v>900</v>
      </c>
      <c r="E1533" s="32" t="n">
        <f aca="false">(Sens!$D$1532+Sens!$E$1532)/2</f>
        <v>1760</v>
      </c>
      <c r="F1533" s="32" t="n">
        <f aca="false">(Sens!$E$1532+Sens!$F$1532)/2</f>
        <v>3215.71875</v>
      </c>
      <c r="G1533" s="32" t="n">
        <f aca="false">(Sens!$E$1533+Sens!$F$1533)/2</f>
        <v>2487.859375</v>
      </c>
      <c r="H1533" s="32" t="n">
        <f aca="false">(Sens!$G$1532+Sens!$H$1532)/2</f>
        <v>6622.875</v>
      </c>
      <c r="I1533" s="32" t="n">
        <f aca="false">(Sens!$H$1532+Sens!$I$1532)/2</f>
        <v>11165.75</v>
      </c>
      <c r="J1533" s="32" t="n">
        <f aca="false">(Sens!$I$1532+Sens!$J$1532)/2</f>
        <v>15708.625</v>
      </c>
      <c r="K1533" s="32" t="n">
        <f aca="false">(Sens!$J$1532+Sens!$K$1532)/2</f>
        <v>19584.2544791667</v>
      </c>
      <c r="L1533" s="32" t="n">
        <f aca="false">(Sens!$K$1532+Sens!$L$1532)/2</f>
        <v>22125.3929166667</v>
      </c>
      <c r="M1533" s="32" t="n">
        <f aca="false">(Sens!$L$1532+Sens!$M$1532)/2</f>
        <v>23332.0403125</v>
      </c>
      <c r="N1533" s="32" t="n">
        <f aca="false">(Sens!$C$1532+Sens!$N$1532)/2</f>
        <v>630</v>
      </c>
      <c r="O1533" s="32" t="n">
        <f aca="false">(Sens!$N$1532+Sens!$O$1532)/2</f>
        <v>1170</v>
      </c>
    </row>
    <row r="1534" customFormat="false" ht="15" hidden="false" customHeight="false" outlineLevel="0" collapsed="false">
      <c r="A1534" s="5" t="s">
        <v>594</v>
      </c>
      <c r="B1534" s="5" t="s">
        <v>123</v>
      </c>
      <c r="C1534" s="34" t="n">
        <v>1</v>
      </c>
      <c r="D1534" s="34" t="n">
        <v>1</v>
      </c>
      <c r="E1534" s="34" t="n">
        <v>0.5</v>
      </c>
      <c r="F1534" s="34" t="n">
        <v>0.5</v>
      </c>
      <c r="G1534" s="34" t="n">
        <v>1</v>
      </c>
      <c r="H1534" s="34" t="n">
        <v>1</v>
      </c>
      <c r="I1534" s="34" t="n">
        <v>1</v>
      </c>
      <c r="J1534" s="34" t="n">
        <v>1</v>
      </c>
      <c r="K1534" s="34" t="n">
        <v>1</v>
      </c>
      <c r="L1534" s="34" t="n">
        <v>1</v>
      </c>
      <c r="M1534" s="34" t="n">
        <v>1</v>
      </c>
      <c r="N1534" s="34" t="n">
        <v>0.5</v>
      </c>
      <c r="O1534" s="34" t="n">
        <v>0.5</v>
      </c>
    </row>
    <row r="1535" customFormat="false" ht="17.15" hidden="false" customHeight="false" outlineLevel="0" collapsed="false">
      <c r="A1535" s="5" t="s">
        <v>595</v>
      </c>
      <c r="B1535" s="0" t="s">
        <v>129</v>
      </c>
      <c r="C1535" s="32" t="n">
        <f aca="false">Sens!$C$1532-mw_ye23</f>
        <v>240</v>
      </c>
      <c r="D1535" s="32" t="n">
        <f aca="false">Sens!$D$1532-Sens!$C$1532</f>
        <v>1080</v>
      </c>
      <c r="E1535" s="32" t="n">
        <f aca="false">Sens!$E$1532-Sens!$D$1532</f>
        <v>640</v>
      </c>
      <c r="F1535" s="32" t="n">
        <f aca="false">Sens!$F$1532-Sens!$E$1532</f>
        <v>2271.4375</v>
      </c>
      <c r="G1535" s="32" t="n">
        <f aca="false">Sens!$E$1535+Sens!$F$1535</f>
        <v>2911.4375</v>
      </c>
      <c r="H1535" s="32" t="n">
        <f aca="false">Sens!$H$1532-Sens!$G$1532</f>
        <v>4542.875</v>
      </c>
      <c r="I1535" s="32" t="n">
        <f aca="false">Sens!$I$1532-Sens!$H$1532</f>
        <v>4542.875</v>
      </c>
      <c r="J1535" s="32" t="n">
        <f aca="false">Sens!$J$1532-Sens!$I$1532</f>
        <v>4542.875</v>
      </c>
      <c r="K1535" s="32" t="n">
        <f aca="false">Sens!$K$1532-Sens!$J$1532</f>
        <v>3208.38395833333</v>
      </c>
      <c r="L1535" s="32" t="n">
        <f aca="false">Sens!$L$1532-Sens!$K$1532</f>
        <v>1873.89291666667</v>
      </c>
      <c r="M1535" s="32" t="n">
        <f aca="false">Sens!$M$1532-Sens!$L$1532</f>
        <v>539.401875</v>
      </c>
      <c r="N1535" s="32" t="n">
        <f aca="false">Sens!$N$1532-Sens!$C$1532</f>
        <v>540</v>
      </c>
      <c r="O1535" s="32" t="n">
        <f aca="false">Sens!$O$1532-Sens!$N$1532</f>
        <v>540</v>
      </c>
    </row>
    <row r="1536" customFormat="false" ht="17.15" hidden="false" customHeight="false" outlineLevel="0" collapsed="false">
      <c r="A1536" s="5" t="s">
        <v>596</v>
      </c>
      <c r="B1536" s="0" t="s">
        <v>129</v>
      </c>
      <c r="C1536" s="32" t="n">
        <f aca="false">Sens!$C$1535/ext_sh</f>
        <v>300</v>
      </c>
      <c r="D1536" s="32" t="n">
        <f aca="false">Sens!$D$1535/ext_sh</f>
        <v>1350</v>
      </c>
      <c r="E1536" s="32" t="n">
        <f aca="false">Sens!$E$1535/ext_sh</f>
        <v>800</v>
      </c>
      <c r="F1536" s="32" t="n">
        <f aca="false">Sens!$F$1535/ext_sh</f>
        <v>2839.296875</v>
      </c>
      <c r="G1536" s="32" t="n">
        <f aca="false">Sens!$G$1535/ext_sh</f>
        <v>3639.296875</v>
      </c>
      <c r="H1536" s="32" t="n">
        <f aca="false">Sens!$H$1535/ext_sh</f>
        <v>5678.59375</v>
      </c>
      <c r="I1536" s="32" t="n">
        <f aca="false">Sens!$I$1535/ext_sh</f>
        <v>5678.59375</v>
      </c>
      <c r="J1536" s="32" t="n">
        <f aca="false">Sens!$J$1535/ext_sh</f>
        <v>5678.59375</v>
      </c>
      <c r="K1536" s="32" t="n">
        <f aca="false">Sens!$K$1535/ext_sh</f>
        <v>4010.47994791667</v>
      </c>
      <c r="L1536" s="32" t="n">
        <f aca="false">Sens!$L$1535/ext_sh</f>
        <v>2342.36614583333</v>
      </c>
      <c r="M1536" s="32" t="n">
        <f aca="false">Sens!$M$1535/ext_sh</f>
        <v>674.25234375</v>
      </c>
      <c r="N1536" s="32" t="n">
        <f aca="false">Sens!$N$1535/ext_sh</f>
        <v>675</v>
      </c>
      <c r="O1536" s="32" t="n">
        <f aca="false">Sens!$O$1535/ext_sh</f>
        <v>675</v>
      </c>
      <c r="P1536" s="8" t="s">
        <v>597</v>
      </c>
      <c r="R1536" s="32" t="n">
        <f aca="false">mw_ye23/ext_sh</f>
        <v>150</v>
      </c>
      <c r="S1536" s="32" t="n">
        <f aca="false">Sens!$C$1536</f>
        <v>300</v>
      </c>
      <c r="T1536" s="32" t="n">
        <f aca="false">Sens!$D$1536</f>
        <v>1350</v>
      </c>
      <c r="U1536" s="32" t="n">
        <f aca="false">Sens!$G$1536</f>
        <v>3639.296875</v>
      </c>
      <c r="V1536" s="32" t="n">
        <f aca="false">Sens!$H$1536</f>
        <v>5678.59375</v>
      </c>
      <c r="W1536" s="32" t="n">
        <f aca="false">Sens!$I$1536</f>
        <v>5678.59375</v>
      </c>
      <c r="X1536" s="32" t="n">
        <f aca="false">Sens!$J$1536</f>
        <v>5678.59375</v>
      </c>
      <c r="Y1536" s="32" t="n">
        <f aca="false">Sens!$K$1536</f>
        <v>4010.47994791667</v>
      </c>
      <c r="Z1536" s="32" t="n">
        <f aca="false">Sens!$L$1536</f>
        <v>2342.36614583333</v>
      </c>
      <c r="AA1536" s="32" t="n">
        <f aca="false">Sens!$M$1536</f>
        <v>674.25234375</v>
      </c>
    </row>
    <row r="1537" customFormat="false" ht="17.15" hidden="false" customHeight="false" outlineLevel="0" collapsed="false">
      <c r="A1537" s="1" t="s">
        <v>598</v>
      </c>
    </row>
    <row r="1538" customFormat="false" ht="17.15" hidden="false" customHeight="false" outlineLevel="0" collapsed="false">
      <c r="A1538" s="0" t="s">
        <v>599</v>
      </c>
      <c r="B1538" s="0" t="s">
        <v>52</v>
      </c>
      <c r="F1538" s="35" t="n">
        <f aca="false">na_vr26</f>
        <v>0</v>
      </c>
      <c r="G1538" s="35" t="n">
        <f aca="false">na_vr26</f>
        <v>0</v>
      </c>
      <c r="H1538" s="35" t="n">
        <f aca="false">na_vr27</f>
        <v>0.5</v>
      </c>
      <c r="I1538" s="35" t="n">
        <f aca="false">na_vr28</f>
        <v>1</v>
      </c>
      <c r="J1538" s="35" t="n">
        <f aca="false">na_vr28</f>
        <v>1</v>
      </c>
      <c r="K1538" s="35" t="n">
        <f aca="false">na_vr28</f>
        <v>1</v>
      </c>
      <c r="L1538" s="35" t="n">
        <f aca="false">na_vr28</f>
        <v>1</v>
      </c>
      <c r="M1538" s="35" t="n">
        <f aca="false">na_vr28</f>
        <v>1</v>
      </c>
    </row>
    <row r="1539" customFormat="false" ht="17.15" hidden="false" customHeight="false" outlineLevel="0" collapsed="false">
      <c r="A1539" s="5" t="s">
        <v>600</v>
      </c>
      <c r="B1539" s="0" t="s">
        <v>173</v>
      </c>
      <c r="F1539" s="36" t="n">
        <f aca="false">cust_sh*tk_he_gb300*cf_chip+(1-cust_sh)*((1-Sens!$F$1538)*tk_he_gb300+Sens!$F$1538*tk_he_vr200)</f>
        <v>10.8864110021101</v>
      </c>
      <c r="G1539" s="36" t="n">
        <f aca="false">cust_sh*tk_he_gb300*cf_chip+(1-cust_sh)*((1-Sens!$G$1538)*tk_he_gb300+Sens!$G$1538*tk_he_vr200)</f>
        <v>10.8864110021101</v>
      </c>
      <c r="H1539" s="36" t="n">
        <f aca="false">cust_sh*tk_he_gb300*cf_chip+(1-cust_sh)*((1-Sens!$H$1538)*tk_he_gb300+Sens!$H$1538*tk_he_vr200)</f>
        <v>11.2211760027286</v>
      </c>
      <c r="I1539" s="36" t="n">
        <f aca="false">cust_sh*tk_he_gb300*cf_chip+(1-cust_sh)*((1-Sens!$I$1538)*tk_he_gb300+Sens!$I$1538*tk_he_vr200)</f>
        <v>11.5559410033471</v>
      </c>
      <c r="J1539" s="36" t="n">
        <f aca="false">cust_sh*tk_he_gb300*cf_chip+(1-cust_sh)*((1-Sens!$J$1538)*tk_he_gb300+Sens!$J$1538*tk_he_vr200)</f>
        <v>11.5559410033471</v>
      </c>
      <c r="K1539" s="36" t="n">
        <f aca="false">cust_sh*tk_he_gb300*cf_chip+(1-cust_sh)*((1-Sens!$K$1538)*tk_he_gb300+Sens!$K$1538*tk_he_vr200)</f>
        <v>11.5559410033471</v>
      </c>
      <c r="L1539" s="36" t="n">
        <f aca="false">cust_sh*tk_he_gb300*cf_chip+(1-cust_sh)*((1-Sens!$L$1538)*tk_he_gb300+Sens!$L$1538*tk_he_vr200)</f>
        <v>11.5559410033471</v>
      </c>
      <c r="M1539" s="36" t="n">
        <f aca="false">cust_sh*tk_he_gb300*cf_chip+(1-cust_sh)*((1-Sens!$M$1538)*tk_he_gb300+Sens!$M$1538*tk_he_vr200)</f>
        <v>11.5559410033471</v>
      </c>
    </row>
    <row r="1540" customFormat="false" ht="17.15" hidden="false" customHeight="false" outlineLevel="0" collapsed="false">
      <c r="A1540" s="5" t="s">
        <v>601</v>
      </c>
      <c r="B1540" s="0" t="s">
        <v>173</v>
      </c>
      <c r="F1540" s="36" t="n">
        <f aca="false">cust_sh*tk_ox_gb300+(1-cust_sh)*((1-Sens!$F$1538)*tk_ox_gb300+Sens!$F$1538*tk_ox_vr200)</f>
        <v>1.98263481314457</v>
      </c>
      <c r="G1540" s="36" t="n">
        <f aca="false">cust_sh*tk_ox_gb300+(1-cust_sh)*((1-Sens!$G$1538)*tk_ox_gb300+Sens!$G$1538*tk_ox_vr200)</f>
        <v>1.98263481314457</v>
      </c>
      <c r="H1540" s="36" t="n">
        <f aca="false">cust_sh*tk_ox_gb300+(1-cust_sh)*((1-Sens!$H$1538)*tk_ox_gb300+Sens!$H$1538*tk_ox_vr200)</f>
        <v>2.01034999693694</v>
      </c>
      <c r="I1540" s="36" t="n">
        <f aca="false">cust_sh*tk_ox_gb300+(1-cust_sh)*((1-Sens!$I$1538)*tk_ox_gb300+Sens!$I$1538*tk_ox_vr200)</f>
        <v>2.0380651807293</v>
      </c>
      <c r="J1540" s="36" t="n">
        <f aca="false">cust_sh*tk_ox_gb300+(1-cust_sh)*((1-Sens!$J$1538)*tk_ox_gb300+Sens!$J$1538*tk_ox_vr200)</f>
        <v>2.0380651807293</v>
      </c>
      <c r="K1540" s="36" t="n">
        <f aca="false">cust_sh*tk_ox_gb300+(1-cust_sh)*((1-Sens!$K$1538)*tk_ox_gb300+Sens!$K$1538*tk_ox_vr200)</f>
        <v>2.0380651807293</v>
      </c>
      <c r="L1540" s="36" t="n">
        <f aca="false">cust_sh*tk_ox_gb300+(1-cust_sh)*((1-Sens!$L$1538)*tk_ox_gb300+Sens!$L$1538*tk_ox_vr200)</f>
        <v>2.0380651807293</v>
      </c>
      <c r="M1540" s="36" t="n">
        <f aca="false">cust_sh*tk_ox_gb300+(1-cust_sh)*((1-Sens!$M$1538)*tk_ox_gb300+Sens!$M$1538*tk_ox_vr200)</f>
        <v>2.0380651807293</v>
      </c>
    </row>
    <row r="1541" customFormat="false" ht="17.15" hidden="false" customHeight="false" outlineLevel="0" collapsed="false">
      <c r="A1541" s="5" t="s">
        <v>602</v>
      </c>
      <c r="B1541" s="0" t="s">
        <v>192</v>
      </c>
      <c r="F1541" s="36" t="n">
        <f aca="false">cust_sh*tk_cx_gb300*cf_cx+(1-cust_sh)*((1-Sens!$F$1538)*tk_cx_gb300+Sens!$F$1538*tk_cx_vr200)</f>
        <v>32.237224</v>
      </c>
      <c r="G1541" s="36" t="n">
        <f aca="false">cust_sh*tk_cx_gb300*cf_cx+(1-cust_sh)*((1-Sens!$G$1538)*tk_cx_gb300+Sens!$G$1538*tk_cx_vr200)</f>
        <v>32.237224</v>
      </c>
      <c r="H1541" s="36" t="n">
        <f aca="false">cust_sh*tk_cx_gb300*cf_cx+(1-cust_sh)*((1-Sens!$H$1538)*tk_cx_gb300+Sens!$H$1538*tk_cx_vr200)</f>
        <v>33.574506</v>
      </c>
      <c r="I1541" s="36" t="n">
        <f aca="false">cust_sh*tk_cx_gb300*cf_cx+(1-cust_sh)*((1-Sens!$I$1538)*tk_cx_gb300+Sens!$I$1538*tk_cx_vr200)</f>
        <v>34.911788</v>
      </c>
      <c r="J1541" s="36" t="n">
        <f aca="false">cust_sh*tk_cx_gb300*cf_cx+(1-cust_sh)*((1-Sens!$J$1538)*tk_cx_gb300+Sens!$J$1538*tk_cx_vr200)</f>
        <v>34.911788</v>
      </c>
      <c r="K1541" s="36" t="n">
        <f aca="false">cust_sh*tk_cx_gb300*cf_cx+(1-cust_sh)*((1-Sens!$K$1538)*tk_cx_gb300+Sens!$K$1538*tk_cx_vr200)</f>
        <v>34.911788</v>
      </c>
      <c r="L1541" s="36" t="n">
        <f aca="false">cust_sh*tk_cx_gb300*cf_cx+(1-cust_sh)*((1-Sens!$L$1538)*tk_cx_gb300+Sens!$L$1538*tk_cx_vr200)</f>
        <v>34.911788</v>
      </c>
      <c r="M1541" s="36" t="n">
        <f aca="false">cust_sh*tk_cx_gb300*cf_cx+(1-cust_sh)*((1-Sens!$M$1538)*tk_cx_gb300+Sens!$M$1538*tk_cx_vr200)</f>
        <v>34.911788</v>
      </c>
    </row>
    <row r="1542" customFormat="false" ht="17.15" hidden="false" customHeight="false" outlineLevel="0" collapsed="false">
      <c r="A1542" s="5" t="s">
        <v>603</v>
      </c>
      <c r="B1542" s="0" t="s">
        <v>129</v>
      </c>
      <c r="F1542" s="32" t="n">
        <f aca="false">Sens!$F$1532-mw_open</f>
        <v>2271.4375</v>
      </c>
      <c r="G1542" s="32" t="n">
        <f aca="false">Sens!$F$1542</f>
        <v>2271.4375</v>
      </c>
      <c r="H1542" s="32" t="n">
        <f aca="false">Sens!$H$1532-mw_open</f>
        <v>6814.3125</v>
      </c>
      <c r="I1542" s="32" t="n">
        <f aca="false">Sens!$I$1532-mw_open</f>
        <v>11357.1875</v>
      </c>
      <c r="J1542" s="32" t="n">
        <f aca="false">Sens!$J$1532-mw_open</f>
        <v>15900.0625</v>
      </c>
      <c r="K1542" s="32" t="n">
        <f aca="false">Sens!$K$1532-mw_open</f>
        <v>19108.4464583333</v>
      </c>
      <c r="L1542" s="32" t="n">
        <f aca="false">Sens!$L$1532-mw_open</f>
        <v>20982.339375</v>
      </c>
      <c r="M1542" s="32" t="n">
        <f aca="false">Sens!$M$1532-mw_open</f>
        <v>21521.74125</v>
      </c>
    </row>
    <row r="1543" customFormat="false" ht="17.15" hidden="false" customHeight="false" outlineLevel="0" collapsed="false">
      <c r="A1543" s="0" t="s">
        <v>604</v>
      </c>
      <c r="B1543" s="0" t="s">
        <v>605</v>
      </c>
      <c r="F1543" s="32" t="n">
        <f aca="false">Sens!$F$1535*Sens!$F$1539</f>
        <v>24727.8021906055</v>
      </c>
      <c r="G1543" s="32" t="n">
        <f aca="false">Sens!$F$1543</f>
        <v>24727.8021906055</v>
      </c>
      <c r="H1543" s="32" t="n">
        <f aca="false">Sens!$G$1543+Sens!$H$1535*Sens!$H$1539</f>
        <v>75704.2021240012</v>
      </c>
      <c r="I1543" s="32" t="n">
        <f aca="false">Sens!$H$1543+Sens!$I$1535*Sens!$I$1539</f>
        <v>128201.397609582</v>
      </c>
      <c r="J1543" s="32" t="n">
        <f aca="false">Sens!$I$1543+Sens!$J$1535*Sens!$J$1539</f>
        <v>180698.593095162</v>
      </c>
      <c r="K1543" s="32" t="n">
        <f aca="false">Sens!$J$1543+Sens!$K$1535*Sens!$K$1539</f>
        <v>217774.488833747</v>
      </c>
      <c r="L1543" s="32" t="n">
        <f aca="false">Sens!$K$1543+Sens!$L$1535*Sens!$L$1539</f>
        <v>239429.084825337</v>
      </c>
      <c r="M1543" s="32" t="n">
        <f aca="false">Sens!$L$1543+Sens!$M$1535*Sens!$M$1539</f>
        <v>245662.381069932</v>
      </c>
    </row>
    <row r="1544" customFormat="false" ht="17.15" hidden="false" customHeight="false" outlineLevel="0" collapsed="false">
      <c r="A1544" s="0" t="s">
        <v>606</v>
      </c>
      <c r="B1544" s="0" t="s">
        <v>605</v>
      </c>
      <c r="F1544" s="32" t="n">
        <f aca="false">Sens!$F$1535*Sens!$F$1540</f>
        <v>4503.43106338207</v>
      </c>
      <c r="G1544" s="32" t="n">
        <f aca="false">Sens!$F$1544</f>
        <v>4503.43106338207</v>
      </c>
      <c r="H1544" s="32" t="n">
        <f aca="false">Sens!$G$1544+Sens!$H$1535*Sens!$H$1540</f>
        <v>13636.1998057169</v>
      </c>
      <c r="I1544" s="32" t="n">
        <f aca="false">Sens!$H$1544+Sens!$I$1535*Sens!$I$1540</f>
        <v>22894.8751636226</v>
      </c>
      <c r="J1544" s="32" t="n">
        <f aca="false">Sens!$I$1544+Sens!$J$1535*Sens!$J$1540</f>
        <v>32153.5505215282</v>
      </c>
      <c r="K1544" s="32" t="n">
        <f aca="false">Sens!$J$1544+Sens!$K$1535*Sens!$K$1540</f>
        <v>38692.4461534178</v>
      </c>
      <c r="L1544" s="32" t="n">
        <f aca="false">Sens!$K$1544+Sens!$L$1535*Sens!$L$1540</f>
        <v>42511.5620592914</v>
      </c>
      <c r="M1544" s="32" t="n">
        <f aca="false">Sens!$L$1544+Sens!$M$1535*Sens!$M$1540</f>
        <v>43610.898239149</v>
      </c>
    </row>
    <row r="1545" customFormat="false" ht="17.15" hidden="false" customHeight="false" outlineLevel="0" collapsed="false">
      <c r="A1545" s="5" t="s">
        <v>607</v>
      </c>
      <c r="B1545" s="0" t="s">
        <v>173</v>
      </c>
      <c r="F1545" s="36" t="n">
        <f aca="false">IF(Sens!$F$1542&gt;0,Sens!$F$1543/Sens!$F$1542,Sens!$F$1539)</f>
        <v>10.8864110021101</v>
      </c>
      <c r="G1545" s="36" t="n">
        <f aca="false">IF(Sens!$G$1542&gt;0,Sens!$G$1543/Sens!$G$1542,Sens!$G$1539)</f>
        <v>10.8864110021101</v>
      </c>
      <c r="H1545" s="36" t="n">
        <f aca="false">IF(Sens!$H$1542&gt;0,Sens!$H$1543/Sens!$H$1542,Sens!$H$1539)</f>
        <v>11.1095876691891</v>
      </c>
      <c r="I1545" s="36" t="n">
        <f aca="false">IF(Sens!$I$1542&gt;0,Sens!$I$1543/Sens!$I$1542,Sens!$I$1539)</f>
        <v>11.2881290028523</v>
      </c>
      <c r="J1545" s="36" t="n">
        <f aca="false">IF(Sens!$J$1542&gt;0,Sens!$J$1543/Sens!$J$1542,Sens!$J$1539)</f>
        <v>11.3646467172794</v>
      </c>
      <c r="K1545" s="36" t="n">
        <f aca="false">IF(Sens!$K$1542&gt;0,Sens!$K$1543/Sens!$K$1542,Sens!$K$1539)</f>
        <v>11.3967657867223</v>
      </c>
      <c r="L1545" s="36" t="n">
        <f aca="false">IF(Sens!$L$1542&gt;0,Sens!$L$1543/Sens!$L$1542,Sens!$L$1539)</f>
        <v>11.4109814232922</v>
      </c>
      <c r="M1545" s="36" t="n">
        <f aca="false">IF(Sens!$M$1542&gt;0,Sens!$M$1543/Sens!$M$1542,Sens!$M$1539)</f>
        <v>11.4146145619111</v>
      </c>
    </row>
    <row r="1546" customFormat="false" ht="17.15" hidden="false" customHeight="false" outlineLevel="0" collapsed="false">
      <c r="A1546" s="5" t="s">
        <v>608</v>
      </c>
      <c r="B1546" s="0" t="s">
        <v>173</v>
      </c>
      <c r="F1546" s="36" t="n">
        <f aca="false">IF(Sens!$F$1542&gt;0,Sens!$F$1544/Sens!$F$1542,Sens!$F$1540)</f>
        <v>1.98263481314457</v>
      </c>
      <c r="G1546" s="36" t="n">
        <f aca="false">IF(Sens!$G$1542&gt;0,Sens!$G$1544/Sens!$G$1542,Sens!$G$1540)</f>
        <v>1.98263481314457</v>
      </c>
      <c r="H1546" s="36" t="n">
        <f aca="false">IF(Sens!$H$1542&gt;0,Sens!$H$1544/Sens!$H$1542,Sens!$H$1540)</f>
        <v>2.00111160233948</v>
      </c>
      <c r="I1546" s="36" t="n">
        <f aca="false">IF(Sens!$I$1542&gt;0,Sens!$I$1544/Sens!$I$1542,Sens!$I$1540)</f>
        <v>2.01589303369541</v>
      </c>
      <c r="J1546" s="36" t="n">
        <f aca="false">IF(Sens!$J$1542&gt;0,Sens!$J$1544/Sens!$J$1542,Sens!$J$1540)</f>
        <v>2.02222793284795</v>
      </c>
      <c r="K1546" s="36" t="n">
        <f aca="false">IF(Sens!$K$1542&gt;0,Sens!$K$1544/Sens!$K$1542,Sens!$K$1540)</f>
        <v>2.02488706958926</v>
      </c>
      <c r="L1546" s="36" t="n">
        <f aca="false">IF(Sens!$L$1542&gt;0,Sens!$L$1544/Sens!$L$1542,Sens!$L$1540)</f>
        <v>2.02606398169038</v>
      </c>
      <c r="M1546" s="36" t="n">
        <f aca="false">IF(Sens!$M$1542&gt;0,Sens!$M$1544/Sens!$M$1542,Sens!$M$1540)</f>
        <v>2.0263647691215</v>
      </c>
    </row>
    <row r="1547" customFormat="false" ht="17.15" hidden="false" customHeight="false" outlineLevel="0" collapsed="false">
      <c r="A1547" s="15" t="s">
        <v>609</v>
      </c>
      <c r="B1547" s="14" t="s">
        <v>173</v>
      </c>
      <c r="C1547" s="14"/>
      <c r="D1547" s="14"/>
      <c r="E1547" s="14"/>
      <c r="F1547" s="37" t="n">
        <f aca="false">Sens!$F$1545*k_B</f>
        <v>10.7987645808025</v>
      </c>
      <c r="G1547" s="37" t="n">
        <f aca="false">Sens!$G$1545*k_B</f>
        <v>10.7987645808025</v>
      </c>
      <c r="H1547" s="37" t="n">
        <f aca="false">Sens!$H$1545*k_B</f>
        <v>11.0201444540452</v>
      </c>
      <c r="I1547" s="37" t="n">
        <f aca="false">Sens!$I$1545*k_B</f>
        <v>11.1972483526393</v>
      </c>
      <c r="J1547" s="37" t="n">
        <f aca="false">Sens!$J$1545*k_B</f>
        <v>11.2731500234653</v>
      </c>
      <c r="K1547" s="37" t="n">
        <f aca="false">Sens!$K$1545*k_B</f>
        <v>11.3050105024974</v>
      </c>
      <c r="L1547" s="37" t="n">
        <f aca="false">Sens!$L$1545*k_B</f>
        <v>11.3191116890736</v>
      </c>
      <c r="M1547" s="37" t="n">
        <f aca="false">Sens!$M$1545*k_B</f>
        <v>11.322715577318</v>
      </c>
      <c r="N1547" s="14"/>
      <c r="O1547" s="14"/>
      <c r="P1547" s="5" t="s">
        <v>610</v>
      </c>
    </row>
    <row r="1548" customFormat="false" ht="17.15" hidden="false" customHeight="false" outlineLevel="0" collapsed="false">
      <c r="A1548" s="5" t="s">
        <v>611</v>
      </c>
      <c r="B1548" s="0" t="s">
        <v>129</v>
      </c>
      <c r="F1548" s="32" t="n">
        <f aca="false">Sens!$F$1542/2</f>
        <v>1135.71875</v>
      </c>
      <c r="H1548" s="32" t="n">
        <f aca="false">(Sens!$G$1542+Sens!$H$1542)/2</f>
        <v>4542.875</v>
      </c>
      <c r="I1548" s="32" t="n">
        <f aca="false">(Sens!$H$1542+Sens!$I$1542)/2</f>
        <v>9085.75</v>
      </c>
      <c r="J1548" s="32" t="n">
        <f aca="false">(Sens!$I$1542+Sens!$J$1542)/2</f>
        <v>13628.625</v>
      </c>
      <c r="K1548" s="32" t="n">
        <f aca="false">(Sens!$J$1542+Sens!$K$1542)/2</f>
        <v>17504.2544791667</v>
      </c>
      <c r="L1548" s="32" t="n">
        <f aca="false">(Sens!$K$1542+Sens!$L$1542)/2</f>
        <v>20045.3929166667</v>
      </c>
      <c r="M1548" s="32" t="n">
        <f aca="false">(Sens!$L$1542+Sens!$M$1542)/2</f>
        <v>21252.0403125</v>
      </c>
    </row>
    <row r="1549" customFormat="false" ht="17.15" hidden="false" customHeight="false" outlineLevel="0" collapsed="false">
      <c r="A1549" s="1" t="s">
        <v>612</v>
      </c>
    </row>
    <row r="1550" customFormat="false" ht="17.15" hidden="false" customHeight="false" outlineLevel="0" collapsed="false">
      <c r="A1550" s="1" t="s">
        <v>613</v>
      </c>
      <c r="B1550" s="8" t="s">
        <v>86</v>
      </c>
      <c r="C1550" s="38" t="n">
        <f aca="false">Sens!$C$1533*rpm_open*Sens!$C$1534/1000</f>
        <v>2.32100535697364</v>
      </c>
      <c r="D1550" s="38" t="n">
        <f aca="false">Sens!$D$1533*rpm_open*Sens!$D$1534/1000</f>
        <v>8.70377008865116</v>
      </c>
      <c r="E1550" s="38" t="n">
        <f aca="false">Sens!$E$1533*rpm_open*Sens!$E$1534/1000</f>
        <v>8.51035297557002</v>
      </c>
      <c r="F1550" s="38" t="n">
        <f aca="false">(mw_open*rpm_open+Sens!$F$1548*Sens!$F$1547)*Sens!$F$1534/1000</f>
        <v>16.1898695858458</v>
      </c>
      <c r="G1550" s="38" t="n">
        <f aca="false">Sens!$E$1550+Sens!$F$1550</f>
        <v>24.7002225614158</v>
      </c>
      <c r="H1550" s="38" t="n">
        <f aca="false">(mw_open*rpm_open+Sens!$H$1548*Sens!$H$1547)/1000</f>
        <v>70.1785184971087</v>
      </c>
      <c r="I1550" s="38" t="n">
        <f aca="false">(mw_open*rpm_open+Sens!$I$1548*Sens!$I$1547)/1000</f>
        <v>121.85077898043</v>
      </c>
      <c r="J1550" s="38" t="n">
        <f aca="false">(mw_open*rpm_open+Sens!$J$1548*Sens!$J$1547)/1000</f>
        <v>173.752913998988</v>
      </c>
      <c r="K1550" s="38" t="n">
        <f aca="false">(mw_open*rpm_open+Sens!$K$1548*Sens!$K$1547)/1000</f>
        <v>218.001160485805</v>
      </c>
      <c r="L1550" s="38" t="n">
        <f aca="false">(mw_open*rpm_open+Sens!$L$1548*Sens!$L$1547)/1000</f>
        <v>247.011421035552</v>
      </c>
      <c r="M1550" s="38" t="n">
        <f aca="false">(mw_open*rpm_open+Sens!$M$1548*Sens!$M$1547)/1000</f>
        <v>260.746187656572</v>
      </c>
      <c r="N1550" s="38" t="n">
        <f aca="false">Sens!$N$1533*rpm_open*Sens!$N$1534/1000</f>
        <v>3.04631953102791</v>
      </c>
      <c r="O1550" s="38" t="n">
        <f aca="false">Sens!$O$1533*rpm_open*Sens!$O$1534/1000</f>
        <v>5.65745055762326</v>
      </c>
      <c r="P1550" s="5" t="s">
        <v>614</v>
      </c>
    </row>
    <row r="1551" customFormat="false" ht="17.15" hidden="false" customHeight="false" outlineLevel="0" collapsed="false">
      <c r="A1551" s="5" t="s">
        <v>615</v>
      </c>
      <c r="B1551" s="0" t="s">
        <v>173</v>
      </c>
      <c r="C1551" s="36" t="n">
        <f aca="false">Sens!$C$1550*1000/(Sens!$C$1533*Sens!$C$1534)</f>
        <v>9.67085565405685</v>
      </c>
      <c r="D1551" s="36" t="n">
        <f aca="false">Sens!$D$1550*1000/(Sens!$D$1533*Sens!$D$1534)</f>
        <v>9.67085565405685</v>
      </c>
      <c r="E1551" s="36" t="n">
        <f aca="false">Sens!$E$1550*1000/(Sens!$E$1533*Sens!$E$1534)</f>
        <v>9.67085565405685</v>
      </c>
      <c r="F1551" s="36" t="n">
        <f aca="false">Sens!$F$1550*1000/(Sens!$F$1533*Sens!$F$1534)</f>
        <v>10.0692074428747</v>
      </c>
      <c r="G1551" s="36" t="n">
        <f aca="false">Sens!$G$1550*1000/(Sens!$G$1533*Sens!$G$1534)</f>
        <v>9.92830334769859</v>
      </c>
      <c r="H1551" s="36" t="n">
        <f aca="false">Sens!$H$1550*1000/(Sens!$H$1533*Sens!$H$1534)</f>
        <v>10.5963827638463</v>
      </c>
      <c r="I1551" s="36" t="n">
        <f aca="false">Sens!$I$1550*1000/(Sens!$I$1533*Sens!$I$1534)</f>
        <v>10.9129058935074</v>
      </c>
      <c r="J1551" s="36" t="n">
        <f aca="false">Sens!$J$1550*1000/(Sens!$J$1533*Sens!$J$1534)</f>
        <v>11.0609880876899</v>
      </c>
      <c r="K1551" s="36" t="n">
        <f aca="false">Sens!$K$1550*1000/(Sens!$K$1533*Sens!$K$1534)</f>
        <v>11.1314505598214</v>
      </c>
      <c r="L1551" s="36" t="n">
        <f aca="false">Sens!$L$1550*1000/(Sens!$L$1533*Sens!$L$1534)</f>
        <v>11.1641597492031</v>
      </c>
      <c r="M1551" s="36" t="n">
        <f aca="false">Sens!$M$1550*1000/(Sens!$M$1533*Sens!$M$1534)</f>
        <v>11.1754559037376</v>
      </c>
      <c r="N1551" s="36" t="n">
        <f aca="false">Sens!$N$1550*1000/(Sens!$N$1533*Sens!$N$1534)</f>
        <v>9.67085565405685</v>
      </c>
      <c r="O1551" s="36" t="n">
        <f aca="false">Sens!$O$1550*1000/(Sens!$O$1533*Sens!$O$1534)</f>
        <v>9.67085565405685</v>
      </c>
    </row>
    <row r="1552" customFormat="false" ht="17.15" hidden="false" customHeight="false" outlineLevel="0" collapsed="false">
      <c r="A1552" s="0" t="s">
        <v>616</v>
      </c>
      <c r="B1552" s="0" t="s">
        <v>86</v>
      </c>
      <c r="C1552" s="38" t="n">
        <f aca="false">Sens!$C$1533/ext_sh*(ox_open+rent_mw)*Sens!$C$1534/1000</f>
        <v>0.642569210675032</v>
      </c>
      <c r="D1552" s="38" t="n">
        <f aca="false">Sens!$D$1533/ext_sh*(ox_open+rent_mw)*Sens!$D$1534/1000</f>
        <v>2.40963454003137</v>
      </c>
      <c r="E1552" s="38" t="n">
        <f aca="false">Sens!$E$1533/ext_sh*(ox_open+rent_mw)*Sens!$E$1534/1000</f>
        <v>2.35608710580845</v>
      </c>
      <c r="F1552" s="38" t="n">
        <f aca="false">((mw_open*ox_open+Sens!$F$1548*Sens!$F$1546)/ext_sh+Sens!$F$1533/ext_sh*rent_mw)*Sens!$F$1534/1000</f>
        <v>4.37165824392995</v>
      </c>
      <c r="G1552" s="38" t="n">
        <f aca="false">Sens!$E$1552+Sens!$F$1552</f>
        <v>6.7277453497384</v>
      </c>
      <c r="H1552" s="38" t="n">
        <f aca="false">((mw_open*ox_open+Sens!$H$1548*Sens!$H$1546)/ext_sh+Sens!$H$1533/ext_sh*rent_mw)*Sens!$H$1534/1000</f>
        <v>18.3713886535311</v>
      </c>
      <c r="I1552" s="38" t="n">
        <f aca="false">((mw_open*ox_open+Sens!$I$1548*Sens!$I$1546)/ext_sh+Sens!$I$1533/ext_sh*rent_mw)*Sens!$I$1534/1000</f>
        <v>31.3417196353062</v>
      </c>
      <c r="J1552" s="38" t="n">
        <f aca="false">((mw_open*ox_open+Sens!$J$1548*Sens!$J$1546)/ext_sh+Sens!$J$1533/ext_sh*rent_mw)*Sens!$J$1534/1000</f>
        <v>44.336032829571</v>
      </c>
      <c r="K1552" s="38" t="n">
        <f aca="false">((mw_open*ox_open+Sens!$K$1548*Sens!$K$1546)/ext_sh+Sens!$K$1533/ext_sh*rent_mw)*Sens!$K$1534/1000</f>
        <v>55.4185789625402</v>
      </c>
      <c r="L1552" s="38" t="n">
        <f aca="false">((mw_open*ox_open+Sens!$L$1548*Sens!$L$1546)/ext_sh+Sens!$L$1533/ext_sh*rent_mw)*Sens!$L$1534/1000</f>
        <v>62.6848720996501</v>
      </c>
      <c r="M1552" s="38" t="n">
        <f aca="false">((mw_open*ox_open+Sens!$M$1548*Sens!$M$1546)/ext_sh+Sens!$M$1533/ext_sh*rent_mw)*Sens!$M$1534/1000</f>
        <v>66.1309991296679</v>
      </c>
      <c r="N1552" s="38" t="n">
        <f aca="false">Sens!$N$1533/ext_sh*(ox_open+rent_mw)*Sens!$N$1534/1000</f>
        <v>0.84337208901098</v>
      </c>
      <c r="O1552" s="38" t="n">
        <f aca="false">Sens!$O$1533/ext_sh*(ox_open+rent_mw)*Sens!$O$1534/1000</f>
        <v>1.56626245102039</v>
      </c>
    </row>
    <row r="1553" customFormat="false" ht="17.15" hidden="false" customHeight="false" outlineLevel="0" collapsed="false">
      <c r="A1553" s="0" t="s">
        <v>617</v>
      </c>
      <c r="B1553" s="0" t="s">
        <v>86</v>
      </c>
      <c r="C1553" s="38" t="n">
        <f aca="false">Q!$D$7</f>
        <v>107.556</v>
      </c>
      <c r="D1553" s="38" t="n">
        <f aca="false">Q!$E$7</f>
        <v>128.725</v>
      </c>
      <c r="E1553" s="38" t="n">
        <f aca="false">Q!$P$7</f>
        <v>79.819</v>
      </c>
      <c r="N1553" s="38" t="n">
        <f aca="false">Q!$N$7</f>
        <v>60.14</v>
      </c>
      <c r="O1553" s="38" t="n">
        <f aca="false">Q!$O$7</f>
        <v>68.585</v>
      </c>
    </row>
    <row r="1554" customFormat="false" ht="17.15" hidden="false" customHeight="false" outlineLevel="0" collapsed="false">
      <c r="A1554" s="1" t="s">
        <v>618</v>
      </c>
      <c r="B1554" s="8" t="s">
        <v>86</v>
      </c>
      <c r="C1554" s="38" t="n">
        <f aca="false">Sens!$C$1553-Sens!$C$1550</f>
        <v>105.234994643026</v>
      </c>
      <c r="D1554" s="38" t="n">
        <f aca="false">Sens!$D$1553-Sens!$D$1550</f>
        <v>120.021229911349</v>
      </c>
      <c r="E1554" s="38" t="n">
        <f aca="false">Sens!$E$1553-Sens!$E$1550</f>
        <v>71.30864702443</v>
      </c>
      <c r="F1554" s="38" t="n">
        <f aca="false">Sens!$O$1554*(1+Sens!$F$1555)</f>
        <v>71.7692997942464</v>
      </c>
      <c r="G1554" s="38" t="n">
        <f aca="false">Sens!$E$1554+Sens!$F$1554</f>
        <v>143.077946818676</v>
      </c>
      <c r="H1554" s="38" t="n">
        <f aca="false">Sens!$G$1554*(1+Sens!$H$1555)</f>
        <v>161.017077079203</v>
      </c>
      <c r="I1554" s="38" t="n">
        <f aca="false">Sens!$H$1554*(1+Sens!$I$1555)</f>
        <v>178.769759521457</v>
      </c>
      <c r="J1554" s="38" t="n">
        <f aca="false">Sens!$I$1554*(1+Sens!$J$1555)</f>
        <v>195.775538045907</v>
      </c>
      <c r="K1554" s="38" t="n">
        <f aca="false">Sens!$J$1554*(1+Sens!$K$1555)</f>
        <v>211.43758108958</v>
      </c>
      <c r="L1554" s="38" t="n">
        <f aca="false">Sens!$K$1554*(1+Sens!$L$1555)</f>
        <v>228.352587576746</v>
      </c>
      <c r="M1554" s="38" t="n">
        <f aca="false">Sens!$L$1554*(1+Sens!$M$1555)</f>
        <v>246.620794582886</v>
      </c>
      <c r="N1554" s="38" t="n">
        <f aca="false">Sens!$N$1553-Sens!$N$1550</f>
        <v>57.0936804689721</v>
      </c>
      <c r="O1554" s="38" t="n">
        <f aca="false">Sens!$O$1553-Sens!$O$1550</f>
        <v>62.9275494423768</v>
      </c>
      <c r="P1554" s="5" t="s">
        <v>619</v>
      </c>
    </row>
    <row r="1555" customFormat="false" ht="17.15" hidden="false" customHeight="false" outlineLevel="0" collapsed="false">
      <c r="A1555" s="0" t="s">
        <v>620</v>
      </c>
      <c r="B1555" s="0" t="s">
        <v>52</v>
      </c>
      <c r="D1555" s="13" t="n">
        <f aca="false">Sens!$D$1554/Sens!$C$1554-1</f>
        <v>0.140506827776062</v>
      </c>
      <c r="E1555" s="13" t="n">
        <f aca="false">Sens!$E$1554/Sens!$N$1554-1</f>
        <v>0.248976181579029</v>
      </c>
      <c r="F1555" s="13" t="n">
        <f aca="false">Sens!$D$1555</f>
        <v>0.140506827776062</v>
      </c>
      <c r="G1555" s="13" t="n">
        <f aca="false">Sens!$G$1554/Sens!$D$1554-1</f>
        <v>0.19210532106993</v>
      </c>
      <c r="H1555" s="13" t="n">
        <f aca="false">Sens!$F$1555+(g_awso_lt-Sens!$F$1555)*1/4</f>
        <v>0.125380120832046</v>
      </c>
      <c r="I1555" s="13" t="n">
        <f aca="false">Sens!$F$1555+(g_awso_lt-Sens!$F$1555)*2/4</f>
        <v>0.110253413888031</v>
      </c>
      <c r="J1555" s="13" t="n">
        <f aca="false">Sens!$F$1555+(g_awso_lt-Sens!$F$1555)*3/4</f>
        <v>0.0951267069440154</v>
      </c>
      <c r="K1555" s="13" t="n">
        <f aca="false">Sens!$F$1555+(g_awso_lt-Sens!$F$1555)*4/4</f>
        <v>0.08</v>
      </c>
      <c r="L1555" s="13" t="n">
        <f aca="false">g_awso_lt</f>
        <v>0.08</v>
      </c>
      <c r="M1555" s="13" t="n">
        <f aca="false">g_awso_lt</f>
        <v>0.08</v>
      </c>
      <c r="P1555" s="5" t="s">
        <v>621</v>
      </c>
    </row>
    <row r="1556" customFormat="false" ht="17.15" hidden="false" customHeight="false" outlineLevel="0" collapsed="false">
      <c r="A1556" s="1" t="s">
        <v>622</v>
      </c>
    </row>
    <row r="1557" customFormat="false" ht="17.15" hidden="false" customHeight="false" outlineLevel="0" collapsed="false">
      <c r="A1557" s="0" t="s">
        <v>623</v>
      </c>
      <c r="B1557" s="0" t="s">
        <v>86</v>
      </c>
      <c r="F1557" s="38" t="n">
        <f aca="false">cx_rt*Sens!$F$1522+cx_awso*Sens!$F$1554</f>
        <v>34.9009993650431</v>
      </c>
    </row>
    <row r="1558" customFormat="false" ht="17.15" hidden="false" customHeight="false" outlineLevel="0" collapsed="false">
      <c r="A1558" s="0" t="s">
        <v>624</v>
      </c>
      <c r="B1558" s="0" t="s">
        <v>52</v>
      </c>
      <c r="C1558" s="13" t="n">
        <f aca="false">tk_cx_h100/(tk_cx_h100+tk_fac*(1-colo_sh))</f>
        <v>0.730756458006641</v>
      </c>
      <c r="D1558" s="13" t="n">
        <f aca="false">tk_cx_h100/(tk_cx_h100+tk_fac*(1-colo_sh))</f>
        <v>0.730756458006641</v>
      </c>
      <c r="E1558" s="13" t="n">
        <f aca="false">Sens!$F$1558</f>
        <v>0.760792334328868</v>
      </c>
      <c r="F1558" s="13" t="n">
        <f aca="false">Sens!$F$1541/(Sens!$F$1541+tk_fac*(1-colo_sh))</f>
        <v>0.760792334328868</v>
      </c>
      <c r="G1558" s="13" t="n">
        <f aca="false">Sens!$G$1541/(Sens!$G$1541+tk_fac*(1-colo_sh))</f>
        <v>0.760792334328868</v>
      </c>
      <c r="H1558" s="13" t="n">
        <f aca="false">Sens!$H$1541/(Sens!$H$1541+tk_fac*(1-colo_sh))</f>
        <v>0.768110668862996</v>
      </c>
      <c r="I1558" s="13" t="n">
        <f aca="false">Sens!$I$1541/(Sens!$I$1541+tk_fac*(1-colo_sh))</f>
        <v>0.77499450139483</v>
      </c>
      <c r="J1558" s="13" t="n">
        <f aca="false">Sens!$J$1541/(Sens!$J$1541+tk_fac*(1-colo_sh))</f>
        <v>0.77499450139483</v>
      </c>
      <c r="K1558" s="13" t="n">
        <f aca="false">Sens!$K$1541/(Sens!$K$1541+tk_fac*(1-colo_sh))</f>
        <v>0.77499450139483</v>
      </c>
      <c r="L1558" s="13" t="n">
        <f aca="false">Sens!$L$1541/(Sens!$L$1541+tk_fac*(1-colo_sh))</f>
        <v>0.77499450139483</v>
      </c>
      <c r="M1558" s="13" t="n">
        <f aca="false">Sens!$M$1541/(Sens!$M$1541+tk_fac*(1-colo_sh))</f>
        <v>0.77499450139483</v>
      </c>
    </row>
    <row r="1559" customFormat="false" ht="17.15" hidden="false" customHeight="false" outlineLevel="0" collapsed="false">
      <c r="A1559" s="1" t="s">
        <v>625</v>
      </c>
      <c r="B1559" s="8" t="s">
        <v>86</v>
      </c>
      <c r="C1559" s="38" t="n">
        <f aca="false">Q!$D$46-cx_rt*Q!$D$16-cx_awso*Sens!$C$1554</f>
        <v>25.2781053077374</v>
      </c>
      <c r="D1559" s="38" t="n">
        <f aca="false">Q!$E$46-cx_rt*Q!$E$16-cx_awso*Sens!$D$1554</f>
        <v>69.5686316310026</v>
      </c>
      <c r="E1559" s="38" t="n">
        <f aca="false">Q!$P$46-cx_rt*Q!$P$16-cx_awso*Sens!$E$1554</f>
        <v>64.1899206485108</v>
      </c>
      <c r="F1559" s="38" t="n">
        <f aca="false">MAX(Sens!$F$1536*(Sens!$F$1541+tk_fac*(1-colo_sh))/1000,capex_g26-Q!$P$46-Sens!$F$1557)</f>
        <v>120.310162486875</v>
      </c>
      <c r="G1559" s="38" t="n">
        <f aca="false">Sens!$E$1559+Sens!$F$1559</f>
        <v>184.500083135386</v>
      </c>
      <c r="H1559" s="38" t="n">
        <f aca="false">Sens!$H$1536*(Sens!$H$1541+tk_fac*(1-colo_sh))/1000+Sens!$H$1560</f>
        <v>248.214206180938</v>
      </c>
      <c r="I1559" s="38" t="n">
        <f aca="false">Sens!$I$1536*(Sens!$I$1541+tk_fac*(1-colo_sh))/1000+Sens!$I$1560</f>
        <v>255.808087388125</v>
      </c>
      <c r="J1559" s="38" t="n">
        <f aca="false">Sens!$J$1536*(Sens!$J$1541+tk_fac*(1-colo_sh))/1000+Sens!$J$1560</f>
        <v>261.044855588125</v>
      </c>
      <c r="K1559" s="38" t="n">
        <f aca="false">Sens!$K$1536*(Sens!$K$1541+tk_fac*(1-colo_sh))/1000+Sens!$K$1560</f>
        <v>191.136786872001</v>
      </c>
      <c r="L1559" s="38" t="n">
        <f aca="false">Sens!$L$1536*(Sens!$L$1541+tk_fac*(1-colo_sh))/1000+Sens!$L$1560</f>
        <v>152.649327355877</v>
      </c>
      <c r="M1559" s="38" t="n">
        <f aca="false">Sens!$M$1536*(Sens!$M$1541+tk_fac*(1-colo_sh))/1000+Sens!$M$1560</f>
        <v>157.427937608816</v>
      </c>
      <c r="P1559" s="5" t="s">
        <v>626</v>
      </c>
      <c r="R1559" s="38" t="n">
        <f aca="false">Q!$C$46-cx_rt*Q!$C$16-cx_awso*(Q!$C$7-mw_ye23/2*rpm_open/1000)</f>
        <v>1.50429979529945</v>
      </c>
      <c r="S1559" s="38" t="n">
        <f aca="false">Sens!$C$1559</f>
        <v>25.2781053077374</v>
      </c>
      <c r="T1559" s="38" t="n">
        <f aca="false">Sens!$D$1559</f>
        <v>69.5686316310026</v>
      </c>
      <c r="U1559" s="38" t="n">
        <f aca="false">Sens!$G$1559</f>
        <v>184.500083135386</v>
      </c>
      <c r="V1559" s="38" t="n">
        <f aca="false">Sens!$H$1559</f>
        <v>248.214206180938</v>
      </c>
      <c r="W1559" s="38" t="n">
        <f aca="false">Sens!$I$1559</f>
        <v>255.808087388125</v>
      </c>
      <c r="X1559" s="38" t="n">
        <f aca="false">Sens!$J$1559</f>
        <v>261.044855588125</v>
      </c>
      <c r="Y1559" s="38" t="n">
        <f aca="false">Sens!$K$1559</f>
        <v>191.136786872001</v>
      </c>
      <c r="Z1559" s="38" t="n">
        <f aca="false">Sens!$L$1559</f>
        <v>152.649327355877</v>
      </c>
      <c r="AA1559" s="38" t="n">
        <f aca="false">Sens!$M$1559</f>
        <v>157.427937608816</v>
      </c>
    </row>
    <row r="1560" customFormat="false" ht="17.15" hidden="false" customHeight="false" outlineLevel="0" collapsed="false">
      <c r="A1560" s="0" t="s">
        <v>627</v>
      </c>
      <c r="B1560" s="0" t="s">
        <v>86</v>
      </c>
      <c r="H1560" s="38" t="n">
        <f aca="false">SUMPRODUCT(--(Sens!$R$1529:$AA$1529=2027-tk_life),Sens!$R$1536:$AA$1536)*Sens!$H$1541/1000</f>
        <v>0</v>
      </c>
      <c r="I1560" s="38" t="n">
        <f aca="false">SUMPRODUCT(--(Sens!$R$1529:$AA$1529=2028-tk_life),Sens!$R$1536:$AA$1536)*Sens!$I$1541/1000</f>
        <v>0</v>
      </c>
      <c r="J1560" s="38" t="n">
        <f aca="false">SUMPRODUCT(--(Sens!$R$1529:$AA$1529=2029-tk_life),Sens!$R$1536:$AA$1536)*Sens!$J$1541/1000</f>
        <v>5.2367682</v>
      </c>
      <c r="K1560" s="38" t="n">
        <f aca="false">SUMPRODUCT(--(Sens!$R$1529:$AA$1529=2030-tk_life),Sens!$R$1536:$AA$1536)*Sens!$K$1541/1000</f>
        <v>10.4735364</v>
      </c>
      <c r="L1560" s="38" t="n">
        <f aca="false">SUMPRODUCT(--(Sens!$R$1529:$AA$1529=2031-tk_life),Sens!$R$1536:$AA$1536)*Sens!$L$1541/1000</f>
        <v>47.1309138</v>
      </c>
      <c r="M1560" s="38" t="n">
        <f aca="false">SUMPRODUCT(--(Sens!$R$1529:$AA$1529=2032-tk_life),Sens!$R$1536:$AA$1536)*Sens!$M$1541/1000</f>
        <v>127.054360969063</v>
      </c>
    </row>
    <row r="1561" customFormat="false" ht="17.15" hidden="false" customHeight="false" outlineLevel="0" collapsed="false">
      <c r="A1561" s="5" t="s">
        <v>628</v>
      </c>
      <c r="B1561" s="0" t="s">
        <v>86</v>
      </c>
      <c r="C1561" s="38" t="n">
        <f aca="false">Sens!$C$1559*Sens!$C$1558</f>
        <v>18.472138699801</v>
      </c>
      <c r="D1561" s="38" t="n">
        <f aca="false">Sens!$D$1559*Sens!$D$1558</f>
        <v>50.8377268390402</v>
      </c>
      <c r="E1561" s="38" t="n">
        <f aca="false">Sens!$E$1559*Sens!$E$1558</f>
        <v>48.8351995705653</v>
      </c>
      <c r="F1561" s="38" t="n">
        <f aca="false">Sens!$F$1559*Sens!$F$1558</f>
        <v>91.531049361875</v>
      </c>
      <c r="G1561" s="38" t="n">
        <f aca="false">Sens!$E$1561+Sens!$F$1561</f>
        <v>140.36624893244</v>
      </c>
      <c r="H1561" s="38" t="n">
        <f aca="false">(Sens!$H$1559-Sens!$H$1560)*Sens!$H$1558+Sens!$H$1560</f>
        <v>190.655979930938</v>
      </c>
      <c r="I1561" s="38" t="n">
        <f aca="false">(Sens!$I$1559-Sens!$I$1560)*Sens!$I$1558+Sens!$I$1560</f>
        <v>198.249861138125</v>
      </c>
      <c r="J1561" s="38" t="n">
        <f aca="false">(Sens!$J$1559-Sens!$J$1560)*Sens!$J$1558+Sens!$J$1560</f>
        <v>203.486629338125</v>
      </c>
      <c r="K1561" s="38" t="n">
        <f aca="false">(Sens!$K$1559-Sens!$K$1560)*Sens!$K$1558+Sens!$K$1560</f>
        <v>150.486562119918</v>
      </c>
      <c r="L1561" s="38" t="n">
        <f aca="false">(Sens!$L$1559-Sens!$L$1560)*Sens!$L$1558+Sens!$L$1560</f>
        <v>128.90710410171</v>
      </c>
      <c r="M1561" s="38" t="n">
        <f aca="false">(Sens!$M$1559-Sens!$M$1560)*Sens!$M$1558+Sens!$M$1560</f>
        <v>150.593715852566</v>
      </c>
      <c r="R1561" s="38" t="n">
        <f aca="false">Sens!$R$1559*Sens!$C$1558</f>
        <v>1.09927679019314</v>
      </c>
      <c r="S1561" s="38" t="n">
        <f aca="false">Sens!$C$1561</f>
        <v>18.472138699801</v>
      </c>
      <c r="T1561" s="38" t="n">
        <f aca="false">Sens!$D$1561</f>
        <v>50.8377268390402</v>
      </c>
      <c r="U1561" s="38" t="n">
        <f aca="false">Sens!$G$1561</f>
        <v>140.36624893244</v>
      </c>
      <c r="V1561" s="38" t="n">
        <f aca="false">Sens!$H$1561</f>
        <v>190.655979930938</v>
      </c>
      <c r="W1561" s="38" t="n">
        <f aca="false">Sens!$I$1561</f>
        <v>198.249861138125</v>
      </c>
      <c r="X1561" s="38" t="n">
        <f aca="false">Sens!$J$1561</f>
        <v>203.486629338125</v>
      </c>
      <c r="Y1561" s="38" t="n">
        <f aca="false">Sens!$K$1561</f>
        <v>150.486562119918</v>
      </c>
      <c r="Z1561" s="38" t="n">
        <f aca="false">Sens!$L$1561</f>
        <v>128.90710410171</v>
      </c>
      <c r="AA1561" s="38" t="n">
        <f aca="false">Sens!$M$1561</f>
        <v>150.593715852566</v>
      </c>
    </row>
    <row r="1562" customFormat="false" ht="15" hidden="false" customHeight="false" outlineLevel="0" collapsed="false">
      <c r="A1562" s="5" t="s">
        <v>629</v>
      </c>
      <c r="B1562" s="0" t="s">
        <v>86</v>
      </c>
      <c r="C1562" s="38" t="n">
        <f aca="false">Sens!$C$1559-Sens!$C$1561</f>
        <v>6.80596660793636</v>
      </c>
      <c r="D1562" s="38" t="n">
        <f aca="false">Sens!$D$1559-Sens!$D$1561</f>
        <v>18.7309047919624</v>
      </c>
      <c r="E1562" s="38" t="n">
        <f aca="false">Sens!$E$1559-Sens!$E$1561</f>
        <v>15.3547210779455</v>
      </c>
      <c r="F1562" s="38" t="n">
        <f aca="false">Sens!$F$1559-Sens!$F$1561</f>
        <v>28.779113125</v>
      </c>
      <c r="G1562" s="38" t="n">
        <f aca="false">Sens!$G$1559-Sens!$G$1561</f>
        <v>44.1338342029455</v>
      </c>
      <c r="H1562" s="38" t="n">
        <f aca="false">Sens!$H$1559-Sens!$H$1561</f>
        <v>57.55822625</v>
      </c>
      <c r="I1562" s="38" t="n">
        <f aca="false">Sens!$I$1559-Sens!$I$1561</f>
        <v>57.55822625</v>
      </c>
      <c r="J1562" s="38" t="n">
        <f aca="false">Sens!$J$1559-Sens!$J$1561</f>
        <v>57.55822625</v>
      </c>
      <c r="K1562" s="38" t="n">
        <f aca="false">Sens!$K$1559-Sens!$K$1561</f>
        <v>40.6502247520833</v>
      </c>
      <c r="L1562" s="38" t="n">
        <f aca="false">Sens!$L$1559-Sens!$L$1561</f>
        <v>23.7422232541667</v>
      </c>
      <c r="M1562" s="38" t="n">
        <f aca="false">Sens!$M$1559-Sens!$M$1561</f>
        <v>6.83422175625</v>
      </c>
      <c r="R1562" s="38" t="n">
        <f aca="false">Sens!$R$1559-Sens!$R$1561</f>
        <v>0.405023005106309</v>
      </c>
      <c r="S1562" s="38" t="n">
        <f aca="false">Sens!$S$1559-Sens!$S$1561</f>
        <v>6.80596660793636</v>
      </c>
      <c r="T1562" s="38" t="n">
        <f aca="false">Sens!$T$1559-Sens!$T$1561</f>
        <v>18.7309047919624</v>
      </c>
      <c r="U1562" s="38" t="n">
        <f aca="false">Sens!$U$1559-Sens!$U$1561</f>
        <v>44.1338342029455</v>
      </c>
      <c r="V1562" s="38" t="n">
        <f aca="false">Sens!$V$1559-Sens!$V$1561</f>
        <v>57.55822625</v>
      </c>
      <c r="W1562" s="38" t="n">
        <f aca="false">Sens!$W$1559-Sens!$W$1561</f>
        <v>57.55822625</v>
      </c>
      <c r="X1562" s="38" t="n">
        <f aca="false">Sens!$X$1559-Sens!$X$1561</f>
        <v>57.55822625</v>
      </c>
      <c r="Y1562" s="38" t="n">
        <f aca="false">Sens!$Y$1559-Sens!$Y$1561</f>
        <v>40.6502247520833</v>
      </c>
      <c r="Z1562" s="38" t="n">
        <f aca="false">Sens!$Z$1559-Sens!$Z$1561</f>
        <v>23.7422232541667</v>
      </c>
      <c r="AA1562" s="38" t="n">
        <f aca="false">Sens!$AA$1559-Sens!$AA$1561</f>
        <v>6.83422175625</v>
      </c>
    </row>
    <row r="1563" customFormat="false" ht="17.15" hidden="false" customHeight="false" outlineLevel="0" collapsed="false">
      <c r="A1563" s="0" t="s">
        <v>630</v>
      </c>
      <c r="B1563" s="0" t="s">
        <v>52</v>
      </c>
      <c r="C1563" s="13" t="n">
        <f aca="false">Sens!$C$1559/Sens!$C$1679</f>
        <v>0.325505489553393</v>
      </c>
      <c r="D1563" s="13" t="n">
        <f aca="false">Sens!$D$1559/Sens!$D$1679</f>
        <v>0.54214956071542</v>
      </c>
      <c r="E1563" s="13" t="n">
        <f aca="false">Sens!$E$1559/Sens!$E$1679</f>
        <v>0.666492790452817</v>
      </c>
      <c r="F1563" s="13" t="n">
        <f aca="false">Sens!$F$1559/Sens!$F$1679</f>
        <v>0.775138598612251</v>
      </c>
      <c r="G1563" s="13" t="n">
        <f aca="false">Sens!$G$1559/Sens!$G$1679</f>
        <v>0.733537018423958</v>
      </c>
      <c r="H1563" s="13" t="n">
        <f aca="false">Sens!$H$1559/Sens!$H$1679</f>
        <v>0.768619047915675</v>
      </c>
      <c r="I1563" s="13" t="n">
        <f aca="false">Sens!$I$1559/Sens!$I$1679</f>
        <v>0.756704071564585</v>
      </c>
      <c r="J1563" s="13" t="n">
        <f aca="false">Sens!$J$1559/Sens!$J$1679</f>
        <v>0.745026409342954</v>
      </c>
      <c r="K1563" s="13" t="n">
        <f aca="false">Sens!$K$1559/Sens!$K$1679</f>
        <v>0.666319350965282</v>
      </c>
      <c r="L1563" s="13" t="n">
        <f aca="false">Sens!$L$1559/Sens!$L$1679</f>
        <v>0.598099397841021</v>
      </c>
      <c r="M1563" s="13" t="n">
        <f aca="false">Sens!$M$1559/Sens!$M$1679</f>
        <v>0.588792772044884</v>
      </c>
    </row>
    <row r="1564" customFormat="false" ht="17.15" hidden="false" customHeight="false" outlineLevel="0" collapsed="false">
      <c r="A1564" s="0" t="s">
        <v>631</v>
      </c>
      <c r="B1564" s="0" t="s">
        <v>86</v>
      </c>
      <c r="C1564" s="38" t="n">
        <f aca="false">Sens!$S$1564</f>
        <v>0.183212798365523</v>
      </c>
      <c r="D1564" s="38" t="n">
        <f aca="false">Sens!$T$1564</f>
        <v>3.2619025816657</v>
      </c>
      <c r="E1564" s="38" t="n">
        <f aca="false">Sens!$G$1564/2</f>
        <v>5.86742852741953</v>
      </c>
      <c r="F1564" s="38" t="n">
        <f aca="false">Sens!$G$1564/2</f>
        <v>5.86742852741953</v>
      </c>
      <c r="G1564" s="38" t="n">
        <f aca="false">Sens!$U$1564</f>
        <v>11.7348570548391</v>
      </c>
      <c r="H1564" s="38" t="n">
        <f aca="false">Sens!$V$1564</f>
        <v>35.1292318769125</v>
      </c>
      <c r="I1564" s="38" t="n">
        <f aca="false">Sens!$W$1564</f>
        <v>66.9052285320687</v>
      </c>
      <c r="J1564" s="38" t="n">
        <f aca="false">Sens!$X$1564</f>
        <v>99.9468720550895</v>
      </c>
      <c r="K1564" s="38" t="n">
        <f aca="false">Sens!$Y$1564</f>
        <v>133.678097479745</v>
      </c>
      <c r="L1564" s="38" t="n">
        <f aca="false">Sens!$Z$1564</f>
        <v>155.680501383098</v>
      </c>
      <c r="M1564" s="38" t="n">
        <f aca="false">Sens!$AA$1564</f>
        <v>168.692064260209</v>
      </c>
      <c r="N1564" s="38" t="n">
        <f aca="false">Sens!$D$1564/2</f>
        <v>1.63095129083285</v>
      </c>
      <c r="O1564" s="38" t="n">
        <f aca="false">Sens!$D$1564/2</f>
        <v>1.63095129083285</v>
      </c>
      <c r="R1564" s="38" t="n">
        <f aca="false">SUMPRODUCT(--(Sens!$R$1529:$AA$1529&lt;Sens!R$1529),--(Sens!$R$1529:$AA$1529&gt;=Sens!R$1529-tk_life),Sens!$R$1561:$AA$1561)/tk_life</f>
        <v>0</v>
      </c>
      <c r="S1564" s="38" t="n">
        <f aca="false">SUMPRODUCT(--(Sens!$R$1529:$AA$1529&lt;Sens!S$1529),--(Sens!$R$1529:$AA$1529&gt;=Sens!S$1529-tk_life),Sens!$R$1561:$AA$1561)/tk_life</f>
        <v>0.183212798365523</v>
      </c>
      <c r="T1564" s="38" t="n">
        <f aca="false">SUMPRODUCT(--(Sens!$R$1529:$AA$1529&lt;Sens!T$1529),--(Sens!$R$1529:$AA$1529&gt;=Sens!T$1529-tk_life),Sens!$R$1561:$AA$1561)/tk_life</f>
        <v>3.2619025816657</v>
      </c>
      <c r="U1564" s="38" t="n">
        <f aca="false">SUMPRODUCT(--(Sens!$R$1529:$AA$1529&lt;Sens!U$1529),--(Sens!$R$1529:$AA$1529&gt;=Sens!U$1529-tk_life),Sens!$R$1561:$AA$1561)/tk_life</f>
        <v>11.7348570548391</v>
      </c>
      <c r="V1564" s="38" t="n">
        <f aca="false">SUMPRODUCT(--(Sens!$R$1529:$AA$1529&lt;Sens!V$1529),--(Sens!$R$1529:$AA$1529&gt;=Sens!V$1529-tk_life),Sens!$R$1561:$AA$1561)/tk_life</f>
        <v>35.1292318769125</v>
      </c>
      <c r="W1564" s="38" t="n">
        <f aca="false">SUMPRODUCT(--(Sens!$R$1529:$AA$1529&lt;Sens!W$1529),--(Sens!$R$1529:$AA$1529&gt;=Sens!W$1529-tk_life),Sens!$R$1561:$AA$1561)/tk_life</f>
        <v>66.9052285320687</v>
      </c>
      <c r="X1564" s="38" t="n">
        <f aca="false">SUMPRODUCT(--(Sens!$R$1529:$AA$1529&lt;Sens!X$1529),--(Sens!$R$1529:$AA$1529&gt;=Sens!X$1529-tk_life),Sens!$R$1561:$AA$1561)/tk_life</f>
        <v>99.9468720550895</v>
      </c>
      <c r="Y1564" s="38" t="n">
        <f aca="false">SUMPRODUCT(--(Sens!$R$1529:$AA$1529&lt;Sens!Y$1529),--(Sens!$R$1529:$AA$1529&gt;=Sens!Y$1529-tk_life),Sens!$R$1561:$AA$1561)/tk_life</f>
        <v>133.678097479745</v>
      </c>
      <c r="Z1564" s="38" t="n">
        <f aca="false">SUMPRODUCT(--(Sens!$R$1529:$AA$1529&lt;Sens!Z$1529),--(Sens!$R$1529:$AA$1529&gt;=Sens!Z$1529-tk_life),Sens!$R$1561:$AA$1561)/tk_life</f>
        <v>155.680501383098</v>
      </c>
      <c r="AA1564" s="38" t="n">
        <f aca="false">SUMPRODUCT(--(Sens!$R$1529:$AA$1529&lt;Sens!AA$1529),--(Sens!$R$1529:$AA$1529&gt;=Sens!AA$1529-tk_life),Sens!$R$1561:$AA$1561)/tk_life</f>
        <v>168.692064260209</v>
      </c>
    </row>
    <row r="1565" customFormat="false" ht="17.15" hidden="false" customHeight="false" outlineLevel="0" collapsed="false">
      <c r="A1565" s="0" t="s">
        <v>632</v>
      </c>
      <c r="B1565" s="0" t="s">
        <v>86</v>
      </c>
      <c r="C1565" s="38" t="n">
        <f aca="false">Sens!$S$1565</f>
        <v>0.0202511502553155</v>
      </c>
      <c r="D1565" s="38" t="n">
        <f aca="false">Sens!$T$1565</f>
        <v>0.360549480652134</v>
      </c>
      <c r="E1565" s="38" t="n">
        <f aca="false">Sens!$G$1565/2</f>
        <v>0.648547360125127</v>
      </c>
      <c r="F1565" s="38" t="n">
        <f aca="false">Sens!$G$1565/2</f>
        <v>0.648547360125127</v>
      </c>
      <c r="G1565" s="38" t="n">
        <f aca="false">Sens!$U$1565</f>
        <v>1.29709472025025</v>
      </c>
      <c r="H1565" s="38" t="n">
        <f aca="false">Sens!$V$1565</f>
        <v>3.50378643039753</v>
      </c>
      <c r="I1565" s="38" t="n">
        <f aca="false">Sens!$W$1565</f>
        <v>6.38169774289753</v>
      </c>
      <c r="J1565" s="38" t="n">
        <f aca="false">Sens!$X$1565</f>
        <v>9.25960905539753</v>
      </c>
      <c r="K1565" s="38" t="n">
        <f aca="false">Sens!$Y$1565</f>
        <v>12.1375203678975</v>
      </c>
      <c r="L1565" s="38" t="n">
        <f aca="false">Sens!$Z$1565</f>
        <v>14.1700316055017</v>
      </c>
      <c r="M1565" s="38" t="n">
        <f aca="false">Sens!$AA$1565</f>
        <v>15.35714276821</v>
      </c>
      <c r="N1565" s="38" t="n">
        <f aca="false">Sens!$D$1565/2</f>
        <v>0.180274740326067</v>
      </c>
      <c r="O1565" s="38" t="n">
        <f aca="false">Sens!$D$1565/2</f>
        <v>0.180274740326067</v>
      </c>
      <c r="R1565" s="38" t="n">
        <f aca="false">SUMPRODUCT(--(Sens!$R$1529:$AA$1529&lt;Sens!R$1529),Sens!$R$1562:$AA$1562)/fac_life</f>
        <v>0</v>
      </c>
      <c r="S1565" s="38" t="n">
        <f aca="false">SUMPRODUCT(--(Sens!$R$1529:$AA$1529&lt;Sens!S$1529),Sens!$R$1562:$AA$1562)/fac_life</f>
        <v>0.0202511502553155</v>
      </c>
      <c r="T1565" s="38" t="n">
        <f aca="false">SUMPRODUCT(--(Sens!$R$1529:$AA$1529&lt;Sens!T$1529),Sens!$R$1562:$AA$1562)/fac_life</f>
        <v>0.360549480652134</v>
      </c>
      <c r="U1565" s="38" t="n">
        <f aca="false">SUMPRODUCT(--(Sens!$R$1529:$AA$1529&lt;Sens!U$1529),Sens!$R$1562:$AA$1562)/fac_life</f>
        <v>1.29709472025025</v>
      </c>
      <c r="V1565" s="38" t="n">
        <f aca="false">SUMPRODUCT(--(Sens!$R$1529:$AA$1529&lt;Sens!V$1529),Sens!$R$1562:$AA$1562)/fac_life</f>
        <v>3.50378643039753</v>
      </c>
      <c r="W1565" s="38" t="n">
        <f aca="false">SUMPRODUCT(--(Sens!$R$1529:$AA$1529&lt;Sens!W$1529),Sens!$R$1562:$AA$1562)/fac_life</f>
        <v>6.38169774289753</v>
      </c>
      <c r="X1565" s="38" t="n">
        <f aca="false">SUMPRODUCT(--(Sens!$R$1529:$AA$1529&lt;Sens!X$1529),Sens!$R$1562:$AA$1562)/fac_life</f>
        <v>9.25960905539753</v>
      </c>
      <c r="Y1565" s="38" t="n">
        <f aca="false">SUMPRODUCT(--(Sens!$R$1529:$AA$1529&lt;Sens!Y$1529),Sens!$R$1562:$AA$1562)/fac_life</f>
        <v>12.1375203678975</v>
      </c>
      <c r="Z1565" s="38" t="n">
        <f aca="false">SUMPRODUCT(--(Sens!$R$1529:$AA$1529&lt;Sens!Z$1529),Sens!$R$1562:$AA$1562)/fac_life</f>
        <v>14.1700316055017</v>
      </c>
      <c r="AA1565" s="38" t="n">
        <f aca="false">SUMPRODUCT(--(Sens!$R$1529:$AA$1529&lt;Sens!AA$1529),Sens!$R$1562:$AA$1562)/fac_life</f>
        <v>15.35714276821</v>
      </c>
    </row>
    <row r="1566" customFormat="false" ht="17.15" hidden="false" customHeight="false" outlineLevel="0" collapsed="false">
      <c r="A1566" s="1" t="s">
        <v>633</v>
      </c>
      <c r="B1566" s="8" t="s">
        <v>86</v>
      </c>
      <c r="C1566" s="38" t="n">
        <f aca="false">Sens!$C$1564+Sens!$C$1565</f>
        <v>0.203463948620839</v>
      </c>
      <c r="D1566" s="38" t="n">
        <f aca="false">Sens!$D$1564+Sens!$D$1565</f>
        <v>3.62245206231783</v>
      </c>
      <c r="E1566" s="38" t="n">
        <f aca="false">Sens!$E$1564+Sens!$E$1565</f>
        <v>6.51597588754466</v>
      </c>
      <c r="F1566" s="38" t="n">
        <f aca="false">Sens!$F$1564+Sens!$F$1565</f>
        <v>6.51597588754466</v>
      </c>
      <c r="G1566" s="38" t="n">
        <f aca="false">Sens!$G$1564+Sens!$G$1565</f>
        <v>13.0319517750893</v>
      </c>
      <c r="H1566" s="38" t="n">
        <f aca="false">Sens!$H$1564+Sens!$H$1565</f>
        <v>38.63301830731</v>
      </c>
      <c r="I1566" s="38" t="n">
        <f aca="false">Sens!$I$1564+Sens!$I$1565</f>
        <v>73.2869262749662</v>
      </c>
      <c r="J1566" s="38" t="n">
        <f aca="false">Sens!$J$1564+Sens!$J$1565</f>
        <v>109.206481110487</v>
      </c>
      <c r="K1566" s="38" t="n">
        <f aca="false">Sens!$K$1564+Sens!$K$1565</f>
        <v>145.815617847642</v>
      </c>
      <c r="L1566" s="38" t="n">
        <f aca="false">Sens!$L$1564+Sens!$L$1565</f>
        <v>169.850532988599</v>
      </c>
      <c r="M1566" s="38" t="n">
        <f aca="false">Sens!$M$1564+Sens!$M$1565</f>
        <v>184.049207028419</v>
      </c>
      <c r="N1566" s="38" t="n">
        <f aca="false">Sens!$N$1564+Sens!$N$1565</f>
        <v>1.81122603115892</v>
      </c>
      <c r="O1566" s="38" t="n">
        <f aca="false">Sens!$O$1564+Sens!$O$1565</f>
        <v>1.81122603115892</v>
      </c>
      <c r="R1566" s="38" t="n">
        <f aca="false">Sens!$R$1564+Sens!$R$1565</f>
        <v>0</v>
      </c>
      <c r="S1566" s="38" t="n">
        <f aca="false">Sens!$S$1564+Sens!$S$1565</f>
        <v>0.203463948620839</v>
      </c>
      <c r="T1566" s="38" t="n">
        <f aca="false">Sens!$T$1564+Sens!$T$1565</f>
        <v>3.62245206231783</v>
      </c>
      <c r="U1566" s="38" t="n">
        <f aca="false">Sens!$U$1564+Sens!$U$1565</f>
        <v>13.0319517750893</v>
      </c>
      <c r="V1566" s="38" t="n">
        <f aca="false">Sens!$V$1564+Sens!$V$1565</f>
        <v>38.63301830731</v>
      </c>
      <c r="W1566" s="38" t="n">
        <f aca="false">Sens!$W$1564+Sens!$W$1565</f>
        <v>73.2869262749662</v>
      </c>
      <c r="X1566" s="38" t="n">
        <f aca="false">Sens!$X$1564+Sens!$X$1565</f>
        <v>109.206481110487</v>
      </c>
      <c r="Y1566" s="38" t="n">
        <f aca="false">Sens!$Y$1564+Sens!$Y$1565</f>
        <v>145.815617847642</v>
      </c>
      <c r="Z1566" s="38" t="n">
        <f aca="false">Sens!$Z$1564+Sens!$Z$1565</f>
        <v>169.850532988599</v>
      </c>
      <c r="AA1566" s="38" t="n">
        <f aca="false">Sens!$AA$1564+Sens!$AA$1565</f>
        <v>184.049207028419</v>
      </c>
    </row>
    <row r="1567" customFormat="false" ht="17.15" hidden="false" customHeight="false" outlineLevel="0" collapsed="false">
      <c r="A1567" s="0" t="s">
        <v>634</v>
      </c>
      <c r="B1567" s="0" t="s">
        <v>86</v>
      </c>
      <c r="C1567" s="38" t="n">
        <f aca="false">Sens!$S$1567</f>
        <v>26.578941154416</v>
      </c>
      <c r="D1567" s="38" t="n">
        <f aca="false">Sens!$T$1567</f>
        <v>92.5251207231008</v>
      </c>
      <c r="G1567" s="38" t="n">
        <f aca="false">Sens!$U$1567</f>
        <v>263.993252083397</v>
      </c>
      <c r="H1567" s="38" t="n">
        <f aca="false">Sens!$V$1567</f>
        <v>473.574439957025</v>
      </c>
      <c r="I1567" s="38" t="n">
        <f aca="false">Sens!$W$1567</f>
        <v>656.095601070184</v>
      </c>
      <c r="J1567" s="38" t="n">
        <f aca="false">Sens!$X$1567</f>
        <v>807.933975547822</v>
      </c>
      <c r="K1567" s="38" t="n">
        <f aca="false">Sens!$Y$1567</f>
        <v>853.25514457218</v>
      </c>
      <c r="L1567" s="38" t="n">
        <f aca="false">Sens!$Z$1567</f>
        <v>836.053938939458</v>
      </c>
      <c r="M1567" s="38" t="n">
        <f aca="false">Sens!$AA$1567</f>
        <v>809.432669519854</v>
      </c>
      <c r="R1567" s="38" t="n">
        <f aca="false">SUM(Sens!$R$1559:$R$1559)-SUM(Sens!$R$1566:$R$1566)</f>
        <v>1.50429979529945</v>
      </c>
      <c r="S1567" s="38" t="n">
        <f aca="false">SUM(Sens!$R$1559:$S$1559)-SUM(Sens!$R$1566:$S$1566)</f>
        <v>26.578941154416</v>
      </c>
      <c r="T1567" s="38" t="n">
        <f aca="false">SUM(Sens!$R$1559:$T$1559)-SUM(Sens!$R$1566:$T$1566)</f>
        <v>92.5251207231008</v>
      </c>
      <c r="U1567" s="38" t="n">
        <f aca="false">SUM(Sens!$R$1559:$U$1559)-SUM(Sens!$R$1566:$U$1566)</f>
        <v>263.993252083397</v>
      </c>
      <c r="V1567" s="38" t="n">
        <f aca="false">SUM(Sens!$R$1559:$V$1559)-SUM(Sens!$R$1566:$V$1566)</f>
        <v>473.574439957025</v>
      </c>
      <c r="W1567" s="38" t="n">
        <f aca="false">SUM(Sens!$R$1559:$W$1559)-SUM(Sens!$R$1566:$W$1566)</f>
        <v>656.095601070184</v>
      </c>
      <c r="X1567" s="38" t="n">
        <f aca="false">SUM(Sens!$R$1559:$X$1559)-SUM(Sens!$R$1566:$X$1566)</f>
        <v>807.933975547822</v>
      </c>
      <c r="Y1567" s="38" t="n">
        <f aca="false">SUM(Sens!$R$1559:$Y$1559)-SUM(Sens!$R$1566:$Y$1566)</f>
        <v>853.25514457218</v>
      </c>
      <c r="Z1567" s="38" t="n">
        <f aca="false">SUM(Sens!$R$1559:$Z$1559)-SUM(Sens!$R$1566:$Z$1566)</f>
        <v>836.053938939458</v>
      </c>
      <c r="AA1567" s="38" t="n">
        <f aca="false">SUM(Sens!$R$1559:$AA$1559)-SUM(Sens!$R$1566:$AA$1566)</f>
        <v>809.432669519854</v>
      </c>
    </row>
    <row r="1568" customFormat="false" ht="17.15" hidden="false" customHeight="false" outlineLevel="0" collapsed="false">
      <c r="A1568" s="1" t="s">
        <v>635</v>
      </c>
    </row>
    <row r="1569" customFormat="false" ht="17.15" hidden="false" customHeight="false" outlineLevel="0" collapsed="false">
      <c r="A1569" s="0" t="s">
        <v>636</v>
      </c>
      <c r="B1569" s="0" t="s">
        <v>86</v>
      </c>
      <c r="C1569" s="38" t="n">
        <f aca="false">Sens!$C$1550-ext_sh*Sens!$C$1552</f>
        <v>1.80694998843362</v>
      </c>
      <c r="D1569" s="38" t="n">
        <f aca="false">Sens!$D$1550-ext_sh*Sens!$D$1552</f>
        <v>6.77606245662607</v>
      </c>
      <c r="E1569" s="38" t="n">
        <f aca="false">Sens!$E$1550-ext_sh*Sens!$E$1552</f>
        <v>6.62548329092326</v>
      </c>
      <c r="F1569" s="38" t="n">
        <f aca="false">Sens!$F$1550-ext_sh*Sens!$F$1552</f>
        <v>12.6925429907018</v>
      </c>
      <c r="G1569" s="38" t="n">
        <f aca="false">Sens!$G$1550-ext_sh*Sens!$G$1552</f>
        <v>19.3180262816251</v>
      </c>
      <c r="H1569" s="38" t="n">
        <f aca="false">Sens!$H$1550-ext_sh*Sens!$H$1552</f>
        <v>55.4814075742838</v>
      </c>
      <c r="I1569" s="38" t="n">
        <f aca="false">Sens!$I$1550-ext_sh*Sens!$I$1552</f>
        <v>96.7774032721855</v>
      </c>
      <c r="J1569" s="38" t="n">
        <f aca="false">Sens!$J$1550-ext_sh*Sens!$J$1552</f>
        <v>138.284087735331</v>
      </c>
      <c r="K1569" s="38" t="n">
        <f aca="false">Sens!$K$1550-ext_sh*Sens!$K$1552</f>
        <v>173.666297315773</v>
      </c>
      <c r="L1569" s="38" t="n">
        <f aca="false">Sens!$L$1550-ext_sh*Sens!$L$1552</f>
        <v>196.863523355832</v>
      </c>
      <c r="M1569" s="38" t="n">
        <f aca="false">Sens!$M$1550-ext_sh*Sens!$M$1552</f>
        <v>207.841388352838</v>
      </c>
      <c r="N1569" s="38" t="n">
        <f aca="false">Sens!$N$1550-ext_sh*Sens!$N$1552</f>
        <v>2.37162185981912</v>
      </c>
      <c r="O1569" s="38" t="n">
        <f aca="false">Sens!$O$1550-ext_sh*Sens!$O$1552</f>
        <v>4.40444059680694</v>
      </c>
    </row>
    <row r="1570" customFormat="false" ht="17.15" hidden="false" customHeight="false" outlineLevel="0" collapsed="false">
      <c r="A1570" s="1" t="s">
        <v>637</v>
      </c>
      <c r="B1570" s="8" t="s">
        <v>86</v>
      </c>
      <c r="C1570" s="38" t="n">
        <f aca="false">Sens!$C$1569-ext_sh*Sens!$C$1566</f>
        <v>1.64417882953695</v>
      </c>
      <c r="D1570" s="38" t="n">
        <f aca="false">Sens!$D$1569-ext_sh*Sens!$D$1566</f>
        <v>3.8781008067718</v>
      </c>
      <c r="E1570" s="38" t="n">
        <f aca="false">Sens!$E$1569-ext_sh*Sens!$E$1566</f>
        <v>1.41270258088753</v>
      </c>
      <c r="F1570" s="38" t="n">
        <f aca="false">Sens!$F$1569-ext_sh*Sens!$F$1566</f>
        <v>7.4797622806661</v>
      </c>
      <c r="G1570" s="38" t="n">
        <f aca="false">Sens!$G$1569-ext_sh*Sens!$G$1566</f>
        <v>8.89246486155363</v>
      </c>
      <c r="H1570" s="38" t="n">
        <f aca="false">Sens!$H$1569-ext_sh*Sens!$H$1566</f>
        <v>24.5749929284358</v>
      </c>
      <c r="I1570" s="38" t="n">
        <f aca="false">Sens!$I$1569-ext_sh*Sens!$I$1566</f>
        <v>38.1478622522126</v>
      </c>
      <c r="J1570" s="38" t="n">
        <f aca="false">Sens!$J$1569-ext_sh*Sens!$J$1566</f>
        <v>50.9189028469417</v>
      </c>
      <c r="K1570" s="38" t="n">
        <f aca="false">Sens!$K$1569-ext_sh*Sens!$K$1566</f>
        <v>57.0138030376593</v>
      </c>
      <c r="L1570" s="38" t="n">
        <f aca="false">Sens!$L$1569-ext_sh*Sens!$L$1566</f>
        <v>60.9830969649527</v>
      </c>
      <c r="M1570" s="38" t="n">
        <f aca="false">Sens!$M$1569-ext_sh*Sens!$M$1566</f>
        <v>60.6020227301024</v>
      </c>
      <c r="N1570" s="38" t="n">
        <f aca="false">Sens!$N$1569-ext_sh*Sens!$N$1566</f>
        <v>0.92264103489199</v>
      </c>
      <c r="O1570" s="38" t="n">
        <f aca="false">Sens!$O$1569-ext_sh*Sens!$O$1566</f>
        <v>2.95545977187981</v>
      </c>
    </row>
    <row r="1571" customFormat="false" ht="17.15" hidden="false" customHeight="false" outlineLevel="0" collapsed="false">
      <c r="A1571" s="0" t="s">
        <v>638</v>
      </c>
      <c r="B1571" s="0" t="s">
        <v>52</v>
      </c>
      <c r="C1571" s="13" t="n">
        <f aca="false">Sens!$C$1570/Sens!$C$1550</f>
        <v>0.708390794789371</v>
      </c>
      <c r="D1571" s="13" t="n">
        <f aca="false">Sens!$D$1570/Sens!$D$1550</f>
        <v>0.445565630441968</v>
      </c>
      <c r="E1571" s="13" t="n">
        <f aca="false">Sens!$E$1570/Sens!$E$1550</f>
        <v>0.165998118402711</v>
      </c>
      <c r="F1571" s="13" t="n">
        <f aca="false">Sens!$F$1570/Sens!$F$1550</f>
        <v>0.462002627075229</v>
      </c>
      <c r="G1571" s="13" t="n">
        <f aca="false">Sens!$G$1570/Sens!$G$1550</f>
        <v>0.360015576355354</v>
      </c>
      <c r="H1571" s="13" t="n">
        <f aca="false">Sens!$H$1570/Sens!$H$1550</f>
        <v>0.350178280401407</v>
      </c>
      <c r="I1571" s="13" t="n">
        <f aca="false">Sens!$I$1570/Sens!$I$1550</f>
        <v>0.313070319052611</v>
      </c>
      <c r="J1571" s="13" t="n">
        <f aca="false">Sens!$J$1570/Sens!$J$1550</f>
        <v>0.293053518787249</v>
      </c>
      <c r="K1571" s="13" t="n">
        <f aca="false">Sens!$K$1570/Sens!$K$1550</f>
        <v>0.261529814385422</v>
      </c>
      <c r="L1571" s="13" t="n">
        <f aca="false">Sens!$L$1570/Sens!$L$1550</f>
        <v>0.246883713754173</v>
      </c>
      <c r="M1571" s="13" t="n">
        <f aca="false">Sens!$M$1570/Sens!$M$1550</f>
        <v>0.232417675114472</v>
      </c>
      <c r="N1571" s="13" t="n">
        <f aca="false">Sens!$N$1570/Sens!$N$1550</f>
        <v>0.302870734830849</v>
      </c>
      <c r="O1571" s="13" t="n">
        <f aca="false">Sens!$O$1570/Sens!$O$1550</f>
        <v>0.52240134346334</v>
      </c>
    </row>
    <row r="1572" customFormat="false" ht="17.15" hidden="false" customHeight="false" outlineLevel="0" collapsed="false">
      <c r="A1572" s="5" t="s">
        <v>639</v>
      </c>
      <c r="B1572" s="0" t="s">
        <v>86</v>
      </c>
      <c r="C1572" s="39" t="n">
        <v>0</v>
      </c>
      <c r="D1572" s="39" t="n">
        <v>0</v>
      </c>
      <c r="E1572" s="39" t="n">
        <v>0</v>
      </c>
      <c r="F1572" s="38" t="n">
        <f aca="false">IF(internal_ai_reading=2,1,0)*(1-ext_sh)/ext_sh*(mw_open*he_open+Sens!$F$1548*Sens!$F$1545)*Sens!$F$1534/1000</f>
        <v>4.08031800914075</v>
      </c>
      <c r="G1572" s="38" t="n">
        <f aca="false">Sens!$E$1572+Sens!$F$1572</f>
        <v>4.08031800914075</v>
      </c>
      <c r="H1572" s="38" t="n">
        <f aca="false">IF(internal_ai_reading=2,1,0)*(1-ext_sh)/ext_sh*(mw_open*he_open+Sens!$H$1548*Sens!$H$1545)*Sens!$H$1534/1000</f>
        <v>17.6870277651227</v>
      </c>
      <c r="I1572" s="38" t="n">
        <f aca="false">IF(internal_ai_reading=2,1,0)*(1-ext_sh)/ext_sh*(mw_open*he_open+Sens!$I$1548*Sens!$I$1545)*Sens!$I$1534/1000</f>
        <v>30.7099402663721</v>
      </c>
      <c r="J1572" s="38" t="n">
        <f aca="false">IF(internal_ai_reading=2,1,0)*(1-ext_sh)/ext_sh*(mw_open*he_open+Sens!$J$1548*Sens!$J$1545)*Sens!$J$1534/1000</f>
        <v>43.7907878362763</v>
      </c>
      <c r="K1572" s="38" t="n">
        <f aca="false">IF(internal_ai_reading=2,1,0)*(1-ext_sh)/ext_sh*(mw_open*he_open+Sens!$K$1548*Sens!$K$1545)*Sens!$K$1534/1000</f>
        <v>54.9426328870174</v>
      </c>
      <c r="L1572" s="38" t="n">
        <f aca="false">IF(internal_ai_reading=2,1,0)*(1-ext_sh)/ext_sh*(mw_open*he_open+Sens!$L$1548*Sens!$L$1545)*Sens!$L$1534/1000</f>
        <v>62.2540622931248</v>
      </c>
      <c r="M1572" s="38" t="n">
        <f aca="false">IF(internal_ai_reading=2,1,0)*(1-ext_sh)/ext_sh*(mw_open*he_open+Sens!$M$1548*Sens!$M$1545)*Sens!$M$1534/1000</f>
        <v>65.7156229498017</v>
      </c>
      <c r="N1572" s="39" t="n">
        <v>0</v>
      </c>
      <c r="O1572" s="39" t="n">
        <v>0</v>
      </c>
      <c r="P1572" s="8" t="s">
        <v>640</v>
      </c>
    </row>
    <row r="1573" customFormat="false" ht="17.15" hidden="false" customHeight="false" outlineLevel="0" collapsed="false">
      <c r="A1573" s="5" t="s">
        <v>641</v>
      </c>
      <c r="B1573" s="0" t="s">
        <v>86</v>
      </c>
      <c r="C1573" s="38" t="n">
        <f aca="false">(1-ext_sh)*(Sens!$C$1552+Sens!$C$1566)</f>
        <v>0.169206631859174</v>
      </c>
      <c r="D1573" s="38" t="n">
        <f aca="false">(1-ext_sh)*(Sens!$D$1552+Sens!$D$1566)</f>
        <v>1.20641732046984</v>
      </c>
      <c r="E1573" s="38" t="n">
        <f aca="false">(1-ext_sh)*(Sens!$E$1552+Sens!$E$1566)</f>
        <v>1.77441259867062</v>
      </c>
      <c r="F1573" s="38" t="n">
        <f aca="false">(1-ext_sh)*(Sens!$F$1552+Sens!$F$1566)</f>
        <v>2.17752682629492</v>
      </c>
      <c r="G1573" s="38" t="n">
        <f aca="false">(1-ext_sh)*(Sens!$G$1552+Sens!$G$1566)</f>
        <v>3.95193942496554</v>
      </c>
      <c r="H1573" s="38" t="n">
        <f aca="false">(1-ext_sh)*(Sens!$H$1552+Sens!$H$1566)</f>
        <v>11.4008813921682</v>
      </c>
      <c r="I1573" s="38" t="n">
        <f aca="false">(1-ext_sh)*(Sens!$I$1552+Sens!$I$1566)</f>
        <v>20.9257291820545</v>
      </c>
      <c r="J1573" s="38" t="n">
        <f aca="false">(1-ext_sh)*(Sens!$J$1552+Sens!$J$1566)</f>
        <v>30.7085027880116</v>
      </c>
      <c r="K1573" s="38" t="n">
        <f aca="false">(1-ext_sh)*(Sens!$K$1552+Sens!$K$1566)</f>
        <v>40.2468393620365</v>
      </c>
      <c r="L1573" s="38" t="n">
        <f aca="false">(1-ext_sh)*(Sens!$L$1552+Sens!$L$1566)</f>
        <v>46.5070810176499</v>
      </c>
      <c r="M1573" s="38" t="n">
        <f aca="false">(1-ext_sh)*(Sens!$M$1552+Sens!$M$1566)</f>
        <v>50.0360412316174</v>
      </c>
      <c r="N1573" s="38" t="n">
        <f aca="false">(1-ext_sh)*(Sens!$N$1552+Sens!$N$1566)</f>
        <v>0.530919624033979</v>
      </c>
      <c r="O1573" s="38" t="n">
        <f aca="false">(1-ext_sh)*(Sens!$O$1552+Sens!$O$1566)</f>
        <v>0.675497696435861</v>
      </c>
    </row>
    <row r="1574" customFormat="false" ht="17.15" hidden="false" customHeight="false" outlineLevel="0" collapsed="false">
      <c r="A1574" s="0" t="s">
        <v>642</v>
      </c>
      <c r="B1574" s="0" t="s">
        <v>86</v>
      </c>
      <c r="C1574" s="38" t="n">
        <f aca="false">Q!$D$24</f>
        <v>39.834</v>
      </c>
      <c r="D1574" s="38" t="n">
        <f aca="false">Q!$E$24</f>
        <v>45.606</v>
      </c>
      <c r="E1574" s="38" t="n">
        <f aca="false">Q!$P$24</f>
        <v>30.782</v>
      </c>
      <c r="N1574" s="38" t="n">
        <f aca="false">Q!$N$24</f>
        <v>21.707</v>
      </c>
      <c r="O1574" s="38" t="n">
        <f aca="false">Q!$O$24</f>
        <v>23.899</v>
      </c>
    </row>
    <row r="1575" customFormat="false" ht="17.15" hidden="false" customHeight="false" outlineLevel="0" collapsed="false">
      <c r="A1575" s="0" t="s">
        <v>643</v>
      </c>
      <c r="B1575" s="0" t="s">
        <v>86</v>
      </c>
      <c r="C1575" s="38" t="n">
        <f aca="false">Sens!$C$1574-Sens!$C$1570</f>
        <v>38.1898211704631</v>
      </c>
      <c r="D1575" s="38" t="n">
        <f aca="false">Sens!$D$1574-Sens!$D$1570</f>
        <v>41.7278991932282</v>
      </c>
      <c r="E1575" s="38" t="n">
        <f aca="false">Sens!$E$1574-Sens!$E$1570</f>
        <v>29.3692974191125</v>
      </c>
      <c r="F1575" s="38" t="n">
        <f aca="false">Sens!$F$1554*Sens!$F$1576</f>
        <v>26.8997276714137</v>
      </c>
      <c r="G1575" s="38" t="n">
        <f aca="false">Sens!$E$1575+Sens!$F$1575</f>
        <v>56.2690250905262</v>
      </c>
      <c r="H1575" s="38" t="n">
        <f aca="false">Sens!$H$1554*Sens!$H$1576</f>
        <v>60.3505333937343</v>
      </c>
      <c r="I1575" s="38" t="n">
        <f aca="false">Sens!$I$1554*Sens!$I$1576</f>
        <v>67.0043857303571</v>
      </c>
      <c r="J1575" s="38" t="n">
        <f aca="false">Sens!$J$1554*Sens!$J$1576</f>
        <v>73.3782922956925</v>
      </c>
      <c r="K1575" s="38" t="n">
        <f aca="false">Sens!$K$1554*Sens!$K$1576</f>
        <v>79.2485556793479</v>
      </c>
      <c r="L1575" s="38" t="n">
        <f aca="false">Sens!$L$1554*Sens!$L$1576</f>
        <v>85.5884401336958</v>
      </c>
      <c r="M1575" s="38" t="n">
        <f aca="false">Sens!$M$1554*Sens!$M$1576</f>
        <v>92.4355153443914</v>
      </c>
      <c r="N1575" s="38" t="n">
        <f aca="false">Sens!$N$1574-Sens!$N$1570</f>
        <v>20.784358965108</v>
      </c>
      <c r="O1575" s="38" t="n">
        <f aca="false">Sens!$O$1574-Sens!$O$1570</f>
        <v>20.9435402281202</v>
      </c>
      <c r="P1575" s="5" t="s">
        <v>644</v>
      </c>
    </row>
    <row r="1576" customFormat="false" ht="17.15" hidden="false" customHeight="false" outlineLevel="0" collapsed="false">
      <c r="A1576" s="0" t="s">
        <v>645</v>
      </c>
      <c r="B1576" s="0" t="s">
        <v>52</v>
      </c>
      <c r="C1576" s="13" t="n">
        <f aca="false">Sens!$C$1575/Sens!$C$1554</f>
        <v>0.362900395443635</v>
      </c>
      <c r="D1576" s="13" t="n">
        <f aca="false">Sens!$D$1575/Sens!$D$1554</f>
        <v>0.34767098474203</v>
      </c>
      <c r="E1576" s="13" t="n">
        <f aca="false">Sens!$E$1575/Sens!$E$1554</f>
        <v>0.411861655558416</v>
      </c>
      <c r="F1576" s="13" t="n">
        <f aca="false">(Sens!$O$1575+Sens!$E$1575)/(Sens!$O$1554+Sens!$E$1554)</f>
        <v>0.37480827803158</v>
      </c>
      <c r="G1576" s="13" t="n">
        <f aca="false">Sens!$G$1575/Sens!$G$1554</f>
        <v>0.393275318395757</v>
      </c>
      <c r="H1576" s="13" t="n">
        <f aca="false">Sens!$F$1576</f>
        <v>0.37480827803158</v>
      </c>
      <c r="I1576" s="13" t="n">
        <f aca="false">Sens!$F$1576</f>
        <v>0.37480827803158</v>
      </c>
      <c r="J1576" s="13" t="n">
        <f aca="false">Sens!$F$1576</f>
        <v>0.37480827803158</v>
      </c>
      <c r="K1576" s="13" t="n">
        <f aca="false">Sens!$F$1576</f>
        <v>0.37480827803158</v>
      </c>
      <c r="L1576" s="13" t="n">
        <f aca="false">Sens!$F$1576</f>
        <v>0.37480827803158</v>
      </c>
      <c r="M1576" s="13" t="n">
        <f aca="false">Sens!$F$1576</f>
        <v>0.37480827803158</v>
      </c>
      <c r="N1576" s="13" t="n">
        <f aca="false">Sens!$N$1575/Sens!$N$1554</f>
        <v>0.364039571356823</v>
      </c>
      <c r="O1576" s="13" t="n">
        <f aca="false">Sens!$O$1575/Sens!$O$1554</f>
        <v>0.332819892300086</v>
      </c>
      <c r="P1576" s="8" t="s">
        <v>646</v>
      </c>
    </row>
    <row r="1577" customFormat="false" ht="17.15" hidden="false" customHeight="false" outlineLevel="0" collapsed="false">
      <c r="A1577" s="0" t="s">
        <v>647</v>
      </c>
      <c r="B1577" s="0" t="s">
        <v>52</v>
      </c>
      <c r="D1577" s="13" t="n">
        <f aca="false">(Q!$E$31-ext_sh*Sens!$D$1566)/Sens!$D$1554</f>
        <v>0.154572973163571</v>
      </c>
    </row>
    <row r="1578" customFormat="false" ht="17.15" hidden="false" customHeight="false" outlineLevel="0" collapsed="false">
      <c r="A1578" s="0" t="s">
        <v>648</v>
      </c>
      <c r="B1578" s="0" t="s">
        <v>86</v>
      </c>
      <c r="C1578" s="38" t="n">
        <f aca="false">Q!$D$31</f>
        <v>13.32</v>
      </c>
      <c r="D1578" s="38" t="n">
        <f aca="false">Q!$E$31</f>
        <v>21.45</v>
      </c>
      <c r="E1578" s="38" t="n">
        <f aca="false">Q!$P$31</f>
        <v>15.353</v>
      </c>
      <c r="F1578" s="38" t="n">
        <f aca="false">ext_sh*Sens!$F$1566+Sens!$D$1577*Sens!$F$1554</f>
        <v>16.3063747611001</v>
      </c>
      <c r="G1578" s="38" t="n">
        <f aca="false">Sens!$E$1578+Sens!$F$1578</f>
        <v>31.6593747611001</v>
      </c>
      <c r="H1578" s="38" t="n">
        <f aca="false">ext_sh*Sens!$H$1566+Sens!$D$1577*Sens!$H$1554</f>
        <v>55.7953029800883</v>
      </c>
      <c r="I1578" s="38" t="n">
        <f aca="false">ext_sh*Sens!$I$1566+Sens!$D$1577*Sens!$I$1554</f>
        <v>86.2625142609413</v>
      </c>
      <c r="J1578" s="38" t="n">
        <f aca="false">ext_sh*Sens!$J$1566+Sens!$D$1577*Sens!$J$1554</f>
        <v>117.626791876843</v>
      </c>
      <c r="K1578" s="38" t="n">
        <f aca="false">ext_sh*Sens!$K$1566+Sens!$D$1577*Sens!$K$1554</f>
        <v>149.335029825644</v>
      </c>
      <c r="L1578" s="38" t="n">
        <f aca="false">ext_sh*Sens!$L$1566+Sens!$D$1577*Sens!$L$1554</f>
        <v>171.177564782212</v>
      </c>
      <c r="M1578" s="38" t="n">
        <f aca="false">ext_sh*Sens!$M$1566+Sens!$D$1577*Sens!$M$1554</f>
        <v>185.360275085375</v>
      </c>
      <c r="N1578" s="38" t="n">
        <f aca="false">Q!$N$31</f>
        <v>9.234</v>
      </c>
      <c r="O1578" s="38" t="n">
        <f aca="false">Q!$O$31</f>
        <v>12.216</v>
      </c>
    </row>
    <row r="1579" customFormat="false" ht="17.15" hidden="false" customHeight="false" outlineLevel="0" collapsed="false">
      <c r="A1579" s="1" t="s">
        <v>649</v>
      </c>
    </row>
    <row r="1580" customFormat="false" ht="17.15" hidden="false" customHeight="false" outlineLevel="0" collapsed="false">
      <c r="A1580" s="15" t="s">
        <v>650</v>
      </c>
      <c r="B1580" s="14" t="s">
        <v>52</v>
      </c>
      <c r="C1580" s="14"/>
      <c r="D1580" s="14"/>
      <c r="E1580" s="14"/>
      <c r="F1580" s="14"/>
      <c r="G1580" s="17" t="n">
        <f aca="false">Sens!$G$1570*(1-tax)/(ext_sh*(Sens!$D$1567+Sens!$G$1567)/2)</f>
        <v>0.051532200852769</v>
      </c>
      <c r="H1580" s="17" t="n">
        <f aca="false">Sens!$H$1570*(1-tax)/(ext_sh*(Sens!$G$1567+Sens!$H$1567)/2)</f>
        <v>0.0688382728575549</v>
      </c>
      <c r="I1580" s="17" t="n">
        <f aca="false">Sens!$I$1570*(1-tax)/(ext_sh*(Sens!$H$1567+Sens!$I$1567)/2)</f>
        <v>0.06976812364806</v>
      </c>
      <c r="J1580" s="17" t="n">
        <f aca="false">Sens!$J$1570*(1-tax)/(ext_sh*(Sens!$I$1567+Sens!$J$1567)/2)</f>
        <v>0.0718567607380601</v>
      </c>
      <c r="K1580" s="17" t="n">
        <f aca="false">Sens!$K$1570*(1-tax)/(ext_sh*(Sens!$J$1567+Sens!$K$1567)/2)</f>
        <v>0.0709086768866797</v>
      </c>
      <c r="L1580" s="17" t="n">
        <f aca="false">Sens!$L$1570*(1-tax)/(ext_sh*(Sens!$K$1567+Sens!$L$1567)/2)</f>
        <v>0.0745828212230472</v>
      </c>
      <c r="M1580" s="17" t="n">
        <f aca="false">Sens!$M$1570*(1-tax)/(ext_sh*(Sens!$L$1567+Sens!$M$1567)/2)</f>
        <v>0.0760906364183566</v>
      </c>
      <c r="N1580" s="14"/>
      <c r="O1580" s="14"/>
      <c r="P1580" s="8" t="s">
        <v>651</v>
      </c>
    </row>
    <row r="1581" customFormat="false" ht="17.15" hidden="false" customHeight="false" outlineLevel="0" collapsed="false">
      <c r="A1581" s="5" t="s">
        <v>652</v>
      </c>
      <c r="B1581" s="0" t="s">
        <v>57</v>
      </c>
      <c r="H1581" s="36" t="n">
        <f aca="false">Sens!$H$1550*1000/(mw_open*he_open+Sens!$H$1548*Sens!$H$1545)</f>
        <v>0.991949006767192</v>
      </c>
      <c r="I1581" s="36" t="n">
        <f aca="false">Sens!$I$1550*1000/(mw_open*he_open+Sens!$I$1548*Sens!$I$1545)</f>
        <v>0.991949006767191</v>
      </c>
      <c r="J1581" s="36" t="n">
        <f aca="false">Sens!$J$1550*1000/(mw_open*he_open+Sens!$J$1548*Sens!$J$1545)</f>
        <v>0.991949006767191</v>
      </c>
      <c r="K1581" s="36" t="n">
        <f aca="false">Sens!$K$1550*1000/(mw_open*he_open+Sens!$K$1548*Sens!$K$1545)</f>
        <v>0.991949006767191</v>
      </c>
      <c r="L1581" s="36" t="n">
        <f aca="false">Sens!$L$1550*1000/(mw_open*he_open+Sens!$L$1548*Sens!$L$1545)</f>
        <v>0.991949006767191</v>
      </c>
      <c r="M1581" s="36" t="n">
        <f aca="false">Sens!$M$1550*1000/(mw_open*he_open+Sens!$M$1548*Sens!$M$1545)</f>
        <v>0.991949006767192</v>
      </c>
    </row>
    <row r="1582" customFormat="false" ht="17.15" hidden="false" customHeight="false" outlineLevel="0" collapsed="false">
      <c r="A1582" s="5" t="s">
        <v>653</v>
      </c>
      <c r="B1582" s="0" t="s">
        <v>57</v>
      </c>
      <c r="H1582" s="36" t="n">
        <f aca="false">Sens!$H$1581*(Sens!$H$1550+wacc*ext_sh*(Sens!$G$1567+Sens!$H$1567)/2/(1-tax)-Sens!$H$1570)/Sens!$H$1550</f>
        <v>1.21629057008987</v>
      </c>
      <c r="I1582" s="36" t="n">
        <f aca="false">Sens!$I$1581*(Sens!$I$1550+wacc*ext_sh*(Sens!$H$1567+Sens!$I$1567)/2/(1-tax)-Sens!$I$1570)/Sens!$I$1550</f>
        <v>1.18570532542298</v>
      </c>
      <c r="J1582" s="36" t="n">
        <f aca="false">Sens!$J$1581*(Sens!$J$1550+wacc*ext_sh*(Sens!$I$1567+Sens!$J$1567)/2/(1-tax)-Sens!$J$1570)/Sens!$J$1550</f>
        <v>1.15959583330999</v>
      </c>
      <c r="K1582" s="36" t="n">
        <f aca="false">Sens!$K$1581*(Sens!$K$1550+wacc*ext_sh*(Sens!$J$1567+Sens!$K$1567)/2/(1-tax)-Sens!$K$1570)/Sens!$K$1550</f>
        <v>1.14703113012155</v>
      </c>
      <c r="L1582" s="36" t="n">
        <f aca="false">Sens!$L$1581*(Sens!$L$1550+wacc*ext_sh*(Sens!$K$1567+Sens!$L$1567)/2/(1-tax)-Sens!$L$1570)/Sens!$L$1550</f>
        <v>1.11907014574796</v>
      </c>
      <c r="M1582" s="36" t="n">
        <f aca="false">Sens!$M$1581*(Sens!$M$1550+wacc*ext_sh*(Sens!$L$1567+Sens!$M$1567)/2/(1-tax)-Sens!$M$1570)/Sens!$M$1550</f>
        <v>1.10468158608301</v>
      </c>
    </row>
    <row r="1583" customFormat="false" ht="17.15" hidden="false" customHeight="false" outlineLevel="0" collapsed="false">
      <c r="A1583" s="5" t="s">
        <v>654</v>
      </c>
      <c r="B1583" s="0" t="s">
        <v>52</v>
      </c>
      <c r="C1583" s="13" t="n">
        <f aca="false">Sens!$C$1551/tk_pq</f>
        <v>0.195316432429398</v>
      </c>
      <c r="D1583" s="13" t="n">
        <f aca="false">Sens!$D$1551/tk_pq</f>
        <v>0.195316432429398</v>
      </c>
      <c r="E1583" s="13" t="n">
        <f aca="false">Sens!$E$1551/tk_pq</f>
        <v>0.195316432429398</v>
      </c>
      <c r="F1583" s="13" t="n">
        <f aca="false">Sens!$F$1551/tk_pq</f>
        <v>0.203361702985279</v>
      </c>
      <c r="G1583" s="13" t="n">
        <f aca="false">Sens!$G$1551/tk_pq</f>
        <v>0.200515948052215</v>
      </c>
      <c r="H1583" s="13" t="n">
        <f aca="false">Sens!$H$1551/tk_pq</f>
        <v>0.21400874463705</v>
      </c>
      <c r="I1583" s="13" t="n">
        <f aca="false">Sens!$I$1551/tk_pq</f>
        <v>0.22040137117169</v>
      </c>
      <c r="J1583" s="13" t="n">
        <f aca="false">Sens!$J$1551/tk_pq</f>
        <v>0.223392097836285</v>
      </c>
      <c r="K1583" s="13" t="n">
        <f aca="false">Sens!$K$1551/tk_pq</f>
        <v>0.224815185841028</v>
      </c>
      <c r="L1583" s="13" t="n">
        <f aca="false">Sens!$L$1551/tk_pq</f>
        <v>0.225475793589319</v>
      </c>
      <c r="M1583" s="13" t="n">
        <f aca="false">Sens!$M$1551/tk_pq</f>
        <v>0.22570393520189</v>
      </c>
      <c r="N1583" s="13" t="n">
        <f aca="false">Sens!$N$1551/tk_pq</f>
        <v>0.195316432429398</v>
      </c>
      <c r="O1583" s="13" t="n">
        <f aca="false">Sens!$O$1551/tk_pq</f>
        <v>0.195316432429398</v>
      </c>
      <c r="P1583" s="5" t="s">
        <v>655</v>
      </c>
    </row>
    <row r="1586" customFormat="false" ht="17.15" hidden="false" customHeight="false" outlineLevel="0" collapsed="false">
      <c r="A1586" s="1" t="s">
        <v>684</v>
      </c>
    </row>
    <row r="1587" customFormat="false" ht="17.15" hidden="false" customHeight="false" outlineLevel="0" collapsed="false">
      <c r="A1587" s="0" t="s">
        <v>685</v>
      </c>
      <c r="B1587" s="0" t="s">
        <v>86</v>
      </c>
      <c r="C1587" s="38" t="n">
        <f aca="false">Sens!$C$1550</f>
        <v>2.32100535697364</v>
      </c>
      <c r="D1587" s="38" t="n">
        <f aca="false">Sens!$D$1550</f>
        <v>8.70377008865116</v>
      </c>
      <c r="E1587" s="38" t="n">
        <f aca="false">Sens!$E$1550</f>
        <v>8.51035297557002</v>
      </c>
      <c r="F1587" s="38" t="n">
        <f aca="false">Sens!$F$1550</f>
        <v>16.1898695858458</v>
      </c>
      <c r="G1587" s="38" t="n">
        <f aca="false">Sens!$G$1550</f>
        <v>24.7002225614158</v>
      </c>
      <c r="H1587" s="38" t="n">
        <f aca="false">Sens!$H$1550</f>
        <v>70.1785184971087</v>
      </c>
      <c r="I1587" s="38" t="n">
        <f aca="false">Sens!$I$1550</f>
        <v>121.85077898043</v>
      </c>
      <c r="J1587" s="38" t="n">
        <f aca="false">Sens!$J$1550</f>
        <v>173.752913998988</v>
      </c>
      <c r="K1587" s="38" t="n">
        <f aca="false">Sens!$K$1550</f>
        <v>218.001160485805</v>
      </c>
      <c r="L1587" s="38" t="n">
        <f aca="false">Sens!$L$1550</f>
        <v>247.011421035552</v>
      </c>
      <c r="M1587" s="38" t="n">
        <f aca="false">Sens!$M$1550</f>
        <v>260.746187656572</v>
      </c>
      <c r="N1587" s="38" t="n">
        <f aca="false">Sens!$N$1550</f>
        <v>3.04631953102791</v>
      </c>
      <c r="O1587" s="38" t="n">
        <f aca="false">Sens!$O$1550</f>
        <v>5.65745055762326</v>
      </c>
      <c r="P1587" s="8" t="s">
        <v>686</v>
      </c>
    </row>
    <row r="1588" customFormat="false" ht="17.15" hidden="false" customHeight="false" outlineLevel="0" collapsed="false">
      <c r="A1588" s="0" t="s">
        <v>687</v>
      </c>
      <c r="B1588" s="0" t="s">
        <v>86</v>
      </c>
      <c r="C1588" s="38" t="n">
        <f aca="false">Sens!$C$1554</f>
        <v>105.234994643026</v>
      </c>
      <c r="D1588" s="38" t="n">
        <f aca="false">Sens!$D$1554</f>
        <v>120.021229911349</v>
      </c>
      <c r="E1588" s="38" t="n">
        <f aca="false">Sens!$E$1554</f>
        <v>71.30864702443</v>
      </c>
      <c r="F1588" s="38" t="n">
        <f aca="false">Sens!$F$1554</f>
        <v>71.7692997942464</v>
      </c>
      <c r="G1588" s="38" t="n">
        <f aca="false">Sens!$G$1554</f>
        <v>143.077946818676</v>
      </c>
      <c r="H1588" s="38" t="n">
        <f aca="false">Sens!$H$1554</f>
        <v>161.017077079203</v>
      </c>
      <c r="I1588" s="38" t="n">
        <f aca="false">Sens!$I$1554</f>
        <v>178.769759521457</v>
      </c>
      <c r="J1588" s="38" t="n">
        <f aca="false">Sens!$J$1554</f>
        <v>195.775538045907</v>
      </c>
      <c r="K1588" s="38" t="n">
        <f aca="false">Sens!$K$1554</f>
        <v>211.43758108958</v>
      </c>
      <c r="L1588" s="38" t="n">
        <f aca="false">Sens!$L$1554</f>
        <v>228.352587576746</v>
      </c>
      <c r="M1588" s="38" t="n">
        <f aca="false">Sens!$M$1554</f>
        <v>246.620794582886</v>
      </c>
      <c r="N1588" s="38" t="n">
        <f aca="false">Sens!$N$1554</f>
        <v>57.0936804689721</v>
      </c>
      <c r="O1588" s="38" t="n">
        <f aca="false">Sens!$O$1554</f>
        <v>62.9275494423768</v>
      </c>
      <c r="P1588" s="8" t="s">
        <v>686</v>
      </c>
    </row>
    <row r="1589" customFormat="false" ht="17.15" hidden="false" customHeight="false" outlineLevel="0" collapsed="false">
      <c r="A1589" s="1" t="s">
        <v>513</v>
      </c>
      <c r="B1589" s="8" t="s">
        <v>86</v>
      </c>
      <c r="C1589" s="38" t="n">
        <f aca="false">Q!$D$7</f>
        <v>107.556</v>
      </c>
      <c r="D1589" s="38" t="n">
        <f aca="false">Q!$E$7</f>
        <v>128.725</v>
      </c>
      <c r="E1589" s="38" t="n">
        <f aca="false">Q!$P$7</f>
        <v>79.819</v>
      </c>
      <c r="F1589" s="38" t="n">
        <f aca="false">Sens!$F$1587+Sens!$F$1588</f>
        <v>87.9591693800922</v>
      </c>
      <c r="G1589" s="38" t="n">
        <f aca="false">Sens!$G$1587+Sens!$G$1588</f>
        <v>167.778169380092</v>
      </c>
      <c r="H1589" s="38" t="n">
        <f aca="false">Sens!$H$1587+Sens!$H$1588</f>
        <v>231.195595576312</v>
      </c>
      <c r="I1589" s="38" t="n">
        <f aca="false">Sens!$I$1587+Sens!$I$1588</f>
        <v>300.620538501888</v>
      </c>
      <c r="J1589" s="38" t="n">
        <f aca="false">Sens!$J$1587+Sens!$J$1588</f>
        <v>369.528452044895</v>
      </c>
      <c r="K1589" s="38" t="n">
        <f aca="false">Sens!$K$1587+Sens!$K$1588</f>
        <v>429.438741575385</v>
      </c>
      <c r="L1589" s="38" t="n">
        <f aca="false">Sens!$L$1587+Sens!$L$1588</f>
        <v>475.364008612298</v>
      </c>
      <c r="M1589" s="38" t="n">
        <f aca="false">Sens!$M$1587+Sens!$M$1588</f>
        <v>507.366982239458</v>
      </c>
      <c r="N1589" s="38" t="n">
        <f aca="false">Q!$N$7</f>
        <v>60.14</v>
      </c>
      <c r="O1589" s="38" t="n">
        <f aca="false">Q!$O$7</f>
        <v>68.585</v>
      </c>
      <c r="P1589" s="5" t="s">
        <v>688</v>
      </c>
    </row>
    <row r="1590" customFormat="false" ht="15" hidden="false" customHeight="false" outlineLevel="0" collapsed="false">
      <c r="A1590" s="3" t="s">
        <v>689</v>
      </c>
      <c r="B1590" s="8" t="s">
        <v>86</v>
      </c>
      <c r="C1590" s="38" t="n">
        <f aca="false">Q!$D$8</f>
        <v>637.959</v>
      </c>
      <c r="D1590" s="38" t="n">
        <f aca="false">Q!$E$8</f>
        <v>716.924</v>
      </c>
      <c r="E1590" s="38" t="n">
        <f aca="false">Q!$P$8</f>
        <v>382.125</v>
      </c>
      <c r="F1590" s="38" t="n">
        <f aca="false">Sens!$F$1522+Sens!$F$1589</f>
        <v>435.780975084504</v>
      </c>
      <c r="G1590" s="38" t="n">
        <f aca="false">Sens!$G$1522+Sens!$G$1589</f>
        <v>817.905975084504</v>
      </c>
      <c r="H1590" s="38" t="n">
        <f aca="false">Sens!$H$1522+Sens!$H$1589</f>
        <v>950.934136917527</v>
      </c>
      <c r="I1590" s="38" t="n">
        <f aca="false">Sens!$I$1522+Sens!$I$1589</f>
        <v>1087.66400933602</v>
      </c>
      <c r="J1590" s="38" t="n">
        <f aca="false">Sens!$J$1522+Sens!$J$1589</f>
        <v>1219.0325546589</v>
      </c>
      <c r="K1590" s="38" t="n">
        <f aca="false">Sens!$K$1522+Sens!$K$1589</f>
        <v>1333.90677111954</v>
      </c>
      <c r="L1590" s="38" t="n">
        <f aca="false">Sens!$L$1522+Sens!$L$1589</f>
        <v>1438.63726334204</v>
      </c>
      <c r="M1590" s="38" t="n">
        <f aca="false">Sens!$M$1522+Sens!$M$1589</f>
        <v>1533.57575779241</v>
      </c>
      <c r="N1590" s="38" t="n">
        <f aca="false">Q!$N$8</f>
        <v>323.369</v>
      </c>
      <c r="O1590" s="38" t="n">
        <f aca="false">Q!$O$8</f>
        <v>393.555</v>
      </c>
    </row>
    <row r="1591" customFormat="false" ht="17.15" hidden="false" customHeight="false" outlineLevel="0" collapsed="false">
      <c r="A1591" s="24" t="s">
        <v>697</v>
      </c>
      <c r="B1591" s="25" t="s">
        <v>86</v>
      </c>
      <c r="C1591" s="41" t="n">
        <f aca="false">Sens!$C$1522-(Sens!$C$1524+Sens!$C$1525)</f>
        <v>0</v>
      </c>
      <c r="D1591" s="41" t="n">
        <f aca="false">Sens!$D$1522-(Sens!$D$1524+Sens!$D$1525)</f>
        <v>0</v>
      </c>
      <c r="E1591" s="41" t="n">
        <f aca="false">Sens!$E$1522-(Sens!$E$1524+Sens!$E$1525)</f>
        <v>0</v>
      </c>
      <c r="F1591" s="41" t="n">
        <f aca="false">Sens!$F$1522-(Sens!$F$1524+Sens!$F$1525)</f>
        <v>0</v>
      </c>
      <c r="G1591" s="41" t="n">
        <f aca="false">Sens!$G$1522-(Sens!$G$1524+Sens!$G$1525)</f>
        <v>0</v>
      </c>
      <c r="H1591" s="41" t="n">
        <f aca="false">Sens!$H$1522-(Sens!$H$1524+Sens!$H$1525)</f>
        <v>0</v>
      </c>
      <c r="I1591" s="41" t="n">
        <f aca="false">Sens!$I$1522-(Sens!$I$1524+Sens!$I$1525)</f>
        <v>0</v>
      </c>
      <c r="J1591" s="41" t="n">
        <f aca="false">Sens!$J$1522-(Sens!$J$1524+Sens!$J$1525)</f>
        <v>0</v>
      </c>
      <c r="K1591" s="41" t="n">
        <f aca="false">Sens!$K$1522-(Sens!$K$1524+Sens!$K$1525)</f>
        <v>0</v>
      </c>
      <c r="L1591" s="41" t="n">
        <f aca="false">Sens!$L$1522-(Sens!$L$1524+Sens!$L$1525)</f>
        <v>0</v>
      </c>
      <c r="M1591" s="41" t="n">
        <f aca="false">Sens!$M$1522-(Sens!$M$1524+Sens!$M$1525)</f>
        <v>0</v>
      </c>
      <c r="N1591" s="41" t="n">
        <f aca="false">Sens!$N$1522-(Sens!$N$1524+Sens!$N$1525)</f>
        <v>0</v>
      </c>
      <c r="O1591" s="41" t="n">
        <f aca="false">Sens!$O$1522-(Sens!$O$1524+Sens!$O$1525)</f>
        <v>0</v>
      </c>
    </row>
    <row r="1592" customFormat="false" ht="17.15" hidden="false" customHeight="false" outlineLevel="0" collapsed="false">
      <c r="A1592" s="24" t="s">
        <v>698</v>
      </c>
      <c r="B1592" s="25" t="s">
        <v>86</v>
      </c>
      <c r="C1592" s="41" t="n">
        <f aca="false">Sens!$C$1587+Sens!$C$1588-Sens!$C$1589</f>
        <v>0</v>
      </c>
      <c r="D1592" s="41" t="n">
        <f aca="false">Sens!$D$1587+Sens!$D$1588-Sens!$D$1589</f>
        <v>0</v>
      </c>
      <c r="E1592" s="41" t="n">
        <f aca="false">Sens!$E$1587+Sens!$E$1588-Sens!$E$1589</f>
        <v>0</v>
      </c>
      <c r="F1592" s="41" t="n">
        <f aca="false">Sens!$F$1587+Sens!$F$1588-Sens!$F$1589</f>
        <v>0</v>
      </c>
      <c r="G1592" s="41" t="n">
        <f aca="false">Sens!$G$1587+Sens!$G$1588-Sens!$G$1589</f>
        <v>0</v>
      </c>
      <c r="H1592" s="41" t="n">
        <f aca="false">Sens!$H$1587+Sens!$H$1588-Sens!$H$1589</f>
        <v>0</v>
      </c>
      <c r="I1592" s="41" t="n">
        <f aca="false">Sens!$I$1587+Sens!$I$1588-Sens!$I$1589</f>
        <v>0</v>
      </c>
      <c r="J1592" s="41" t="n">
        <f aca="false">Sens!$J$1587+Sens!$J$1588-Sens!$J$1589</f>
        <v>0</v>
      </c>
      <c r="K1592" s="41" t="n">
        <f aca="false">Sens!$K$1587+Sens!$K$1588-Sens!$K$1589</f>
        <v>0</v>
      </c>
      <c r="L1592" s="41" t="n">
        <f aca="false">Sens!$L$1587+Sens!$L$1588-Sens!$L$1589</f>
        <v>0</v>
      </c>
      <c r="M1592" s="41" t="n">
        <f aca="false">Sens!$M$1587+Sens!$M$1588-Sens!$M$1589</f>
        <v>0</v>
      </c>
      <c r="N1592" s="41" t="n">
        <f aca="false">Sens!$N$1587+Sens!$N$1588-Sens!$N$1589</f>
        <v>0</v>
      </c>
      <c r="O1592" s="41" t="n">
        <f aca="false">Sens!$O$1587+Sens!$O$1588-Sens!$O$1589</f>
        <v>0</v>
      </c>
    </row>
    <row r="1593" customFormat="false" ht="17.15" hidden="false" customHeight="false" outlineLevel="0" collapsed="false">
      <c r="A1593" s="24" t="s">
        <v>699</v>
      </c>
      <c r="B1593" s="25" t="s">
        <v>86</v>
      </c>
      <c r="C1593" s="41" t="n">
        <f aca="false">Sens!$C$1524+Sens!$C$1525+Sens!$C$1589-Sens!$C$1590</f>
        <v>0</v>
      </c>
      <c r="D1593" s="41" t="n">
        <f aca="false">Sens!$D$1524+Sens!$D$1525+Sens!$D$1589-Sens!$D$1590</f>
        <v>0</v>
      </c>
      <c r="E1593" s="41" t="n">
        <f aca="false">Sens!$E$1524+Sens!$E$1525+Sens!$E$1589-Sens!$E$1590</f>
        <v>0</v>
      </c>
      <c r="F1593" s="41" t="n">
        <f aca="false">Sens!$F$1524+Sens!$F$1525+Sens!$F$1589-Sens!$F$1590</f>
        <v>0</v>
      </c>
      <c r="G1593" s="41" t="n">
        <f aca="false">Sens!$G$1524+Sens!$G$1525+Sens!$G$1589-Sens!$G$1590</f>
        <v>0</v>
      </c>
      <c r="H1593" s="41" t="n">
        <f aca="false">Sens!$H$1524+Sens!$H$1525+Sens!$H$1589-Sens!$H$1590</f>
        <v>0</v>
      </c>
      <c r="I1593" s="41" t="n">
        <f aca="false">Sens!$I$1524+Sens!$I$1525+Sens!$I$1589-Sens!$I$1590</f>
        <v>0</v>
      </c>
      <c r="J1593" s="41" t="n">
        <f aca="false">Sens!$J$1524+Sens!$J$1525+Sens!$J$1589-Sens!$J$1590</f>
        <v>0</v>
      </c>
      <c r="K1593" s="41" t="n">
        <f aca="false">Sens!$K$1524+Sens!$K$1525+Sens!$K$1589-Sens!$K$1590</f>
        <v>0</v>
      </c>
      <c r="L1593" s="41" t="n">
        <f aca="false">Sens!$L$1524+Sens!$L$1525+Sens!$L$1589-Sens!$L$1590</f>
        <v>0</v>
      </c>
      <c r="M1593" s="41" t="n">
        <f aca="false">Sens!$M$1524+Sens!$M$1525+Sens!$M$1589-Sens!$M$1590</f>
        <v>0</v>
      </c>
      <c r="N1593" s="41" t="n">
        <f aca="false">Sens!$N$1524+Sens!$N$1525+Sens!$N$1589-Sens!$N$1590</f>
        <v>0</v>
      </c>
      <c r="O1593" s="41" t="n">
        <f aca="false">Sens!$O$1524+Sens!$O$1525+Sens!$O$1589-Sens!$O$1590</f>
        <v>0</v>
      </c>
    </row>
    <row r="1594" customFormat="false" ht="15" hidden="false" customHeight="false" outlineLevel="0" collapsed="false">
      <c r="A1594" s="5" t="s">
        <v>693</v>
      </c>
      <c r="B1594" s="0" t="s">
        <v>52</v>
      </c>
      <c r="G1594" s="13" t="n">
        <f aca="false">Sens!$G$1590/Sens!$D$1590-1</f>
        <v>0.140854504918937</v>
      </c>
      <c r="H1594" s="13" t="n">
        <f aca="false">Sens!$H$1590/Sens!$G$1590-1</f>
        <v>0.16264480989918</v>
      </c>
      <c r="I1594" s="13" t="n">
        <f aca="false">Sens!$I$1590/Sens!$H$1590-1</f>
        <v>0.143784797611439</v>
      </c>
      <c r="J1594" s="13" t="n">
        <f aca="false">Sens!$J$1590/Sens!$I$1590-1</f>
        <v>0.120780447082252</v>
      </c>
      <c r="K1594" s="13" t="n">
        <f aca="false">Sens!$K$1590/Sens!$J$1590-1</f>
        <v>0.0942339201866356</v>
      </c>
      <c r="L1594" s="13" t="n">
        <f aca="false">Sens!$L$1590/Sens!$K$1590-1</f>
        <v>0.0785141019522677</v>
      </c>
      <c r="M1594" s="13" t="n">
        <f aca="false">Sens!$M$1590/Sens!$L$1590-1</f>
        <v>0.0659919611909854</v>
      </c>
    </row>
    <row r="1595" customFormat="false" ht="17.15" hidden="false" customHeight="false" outlineLevel="0" collapsed="false">
      <c r="A1595" s="0" t="s">
        <v>694</v>
      </c>
      <c r="B1595" s="0" t="s">
        <v>52</v>
      </c>
      <c r="C1595" s="13" t="n">
        <f aca="false">Sens!$C$1589/Sens!$C$1590</f>
        <v>0.168593906504964</v>
      </c>
      <c r="D1595" s="13" t="n">
        <f aca="false">Sens!$D$1589/Sens!$D$1590</f>
        <v>0.179551807444025</v>
      </c>
      <c r="E1595" s="13" t="n">
        <f aca="false">Sens!$E$1589/Sens!$E$1590</f>
        <v>0.208881910369643</v>
      </c>
      <c r="F1595" s="13" t="n">
        <f aca="false">Sens!$F$1589/Sens!$F$1590</f>
        <v>0.201842609955691</v>
      </c>
      <c r="G1595" s="13" t="n">
        <f aca="false">Sens!$G$1589/Sens!$G$1590</f>
        <v>0.205131365329319</v>
      </c>
      <c r="H1595" s="13" t="n">
        <f aca="false">Sens!$H$1589/Sens!$H$1590</f>
        <v>0.243124719789466</v>
      </c>
      <c r="I1595" s="13" t="n">
        <f aca="false">Sens!$I$1589/Sens!$I$1590</f>
        <v>0.27639099567651</v>
      </c>
      <c r="J1595" s="13" t="n">
        <f aca="false">Sens!$J$1589/Sens!$J$1590</f>
        <v>0.303132554280549</v>
      </c>
      <c r="K1595" s="13" t="n">
        <f aca="false">Sens!$K$1589/Sens!$K$1590</f>
        <v>0.321940596504327</v>
      </c>
      <c r="L1595" s="13" t="n">
        <f aca="false">Sens!$L$1589/Sens!$L$1590</f>
        <v>0.330426592390635</v>
      </c>
      <c r="M1595" s="13" t="n">
        <f aca="false">Sens!$M$1589/Sens!$M$1590</f>
        <v>0.330839203515981</v>
      </c>
      <c r="N1595" s="13" t="n">
        <f aca="false">Sens!$N$1589/Sens!$N$1590</f>
        <v>0.185979484737251</v>
      </c>
      <c r="O1595" s="13" t="n">
        <f aca="false">Sens!$O$1589/Sens!$O$1590</f>
        <v>0.174270432341096</v>
      </c>
    </row>
    <row r="1596" customFormat="false" ht="17.15" hidden="false" customHeight="false" outlineLevel="0" collapsed="false">
      <c r="A1596" s="0" t="s">
        <v>695</v>
      </c>
      <c r="B1596" s="0" t="s">
        <v>52</v>
      </c>
      <c r="C1596" s="13" t="n">
        <f aca="false">Sens!$C$1587/Sens!$C$1589</f>
        <v>0.0215795060896058</v>
      </c>
      <c r="D1596" s="13" t="n">
        <f aca="false">Sens!$D$1587/Sens!$D$1589</f>
        <v>0.0676152269462122</v>
      </c>
      <c r="E1596" s="13" t="n">
        <f aca="false">Sens!$E$1587/Sens!$E$1589</f>
        <v>0.106620641395783</v>
      </c>
      <c r="F1596" s="13" t="n">
        <f aca="false">Sens!$F$1587/Sens!$F$1589</f>
        <v>0.184061192254847</v>
      </c>
      <c r="G1596" s="13" t="n">
        <f aca="false">Sens!$G$1587/Sens!$G$1589</f>
        <v>0.147219525953098</v>
      </c>
      <c r="H1596" s="13" t="n">
        <f aca="false">Sens!$H$1587/Sens!$H$1589</f>
        <v>0.303546087554875</v>
      </c>
      <c r="I1596" s="13" t="n">
        <f aca="false">Sens!$I$1587/Sens!$I$1589</f>
        <v>0.405330851936004</v>
      </c>
      <c r="J1596" s="13" t="n">
        <f aca="false">Sens!$J$1587/Sens!$J$1589</f>
        <v>0.470201720699651</v>
      </c>
      <c r="K1596" s="13" t="n">
        <f aca="false">Sens!$K$1587/Sens!$K$1589</f>
        <v>0.507642043859559</v>
      </c>
      <c r="L1596" s="13" t="n">
        <f aca="false">Sens!$L$1587/Sens!$L$1589</f>
        <v>0.519625837380154</v>
      </c>
      <c r="M1596" s="13" t="n">
        <f aca="false">Sens!$M$1587/Sens!$M$1589</f>
        <v>0.513920291986028</v>
      </c>
      <c r="N1596" s="13" t="n">
        <f aca="false">Sens!$N$1587/Sens!$N$1589</f>
        <v>0.0506537999838362</v>
      </c>
      <c r="O1596" s="13" t="n">
        <f aca="false">Sens!$O$1587/Sens!$O$1589</f>
        <v>0.0824881615167056</v>
      </c>
    </row>
    <row r="1599" customFormat="false" ht="19.4" hidden="false" customHeight="false" outlineLevel="0" collapsed="false">
      <c r="A1599" s="31" t="s">
        <v>1159</v>
      </c>
    </row>
    <row r="1600" customFormat="false" ht="17.15" hidden="false" customHeight="false" outlineLevel="0" collapsed="false">
      <c r="A1600" s="6" t="s">
        <v>16</v>
      </c>
      <c r="B1600" s="6" t="s">
        <v>17</v>
      </c>
      <c r="C1600" s="20" t="s">
        <v>494</v>
      </c>
      <c r="D1600" s="20" t="s">
        <v>495</v>
      </c>
      <c r="E1600" s="20" t="s">
        <v>577</v>
      </c>
      <c r="F1600" s="20" t="s">
        <v>578</v>
      </c>
      <c r="G1600" s="20" t="s">
        <v>579</v>
      </c>
      <c r="H1600" s="20" t="s">
        <v>580</v>
      </c>
      <c r="I1600" s="20" t="s">
        <v>581</v>
      </c>
      <c r="J1600" s="20" t="s">
        <v>582</v>
      </c>
      <c r="K1600" s="20" t="s">
        <v>583</v>
      </c>
      <c r="L1600" s="20" t="s">
        <v>584</v>
      </c>
      <c r="M1600" s="20" t="s">
        <v>585</v>
      </c>
      <c r="N1600" s="20" t="s">
        <v>586</v>
      </c>
      <c r="O1600" s="20" t="s">
        <v>587</v>
      </c>
      <c r="P1600" s="6" t="s">
        <v>23</v>
      </c>
      <c r="R1600" s="20" t="n">
        <v>2023</v>
      </c>
      <c r="S1600" s="20" t="n">
        <v>2024</v>
      </c>
      <c r="T1600" s="20" t="n">
        <v>2025</v>
      </c>
      <c r="U1600" s="20" t="n">
        <v>2026</v>
      </c>
      <c r="V1600" s="20" t="n">
        <v>2027</v>
      </c>
      <c r="W1600" s="20" t="n">
        <v>2028</v>
      </c>
      <c r="X1600" s="20" t="n">
        <v>2029</v>
      </c>
      <c r="Y1600" s="20" t="n">
        <v>2030</v>
      </c>
      <c r="Z1600" s="20" t="n">
        <v>2031</v>
      </c>
      <c r="AA1600" s="20" t="n">
        <v>2032</v>
      </c>
    </row>
    <row r="1601" customFormat="false" ht="17.15" hidden="false" customHeight="false" outlineLevel="0" collapsed="false">
      <c r="A1601" s="1" t="s">
        <v>710</v>
      </c>
    </row>
    <row r="1602" customFormat="false" ht="15" hidden="false" customHeight="false" outlineLevel="0" collapsed="false">
      <c r="A1602" s="0" t="s">
        <v>516</v>
      </c>
      <c r="B1602" s="0" t="s">
        <v>86</v>
      </c>
      <c r="C1602" s="38" t="n">
        <f aca="false">Sens!$C$1509</f>
        <v>247.029</v>
      </c>
      <c r="D1602" s="38" t="n">
        <f aca="false">Sens!$D$1509</f>
        <v>269.287</v>
      </c>
      <c r="E1602" s="38" t="n">
        <f aca="false">Sens!$E$1509</f>
        <v>134.686</v>
      </c>
      <c r="F1602" s="38" t="n">
        <f aca="false">Sens!$F$1509</f>
        <v>157.737686368822</v>
      </c>
      <c r="G1602" s="38" t="n">
        <f aca="false">Sens!$G$1509</f>
        <v>292.423686368822</v>
      </c>
      <c r="H1602" s="38" t="n">
        <f aca="false">Sens!$H$1509</f>
        <v>317.580504314432</v>
      </c>
      <c r="I1602" s="38" t="n">
        <f aca="false">Sens!$I$1509</f>
        <v>341.087529578386</v>
      </c>
      <c r="J1602" s="38" t="n">
        <f aca="false">Sens!$J$1509</f>
        <v>362.238214956512</v>
      </c>
      <c r="K1602" s="38" t="n">
        <f aca="false">Sens!$K$1509</f>
        <v>380.350125704338</v>
      </c>
      <c r="L1602" s="38" t="n">
        <f aca="false">Sens!$L$1509</f>
        <v>399.367631989555</v>
      </c>
      <c r="M1602" s="38" t="n">
        <f aca="false">Sens!$M$1509</f>
        <v>419.336013589032</v>
      </c>
      <c r="N1602" s="38" t="n">
        <f aca="false">Sens!$N$1509</f>
        <v>118.892</v>
      </c>
      <c r="O1602" s="38" t="n">
        <f aca="false">Sens!$O$1509</f>
        <v>150.395</v>
      </c>
    </row>
    <row r="1603" customFormat="false" ht="15" hidden="false" customHeight="false" outlineLevel="0" collapsed="false">
      <c r="A1603" s="0" t="s">
        <v>517</v>
      </c>
      <c r="B1603" s="0" t="s">
        <v>86</v>
      </c>
      <c r="C1603" s="38" t="n">
        <f aca="false">Sens!$C$1511</f>
        <v>21.215</v>
      </c>
      <c r="D1603" s="38" t="n">
        <f aca="false">Sens!$D$1511</f>
        <v>22.561</v>
      </c>
      <c r="E1603" s="38" t="n">
        <f aca="false">Sens!$E$1511</f>
        <v>11.579</v>
      </c>
      <c r="F1603" s="38" t="n">
        <f aca="false">Sens!$F$1511</f>
        <v>11.5531355651353</v>
      </c>
      <c r="G1603" s="38" t="n">
        <f aca="false">Sens!$G$1511</f>
        <v>23.1321355651353</v>
      </c>
      <c r="H1603" s="38" t="n">
        <f aca="false">Sens!$H$1511</f>
        <v>24.3105805605756</v>
      </c>
      <c r="I1603" s="38" t="n">
        <f aca="false">Sens!$I$1511</f>
        <v>25.3793395480127</v>
      </c>
      <c r="J1603" s="38" t="n">
        <f aca="false">Sens!$J$1511</f>
        <v>26.3179019053191</v>
      </c>
      <c r="K1603" s="38" t="n">
        <f aca="false">Sens!$K$1511</f>
        <v>27.1074389624786</v>
      </c>
      <c r="L1603" s="38" t="n">
        <f aca="false">Sens!$L$1511</f>
        <v>27.920662131353</v>
      </c>
      <c r="M1603" s="38" t="n">
        <f aca="false">Sens!$M$1511</f>
        <v>28.7582819952936</v>
      </c>
      <c r="N1603" s="38" t="n">
        <f aca="false">Sens!$N$1511</f>
        <v>11.128</v>
      </c>
      <c r="O1603" s="38" t="n">
        <f aca="false">Sens!$O$1511</f>
        <v>11.433</v>
      </c>
    </row>
    <row r="1604" customFormat="false" ht="15" hidden="false" customHeight="false" outlineLevel="0" collapsed="false">
      <c r="A1604" s="0" t="s">
        <v>518</v>
      </c>
      <c r="B1604" s="0" t="s">
        <v>86</v>
      </c>
      <c r="C1604" s="38" t="n">
        <f aca="false">Sens!$C$1513</f>
        <v>156.146</v>
      </c>
      <c r="D1604" s="38" t="n">
        <f aca="false">Sens!$D$1513</f>
        <v>172.162</v>
      </c>
      <c r="E1604" s="38" t="n">
        <f aca="false">Sens!$E$1513</f>
        <v>88.358</v>
      </c>
      <c r="F1604" s="38" t="n">
        <f aca="false">Sens!$F$1513</f>
        <v>101.645979785386</v>
      </c>
      <c r="G1604" s="38" t="n">
        <f aca="false">Sens!$G$1513</f>
        <v>190.003979785386</v>
      </c>
      <c r="H1604" s="38" t="n">
        <f aca="false">Sens!$H$1513</f>
        <v>209.947079028965</v>
      </c>
      <c r="I1604" s="38" t="n">
        <f aca="false">Sens!$I$1513</f>
        <v>229.53674853264</v>
      </c>
      <c r="J1604" s="38" t="n">
        <f aca="false">Sens!$J$1513</f>
        <v>248.279302539579</v>
      </c>
      <c r="K1604" s="38" t="n">
        <f aca="false">Sens!$K$1513</f>
        <v>265.65885371735</v>
      </c>
      <c r="L1604" s="38" t="n">
        <f aca="false">Sens!$L$1513</f>
        <v>284.254973477564</v>
      </c>
      <c r="M1604" s="38" t="n">
        <f aca="false">Sens!$M$1513</f>
        <v>304.152821620994</v>
      </c>
      <c r="N1604" s="38" t="n">
        <f aca="false">Sens!$N$1513</f>
        <v>76.86</v>
      </c>
      <c r="O1604" s="38" t="n">
        <f aca="false">Sens!$O$1513</f>
        <v>95.302</v>
      </c>
    </row>
    <row r="1605" customFormat="false" ht="15" hidden="false" customHeight="false" outlineLevel="0" collapsed="false">
      <c r="A1605" s="0" t="s">
        <v>519</v>
      </c>
      <c r="B1605" s="0" t="s">
        <v>86</v>
      </c>
      <c r="C1605" s="38" t="n">
        <f aca="false">Sens!$C$1515</f>
        <v>56.214</v>
      </c>
      <c r="D1605" s="38" t="n">
        <f aca="false">Sens!$D$1515</f>
        <v>68.635</v>
      </c>
      <c r="E1605" s="38" t="n">
        <f aca="false">Sens!$E$1515</f>
        <v>37.052</v>
      </c>
      <c r="F1605" s="38" t="n">
        <f aca="false">Sens!$F$1515</f>
        <v>45.9950413292736</v>
      </c>
      <c r="G1605" s="38" t="n">
        <f aca="false">Sens!$G$1515</f>
        <v>83.0470413292736</v>
      </c>
      <c r="H1605" s="38" t="n">
        <f aca="false">Sens!$H$1515</f>
        <v>99.7022162131479</v>
      </c>
      <c r="I1605" s="38" t="n">
        <f aca="false">Sens!$I$1515</f>
        <v>116.355882357521</v>
      </c>
      <c r="J1605" s="38" t="n">
        <f aca="false">Sens!$J$1515</f>
        <v>131.891374297547</v>
      </c>
      <c r="K1605" s="38" t="n">
        <f aca="false">Sens!$K$1515</f>
        <v>145.080511727302</v>
      </c>
      <c r="L1605" s="38" t="n">
        <f aca="false">Sens!$L$1515</f>
        <v>159.588562900032</v>
      </c>
      <c r="M1605" s="38" t="n">
        <f aca="false">Sens!$M$1515</f>
        <v>175.547419190035</v>
      </c>
      <c r="N1605" s="38" t="n">
        <f aca="false">Sens!$N$1515</f>
        <v>29.615</v>
      </c>
      <c r="O1605" s="38" t="n">
        <f aca="false">Sens!$O$1515</f>
        <v>39.02</v>
      </c>
    </row>
    <row r="1606" customFormat="false" ht="15" hidden="false" customHeight="false" outlineLevel="0" collapsed="false">
      <c r="A1606" s="0" t="s">
        <v>520</v>
      </c>
      <c r="B1606" s="0" t="s">
        <v>86</v>
      </c>
      <c r="C1606" s="38" t="n">
        <f aca="false">Sens!$C$1517</f>
        <v>44.374</v>
      </c>
      <c r="D1606" s="38" t="n">
        <f aca="false">Sens!$D$1517</f>
        <v>49.619</v>
      </c>
      <c r="E1606" s="38" t="n">
        <f aca="false">Sens!$E$1517</f>
        <v>27.157</v>
      </c>
      <c r="F1606" s="38" t="n">
        <f aca="false">Sens!$F$1517</f>
        <v>27.6788197867763</v>
      </c>
      <c r="G1606" s="38" t="n">
        <f aca="false">Sens!$G$1517</f>
        <v>54.8358197867763</v>
      </c>
      <c r="H1606" s="38" t="n">
        <f aca="false">Sens!$H$1517</f>
        <v>61.0477584334767</v>
      </c>
      <c r="I1606" s="38" t="n">
        <f aca="false">Sens!$I$1517</f>
        <v>67.0826345130427</v>
      </c>
      <c r="J1606" s="38" t="n">
        <f aca="false">Sens!$J$1517</f>
        <v>72.7462535942322</v>
      </c>
      <c r="K1606" s="38" t="n">
        <f aca="false">Sens!$K$1517</f>
        <v>77.8384913458285</v>
      </c>
      <c r="L1606" s="38" t="n">
        <f aca="false">Sens!$L$1517</f>
        <v>83.2871857400365</v>
      </c>
      <c r="M1606" s="38" t="n">
        <f aca="false">Sens!$M$1517</f>
        <v>89.117288741839</v>
      </c>
      <c r="N1606" s="38" t="n">
        <f aca="false">Sens!$N$1517</f>
        <v>23.923</v>
      </c>
      <c r="O1606" s="38" t="n">
        <f aca="false">Sens!$O$1517</f>
        <v>25.696</v>
      </c>
    </row>
    <row r="1607" customFormat="false" ht="15" hidden="false" customHeight="false" outlineLevel="0" collapsed="false">
      <c r="A1607" s="0" t="s">
        <v>521</v>
      </c>
      <c r="B1607" s="0" t="s">
        <v>86</v>
      </c>
      <c r="C1607" s="38" t="n">
        <f aca="false">Sens!$C$1519</f>
        <v>5.425</v>
      </c>
      <c r="D1607" s="38" t="n">
        <f aca="false">Sens!$D$1519</f>
        <v>5.935</v>
      </c>
      <c r="E1607" s="38" t="n">
        <f aca="false">Sens!$E$1519</f>
        <v>3.474</v>
      </c>
      <c r="F1607" s="38" t="n">
        <f aca="false">Sens!$F$1519</f>
        <v>3.21114286901872</v>
      </c>
      <c r="G1607" s="38" t="n">
        <f aca="false">Sens!$G$1519</f>
        <v>6.68514286901872</v>
      </c>
      <c r="H1607" s="38" t="n">
        <f aca="false">Sens!$H$1519</f>
        <v>7.15040279061685</v>
      </c>
      <c r="I1607" s="38" t="n">
        <f aca="false">Sens!$I$1519</f>
        <v>7.60133630453079</v>
      </c>
      <c r="J1607" s="38" t="n">
        <f aca="false">Sens!$J$1519</f>
        <v>8.03105532081647</v>
      </c>
      <c r="K1607" s="38" t="n">
        <f aca="false">Sens!$K$1519</f>
        <v>8.43260808685729</v>
      </c>
      <c r="L1607" s="38" t="n">
        <f aca="false">Sens!$L$1519</f>
        <v>8.85423849120016</v>
      </c>
      <c r="M1607" s="38" t="n">
        <f aca="false">Sens!$M$1519</f>
        <v>9.29695041576017</v>
      </c>
      <c r="N1607" s="38" t="n">
        <f aca="false">Sens!$N$1519</f>
        <v>2.811</v>
      </c>
      <c r="O1607" s="38" t="n">
        <f aca="false">Sens!$O$1519</f>
        <v>3.124</v>
      </c>
    </row>
    <row r="1608" customFormat="false" ht="17.15" hidden="false" customHeight="false" outlineLevel="0" collapsed="false">
      <c r="A1608" s="0" t="s">
        <v>711</v>
      </c>
      <c r="B1608" s="0" t="s">
        <v>86</v>
      </c>
      <c r="C1608" s="38" t="n">
        <f aca="false">Sens!$C$1589</f>
        <v>107.556</v>
      </c>
      <c r="D1608" s="38" t="n">
        <f aca="false">Sens!$D$1589</f>
        <v>128.725</v>
      </c>
      <c r="E1608" s="38" t="n">
        <f aca="false">Sens!$E$1589</f>
        <v>79.819</v>
      </c>
      <c r="F1608" s="38" t="n">
        <f aca="false">Sens!$F$1589</f>
        <v>87.9591693800922</v>
      </c>
      <c r="G1608" s="38" t="n">
        <f aca="false">Sens!$G$1589</f>
        <v>167.778169380092</v>
      </c>
      <c r="H1608" s="38" t="n">
        <f aca="false">Sens!$H$1589</f>
        <v>231.195595576312</v>
      </c>
      <c r="I1608" s="38" t="n">
        <f aca="false">Sens!$I$1589</f>
        <v>300.620538501888</v>
      </c>
      <c r="J1608" s="38" t="n">
        <f aca="false">Sens!$J$1589</f>
        <v>369.528452044895</v>
      </c>
      <c r="K1608" s="38" t="n">
        <f aca="false">Sens!$K$1589</f>
        <v>429.438741575385</v>
      </c>
      <c r="L1608" s="38" t="n">
        <f aca="false">Sens!$L$1589</f>
        <v>475.364008612298</v>
      </c>
      <c r="M1608" s="38" t="n">
        <f aca="false">Sens!$M$1589</f>
        <v>507.366982239458</v>
      </c>
      <c r="N1608" s="38" t="n">
        <f aca="false">Sens!$N$1589</f>
        <v>60.14</v>
      </c>
      <c r="O1608" s="38" t="n">
        <f aca="false">Sens!$O$1589</f>
        <v>68.585</v>
      </c>
    </row>
    <row r="1609" customFormat="false" ht="15" hidden="false" customHeight="false" outlineLevel="0" collapsed="false">
      <c r="A1609" s="1" t="s">
        <v>509</v>
      </c>
      <c r="B1609" s="8" t="s">
        <v>86</v>
      </c>
      <c r="C1609" s="38" t="n">
        <f aca="false">Sens!$C$1524</f>
        <v>387.497</v>
      </c>
      <c r="D1609" s="38" t="n">
        <f aca="false">Sens!$D$1524</f>
        <v>426.305</v>
      </c>
      <c r="E1609" s="38" t="n">
        <f aca="false">Sens!$E$1524</f>
        <v>220.32</v>
      </c>
      <c r="F1609" s="38" t="n">
        <f aca="false">Sens!$F$1524</f>
        <v>249.759111182954</v>
      </c>
      <c r="G1609" s="38" t="n">
        <f aca="false">Sens!$G$1524</f>
        <v>470.079111182954</v>
      </c>
      <c r="H1609" s="38" t="n">
        <f aca="false">Sens!$H$1524</f>
        <v>520.411603424975</v>
      </c>
      <c r="I1609" s="38" t="n">
        <f aca="false">Sens!$I$1524</f>
        <v>569.076867634037</v>
      </c>
      <c r="J1609" s="38" t="n">
        <f aca="false">Sens!$J$1524</f>
        <v>614.239431076767</v>
      </c>
      <c r="K1609" s="38" t="n">
        <f aca="false">Sens!$K$1524</f>
        <v>653.981453632553</v>
      </c>
      <c r="L1609" s="38" t="n">
        <f aca="false">Sens!$L$1524</f>
        <v>696.500951715246</v>
      </c>
      <c r="M1609" s="38" t="n">
        <f aca="false">Sens!$M$1524</f>
        <v>742.006886749601</v>
      </c>
      <c r="N1609" s="38" t="n">
        <f aca="false">Sens!$N$1524</f>
        <v>192.955</v>
      </c>
      <c r="O1609" s="38" t="n">
        <f aca="false">Sens!$O$1524</f>
        <v>233.35</v>
      </c>
    </row>
    <row r="1610" customFormat="false" ht="15" hidden="false" customHeight="false" outlineLevel="0" collapsed="false">
      <c r="A1610" s="1" t="s">
        <v>512</v>
      </c>
      <c r="B1610" s="8" t="s">
        <v>86</v>
      </c>
      <c r="C1610" s="38" t="n">
        <f aca="false">Sens!$C$1525</f>
        <v>142.906</v>
      </c>
      <c r="D1610" s="38" t="n">
        <f aca="false">Sens!$D$1525</f>
        <v>161.894</v>
      </c>
      <c r="E1610" s="38" t="n">
        <f aca="false">Sens!$E$1525</f>
        <v>81.986</v>
      </c>
      <c r="F1610" s="38" t="n">
        <f aca="false">Sens!$F$1525</f>
        <v>98.0626945214581</v>
      </c>
      <c r="G1610" s="38" t="n">
        <f aca="false">Sens!$G$1525</f>
        <v>180.048694521458</v>
      </c>
      <c r="H1610" s="38" t="n">
        <f aca="false">Sens!$H$1525</f>
        <v>199.326937916239</v>
      </c>
      <c r="I1610" s="38" t="n">
        <f aca="false">Sens!$I$1525</f>
        <v>217.966603200097</v>
      </c>
      <c r="J1610" s="38" t="n">
        <f aca="false">Sens!$J$1525</f>
        <v>235.264671537239</v>
      </c>
      <c r="K1610" s="38" t="n">
        <f aca="false">Sens!$K$1525</f>
        <v>250.486575911601</v>
      </c>
      <c r="L1610" s="38" t="n">
        <f aca="false">Sens!$L$1525</f>
        <v>266.772303014494</v>
      </c>
      <c r="M1610" s="38" t="n">
        <f aca="false">Sens!$M$1525</f>
        <v>284.201888803353</v>
      </c>
      <c r="N1610" s="38" t="n">
        <f aca="false">Sens!$N$1525</f>
        <v>70.274</v>
      </c>
      <c r="O1610" s="38" t="n">
        <f aca="false">Sens!$O$1525</f>
        <v>91.62</v>
      </c>
    </row>
    <row r="1611" customFormat="false" ht="15" hidden="false" customHeight="false" outlineLevel="0" collapsed="false">
      <c r="A1611" s="1" t="s">
        <v>513</v>
      </c>
      <c r="B1611" s="8" t="s">
        <v>86</v>
      </c>
      <c r="C1611" s="38" t="n">
        <f aca="false">Sens!$C$1589</f>
        <v>107.556</v>
      </c>
      <c r="D1611" s="38" t="n">
        <f aca="false">Sens!$D$1589</f>
        <v>128.725</v>
      </c>
      <c r="E1611" s="38" t="n">
        <f aca="false">Sens!$E$1589</f>
        <v>79.819</v>
      </c>
      <c r="F1611" s="38" t="n">
        <f aca="false">Sens!$F$1589</f>
        <v>87.9591693800922</v>
      </c>
      <c r="G1611" s="38" t="n">
        <f aca="false">Sens!$G$1589</f>
        <v>167.778169380092</v>
      </c>
      <c r="H1611" s="38" t="n">
        <f aca="false">Sens!$H$1589</f>
        <v>231.195595576312</v>
      </c>
      <c r="I1611" s="38" t="n">
        <f aca="false">Sens!$I$1589</f>
        <v>300.620538501888</v>
      </c>
      <c r="J1611" s="38" t="n">
        <f aca="false">Sens!$J$1589</f>
        <v>369.528452044895</v>
      </c>
      <c r="K1611" s="38" t="n">
        <f aca="false">Sens!$K$1589</f>
        <v>429.438741575385</v>
      </c>
      <c r="L1611" s="38" t="n">
        <f aca="false">Sens!$L$1589</f>
        <v>475.364008612298</v>
      </c>
      <c r="M1611" s="38" t="n">
        <f aca="false">Sens!$M$1589</f>
        <v>507.366982239458</v>
      </c>
      <c r="N1611" s="38" t="n">
        <f aca="false">Sens!$N$1589</f>
        <v>60.14</v>
      </c>
      <c r="O1611" s="38" t="n">
        <f aca="false">Sens!$O$1589</f>
        <v>68.585</v>
      </c>
    </row>
    <row r="1612" customFormat="false" ht="17.15" hidden="false" customHeight="false" outlineLevel="0" collapsed="false">
      <c r="A1612" s="0" t="s">
        <v>685</v>
      </c>
      <c r="B1612" s="0" t="s">
        <v>86</v>
      </c>
      <c r="C1612" s="38" t="n">
        <f aca="false">Sens!$C$1587</f>
        <v>2.32100535697364</v>
      </c>
      <c r="D1612" s="38" t="n">
        <f aca="false">Sens!$D$1587</f>
        <v>8.70377008865116</v>
      </c>
      <c r="E1612" s="38" t="n">
        <f aca="false">Sens!$E$1587</f>
        <v>8.51035297557002</v>
      </c>
      <c r="F1612" s="38" t="n">
        <f aca="false">Sens!$F$1587</f>
        <v>16.1898695858458</v>
      </c>
      <c r="G1612" s="38" t="n">
        <f aca="false">Sens!$G$1587</f>
        <v>24.7002225614158</v>
      </c>
      <c r="H1612" s="38" t="n">
        <f aca="false">Sens!$H$1587</f>
        <v>70.1785184971087</v>
      </c>
      <c r="I1612" s="38" t="n">
        <f aca="false">Sens!$I$1587</f>
        <v>121.85077898043</v>
      </c>
      <c r="J1612" s="38" t="n">
        <f aca="false">Sens!$J$1587</f>
        <v>173.752913998988</v>
      </c>
      <c r="K1612" s="38" t="n">
        <f aca="false">Sens!$K$1587</f>
        <v>218.001160485805</v>
      </c>
      <c r="L1612" s="38" t="n">
        <f aca="false">Sens!$L$1587</f>
        <v>247.011421035552</v>
      </c>
      <c r="M1612" s="38" t="n">
        <f aca="false">Sens!$M$1587</f>
        <v>260.746187656572</v>
      </c>
      <c r="N1612" s="38" t="n">
        <f aca="false">Sens!$N$1587</f>
        <v>3.04631953102791</v>
      </c>
      <c r="O1612" s="38" t="n">
        <f aca="false">Sens!$O$1587</f>
        <v>5.65745055762326</v>
      </c>
    </row>
    <row r="1613" customFormat="false" ht="17.15" hidden="false" customHeight="false" outlineLevel="0" collapsed="false">
      <c r="A1613" s="0" t="s">
        <v>687</v>
      </c>
      <c r="B1613" s="0" t="s">
        <v>86</v>
      </c>
      <c r="C1613" s="38" t="n">
        <f aca="false">Sens!$C$1588</f>
        <v>105.234994643026</v>
      </c>
      <c r="D1613" s="38" t="n">
        <f aca="false">Sens!$D$1588</f>
        <v>120.021229911349</v>
      </c>
      <c r="E1613" s="38" t="n">
        <f aca="false">Sens!$E$1588</f>
        <v>71.30864702443</v>
      </c>
      <c r="F1613" s="38" t="n">
        <f aca="false">Sens!$F$1588</f>
        <v>71.7692997942464</v>
      </c>
      <c r="G1613" s="38" t="n">
        <f aca="false">Sens!$G$1588</f>
        <v>143.077946818676</v>
      </c>
      <c r="H1613" s="38" t="n">
        <f aca="false">Sens!$H$1588</f>
        <v>161.017077079203</v>
      </c>
      <c r="I1613" s="38" t="n">
        <f aca="false">Sens!$I$1588</f>
        <v>178.769759521457</v>
      </c>
      <c r="J1613" s="38" t="n">
        <f aca="false">Sens!$J$1588</f>
        <v>195.775538045907</v>
      </c>
      <c r="K1613" s="38" t="n">
        <f aca="false">Sens!$K$1588</f>
        <v>211.43758108958</v>
      </c>
      <c r="L1613" s="38" t="n">
        <f aca="false">Sens!$L$1588</f>
        <v>228.352587576746</v>
      </c>
      <c r="M1613" s="38" t="n">
        <f aca="false">Sens!$M$1588</f>
        <v>246.620794582886</v>
      </c>
      <c r="N1613" s="38" t="n">
        <f aca="false">Sens!$N$1588</f>
        <v>57.0936804689721</v>
      </c>
      <c r="O1613" s="38" t="n">
        <f aca="false">Sens!$O$1588</f>
        <v>62.9275494423768</v>
      </c>
    </row>
    <row r="1614" customFormat="false" ht="15" hidden="false" customHeight="false" outlineLevel="0" collapsed="false">
      <c r="A1614" s="3" t="s">
        <v>514</v>
      </c>
      <c r="B1614" s="8" t="s">
        <v>86</v>
      </c>
      <c r="C1614" s="38" t="n">
        <f aca="false">Sens!$C$1590</f>
        <v>637.959</v>
      </c>
      <c r="D1614" s="38" t="n">
        <f aca="false">Sens!$D$1590</f>
        <v>716.924</v>
      </c>
      <c r="E1614" s="38" t="n">
        <f aca="false">Sens!$E$1590</f>
        <v>382.125</v>
      </c>
      <c r="F1614" s="38" t="n">
        <f aca="false">Sens!$F$1590</f>
        <v>435.780975084504</v>
      </c>
      <c r="G1614" s="38" t="n">
        <f aca="false">Sens!$G$1590</f>
        <v>817.905975084504</v>
      </c>
      <c r="H1614" s="38" t="n">
        <f aca="false">Sens!$H$1590</f>
        <v>950.934136917527</v>
      </c>
      <c r="I1614" s="38" t="n">
        <f aca="false">Sens!$I$1590</f>
        <v>1087.66400933602</v>
      </c>
      <c r="J1614" s="38" t="n">
        <f aca="false">Sens!$J$1590</f>
        <v>1219.0325546589</v>
      </c>
      <c r="K1614" s="38" t="n">
        <f aca="false">Sens!$K$1590</f>
        <v>1333.90677111954</v>
      </c>
      <c r="L1614" s="38" t="n">
        <f aca="false">Sens!$L$1590</f>
        <v>1438.63726334204</v>
      </c>
      <c r="M1614" s="38" t="n">
        <f aca="false">Sens!$M$1590</f>
        <v>1533.57575779241</v>
      </c>
      <c r="N1614" s="38" t="n">
        <f aca="false">Sens!$N$1590</f>
        <v>323.369</v>
      </c>
      <c r="O1614" s="38" t="n">
        <f aca="false">Sens!$O$1590</f>
        <v>393.555</v>
      </c>
    </row>
    <row r="1615" customFormat="false" ht="17.15" hidden="false" customHeight="false" outlineLevel="0" collapsed="false">
      <c r="A1615" s="24" t="s">
        <v>697</v>
      </c>
      <c r="B1615" s="25" t="s">
        <v>86</v>
      </c>
      <c r="C1615" s="41" t="n">
        <f aca="false">Sens!$C$1602+Sens!$C$1603+Sens!$C$1604+Sens!$C$1605+Sens!$C$1606+Sens!$C$1607-(Sens!$C$1609+Sens!$C$1610)</f>
        <v>0</v>
      </c>
      <c r="D1615" s="41" t="n">
        <f aca="false">Sens!$D$1602+Sens!$D$1603+Sens!$D$1604+Sens!$D$1605+Sens!$D$1606+Sens!$D$1607-(Sens!$D$1609+Sens!$D$1610)</f>
        <v>0</v>
      </c>
      <c r="E1615" s="41" t="n">
        <f aca="false">Sens!$E$1602+Sens!$E$1603+Sens!$E$1604+Sens!$E$1605+Sens!$E$1606+Sens!$E$1607-(Sens!$E$1609+Sens!$E$1610)</f>
        <v>0</v>
      </c>
      <c r="F1615" s="41" t="n">
        <f aca="false">Sens!$F$1602+Sens!$F$1603+Sens!$F$1604+Sens!$F$1605+Sens!$F$1606+Sens!$F$1607-(Sens!$F$1609+Sens!$F$1610)</f>
        <v>0</v>
      </c>
      <c r="G1615" s="41" t="n">
        <f aca="false">Sens!$G$1602+Sens!$G$1603+Sens!$G$1604+Sens!$G$1605+Sens!$G$1606+Sens!$G$1607-(Sens!$G$1609+Sens!$G$1610)</f>
        <v>0</v>
      </c>
      <c r="H1615" s="41" t="n">
        <f aca="false">Sens!$H$1602+Sens!$H$1603+Sens!$H$1604+Sens!$H$1605+Sens!$H$1606+Sens!$H$1607-(Sens!$H$1609+Sens!$H$1610)</f>
        <v>0</v>
      </c>
      <c r="I1615" s="41" t="n">
        <f aca="false">Sens!$I$1602+Sens!$I$1603+Sens!$I$1604+Sens!$I$1605+Sens!$I$1606+Sens!$I$1607-(Sens!$I$1609+Sens!$I$1610)</f>
        <v>0</v>
      </c>
      <c r="J1615" s="41" t="n">
        <f aca="false">Sens!$J$1602+Sens!$J$1603+Sens!$J$1604+Sens!$J$1605+Sens!$J$1606+Sens!$J$1607-(Sens!$J$1609+Sens!$J$1610)</f>
        <v>0</v>
      </c>
      <c r="K1615" s="41" t="n">
        <f aca="false">Sens!$K$1602+Sens!$K$1603+Sens!$K$1604+Sens!$K$1605+Sens!$K$1606+Sens!$K$1607-(Sens!$K$1609+Sens!$K$1610)</f>
        <v>0</v>
      </c>
      <c r="L1615" s="41" t="n">
        <f aca="false">Sens!$L$1602+Sens!$L$1603+Sens!$L$1604+Sens!$L$1605+Sens!$L$1606+Sens!$L$1607-(Sens!$L$1609+Sens!$L$1610)</f>
        <v>0</v>
      </c>
      <c r="M1615" s="41" t="n">
        <f aca="false">Sens!$M$1602+Sens!$M$1603+Sens!$M$1604+Sens!$M$1605+Sens!$M$1606+Sens!$M$1607-(Sens!$M$1609+Sens!$M$1610)</f>
        <v>0</v>
      </c>
      <c r="N1615" s="41" t="n">
        <f aca="false">Sens!$N$1602+Sens!$N$1603+Sens!$N$1604+Sens!$N$1605+Sens!$N$1606+Sens!$N$1607-(Sens!$N$1609+Sens!$N$1610)</f>
        <v>0</v>
      </c>
      <c r="O1615" s="41" t="n">
        <f aca="false">Sens!$O$1602+Sens!$O$1603+Sens!$O$1604+Sens!$O$1605+Sens!$O$1606+Sens!$O$1607-(Sens!$O$1609+Sens!$O$1610)</f>
        <v>0</v>
      </c>
    </row>
    <row r="1616" customFormat="false" ht="17.15" hidden="false" customHeight="false" outlineLevel="0" collapsed="false">
      <c r="A1616" s="24" t="s">
        <v>698</v>
      </c>
      <c r="B1616" s="25" t="s">
        <v>86</v>
      </c>
      <c r="C1616" s="41" t="n">
        <f aca="false">Sens!$C$1612+Sens!$C$1613-Sens!$C$1611</f>
        <v>0</v>
      </c>
      <c r="D1616" s="41" t="n">
        <f aca="false">Sens!$D$1612+Sens!$D$1613-Sens!$D$1611</f>
        <v>0</v>
      </c>
      <c r="E1616" s="41" t="n">
        <f aca="false">Sens!$E$1612+Sens!$E$1613-Sens!$E$1611</f>
        <v>0</v>
      </c>
      <c r="F1616" s="41" t="n">
        <f aca="false">Sens!$F$1612+Sens!$F$1613-Sens!$F$1611</f>
        <v>0</v>
      </c>
      <c r="G1616" s="41" t="n">
        <f aca="false">Sens!$G$1612+Sens!$G$1613-Sens!$G$1611</f>
        <v>0</v>
      </c>
      <c r="H1616" s="41" t="n">
        <f aca="false">Sens!$H$1612+Sens!$H$1613-Sens!$H$1611</f>
        <v>0</v>
      </c>
      <c r="I1616" s="41" t="n">
        <f aca="false">Sens!$I$1612+Sens!$I$1613-Sens!$I$1611</f>
        <v>0</v>
      </c>
      <c r="J1616" s="41" t="n">
        <f aca="false">Sens!$J$1612+Sens!$J$1613-Sens!$J$1611</f>
        <v>0</v>
      </c>
      <c r="K1616" s="41" t="n">
        <f aca="false">Sens!$K$1612+Sens!$K$1613-Sens!$K$1611</f>
        <v>0</v>
      </c>
      <c r="L1616" s="41" t="n">
        <f aca="false">Sens!$L$1612+Sens!$L$1613-Sens!$L$1611</f>
        <v>0</v>
      </c>
      <c r="M1616" s="41" t="n">
        <f aca="false">Sens!$M$1612+Sens!$M$1613-Sens!$M$1611</f>
        <v>0</v>
      </c>
      <c r="N1616" s="41" t="n">
        <f aca="false">Sens!$N$1612+Sens!$N$1613-Sens!$N$1611</f>
        <v>0</v>
      </c>
      <c r="O1616" s="41" t="n">
        <f aca="false">Sens!$O$1612+Sens!$O$1613-Sens!$O$1611</f>
        <v>0</v>
      </c>
    </row>
    <row r="1617" customFormat="false" ht="17.15" hidden="false" customHeight="false" outlineLevel="0" collapsed="false">
      <c r="A1617" s="24" t="s">
        <v>757</v>
      </c>
      <c r="B1617" s="25" t="s">
        <v>86</v>
      </c>
      <c r="C1617" s="41" t="n">
        <f aca="false">Sens!$C$1602+Sens!$C$1603+Sens!$C$1604+Sens!$C$1605+Sens!$C$1606+Sens!$C$1607+Sens!$C$1608-Sens!$C$1614</f>
        <v>0</v>
      </c>
      <c r="D1617" s="41" t="n">
        <f aca="false">Sens!$D$1602+Sens!$D$1603+Sens!$D$1604+Sens!$D$1605+Sens!$D$1606+Sens!$D$1607+Sens!$D$1608-Sens!$D$1614</f>
        <v>0</v>
      </c>
      <c r="E1617" s="41" t="n">
        <f aca="false">Sens!$E$1602+Sens!$E$1603+Sens!$E$1604+Sens!$E$1605+Sens!$E$1606+Sens!$E$1607+Sens!$E$1608-Sens!$E$1614</f>
        <v>0</v>
      </c>
      <c r="F1617" s="41" t="n">
        <f aca="false">Sens!$F$1602+Sens!$F$1603+Sens!$F$1604+Sens!$F$1605+Sens!$F$1606+Sens!$F$1607+Sens!$F$1608-Sens!$F$1614</f>
        <v>0</v>
      </c>
      <c r="G1617" s="41" t="n">
        <f aca="false">Sens!$G$1602+Sens!$G$1603+Sens!$G$1604+Sens!$G$1605+Sens!$G$1606+Sens!$G$1607+Sens!$G$1608-Sens!$G$1614</f>
        <v>0</v>
      </c>
      <c r="H1617" s="41" t="n">
        <f aca="false">Sens!$H$1602+Sens!$H$1603+Sens!$H$1604+Sens!$H$1605+Sens!$H$1606+Sens!$H$1607+Sens!$H$1608-Sens!$H$1614</f>
        <v>0</v>
      </c>
      <c r="I1617" s="41" t="n">
        <f aca="false">Sens!$I$1602+Sens!$I$1603+Sens!$I$1604+Sens!$I$1605+Sens!$I$1606+Sens!$I$1607+Sens!$I$1608-Sens!$I$1614</f>
        <v>0</v>
      </c>
      <c r="J1617" s="41" t="n">
        <f aca="false">Sens!$J$1602+Sens!$J$1603+Sens!$J$1604+Sens!$J$1605+Sens!$J$1606+Sens!$J$1607+Sens!$J$1608-Sens!$J$1614</f>
        <v>0</v>
      </c>
      <c r="K1617" s="41" t="n">
        <f aca="false">Sens!$K$1602+Sens!$K$1603+Sens!$K$1604+Sens!$K$1605+Sens!$K$1606+Sens!$K$1607+Sens!$K$1608-Sens!$K$1614</f>
        <v>0</v>
      </c>
      <c r="L1617" s="41" t="n">
        <f aca="false">Sens!$L$1602+Sens!$L$1603+Sens!$L$1604+Sens!$L$1605+Sens!$L$1606+Sens!$L$1607+Sens!$L$1608-Sens!$L$1614</f>
        <v>0</v>
      </c>
      <c r="M1617" s="41" t="n">
        <f aca="false">Sens!$M$1602+Sens!$M$1603+Sens!$M$1604+Sens!$M$1605+Sens!$M$1606+Sens!$M$1607+Sens!$M$1608-Sens!$M$1614</f>
        <v>0</v>
      </c>
      <c r="N1617" s="41" t="n">
        <f aca="false">Sens!$N$1602+Sens!$N$1603+Sens!$N$1604+Sens!$N$1605+Sens!$N$1606+Sens!$N$1607+Sens!$N$1608-Sens!$N$1614</f>
        <v>0</v>
      </c>
      <c r="O1617" s="41" t="n">
        <f aca="false">Sens!$O$1602+Sens!$O$1603+Sens!$O$1604+Sens!$O$1605+Sens!$O$1606+Sens!$O$1607+Sens!$O$1608-Sens!$O$1614</f>
        <v>0</v>
      </c>
    </row>
    <row r="1618" customFormat="false" ht="17.15" hidden="false" customHeight="false" outlineLevel="0" collapsed="false">
      <c r="A1618" s="24" t="s">
        <v>699</v>
      </c>
      <c r="B1618" s="25" t="s">
        <v>86</v>
      </c>
      <c r="C1618" s="41" t="n">
        <f aca="false">Sens!$C$1609+Sens!$C$1610+Sens!$C$1611-Sens!$C$1614</f>
        <v>0</v>
      </c>
      <c r="D1618" s="41" t="n">
        <f aca="false">Sens!$D$1609+Sens!$D$1610+Sens!$D$1611-Sens!$D$1614</f>
        <v>0</v>
      </c>
      <c r="E1618" s="41" t="n">
        <f aca="false">Sens!$E$1609+Sens!$E$1610+Sens!$E$1611-Sens!$E$1614</f>
        <v>0</v>
      </c>
      <c r="F1618" s="41" t="n">
        <f aca="false">Sens!$F$1609+Sens!$F$1610+Sens!$F$1611-Sens!$F$1614</f>
        <v>0</v>
      </c>
      <c r="G1618" s="41" t="n">
        <f aca="false">Sens!$G$1609+Sens!$G$1610+Sens!$G$1611-Sens!$G$1614</f>
        <v>0</v>
      </c>
      <c r="H1618" s="41" t="n">
        <f aca="false">Sens!$H$1609+Sens!$H$1610+Sens!$H$1611-Sens!$H$1614</f>
        <v>0</v>
      </c>
      <c r="I1618" s="41" t="n">
        <f aca="false">Sens!$I$1609+Sens!$I$1610+Sens!$I$1611-Sens!$I$1614</f>
        <v>0</v>
      </c>
      <c r="J1618" s="41" t="n">
        <f aca="false">Sens!$J$1609+Sens!$J$1610+Sens!$J$1611-Sens!$J$1614</f>
        <v>0</v>
      </c>
      <c r="K1618" s="41" t="n">
        <f aca="false">Sens!$K$1609+Sens!$K$1610+Sens!$K$1611-Sens!$K$1614</f>
        <v>0</v>
      </c>
      <c r="L1618" s="41" t="n">
        <f aca="false">Sens!$L$1609+Sens!$L$1610+Sens!$L$1611-Sens!$L$1614</f>
        <v>0</v>
      </c>
      <c r="M1618" s="41" t="n">
        <f aca="false">Sens!$M$1609+Sens!$M$1610+Sens!$M$1611-Sens!$M$1614</f>
        <v>0</v>
      </c>
      <c r="N1618" s="41" t="n">
        <f aca="false">Sens!$N$1609+Sens!$N$1610+Sens!$N$1611-Sens!$N$1614</f>
        <v>0</v>
      </c>
      <c r="O1618" s="41" t="n">
        <f aca="false">Sens!$O$1609+Sens!$O$1610+Sens!$O$1611-Sens!$O$1614</f>
        <v>0</v>
      </c>
    </row>
    <row r="1619" customFormat="false" ht="17.15" hidden="false" customHeight="false" outlineLevel="0" collapsed="false">
      <c r="A1619" s="1" t="s">
        <v>713</v>
      </c>
    </row>
    <row r="1620" customFormat="false" ht="17.15" hidden="false" customHeight="false" outlineLevel="0" collapsed="false">
      <c r="A1620" s="0" t="s">
        <v>714</v>
      </c>
      <c r="B1620" s="0" t="s">
        <v>86</v>
      </c>
      <c r="C1620" s="38" t="n">
        <f aca="false">Sens!$C$1526*m_ad</f>
        <v>20.5341564414228</v>
      </c>
      <c r="D1620" s="38" t="n">
        <f aca="false">Sens!$D$1526*m_ad</f>
        <v>24.8720617299587</v>
      </c>
      <c r="E1620" s="38" t="n">
        <f aca="false">Sens!$E$1526*m_ad</f>
        <v>13.5017112462207</v>
      </c>
      <c r="F1620" s="38" t="n">
        <f aca="false">Sens!$F$1526*m_ad</f>
        <v>16.5137441828261</v>
      </c>
      <c r="G1620" s="38" t="n">
        <f aca="false">Sens!$G$1526*m_ad</f>
        <v>30.0238499506575</v>
      </c>
      <c r="H1620" s="38" t="n">
        <f aca="false">Sens!$H$1526*m_ad</f>
        <v>36.0451658652455</v>
      </c>
      <c r="I1620" s="38" t="n">
        <f aca="false">Sens!$I$1526*m_ad</f>
        <v>42.0659363279104</v>
      </c>
      <c r="J1620" s="38" t="n">
        <f aca="false">Sens!$J$1526*m_ad</f>
        <v>47.6824552484054</v>
      </c>
      <c r="K1620" s="38" t="n">
        <f aca="false">Sens!$K$1526*m_ad</f>
        <v>52.4507007732459</v>
      </c>
      <c r="L1620" s="38" t="n">
        <f aca="false">Sens!$L$1526*m_ad</f>
        <v>57.6957708505705</v>
      </c>
      <c r="M1620" s="38" t="n">
        <f aca="false">Sens!$M$1526*m_ad</f>
        <v>63.4653479356275</v>
      </c>
      <c r="N1620" s="38" t="n">
        <f aca="false">Sens!$N$1526*m_ad</f>
        <v>10.8543555706248</v>
      </c>
      <c r="O1620" s="38" t="n">
        <f aca="false">Sens!$O$1526*m_ad</f>
        <v>14.0094731821399</v>
      </c>
    </row>
    <row r="1621" customFormat="false" ht="17.15" hidden="false" customHeight="false" outlineLevel="0" collapsed="false">
      <c r="A1621" s="0" t="s">
        <v>715</v>
      </c>
      <c r="B1621" s="0" t="s">
        <v>86</v>
      </c>
      <c r="C1621" s="38" t="n">
        <f aca="false">Sens!$C$1524-Sens!$C$1526</f>
        <v>346.428687117154</v>
      </c>
      <c r="D1621" s="38" t="n">
        <f aca="false">Sens!$D$1524-Sens!$D$1526</f>
        <v>376.560876540083</v>
      </c>
      <c r="E1621" s="38" t="n">
        <f aca="false">Sens!$E$1524-Sens!$E$1526</f>
        <v>193.316577507559</v>
      </c>
      <c r="F1621" s="38" t="n">
        <f aca="false">Sens!$F$1524-Sens!$F$1526</f>
        <v>216.731622817302</v>
      </c>
      <c r="G1621" s="38" t="n">
        <f aca="false">Sens!$G$1524-Sens!$G$1526</f>
        <v>410.031411281639</v>
      </c>
      <c r="H1621" s="38" t="n">
        <f aca="false">Sens!$H$1524-Sens!$H$1526</f>
        <v>448.321271694484</v>
      </c>
      <c r="I1621" s="38" t="n">
        <f aca="false">Sens!$I$1524-Sens!$I$1526</f>
        <v>484.944994978216</v>
      </c>
      <c r="J1621" s="38" t="n">
        <f aca="false">Sens!$J$1524-Sens!$J$1526</f>
        <v>518.874520579956</v>
      </c>
      <c r="K1621" s="38" t="n">
        <f aca="false">Sens!$K$1524-Sens!$K$1526</f>
        <v>549.080052086061</v>
      </c>
      <c r="L1621" s="38" t="n">
        <f aca="false">Sens!$L$1524-Sens!$L$1526</f>
        <v>581.109410014105</v>
      </c>
      <c r="M1621" s="38" t="n">
        <f aca="false">Sens!$M$1524-Sens!$M$1526</f>
        <v>615.076190878346</v>
      </c>
      <c r="N1621" s="38" t="n">
        <f aca="false">Sens!$N$1524-Sens!$N$1526</f>
        <v>171.24628885875</v>
      </c>
      <c r="O1621" s="38" t="n">
        <f aca="false">Sens!$O$1524-Sens!$O$1526</f>
        <v>205.33105363572</v>
      </c>
    </row>
    <row r="1622" customFormat="false" ht="17.15" hidden="false" customHeight="false" outlineLevel="0" collapsed="false">
      <c r="A1622" s="0" t="s">
        <v>716</v>
      </c>
      <c r="B1622" s="0" t="s">
        <v>86</v>
      </c>
      <c r="C1622" s="38" t="n">
        <f aca="false">Sens!$C$1573*Sens!$C$1523</f>
        <v>0.123617442257179</v>
      </c>
      <c r="D1622" s="38" t="n">
        <f aca="false">Sens!$D$1573*Sens!$D$1523</f>
        <v>0.874366899302609</v>
      </c>
      <c r="E1622" s="38" t="n">
        <f aca="false">Sens!$E$1573*Sens!$E$1523</f>
        <v>1.29318830502574</v>
      </c>
      <c r="F1622" s="38" t="n">
        <f aca="false">Sens!$F$1573*Sens!$F$1523</f>
        <v>1.56360859438077</v>
      </c>
      <c r="G1622" s="38" t="n">
        <f aca="false">Sens!$G$1573*Sens!$G$1523</f>
        <v>2.85747533952011</v>
      </c>
      <c r="H1622" s="38" t="n">
        <f aca="false">Sens!$H$1573*Sens!$H$1523</f>
        <v>8.24348096560168</v>
      </c>
      <c r="I1622" s="38" t="n">
        <f aca="false">Sens!$I$1573*Sens!$I$1523</f>
        <v>15.1304837117331</v>
      </c>
      <c r="J1622" s="38" t="n">
        <f aca="false">Sens!$J$1573*Sens!$J$1523</f>
        <v>22.2039813859476</v>
      </c>
      <c r="K1622" s="38" t="n">
        <f aca="false">Sens!$K$1573*Sens!$K$1523</f>
        <v>29.100737284618</v>
      </c>
      <c r="L1622" s="38" t="n">
        <f aca="false">Sens!$L$1573*Sens!$L$1523</f>
        <v>33.6272454687629</v>
      </c>
      <c r="M1622" s="38" t="n">
        <f aca="false">Sens!$M$1573*Sens!$M$1523</f>
        <v>36.1788829563866</v>
      </c>
      <c r="N1622" s="38" t="n">
        <f aca="false">Sens!$N$1573*Sens!$N$1523</f>
        <v>0.389180508437431</v>
      </c>
      <c r="O1622" s="38" t="n">
        <f aca="false">Sens!$O$1573*Sens!$O$1523</f>
        <v>0.485052120082802</v>
      </c>
    </row>
    <row r="1623" customFormat="false" ht="17.15" hidden="false" customHeight="false" outlineLevel="0" collapsed="false">
      <c r="A1623" s="0" t="s">
        <v>717</v>
      </c>
      <c r="B1623" s="0" t="s">
        <v>52</v>
      </c>
      <c r="C1623" s="28" t="n">
        <f aca="false">(Sens!$C$1624-Sens!$C$1620+Sens!$C$1622)/Sens!$C$1621</f>
        <v>0.0131526665379575</v>
      </c>
      <c r="D1623" s="28" t="n">
        <f aca="false">(Sens!$D$1624-Sens!$D$1620+Sens!$D$1622)/Sens!$D$1621</f>
        <v>0.0149280116962589</v>
      </c>
      <c r="E1623" s="28" t="n">
        <f aca="false">(Sens!$E$1624-Sens!$E$1620+Sens!$E$1622)/Sens!$E$1621</f>
        <v>0.0268030663774938</v>
      </c>
      <c r="F1623" s="28" t="n">
        <f aca="false">Sens!$O$1623+(Sens!$E$1623-Sens!$N$1623)</f>
        <v>0.0232379346966962</v>
      </c>
      <c r="G1623" s="28" t="n">
        <f aca="false">(Sens!$G$1624-Sens!$G$1620+Sens!$G$1622)/Sens!$G$1621</f>
        <v>0.024900912452369</v>
      </c>
      <c r="H1623" s="28" t="n">
        <f aca="false">Sens!$G$1623+step_na</f>
        <v>0.027900912452369</v>
      </c>
      <c r="I1623" s="28" t="n">
        <f aca="false">Sens!$H$1623+step_na</f>
        <v>0.030900912452369</v>
      </c>
      <c r="J1623" s="28" t="n">
        <f aca="false">Sens!$I$1623+step_na</f>
        <v>0.033900912452369</v>
      </c>
      <c r="K1623" s="28" t="n">
        <f aca="false">Sens!$J$1623+step_na</f>
        <v>0.036900912452369</v>
      </c>
      <c r="L1623" s="28" t="n">
        <f aca="false">Sens!$K$1623</f>
        <v>0.036900912452369</v>
      </c>
      <c r="M1623" s="28" t="n">
        <f aca="false">Sens!$L$1623</f>
        <v>0.036900912452369</v>
      </c>
      <c r="N1623" s="28" t="n">
        <f aca="false">(Sens!$N$1624-Sens!$N$1620+Sens!$N$1622)/Sens!$N$1621</f>
        <v>0.0168927744775755</v>
      </c>
      <c r="O1623" s="28" t="n">
        <f aca="false">(Sens!$O$1624-Sens!$O$1620+Sens!$O$1622)/Sens!$O$1621</f>
        <v>0.0133276427967779</v>
      </c>
      <c r="P1623" s="8" t="s">
        <v>718</v>
      </c>
    </row>
    <row r="1624" customFormat="false" ht="17.15" hidden="false" customHeight="false" outlineLevel="0" collapsed="false">
      <c r="A1624" s="1" t="s">
        <v>719</v>
      </c>
      <c r="B1624" s="8" t="s">
        <v>86</v>
      </c>
      <c r="C1624" s="38" t="n">
        <f aca="false">Q!$D$22</f>
        <v>24.967</v>
      </c>
      <c r="D1624" s="38" t="n">
        <f aca="false">Q!$E$22</f>
        <v>29.619</v>
      </c>
      <c r="E1624" s="38" t="n">
        <f aca="false">Q!$P$22</f>
        <v>17.39</v>
      </c>
      <c r="F1624" s="38" t="n">
        <f aca="false">Sens!$F$1620+Sens!$F$1621*Sens!$F$1623-Sens!$F$1622</f>
        <v>19.9865308861828</v>
      </c>
      <c r="G1624" s="38" t="n">
        <f aca="false">Sens!$E$1624+Sens!$F$1624</f>
        <v>37.3765308861828</v>
      </c>
      <c r="H1624" s="38" t="n">
        <f aca="false">Sens!$H$1620+Sens!$H$1621*Sens!$H$1623-Sens!$H$1622</f>
        <v>40.3102574517263</v>
      </c>
      <c r="I1624" s="38" t="n">
        <f aca="false">Sens!$I$1620+Sens!$I$1621*Sens!$I$1623-Sens!$I$1622</f>
        <v>41.9206954502137</v>
      </c>
      <c r="J1624" s="38" t="n">
        <f aca="false">Sens!$J$1620+Sens!$J$1621*Sens!$J$1623-Sens!$J$1622</f>
        <v>43.0687935584037</v>
      </c>
      <c r="K1624" s="38" t="n">
        <f aca="false">Sens!$K$1620+Sens!$K$1621*Sens!$K$1623-Sens!$K$1622</f>
        <v>43.6115184199979</v>
      </c>
      <c r="L1624" s="38" t="n">
        <f aca="false">Sens!$L$1620+Sens!$L$1621*Sens!$L$1623-Sens!$L$1622</f>
        <v>45.5119928459858</v>
      </c>
      <c r="M1624" s="38" t="n">
        <f aca="false">Sens!$M$1620+Sens!$M$1621*Sens!$M$1623-Sens!$M$1622</f>
        <v>49.9833376503794</v>
      </c>
      <c r="N1624" s="38" t="n">
        <f aca="false">Q!$N$22</f>
        <v>13.358</v>
      </c>
      <c r="O1624" s="38" t="n">
        <f aca="false">Q!$O$22</f>
        <v>16.261</v>
      </c>
    </row>
    <row r="1625" customFormat="false" ht="17.15" hidden="false" customHeight="false" outlineLevel="0" collapsed="false">
      <c r="A1625" s="0" t="s">
        <v>720</v>
      </c>
      <c r="B1625" s="0" t="s">
        <v>86</v>
      </c>
      <c r="C1625" s="38" t="n">
        <f aca="false">Sens!$C$1527*m_ad</f>
        <v>7.57284355857716</v>
      </c>
      <c r="D1625" s="38" t="n">
        <f aca="false">Sens!$D$1527*m_ad</f>
        <v>9.44543827004127</v>
      </c>
      <c r="E1625" s="38" t="n">
        <f aca="false">Sens!$E$1527*m_ad</f>
        <v>5.02428875377928</v>
      </c>
      <c r="F1625" s="38" t="n">
        <f aca="false">Sens!$F$1527*m_ad</f>
        <v>6.4837764818107</v>
      </c>
      <c r="G1625" s="38" t="n">
        <f aca="false">Sens!$G$1527*m_ad</f>
        <v>11.4996707139793</v>
      </c>
      <c r="H1625" s="38" t="n">
        <f aca="false">Sens!$H$1527*m_ad</f>
        <v>13.8059422413285</v>
      </c>
      <c r="I1625" s="38" t="n">
        <f aca="false">Sens!$I$1527*m_ad</f>
        <v>16.1120048508501</v>
      </c>
      <c r="J1625" s="38" t="n">
        <f aca="false">Sens!$J$1527*m_ad</f>
        <v>18.2632319003682</v>
      </c>
      <c r="K1625" s="38" t="n">
        <f aca="false">Sens!$K$1527*m_ad</f>
        <v>20.089555090405</v>
      </c>
      <c r="L1625" s="38" t="n">
        <f aca="false">Sens!$L$1527*m_ad</f>
        <v>22.0985105994455</v>
      </c>
      <c r="M1625" s="38" t="n">
        <f aca="false">Sens!$M$1527*m_ad</f>
        <v>24.30836165939</v>
      </c>
      <c r="N1625" s="38" t="n">
        <f aca="false">Sens!$N$1527*m_ad</f>
        <v>3.95314442937518</v>
      </c>
      <c r="O1625" s="38" t="n">
        <f aca="false">Sens!$O$1527*m_ad</f>
        <v>5.50052681786011</v>
      </c>
    </row>
    <row r="1626" customFormat="false" ht="17.15" hidden="false" customHeight="false" outlineLevel="0" collapsed="false">
      <c r="A1626" s="0" t="s">
        <v>721</v>
      </c>
      <c r="B1626" s="0" t="s">
        <v>86</v>
      </c>
      <c r="C1626" s="38" t="n">
        <f aca="false">Sens!$C$1525-Sens!$C$1527</f>
        <v>127.760312882846</v>
      </c>
      <c r="D1626" s="38" t="n">
        <f aca="false">Sens!$D$1525-Sens!$D$1527</f>
        <v>143.003123459917</v>
      </c>
      <c r="E1626" s="38" t="n">
        <f aca="false">Sens!$E$1525-Sens!$E$1527</f>
        <v>71.9374224924414</v>
      </c>
      <c r="F1626" s="38" t="n">
        <f aca="false">Sens!$F$1525-Sens!$F$1527</f>
        <v>85.0951415578367</v>
      </c>
      <c r="G1626" s="38" t="n">
        <f aca="false">Sens!$G$1525-Sens!$G$1527</f>
        <v>157.0493530935</v>
      </c>
      <c r="H1626" s="38" t="n">
        <f aca="false">Sens!$H$1525-Sens!$H$1527</f>
        <v>171.715053433582</v>
      </c>
      <c r="I1626" s="38" t="n">
        <f aca="false">Sens!$I$1525-Sens!$I$1527</f>
        <v>185.742593498396</v>
      </c>
      <c r="J1626" s="38" t="n">
        <f aca="false">Sens!$J$1525-Sens!$J$1527</f>
        <v>198.738207736503</v>
      </c>
      <c r="K1626" s="38" t="n">
        <f aca="false">Sens!$K$1525-Sens!$K$1527</f>
        <v>210.307465730791</v>
      </c>
      <c r="L1626" s="38" t="n">
        <f aca="false">Sens!$L$1525-Sens!$L$1527</f>
        <v>222.575281815603</v>
      </c>
      <c r="M1626" s="38" t="n">
        <f aca="false">Sens!$M$1525-Sens!$M$1527</f>
        <v>235.585165484573</v>
      </c>
      <c r="N1626" s="38" t="n">
        <f aca="false">Sens!$N$1525-Sens!$N$1527</f>
        <v>62.3677111412496</v>
      </c>
      <c r="O1626" s="38" t="n">
        <f aca="false">Sens!$O$1525-Sens!$O$1527</f>
        <v>80.6189463642798</v>
      </c>
    </row>
    <row r="1627" customFormat="false" ht="17.15" hidden="false" customHeight="false" outlineLevel="0" collapsed="false">
      <c r="A1627" s="0" t="s">
        <v>722</v>
      </c>
      <c r="B1627" s="0" t="s">
        <v>86</v>
      </c>
      <c r="C1627" s="38" t="n">
        <f aca="false">Sens!$C$1573*(1-Sens!$C$1523)</f>
        <v>0.0455891896019953</v>
      </c>
      <c r="D1627" s="38" t="n">
        <f aca="false">Sens!$D$1573*(1-Sens!$D$1523)</f>
        <v>0.332050421167231</v>
      </c>
      <c r="E1627" s="38" t="n">
        <f aca="false">Sens!$E$1573*(1-Sens!$E$1523)</f>
        <v>0.481224293644882</v>
      </c>
      <c r="F1627" s="38" t="n">
        <f aca="false">Sens!$F$1573*(1-Sens!$F$1523)</f>
        <v>0.613918231914149</v>
      </c>
      <c r="G1627" s="38" t="n">
        <f aca="false">Sens!$G$1573*(1-Sens!$G$1523)</f>
        <v>1.09446408544544</v>
      </c>
      <c r="H1627" s="38" t="n">
        <f aca="false">Sens!$H$1573*(1-Sens!$H$1523)</f>
        <v>3.15740042656653</v>
      </c>
      <c r="I1627" s="38" t="n">
        <f aca="false">Sens!$I$1573*(1-Sens!$I$1523)</f>
        <v>5.79524547032141</v>
      </c>
      <c r="J1627" s="38" t="n">
        <f aca="false">Sens!$J$1573*(1-Sens!$J$1523)</f>
        <v>8.50452140206395</v>
      </c>
      <c r="K1627" s="38" t="n">
        <f aca="false">Sens!$K$1573*(1-Sens!$K$1523)</f>
        <v>11.1461020774185</v>
      </c>
      <c r="L1627" s="38" t="n">
        <f aca="false">Sens!$L$1573*(1-Sens!$L$1523)</f>
        <v>12.8798355488869</v>
      </c>
      <c r="M1627" s="38" t="n">
        <f aca="false">Sens!$M$1573*(1-Sens!$M$1523)</f>
        <v>13.8571582752309</v>
      </c>
      <c r="N1627" s="38" t="n">
        <f aca="false">Sens!$N$1573*(1-Sens!$N$1523)</f>
        <v>0.141739115596548</v>
      </c>
      <c r="O1627" s="38" t="n">
        <f aca="false">Sens!$O$1573*(1-Sens!$O$1523)</f>
        <v>0.190445576353059</v>
      </c>
    </row>
    <row r="1628" customFormat="false" ht="17.15" hidden="false" customHeight="false" outlineLevel="0" collapsed="false">
      <c r="A1628" s="0" t="s">
        <v>723</v>
      </c>
      <c r="B1628" s="0" t="s">
        <v>52</v>
      </c>
      <c r="C1628" s="28" t="n">
        <f aca="false">(Sens!$C$1629-Sens!$C$1625+Sens!$C$1627)/Sens!$C$1626</f>
        <v>-0.0292364215826579</v>
      </c>
      <c r="D1628" s="28" t="n">
        <f aca="false">(Sens!$D$1629-Sens!$D$1625+Sens!$D$1627)/Sens!$D$1626</f>
        <v>-0.0305125352740778</v>
      </c>
      <c r="E1628" s="28" t="n">
        <f aca="false">(Sens!$E$1629-Sens!$E$1625+Sens!$E$1627)/Sens!$E$1626</f>
        <v>-0.019490056934994</v>
      </c>
      <c r="F1628" s="28" t="n">
        <f aca="false">Sens!$O$1628+(Sens!$E$1628-Sens!$N$1628)</f>
        <v>-0.0367332293992226</v>
      </c>
      <c r="G1628" s="28" t="n">
        <f aca="false">(Sens!$G$1629-Sens!$G$1625+Sens!$G$1627)/Sens!$G$1626</f>
        <v>-0.0287818296936858</v>
      </c>
      <c r="H1628" s="28" t="n">
        <f aca="false">Sens!$G$1628+step_in</f>
        <v>-0.0287818296936858</v>
      </c>
      <c r="I1628" s="28" t="n">
        <f aca="false">Sens!$H$1628+step_in</f>
        <v>-0.0287818296936858</v>
      </c>
      <c r="J1628" s="28" t="n">
        <f aca="false">Sens!$I$1628+step_in</f>
        <v>-0.0287818296936858</v>
      </c>
      <c r="K1628" s="28" t="n">
        <f aca="false">Sens!$J$1628+step_in</f>
        <v>-0.0287818296936858</v>
      </c>
      <c r="L1628" s="28" t="n">
        <f aca="false">Sens!$K$1628</f>
        <v>-0.0287818296936858</v>
      </c>
      <c r="M1628" s="28" t="n">
        <f aca="false">Sens!$L$1628</f>
        <v>-0.0287818296936858</v>
      </c>
      <c r="N1628" s="28" t="n">
        <f aca="false">(Sens!$N$1629-Sens!$N$1625+Sens!$N$1627)/Sens!$N$1626</f>
        <v>-0.02085061789158</v>
      </c>
      <c r="O1628" s="28" t="n">
        <f aca="false">(Sens!$O$1629-Sens!$O$1625+Sens!$O$1627)/Sens!$O$1626</f>
        <v>-0.0380937903558086</v>
      </c>
      <c r="P1628" s="8" t="s">
        <v>718</v>
      </c>
    </row>
    <row r="1629" customFormat="false" ht="17.15" hidden="false" customHeight="false" outlineLevel="0" collapsed="false">
      <c r="A1629" s="1" t="s">
        <v>724</v>
      </c>
      <c r="B1629" s="8" t="s">
        <v>86</v>
      </c>
      <c r="C1629" s="38" t="n">
        <f aca="false">Q!$D$23</f>
        <v>3.792</v>
      </c>
      <c r="D1629" s="38" t="n">
        <f aca="false">Q!$E$23</f>
        <v>4.75</v>
      </c>
      <c r="E1629" s="38" t="n">
        <f aca="false">Q!$P$23</f>
        <v>3.141</v>
      </c>
      <c r="F1629" s="38" t="n">
        <f aca="false">Sens!$F$1625+Sens!$F$1626*Sens!$F$1628-Sens!$F$1627</f>
        <v>2.74403889429322</v>
      </c>
      <c r="G1629" s="38" t="n">
        <f aca="false">Sens!$E$1629+Sens!$F$1629</f>
        <v>5.88503889429322</v>
      </c>
      <c r="H1629" s="38" t="n">
        <f aca="false">Sens!$H$1625+Sens!$H$1626*Sens!$H$1628-Sens!$H$1627</f>
        <v>5.7062683909944</v>
      </c>
      <c r="I1629" s="38" t="n">
        <f aca="false">Sens!$I$1625+Sens!$I$1626*Sens!$I$1628-Sens!$I$1627</f>
        <v>4.9707476875943</v>
      </c>
      <c r="J1629" s="38" t="n">
        <f aca="false">Sens!$J$1625+Sens!$J$1626*Sens!$J$1628-Sens!$J$1627</f>
        <v>4.03866124960383</v>
      </c>
      <c r="K1629" s="38" t="n">
        <f aca="false">Sens!$K$1625+Sens!$K$1626*Sens!$K$1628-Sens!$K$1627</f>
        <v>2.89041935101215</v>
      </c>
      <c r="L1629" s="38" t="n">
        <f aca="false">Sens!$L$1625+Sens!$L$1626*Sens!$L$1628-Sens!$L$1627</f>
        <v>2.81255119531771</v>
      </c>
      <c r="M1629" s="38" t="n">
        <f aca="false">Sens!$M$1625+Sens!$M$1626*Sens!$M$1628-Sens!$M$1627</f>
        <v>3.67063127282338</v>
      </c>
      <c r="N1629" s="38" t="n">
        <f aca="false">Q!$N$23</f>
        <v>2.511</v>
      </c>
      <c r="O1629" s="38" t="n">
        <f aca="false">Q!$O$23</f>
        <v>2.239</v>
      </c>
    </row>
    <row r="1630" customFormat="false" ht="17.15" hidden="false" customHeight="false" outlineLevel="0" collapsed="false">
      <c r="A1630" s="0" t="s">
        <v>725</v>
      </c>
      <c r="B1630" s="0" t="s">
        <v>86</v>
      </c>
      <c r="C1630" s="38" t="n">
        <f aca="false">Sens!$C$1570</f>
        <v>1.64417882953695</v>
      </c>
      <c r="D1630" s="38" t="n">
        <f aca="false">Sens!$D$1570</f>
        <v>3.8781008067718</v>
      </c>
      <c r="E1630" s="38" t="n">
        <f aca="false">Sens!$E$1570</f>
        <v>1.41270258088753</v>
      </c>
      <c r="F1630" s="38" t="n">
        <f aca="false">Sens!$F$1570</f>
        <v>7.4797622806661</v>
      </c>
      <c r="G1630" s="38" t="n">
        <f aca="false">Sens!$G$1570</f>
        <v>8.89246486155363</v>
      </c>
      <c r="H1630" s="38" t="n">
        <f aca="false">Sens!$H$1570</f>
        <v>24.5749929284358</v>
      </c>
      <c r="I1630" s="38" t="n">
        <f aca="false">Sens!$I$1570</f>
        <v>38.1478622522126</v>
      </c>
      <c r="J1630" s="38" t="n">
        <f aca="false">Sens!$J$1570</f>
        <v>50.9189028469417</v>
      </c>
      <c r="K1630" s="38" t="n">
        <f aca="false">Sens!$K$1570</f>
        <v>57.0138030376593</v>
      </c>
      <c r="L1630" s="38" t="n">
        <f aca="false">Sens!$L$1570</f>
        <v>60.9830969649527</v>
      </c>
      <c r="M1630" s="38" t="n">
        <f aca="false">Sens!$M$1570</f>
        <v>60.6020227301024</v>
      </c>
      <c r="N1630" s="38" t="n">
        <f aca="false">Sens!$N$1570</f>
        <v>0.92264103489199</v>
      </c>
      <c r="O1630" s="38" t="n">
        <f aca="false">Sens!$O$1570</f>
        <v>2.95545977187981</v>
      </c>
    </row>
    <row r="1631" customFormat="false" ht="17.15" hidden="false" customHeight="false" outlineLevel="0" collapsed="false">
      <c r="A1631" s="0" t="s">
        <v>643</v>
      </c>
      <c r="B1631" s="0" t="s">
        <v>86</v>
      </c>
      <c r="C1631" s="38" t="n">
        <f aca="false">Sens!$C$1575</f>
        <v>38.1898211704631</v>
      </c>
      <c r="D1631" s="38" t="n">
        <f aca="false">Sens!$D$1575</f>
        <v>41.7278991932282</v>
      </c>
      <c r="E1631" s="38" t="n">
        <f aca="false">Sens!$E$1575</f>
        <v>29.3692974191125</v>
      </c>
      <c r="F1631" s="38" t="n">
        <f aca="false">Sens!$F$1575</f>
        <v>26.8997276714137</v>
      </c>
      <c r="G1631" s="38" t="n">
        <f aca="false">Sens!$G$1575</f>
        <v>56.2690250905262</v>
      </c>
      <c r="H1631" s="38" t="n">
        <f aca="false">Sens!$H$1575</f>
        <v>60.3505333937343</v>
      </c>
      <c r="I1631" s="38" t="n">
        <f aca="false">Sens!$I$1575</f>
        <v>67.0043857303571</v>
      </c>
      <c r="J1631" s="38" t="n">
        <f aca="false">Sens!$J$1575</f>
        <v>73.3782922956925</v>
      </c>
      <c r="K1631" s="38" t="n">
        <f aca="false">Sens!$K$1575</f>
        <v>79.2485556793479</v>
      </c>
      <c r="L1631" s="38" t="n">
        <f aca="false">Sens!$L$1575</f>
        <v>85.5884401336958</v>
      </c>
      <c r="M1631" s="38" t="n">
        <f aca="false">Sens!$M$1575</f>
        <v>92.4355153443914</v>
      </c>
      <c r="N1631" s="38" t="n">
        <f aca="false">Sens!$N$1575</f>
        <v>20.784358965108</v>
      </c>
      <c r="O1631" s="38" t="n">
        <f aca="false">Sens!$O$1575</f>
        <v>20.9435402281202</v>
      </c>
    </row>
    <row r="1632" customFormat="false" ht="17.15" hidden="false" customHeight="false" outlineLevel="0" collapsed="false">
      <c r="A1632" s="1" t="s">
        <v>726</v>
      </c>
      <c r="B1632" s="8" t="s">
        <v>86</v>
      </c>
      <c r="C1632" s="38" t="n">
        <f aca="false">Q!$D$24</f>
        <v>39.834</v>
      </c>
      <c r="D1632" s="38" t="n">
        <f aca="false">Q!$E$24</f>
        <v>45.606</v>
      </c>
      <c r="E1632" s="38" t="n">
        <f aca="false">Q!$P$24</f>
        <v>30.782</v>
      </c>
      <c r="F1632" s="38" t="n">
        <f aca="false">Sens!$F$1630+Sens!$F$1631</f>
        <v>34.3794899520798</v>
      </c>
      <c r="G1632" s="38" t="n">
        <f aca="false">Sens!$G$1630+Sens!$G$1631</f>
        <v>65.1614899520798</v>
      </c>
      <c r="H1632" s="38" t="n">
        <f aca="false">Sens!$H$1630+Sens!$H$1631</f>
        <v>84.9255263221701</v>
      </c>
      <c r="I1632" s="38" t="n">
        <f aca="false">Sens!$I$1630+Sens!$I$1631</f>
        <v>105.15224798257</v>
      </c>
      <c r="J1632" s="38" t="n">
        <f aca="false">Sens!$J$1630+Sens!$J$1631</f>
        <v>124.297195142634</v>
      </c>
      <c r="K1632" s="38" t="n">
        <f aca="false">Sens!$K$1630+Sens!$K$1631</f>
        <v>136.262358717007</v>
      </c>
      <c r="L1632" s="38" t="n">
        <f aca="false">Sens!$L$1630+Sens!$L$1631</f>
        <v>146.571537098649</v>
      </c>
      <c r="M1632" s="38" t="n">
        <f aca="false">Sens!$M$1630+Sens!$M$1631</f>
        <v>153.037538074494</v>
      </c>
      <c r="N1632" s="38" t="n">
        <f aca="false">Q!$N$24</f>
        <v>21.707</v>
      </c>
      <c r="O1632" s="38" t="n">
        <f aca="false">Q!$O$24</f>
        <v>23.899</v>
      </c>
    </row>
    <row r="1633" customFormat="false" ht="17.15" hidden="false" customHeight="false" outlineLevel="0" collapsed="false">
      <c r="A1633" s="5" t="s">
        <v>727</v>
      </c>
      <c r="B1633" s="0" t="s">
        <v>86</v>
      </c>
      <c r="C1633" s="38" t="n">
        <f aca="false">Q!$D$26</f>
        <v>0</v>
      </c>
      <c r="D1633" s="38" t="n">
        <f aca="false">Q!$E$26</f>
        <v>0</v>
      </c>
      <c r="E1633" s="38" t="n">
        <f aca="false">Q!$P$26</f>
        <v>0</v>
      </c>
      <c r="F1633" s="39" t="n">
        <v>0</v>
      </c>
      <c r="G1633" s="38" t="n">
        <f aca="false">Sens!$E$1633+Sens!$F$1633</f>
        <v>0</v>
      </c>
      <c r="H1633" s="39" t="n">
        <v>0</v>
      </c>
      <c r="I1633" s="39" t="n">
        <v>0</v>
      </c>
      <c r="J1633" s="39" t="n">
        <v>0</v>
      </c>
      <c r="K1633" s="39" t="n">
        <v>0</v>
      </c>
      <c r="L1633" s="39" t="n">
        <v>0</v>
      </c>
      <c r="M1633" s="39" t="n">
        <v>0</v>
      </c>
      <c r="N1633" s="38" t="n">
        <f aca="false">Q!$N$26</f>
        <v>0</v>
      </c>
      <c r="O1633" s="38" t="n">
        <f aca="false">Q!$O$26</f>
        <v>0</v>
      </c>
    </row>
    <row r="1634" customFormat="false" ht="15" hidden="false" customHeight="false" outlineLevel="0" collapsed="false">
      <c r="A1634" s="3" t="s">
        <v>531</v>
      </c>
      <c r="B1634" s="8" t="s">
        <v>86</v>
      </c>
      <c r="C1634" s="38" t="n">
        <f aca="false">Q!$D$25</f>
        <v>68.593</v>
      </c>
      <c r="D1634" s="38" t="n">
        <f aca="false">Q!$E$25</f>
        <v>79.975</v>
      </c>
      <c r="E1634" s="38" t="n">
        <f aca="false">Q!$P$25</f>
        <v>51.313</v>
      </c>
      <c r="F1634" s="38" t="n">
        <f aca="false">Sens!$F$1624+Sens!$F$1629+Sens!$F$1632+Sens!$F$1633</f>
        <v>57.1100597325558</v>
      </c>
      <c r="G1634" s="38" t="n">
        <f aca="false">Sens!$G$1624+Sens!$G$1629+Sens!$G$1632+Sens!$G$1633</f>
        <v>108.423059732556</v>
      </c>
      <c r="H1634" s="38" t="n">
        <f aca="false">Sens!$H$1624+Sens!$H$1629+Sens!$H$1632+Sens!$H$1633</f>
        <v>130.942052164891</v>
      </c>
      <c r="I1634" s="38" t="n">
        <f aca="false">Sens!$I$1624+Sens!$I$1629+Sens!$I$1632+Sens!$I$1633</f>
        <v>152.043691120378</v>
      </c>
      <c r="J1634" s="38" t="n">
        <f aca="false">Sens!$J$1624+Sens!$J$1629+Sens!$J$1632+Sens!$J$1633</f>
        <v>171.404649950642</v>
      </c>
      <c r="K1634" s="38" t="n">
        <f aca="false">Sens!$K$1624+Sens!$K$1629+Sens!$K$1632+Sens!$K$1633</f>
        <v>182.764296488017</v>
      </c>
      <c r="L1634" s="38" t="n">
        <f aca="false">Sens!$L$1624+Sens!$L$1629+Sens!$L$1632+Sens!$L$1633</f>
        <v>194.896081139952</v>
      </c>
      <c r="M1634" s="38" t="n">
        <f aca="false">Sens!$M$1624+Sens!$M$1629+Sens!$M$1632+Sens!$M$1633</f>
        <v>206.691506997697</v>
      </c>
      <c r="N1634" s="38" t="n">
        <f aca="false">Q!$N$25</f>
        <v>37.576</v>
      </c>
      <c r="O1634" s="38" t="n">
        <f aca="false">Q!$O$25</f>
        <v>42.399</v>
      </c>
    </row>
    <row r="1635" customFormat="false" ht="17.15" hidden="false" customHeight="false" outlineLevel="0" collapsed="false">
      <c r="A1635" s="24" t="s">
        <v>758</v>
      </c>
      <c r="B1635" s="25" t="s">
        <v>86</v>
      </c>
      <c r="C1635" s="41" t="n">
        <f aca="false">Sens!$C$1624+Sens!$C$1629+Sens!$C$1632+Sens!$C$1633-Sens!$C$1634</f>
        <v>0</v>
      </c>
      <c r="D1635" s="41" t="n">
        <f aca="false">Sens!$D$1624+Sens!$D$1629+Sens!$D$1632+Sens!$D$1633-Sens!$D$1634</f>
        <v>0</v>
      </c>
      <c r="E1635" s="41" t="n">
        <f aca="false">Sens!$E$1624+Sens!$E$1629+Sens!$E$1632+Sens!$E$1633-Sens!$E$1634</f>
        <v>0</v>
      </c>
      <c r="F1635" s="41" t="n">
        <f aca="false">Sens!$F$1624+Sens!$F$1629+Sens!$F$1632+Sens!$F$1633-Sens!$F$1634</f>
        <v>0</v>
      </c>
      <c r="G1635" s="41" t="n">
        <f aca="false">Sens!$G$1624+Sens!$G$1629+Sens!$G$1632+Sens!$G$1633-Sens!$G$1634</f>
        <v>0</v>
      </c>
      <c r="H1635" s="41" t="n">
        <f aca="false">Sens!$H$1624+Sens!$H$1629+Sens!$H$1632+Sens!$H$1633-Sens!$H$1634</f>
        <v>0</v>
      </c>
      <c r="I1635" s="41" t="n">
        <f aca="false">Sens!$I$1624+Sens!$I$1629+Sens!$I$1632+Sens!$I$1633-Sens!$I$1634</f>
        <v>0</v>
      </c>
      <c r="J1635" s="41" t="n">
        <f aca="false">Sens!$J$1624+Sens!$J$1629+Sens!$J$1632+Sens!$J$1633-Sens!$J$1634</f>
        <v>0</v>
      </c>
      <c r="K1635" s="41" t="n">
        <f aca="false">Sens!$K$1624+Sens!$K$1629+Sens!$K$1632+Sens!$K$1633-Sens!$K$1634</f>
        <v>0</v>
      </c>
      <c r="L1635" s="41" t="n">
        <f aca="false">Sens!$L$1624+Sens!$L$1629+Sens!$L$1632+Sens!$L$1633-Sens!$L$1634</f>
        <v>0</v>
      </c>
      <c r="M1635" s="41" t="n">
        <f aca="false">Sens!$M$1624+Sens!$M$1629+Sens!$M$1632+Sens!$M$1633-Sens!$M$1634</f>
        <v>0</v>
      </c>
      <c r="N1635" s="41" t="n">
        <f aca="false">Sens!$N$1624+Sens!$N$1629+Sens!$N$1632+Sens!$N$1633-Sens!$N$1634</f>
        <v>0</v>
      </c>
      <c r="O1635" s="41" t="n">
        <f aca="false">Sens!$O$1624+Sens!$O$1629+Sens!$O$1632+Sens!$O$1633-Sens!$O$1634</f>
        <v>0</v>
      </c>
    </row>
    <row r="1636" customFormat="false" ht="17.15" hidden="false" customHeight="false" outlineLevel="0" collapsed="false">
      <c r="A1636" s="5" t="s">
        <v>729</v>
      </c>
      <c r="B1636" s="0" t="s">
        <v>86</v>
      </c>
      <c r="C1636" s="38" t="n">
        <f aca="false">Sens!$C$1572</f>
        <v>0</v>
      </c>
      <c r="D1636" s="38" t="n">
        <f aca="false">Sens!$D$1572</f>
        <v>0</v>
      </c>
      <c r="E1636" s="38" t="n">
        <f aca="false">Sens!$E$1572</f>
        <v>0</v>
      </c>
      <c r="F1636" s="38" t="n">
        <f aca="false">Sens!$F$1572</f>
        <v>4.08031800914075</v>
      </c>
      <c r="G1636" s="38" t="n">
        <f aca="false">Sens!$G$1572</f>
        <v>4.08031800914075</v>
      </c>
      <c r="H1636" s="38" t="n">
        <f aca="false">Sens!$H$1572</f>
        <v>17.6870277651227</v>
      </c>
      <c r="I1636" s="38" t="n">
        <f aca="false">Sens!$I$1572</f>
        <v>30.7099402663721</v>
      </c>
      <c r="J1636" s="38" t="n">
        <f aca="false">Sens!$J$1572</f>
        <v>43.7907878362763</v>
      </c>
      <c r="K1636" s="38" t="n">
        <f aca="false">Sens!$K$1572</f>
        <v>54.9426328870174</v>
      </c>
      <c r="L1636" s="38" t="n">
        <f aca="false">Sens!$L$1572</f>
        <v>62.2540622931248</v>
      </c>
      <c r="M1636" s="38" t="n">
        <f aca="false">Sens!$M$1572</f>
        <v>65.7156229498017</v>
      </c>
      <c r="N1636" s="38" t="n">
        <f aca="false">Sens!$N$1572</f>
        <v>0</v>
      </c>
      <c r="O1636" s="38" t="n">
        <f aca="false">Sens!$O$1572</f>
        <v>0</v>
      </c>
      <c r="P1636" s="5" t="s">
        <v>730</v>
      </c>
    </row>
    <row r="1637" customFormat="false" ht="17.15" hidden="false" customHeight="false" outlineLevel="0" collapsed="false">
      <c r="A1637" s="5" t="s">
        <v>731</v>
      </c>
      <c r="B1637" s="0" t="s">
        <v>86</v>
      </c>
      <c r="C1637" s="38" t="n">
        <f aca="false">Sens!$C$1634+Sens!$C$1636</f>
        <v>68.593</v>
      </c>
      <c r="D1637" s="38" t="n">
        <f aca="false">Sens!$D$1634+Sens!$D$1636</f>
        <v>79.975</v>
      </c>
      <c r="E1637" s="38" t="n">
        <f aca="false">Sens!$E$1634+Sens!$E$1636</f>
        <v>51.313</v>
      </c>
      <c r="F1637" s="38" t="n">
        <f aca="false">Sens!$F$1634+Sens!$F$1636</f>
        <v>61.1903777416965</v>
      </c>
      <c r="G1637" s="38" t="n">
        <f aca="false">Sens!$G$1634+Sens!$G$1636</f>
        <v>112.503377741697</v>
      </c>
      <c r="H1637" s="38" t="n">
        <f aca="false">Sens!$H$1634+Sens!$H$1636</f>
        <v>148.629079930013</v>
      </c>
      <c r="I1637" s="38" t="n">
        <f aca="false">Sens!$I$1634+Sens!$I$1636</f>
        <v>182.75363138675</v>
      </c>
      <c r="J1637" s="38" t="n">
        <f aca="false">Sens!$J$1634+Sens!$J$1636</f>
        <v>215.195437786918</v>
      </c>
      <c r="K1637" s="38" t="n">
        <f aca="false">Sens!$K$1634+Sens!$K$1636</f>
        <v>237.706929375035</v>
      </c>
      <c r="L1637" s="38" t="n">
        <f aca="false">Sens!$L$1634+Sens!$L$1636</f>
        <v>257.150143433077</v>
      </c>
      <c r="M1637" s="38" t="n">
        <f aca="false">Sens!$M$1634+Sens!$M$1636</f>
        <v>272.407129947498</v>
      </c>
      <c r="N1637" s="38" t="n">
        <f aca="false">Sens!$N$1634+Sens!$N$1636</f>
        <v>37.576</v>
      </c>
      <c r="O1637" s="38" t="n">
        <f aca="false">Sens!$O$1634+Sens!$O$1636</f>
        <v>42.399</v>
      </c>
    </row>
    <row r="1638" customFormat="false" ht="17.15" hidden="false" customHeight="false" outlineLevel="0" collapsed="false">
      <c r="A1638" s="0" t="s">
        <v>732</v>
      </c>
      <c r="B1638" s="0" t="s">
        <v>52</v>
      </c>
      <c r="C1638" s="13" t="n">
        <f aca="false">Sens!$C$1624/Sens!$C$1609</f>
        <v>0.0644314665661928</v>
      </c>
      <c r="D1638" s="13" t="n">
        <f aca="false">Sens!$D$1624/Sens!$D$1609</f>
        <v>0.0694784250712518</v>
      </c>
      <c r="E1638" s="13" t="n">
        <f aca="false">Sens!$E$1624/Sens!$E$1609</f>
        <v>0.0789306463326071</v>
      </c>
      <c r="F1638" s="13" t="n">
        <f aca="false">Sens!$F$1624/Sens!$F$1609</f>
        <v>0.0800232303499118</v>
      </c>
      <c r="G1638" s="13" t="n">
        <f aca="false">Sens!$G$1624/Sens!$G$1609</f>
        <v>0.0795111503511074</v>
      </c>
      <c r="H1638" s="13" t="n">
        <f aca="false">Sens!$H$1624/Sens!$H$1609</f>
        <v>0.0774584140446392</v>
      </c>
      <c r="I1638" s="13" t="n">
        <f aca="false">Sens!$I$1624/Sens!$I$1609</f>
        <v>0.0736643814472742</v>
      </c>
      <c r="J1638" s="13" t="n">
        <f aca="false">Sens!$J$1624/Sens!$J$1609</f>
        <v>0.07011727248266</v>
      </c>
      <c r="K1638" s="13" t="n">
        <f aca="false">Sens!$K$1624/Sens!$K$1609</f>
        <v>0.0666861700400781</v>
      </c>
      <c r="L1638" s="13" t="n">
        <f aca="false">Sens!$L$1624/Sens!$L$1609</f>
        <v>0.0653437626092329</v>
      </c>
      <c r="M1638" s="13" t="n">
        <f aca="false">Sens!$M$1624/Sens!$M$1609</f>
        <v>0.0673623635345676</v>
      </c>
      <c r="N1638" s="13" t="n">
        <f aca="false">Sens!$N$1624/Sens!$N$1609</f>
        <v>0.069228576611127</v>
      </c>
      <c r="O1638" s="13" t="n">
        <f aca="false">Sens!$O$1624/Sens!$O$1609</f>
        <v>0.069685022498393</v>
      </c>
    </row>
    <row r="1639" customFormat="false" ht="17.15" hidden="false" customHeight="false" outlineLevel="0" collapsed="false">
      <c r="A1639" s="0" t="s">
        <v>733</v>
      </c>
      <c r="B1639" s="0" t="s">
        <v>52</v>
      </c>
      <c r="C1639" s="13" t="n">
        <f aca="false">Sens!$C$1629/Sens!$C$1610</f>
        <v>0.026534925055631</v>
      </c>
      <c r="D1639" s="13" t="n">
        <f aca="false">Sens!$D$1629/Sens!$D$1610</f>
        <v>0.0293401855535103</v>
      </c>
      <c r="E1639" s="13" t="n">
        <f aca="false">Sens!$E$1629/Sens!$E$1610</f>
        <v>0.03831141902276</v>
      </c>
      <c r="F1639" s="13" t="n">
        <f aca="false">Sens!$F$1629/Sens!$F$1610</f>
        <v>0.027982495358546</v>
      </c>
      <c r="G1639" s="13" t="n">
        <f aca="false">Sens!$G$1629/Sens!$G$1610</f>
        <v>0.0326858181889891</v>
      </c>
      <c r="H1639" s="13" t="n">
        <f aca="false">Sens!$H$1629/Sens!$H$1610</f>
        <v>0.0286276829948207</v>
      </c>
      <c r="I1639" s="13" t="n">
        <f aca="false">Sens!$I$1629/Sens!$I$1610</f>
        <v>0.0228050885530894</v>
      </c>
      <c r="J1639" s="13" t="n">
        <f aca="false">Sens!$J$1629/Sens!$J$1610</f>
        <v>0.0171664586238762</v>
      </c>
      <c r="K1639" s="13" t="n">
        <f aca="false">Sens!$K$1629/Sens!$K$1610</f>
        <v>0.0115392185808481</v>
      </c>
      <c r="L1639" s="13" t="n">
        <f aca="false">Sens!$L$1629/Sens!$L$1610</f>
        <v>0.0105428905607375</v>
      </c>
      <c r="M1639" s="13" t="n">
        <f aca="false">Sens!$M$1629/Sens!$M$1610</f>
        <v>0.0129155766285677</v>
      </c>
      <c r="N1639" s="13" t="n">
        <f aca="false">Sens!$N$1629/Sens!$N$1610</f>
        <v>0.0357315650169337</v>
      </c>
      <c r="O1639" s="13" t="n">
        <f aca="false">Sens!$O$1629/Sens!$O$1610</f>
        <v>0.0244378956559703</v>
      </c>
    </row>
    <row r="1640" customFormat="false" ht="17.15" hidden="false" customHeight="false" outlineLevel="0" collapsed="false">
      <c r="A1640" s="14" t="s">
        <v>734</v>
      </c>
      <c r="B1640" s="14" t="s">
        <v>52</v>
      </c>
      <c r="C1640" s="17" t="n">
        <f aca="false">Sens!$C$1632/Sens!$C$1611</f>
        <v>0.370355907620217</v>
      </c>
      <c r="D1640" s="17" t="n">
        <f aca="false">Sens!$D$1632/Sens!$D$1611</f>
        <v>0.35429015342785</v>
      </c>
      <c r="E1640" s="17" t="n">
        <f aca="false">Sens!$E$1632/Sens!$E$1611</f>
        <v>0.385647527531039</v>
      </c>
      <c r="F1640" s="17" t="n">
        <f aca="false">Sens!$F$1632/Sens!$F$1611</f>
        <v>0.390857373874439</v>
      </c>
      <c r="G1640" s="17" t="n">
        <f aca="false">Sens!$G$1632/Sens!$G$1611</f>
        <v>0.388378834939247</v>
      </c>
      <c r="H1640" s="17" t="n">
        <f aca="false">Sens!$H$1632/Sens!$H$1611</f>
        <v>0.367331938614455</v>
      </c>
      <c r="I1640" s="17" t="n">
        <f aca="false">Sens!$I$1632/Sens!$I$1611</f>
        <v>0.349783978521844</v>
      </c>
      <c r="J1640" s="17" t="n">
        <f aca="false">Sens!$J$1632/Sens!$J$1611</f>
        <v>0.33636704955951</v>
      </c>
      <c r="K1640" s="17" t="n">
        <f aca="false">Sens!$K$1632/Sens!$K$1611</f>
        <v>0.317303367220974</v>
      </c>
      <c r="L1640" s="17" t="n">
        <f aca="false">Sens!$L$1632/Sens!$L$1611</f>
        <v>0.308335369197441</v>
      </c>
      <c r="M1640" s="17" t="n">
        <f aca="false">Sens!$M$1632/Sens!$M$1611</f>
        <v>0.301630857804353</v>
      </c>
      <c r="N1640" s="17" t="n">
        <f aca="false">Sens!$N$1632/Sens!$N$1611</f>
        <v>0.360941137346192</v>
      </c>
      <c r="O1640" s="17" t="n">
        <f aca="false">Sens!$O$1632/Sens!$O$1611</f>
        <v>0.348458117664212</v>
      </c>
    </row>
    <row r="1641" customFormat="false" ht="17.15" hidden="false" customHeight="false" outlineLevel="0" collapsed="false">
      <c r="A1641" s="0" t="s">
        <v>735</v>
      </c>
      <c r="B1641" s="0" t="s">
        <v>52</v>
      </c>
      <c r="C1641" s="13" t="n">
        <f aca="false">Sens!$C$1630/Sens!$C$1612</f>
        <v>0.708390794789371</v>
      </c>
      <c r="D1641" s="13" t="n">
        <f aca="false">Sens!$D$1630/Sens!$D$1612</f>
        <v>0.445565630441968</v>
      </c>
      <c r="E1641" s="13" t="n">
        <f aca="false">Sens!$E$1630/Sens!$E$1612</f>
        <v>0.165998118402711</v>
      </c>
      <c r="F1641" s="13" t="n">
        <f aca="false">Sens!$F$1630/Sens!$F$1612</f>
        <v>0.462002627075229</v>
      </c>
      <c r="G1641" s="13" t="n">
        <f aca="false">Sens!$G$1630/Sens!$G$1612</f>
        <v>0.360015576355354</v>
      </c>
      <c r="H1641" s="13" t="n">
        <f aca="false">Sens!$H$1630/Sens!$H$1612</f>
        <v>0.350178280401407</v>
      </c>
      <c r="I1641" s="13" t="n">
        <f aca="false">Sens!$I$1630/Sens!$I$1612</f>
        <v>0.313070319052611</v>
      </c>
      <c r="J1641" s="13" t="n">
        <f aca="false">Sens!$J$1630/Sens!$J$1612</f>
        <v>0.293053518787249</v>
      </c>
      <c r="K1641" s="13" t="n">
        <f aca="false">Sens!$K$1630/Sens!$K$1612</f>
        <v>0.261529814385422</v>
      </c>
      <c r="L1641" s="13" t="n">
        <f aca="false">Sens!$L$1630/Sens!$L$1612</f>
        <v>0.246883713754173</v>
      </c>
      <c r="M1641" s="13" t="n">
        <f aca="false">Sens!$M$1630/Sens!$M$1612</f>
        <v>0.232417675114472</v>
      </c>
      <c r="N1641" s="13" t="n">
        <f aca="false">Sens!$N$1630/Sens!$N$1612</f>
        <v>0.302870734830849</v>
      </c>
      <c r="O1641" s="13" t="n">
        <f aca="false">Sens!$O$1630/Sens!$O$1612</f>
        <v>0.52240134346334</v>
      </c>
    </row>
    <row r="1642" customFormat="false" ht="15" hidden="false" customHeight="false" outlineLevel="0" collapsed="false">
      <c r="A1642" s="5" t="s">
        <v>736</v>
      </c>
      <c r="B1642" s="0" t="s">
        <v>52</v>
      </c>
      <c r="C1642" s="13" t="n">
        <f aca="false">Sens!$C$1634/Sens!$C$1614</f>
        <v>0.107519448742004</v>
      </c>
      <c r="D1642" s="13" t="n">
        <f aca="false">Sens!$D$1634/Sens!$D$1614</f>
        <v>0.111552967957552</v>
      </c>
      <c r="E1642" s="13" t="n">
        <f aca="false">Sens!$E$1634/Sens!$E$1614</f>
        <v>0.13428328426562</v>
      </c>
      <c r="F1642" s="13" t="n">
        <f aca="false">Sens!$F$1634/Sens!$F$1614</f>
        <v>0.131052209705762</v>
      </c>
      <c r="G1642" s="13" t="n">
        <f aca="false">Sens!$G$1634/Sens!$G$1614</f>
        <v>0.132561765087183</v>
      </c>
      <c r="H1642" s="13" t="n">
        <f aca="false">Sens!$H$1634/Sens!$H$1614</f>
        <v>0.137698340065215</v>
      </c>
      <c r="I1642" s="13" t="n">
        <f aca="false">Sens!$I$1634/Sens!$I$1614</f>
        <v>0.139789208629965</v>
      </c>
      <c r="J1642" s="13" t="n">
        <f aca="false">Sens!$J$1634/Sens!$J$1614</f>
        <v>0.140607114465949</v>
      </c>
      <c r="K1642" s="13" t="n">
        <f aca="false">Sens!$K$1634/Sens!$K$1614</f>
        <v>0.137014295485302</v>
      </c>
      <c r="L1642" s="13" t="n">
        <f aca="false">Sens!$L$1634/Sens!$L$1614</f>
        <v>0.135472704694995</v>
      </c>
      <c r="M1642" s="13" t="n">
        <f aca="false">Sens!$M$1634/Sens!$M$1614</f>
        <v>0.134777500196814</v>
      </c>
      <c r="N1642" s="13" t="n">
        <f aca="false">Sens!$N$1634/Sens!$N$1614</f>
        <v>0.116201614873411</v>
      </c>
      <c r="O1642" s="13" t="n">
        <f aca="false">Sens!$O$1634/Sens!$O$1614</f>
        <v>0.107733353660861</v>
      </c>
    </row>
    <row r="1643" customFormat="false" ht="17.15" hidden="false" customHeight="false" outlineLevel="0" collapsed="false">
      <c r="A1643" s="1" t="s">
        <v>737</v>
      </c>
    </row>
    <row r="1644" customFormat="false" ht="17.15" hidden="false" customHeight="false" outlineLevel="0" collapsed="false">
      <c r="A1644" s="5" t="s">
        <v>738</v>
      </c>
      <c r="B1644" s="0" t="s">
        <v>52</v>
      </c>
      <c r="D1644" s="28" t="n">
        <f aca="false">(Q!$E$29+Q!$E$30-(1-ext_sh)*Sens!$D$1566)/Sens!$D$1522</f>
        <v>0.0334674312393194</v>
      </c>
    </row>
    <row r="1645" customFormat="false" ht="17.15" hidden="false" customHeight="false" outlineLevel="0" collapsed="false">
      <c r="A1645" s="0" t="s">
        <v>535</v>
      </c>
      <c r="B1645" s="0" t="s">
        <v>86</v>
      </c>
      <c r="C1645" s="38" t="n">
        <f aca="false">Q!$D$29</f>
        <v>14.285</v>
      </c>
      <c r="D1645" s="38" t="n">
        <f aca="false">Q!$E$29</f>
        <v>15.503</v>
      </c>
      <c r="E1645" s="38" t="n">
        <f aca="false">Q!$P$29</f>
        <v>8.78</v>
      </c>
      <c r="F1645" s="38" t="n">
        <f aca="false">(Sens!$D$1644*Sens!$F$1522+(1-ext_sh)*Sens!$F$1566)*Sens!$F$1523</f>
        <v>9.2945763971005</v>
      </c>
      <c r="G1645" s="38" t="n">
        <f aca="false">Sens!$E$1645+Sens!$F$1645</f>
        <v>18.0745763971005</v>
      </c>
      <c r="H1645" s="38" t="n">
        <f aca="false">(Sens!$D$1644*Sens!$H$1522+(1-ext_sh)*Sens!$H$1566)*Sens!$H$1523</f>
        <v>23.0036102621958</v>
      </c>
      <c r="I1645" s="38" t="n">
        <f aca="false">(Sens!$D$1644*Sens!$I$1522+(1-ext_sh)*Sens!$I$1566)*Sens!$I$1523</f>
        <v>29.6436580652885</v>
      </c>
      <c r="J1645" s="38" t="n">
        <f aca="false">(Sens!$D$1644*Sens!$J$1522+(1-ext_sh)*Sens!$J$1566)*Sens!$J$1523</f>
        <v>36.3495063006714</v>
      </c>
      <c r="K1645" s="38" t="n">
        <f aca="false">(Sens!$D$1644*Sens!$K$1522+(1-ext_sh)*Sens!$K$1566)*Sens!$K$1523</f>
        <v>42.9736642866818</v>
      </c>
      <c r="L1645" s="38" t="n">
        <f aca="false">(Sens!$D$1644*Sens!$L$1522+(1-ext_sh)*Sens!$L$1566)*Sens!$L$1523</f>
        <v>47.8724028074064</v>
      </c>
      <c r="M1645" s="38" t="n">
        <f aca="false">(Sens!$D$1644*Sens!$M$1522+(1-ext_sh)*Sens!$M$1566)*Sens!$M$1523</f>
        <v>51.4486581630368</v>
      </c>
      <c r="N1645" s="38" t="n">
        <f aca="false">Q!$N$29</f>
        <v>7.272</v>
      </c>
      <c r="O1645" s="38" t="n">
        <f aca="false">Q!$O$29</f>
        <v>8.231</v>
      </c>
    </row>
    <row r="1646" customFormat="false" ht="17.15" hidden="false" customHeight="false" outlineLevel="0" collapsed="false">
      <c r="A1646" s="0" t="s">
        <v>537</v>
      </c>
      <c r="B1646" s="0" t="s">
        <v>86</v>
      </c>
      <c r="C1646" s="38" t="n">
        <f aca="false">Q!$D$30</f>
        <v>4.462</v>
      </c>
      <c r="D1646" s="38" t="n">
        <f aca="false">Q!$E$30</f>
        <v>4.907</v>
      </c>
      <c r="E1646" s="38" t="n">
        <f aca="false">Q!$P$30</f>
        <v>2.57</v>
      </c>
      <c r="F1646" s="38" t="n">
        <f aca="false">(Sens!$D$1644*Sens!$F$1522+(1-ext_sh)*Sens!$F$1566)*(1-Sens!$F$1523)</f>
        <v>3.64932114635675</v>
      </c>
      <c r="G1646" s="38" t="n">
        <f aca="false">Sens!$E$1646+Sens!$F$1646</f>
        <v>6.21932114635675</v>
      </c>
      <c r="H1646" s="38" t="n">
        <f aca="false">(Sens!$D$1644*Sens!$H$1522+(1-ext_sh)*Sens!$H$1566)*(1-Sens!$H$1523)</f>
        <v>8.81079354189131</v>
      </c>
      <c r="I1646" s="38" t="n">
        <f aca="false">(Sens!$D$1644*Sens!$I$1522+(1-ext_sh)*Sens!$I$1566)*(1-Sens!$I$1523)</f>
        <v>11.3540504322014</v>
      </c>
      <c r="J1646" s="38" t="n">
        <f aca="false">(Sens!$D$1644*Sens!$J$1522+(1-ext_sh)*Sens!$J$1566)*(1-Sens!$J$1523)</f>
        <v>13.92251006318</v>
      </c>
      <c r="K1646" s="38" t="n">
        <f aca="false">(Sens!$D$1644*Sens!$K$1522+(1-ext_sh)*Sens!$K$1566)*(1-Sens!$K$1523)</f>
        <v>16.4596808697783</v>
      </c>
      <c r="L1646" s="38" t="n">
        <f aca="false">(Sens!$D$1644*Sens!$L$1522+(1-ext_sh)*Sens!$L$1566)*(1-Sens!$L$1523)</f>
        <v>18.3359852076564</v>
      </c>
      <c r="M1646" s="38" t="n">
        <f aca="false">(Sens!$D$1644*Sens!$M$1522+(1-ext_sh)*Sens!$M$1566)*(1-Sens!$M$1523)</f>
        <v>19.7057548756517</v>
      </c>
      <c r="N1646" s="38" t="n">
        <f aca="false">Q!$N$30</f>
        <v>2.316</v>
      </c>
      <c r="O1646" s="38" t="n">
        <f aca="false">Q!$O$30</f>
        <v>2.591</v>
      </c>
    </row>
    <row r="1647" customFormat="false" ht="17.15" hidden="false" customHeight="false" outlineLevel="0" collapsed="false">
      <c r="A1647" s="0" t="s">
        <v>538</v>
      </c>
      <c r="B1647" s="0" t="s">
        <v>86</v>
      </c>
      <c r="C1647" s="38" t="n">
        <f aca="false">Sens!$C$1578</f>
        <v>13.32</v>
      </c>
      <c r="D1647" s="38" t="n">
        <f aca="false">Sens!$D$1578</f>
        <v>21.45</v>
      </c>
      <c r="E1647" s="38" t="n">
        <f aca="false">Sens!$E$1578</f>
        <v>15.353</v>
      </c>
      <c r="F1647" s="38" t="n">
        <f aca="false">Sens!$F$1578</f>
        <v>16.3063747611001</v>
      </c>
      <c r="G1647" s="38" t="n">
        <f aca="false">Sens!$G$1578</f>
        <v>31.6593747611001</v>
      </c>
      <c r="H1647" s="38" t="n">
        <f aca="false">Sens!$H$1578</f>
        <v>55.7953029800883</v>
      </c>
      <c r="I1647" s="38" t="n">
        <f aca="false">Sens!$I$1578</f>
        <v>86.2625142609413</v>
      </c>
      <c r="J1647" s="38" t="n">
        <f aca="false">Sens!$J$1578</f>
        <v>117.626791876843</v>
      </c>
      <c r="K1647" s="38" t="n">
        <f aca="false">Sens!$K$1578</f>
        <v>149.335029825644</v>
      </c>
      <c r="L1647" s="38" t="n">
        <f aca="false">Sens!$L$1578</f>
        <v>171.177564782212</v>
      </c>
      <c r="M1647" s="38" t="n">
        <f aca="false">Sens!$M$1578</f>
        <v>185.360275085375</v>
      </c>
      <c r="N1647" s="38" t="n">
        <f aca="false">Sens!$N$1578</f>
        <v>9.234</v>
      </c>
      <c r="O1647" s="38" t="n">
        <f aca="false">Sens!$O$1578</f>
        <v>12.216</v>
      </c>
    </row>
    <row r="1648" customFormat="false" ht="17.15" hidden="false" customHeight="false" outlineLevel="0" collapsed="false">
      <c r="A1648" s="5" t="s">
        <v>739</v>
      </c>
      <c r="B1648" s="0" t="s">
        <v>86</v>
      </c>
      <c r="C1648" s="38" t="n">
        <f aca="false">Sens!$C$1645+Sens!$C$1646+Sens!$C$1647</f>
        <v>32.067</v>
      </c>
      <c r="D1648" s="38" t="n">
        <f aca="false">Sens!$D$1645+Sens!$D$1646+Sens!$D$1647</f>
        <v>41.86</v>
      </c>
      <c r="E1648" s="38" t="n">
        <f aca="false">Sens!$E$1645+Sens!$E$1646+Sens!$E$1647</f>
        <v>26.703</v>
      </c>
      <c r="F1648" s="38" t="n">
        <f aca="false">Sens!$F$1645+Sens!$F$1646+Sens!$F$1647</f>
        <v>29.2502723045573</v>
      </c>
      <c r="G1648" s="38" t="n">
        <f aca="false">Sens!$G$1645+Sens!$G$1646+Sens!$G$1647</f>
        <v>55.9532723045573</v>
      </c>
      <c r="H1648" s="38" t="n">
        <f aca="false">Sens!$H$1645+Sens!$H$1646+Sens!$H$1647</f>
        <v>87.6097067841755</v>
      </c>
      <c r="I1648" s="38" t="n">
        <f aca="false">Sens!$I$1645+Sens!$I$1646+Sens!$I$1647</f>
        <v>127.260222758431</v>
      </c>
      <c r="J1648" s="38" t="n">
        <f aca="false">Sens!$J$1645+Sens!$J$1646+Sens!$J$1647</f>
        <v>167.898808240695</v>
      </c>
      <c r="K1648" s="38" t="n">
        <f aca="false">Sens!$K$1645+Sens!$K$1646+Sens!$K$1647</f>
        <v>208.768374982104</v>
      </c>
      <c r="L1648" s="38" t="n">
        <f aca="false">Sens!$L$1645+Sens!$L$1646+Sens!$L$1647</f>
        <v>237.385952797275</v>
      </c>
      <c r="M1648" s="38" t="n">
        <f aca="false">Sens!$M$1645+Sens!$M$1646+Sens!$M$1647</f>
        <v>256.514688124063</v>
      </c>
      <c r="N1648" s="38" t="n">
        <f aca="false">Sens!$N$1645+Sens!$N$1646+Sens!$N$1647</f>
        <v>18.822</v>
      </c>
      <c r="O1648" s="38" t="n">
        <f aca="false">Sens!$O$1645+Sens!$O$1646+Sens!$O$1647</f>
        <v>23.038</v>
      </c>
    </row>
    <row r="1649" customFormat="false" ht="17.15" hidden="false" customHeight="false" outlineLevel="0" collapsed="false">
      <c r="A1649" s="0" t="s">
        <v>740</v>
      </c>
      <c r="B1649" s="0" t="s">
        <v>86</v>
      </c>
      <c r="C1649" s="38" t="n">
        <f aca="false">Sens!$C$1620+Sens!$C$1625</f>
        <v>28.107</v>
      </c>
      <c r="D1649" s="38" t="n">
        <f aca="false">Sens!$D$1620+Sens!$D$1625</f>
        <v>34.3175</v>
      </c>
      <c r="E1649" s="38" t="n">
        <f aca="false">Sens!$E$1620+Sens!$E$1625</f>
        <v>18.526</v>
      </c>
      <c r="F1649" s="38" t="n">
        <f aca="false">Sens!$F$1620+Sens!$F$1625</f>
        <v>22.9975206646368</v>
      </c>
      <c r="G1649" s="38" t="n">
        <f aca="false">Sens!$G$1620+Sens!$G$1625</f>
        <v>41.5235206646368</v>
      </c>
      <c r="H1649" s="38" t="n">
        <f aca="false">Sens!$H$1620+Sens!$H$1625</f>
        <v>49.8511081065739</v>
      </c>
      <c r="I1649" s="38" t="n">
        <f aca="false">Sens!$I$1620+Sens!$I$1625</f>
        <v>58.1779411787604</v>
      </c>
      <c r="J1649" s="38" t="n">
        <f aca="false">Sens!$J$1620+Sens!$J$1625</f>
        <v>65.9456871487735</v>
      </c>
      <c r="K1649" s="38" t="n">
        <f aca="false">Sens!$K$1620+Sens!$K$1625</f>
        <v>72.5402558636509</v>
      </c>
      <c r="L1649" s="38" t="n">
        <f aca="false">Sens!$L$1620+Sens!$L$1625</f>
        <v>79.794281450016</v>
      </c>
      <c r="M1649" s="38" t="n">
        <f aca="false">Sens!$M$1620+Sens!$M$1625</f>
        <v>87.7737095950176</v>
      </c>
      <c r="N1649" s="38" t="n">
        <f aca="false">Sens!$N$1620+Sens!$N$1625</f>
        <v>14.8075</v>
      </c>
      <c r="O1649" s="38" t="n">
        <f aca="false">Sens!$O$1620+Sens!$O$1625</f>
        <v>19.51</v>
      </c>
    </row>
    <row r="1650" customFormat="false" ht="17.15" hidden="false" customHeight="false" outlineLevel="0" collapsed="false">
      <c r="A1650" s="0" t="s">
        <v>741</v>
      </c>
      <c r="B1650" s="0" t="s">
        <v>86</v>
      </c>
      <c r="C1650" s="38" t="n">
        <f aca="false">Sens!$C$1624+Sens!$C$1629+Sens!$C$1645+Sens!$C$1646-Sens!$C$1649</f>
        <v>19.399</v>
      </c>
      <c r="D1650" s="38" t="n">
        <f aca="false">Sens!$D$1624+Sens!$D$1629+Sens!$D$1645+Sens!$D$1646-Sens!$D$1649</f>
        <v>20.4615</v>
      </c>
      <c r="E1650" s="38" t="n">
        <f aca="false">Sens!$E$1624+Sens!$E$1629+Sens!$E$1645+Sens!$E$1646-Sens!$E$1649</f>
        <v>13.355</v>
      </c>
      <c r="F1650" s="38" t="n">
        <f aca="false">Sens!$F$1624+Sens!$F$1629+Sens!$F$1645+Sens!$F$1646-Sens!$F$1649</f>
        <v>12.6769466592965</v>
      </c>
      <c r="G1650" s="38" t="n">
        <f aca="false">Sens!$G$1624+Sens!$G$1629+Sens!$G$1645+Sens!$G$1646-Sens!$G$1649</f>
        <v>26.0319466592965</v>
      </c>
      <c r="H1650" s="38" t="n">
        <f aca="false">Sens!$H$1624+Sens!$H$1629+Sens!$H$1645+Sens!$H$1646-Sens!$H$1649</f>
        <v>27.9798215402339</v>
      </c>
      <c r="I1650" s="38" t="n">
        <f aca="false">Sens!$I$1624+Sens!$I$1629+Sens!$I$1645+Sens!$I$1646-Sens!$I$1649</f>
        <v>29.7112104565374</v>
      </c>
      <c r="J1650" s="38" t="n">
        <f aca="false">Sens!$J$1624+Sens!$J$1629+Sens!$J$1645+Sens!$J$1646-Sens!$J$1649</f>
        <v>31.4337840230854</v>
      </c>
      <c r="K1650" s="38" t="n">
        <f aca="false">Sens!$K$1624+Sens!$K$1629+Sens!$K$1645+Sens!$K$1646-Sens!$K$1649</f>
        <v>33.3950270638193</v>
      </c>
      <c r="L1650" s="38" t="n">
        <f aca="false">Sens!$L$1624+Sens!$L$1629+Sens!$L$1645+Sens!$L$1646-Sens!$L$1649</f>
        <v>34.7386506063504</v>
      </c>
      <c r="M1650" s="38" t="n">
        <f aca="false">Sens!$M$1624+Sens!$M$1629+Sens!$M$1645+Sens!$M$1646-Sens!$M$1649</f>
        <v>37.0346723668737</v>
      </c>
      <c r="N1650" s="38" t="n">
        <f aca="false">Sens!$N$1624+Sens!$N$1629+Sens!$N$1645+Sens!$N$1646-Sens!$N$1649</f>
        <v>10.6495</v>
      </c>
      <c r="O1650" s="38" t="n">
        <f aca="false">Sens!$O$1624+Sens!$O$1629+Sens!$O$1645+Sens!$O$1646-Sens!$O$1649</f>
        <v>9.81200000000001</v>
      </c>
    </row>
    <row r="1651" customFormat="false" ht="17.15" hidden="false" customHeight="false" outlineLevel="0" collapsed="false">
      <c r="A1651" s="0" t="s">
        <v>742</v>
      </c>
      <c r="B1651" s="0" t="s">
        <v>86</v>
      </c>
      <c r="C1651" s="38" t="n">
        <f aca="false">Sens!$C$1631+Sens!$C$1647-ext_sh*Sens!$C$1566</f>
        <v>51.3470500115664</v>
      </c>
      <c r="D1651" s="38" t="n">
        <f aca="false">Sens!$D$1631+Sens!$D$1647-ext_sh*Sens!$D$1566</f>
        <v>60.2799375433739</v>
      </c>
      <c r="E1651" s="38" t="n">
        <f aca="false">Sens!$E$1631+Sens!$E$1647-ext_sh*Sens!$E$1566</f>
        <v>39.5095167090767</v>
      </c>
      <c r="F1651" s="38" t="n">
        <f aca="false">Sens!$F$1631+Sens!$F$1647-ext_sh*Sens!$F$1566</f>
        <v>37.993321722478</v>
      </c>
      <c r="G1651" s="38" t="n">
        <f aca="false">Sens!$G$1631+Sens!$G$1647-ext_sh*Sens!$G$1566</f>
        <v>77.5028384315548</v>
      </c>
      <c r="H1651" s="38" t="n">
        <f aca="false">Sens!$H$1631+Sens!$H$1647-ext_sh*Sens!$H$1566</f>
        <v>85.2394217279746</v>
      </c>
      <c r="I1651" s="38" t="n">
        <f aca="false">Sens!$I$1631+Sens!$I$1647-ext_sh*Sens!$I$1566</f>
        <v>94.6373589713254</v>
      </c>
      <c r="J1651" s="38" t="n">
        <f aca="false">Sens!$J$1631+Sens!$J$1647-ext_sh*Sens!$J$1566</f>
        <v>103.639899284146</v>
      </c>
      <c r="K1651" s="38" t="n">
        <f aca="false">Sens!$K$1631+Sens!$K$1647-ext_sh*Sens!$K$1566</f>
        <v>111.931091226878</v>
      </c>
      <c r="L1651" s="38" t="n">
        <f aca="false">Sens!$L$1631+Sens!$L$1647-ext_sh*Sens!$L$1566</f>
        <v>120.885578525028</v>
      </c>
      <c r="M1651" s="38" t="n">
        <f aca="false">Sens!$M$1631+Sens!$M$1647-ext_sh*Sens!$M$1566</f>
        <v>130.55642480703</v>
      </c>
      <c r="N1651" s="38" t="n">
        <f aca="false">Sens!$N$1631+Sens!$N$1647-ext_sh*Sens!$N$1566</f>
        <v>28.5693781401809</v>
      </c>
      <c r="O1651" s="38" t="n">
        <f aca="false">Sens!$O$1631+Sens!$O$1647-ext_sh*Sens!$O$1566</f>
        <v>31.7105594031931</v>
      </c>
    </row>
    <row r="1652" customFormat="false" ht="17.15" hidden="false" customHeight="false" outlineLevel="0" collapsed="false">
      <c r="A1652" s="0" t="s">
        <v>743</v>
      </c>
      <c r="B1652" s="0" t="s">
        <v>86</v>
      </c>
      <c r="C1652" s="38" t="n">
        <f aca="false">Sens!$C$1569</f>
        <v>1.80694998843362</v>
      </c>
      <c r="D1652" s="38" t="n">
        <f aca="false">Sens!$D$1569</f>
        <v>6.77606245662607</v>
      </c>
      <c r="E1652" s="38" t="n">
        <f aca="false">Sens!$E$1569</f>
        <v>6.62548329092326</v>
      </c>
      <c r="F1652" s="38" t="n">
        <f aca="false">Sens!$F$1569</f>
        <v>12.6925429907018</v>
      </c>
      <c r="G1652" s="38" t="n">
        <f aca="false">Sens!$G$1569</f>
        <v>19.3180262816251</v>
      </c>
      <c r="H1652" s="38" t="n">
        <f aca="false">Sens!$H$1569</f>
        <v>55.4814075742838</v>
      </c>
      <c r="I1652" s="38" t="n">
        <f aca="false">Sens!$I$1569</f>
        <v>96.7774032721855</v>
      </c>
      <c r="J1652" s="38" t="n">
        <f aca="false">Sens!$J$1569</f>
        <v>138.284087735331</v>
      </c>
      <c r="K1652" s="38" t="n">
        <f aca="false">Sens!$K$1569</f>
        <v>173.666297315773</v>
      </c>
      <c r="L1652" s="38" t="n">
        <f aca="false">Sens!$L$1569</f>
        <v>196.863523355832</v>
      </c>
      <c r="M1652" s="38" t="n">
        <f aca="false">Sens!$M$1569</f>
        <v>207.841388352838</v>
      </c>
      <c r="N1652" s="38" t="n">
        <f aca="false">Sens!$N$1569</f>
        <v>2.37162185981912</v>
      </c>
      <c r="O1652" s="38" t="n">
        <f aca="false">Sens!$O$1569</f>
        <v>4.40444059680694</v>
      </c>
    </row>
    <row r="1653" customFormat="false" ht="17.15" hidden="false" customHeight="false" outlineLevel="0" collapsed="false">
      <c r="A1653" s="0" t="s">
        <v>744</v>
      </c>
      <c r="B1653" s="0" t="s">
        <v>86</v>
      </c>
      <c r="C1653" s="38" t="n">
        <f aca="false">Sens!$C$1634+Sens!$C$1648</f>
        <v>100.66</v>
      </c>
      <c r="D1653" s="38" t="n">
        <f aca="false">Sens!$D$1634+Sens!$D$1648</f>
        <v>121.835</v>
      </c>
      <c r="E1653" s="38" t="n">
        <f aca="false">Sens!$E$1634+Sens!$E$1648</f>
        <v>78.016</v>
      </c>
      <c r="F1653" s="38" t="n">
        <f aca="false">Sens!$F$1634+Sens!$F$1648</f>
        <v>86.3603320371131</v>
      </c>
      <c r="G1653" s="38" t="n">
        <f aca="false">Sens!$G$1634+Sens!$G$1648</f>
        <v>164.376332037113</v>
      </c>
      <c r="H1653" s="38" t="n">
        <f aca="false">Sens!$H$1634+Sens!$H$1648</f>
        <v>218.551758949066</v>
      </c>
      <c r="I1653" s="38" t="n">
        <f aca="false">Sens!$I$1634+Sens!$I$1648</f>
        <v>279.303913878809</v>
      </c>
      <c r="J1653" s="38" t="n">
        <f aca="false">Sens!$J$1634+Sens!$J$1648</f>
        <v>339.303458191337</v>
      </c>
      <c r="K1653" s="38" t="n">
        <f aca="false">Sens!$K$1634+Sens!$K$1648</f>
        <v>391.532671470121</v>
      </c>
      <c r="L1653" s="38" t="n">
        <f aca="false">Sens!$L$1634+Sens!$L$1648</f>
        <v>432.282033937227</v>
      </c>
      <c r="M1653" s="38" t="n">
        <f aca="false">Sens!$M$1634+Sens!$M$1648</f>
        <v>463.20619512176</v>
      </c>
      <c r="N1653" s="38" t="n">
        <f aca="false">Sens!$N$1634+Sens!$N$1648</f>
        <v>56.398</v>
      </c>
      <c r="O1653" s="38" t="n">
        <f aca="false">Sens!$O$1634+Sens!$O$1648</f>
        <v>65.437</v>
      </c>
    </row>
    <row r="1654" customFormat="false" ht="17.15" hidden="false" customHeight="false" outlineLevel="0" collapsed="false">
      <c r="A1654" s="1" t="s">
        <v>745</v>
      </c>
    </row>
    <row r="1655" customFormat="false" ht="15" hidden="false" customHeight="false" outlineLevel="0" collapsed="false">
      <c r="A1655" s="5" t="s">
        <v>541</v>
      </c>
      <c r="B1655" s="0" t="s">
        <v>86</v>
      </c>
      <c r="C1655" s="38" t="n">
        <f aca="false">Q!$D$34</f>
        <v>2.406</v>
      </c>
      <c r="D1655" s="38" t="n">
        <f aca="false">Q!$E$34</f>
        <v>2.274</v>
      </c>
      <c r="E1655" s="38" t="n">
        <f aca="false">Q!$P$34</f>
        <v>2.114</v>
      </c>
      <c r="F1655" s="38" t="n">
        <f aca="false">Sens!$F$1693</f>
        <v>3.24888962733561</v>
      </c>
      <c r="G1655" s="38" t="n">
        <f aca="false">Sens!$E$1655+Sens!$F$1655</f>
        <v>5.36288962733561</v>
      </c>
      <c r="H1655" s="38" t="n">
        <f aca="false">Sens!$H$1693</f>
        <v>7.42354172302123</v>
      </c>
      <c r="I1655" s="38" t="n">
        <f aca="false">Sens!$I$1693</f>
        <v>12.5218773641433</v>
      </c>
      <c r="J1655" s="38" t="n">
        <f aca="false">Sens!$J$1693</f>
        <v>16.0182320412766</v>
      </c>
      <c r="K1655" s="38" t="n">
        <f aca="false">Sens!$K$1693</f>
        <v>16.5858835533752</v>
      </c>
      <c r="L1655" s="38" t="n">
        <f aca="false">Sens!$L$1693</f>
        <v>16.5858835533752</v>
      </c>
      <c r="M1655" s="38" t="n">
        <f aca="false">Sens!$M$1693</f>
        <v>16.5858835533752</v>
      </c>
      <c r="N1655" s="38" t="n">
        <f aca="false">Q!$N$34</f>
        <v>1.057</v>
      </c>
      <c r="O1655" s="38" t="n">
        <f aca="false">Q!$O$34</f>
        <v>1.217</v>
      </c>
    </row>
    <row r="1656" customFormat="false" ht="15" hidden="false" customHeight="false" outlineLevel="0" collapsed="false">
      <c r="A1656" s="5" t="s">
        <v>746</v>
      </c>
      <c r="B1656" s="0" t="s">
        <v>86</v>
      </c>
      <c r="F1656" s="38" t="n">
        <f aca="false">Sens!$F$1694</f>
        <v>2.59</v>
      </c>
      <c r="H1656" s="38" t="n">
        <f aca="false">Sens!$H$1694</f>
        <v>2.81779844799476</v>
      </c>
      <c r="I1656" s="38" t="n">
        <f aca="false">Sens!$I$1694</f>
        <v>2.10589651022864</v>
      </c>
      <c r="J1656" s="38" t="n">
        <f aca="false">Sens!$J$1694</f>
        <v>2.10589651022864</v>
      </c>
      <c r="K1656" s="38" t="n">
        <f aca="false">Sens!$K$1694</f>
        <v>2.10589651022864</v>
      </c>
      <c r="L1656" s="38" t="n">
        <f aca="false">Sens!$L$1694</f>
        <v>6.67932916024096</v>
      </c>
      <c r="M1656" s="38" t="n">
        <f aca="false">Sens!$M$1694</f>
        <v>14.5344444784796</v>
      </c>
    </row>
    <row r="1657" customFormat="false" ht="17.15" hidden="false" customHeight="false" outlineLevel="0" collapsed="false">
      <c r="A1657" s="5" t="s">
        <v>747</v>
      </c>
      <c r="B1657" s="0" t="s">
        <v>86</v>
      </c>
      <c r="C1657" s="38" t="n">
        <f aca="false">Q!$D$39</f>
        <v>2.427</v>
      </c>
      <c r="D1657" s="38" t="n">
        <f aca="false">Q!$E$39</f>
        <v>19.61</v>
      </c>
      <c r="E1657" s="38" t="n">
        <f aca="false">Q!$P$39</f>
        <v>71.492</v>
      </c>
      <c r="F1657" s="39" t="n">
        <v>0</v>
      </c>
      <c r="G1657" s="38" t="n">
        <f aca="false">Sens!$E$1657+Sens!$F$1657</f>
        <v>71.492</v>
      </c>
      <c r="H1657" s="39" t="n">
        <v>0</v>
      </c>
      <c r="I1657" s="39" t="n">
        <v>0</v>
      </c>
      <c r="J1657" s="39" t="n">
        <v>0</v>
      </c>
      <c r="K1657" s="39" t="n">
        <v>0</v>
      </c>
      <c r="L1657" s="39" t="n">
        <v>0</v>
      </c>
      <c r="M1657" s="39" t="n">
        <v>0</v>
      </c>
      <c r="N1657" s="38" t="n">
        <f aca="false">Q!$N$39</f>
        <v>6.017</v>
      </c>
      <c r="O1657" s="38" t="n">
        <f aca="false">Q!$O$39</f>
        <v>13.593</v>
      </c>
      <c r="P1657" s="5" t="s">
        <v>748</v>
      </c>
    </row>
    <row r="1658" customFormat="false" ht="15" hidden="false" customHeight="false" outlineLevel="0" collapsed="false">
      <c r="A1658" s="5" t="s">
        <v>544</v>
      </c>
      <c r="B1658" s="0" t="s">
        <v>86</v>
      </c>
      <c r="C1658" s="38" t="n">
        <f aca="false">Q!$D$36</f>
        <v>68.614</v>
      </c>
      <c r="D1658" s="38" t="n">
        <f aca="false">Q!$E$36</f>
        <v>97.311</v>
      </c>
      <c r="E1658" s="38" t="n">
        <f aca="false">Q!$P$36</f>
        <v>120.691</v>
      </c>
      <c r="F1658" s="38" t="n">
        <f aca="false">Sens!$F$1634-Sens!$F$1655+Sens!$F$1656+Sens!$F$1657</f>
        <v>56.4511701052202</v>
      </c>
      <c r="G1658" s="38" t="n">
        <f aca="false">Sens!$E$1658+Sens!$F$1658</f>
        <v>177.14217010522</v>
      </c>
      <c r="H1658" s="38" t="n">
        <f aca="false">Sens!$H$1634-Sens!$H$1655+Sens!$H$1656+Sens!$H$1657</f>
        <v>126.336308889864</v>
      </c>
      <c r="I1658" s="38" t="n">
        <f aca="false">Sens!$I$1634-Sens!$I$1655+Sens!$I$1656+Sens!$I$1657</f>
        <v>141.627710266463</v>
      </c>
      <c r="J1658" s="38" t="n">
        <f aca="false">Sens!$J$1634-Sens!$J$1655+Sens!$J$1656+Sens!$J$1657</f>
        <v>157.492314419594</v>
      </c>
      <c r="K1658" s="38" t="n">
        <f aca="false">Sens!$K$1634-Sens!$K$1655+Sens!$K$1656+Sens!$K$1657</f>
        <v>168.284309444871</v>
      </c>
      <c r="L1658" s="38" t="n">
        <f aca="false">Sens!$L$1634-Sens!$L$1655+Sens!$L$1656+Sens!$L$1657</f>
        <v>184.989526746818</v>
      </c>
      <c r="M1658" s="38" t="n">
        <f aca="false">Sens!$M$1634-Sens!$M$1655+Sens!$M$1656+Sens!$M$1657</f>
        <v>204.640067922801</v>
      </c>
      <c r="N1658" s="38" t="n">
        <f aca="false">Q!$N$36</f>
        <v>42.536</v>
      </c>
      <c r="O1658" s="38" t="n">
        <f aca="false">Q!$O$36</f>
        <v>54.775</v>
      </c>
    </row>
    <row r="1659" customFormat="false" ht="15" hidden="false" customHeight="false" outlineLevel="0" collapsed="false">
      <c r="A1659" s="5" t="s">
        <v>545</v>
      </c>
      <c r="B1659" s="0" t="s">
        <v>86</v>
      </c>
      <c r="C1659" s="38" t="n">
        <f aca="false">Q!$D$37</f>
        <v>9.265</v>
      </c>
      <c r="D1659" s="38" t="n">
        <f aca="false">Q!$E$37</f>
        <v>19.087</v>
      </c>
      <c r="E1659" s="38" t="n">
        <f aca="false">Q!$P$37</f>
        <v>27.759</v>
      </c>
      <c r="F1659" s="38" t="n">
        <f aca="false">Sens!$F$1658*tax</f>
        <v>9.79904963991765</v>
      </c>
      <c r="G1659" s="38" t="n">
        <f aca="false">Sens!$E$1659+Sens!$F$1659</f>
        <v>37.5580496399177</v>
      </c>
      <c r="H1659" s="38" t="n">
        <f aca="false">Sens!$H$1658*tax</f>
        <v>21.9300283736948</v>
      </c>
      <c r="I1659" s="38" t="n">
        <f aca="false">Sens!$I$1658*tax</f>
        <v>24.5843790430238</v>
      </c>
      <c r="J1659" s="38" t="n">
        <f aca="false">Sens!$J$1658*tax</f>
        <v>27.338228844975</v>
      </c>
      <c r="K1659" s="38" t="n">
        <f aca="false">Sens!$K$1658*tax</f>
        <v>29.2115521927341</v>
      </c>
      <c r="L1659" s="38" t="n">
        <f aca="false">Sens!$L$1658*tax</f>
        <v>32.111319430194</v>
      </c>
      <c r="M1659" s="38" t="n">
        <f aca="false">Sens!$M$1658*tax</f>
        <v>35.522349318074</v>
      </c>
      <c r="N1659" s="38" t="n">
        <f aca="false">Q!$N$37</f>
        <v>7.231</v>
      </c>
      <c r="O1659" s="38" t="n">
        <f aca="false">Q!$O$37</f>
        <v>11.856</v>
      </c>
    </row>
    <row r="1660" customFormat="false" ht="15" hidden="false" customHeight="false" outlineLevel="0" collapsed="false">
      <c r="A1660" s="3" t="s">
        <v>546</v>
      </c>
      <c r="B1660" s="8" t="s">
        <v>86</v>
      </c>
      <c r="C1660" s="38" t="n">
        <f aca="false">Q!$D$38</f>
        <v>59.248</v>
      </c>
      <c r="D1660" s="38" t="n">
        <f aca="false">Q!$E$38</f>
        <v>77.67</v>
      </c>
      <c r="E1660" s="38" t="n">
        <f aca="false">Q!$P$38</f>
        <v>92.902</v>
      </c>
      <c r="F1660" s="38" t="n">
        <f aca="false">Sens!$F$1658-Sens!$F$1659</f>
        <v>46.6521204653025</v>
      </c>
      <c r="G1660" s="38" t="n">
        <f aca="false">Sens!$E$1660+Sens!$F$1660</f>
        <v>139.554120465303</v>
      </c>
      <c r="H1660" s="38" t="n">
        <f aca="false">Sens!$H$1658-Sens!$H$1659</f>
        <v>104.40628051617</v>
      </c>
      <c r="I1660" s="38" t="n">
        <f aca="false">Sens!$I$1658-Sens!$I$1659</f>
        <v>117.043331223439</v>
      </c>
      <c r="J1660" s="38" t="n">
        <f aca="false">Sens!$J$1658-Sens!$J$1659</f>
        <v>130.154085574619</v>
      </c>
      <c r="K1660" s="38" t="n">
        <f aca="false">Sens!$K$1658-Sens!$K$1659</f>
        <v>139.072757252137</v>
      </c>
      <c r="L1660" s="38" t="n">
        <f aca="false">Sens!$L$1658-Sens!$L$1659</f>
        <v>152.878207316624</v>
      </c>
      <c r="M1660" s="38" t="n">
        <f aca="false">Sens!$M$1658-Sens!$M$1659</f>
        <v>169.117718604727</v>
      </c>
      <c r="N1660" s="38" t="n">
        <f aca="false">Q!$N$38</f>
        <v>35.291</v>
      </c>
      <c r="O1660" s="38" t="n">
        <f aca="false">Q!$O$38</f>
        <v>42.379</v>
      </c>
    </row>
    <row r="1661" customFormat="false" ht="17.15" hidden="false" customHeight="false" outlineLevel="0" collapsed="false">
      <c r="A1661" s="5" t="s">
        <v>549</v>
      </c>
      <c r="B1661" s="5" t="s">
        <v>33</v>
      </c>
      <c r="C1661" s="22" t="n">
        <f aca="false">Q!$D$41</f>
        <v>10.721</v>
      </c>
      <c r="D1661" s="22" t="n">
        <f aca="false">Q!$E$41</f>
        <v>10.827</v>
      </c>
      <c r="E1661" s="22" t="n">
        <f aca="false">(Q!$L$41+Q!$M$41)/2</f>
        <v>10.8885</v>
      </c>
      <c r="F1661" s="22" t="n">
        <f aca="false">Sens!$G$1661</f>
        <v>10.924806</v>
      </c>
      <c r="G1661" s="22" t="n">
        <f aca="false">Q!$M$41*(1+sh_g*0.25)</f>
        <v>10.924806</v>
      </c>
      <c r="H1661" s="22" t="n">
        <f aca="false">Sens!$G$1661*(1+sh_g)</f>
        <v>11.012204448</v>
      </c>
      <c r="I1661" s="22" t="n">
        <f aca="false">Sens!$H$1661*(1+sh_g)</f>
        <v>11.100302083584</v>
      </c>
      <c r="J1661" s="22" t="n">
        <f aca="false">Sens!$I$1661*(1+sh_g)</f>
        <v>11.1891045002527</v>
      </c>
      <c r="K1661" s="22" t="n">
        <f aca="false">Sens!$J$1661*(1+sh_g)</f>
        <v>11.2786173362547</v>
      </c>
      <c r="L1661" s="22" t="n">
        <f aca="false">Sens!$K$1661*(1+sh_g)</f>
        <v>11.3688462749447</v>
      </c>
      <c r="M1661" s="22" t="n">
        <f aca="false">Sens!$L$1661*(1+sh_g)</f>
        <v>11.4597970451443</v>
      </c>
      <c r="P1661" s="5" t="s">
        <v>749</v>
      </c>
    </row>
    <row r="1662" customFormat="false" ht="17.15" hidden="false" customHeight="false" outlineLevel="0" collapsed="false">
      <c r="A1662" s="5" t="s">
        <v>750</v>
      </c>
      <c r="B1662" s="0" t="s">
        <v>86</v>
      </c>
      <c r="C1662" s="38" t="n">
        <f aca="false">Sens!$C$1660+Sens!$C$1636*(1-tax)</f>
        <v>59.248</v>
      </c>
      <c r="D1662" s="38" t="n">
        <f aca="false">Sens!$D$1660+Sens!$D$1636*(1-tax)</f>
        <v>77.67</v>
      </c>
      <c r="E1662" s="38" t="n">
        <f aca="false">Sens!$E$1660+Sens!$E$1636*(1-tax)</f>
        <v>92.902</v>
      </c>
      <c r="F1662" s="38" t="n">
        <f aca="false">Sens!$F$1660+Sens!$F$1636*(1-tax)</f>
        <v>50.0241584043633</v>
      </c>
      <c r="G1662" s="38" t="n">
        <f aca="false">Sens!$G$1660+Sens!$G$1636*(1-tax)</f>
        <v>142.926158404363</v>
      </c>
      <c r="H1662" s="38" t="n">
        <f aca="false">Sens!$H$1660+Sens!$H$1636*(1-tax)</f>
        <v>119.02311393935</v>
      </c>
      <c r="I1662" s="38" t="n">
        <f aca="false">Sens!$I$1660+Sens!$I$1636*(1-tax)</f>
        <v>142.422501046113</v>
      </c>
      <c r="J1662" s="38" t="n">
        <f aca="false">Sens!$J$1660+Sens!$J$1636*(1-tax)</f>
        <v>166.343470233973</v>
      </c>
      <c r="K1662" s="38" t="n">
        <f aca="false">Sens!$K$1660+Sens!$K$1636*(1-tax)</f>
        <v>184.478199218148</v>
      </c>
      <c r="L1662" s="38" t="n">
        <f aca="false">Sens!$L$1660+Sens!$L$1636*(1-tax)</f>
        <v>204.325927676361</v>
      </c>
      <c r="M1662" s="38" t="n">
        <f aca="false">Sens!$M$1660+Sens!$M$1636*(1-tax)</f>
        <v>223.426126253181</v>
      </c>
      <c r="N1662" s="38" t="n">
        <f aca="false">Sens!$N$1660+Sens!$N$1636*(1-tax)</f>
        <v>35.291</v>
      </c>
      <c r="O1662" s="38" t="n">
        <f aca="false">Sens!$O$1660+Sens!$O$1636*(1-tax)</f>
        <v>42.379</v>
      </c>
    </row>
    <row r="1663" customFormat="false" ht="17.15" hidden="false" customHeight="false" outlineLevel="0" collapsed="false">
      <c r="A1663" s="43" t="s">
        <v>751</v>
      </c>
      <c r="B1663" s="14" t="s">
        <v>27</v>
      </c>
      <c r="C1663" s="44" t="n">
        <f aca="false">Sens!$C$1662/Sens!$C$1661</f>
        <v>5.52635015390355</v>
      </c>
      <c r="D1663" s="44" t="n">
        <f aca="false">Sens!$D$1662/Sens!$D$1661</f>
        <v>7.1737323358271</v>
      </c>
      <c r="E1663" s="44" t="n">
        <f aca="false">Sens!$E$1662/Sens!$E$1661</f>
        <v>8.53212104513937</v>
      </c>
      <c r="F1663" s="14"/>
      <c r="G1663" s="44" t="n">
        <f aca="false">Sens!$G$1662/Sens!$G$1661</f>
        <v>13.0827182106816</v>
      </c>
      <c r="H1663" s="44" t="n">
        <f aca="false">Sens!$H$1662/Sens!$H$1661</f>
        <v>10.8082913372506</v>
      </c>
      <c r="I1663" s="44" t="n">
        <f aca="false">Sens!$I$1662/Sens!$I$1661</f>
        <v>12.8305067712291</v>
      </c>
      <c r="J1663" s="44" t="n">
        <f aca="false">Sens!$J$1662/Sens!$J$1661</f>
        <v>14.8665579296553</v>
      </c>
      <c r="K1663" s="44" t="n">
        <f aca="false">Sens!$K$1662/Sens!$K$1661</f>
        <v>16.3564552035248</v>
      </c>
      <c r="L1663" s="44" t="n">
        <f aca="false">Sens!$L$1662/Sens!$L$1661</f>
        <v>17.9724417706892</v>
      </c>
      <c r="M1663" s="44" t="n">
        <f aca="false">Sens!$M$1662/Sens!$M$1661</f>
        <v>19.4965168556673</v>
      </c>
      <c r="N1663" s="14"/>
      <c r="O1663" s="14"/>
    </row>
    <row r="1664" customFormat="false" ht="17.15" hidden="false" customHeight="false" outlineLevel="0" collapsed="false">
      <c r="A1664" s="0" t="s">
        <v>752</v>
      </c>
      <c r="B1664" s="0" t="s">
        <v>27</v>
      </c>
      <c r="C1664" s="30" t="n">
        <f aca="false">Sens!$C$1660/Sens!$C$1661</f>
        <v>5.52635015390355</v>
      </c>
      <c r="D1664" s="30" t="n">
        <f aca="false">Sens!$D$1660/Sens!$D$1661</f>
        <v>7.1737323358271</v>
      </c>
      <c r="E1664" s="30" t="n">
        <f aca="false">Sens!$E$1660/Sens!$E$1661</f>
        <v>8.53212104513937</v>
      </c>
      <c r="G1664" s="30" t="n">
        <f aca="false">Sens!$G$1660/Sens!$G$1661</f>
        <v>12.7740593714252</v>
      </c>
      <c r="H1664" s="30" t="n">
        <f aca="false">Sens!$H$1660/Sens!$H$1661</f>
        <v>9.48096096555231</v>
      </c>
      <c r="I1664" s="30" t="n">
        <f aca="false">Sens!$I$1660/Sens!$I$1661</f>
        <v>10.544157297893</v>
      </c>
      <c r="J1664" s="30" t="n">
        <f aca="false">Sens!$J$1660/Sens!$J$1661</f>
        <v>11.6322164630494</v>
      </c>
      <c r="K1664" s="30" t="n">
        <f aca="false">Sens!$K$1660/Sens!$K$1661</f>
        <v>12.3306565960964</v>
      </c>
      <c r="L1664" s="30" t="n">
        <f aca="false">Sens!$L$1660/Sens!$L$1661</f>
        <v>13.4471171145611</v>
      </c>
      <c r="M1664" s="30" t="n">
        <f aca="false">Sens!$M$1660/Sens!$M$1661</f>
        <v>14.7574793810493</v>
      </c>
    </row>
    <row r="1665" customFormat="false" ht="17.15" hidden="false" customHeight="false" outlineLevel="0" collapsed="false">
      <c r="A1665" s="0" t="s">
        <v>753</v>
      </c>
      <c r="B1665" s="0" t="s">
        <v>27</v>
      </c>
      <c r="C1665" s="30" t="n">
        <f aca="false">(Sens!$C$1660-Sens!$C$1657*(1-tax))/Sens!$C$1661</f>
        <v>5.33926775917445</v>
      </c>
      <c r="D1665" s="30" t="n">
        <f aca="false">(Sens!$D$1660-Sens!$D$1657*(1-tax))/Sens!$D$1661</f>
        <v>5.67691812755503</v>
      </c>
      <c r="E1665" s="30" t="n">
        <f aca="false">(Sens!$E$1660-Sens!$E$1657*(1-tax))/Sens!$E$1661</f>
        <v>3.10602057006846</v>
      </c>
      <c r="G1665" s="30" t="n">
        <f aca="false">(Sens!$G$1660-Sens!$G$1657*(1-tax))/Sens!$G$1661</f>
        <v>7.36599125352824</v>
      </c>
      <c r="H1665" s="30" t="n">
        <f aca="false">(Sens!$H$1660-Sens!$H$1657*(1-tax))/Sens!$H$1661</f>
        <v>9.48096096555231</v>
      </c>
      <c r="I1665" s="30" t="n">
        <f aca="false">(Sens!$I$1660-Sens!$I$1657*(1-tax))/Sens!$I$1661</f>
        <v>10.544157297893</v>
      </c>
      <c r="J1665" s="30" t="n">
        <f aca="false">(Sens!$J$1660-Sens!$J$1657*(1-tax))/Sens!$J$1661</f>
        <v>11.6322164630494</v>
      </c>
      <c r="K1665" s="30" t="n">
        <f aca="false">(Sens!$K$1660-Sens!$K$1657*(1-tax))/Sens!$K$1661</f>
        <v>12.3306565960964</v>
      </c>
      <c r="L1665" s="30" t="n">
        <f aca="false">(Sens!$L$1660-Sens!$L$1657*(1-tax))/Sens!$L$1661</f>
        <v>13.4471171145611</v>
      </c>
      <c r="M1665" s="30" t="n">
        <f aca="false">(Sens!$M$1660-Sens!$M$1657*(1-tax))/Sens!$M$1661</f>
        <v>14.7574793810493</v>
      </c>
      <c r="P1665" s="5" t="s">
        <v>754</v>
      </c>
    </row>
    <row r="1666" customFormat="false" ht="17.15" hidden="false" customHeight="false" outlineLevel="0" collapsed="false">
      <c r="A1666" s="0" t="s">
        <v>755</v>
      </c>
      <c r="B1666" s="0" t="s">
        <v>52</v>
      </c>
      <c r="H1666" s="13" t="n">
        <f aca="false">Sens!$H$1663/Sens!$G$1663-1</f>
        <v>-0.173849718139922</v>
      </c>
      <c r="I1666" s="13" t="n">
        <f aca="false">Sens!$I$1663/Sens!$H$1663-1</f>
        <v>0.187098531199749</v>
      </c>
      <c r="J1666" s="13" t="n">
        <f aca="false">Sens!$J$1663/Sens!$I$1663-1</f>
        <v>0.158688288368454</v>
      </c>
      <c r="K1666" s="13" t="n">
        <f aca="false">Sens!$K$1663/Sens!$J$1663-1</f>
        <v>0.10021803842687</v>
      </c>
      <c r="L1666" s="13" t="n">
        <f aca="false">Sens!$L$1663/Sens!$K$1663-1</f>
        <v>0.0987980920716931</v>
      </c>
      <c r="M1666" s="13" t="n">
        <f aca="false">Sens!$M$1663/Sens!$L$1663-1</f>
        <v>0.084800668958831</v>
      </c>
    </row>
    <row r="1669" customFormat="false" ht="19.4" hidden="false" customHeight="false" outlineLevel="0" collapsed="false">
      <c r="A1669" s="31" t="s">
        <v>1160</v>
      </c>
    </row>
    <row r="1670" customFormat="false" ht="17.15" hidden="false" customHeight="false" outlineLevel="0" collapsed="false">
      <c r="A1670" s="6" t="s">
        <v>16</v>
      </c>
      <c r="B1670" s="6" t="s">
        <v>17</v>
      </c>
      <c r="C1670" s="20" t="s">
        <v>494</v>
      </c>
      <c r="D1670" s="20" t="s">
        <v>495</v>
      </c>
      <c r="E1670" s="20" t="s">
        <v>577</v>
      </c>
      <c r="F1670" s="20" t="s">
        <v>578</v>
      </c>
      <c r="G1670" s="20" t="s">
        <v>579</v>
      </c>
      <c r="H1670" s="20" t="s">
        <v>580</v>
      </c>
      <c r="I1670" s="20" t="s">
        <v>581</v>
      </c>
      <c r="J1670" s="20" t="s">
        <v>582</v>
      </c>
      <c r="K1670" s="20" t="s">
        <v>583</v>
      </c>
      <c r="L1670" s="20" t="s">
        <v>584</v>
      </c>
      <c r="M1670" s="20" t="s">
        <v>585</v>
      </c>
      <c r="N1670" s="20" t="s">
        <v>586</v>
      </c>
      <c r="O1670" s="20" t="s">
        <v>587</v>
      </c>
      <c r="P1670" s="6" t="s">
        <v>23</v>
      </c>
      <c r="R1670" s="20" t="n">
        <v>2023</v>
      </c>
      <c r="S1670" s="20" t="n">
        <v>2024</v>
      </c>
      <c r="T1670" s="20" t="n">
        <v>2025</v>
      </c>
      <c r="U1670" s="20" t="n">
        <v>2026</v>
      </c>
      <c r="V1670" s="20" t="n">
        <v>2027</v>
      </c>
      <c r="W1670" s="20" t="n">
        <v>2028</v>
      </c>
      <c r="X1670" s="20" t="n">
        <v>2029</v>
      </c>
      <c r="Y1670" s="20" t="n">
        <v>2030</v>
      </c>
      <c r="Z1670" s="20" t="n">
        <v>2031</v>
      </c>
      <c r="AA1670" s="20" t="n">
        <v>2032</v>
      </c>
    </row>
    <row r="1671" customFormat="false" ht="15" hidden="false" customHeight="false" outlineLevel="0" collapsed="false">
      <c r="A1671" s="5" t="s">
        <v>546</v>
      </c>
      <c r="B1671" s="0" t="s">
        <v>86</v>
      </c>
      <c r="C1671" s="38" t="n">
        <f aca="false">Sens!$C$1660</f>
        <v>59.248</v>
      </c>
      <c r="D1671" s="38" t="n">
        <f aca="false">Sens!$D$1660</f>
        <v>77.67</v>
      </c>
      <c r="E1671" s="38" t="n">
        <f aca="false">Sens!$E$1660</f>
        <v>92.902</v>
      </c>
      <c r="F1671" s="38" t="n">
        <f aca="false">Sens!$F$1660</f>
        <v>46.6521204653025</v>
      </c>
      <c r="G1671" s="38" t="n">
        <f aca="false">Sens!$G$1660</f>
        <v>139.554120465303</v>
      </c>
      <c r="H1671" s="38" t="n">
        <f aca="false">Sens!$H$1660</f>
        <v>104.40628051617</v>
      </c>
      <c r="I1671" s="38" t="n">
        <f aca="false">Sens!$I$1660</f>
        <v>117.043331223439</v>
      </c>
      <c r="J1671" s="38" t="n">
        <f aca="false">Sens!$J$1660</f>
        <v>130.154085574619</v>
      </c>
      <c r="K1671" s="38" t="n">
        <f aca="false">Sens!$K$1660</f>
        <v>139.072757252137</v>
      </c>
      <c r="L1671" s="38" t="n">
        <f aca="false">Sens!$L$1660</f>
        <v>152.878207316624</v>
      </c>
      <c r="M1671" s="38" t="n">
        <f aca="false">Sens!$M$1660</f>
        <v>169.117718604727</v>
      </c>
    </row>
    <row r="1672" customFormat="false" ht="17.15" hidden="false" customHeight="false" outlineLevel="0" collapsed="false">
      <c r="A1672" s="5" t="s">
        <v>778</v>
      </c>
      <c r="B1672" s="0" t="s">
        <v>86</v>
      </c>
      <c r="C1672" s="38" t="n">
        <f aca="false">Sens!$C$1648</f>
        <v>32.067</v>
      </c>
      <c r="D1672" s="38" t="n">
        <f aca="false">Sens!$D$1648</f>
        <v>41.86</v>
      </c>
      <c r="E1672" s="38" t="n">
        <f aca="false">Sens!$E$1648</f>
        <v>26.703</v>
      </c>
      <c r="F1672" s="38" t="n">
        <f aca="false">Sens!$F$1648</f>
        <v>29.2502723045573</v>
      </c>
      <c r="G1672" s="38" t="n">
        <f aca="false">Sens!$G$1648</f>
        <v>55.9532723045573</v>
      </c>
      <c r="H1672" s="38" t="n">
        <f aca="false">Sens!$H$1648</f>
        <v>87.6097067841755</v>
      </c>
      <c r="I1672" s="38" t="n">
        <f aca="false">Sens!$I$1648</f>
        <v>127.260222758431</v>
      </c>
      <c r="J1672" s="38" t="n">
        <f aca="false">Sens!$J$1648</f>
        <v>167.898808240695</v>
      </c>
      <c r="K1672" s="38" t="n">
        <f aca="false">Sens!$K$1648</f>
        <v>208.768374982104</v>
      </c>
      <c r="L1672" s="38" t="n">
        <f aca="false">Sens!$L$1648</f>
        <v>237.385952797275</v>
      </c>
      <c r="M1672" s="38" t="n">
        <f aca="false">Sens!$M$1648</f>
        <v>256.514688124063</v>
      </c>
    </row>
    <row r="1673" customFormat="false" ht="15" hidden="false" customHeight="false" outlineLevel="0" collapsed="false">
      <c r="A1673" s="5" t="s">
        <v>779</v>
      </c>
      <c r="B1673" s="0" t="s">
        <v>86</v>
      </c>
      <c r="C1673" s="38" t="n">
        <f aca="false">Q!$D$48</f>
        <v>22.011</v>
      </c>
      <c r="D1673" s="38" t="n">
        <f aca="false">Q!$E$48</f>
        <v>19.467</v>
      </c>
      <c r="E1673" s="38" t="n">
        <f aca="false">Q!$P$48</f>
        <v>10.07</v>
      </c>
      <c r="F1673" s="38" t="n">
        <f aca="false">sbc_r*Sens!$F$1590</f>
        <v>10.8507035798037</v>
      </c>
      <c r="G1673" s="38" t="n">
        <f aca="false">Sens!$E$1673+Sens!$F$1673</f>
        <v>20.9207035798037</v>
      </c>
      <c r="H1673" s="38" t="n">
        <f aca="false">sbc_r*Sens!$H$1590</f>
        <v>23.6777304048385</v>
      </c>
      <c r="I1673" s="38" t="n">
        <f aca="false">sbc_r*Sens!$I$1590</f>
        <v>27.0822280789964</v>
      </c>
      <c r="J1673" s="38" t="n">
        <f aca="false">sbc_r*Sens!$J$1590</f>
        <v>30.3532316943611</v>
      </c>
      <c r="K1673" s="38" t="n">
        <f aca="false">sbc_r*Sens!$K$1590</f>
        <v>33.213535707254</v>
      </c>
      <c r="L1673" s="38" t="n">
        <f aca="false">sbc_r*Sens!$L$1590</f>
        <v>35.8212666359686</v>
      </c>
      <c r="M1673" s="38" t="n">
        <f aca="false">sbc_r*Sens!$M$1590</f>
        <v>38.1851822736214</v>
      </c>
    </row>
    <row r="1674" customFormat="false" ht="17.15" hidden="false" customHeight="false" outlineLevel="0" collapsed="false">
      <c r="A1674" s="5" t="s">
        <v>780</v>
      </c>
      <c r="B1674" s="0" t="s">
        <v>86</v>
      </c>
      <c r="C1674" s="38" t="n">
        <f aca="false">Q!$D$44-Sens!$C$1671-Sens!$C$1672-Sens!$C$1673</f>
        <v>2.551</v>
      </c>
      <c r="D1674" s="38" t="n">
        <f aca="false">Q!$E$44-Sens!$D$1671-Sens!$D$1672-Sens!$D$1673</f>
        <v>0.51700000000001</v>
      </c>
      <c r="E1674" s="38" t="n">
        <f aca="false">Q!$P$44-Sens!$E$1671-Sens!$E$1672-Sens!$E$1673</f>
        <v>-58.256</v>
      </c>
      <c r="F1674" s="38" t="n">
        <f aca="false">oth_r*Sens!$F$1590</f>
        <v>5.22265251035878</v>
      </c>
      <c r="G1674" s="38" t="n">
        <f aca="false">Sens!$E$1674+Sens!$F$1674</f>
        <v>-53.0333474896412</v>
      </c>
      <c r="H1674" s="38" t="n">
        <f aca="false">oth_r*Sens!$H$1590</f>
        <v>11.3965474431166</v>
      </c>
      <c r="I1674" s="38" t="n">
        <f aca="false">oth_r*Sens!$I$1590</f>
        <v>13.0351977106943</v>
      </c>
      <c r="J1674" s="38" t="n">
        <f aca="false">oth_r*Sens!$J$1590</f>
        <v>14.6095947179975</v>
      </c>
      <c r="K1674" s="38" t="n">
        <f aca="false">oth_r*Sens!$K$1590</f>
        <v>15.9863141006124</v>
      </c>
      <c r="L1674" s="38" t="n">
        <f aca="false">oth_r*Sens!$L$1590</f>
        <v>17.2414651957489</v>
      </c>
      <c r="M1674" s="38" t="n">
        <f aca="false">oth_r*Sens!$M$1590</f>
        <v>18.3792632978225</v>
      </c>
      <c r="P1674" s="8" t="s">
        <v>781</v>
      </c>
    </row>
    <row r="1675" customFormat="false" ht="15" hidden="false" customHeight="false" outlineLevel="0" collapsed="false">
      <c r="A1675" s="3" t="s">
        <v>552</v>
      </c>
      <c r="B1675" s="8" t="s">
        <v>86</v>
      </c>
      <c r="C1675" s="38" t="n">
        <f aca="false">Q!$D$44</f>
        <v>115.877</v>
      </c>
      <c r="D1675" s="38" t="n">
        <f aca="false">Q!$E$44</f>
        <v>139.514</v>
      </c>
      <c r="E1675" s="38" t="n">
        <f aca="false">Q!$P$44</f>
        <v>71.419</v>
      </c>
      <c r="F1675" s="38" t="n">
        <f aca="false">Sens!$F$1671+Sens!$F$1672+Sens!$F$1673+Sens!$F$1674</f>
        <v>91.9757488600223</v>
      </c>
      <c r="G1675" s="38" t="n">
        <f aca="false">Sens!$E$1675+Sens!$F$1675</f>
        <v>163.394748860022</v>
      </c>
      <c r="H1675" s="38" t="n">
        <f aca="false">Sens!$H$1671+Sens!$H$1672+Sens!$H$1673+Sens!$H$1674</f>
        <v>227.0902651483</v>
      </c>
      <c r="I1675" s="38" t="n">
        <f aca="false">Sens!$I$1671+Sens!$I$1672+Sens!$I$1673+Sens!$I$1674</f>
        <v>284.420979771561</v>
      </c>
      <c r="J1675" s="38" t="n">
        <f aca="false">Sens!$J$1671+Sens!$J$1672+Sens!$J$1673+Sens!$J$1674</f>
        <v>343.015720227672</v>
      </c>
      <c r="K1675" s="38" t="n">
        <f aca="false">Sens!$K$1671+Sens!$K$1672+Sens!$K$1673+Sens!$K$1674</f>
        <v>397.040982042107</v>
      </c>
      <c r="L1675" s="38" t="n">
        <f aca="false">Sens!$L$1671+Sens!$L$1672+Sens!$L$1673+Sens!$L$1674</f>
        <v>443.326891945616</v>
      </c>
      <c r="M1675" s="38" t="n">
        <f aca="false">Sens!$M$1671+Sens!$M$1672+Sens!$M$1673+Sens!$M$1674</f>
        <v>482.196852300234</v>
      </c>
    </row>
    <row r="1676" customFormat="false" ht="17.15" hidden="false" customHeight="false" outlineLevel="0" collapsed="false">
      <c r="A1676" s="5" t="s">
        <v>782</v>
      </c>
      <c r="B1676" s="0" t="s">
        <v>86</v>
      </c>
      <c r="C1676" s="38" t="n">
        <f aca="false">Sens!$C$1559</f>
        <v>25.2781053077374</v>
      </c>
      <c r="D1676" s="38" t="n">
        <f aca="false">Sens!$D$1559</f>
        <v>69.5686316310026</v>
      </c>
      <c r="E1676" s="38" t="n">
        <f aca="false">Sens!$E$1559</f>
        <v>64.1899206485108</v>
      </c>
      <c r="F1676" s="38" t="n">
        <f aca="false">Sens!$F$1559</f>
        <v>120.310162486875</v>
      </c>
      <c r="G1676" s="38" t="n">
        <f aca="false">Sens!$G$1559</f>
        <v>184.500083135386</v>
      </c>
      <c r="H1676" s="38" t="n">
        <f aca="false">Sens!$H$1559</f>
        <v>248.214206180938</v>
      </c>
      <c r="I1676" s="38" t="n">
        <f aca="false">Sens!$I$1559</f>
        <v>255.808087388125</v>
      </c>
      <c r="J1676" s="38" t="n">
        <f aca="false">Sens!$J$1559</f>
        <v>261.044855588125</v>
      </c>
      <c r="K1676" s="38" t="n">
        <f aca="false">Sens!$K$1559</f>
        <v>191.136786872001</v>
      </c>
      <c r="L1676" s="38" t="n">
        <f aca="false">Sens!$L$1559</f>
        <v>152.649327355877</v>
      </c>
      <c r="M1676" s="38" t="n">
        <f aca="false">Sens!$M$1559</f>
        <v>157.427937608816</v>
      </c>
    </row>
    <row r="1677" customFormat="false" ht="17.15" hidden="false" customHeight="false" outlineLevel="0" collapsed="false">
      <c r="A1677" s="5" t="s">
        <v>783</v>
      </c>
      <c r="B1677" s="0" t="s">
        <v>86</v>
      </c>
      <c r="C1677" s="38" t="n">
        <f aca="false">cx_awso*Sens!$C$1588</f>
        <v>21.0469989286053</v>
      </c>
      <c r="D1677" s="38" t="n">
        <f aca="false">cx_awso*Sens!$D$1588</f>
        <v>24.0042459822698</v>
      </c>
      <c r="E1677" s="38" t="n">
        <f aca="false">cx_awso*Sens!$E$1588</f>
        <v>14.261729404886</v>
      </c>
      <c r="F1677" s="38" t="n">
        <f aca="false">cx_awso*Sens!$F$1588</f>
        <v>14.3538599588493</v>
      </c>
      <c r="G1677" s="38" t="n">
        <f aca="false">Sens!$E$1677+Sens!$F$1677</f>
        <v>28.6155893637353</v>
      </c>
      <c r="H1677" s="38" t="n">
        <f aca="false">cx_awso*Sens!$H$1588</f>
        <v>32.2034154158406</v>
      </c>
      <c r="I1677" s="38" t="n">
        <f aca="false">cx_awso*Sens!$I$1588</f>
        <v>35.7539519042915</v>
      </c>
      <c r="J1677" s="38" t="n">
        <f aca="false">cx_awso*Sens!$J$1588</f>
        <v>39.1551076091815</v>
      </c>
      <c r="K1677" s="38" t="n">
        <f aca="false">cx_awso*Sens!$K$1588</f>
        <v>42.287516217916</v>
      </c>
      <c r="L1677" s="38" t="n">
        <f aca="false">cx_awso*Sens!$L$1588</f>
        <v>45.6705175153492</v>
      </c>
      <c r="M1677" s="38" t="n">
        <f aca="false">cx_awso*Sens!$M$1588</f>
        <v>49.3241589165772</v>
      </c>
    </row>
    <row r="1678" customFormat="false" ht="17.15" hidden="false" customHeight="false" outlineLevel="0" collapsed="false">
      <c r="A1678" s="5" t="s">
        <v>784</v>
      </c>
      <c r="B1678" s="0" t="s">
        <v>86</v>
      </c>
      <c r="C1678" s="38" t="n">
        <f aca="false">Q!$D$46-Sens!$C$1676-Sens!$C$1677</f>
        <v>31.3328957636573</v>
      </c>
      <c r="D1678" s="38" t="n">
        <f aca="false">Q!$E$46-Sens!$D$1676-Sens!$D$1677</f>
        <v>34.7471223867276</v>
      </c>
      <c r="E1678" s="38" t="n">
        <f aca="false">Q!$P$46-Sens!$E$1676-Sens!$E$1677</f>
        <v>17.8583499466032</v>
      </c>
      <c r="F1678" s="38" t="n">
        <f aca="false">cx_rt*Sens!$F$1522</f>
        <v>20.5471394061938</v>
      </c>
      <c r="G1678" s="38" t="n">
        <f aca="false">Sens!$E$1678+Sens!$F$1678</f>
        <v>38.405489352797</v>
      </c>
      <c r="H1678" s="38" t="n">
        <f aca="false">cx_rt*Sens!$H$1522</f>
        <v>42.517656749549</v>
      </c>
      <c r="I1678" s="38" t="n">
        <f aca="false">cx_rt*Sens!$I$1522</f>
        <v>46.4936115239035</v>
      </c>
      <c r="J1678" s="38" t="n">
        <f aca="false">cx_rt*Sens!$J$1522</f>
        <v>50.1833954521447</v>
      </c>
      <c r="K1678" s="38" t="n">
        <f aca="false">cx_rt*Sens!$K$1522</f>
        <v>53.4303208904691</v>
      </c>
      <c r="L1678" s="38" t="n">
        <f aca="false">cx_rt*Sens!$L$1522</f>
        <v>56.9041662327813</v>
      </c>
      <c r="M1678" s="38" t="n">
        <f aca="false">cx_rt*Sens!$M$1522</f>
        <v>60.6220036390275</v>
      </c>
    </row>
    <row r="1679" customFormat="false" ht="15" hidden="false" customHeight="false" outlineLevel="0" collapsed="false">
      <c r="A1679" s="3" t="s">
        <v>785</v>
      </c>
      <c r="B1679" s="8" t="s">
        <v>86</v>
      </c>
      <c r="C1679" s="38" t="n">
        <f aca="false">Q!$D$46</f>
        <v>77.658</v>
      </c>
      <c r="D1679" s="38" t="n">
        <f aca="false">Q!$E$46</f>
        <v>128.32</v>
      </c>
      <c r="E1679" s="38" t="n">
        <f aca="false">Q!$P$46</f>
        <v>96.31</v>
      </c>
      <c r="F1679" s="38" t="n">
        <f aca="false">Sens!$F$1676+Sens!$F$1677+Sens!$F$1678</f>
        <v>155.211161851918</v>
      </c>
      <c r="G1679" s="38" t="n">
        <f aca="false">Sens!$E$1679+Sens!$F$1679</f>
        <v>251.521161851918</v>
      </c>
      <c r="H1679" s="38" t="n">
        <f aca="false">Sens!$H$1676+Sens!$H$1677+Sens!$H$1678</f>
        <v>322.935278346327</v>
      </c>
      <c r="I1679" s="38" t="n">
        <f aca="false">Sens!$I$1676+Sens!$I$1677+Sens!$I$1678</f>
        <v>338.05565081632</v>
      </c>
      <c r="J1679" s="38" t="n">
        <f aca="false">Sens!$J$1676+Sens!$J$1677+Sens!$J$1678</f>
        <v>350.383358649451</v>
      </c>
      <c r="K1679" s="38" t="n">
        <f aca="false">Sens!$K$1676+Sens!$K$1677+Sens!$K$1678</f>
        <v>286.854623980386</v>
      </c>
      <c r="L1679" s="38" t="n">
        <f aca="false">Sens!$L$1676+Sens!$L$1677+Sens!$L$1678</f>
        <v>255.224011104008</v>
      </c>
      <c r="M1679" s="38" t="n">
        <f aca="false">Sens!$M$1676+Sens!$M$1677+Sens!$M$1678</f>
        <v>267.37410016442</v>
      </c>
    </row>
    <row r="1680" customFormat="false" ht="17.15" hidden="false" customHeight="false" outlineLevel="0" collapsed="false">
      <c r="A1680" s="5" t="s">
        <v>560</v>
      </c>
      <c r="B1680" s="0" t="s">
        <v>86</v>
      </c>
      <c r="C1680" s="38" t="n">
        <f aca="false">Q!$D$50</f>
        <v>2.043</v>
      </c>
      <c r="D1680" s="38" t="n">
        <f aca="false">Q!$E$50</f>
        <v>1.557</v>
      </c>
      <c r="E1680" s="38" t="n">
        <f aca="false">lease_pr/2</f>
        <v>0.8</v>
      </c>
      <c r="F1680" s="38" t="n">
        <f aca="false">lease_pr/2</f>
        <v>0.8</v>
      </c>
      <c r="G1680" s="38" t="n">
        <f aca="false">Sens!$E$1680+Sens!$F$1680</f>
        <v>1.6</v>
      </c>
      <c r="H1680" s="38" t="n">
        <f aca="false">lease_pr</f>
        <v>1.6</v>
      </c>
      <c r="I1680" s="38" t="n">
        <f aca="false">lease_pr</f>
        <v>1.6</v>
      </c>
      <c r="J1680" s="38" t="n">
        <f aca="false">lease_pr</f>
        <v>1.6</v>
      </c>
      <c r="K1680" s="38" t="n">
        <f aca="false">lease_pr</f>
        <v>1.6</v>
      </c>
      <c r="L1680" s="38" t="n">
        <f aca="false">lease_pr</f>
        <v>1.6</v>
      </c>
      <c r="M1680" s="38" t="n">
        <f aca="false">lease_pr</f>
        <v>1.6</v>
      </c>
      <c r="P1680" s="8" t="s">
        <v>786</v>
      </c>
    </row>
    <row r="1681" customFormat="false" ht="15" hidden="false" customHeight="false" outlineLevel="0" collapsed="false">
      <c r="A1681" s="47" t="s">
        <v>787</v>
      </c>
      <c r="B1681" s="14" t="s">
        <v>86</v>
      </c>
      <c r="C1681" s="48" t="n">
        <f aca="false">Sens!$C$1675-Sens!$C$1679-Sens!$C$1680</f>
        <v>36.176</v>
      </c>
      <c r="D1681" s="48" t="n">
        <f aca="false">Sens!$D$1675-Sens!$D$1679-Sens!$D$1680</f>
        <v>9.63700000000002</v>
      </c>
      <c r="E1681" s="48" t="n">
        <f aca="false">Sens!$E$1675-Sens!$E$1679-Sens!$E$1680</f>
        <v>-25.691</v>
      </c>
      <c r="F1681" s="48" t="n">
        <f aca="false">Sens!$F$1675-Sens!$F$1679-Sens!$F$1680</f>
        <v>-64.0354129918958</v>
      </c>
      <c r="G1681" s="48" t="n">
        <f aca="false">Sens!$G$1675-Sens!$G$1679-Sens!$G$1680</f>
        <v>-89.7264129918958</v>
      </c>
      <c r="H1681" s="48" t="n">
        <f aca="false">Sens!$H$1675-Sens!$H$1679-Sens!$H$1680</f>
        <v>-97.445013198027</v>
      </c>
      <c r="I1681" s="48" t="n">
        <f aca="false">Sens!$I$1675-Sens!$I$1679-Sens!$I$1680</f>
        <v>-55.234671044759</v>
      </c>
      <c r="J1681" s="48" t="n">
        <f aca="false">Sens!$J$1675-Sens!$J$1679-Sens!$J$1680</f>
        <v>-8.96763842177885</v>
      </c>
      <c r="K1681" s="48" t="n">
        <f aca="false">Sens!$K$1675-Sens!$K$1679-Sens!$K$1680</f>
        <v>108.586358061721</v>
      </c>
      <c r="L1681" s="48" t="n">
        <f aca="false">Sens!$L$1675-Sens!$L$1679-Sens!$L$1680</f>
        <v>186.502880841608</v>
      </c>
      <c r="M1681" s="48" t="n">
        <f aca="false">Sens!$M$1675-Sens!$M$1679-Sens!$M$1680</f>
        <v>213.222752135814</v>
      </c>
      <c r="N1681" s="14"/>
      <c r="O1681" s="14"/>
    </row>
    <row r="1682" customFormat="false" ht="17.15" hidden="false" customHeight="false" outlineLevel="0" collapsed="false">
      <c r="A1682" s="5" t="s">
        <v>788</v>
      </c>
      <c r="B1682" s="0" t="s">
        <v>86</v>
      </c>
      <c r="C1682" s="38" t="n">
        <f aca="false">dps*Sens!$C$1661</f>
        <v>0</v>
      </c>
      <c r="D1682" s="38" t="n">
        <f aca="false">dps*Sens!$D$1661</f>
        <v>0</v>
      </c>
      <c r="E1682" s="38" t="n">
        <f aca="false">dps*Sens!$E$1661</f>
        <v>0</v>
      </c>
      <c r="F1682" s="38" t="n">
        <f aca="false">0</f>
        <v>0</v>
      </c>
      <c r="G1682" s="38" t="n">
        <f aca="false">dps*Sens!$G$1661</f>
        <v>0</v>
      </c>
      <c r="H1682" s="38" t="n">
        <f aca="false">dps*Sens!$H$1661</f>
        <v>0</v>
      </c>
      <c r="I1682" s="38" t="n">
        <f aca="false">dps*Sens!$I$1661</f>
        <v>0</v>
      </c>
      <c r="J1682" s="38" t="n">
        <f aca="false">dps*Sens!$J$1661</f>
        <v>0</v>
      </c>
      <c r="K1682" s="38" t="n">
        <f aca="false">dps*Sens!$K$1661</f>
        <v>0</v>
      </c>
      <c r="L1682" s="38" t="n">
        <f aca="false">dps*Sens!$L$1661</f>
        <v>0</v>
      </c>
      <c r="M1682" s="38" t="n">
        <f aca="false">dps*Sens!$M$1661</f>
        <v>0</v>
      </c>
      <c r="P1682" s="8" t="s">
        <v>789</v>
      </c>
    </row>
    <row r="1683" customFormat="false" ht="17.15" hidden="false" customHeight="false" outlineLevel="0" collapsed="false">
      <c r="A1683" s="5" t="s">
        <v>790</v>
      </c>
      <c r="B1683" s="0" t="s">
        <v>86</v>
      </c>
      <c r="C1683" s="38" t="n">
        <f aca="false">0</f>
        <v>0</v>
      </c>
      <c r="D1683" s="38" t="n">
        <f aca="false">0</f>
        <v>0</v>
      </c>
      <c r="E1683" s="38" t="n">
        <f aca="false">0</f>
        <v>0</v>
      </c>
      <c r="F1683" s="38" t="n">
        <f aca="false">0</f>
        <v>0</v>
      </c>
      <c r="G1683" s="38" t="n">
        <f aca="false">0</f>
        <v>0</v>
      </c>
      <c r="H1683" s="38" t="n">
        <f aca="false">0</f>
        <v>0</v>
      </c>
      <c r="I1683" s="38" t="n">
        <f aca="false">0</f>
        <v>0</v>
      </c>
      <c r="J1683" s="38" t="n">
        <f aca="false">0</f>
        <v>0</v>
      </c>
      <c r="K1683" s="38" t="n">
        <f aca="false">0</f>
        <v>0</v>
      </c>
      <c r="L1683" s="38" t="n">
        <f aca="false">0</f>
        <v>0</v>
      </c>
      <c r="M1683" s="38" t="n">
        <f aca="false">0</f>
        <v>0</v>
      </c>
      <c r="P1683" s="8" t="s">
        <v>791</v>
      </c>
    </row>
    <row r="1684" customFormat="false" ht="15" hidden="false" customHeight="false" outlineLevel="0" collapsed="false">
      <c r="A1684" s="3" t="s">
        <v>792</v>
      </c>
      <c r="B1684" s="8" t="s">
        <v>86</v>
      </c>
      <c r="C1684" s="38" t="n">
        <f aca="false">Sens!$C$1681-Sens!$C$1682</f>
        <v>36.176</v>
      </c>
      <c r="D1684" s="38" t="n">
        <f aca="false">Sens!$D$1681-Sens!$D$1682</f>
        <v>9.63700000000002</v>
      </c>
      <c r="E1684" s="38" t="n">
        <f aca="false">Sens!$E$1681-Sens!$E$1682</f>
        <v>-25.691</v>
      </c>
      <c r="F1684" s="38" t="n">
        <f aca="false">Sens!$F$1681-Sens!$F$1682</f>
        <v>-64.0354129918958</v>
      </c>
      <c r="G1684" s="38" t="n">
        <f aca="false">Sens!$G$1681-Sens!$G$1682</f>
        <v>-89.7264129918958</v>
      </c>
      <c r="H1684" s="38" t="n">
        <f aca="false">Sens!$H$1681-Sens!$H$1682</f>
        <v>-97.445013198027</v>
      </c>
      <c r="I1684" s="38" t="n">
        <f aca="false">Sens!$I$1681-Sens!$I$1682</f>
        <v>-55.234671044759</v>
      </c>
      <c r="J1684" s="38" t="n">
        <f aca="false">Sens!$J$1681-Sens!$J$1682</f>
        <v>-8.96763842177885</v>
      </c>
      <c r="K1684" s="38" t="n">
        <f aca="false">Sens!$K$1681-Sens!$K$1682</f>
        <v>108.586358061721</v>
      </c>
      <c r="L1684" s="38" t="n">
        <f aca="false">Sens!$L$1681-Sens!$L$1682</f>
        <v>186.502880841608</v>
      </c>
      <c r="M1684" s="38" t="n">
        <f aca="false">Sens!$M$1681-Sens!$M$1682</f>
        <v>213.222752135814</v>
      </c>
    </row>
    <row r="1685" customFormat="false" ht="17.15" hidden="false" customHeight="false" outlineLevel="0" collapsed="false">
      <c r="A1685" s="5" t="s">
        <v>793</v>
      </c>
      <c r="B1685" s="0" t="s">
        <v>86</v>
      </c>
      <c r="E1685" s="38" t="n">
        <f aca="false">Q!$P$53</f>
        <v>39.767</v>
      </c>
      <c r="F1685" s="38" t="n">
        <f aca="false">inv_2h26</f>
        <v>21.3</v>
      </c>
      <c r="G1685" s="38" t="n">
        <f aca="false">Sens!$E$1685+Sens!$F$1685</f>
        <v>61.067</v>
      </c>
      <c r="H1685" s="39" t="n">
        <v>0</v>
      </c>
      <c r="I1685" s="39" t="n">
        <v>0</v>
      </c>
      <c r="J1685" s="39" t="n">
        <v>0</v>
      </c>
      <c r="K1685" s="39" t="n">
        <v>0</v>
      </c>
      <c r="L1685" s="39" t="n">
        <v>0</v>
      </c>
      <c r="M1685" s="39" t="n">
        <v>0</v>
      </c>
    </row>
    <row r="1686" customFormat="false" ht="17.15" hidden="false" customHeight="false" outlineLevel="0" collapsed="false">
      <c r="A1686" s="5" t="s">
        <v>794</v>
      </c>
      <c r="B1686" s="0" t="s">
        <v>86</v>
      </c>
      <c r="F1686" s="38" t="n">
        <f aca="false">iss_2h26</f>
        <v>29.249999</v>
      </c>
      <c r="G1686" s="38" t="n">
        <f aca="false">Sens!$F$1686</f>
        <v>29.249999</v>
      </c>
      <c r="H1686" s="39" t="n">
        <v>0</v>
      </c>
      <c r="I1686" s="39" t="n">
        <v>0</v>
      </c>
      <c r="J1686" s="39" t="n">
        <v>0</v>
      </c>
      <c r="K1686" s="39" t="n">
        <v>0</v>
      </c>
      <c r="L1686" s="39" t="n">
        <v>0</v>
      </c>
      <c r="M1686" s="39" t="n">
        <v>0</v>
      </c>
    </row>
    <row r="1687" customFormat="false" ht="17.15" hidden="false" customHeight="false" outlineLevel="0" collapsed="false">
      <c r="A1687" s="5" t="s">
        <v>795</v>
      </c>
      <c r="B1687" s="0" t="s">
        <v>86</v>
      </c>
      <c r="F1687" s="38" t="n">
        <f aca="false">cash_q2</f>
        <v>122.988</v>
      </c>
      <c r="G1687" s="38" t="n">
        <f aca="false">cash_q2</f>
        <v>122.988</v>
      </c>
      <c r="H1687" s="38" t="n">
        <f aca="false">Sens!$G$1690</f>
        <v>66.9025860081042</v>
      </c>
      <c r="I1687" s="38" t="n">
        <f aca="false">Sens!$H$1690</f>
        <v>50</v>
      </c>
      <c r="J1687" s="38" t="n">
        <f aca="false">Sens!$I$1690</f>
        <v>50</v>
      </c>
      <c r="K1687" s="38" t="n">
        <f aca="false">Sens!$J$1690</f>
        <v>50</v>
      </c>
      <c r="L1687" s="38" t="n">
        <f aca="false">Sens!$K$1690</f>
        <v>158.586358061721</v>
      </c>
      <c r="M1687" s="38" t="n">
        <f aca="false">Sens!$L$1690</f>
        <v>345.089238903329</v>
      </c>
    </row>
    <row r="1688" customFormat="false" ht="15" hidden="false" customHeight="false" outlineLevel="0" collapsed="false">
      <c r="A1688" s="5" t="s">
        <v>796</v>
      </c>
      <c r="B1688" s="0" t="s">
        <v>86</v>
      </c>
      <c r="F1688" s="38" t="n">
        <f aca="false">Sens!$F$1687+Sens!$F$1684-Sens!$F$1683-Sens!$F$1685+Sens!$F$1686</f>
        <v>66.9025860081042</v>
      </c>
      <c r="H1688" s="38" t="n">
        <f aca="false">Sens!$H$1687+Sens!$H$1684-Sens!$H$1683-Sens!$H$1685+Sens!$H$1686</f>
        <v>-30.5424271899228</v>
      </c>
      <c r="I1688" s="38" t="n">
        <f aca="false">Sens!$I$1687+Sens!$I$1684-Sens!$I$1683-Sens!$I$1685+Sens!$I$1686</f>
        <v>-5.23467104475899</v>
      </c>
      <c r="J1688" s="38" t="n">
        <f aca="false">Sens!$J$1687+Sens!$J$1684-Sens!$J$1683-Sens!$J$1685+Sens!$J$1686</f>
        <v>41.0323615782212</v>
      </c>
      <c r="K1688" s="38" t="n">
        <f aca="false">Sens!$K$1687+Sens!$K$1684-Sens!$K$1683-Sens!$K$1685+Sens!$K$1686</f>
        <v>158.586358061721</v>
      </c>
      <c r="L1688" s="38" t="n">
        <f aca="false">Sens!$L$1687+Sens!$L$1684-Sens!$L$1683-Sens!$L$1685+Sens!$L$1686</f>
        <v>345.089238903329</v>
      </c>
      <c r="M1688" s="38" t="n">
        <f aca="false">Sens!$M$1687+Sens!$M$1684-Sens!$M$1683-Sens!$M$1685+Sens!$M$1686</f>
        <v>558.311991039143</v>
      </c>
    </row>
    <row r="1689" customFormat="false" ht="17.15" hidden="false" customHeight="false" outlineLevel="0" collapsed="false">
      <c r="A1689" s="5" t="s">
        <v>797</v>
      </c>
      <c r="B1689" s="0" t="s">
        <v>86</v>
      </c>
      <c r="F1689" s="38" t="n">
        <f aca="false">MAX(0,min_cash-Sens!$F$1688)</f>
        <v>0</v>
      </c>
      <c r="G1689" s="38" t="n">
        <f aca="false">Sens!$F$1689</f>
        <v>0</v>
      </c>
      <c r="H1689" s="38" t="n">
        <f aca="false">MAX(0,min_cash-Sens!$H$1688)</f>
        <v>80.5424271899228</v>
      </c>
      <c r="I1689" s="38" t="n">
        <f aca="false">MAX(0,min_cash-Sens!$I$1688)</f>
        <v>55.234671044759</v>
      </c>
      <c r="J1689" s="38" t="n">
        <f aca="false">MAX(0,min_cash-Sens!$J$1688)</f>
        <v>8.96763842177885</v>
      </c>
      <c r="K1689" s="38" t="n">
        <f aca="false">MAX(0,min_cash-Sens!$K$1688)</f>
        <v>0</v>
      </c>
      <c r="L1689" s="38" t="n">
        <f aca="false">MAX(0,min_cash-Sens!$L$1688)</f>
        <v>0</v>
      </c>
      <c r="M1689" s="38" t="n">
        <f aca="false">MAX(0,min_cash-Sens!$M$1688)</f>
        <v>0</v>
      </c>
      <c r="P1689" s="5" t="s">
        <v>798</v>
      </c>
    </row>
    <row r="1690" customFormat="false" ht="15" hidden="false" customHeight="false" outlineLevel="0" collapsed="false">
      <c r="A1690" s="5" t="s">
        <v>799</v>
      </c>
      <c r="B1690" s="0" t="s">
        <v>86</v>
      </c>
      <c r="D1690" s="38" t="n">
        <f aca="false">Q!$E$61</f>
        <v>123.029</v>
      </c>
      <c r="E1690" s="38" t="n">
        <f aca="false">Q!$M$61</f>
        <v>122.988</v>
      </c>
      <c r="F1690" s="38" t="n">
        <f aca="false">Sens!$F$1688+Sens!$F$1689</f>
        <v>66.9025860081042</v>
      </c>
      <c r="G1690" s="38" t="n">
        <f aca="false">Sens!$F$1690</f>
        <v>66.9025860081042</v>
      </c>
      <c r="H1690" s="38" t="n">
        <f aca="false">Sens!$H$1688+Sens!$H$1689</f>
        <v>50</v>
      </c>
      <c r="I1690" s="38" t="n">
        <f aca="false">Sens!$I$1688+Sens!$I$1689</f>
        <v>50</v>
      </c>
      <c r="J1690" s="38" t="n">
        <f aca="false">Sens!$J$1688+Sens!$J$1689</f>
        <v>50</v>
      </c>
      <c r="K1690" s="38" t="n">
        <f aca="false">Sens!$K$1688+Sens!$K$1689</f>
        <v>158.586358061721</v>
      </c>
      <c r="L1690" s="38" t="n">
        <f aca="false">Sens!$L$1688+Sens!$L$1689</f>
        <v>345.089238903329</v>
      </c>
      <c r="M1690" s="38" t="n">
        <f aca="false">Sens!$M$1688+Sens!$M$1689</f>
        <v>558.311991039143</v>
      </c>
    </row>
    <row r="1691" customFormat="false" ht="15" hidden="false" customHeight="false" outlineLevel="0" collapsed="false">
      <c r="A1691" s="5" t="s">
        <v>800</v>
      </c>
      <c r="B1691" s="0" t="s">
        <v>86</v>
      </c>
      <c r="D1691" s="38" t="n">
        <f aca="false">Q!$E$62</f>
        <v>68.836</v>
      </c>
      <c r="E1691" s="38" t="n">
        <f aca="false">Q!$M$62</f>
        <v>132.995</v>
      </c>
      <c r="F1691" s="38" t="n">
        <f aca="false">debt_q2+Sens!$F$1686+Sens!$F$1689</f>
        <v>162.244999</v>
      </c>
      <c r="G1691" s="38" t="n">
        <f aca="false">Sens!$F$1691</f>
        <v>162.244999</v>
      </c>
      <c r="H1691" s="38" t="n">
        <f aca="false">Sens!$G$1691+Sens!$H$1689</f>
        <v>242.787426189923</v>
      </c>
      <c r="I1691" s="38" t="n">
        <f aca="false">Sens!$H$1691+Sens!$I$1689</f>
        <v>298.022097234682</v>
      </c>
      <c r="J1691" s="38" t="n">
        <f aca="false">Sens!$I$1691+Sens!$J$1689</f>
        <v>306.989735656461</v>
      </c>
      <c r="K1691" s="38" t="n">
        <f aca="false">Sens!$J$1691+Sens!$K$1689</f>
        <v>306.989735656461</v>
      </c>
      <c r="L1691" s="38" t="n">
        <f aca="false">Sens!$K$1691+Sens!$L$1689</f>
        <v>306.989735656461</v>
      </c>
      <c r="M1691" s="38" t="n">
        <f aca="false">Sens!$L$1691+Sens!$M$1689</f>
        <v>306.989735656461</v>
      </c>
    </row>
    <row r="1692" customFormat="false" ht="15" hidden="false" customHeight="false" outlineLevel="0" collapsed="false">
      <c r="A1692" s="5" t="s">
        <v>801</v>
      </c>
      <c r="B1692" s="0" t="s">
        <v>86</v>
      </c>
      <c r="D1692" s="38" t="n">
        <f aca="false">Sens!$D$1691-Sens!$D$1690</f>
        <v>-54.193</v>
      </c>
      <c r="E1692" s="38" t="n">
        <f aca="false">Sens!$E$1691-Sens!$E$1690</f>
        <v>10.007</v>
      </c>
      <c r="F1692" s="38" t="n">
        <f aca="false">Sens!$F$1691-Sens!$F$1690</f>
        <v>95.3424129918958</v>
      </c>
      <c r="G1692" s="38" t="n">
        <f aca="false">Sens!$G$1691-Sens!$G$1690</f>
        <v>95.3424129918958</v>
      </c>
      <c r="H1692" s="38" t="n">
        <f aca="false">Sens!$H$1691-Sens!$H$1690</f>
        <v>192.787426189923</v>
      </c>
      <c r="I1692" s="38" t="n">
        <f aca="false">Sens!$I$1691-Sens!$I$1690</f>
        <v>248.022097234682</v>
      </c>
      <c r="J1692" s="38" t="n">
        <f aca="false">Sens!$J$1691-Sens!$J$1690</f>
        <v>256.989735656461</v>
      </c>
      <c r="K1692" s="38" t="n">
        <f aca="false">Sens!$K$1691-Sens!$K$1690</f>
        <v>148.40337759474</v>
      </c>
      <c r="L1692" s="38" t="n">
        <f aca="false">Sens!$L$1691-Sens!$L$1690</f>
        <v>-38.0995032468688</v>
      </c>
      <c r="M1692" s="38" t="n">
        <f aca="false">Sens!$M$1691-Sens!$M$1690</f>
        <v>-251.322255382682</v>
      </c>
    </row>
    <row r="1693" customFormat="false" ht="17.15" hidden="false" customHeight="false" outlineLevel="0" collapsed="false">
      <c r="A1693" s="5" t="s">
        <v>802</v>
      </c>
      <c r="B1693" s="0" t="s">
        <v>86</v>
      </c>
      <c r="F1693" s="38" t="n">
        <f aca="false">debt_q2*kd_book*0.5+iss_2h26*kd_new*iss_t</f>
        <v>3.24888962733561</v>
      </c>
      <c r="H1693" s="38" t="n">
        <f aca="false">debt_q2*kd_book+(Sens!$G$1691-debt_q2)*kd_new</f>
        <v>7.42354172302123</v>
      </c>
      <c r="I1693" s="38" t="n">
        <f aca="false">debt_q2*kd_book+(Sens!$H$1691-debt_q2)*kd_new</f>
        <v>12.5218773641433</v>
      </c>
      <c r="J1693" s="38" t="n">
        <f aca="false">debt_q2*kd_book+(Sens!$I$1691-debt_q2)*kd_new</f>
        <v>16.0182320412766</v>
      </c>
      <c r="K1693" s="38" t="n">
        <f aca="false">debt_q2*kd_book+(Sens!$J$1691-debt_q2)*kd_new</f>
        <v>16.5858835533752</v>
      </c>
      <c r="L1693" s="38" t="n">
        <f aca="false">debt_q2*kd_book+(Sens!$K$1691-debt_q2)*kd_new</f>
        <v>16.5858835533752</v>
      </c>
      <c r="M1693" s="38" t="n">
        <f aca="false">debt_q2*kd_book+(Sens!$L$1691-debt_q2)*kd_new</f>
        <v>16.5858835533752</v>
      </c>
    </row>
    <row r="1694" customFormat="false" ht="17.15" hidden="false" customHeight="false" outlineLevel="0" collapsed="false">
      <c r="A1694" s="5" t="s">
        <v>803</v>
      </c>
      <c r="B1694" s="0" t="s">
        <v>86</v>
      </c>
      <c r="F1694" s="38" t="n">
        <f aca="false">cash_q2*y_cash*0.5</f>
        <v>2.59</v>
      </c>
      <c r="H1694" s="38" t="n">
        <f aca="false">Sens!$G$1690*y_cash</f>
        <v>2.81779844799476</v>
      </c>
      <c r="I1694" s="38" t="n">
        <f aca="false">Sens!$H$1690*y_cash</f>
        <v>2.10589651022864</v>
      </c>
      <c r="J1694" s="38" t="n">
        <f aca="false">Sens!$I$1690*y_cash</f>
        <v>2.10589651022864</v>
      </c>
      <c r="K1694" s="38" t="n">
        <f aca="false">Sens!$J$1690*y_cash</f>
        <v>2.10589651022864</v>
      </c>
      <c r="L1694" s="38" t="n">
        <f aca="false">Sens!$K$1690*y_cash</f>
        <v>6.67932916024096</v>
      </c>
      <c r="M1694" s="38" t="n">
        <f aca="false">Sens!$L$1690*y_cash</f>
        <v>14.5344444784796</v>
      </c>
    </row>
    <row r="1695" customFormat="false" ht="17.15" hidden="false" customHeight="false" outlineLevel="0" collapsed="false">
      <c r="A1695" s="47" t="s">
        <v>804</v>
      </c>
      <c r="B1695" s="14" t="s">
        <v>86</v>
      </c>
      <c r="C1695" s="14"/>
      <c r="D1695" s="14"/>
      <c r="E1695" s="14"/>
      <c r="F1695" s="14"/>
      <c r="G1695" s="48" t="n">
        <f aca="false">SUM(Sens!$G$1684:$K$1684)</f>
        <v>-142.78737759474</v>
      </c>
      <c r="H1695" s="14"/>
      <c r="I1695" s="14"/>
      <c r="J1695" s="14"/>
      <c r="K1695" s="14"/>
      <c r="L1695" s="14"/>
      <c r="M1695" s="14"/>
      <c r="N1695" s="14"/>
      <c r="O1695" s="14"/>
    </row>
    <row r="1696" customFormat="false" ht="17.15" hidden="false" customHeight="false" outlineLevel="0" collapsed="false">
      <c r="A1696" s="0" t="s">
        <v>770</v>
      </c>
      <c r="B1696" s="0" t="s">
        <v>86</v>
      </c>
      <c r="G1696" s="38" t="n">
        <f aca="false">SUM(Sens!$G$1689:$K$1689)</f>
        <v>144.744736656461</v>
      </c>
    </row>
    <row r="1697" customFormat="false" ht="17.15" hidden="false" customHeight="false" outlineLevel="0" collapsed="false">
      <c r="A1697" s="24" t="s">
        <v>807</v>
      </c>
      <c r="B1697" s="25" t="s">
        <v>86</v>
      </c>
      <c r="C1697" s="25"/>
      <c r="D1697" s="25"/>
      <c r="E1697" s="25"/>
      <c r="F1697" s="25"/>
      <c r="G1697" s="41" t="n">
        <f aca="false">Sens!$G$1695-(Sens!$G$1684+Sens!$H$1684+Sens!$I$1684+Sens!$J$1684+Sens!$K$1684)</f>
        <v>0</v>
      </c>
      <c r="H1697" s="25"/>
      <c r="I1697" s="25"/>
      <c r="J1697" s="25"/>
      <c r="K1697" s="25"/>
      <c r="L1697" s="25"/>
      <c r="M1697" s="25"/>
      <c r="N1697" s="25"/>
      <c r="O1697" s="25"/>
    </row>
    <row r="1700" customFormat="false" ht="19.4" hidden="false" customHeight="false" outlineLevel="0" collapsed="false">
      <c r="A1700" s="31" t="s">
        <v>1161</v>
      </c>
    </row>
    <row r="1701" customFormat="false" ht="17.15" hidden="false" customHeight="false" outlineLevel="0" collapsed="false">
      <c r="A1701" s="6" t="s">
        <v>16</v>
      </c>
      <c r="B1701" s="6" t="s">
        <v>17</v>
      </c>
      <c r="C1701" s="20" t="s">
        <v>494</v>
      </c>
      <c r="D1701" s="20" t="s">
        <v>495</v>
      </c>
      <c r="E1701" s="20" t="s">
        <v>577</v>
      </c>
      <c r="F1701" s="20" t="s">
        <v>578</v>
      </c>
      <c r="G1701" s="20" t="s">
        <v>579</v>
      </c>
      <c r="H1701" s="20" t="s">
        <v>580</v>
      </c>
      <c r="I1701" s="20" t="s">
        <v>581</v>
      </c>
      <c r="J1701" s="20" t="s">
        <v>582</v>
      </c>
      <c r="K1701" s="20" t="s">
        <v>583</v>
      </c>
      <c r="L1701" s="20" t="s">
        <v>584</v>
      </c>
      <c r="M1701" s="20" t="s">
        <v>585</v>
      </c>
      <c r="N1701" s="20" t="s">
        <v>586</v>
      </c>
      <c r="O1701" s="20" t="s">
        <v>587</v>
      </c>
      <c r="P1701" s="6" t="s">
        <v>23</v>
      </c>
      <c r="R1701" s="20" t="n">
        <v>2023</v>
      </c>
      <c r="S1701" s="20" t="n">
        <v>2024</v>
      </c>
      <c r="T1701" s="20" t="n">
        <v>2025</v>
      </c>
      <c r="U1701" s="20" t="n">
        <v>2026</v>
      </c>
      <c r="V1701" s="20" t="n">
        <v>2027</v>
      </c>
      <c r="W1701" s="20" t="n">
        <v>2028</v>
      </c>
      <c r="X1701" s="20" t="n">
        <v>2029</v>
      </c>
      <c r="Y1701" s="20" t="n">
        <v>2030</v>
      </c>
      <c r="Z1701" s="20" t="n">
        <v>2031</v>
      </c>
      <c r="AA1701" s="20" t="n">
        <v>2032</v>
      </c>
    </row>
    <row r="1702" customFormat="false" ht="17.15" hidden="false" customHeight="false" outlineLevel="0" collapsed="false">
      <c r="A1702" s="1" t="s">
        <v>909</v>
      </c>
    </row>
    <row r="1703" customFormat="false" ht="17.15" hidden="false" customHeight="false" outlineLevel="0" collapsed="false">
      <c r="A1703" s="0" t="s">
        <v>910</v>
      </c>
      <c r="B1703" s="0" t="s">
        <v>86</v>
      </c>
      <c r="H1703" s="38" t="n">
        <f aca="false">Sens!$H$1637*(1-tax)</f>
        <v>122.829371448243</v>
      </c>
      <c r="I1703" s="38" t="n">
        <f aca="false">Sens!$I$1637*(1-tax)</f>
        <v>151.030428794207</v>
      </c>
      <c r="J1703" s="38" t="n">
        <f aca="false">Sens!$J$1637*(1-tax)</f>
        <v>177.840839587671</v>
      </c>
      <c r="K1703" s="38" t="n">
        <f aca="false">Sens!$K$1637*(1-tax)</f>
        <v>196.444684564932</v>
      </c>
      <c r="L1703" s="38" t="n">
        <f aca="false">Sens!$L$1637*(1-tax)</f>
        <v>212.512857514717</v>
      </c>
      <c r="M1703" s="38" t="n">
        <f aca="false">Sens!$M$1637*(1-tax)</f>
        <v>225.121467247369</v>
      </c>
    </row>
    <row r="1704" customFormat="false" ht="15" hidden="false" customHeight="false" outlineLevel="0" collapsed="false">
      <c r="A1704" s="5" t="s">
        <v>911</v>
      </c>
      <c r="B1704" s="0" t="s">
        <v>86</v>
      </c>
      <c r="H1704" s="38" t="n">
        <f aca="false">Sens!$H$1648</f>
        <v>87.6097067841755</v>
      </c>
      <c r="I1704" s="38" t="n">
        <f aca="false">Sens!$I$1648</f>
        <v>127.260222758431</v>
      </c>
      <c r="J1704" s="38" t="n">
        <f aca="false">Sens!$J$1648</f>
        <v>167.898808240695</v>
      </c>
      <c r="K1704" s="38" t="n">
        <f aca="false">Sens!$K$1648</f>
        <v>208.768374982104</v>
      </c>
      <c r="L1704" s="38" t="n">
        <f aca="false">Sens!$L$1648</f>
        <v>237.385952797275</v>
      </c>
      <c r="M1704" s="38" t="n">
        <f aca="false">Sens!$M$1648</f>
        <v>256.514688124063</v>
      </c>
    </row>
    <row r="1705" customFormat="false" ht="15" hidden="false" customHeight="false" outlineLevel="0" collapsed="false">
      <c r="A1705" s="5" t="s">
        <v>912</v>
      </c>
      <c r="B1705" s="0" t="s">
        <v>86</v>
      </c>
      <c r="H1705" s="38" t="n">
        <f aca="false">Sens!$H$1679</f>
        <v>322.935278346327</v>
      </c>
      <c r="I1705" s="38" t="n">
        <f aca="false">Sens!$I$1679</f>
        <v>338.05565081632</v>
      </c>
      <c r="J1705" s="38" t="n">
        <f aca="false">Sens!$J$1679</f>
        <v>350.383358649451</v>
      </c>
      <c r="K1705" s="38" t="n">
        <f aca="false">Sens!$K$1679</f>
        <v>286.854623980386</v>
      </c>
      <c r="L1705" s="38" t="n">
        <f aca="false">Sens!$L$1679</f>
        <v>255.224011104008</v>
      </c>
      <c r="M1705" s="38" t="n">
        <f aca="false">Sens!$M$1679</f>
        <v>267.37410016442</v>
      </c>
    </row>
    <row r="1706" customFormat="false" ht="15" hidden="false" customHeight="false" outlineLevel="0" collapsed="false">
      <c r="A1706" s="5" t="s">
        <v>913</v>
      </c>
      <c r="B1706" s="0" t="s">
        <v>86</v>
      </c>
      <c r="H1706" s="38" t="n">
        <f aca="false">Sens!$H$1680</f>
        <v>1.6</v>
      </c>
      <c r="I1706" s="38" t="n">
        <f aca="false">Sens!$I$1680</f>
        <v>1.6</v>
      </c>
      <c r="J1706" s="38" t="n">
        <f aca="false">Sens!$J$1680</f>
        <v>1.6</v>
      </c>
      <c r="K1706" s="38" t="n">
        <f aca="false">Sens!$K$1680</f>
        <v>1.6</v>
      </c>
      <c r="L1706" s="38" t="n">
        <f aca="false">Sens!$L$1680</f>
        <v>1.6</v>
      </c>
      <c r="M1706" s="38" t="n">
        <f aca="false">Sens!$M$1680</f>
        <v>1.6</v>
      </c>
    </row>
    <row r="1707" customFormat="false" ht="15" hidden="false" customHeight="false" outlineLevel="0" collapsed="false">
      <c r="A1707" s="5" t="s">
        <v>914</v>
      </c>
      <c r="B1707" s="0" t="s">
        <v>86</v>
      </c>
      <c r="H1707" s="38" t="n">
        <f aca="false">Sens!$H$1674</f>
        <v>11.3965474431166</v>
      </c>
      <c r="I1707" s="38" t="n">
        <f aca="false">Sens!$I$1674</f>
        <v>13.0351977106943</v>
      </c>
      <c r="J1707" s="38" t="n">
        <f aca="false">Sens!$J$1674</f>
        <v>14.6095947179975</v>
      </c>
      <c r="K1707" s="38" t="n">
        <f aca="false">Sens!$K$1674</f>
        <v>15.9863141006124</v>
      </c>
      <c r="L1707" s="38" t="n">
        <f aca="false">Sens!$L$1674</f>
        <v>17.2414651957489</v>
      </c>
      <c r="M1707" s="38" t="n">
        <f aca="false">Sens!$M$1674</f>
        <v>18.3792632978225</v>
      </c>
    </row>
    <row r="1708" customFormat="false" ht="17.15" hidden="false" customHeight="false" outlineLevel="0" collapsed="false">
      <c r="A1708" s="1" t="s">
        <v>915</v>
      </c>
      <c r="B1708" s="8" t="s">
        <v>86</v>
      </c>
      <c r="H1708" s="38" t="n">
        <f aca="false">Sens!$H$1703+Sens!$H$1704-Sens!$H$1705-Sens!$H$1706+Sens!$H$1707</f>
        <v>-102.699652670792</v>
      </c>
      <c r="I1708" s="38" t="n">
        <f aca="false">Sens!$I$1703+Sens!$I$1704-Sens!$I$1705-Sens!$I$1706+Sens!$I$1707</f>
        <v>-48.3298015529872</v>
      </c>
      <c r="J1708" s="38" t="n">
        <f aca="false">Sens!$J$1703+Sens!$J$1704-Sens!$J$1705-Sens!$J$1706+Sens!$J$1707</f>
        <v>8.36588389691261</v>
      </c>
      <c r="K1708" s="38" t="n">
        <f aca="false">Sens!$K$1703+Sens!$K$1704-Sens!$K$1705-Sens!$K$1706+Sens!$K$1707</f>
        <v>132.744749667262</v>
      </c>
      <c r="L1708" s="38" t="n">
        <f aca="false">Sens!$L$1703+Sens!$L$1704-Sens!$L$1705-Sens!$L$1706+Sens!$L$1707</f>
        <v>210.316264403733</v>
      </c>
      <c r="M1708" s="38" t="n">
        <f aca="false">Sens!$M$1703+Sens!$M$1704-Sens!$M$1705-Sens!$M$1706+Sens!$M$1707</f>
        <v>231.041318504835</v>
      </c>
    </row>
    <row r="1709" customFormat="false" ht="15" hidden="false" customHeight="false" outlineLevel="0" collapsed="false">
      <c r="A1709" s="5" t="s">
        <v>916</v>
      </c>
      <c r="B1709" s="0" t="s">
        <v>57</v>
      </c>
      <c r="H1709" s="40" t="n">
        <f aca="false">1/(1+wacc)^(2027-2026-0.5)</f>
        <v>0.947751320380232</v>
      </c>
      <c r="I1709" s="40" t="n">
        <f aca="false">1/(1+wacc)^(2028-2026-0.5)</f>
        <v>0.851301099754987</v>
      </c>
      <c r="J1709" s="40" t="n">
        <f aca="false">1/(1+wacc)^(2029-2026-0.5)</f>
        <v>0.764666370660713</v>
      </c>
      <c r="K1709" s="40" t="n">
        <f aca="false">1/(1+wacc)^(2030-2026-0.5)</f>
        <v>0.686848235703811</v>
      </c>
      <c r="L1709" s="40" t="n">
        <f aca="false">1/(1+wacc)^(2031-2026-0.5)</f>
        <v>0.616949452715975</v>
      </c>
      <c r="M1709" s="40" t="n">
        <f aca="false">1/(1+wacc)^(2032-2026-0.5)</f>
        <v>0.554164089562688</v>
      </c>
    </row>
    <row r="1710" customFormat="false" ht="15" hidden="false" customHeight="false" outlineLevel="0" collapsed="false">
      <c r="A1710" s="5" t="s">
        <v>917</v>
      </c>
      <c r="B1710" s="0" t="s">
        <v>86</v>
      </c>
      <c r="H1710" s="38" t="n">
        <f aca="false">Sens!$H$1708*Sens!$H$1709</f>
        <v>-97.3337314213339</v>
      </c>
      <c r="I1710" s="38" t="n">
        <f aca="false">Sens!$I$1708*Sens!$I$1709</f>
        <v>-41.1432132129983</v>
      </c>
      <c r="J1710" s="38" t="n">
        <f aca="false">Sens!$J$1708*Sens!$J$1709</f>
        <v>6.39711007682107</v>
      </c>
      <c r="K1710" s="38" t="n">
        <f aca="false">Sens!$K$1708*Sens!$K$1709</f>
        <v>91.1754971079029</v>
      </c>
      <c r="L1710" s="38" t="n">
        <f aca="false">Sens!$L$1708*Sens!$L$1709</f>
        <v>129.754504221152</v>
      </c>
      <c r="M1710" s="38" t="n">
        <f aca="false">Sens!$M$1708*Sens!$M$1709</f>
        <v>128.034801920595</v>
      </c>
    </row>
    <row r="1711" customFormat="false" ht="15" hidden="false" customHeight="false" outlineLevel="0" collapsed="false">
      <c r="A1711" s="5" t="s">
        <v>918</v>
      </c>
      <c r="B1711" s="0" t="s">
        <v>86</v>
      </c>
      <c r="C1711" s="38" t="n">
        <f aca="false">SUM(Sens!$H$1710:$M$1710)</f>
        <v>216.884968692138</v>
      </c>
    </row>
    <row r="1712" customFormat="false" ht="17.15" hidden="false" customHeight="false" outlineLevel="0" collapsed="false">
      <c r="A1712" s="5" t="s">
        <v>919</v>
      </c>
      <c r="B1712" s="0" t="s">
        <v>86</v>
      </c>
      <c r="C1712" s="38" t="n">
        <f aca="false">Sens!$M$1703*(1+tg)*(1-tg/ronic)/(wacc-tg)</f>
        <v>2046.60534673634</v>
      </c>
    </row>
    <row r="1713" customFormat="false" ht="15" hidden="false" customHeight="false" outlineLevel="0" collapsed="false">
      <c r="A1713" s="5" t="s">
        <v>920</v>
      </c>
      <c r="B1713" s="0" t="s">
        <v>86</v>
      </c>
      <c r="C1713" s="38" t="n">
        <f aca="false">Sens!$C$1712/(1+wacc)^6</f>
        <v>1074.89707757645</v>
      </c>
    </row>
    <row r="1714" customFormat="false" ht="17.15" hidden="false" customHeight="false" outlineLevel="0" collapsed="false">
      <c r="A1714" s="5" t="s">
        <v>921</v>
      </c>
      <c r="B1714" s="0" t="s">
        <v>86</v>
      </c>
      <c r="C1714" s="38" t="n">
        <f aca="false">Sens!$C$1711+Sens!$C$1713</f>
        <v>1291.78204626859</v>
      </c>
    </row>
    <row r="1715" customFormat="false" ht="17.15" hidden="false" customHeight="false" outlineLevel="0" collapsed="false">
      <c r="A1715" s="5" t="s">
        <v>922</v>
      </c>
      <c r="B1715" s="0" t="s">
        <v>52</v>
      </c>
      <c r="C1715" s="13" t="n">
        <f aca="false">Sens!$C$1713/Sens!$C$1714</f>
        <v>0.832104053993762</v>
      </c>
    </row>
    <row r="1716" customFormat="false" ht="17.15" hidden="false" customHeight="false" outlineLevel="0" collapsed="false">
      <c r="A1716" s="5" t="s">
        <v>923</v>
      </c>
      <c r="B1716" s="0" t="s">
        <v>86</v>
      </c>
      <c r="C1716" s="38" t="n">
        <f aca="false">Sens!$G$1692+fin_debt</f>
        <v>119.863412991896</v>
      </c>
    </row>
    <row r="1717" customFormat="false" ht="17.15" hidden="false" customHeight="false" outlineLevel="0" collapsed="false">
      <c r="A1717" s="5" t="s">
        <v>924</v>
      </c>
      <c r="B1717" s="0" t="s">
        <v>86</v>
      </c>
      <c r="C1717" s="38" t="n">
        <f aca="false">(ant_val*ant_sh+oai_val*oai_sh)*(1-liq_disc)</f>
        <v>178.944</v>
      </c>
    </row>
    <row r="1718" customFormat="false" ht="15" hidden="false" customHeight="false" outlineLevel="0" collapsed="false">
      <c r="A1718" s="5" t="s">
        <v>925</v>
      </c>
      <c r="B1718" s="0" t="s">
        <v>86</v>
      </c>
      <c r="C1718" s="38" t="n">
        <f aca="false">Sens!$C$1714-Sens!$C$1716+Sens!$C$1717</f>
        <v>1350.86263327669</v>
      </c>
    </row>
    <row r="1719" customFormat="false" ht="17.15" hidden="false" customHeight="false" outlineLevel="0" collapsed="false">
      <c r="A1719" s="5" t="s">
        <v>926</v>
      </c>
      <c r="B1719" s="0" t="s">
        <v>27</v>
      </c>
      <c r="C1719" s="30" t="n">
        <f aca="false">Sens!$C$1718/sh_out</f>
        <v>125.238578561378</v>
      </c>
    </row>
    <row r="1720" customFormat="false" ht="17.15" hidden="false" customHeight="false" outlineLevel="0" collapsed="false">
      <c r="A1720" s="1" t="s">
        <v>927</v>
      </c>
      <c r="B1720" s="8" t="s">
        <v>27</v>
      </c>
      <c r="C1720" s="30" t="n">
        <f aca="false">Sens!$C$1719*(1+ke)^tp_yf-dps*tp_yf</f>
        <v>137.1824373329</v>
      </c>
    </row>
    <row r="1721" customFormat="false" ht="17.15" hidden="false" customHeight="false" outlineLevel="0" collapsed="false">
      <c r="A1721" s="3" t="s">
        <v>928</v>
      </c>
    </row>
    <row r="1722" customFormat="false" ht="17.15" hidden="false" customHeight="false" outlineLevel="0" collapsed="false">
      <c r="A1722" s="5" t="s">
        <v>929</v>
      </c>
      <c r="B1722" s="0" t="s">
        <v>86</v>
      </c>
      <c r="C1722" s="38" t="n">
        <f aca="false">(1-tp_yf)*(Sens!$H$1649+Sens!$H$1673*Sens!$H$1515/Sens!$H$1590)+tp_yf*(Sens!$I$1649+Sens!$I$1673*Sens!$I$1515/Sens!$I$1590)</f>
        <v>59.5184323528462</v>
      </c>
    </row>
    <row r="1723" customFormat="false" ht="15" hidden="false" customHeight="false" outlineLevel="0" collapsed="false">
      <c r="A1723" s="5" t="s">
        <v>930</v>
      </c>
      <c r="B1723" s="0" t="s">
        <v>57</v>
      </c>
      <c r="C1723" s="30" t="n">
        <f aca="false">m_ads*m_x</f>
        <v>9.11</v>
      </c>
    </row>
    <row r="1724" customFormat="false" ht="17.15" hidden="false" customHeight="false" outlineLevel="0" collapsed="false">
      <c r="A1724" s="5" t="s">
        <v>931</v>
      </c>
      <c r="B1724" s="0" t="s">
        <v>86</v>
      </c>
      <c r="C1724" s="38" t="n">
        <f aca="false">Sens!$C$1722*Sens!$C$1723</f>
        <v>542.212918734429</v>
      </c>
    </row>
    <row r="1725" customFormat="false" ht="17.15" hidden="false" customHeight="false" outlineLevel="0" collapsed="false">
      <c r="A1725" s="5" t="s">
        <v>932</v>
      </c>
      <c r="B1725" s="0" t="s">
        <v>86</v>
      </c>
      <c r="C1725" s="38" t="n">
        <f aca="false">(1-tp_yf)*(Sens!$H$1650+Sens!$H$1673*(Sens!$H$1522-Sens!$H$1515)/Sens!$H$1590+IF(internal_ai_reading=2,1,0)*(1-ext_sh)*Sens!$H$1552)+tp_yf*(Sens!$I$1650+Sens!$I$1673*(Sens!$I$1522-Sens!$I$1515)/Sens!$I$1590+IF(internal_ai_reading=2,1,0)*(1-ext_sh)*Sens!$I$1552)</f>
        <v>51.6844201157748</v>
      </c>
    </row>
    <row r="1726" customFormat="false" ht="17.15" hidden="false" customHeight="false" outlineLevel="0" collapsed="false">
      <c r="A1726" s="5" t="s">
        <v>933</v>
      </c>
      <c r="B1726" s="0" t="s">
        <v>57</v>
      </c>
      <c r="C1726" s="30" t="n">
        <f aca="false">m_retail*m_x</f>
        <v>17.72</v>
      </c>
    </row>
    <row r="1727" customFormat="false" ht="17.15" hidden="false" customHeight="false" outlineLevel="0" collapsed="false">
      <c r="A1727" s="5" t="s">
        <v>934</v>
      </c>
      <c r="B1727" s="0" t="s">
        <v>86</v>
      </c>
      <c r="C1727" s="38" t="n">
        <f aca="false">Sens!$C$1725*Sens!$C$1726</f>
        <v>915.84792445153</v>
      </c>
    </row>
    <row r="1728" customFormat="false" ht="17.15" hidden="false" customHeight="false" outlineLevel="0" collapsed="false">
      <c r="A1728" s="0" t="s">
        <v>935</v>
      </c>
      <c r="B1728" s="0" t="s">
        <v>86</v>
      </c>
      <c r="C1728" s="38" t="n">
        <f aca="false">(1-tp_yf)*(Sens!$H$1651+Sens!$H$1673*Sens!$H$1588/Sens!$H$1590)+tp_yf*(Sens!$I$1651+Sens!$I$1673*Sens!$I$1588/Sens!$I$1590)</f>
        <v>97.3363031479075</v>
      </c>
    </row>
    <row r="1729" customFormat="false" ht="17.15" hidden="false" customHeight="false" outlineLevel="0" collapsed="false">
      <c r="A1729" s="0" t="s">
        <v>936</v>
      </c>
      <c r="B1729" s="0" t="s">
        <v>57</v>
      </c>
      <c r="C1729" s="30" t="n">
        <f aca="false">m_cloud*m_x</f>
        <v>13.82</v>
      </c>
    </row>
    <row r="1730" customFormat="false" ht="17.15" hidden="false" customHeight="false" outlineLevel="0" collapsed="false">
      <c r="A1730" s="0" t="s">
        <v>937</v>
      </c>
      <c r="B1730" s="0" t="s">
        <v>86</v>
      </c>
      <c r="C1730" s="38" t="n">
        <f aca="false">Sens!$C$1728*Sens!$C$1729</f>
        <v>1345.18770950408</v>
      </c>
    </row>
    <row r="1731" customFormat="false" ht="17.15" hidden="false" customHeight="false" outlineLevel="0" collapsed="false">
      <c r="A1731" s="0" t="s">
        <v>938</v>
      </c>
      <c r="B1731" s="0" t="s">
        <v>86</v>
      </c>
      <c r="H1731" s="38" t="n">
        <f aca="false">Sens!$H$1569-tax*Sens!$H$1570-ext_sh*Sens!$H$1559</f>
        <v>-147.355795884664</v>
      </c>
      <c r="I1731" s="38" t="n">
        <f aca="false">Sens!$I$1569-tax*Sens!$I$1570-ext_sh*Sens!$I$1559</f>
        <v>-114.490945248969</v>
      </c>
      <c r="J1731" s="38" t="n">
        <f aca="false">Sens!$J$1569-tax*Sens!$J$1570-ext_sh*Sens!$J$1559</f>
        <v>-79.390530381917</v>
      </c>
      <c r="K1731" s="38" t="n">
        <f aca="false">Sens!$K$1569-tax*Sens!$K$1570-ext_sh*Sens!$K$1559</f>
        <v>10.8601538070159</v>
      </c>
      <c r="L1731" s="38" t="n">
        <f aca="false">Sens!$L$1569-tax*Sens!$L$1570-ext_sh*Sens!$L$1559</f>
        <v>64.158339452585</v>
      </c>
      <c r="M1731" s="38" t="n">
        <f aca="false">Sens!$M$1569-tax*Sens!$M$1570-ext_sh*Sens!$M$1559</f>
        <v>71.3794648379039</v>
      </c>
    </row>
    <row r="1732" customFormat="false" ht="17.15" hidden="false" customHeight="false" outlineLevel="0" collapsed="false">
      <c r="A1732" s="5" t="s">
        <v>939</v>
      </c>
      <c r="B1732" s="0" t="s">
        <v>86</v>
      </c>
      <c r="H1732" s="38" t="n">
        <f aca="false">Sens!$H$1731*Sens!$H$1709</f>
        <v>-139.65665011537</v>
      </c>
      <c r="I1732" s="38" t="n">
        <f aca="false">Sens!$I$1731*Sens!$I$1709</f>
        <v>-97.4662676024353</v>
      </c>
      <c r="J1732" s="38" t="n">
        <f aca="false">Sens!$J$1731*Sens!$J$1709</f>
        <v>-60.7072687319696</v>
      </c>
      <c r="K1732" s="38" t="n">
        <f aca="false">Sens!$K$1731*Sens!$K$1709</f>
        <v>7.4592774818209</v>
      </c>
      <c r="L1732" s="38" t="n">
        <f aca="false">Sens!$L$1731*Sens!$L$1709</f>
        <v>39.5824524124381</v>
      </c>
      <c r="M1732" s="38" t="n">
        <f aca="false">Sens!$M$1731*Sens!$M$1709</f>
        <v>39.5559361453689</v>
      </c>
    </row>
    <row r="1733" customFormat="false" ht="17.15" hidden="false" customHeight="false" outlineLevel="0" collapsed="false">
      <c r="A1733" s="5" t="s">
        <v>940</v>
      </c>
      <c r="B1733" s="0" t="s">
        <v>86</v>
      </c>
      <c r="C1733" s="38" t="n">
        <f aca="false">Sens!$M$1570*(1-tax)*(1+tg)*(1-tg/ronic)/(wacc-tg)</f>
        <v>455.305350364248</v>
      </c>
    </row>
    <row r="1734" customFormat="false" ht="17.15" hidden="false" customHeight="false" outlineLevel="0" collapsed="false">
      <c r="A1734" s="0" t="s">
        <v>941</v>
      </c>
      <c r="B1734" s="0" t="s">
        <v>86</v>
      </c>
      <c r="C1734" s="38" t="n">
        <f aca="false">(SUM(Sens!$H$1732:$M$1732)+Sens!$C$1733/(1+wacc)^6)*(1+wacc)^tp_yf</f>
        <v>30.4710996520104</v>
      </c>
    </row>
    <row r="1735" customFormat="false" ht="17.15" hidden="false" customHeight="false" outlineLevel="0" collapsed="false">
      <c r="A1735" s="5" t="s">
        <v>942</v>
      </c>
      <c r="B1735" s="0" t="s">
        <v>86</v>
      </c>
      <c r="C1735" s="38" t="n">
        <f aca="false">(1-tp_yf)*(Sens!$H$1652)+tp_yf*(Sens!$I$1652)</f>
        <v>89.4233218465318</v>
      </c>
    </row>
    <row r="1736" customFormat="false" ht="17.15" hidden="false" customHeight="false" outlineLevel="0" collapsed="false">
      <c r="A1736" s="5" t="s">
        <v>943</v>
      </c>
      <c r="B1736" s="0" t="s">
        <v>86</v>
      </c>
      <c r="C1736" s="38" t="n">
        <f aca="false">Sens!$C$1735*m_ai</f>
        <v>536.539931079191</v>
      </c>
    </row>
    <row r="1737" customFormat="false" ht="17.15" hidden="false" customHeight="false" outlineLevel="0" collapsed="false">
      <c r="A1737" s="0" t="s">
        <v>944</v>
      </c>
      <c r="B1737" s="0" t="s">
        <v>86</v>
      </c>
      <c r="C1737" s="38" t="n">
        <f aca="false">IF(ai_leg=1,Sens!$C$1734,Sens!$C$1736)</f>
        <v>30.4710996520104</v>
      </c>
    </row>
    <row r="1738" customFormat="false" ht="17.15" hidden="false" customHeight="false" outlineLevel="0" collapsed="false">
      <c r="A1738" s="5" t="s">
        <v>945</v>
      </c>
      <c r="B1738" s="0" t="s">
        <v>86</v>
      </c>
      <c r="C1738" s="38" t="n">
        <f aca="false">Sens!$C$1724+Sens!$C$1727+Sens!$C$1730+Sens!$C$1737</f>
        <v>2833.71965234205</v>
      </c>
    </row>
    <row r="1739" customFormat="false" ht="17.15" hidden="false" customHeight="false" outlineLevel="0" collapsed="false">
      <c r="A1739" s="5" t="s">
        <v>946</v>
      </c>
      <c r="B1739" s="0" t="s">
        <v>86</v>
      </c>
      <c r="C1739" s="38" t="n">
        <f aca="false">Sens!$H$1692+fin_debt</f>
        <v>217.308426189923</v>
      </c>
    </row>
    <row r="1740" customFormat="false" ht="15" hidden="false" customHeight="false" outlineLevel="0" collapsed="false">
      <c r="A1740" s="5" t="s">
        <v>947</v>
      </c>
      <c r="B1740" s="0" t="s">
        <v>86</v>
      </c>
      <c r="C1740" s="38" t="n">
        <f aca="false">Sens!$C$1738-Sens!$C$1739+Sens!$C$1717</f>
        <v>2795.35522615213</v>
      </c>
    </row>
    <row r="1741" customFormat="false" ht="15" hidden="false" customHeight="false" outlineLevel="0" collapsed="false">
      <c r="A1741" s="3" t="s">
        <v>948</v>
      </c>
      <c r="B1741" s="8" t="s">
        <v>27</v>
      </c>
      <c r="C1741" s="30" t="n">
        <f aca="false">Sens!$C$1740/sh_val</f>
        <v>253.424809679228</v>
      </c>
    </row>
    <row r="1742" customFormat="false" ht="17.15" hidden="false" customHeight="false" outlineLevel="0" collapsed="false">
      <c r="A1742" s="47" t="s">
        <v>949</v>
      </c>
      <c r="B1742" s="14" t="s">
        <v>27</v>
      </c>
      <c r="C1742" s="44" t="n">
        <f aca="false">w_dcf*Sens!$C$1720+(1-w_dcf)*Sens!$C$1741</f>
        <v>195.303623506064</v>
      </c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</row>
    <row r="1743" customFormat="false" ht="17.15" hidden="false" customHeight="false" outlineLevel="0" collapsed="false">
      <c r="A1743" s="5" t="s">
        <v>950</v>
      </c>
      <c r="B1743" s="0" t="s">
        <v>27</v>
      </c>
      <c r="C1743" s="30" t="n">
        <f aca="false">v022_wdcf*Sens!$C$1720+(1-v022_wdcf)*Sens!$C$1741</f>
        <v>201.11574212338</v>
      </c>
    </row>
    <row r="1744" customFormat="false" ht="17.15" hidden="false" customHeight="false" outlineLevel="0" collapsed="false">
      <c r="A1744" s="5" t="s">
        <v>951</v>
      </c>
      <c r="B1744" s="0" t="s">
        <v>27</v>
      </c>
      <c r="C1744" s="30" t="n">
        <f aca="false">(Sens!$C$1740-Sens!$C$1737+Sens!$C$1736)/sh_val</f>
        <v>299.304630636926</v>
      </c>
    </row>
    <row r="1747" customFormat="false" ht="19.4" hidden="false" customHeight="false" outlineLevel="0" collapsed="false">
      <c r="A1747" s="31" t="s">
        <v>1162</v>
      </c>
    </row>
    <row r="1748" customFormat="false" ht="17.15" hidden="false" customHeight="false" outlineLevel="0" collapsed="false">
      <c r="A1748" s="6" t="s">
        <v>16</v>
      </c>
      <c r="B1748" s="6" t="s">
        <v>17</v>
      </c>
      <c r="C1748" s="20" t="s">
        <v>494</v>
      </c>
      <c r="D1748" s="20" t="s">
        <v>495</v>
      </c>
      <c r="E1748" s="20" t="s">
        <v>577</v>
      </c>
      <c r="F1748" s="20" t="s">
        <v>578</v>
      </c>
      <c r="G1748" s="20" t="s">
        <v>579</v>
      </c>
      <c r="H1748" s="20" t="s">
        <v>580</v>
      </c>
      <c r="I1748" s="20" t="s">
        <v>581</v>
      </c>
      <c r="J1748" s="20" t="s">
        <v>582</v>
      </c>
      <c r="K1748" s="20" t="s">
        <v>583</v>
      </c>
      <c r="L1748" s="20" t="s">
        <v>584</v>
      </c>
      <c r="M1748" s="20" t="s">
        <v>585</v>
      </c>
      <c r="N1748" s="20" t="s">
        <v>586</v>
      </c>
      <c r="O1748" s="20" t="s">
        <v>587</v>
      </c>
      <c r="P1748" s="6" t="s">
        <v>23</v>
      </c>
      <c r="R1748" s="20" t="n">
        <v>2023</v>
      </c>
      <c r="S1748" s="20" t="n">
        <v>2024</v>
      </c>
      <c r="T1748" s="20" t="n">
        <v>2025</v>
      </c>
      <c r="U1748" s="20" t="n">
        <v>2026</v>
      </c>
      <c r="V1748" s="20" t="n">
        <v>2027</v>
      </c>
      <c r="W1748" s="20" t="n">
        <v>2028</v>
      </c>
      <c r="X1748" s="20" t="n">
        <v>2029</v>
      </c>
      <c r="Y1748" s="20" t="n">
        <v>2030</v>
      </c>
      <c r="Z1748" s="20" t="n">
        <v>2031</v>
      </c>
      <c r="AA1748" s="20" t="n">
        <v>2032</v>
      </c>
    </row>
    <row r="1749" customFormat="false" ht="17.15" hidden="false" customHeight="false" outlineLevel="0" collapsed="false">
      <c r="A1749" s="1" t="s">
        <v>660</v>
      </c>
    </row>
    <row r="1750" customFormat="false" ht="17.15" hidden="false" customHeight="false" outlineLevel="0" collapsed="false">
      <c r="A1750" s="0" t="s">
        <v>516</v>
      </c>
      <c r="B1750" s="0" t="s">
        <v>86</v>
      </c>
      <c r="C1750" s="38" t="n">
        <f aca="false">Q!$D$10</f>
        <v>247.029</v>
      </c>
      <c r="D1750" s="38" t="n">
        <f aca="false">Q!$E$10</f>
        <v>269.287</v>
      </c>
      <c r="E1750" s="38" t="n">
        <f aca="false">Q!$P$10</f>
        <v>134.686</v>
      </c>
      <c r="F1750" s="38" t="n">
        <f aca="false">Sens!$O$1750*(1+Sens!$F$1751)*Sens!$F$1762</f>
        <v>158.293876822267</v>
      </c>
      <c r="G1750" s="38" t="n">
        <f aca="false">Sens!$E$1750+Sens!$F$1750</f>
        <v>292.979876822267</v>
      </c>
      <c r="H1750" s="38" t="n">
        <f aca="false">Sens!$G$1750*(1+Sens!$H$1751)</f>
        <v>318.184543087396</v>
      </c>
      <c r="I1750" s="38" t="n">
        <f aca="false">Sens!$H$1750*(1+Sens!$I$1751)</f>
        <v>341.736278761793</v>
      </c>
      <c r="J1750" s="38" t="n">
        <f aca="false">Sens!$I$1750*(1+Sens!$J$1751)</f>
        <v>362.927192787048</v>
      </c>
      <c r="K1750" s="38" t="n">
        <f aca="false">Sens!$J$1750*(1+Sens!$K$1751)</f>
        <v>381.0735524264</v>
      </c>
      <c r="L1750" s="38" t="n">
        <f aca="false">Sens!$K$1750*(1+Sens!$L$1751)</f>
        <v>400.12723004772</v>
      </c>
      <c r="M1750" s="38" t="n">
        <f aca="false">Sens!$L$1750*(1+Sens!$M$1751)</f>
        <v>420.133591550106</v>
      </c>
      <c r="N1750" s="38" t="n">
        <f aca="false">Q!$N$10</f>
        <v>118.892</v>
      </c>
      <c r="O1750" s="38" t="n">
        <f aca="false">Q!$O$10</f>
        <v>150.395</v>
      </c>
      <c r="P1750" s="8" t="s">
        <v>661</v>
      </c>
    </row>
    <row r="1751" customFormat="false" ht="17.15" hidden="false" customHeight="false" outlineLevel="0" collapsed="false">
      <c r="A1751" s="0" t="s">
        <v>662</v>
      </c>
      <c r="B1751" s="0" t="s">
        <v>52</v>
      </c>
      <c r="E1751" s="13" t="n">
        <f aca="false">Sens!$E$1750/Sens!$N$1750-1</f>
        <v>0.132843252699929</v>
      </c>
      <c r="F1751" s="13" t="n">
        <f aca="false">Sens!$O$1750/(Q!$F$10+Q!$G$10)-1</f>
        <v>0.0980382135842941</v>
      </c>
      <c r="G1751" s="13" t="n">
        <f aca="false">Sens!$G$1750/Sens!$D$1750-1</f>
        <v>0.0879837378791657</v>
      </c>
      <c r="H1751" s="13" t="n">
        <f aca="false">Sens!$F$1751+(g_os-Sens!$F$1751)*1/4</f>
        <v>0.0860286601882206</v>
      </c>
      <c r="I1751" s="13" t="n">
        <f aca="false">Sens!$F$1751+(g_os-Sens!$F$1751)*2/4</f>
        <v>0.074019106792147</v>
      </c>
      <c r="J1751" s="13" t="n">
        <f aca="false">Sens!$F$1751+(g_os-Sens!$F$1751)*3/4</f>
        <v>0.0620095533960735</v>
      </c>
      <c r="K1751" s="13" t="n">
        <f aca="false">Sens!$F$1751+(g_os-Sens!$F$1751)*4/4</f>
        <v>0.05</v>
      </c>
      <c r="L1751" s="13" t="n">
        <f aca="false">g_os</f>
        <v>0.05</v>
      </c>
      <c r="M1751" s="13" t="n">
        <f aca="false">g_os</f>
        <v>0.05</v>
      </c>
      <c r="P1751" s="8" t="s">
        <v>663</v>
      </c>
    </row>
    <row r="1752" customFormat="false" ht="17.15" hidden="false" customHeight="false" outlineLevel="0" collapsed="false">
      <c r="A1752" s="0" t="s">
        <v>517</v>
      </c>
      <c r="B1752" s="0" t="s">
        <v>86</v>
      </c>
      <c r="C1752" s="38" t="n">
        <f aca="false">Q!$D$11</f>
        <v>21.215</v>
      </c>
      <c r="D1752" s="38" t="n">
        <f aca="false">Q!$E$11</f>
        <v>22.561</v>
      </c>
      <c r="E1752" s="38" t="n">
        <f aca="false">Q!$P$11</f>
        <v>11.579</v>
      </c>
      <c r="F1752" s="38" t="n">
        <f aca="false">Sens!$O$1752*(1+Sens!$F$1753)*Sens!$F$1762</f>
        <v>11.5938724610325</v>
      </c>
      <c r="G1752" s="38" t="n">
        <f aca="false">Sens!$E$1752+Sens!$F$1752</f>
        <v>23.1728724610325</v>
      </c>
      <c r="H1752" s="38" t="n">
        <f aca="false">Sens!$G$1752*(1+Sens!$H$1753)</f>
        <v>24.353392759506</v>
      </c>
      <c r="I1752" s="38" t="n">
        <f aca="false">Sens!$H$1752*(1+Sens!$I$1753)</f>
        <v>25.4240338872015</v>
      </c>
      <c r="J1752" s="38" t="n">
        <f aca="false">Sens!$I$1752*(1+Sens!$J$1753)</f>
        <v>26.3642491017174</v>
      </c>
      <c r="K1752" s="38" t="n">
        <f aca="false">Sens!$J$1752*(1+Sens!$K$1753)</f>
        <v>27.155176574769</v>
      </c>
      <c r="L1752" s="38" t="n">
        <f aca="false">Sens!$K$1752*(1+Sens!$L$1753)</f>
        <v>27.969831872012</v>
      </c>
      <c r="M1752" s="38" t="n">
        <f aca="false">Sens!$L$1752*(1+Sens!$M$1753)</f>
        <v>28.8089268281724</v>
      </c>
      <c r="N1752" s="38" t="n">
        <f aca="false">Q!$N$11</f>
        <v>11.128</v>
      </c>
      <c r="O1752" s="38" t="n">
        <f aca="false">Q!$O$11</f>
        <v>11.433</v>
      </c>
      <c r="P1752" s="8" t="s">
        <v>661</v>
      </c>
    </row>
    <row r="1753" customFormat="false" ht="17.15" hidden="false" customHeight="false" outlineLevel="0" collapsed="false">
      <c r="A1753" s="0" t="s">
        <v>664</v>
      </c>
      <c r="B1753" s="0" t="s">
        <v>52</v>
      </c>
      <c r="E1753" s="13" t="n">
        <f aca="false">Sens!$E$1752/Sens!$N$1752-1</f>
        <v>0.0405283968368082</v>
      </c>
      <c r="F1753" s="13" t="n">
        <f aca="false">Sens!$O$1752/(Q!$F$11+Q!$G$11)-1</f>
        <v>0.0579254187100955</v>
      </c>
      <c r="G1753" s="13" t="n">
        <f aca="false">Sens!$G$1752/Sens!$D$1752-1</f>
        <v>0.0271208040881397</v>
      </c>
      <c r="H1753" s="13" t="n">
        <f aca="false">Sens!$F$1753+(g_ps-Sens!$F$1753)*1/4</f>
        <v>0.0509440640325716</v>
      </c>
      <c r="I1753" s="13" t="n">
        <f aca="false">Sens!$F$1753+(g_ps-Sens!$F$1753)*2/4</f>
        <v>0.0439627093550477</v>
      </c>
      <c r="J1753" s="13" t="n">
        <f aca="false">Sens!$F$1753+(g_ps-Sens!$F$1753)*3/4</f>
        <v>0.0369813546775239</v>
      </c>
      <c r="K1753" s="13" t="n">
        <f aca="false">Sens!$F$1753+(g_ps-Sens!$F$1753)*4/4</f>
        <v>0.03</v>
      </c>
      <c r="L1753" s="13" t="n">
        <f aca="false">g_ps</f>
        <v>0.03</v>
      </c>
      <c r="M1753" s="13" t="n">
        <f aca="false">g_ps</f>
        <v>0.03</v>
      </c>
      <c r="P1753" s="8" t="s">
        <v>665</v>
      </c>
    </row>
    <row r="1754" customFormat="false" ht="17.15" hidden="false" customHeight="false" outlineLevel="0" collapsed="false">
      <c r="A1754" s="0" t="s">
        <v>518</v>
      </c>
      <c r="B1754" s="0" t="s">
        <v>86</v>
      </c>
      <c r="C1754" s="38" t="n">
        <f aca="false">Q!$D$12</f>
        <v>156.146</v>
      </c>
      <c r="D1754" s="38" t="n">
        <f aca="false">Q!$E$12</f>
        <v>172.162</v>
      </c>
      <c r="E1754" s="38" t="n">
        <f aca="false">Q!$P$12</f>
        <v>88.358</v>
      </c>
      <c r="F1754" s="38" t="n">
        <f aca="false">Sens!$O$1754*(1+Sens!$F$1755)*Sens!$F$1762</f>
        <v>102.004388260171</v>
      </c>
      <c r="G1754" s="38" t="n">
        <f aca="false">Sens!$E$1754+Sens!$F$1754</f>
        <v>190.362388260171</v>
      </c>
      <c r="H1754" s="38" t="n">
        <f aca="false">Sens!$G$1754*(1+Sens!$H$1755)</f>
        <v>210.343106588311</v>
      </c>
      <c r="I1754" s="38" t="n">
        <f aca="false">Sens!$H$1754*(1+Sens!$I$1755)</f>
        <v>229.969728494648</v>
      </c>
      <c r="J1754" s="38" t="n">
        <f aca="false">Sens!$I$1754*(1+Sens!$J$1755)</f>
        <v>248.747636972598</v>
      </c>
      <c r="K1754" s="38" t="n">
        <f aca="false">Sens!$J$1754*(1+Sens!$K$1755)</f>
        <v>266.15997156068</v>
      </c>
      <c r="L1754" s="38" t="n">
        <f aca="false">Sens!$K$1754*(1+Sens!$L$1755)</f>
        <v>284.791169569927</v>
      </c>
      <c r="M1754" s="38" t="n">
        <f aca="false">Sens!$L$1754*(1+Sens!$M$1755)</f>
        <v>304.726551439822</v>
      </c>
      <c r="N1754" s="38" t="n">
        <f aca="false">Q!$N$12</f>
        <v>76.86</v>
      </c>
      <c r="O1754" s="38" t="n">
        <f aca="false">Q!$O$12</f>
        <v>95.302</v>
      </c>
      <c r="P1754" s="8" t="s">
        <v>661</v>
      </c>
    </row>
    <row r="1755" customFormat="false" ht="17.15" hidden="false" customHeight="false" outlineLevel="0" collapsed="false">
      <c r="A1755" s="0" t="s">
        <v>666</v>
      </c>
      <c r="B1755" s="0" t="s">
        <v>52</v>
      </c>
      <c r="E1755" s="13" t="n">
        <f aca="false">Sens!$E$1754/Sens!$N$1754-1</f>
        <v>0.1495966692688</v>
      </c>
      <c r="F1755" s="13" t="n">
        <f aca="false">Sens!$O$1754/(Q!$F$12+Q!$G$12)-1</f>
        <v>0.11661530890813</v>
      </c>
      <c r="G1755" s="13" t="n">
        <f aca="false">Sens!$G$1754/Sens!$D$1754-1</f>
        <v>0.105716640490767</v>
      </c>
      <c r="H1755" s="13" t="n">
        <f aca="false">Sens!$F$1755+(g_sp-Sens!$F$1755)*1/4</f>
        <v>0.104961481681098</v>
      </c>
      <c r="I1755" s="13" t="n">
        <f aca="false">Sens!$F$1755+(g_sp-Sens!$F$1755)*2/4</f>
        <v>0.0933076544540651</v>
      </c>
      <c r="J1755" s="13" t="n">
        <f aca="false">Sens!$F$1755+(g_sp-Sens!$F$1755)*3/4</f>
        <v>0.0816538272270325</v>
      </c>
      <c r="K1755" s="13" t="n">
        <f aca="false">Sens!$F$1755+(g_sp-Sens!$F$1755)*4/4</f>
        <v>0.07</v>
      </c>
      <c r="L1755" s="13" t="n">
        <f aca="false">g_sp</f>
        <v>0.07</v>
      </c>
      <c r="M1755" s="13" t="n">
        <f aca="false">g_sp</f>
        <v>0.07</v>
      </c>
      <c r="P1755" s="8" t="s">
        <v>667</v>
      </c>
    </row>
    <row r="1756" customFormat="false" ht="17.15" hidden="false" customHeight="false" outlineLevel="0" collapsed="false">
      <c r="A1756" s="0" t="s">
        <v>519</v>
      </c>
      <c r="B1756" s="0" t="s">
        <v>86</v>
      </c>
      <c r="C1756" s="38" t="n">
        <f aca="false">Q!$D$13</f>
        <v>56.214</v>
      </c>
      <c r="D1756" s="38" t="n">
        <f aca="false">Q!$E$13</f>
        <v>68.635</v>
      </c>
      <c r="E1756" s="38" t="n">
        <f aca="false">Q!$P$13</f>
        <v>37.052</v>
      </c>
      <c r="F1756" s="38" t="n">
        <f aca="false">Sens!$O$1756*(1+Sens!$F$1757)*Sens!$F$1762</f>
        <v>46.1572219944148</v>
      </c>
      <c r="G1756" s="38" t="n">
        <f aca="false">Sens!$E$1756+Sens!$F$1756</f>
        <v>83.2092219944148</v>
      </c>
      <c r="H1756" s="38" t="n">
        <f aca="false">Sens!$G$1756*(1+Sens!$H$1757)</f>
        <v>99.8969223878976</v>
      </c>
      <c r="I1756" s="38" t="n">
        <f aca="false">Sens!$H$1756*(1+Sens!$I$1757)</f>
        <v>116.583111095496</v>
      </c>
      <c r="J1756" s="38" t="n">
        <f aca="false">Sens!$I$1756*(1+Sens!$J$1757)</f>
        <v>132.148941941952</v>
      </c>
      <c r="K1756" s="38" t="n">
        <f aca="false">Sens!$J$1756*(1+Sens!$K$1757)</f>
        <v>145.363836136147</v>
      </c>
      <c r="L1756" s="38" t="n">
        <f aca="false">Sens!$K$1756*(1+Sens!$L$1757)</f>
        <v>159.900219749762</v>
      </c>
      <c r="M1756" s="38" t="n">
        <f aca="false">Sens!$L$1756*(1+Sens!$M$1757)</f>
        <v>175.890241724738</v>
      </c>
      <c r="N1756" s="38" t="n">
        <f aca="false">Q!$N$13</f>
        <v>29.615</v>
      </c>
      <c r="O1756" s="38" t="n">
        <f aca="false">Q!$O$13</f>
        <v>39.02</v>
      </c>
      <c r="P1756" s="8" t="s">
        <v>661</v>
      </c>
    </row>
    <row r="1757" customFormat="false" ht="17.15" hidden="false" customHeight="false" outlineLevel="0" collapsed="false">
      <c r="A1757" s="0" t="s">
        <v>668</v>
      </c>
      <c r="B1757" s="0" t="s">
        <v>52</v>
      </c>
      <c r="E1757" s="13" t="n">
        <f aca="false">Sens!$E$1756/Sens!$N$1756-1</f>
        <v>0.25112274185379</v>
      </c>
      <c r="F1757" s="13" t="n">
        <f aca="false">Sens!$O$1756/(Q!$F$13+Q!$G$13)-1</f>
        <v>0.234068123596572</v>
      </c>
      <c r="G1757" s="13" t="n">
        <f aca="false">Sens!$G$1756/Sens!$D$1756-1</f>
        <v>0.212343876949294</v>
      </c>
      <c r="H1757" s="13" t="n">
        <f aca="false">Sens!$F$1757+(g_ad-Sens!$F$1757)*1/4</f>
        <v>0.200551092697429</v>
      </c>
      <c r="I1757" s="13" t="n">
        <f aca="false">Sens!$F$1757+(g_ad-Sens!$F$1757)*2/4</f>
        <v>0.167034061798286</v>
      </c>
      <c r="J1757" s="13" t="n">
        <f aca="false">Sens!$F$1757+(g_ad-Sens!$F$1757)*3/4</f>
        <v>0.133517030899143</v>
      </c>
      <c r="K1757" s="13" t="n">
        <f aca="false">Sens!$F$1757+(g_ad-Sens!$F$1757)*4/4</f>
        <v>0.1</v>
      </c>
      <c r="L1757" s="13" t="n">
        <f aca="false">g_ad</f>
        <v>0.1</v>
      </c>
      <c r="M1757" s="13" t="n">
        <f aca="false">g_ad</f>
        <v>0.1</v>
      </c>
      <c r="P1757" s="8" t="s">
        <v>669</v>
      </c>
    </row>
    <row r="1758" customFormat="false" ht="17.15" hidden="false" customHeight="false" outlineLevel="0" collapsed="false">
      <c r="A1758" s="0" t="s">
        <v>520</v>
      </c>
      <c r="B1758" s="0" t="s">
        <v>86</v>
      </c>
      <c r="C1758" s="38" t="n">
        <f aca="false">Q!$D$14</f>
        <v>44.374</v>
      </c>
      <c r="D1758" s="38" t="n">
        <f aca="false">Q!$E$14</f>
        <v>49.619</v>
      </c>
      <c r="E1758" s="38" t="n">
        <f aca="false">Q!$P$14</f>
        <v>27.157</v>
      </c>
      <c r="F1758" s="38" t="n">
        <f aca="false">Sens!$O$1758*(1+Sens!$F$1759)*Sens!$F$1762</f>
        <v>27.7764165988154</v>
      </c>
      <c r="G1758" s="38" t="n">
        <f aca="false">Sens!$E$1758+Sens!$F$1758</f>
        <v>54.9334165988154</v>
      </c>
      <c r="H1758" s="38" t="n">
        <f aca="false">Sens!$G$1758*(1+Sens!$H$1759)</f>
        <v>61.1564112561829</v>
      </c>
      <c r="I1758" s="38" t="n">
        <f aca="false">Sens!$H$1758*(1+Sens!$I$1759)</f>
        <v>67.2020282103945</v>
      </c>
      <c r="J1758" s="38" t="n">
        <f aca="false">Sens!$I$1758*(1+Sens!$J$1759)</f>
        <v>72.8757274028885</v>
      </c>
      <c r="K1758" s="38" t="n">
        <f aca="false">Sens!$J$1758*(1+Sens!$K$1759)</f>
        <v>77.9770283210907</v>
      </c>
      <c r="L1758" s="38" t="n">
        <f aca="false">Sens!$K$1758*(1+Sens!$L$1759)</f>
        <v>83.4354203035671</v>
      </c>
      <c r="M1758" s="38" t="n">
        <f aca="false">Sens!$L$1758*(1+Sens!$M$1759)</f>
        <v>89.2758997248168</v>
      </c>
      <c r="N1758" s="38" t="n">
        <f aca="false">Q!$N$14</f>
        <v>23.923</v>
      </c>
      <c r="O1758" s="38" t="n">
        <f aca="false">Q!$O$14</f>
        <v>25.696</v>
      </c>
      <c r="P1758" s="8" t="s">
        <v>661</v>
      </c>
    </row>
    <row r="1759" customFormat="false" ht="17.15" hidden="false" customHeight="false" outlineLevel="0" collapsed="false">
      <c r="A1759" s="0" t="s">
        <v>670</v>
      </c>
      <c r="B1759" s="0" t="s">
        <v>52</v>
      </c>
      <c r="E1759" s="13" t="n">
        <f aca="false">Sens!$E$1758/Sens!$N$1758-1</f>
        <v>0.135183714417088</v>
      </c>
      <c r="F1759" s="13" t="n">
        <f aca="false">Sens!$O$1758/(Q!$F$14+Q!$G$14)-1</f>
        <v>0.127709997366804</v>
      </c>
      <c r="G1759" s="13" t="n">
        <f aca="false">Sens!$G$1758/Sens!$D$1758-1</f>
        <v>0.107104468022641</v>
      </c>
      <c r="H1759" s="13" t="n">
        <f aca="false">Sens!$F$1759+(g_sub-Sens!$F$1759)*1/4</f>
        <v>0.113282498025103</v>
      </c>
      <c r="I1759" s="13" t="n">
        <f aca="false">Sens!$F$1759+(g_sub-Sens!$F$1759)*2/4</f>
        <v>0.0988549986834021</v>
      </c>
      <c r="J1759" s="13" t="n">
        <f aca="false">Sens!$F$1759+(g_sub-Sens!$F$1759)*3/4</f>
        <v>0.084427499341701</v>
      </c>
      <c r="K1759" s="13" t="n">
        <f aca="false">Sens!$F$1759+(g_sub-Sens!$F$1759)*4/4</f>
        <v>0.07</v>
      </c>
      <c r="L1759" s="13" t="n">
        <f aca="false">g_sub</f>
        <v>0.07</v>
      </c>
      <c r="M1759" s="13" t="n">
        <f aca="false">g_sub</f>
        <v>0.07</v>
      </c>
      <c r="P1759" s="8" t="s">
        <v>671</v>
      </c>
    </row>
    <row r="1760" customFormat="false" ht="17.15" hidden="false" customHeight="false" outlineLevel="0" collapsed="false">
      <c r="A1760" s="0" t="s">
        <v>521</v>
      </c>
      <c r="B1760" s="0" t="s">
        <v>86</v>
      </c>
      <c r="C1760" s="38" t="n">
        <f aca="false">Q!$D$15</f>
        <v>5.425</v>
      </c>
      <c r="D1760" s="38" t="n">
        <f aca="false">Q!$E$15</f>
        <v>5.935</v>
      </c>
      <c r="E1760" s="38" t="n">
        <f aca="false">Q!$P$15</f>
        <v>3.474</v>
      </c>
      <c r="F1760" s="38" t="n">
        <f aca="false">Sens!$O$1760*(1+Sens!$F$1761)*Sens!$F$1762</f>
        <v>3.22246550883619</v>
      </c>
      <c r="G1760" s="38" t="n">
        <f aca="false">Sens!$E$1760+Sens!$F$1760</f>
        <v>6.69646550883619</v>
      </c>
      <c r="H1760" s="38" t="n">
        <f aca="false">Sens!$G$1760*(1+Sens!$H$1761)</f>
        <v>7.16251344209196</v>
      </c>
      <c r="I1760" s="38" t="n">
        <f aca="false">Sens!$H$1760*(1+Sens!$I$1761)</f>
        <v>7.61421070299826</v>
      </c>
      <c r="J1760" s="38" t="n">
        <f aca="false">Sens!$I$1760*(1+Sens!$J$1761)</f>
        <v>8.04465753523932</v>
      </c>
      <c r="K1760" s="38" t="n">
        <f aca="false">Sens!$J$1760*(1+Sens!$K$1761)</f>
        <v>8.44689041200128</v>
      </c>
      <c r="L1760" s="38" t="n">
        <f aca="false">Sens!$K$1760*(1+Sens!$L$1761)</f>
        <v>8.86923493260135</v>
      </c>
      <c r="M1760" s="38" t="n">
        <f aca="false">Sens!$L$1760*(1+Sens!$M$1761)</f>
        <v>9.31269667923142</v>
      </c>
      <c r="N1760" s="38" t="n">
        <f aca="false">Q!$N$15</f>
        <v>2.811</v>
      </c>
      <c r="O1760" s="38" t="n">
        <f aca="false">Q!$O$15</f>
        <v>3.124</v>
      </c>
      <c r="P1760" s="8" t="s">
        <v>661</v>
      </c>
    </row>
    <row r="1761" customFormat="false" ht="17.15" hidden="false" customHeight="false" outlineLevel="0" collapsed="false">
      <c r="A1761" s="0" t="s">
        <v>672</v>
      </c>
      <c r="B1761" s="0" t="s">
        <v>52</v>
      </c>
      <c r="E1761" s="13" t="n">
        <f aca="false">Sens!$E$1760/Sens!$N$1760-1</f>
        <v>0.235859124866596</v>
      </c>
      <c r="F1761" s="13" t="n">
        <f aca="false">Sens!$O$1760/(Q!$F$15+Q!$G$15)-1</f>
        <v>0.0761281433000345</v>
      </c>
      <c r="G1761" s="13" t="n">
        <f aca="false">Sens!$G$1760/Sens!$D$1760-1</f>
        <v>0.128300843948811</v>
      </c>
      <c r="H1761" s="13" t="n">
        <f aca="false">Sens!$F$1761+(g_ot-Sens!$F$1761)*1/4</f>
        <v>0.0695961074750259</v>
      </c>
      <c r="I1761" s="13" t="n">
        <f aca="false">Sens!$F$1761+(g_ot-Sens!$F$1761)*2/4</f>
        <v>0.0630640716500172</v>
      </c>
      <c r="J1761" s="13" t="n">
        <f aca="false">Sens!$F$1761+(g_ot-Sens!$F$1761)*3/4</f>
        <v>0.0565320358250086</v>
      </c>
      <c r="K1761" s="13" t="n">
        <f aca="false">Sens!$F$1761+(g_ot-Sens!$F$1761)*4/4</f>
        <v>0.05</v>
      </c>
      <c r="L1761" s="13" t="n">
        <f aca="false">g_ot</f>
        <v>0.05</v>
      </c>
      <c r="M1761" s="13" t="n">
        <f aca="false">g_ot</f>
        <v>0.05</v>
      </c>
      <c r="P1761" s="8" t="s">
        <v>673</v>
      </c>
    </row>
    <row r="1762" customFormat="false" ht="17.15" hidden="false" customHeight="false" outlineLevel="0" collapsed="false">
      <c r="A1762" s="0" t="s">
        <v>674</v>
      </c>
      <c r="B1762" s="0" t="s">
        <v>57</v>
      </c>
      <c r="F1762" s="40" t="n">
        <f aca="false">(g26q3_mid*Q!$O$8/Q!$J$8-Sens!$F$1791-Sens!$F$1795)/(Sens!$O$1750*(1+Sens!$F$1751)+Sens!$O$1752*(1+Sens!$F$1753)+Sens!$O$1754*(1+Sens!$F$1755)+Sens!$O$1756*(1+Sens!$F$1757)+Sens!$O$1758*(1+Sens!$F$1759)+Sens!$O$1760*(1+Sens!$F$1761))</f>
        <v>0.958546670622329</v>
      </c>
      <c r="P1762" s="8" t="s">
        <v>675</v>
      </c>
    </row>
    <row r="1763" customFormat="false" ht="17.15" hidden="false" customHeight="false" outlineLevel="0" collapsed="false">
      <c r="A1763" s="3" t="s">
        <v>676</v>
      </c>
      <c r="B1763" s="8" t="s">
        <v>86</v>
      </c>
      <c r="C1763" s="38" t="n">
        <f aca="false">Sens!$C$1750+Sens!$C$1752+Sens!$C$1754+Sens!$C$1756+Sens!$C$1758+Sens!$C$1760</f>
        <v>530.403</v>
      </c>
      <c r="D1763" s="38" t="n">
        <f aca="false">Sens!$D$1750+Sens!$D$1752+Sens!$D$1754+Sens!$D$1756+Sens!$D$1758+Sens!$D$1760</f>
        <v>588.199</v>
      </c>
      <c r="E1763" s="38" t="n">
        <f aca="false">Sens!$E$1750+Sens!$E$1752+Sens!$E$1754+Sens!$E$1756+Sens!$E$1758+Sens!$E$1760</f>
        <v>302.306</v>
      </c>
      <c r="F1763" s="38" t="n">
        <f aca="false">Sens!$F$1750+Sens!$F$1752+Sens!$F$1754+Sens!$F$1756+Sens!$F$1758+Sens!$F$1760</f>
        <v>349.048241645537</v>
      </c>
      <c r="G1763" s="38" t="n">
        <f aca="false">Sens!$G$1750+Sens!$G$1752+Sens!$G$1754+Sens!$G$1756+Sens!$G$1758+Sens!$G$1760</f>
        <v>651.354241645537</v>
      </c>
      <c r="H1763" s="38" t="n">
        <f aca="false">Sens!$H$1750+Sens!$H$1752+Sens!$H$1754+Sens!$H$1756+Sens!$H$1758+Sens!$H$1760</f>
        <v>721.096889521386</v>
      </c>
      <c r="I1763" s="38" t="n">
        <f aca="false">Sens!$I$1750+Sens!$I$1752+Sens!$I$1754+Sens!$I$1756+Sens!$I$1758+Sens!$I$1760</f>
        <v>788.529391152531</v>
      </c>
      <c r="J1763" s="38" t="n">
        <f aca="false">Sens!$J$1750+Sens!$J$1752+Sens!$J$1754+Sens!$J$1756+Sens!$J$1758+Sens!$J$1760</f>
        <v>851.108405741443</v>
      </c>
      <c r="K1763" s="38" t="n">
        <f aca="false">Sens!$K$1750+Sens!$K$1752+Sens!$K$1754+Sens!$K$1756+Sens!$K$1758+Sens!$K$1760</f>
        <v>906.176455431088</v>
      </c>
      <c r="L1763" s="38" t="n">
        <f aca="false">Sens!$L$1750+Sens!$L$1752+Sens!$L$1754+Sens!$L$1756+Sens!$L$1758+Sens!$L$1760</f>
        <v>965.093106475589</v>
      </c>
      <c r="M1763" s="38" t="n">
        <f aca="false">Sens!$M$1750+Sens!$M$1752+Sens!$M$1754+Sens!$M$1756+Sens!$M$1758+Sens!$M$1760</f>
        <v>1028.14790794689</v>
      </c>
      <c r="N1763" s="38" t="n">
        <f aca="false">Sens!$N$1750+Sens!$N$1752+Sens!$N$1754+Sens!$N$1756+Sens!$N$1758+Sens!$N$1760</f>
        <v>263.229</v>
      </c>
      <c r="O1763" s="38" t="n">
        <f aca="false">Sens!$O$1750+Sens!$O$1752+Sens!$O$1754+Sens!$O$1756+Sens!$O$1758+Sens!$O$1760</f>
        <v>324.97</v>
      </c>
    </row>
    <row r="1764" customFormat="false" ht="17.15" hidden="false" customHeight="false" outlineLevel="0" collapsed="false">
      <c r="A1764" s="5" t="s">
        <v>677</v>
      </c>
      <c r="B1764" s="0" t="s">
        <v>52</v>
      </c>
      <c r="C1764" s="13" t="n">
        <f aca="false">Q!$D$5/(Q!$D$5+Q!$D$6)</f>
        <v>0.730570905519011</v>
      </c>
      <c r="D1764" s="13" t="n">
        <f aca="false">Q!$E$5/(Q!$E$5+Q!$E$6)</f>
        <v>0.724763217890544</v>
      </c>
      <c r="E1764" s="13" t="n">
        <f aca="false">Q!$P$5/(Q!$P$5+Q!$P$6)</f>
        <v>0.728797972914861</v>
      </c>
      <c r="F1764" s="13" t="n">
        <f aca="false">Sens!$O$1764</f>
        <v>0.718066283041511</v>
      </c>
      <c r="G1764" s="13" t="n">
        <f aca="false">Sens!$G$1765/Sens!$G$1763</f>
        <v>0.723047066202847</v>
      </c>
      <c r="H1764" s="13" t="n">
        <f aca="false">Sens!$G$1764</f>
        <v>0.723047066202847</v>
      </c>
      <c r="I1764" s="13" t="n">
        <f aca="false">Sens!$G$1764</f>
        <v>0.723047066202847</v>
      </c>
      <c r="J1764" s="13" t="n">
        <f aca="false">Sens!$G$1764</f>
        <v>0.723047066202847</v>
      </c>
      <c r="K1764" s="13" t="n">
        <f aca="false">Sens!$G$1764</f>
        <v>0.723047066202847</v>
      </c>
      <c r="L1764" s="13" t="n">
        <f aca="false">Sens!$G$1764</f>
        <v>0.723047066202847</v>
      </c>
      <c r="M1764" s="13" t="n">
        <f aca="false">Sens!$G$1764</f>
        <v>0.723047066202847</v>
      </c>
      <c r="N1764" s="13" t="n">
        <f aca="false">Q!$N$5/(Q!$N$5+Q!$N$6)</f>
        <v>0.733030935041352</v>
      </c>
      <c r="O1764" s="13" t="n">
        <f aca="false">Q!$O$5/(Q!$O$5+Q!$O$6)</f>
        <v>0.718066283041511</v>
      </c>
      <c r="P1764" s="8" t="s">
        <v>678</v>
      </c>
    </row>
    <row r="1765" customFormat="false" ht="17.15" hidden="false" customHeight="false" outlineLevel="0" collapsed="false">
      <c r="A1765" s="1" t="s">
        <v>509</v>
      </c>
      <c r="B1765" s="8" t="s">
        <v>86</v>
      </c>
      <c r="C1765" s="38" t="n">
        <f aca="false">Q!$D$5</f>
        <v>387.497</v>
      </c>
      <c r="D1765" s="38" t="n">
        <f aca="false">Q!$E$5</f>
        <v>426.305</v>
      </c>
      <c r="E1765" s="38" t="n">
        <f aca="false">Q!$P$5</f>
        <v>220.32</v>
      </c>
      <c r="F1765" s="38" t="n">
        <f aca="false">Sens!$F$1763*Sens!$F$1764</f>
        <v>250.639773480586</v>
      </c>
      <c r="G1765" s="38" t="n">
        <f aca="false">Sens!$E$1765+Sens!$F$1765</f>
        <v>470.959773480586</v>
      </c>
      <c r="H1765" s="38" t="n">
        <f aca="false">Sens!$H$1763*Sens!$H$1764</f>
        <v>521.386990416437</v>
      </c>
      <c r="I1765" s="38" t="n">
        <f aca="false">Sens!$I$1763*Sens!$I$1764</f>
        <v>570.143862887555</v>
      </c>
      <c r="J1765" s="38" t="n">
        <f aca="false">Sens!$J$1763*Sens!$J$1764</f>
        <v>615.391435791933</v>
      </c>
      <c r="K1765" s="38" t="n">
        <f aca="false">Sens!$K$1763*Sens!$K$1764</f>
        <v>655.208227561543</v>
      </c>
      <c r="L1765" s="38" t="n">
        <f aca="false">Sens!$L$1763*Sens!$L$1764</f>
        <v>697.807739249767</v>
      </c>
      <c r="M1765" s="38" t="n">
        <f aca="false">Sens!$M$1763*Sens!$M$1764</f>
        <v>743.399328463592</v>
      </c>
      <c r="N1765" s="38" t="n">
        <f aca="false">Q!$N$5</f>
        <v>192.955</v>
      </c>
      <c r="O1765" s="38" t="n">
        <f aca="false">Q!$O$5</f>
        <v>233.35</v>
      </c>
      <c r="P1765" s="5" t="s">
        <v>679</v>
      </c>
    </row>
    <row r="1766" customFormat="false" ht="17.15" hidden="false" customHeight="false" outlineLevel="0" collapsed="false">
      <c r="A1766" s="1" t="s">
        <v>512</v>
      </c>
      <c r="B1766" s="8" t="s">
        <v>86</v>
      </c>
      <c r="C1766" s="38" t="n">
        <f aca="false">Q!$D$6</f>
        <v>142.906</v>
      </c>
      <c r="D1766" s="38" t="n">
        <f aca="false">Q!$E$6</f>
        <v>161.894</v>
      </c>
      <c r="E1766" s="38" t="n">
        <f aca="false">Q!$P$6</f>
        <v>81.986</v>
      </c>
      <c r="F1766" s="38" t="n">
        <f aca="false">Sens!$F$1763*(1-Sens!$F$1764)</f>
        <v>98.408468164951</v>
      </c>
      <c r="G1766" s="38" t="n">
        <f aca="false">Sens!$E$1766+Sens!$F$1766</f>
        <v>180.394468164951</v>
      </c>
      <c r="H1766" s="38" t="n">
        <f aca="false">Sens!$H$1763*(1-Sens!$H$1764)</f>
        <v>199.709899104949</v>
      </c>
      <c r="I1766" s="38" t="n">
        <f aca="false">Sens!$I$1763*(1-Sens!$I$1764)</f>
        <v>218.385528264976</v>
      </c>
      <c r="J1766" s="38" t="n">
        <f aca="false">Sens!$J$1763*(1-Sens!$J$1764)</f>
        <v>235.71696994951</v>
      </c>
      <c r="K1766" s="38" t="n">
        <f aca="false">Sens!$K$1763*(1-Sens!$K$1764)</f>
        <v>250.968227869545</v>
      </c>
      <c r="L1766" s="38" t="n">
        <f aca="false">Sens!$L$1763*(1-Sens!$L$1764)</f>
        <v>267.285367225822</v>
      </c>
      <c r="M1766" s="38" t="n">
        <f aca="false">Sens!$M$1763*(1-Sens!$M$1764)</f>
        <v>284.748579483295</v>
      </c>
      <c r="N1766" s="38" t="n">
        <f aca="false">Q!$N$6</f>
        <v>70.274</v>
      </c>
      <c r="O1766" s="38" t="n">
        <f aca="false">Q!$O$6</f>
        <v>91.62</v>
      </c>
      <c r="P1766" s="5" t="s">
        <v>680</v>
      </c>
    </row>
    <row r="1767" customFormat="false" ht="17.15" hidden="false" customHeight="false" outlineLevel="0" collapsed="false">
      <c r="A1767" s="5" t="s">
        <v>681</v>
      </c>
      <c r="B1767" s="0" t="s">
        <v>86</v>
      </c>
      <c r="C1767" s="38" t="n">
        <f aca="false">Sens!$C$1756*Sens!$C$1764</f>
        <v>41.0683128828457</v>
      </c>
      <c r="D1767" s="38" t="n">
        <f aca="false">Sens!$D$1756*Sens!$D$1764</f>
        <v>49.7441234599175</v>
      </c>
      <c r="E1767" s="38" t="n">
        <f aca="false">Sens!$E$1756*Sens!$E$1764</f>
        <v>27.0034224924414</v>
      </c>
      <c r="F1767" s="38" t="n">
        <f aca="false">Sens!$F$1756*Sens!$F$1764</f>
        <v>33.1439448330513</v>
      </c>
      <c r="G1767" s="38" t="n">
        <f aca="false">Sens!$G$1756*Sens!$G$1764</f>
        <v>60.164183844083</v>
      </c>
      <c r="H1767" s="38" t="n">
        <f aca="false">Sens!$H$1756*Sens!$H$1764</f>
        <v>72.2301766552629</v>
      </c>
      <c r="I1767" s="38" t="n">
        <f aca="false">Sens!$I$1756*Sens!$I$1764</f>
        <v>84.2950764463991</v>
      </c>
      <c r="J1767" s="38" t="n">
        <f aca="false">Sens!$J$1756*Sens!$J$1764</f>
        <v>95.5499047729386</v>
      </c>
      <c r="K1767" s="38" t="n">
        <f aca="false">Sens!$K$1756*Sens!$K$1764</f>
        <v>105.104895250232</v>
      </c>
      <c r="L1767" s="38" t="n">
        <f aca="false">Sens!$L$1756*Sens!$L$1764</f>
        <v>115.615384775256</v>
      </c>
      <c r="M1767" s="38" t="n">
        <f aca="false">Sens!$M$1756*Sens!$M$1764</f>
        <v>127.176923252781</v>
      </c>
      <c r="N1767" s="38" t="n">
        <f aca="false">Sens!$N$1756*Sens!$N$1764</f>
        <v>21.7087111412496</v>
      </c>
      <c r="O1767" s="38" t="n">
        <f aca="false">Sens!$O$1756*Sens!$O$1764</f>
        <v>28.0189463642798</v>
      </c>
      <c r="P1767" s="5" t="s">
        <v>682</v>
      </c>
    </row>
    <row r="1768" customFormat="false" ht="15" hidden="false" customHeight="false" outlineLevel="0" collapsed="false">
      <c r="A1768" s="5" t="s">
        <v>683</v>
      </c>
      <c r="B1768" s="0" t="s">
        <v>86</v>
      </c>
      <c r="C1768" s="38" t="n">
        <f aca="false">Sens!$C$1756-Sens!$C$1767</f>
        <v>15.1456871171543</v>
      </c>
      <c r="D1768" s="38" t="n">
        <f aca="false">Sens!$D$1756-Sens!$D$1767</f>
        <v>18.8908765400825</v>
      </c>
      <c r="E1768" s="38" t="n">
        <f aca="false">Sens!$E$1756-Sens!$E$1767</f>
        <v>10.0485775075586</v>
      </c>
      <c r="F1768" s="38" t="n">
        <f aca="false">Sens!$F$1756-Sens!$F$1767</f>
        <v>13.0132771613635</v>
      </c>
      <c r="G1768" s="38" t="n">
        <f aca="false">Sens!$G$1756-Sens!$G$1767</f>
        <v>23.0450381503318</v>
      </c>
      <c r="H1768" s="38" t="n">
        <f aca="false">Sens!$H$1756-Sens!$H$1767</f>
        <v>27.6667457326347</v>
      </c>
      <c r="I1768" s="38" t="n">
        <f aca="false">Sens!$I$1756-Sens!$I$1767</f>
        <v>32.2880346490971</v>
      </c>
      <c r="J1768" s="38" t="n">
        <f aca="false">Sens!$J$1756-Sens!$J$1767</f>
        <v>36.5990371690132</v>
      </c>
      <c r="K1768" s="38" t="n">
        <f aca="false">Sens!$K$1756-Sens!$K$1767</f>
        <v>40.2589408859145</v>
      </c>
      <c r="L1768" s="38" t="n">
        <f aca="false">Sens!$L$1756-Sens!$L$1767</f>
        <v>44.2848349745059</v>
      </c>
      <c r="M1768" s="38" t="n">
        <f aca="false">Sens!$M$1756-Sens!$M$1767</f>
        <v>48.7133184719565</v>
      </c>
      <c r="N1768" s="38" t="n">
        <f aca="false">Sens!$N$1756-Sens!$N$1767</f>
        <v>7.90628885875037</v>
      </c>
      <c r="O1768" s="38" t="n">
        <f aca="false">Sens!$O$1756-Sens!$O$1767</f>
        <v>11.0010536357202</v>
      </c>
    </row>
    <row r="1769" customFormat="false" ht="19.4" hidden="false" customHeight="false" outlineLevel="0" collapsed="false">
      <c r="A1769" s="31" t="s">
        <v>1163</v>
      </c>
    </row>
    <row r="1770" customFormat="false" ht="17.15" hidden="false" customHeight="false" outlineLevel="0" collapsed="false">
      <c r="A1770" s="6" t="s">
        <v>16</v>
      </c>
      <c r="B1770" s="6" t="s">
        <v>17</v>
      </c>
      <c r="C1770" s="20" t="s">
        <v>494</v>
      </c>
      <c r="D1770" s="20" t="s">
        <v>495</v>
      </c>
      <c r="E1770" s="20" t="s">
        <v>577</v>
      </c>
      <c r="F1770" s="20" t="s">
        <v>578</v>
      </c>
      <c r="G1770" s="20" t="s">
        <v>579</v>
      </c>
      <c r="H1770" s="20" t="s">
        <v>580</v>
      </c>
      <c r="I1770" s="20" t="s">
        <v>581</v>
      </c>
      <c r="J1770" s="20" t="s">
        <v>582</v>
      </c>
      <c r="K1770" s="20" t="s">
        <v>583</v>
      </c>
      <c r="L1770" s="20" t="s">
        <v>584</v>
      </c>
      <c r="M1770" s="20" t="s">
        <v>585</v>
      </c>
      <c r="N1770" s="20" t="s">
        <v>586</v>
      </c>
      <c r="O1770" s="20" t="s">
        <v>587</v>
      </c>
      <c r="P1770" s="6" t="s">
        <v>23</v>
      </c>
      <c r="R1770" s="20" t="n">
        <v>2023</v>
      </c>
      <c r="S1770" s="20" t="n">
        <v>2024</v>
      </c>
      <c r="T1770" s="20" t="n">
        <v>2025</v>
      </c>
      <c r="U1770" s="20" t="n">
        <v>2026</v>
      </c>
      <c r="V1770" s="20" t="n">
        <v>2027</v>
      </c>
      <c r="W1770" s="20" t="n">
        <v>2028</v>
      </c>
      <c r="X1770" s="20" t="n">
        <v>2029</v>
      </c>
      <c r="Y1770" s="20" t="n">
        <v>2030</v>
      </c>
      <c r="Z1770" s="20" t="n">
        <v>2031</v>
      </c>
      <c r="AA1770" s="20" t="n">
        <v>2032</v>
      </c>
    </row>
    <row r="1771" customFormat="false" ht="17.15" hidden="false" customHeight="false" outlineLevel="0" collapsed="false">
      <c r="A1771" s="1" t="s">
        <v>588</v>
      </c>
    </row>
    <row r="1772" customFormat="false" ht="17.15" hidden="false" customHeight="false" outlineLevel="0" collapsed="false">
      <c r="A1772" s="5" t="s">
        <v>589</v>
      </c>
      <c r="B1772" s="0" t="s">
        <v>144</v>
      </c>
      <c r="H1772" s="32" t="n">
        <f aca="false">pace_B</f>
        <v>3634.3</v>
      </c>
      <c r="I1772" s="32" t="n">
        <f aca="false">pace_B</f>
        <v>3634.3</v>
      </c>
      <c r="J1772" s="32" t="n">
        <f aca="false">pace_B</f>
        <v>3634.3</v>
      </c>
      <c r="K1772" s="32" t="n">
        <f aca="false">pace_B+(Sens!$J$1773*tg-pace_B)*1/3</f>
        <v>2570.86716666667</v>
      </c>
      <c r="L1772" s="32" t="n">
        <f aca="false">pace_B+(Sens!$J$1773*tg-pace_B)*2/3</f>
        <v>1507.43433333333</v>
      </c>
      <c r="M1772" s="32" t="n">
        <f aca="false">pace_B+(Sens!$J$1773*tg-pace_B)*3/3</f>
        <v>444.0015</v>
      </c>
      <c r="P1772" s="5" t="s">
        <v>590</v>
      </c>
    </row>
    <row r="1773" customFormat="false" ht="17.15" hidden="false" customHeight="false" outlineLevel="0" collapsed="false">
      <c r="A1773" s="15" t="s">
        <v>591</v>
      </c>
      <c r="B1773" s="14" t="s">
        <v>129</v>
      </c>
      <c r="C1773" s="33" t="n">
        <f aca="false">mw_ye24</f>
        <v>360</v>
      </c>
      <c r="D1773" s="33" t="n">
        <f aca="false">mw_ye25</f>
        <v>1440</v>
      </c>
      <c r="E1773" s="33" t="n">
        <f aca="false">mw_open</f>
        <v>2080</v>
      </c>
      <c r="F1773" s="33" t="n">
        <f aca="false">Sens!$E$1773+pace_B*0.5</f>
        <v>3897.15</v>
      </c>
      <c r="G1773" s="33" t="n">
        <f aca="false">Sens!$F$1773</f>
        <v>3897.15</v>
      </c>
      <c r="H1773" s="33" t="n">
        <f aca="false">Sens!$G$1773+Sens!$H$1772</f>
        <v>7531.45</v>
      </c>
      <c r="I1773" s="33" t="n">
        <f aca="false">Sens!$H$1773+Sens!$I$1772</f>
        <v>11165.75</v>
      </c>
      <c r="J1773" s="33" t="n">
        <f aca="false">Sens!$I$1773+Sens!$J$1772</f>
        <v>14800.05</v>
      </c>
      <c r="K1773" s="33" t="n">
        <f aca="false">Sens!$J$1773+Sens!$K$1772</f>
        <v>17370.9171666667</v>
      </c>
      <c r="L1773" s="33" t="n">
        <f aca="false">Sens!$K$1773+Sens!$L$1772</f>
        <v>18878.3515</v>
      </c>
      <c r="M1773" s="33" t="n">
        <f aca="false">Sens!$L$1773+Sens!$M$1772</f>
        <v>19322.353</v>
      </c>
      <c r="N1773" s="33" t="n">
        <f aca="false">(mw_ye24+mw_ye25)/2</f>
        <v>900</v>
      </c>
      <c r="O1773" s="33" t="n">
        <f aca="false">mw_ye25</f>
        <v>1440</v>
      </c>
      <c r="P1773" s="5" t="s">
        <v>592</v>
      </c>
    </row>
    <row r="1774" customFormat="false" ht="17.15" hidden="false" customHeight="false" outlineLevel="0" collapsed="false">
      <c r="A1774" s="5" t="s">
        <v>593</v>
      </c>
      <c r="B1774" s="0" t="s">
        <v>129</v>
      </c>
      <c r="C1774" s="32" t="n">
        <f aca="false">(mw_ye23+mw_ye24)/2</f>
        <v>240</v>
      </c>
      <c r="D1774" s="32" t="n">
        <f aca="false">(Sens!$C$1773+Sens!$D$1773)/2</f>
        <v>900</v>
      </c>
      <c r="E1774" s="32" t="n">
        <f aca="false">(Sens!$D$1773+Sens!$E$1773)/2</f>
        <v>1760</v>
      </c>
      <c r="F1774" s="32" t="n">
        <f aca="false">(Sens!$E$1773+Sens!$F$1773)/2</f>
        <v>2988.575</v>
      </c>
      <c r="G1774" s="32" t="n">
        <f aca="false">(Sens!$E$1774+Sens!$F$1774)/2</f>
        <v>2374.2875</v>
      </c>
      <c r="H1774" s="32" t="n">
        <f aca="false">(Sens!$G$1773+Sens!$H$1773)/2</f>
        <v>5714.3</v>
      </c>
      <c r="I1774" s="32" t="n">
        <f aca="false">(Sens!$H$1773+Sens!$I$1773)/2</f>
        <v>9348.6</v>
      </c>
      <c r="J1774" s="32" t="n">
        <f aca="false">(Sens!$I$1773+Sens!$J$1773)/2</f>
        <v>12982.9</v>
      </c>
      <c r="K1774" s="32" t="n">
        <f aca="false">(Sens!$J$1773+Sens!$K$1773)/2</f>
        <v>16085.4835833333</v>
      </c>
      <c r="L1774" s="32" t="n">
        <f aca="false">(Sens!$K$1773+Sens!$L$1773)/2</f>
        <v>18124.6343333333</v>
      </c>
      <c r="M1774" s="32" t="n">
        <f aca="false">(Sens!$L$1773+Sens!$M$1773)/2</f>
        <v>19100.35225</v>
      </c>
      <c r="N1774" s="32" t="n">
        <f aca="false">(Sens!$C$1773+Sens!$N$1773)/2</f>
        <v>630</v>
      </c>
      <c r="O1774" s="32" t="n">
        <f aca="false">(Sens!$N$1773+Sens!$O$1773)/2</f>
        <v>1170</v>
      </c>
    </row>
    <row r="1775" customFormat="false" ht="15" hidden="false" customHeight="false" outlineLevel="0" collapsed="false">
      <c r="A1775" s="5" t="s">
        <v>594</v>
      </c>
      <c r="B1775" s="5" t="s">
        <v>123</v>
      </c>
      <c r="C1775" s="34" t="n">
        <v>1</v>
      </c>
      <c r="D1775" s="34" t="n">
        <v>1</v>
      </c>
      <c r="E1775" s="34" t="n">
        <v>0.5</v>
      </c>
      <c r="F1775" s="34" t="n">
        <v>0.5</v>
      </c>
      <c r="G1775" s="34" t="n">
        <v>1</v>
      </c>
      <c r="H1775" s="34" t="n">
        <v>1</v>
      </c>
      <c r="I1775" s="34" t="n">
        <v>1</v>
      </c>
      <c r="J1775" s="34" t="n">
        <v>1</v>
      </c>
      <c r="K1775" s="34" t="n">
        <v>1</v>
      </c>
      <c r="L1775" s="34" t="n">
        <v>1</v>
      </c>
      <c r="M1775" s="34" t="n">
        <v>1</v>
      </c>
      <c r="N1775" s="34" t="n">
        <v>0.5</v>
      </c>
      <c r="O1775" s="34" t="n">
        <v>0.5</v>
      </c>
    </row>
    <row r="1776" customFormat="false" ht="17.15" hidden="false" customHeight="false" outlineLevel="0" collapsed="false">
      <c r="A1776" s="5" t="s">
        <v>595</v>
      </c>
      <c r="B1776" s="0" t="s">
        <v>129</v>
      </c>
      <c r="C1776" s="32" t="n">
        <f aca="false">Sens!$C$1773-mw_ye23</f>
        <v>240</v>
      </c>
      <c r="D1776" s="32" t="n">
        <f aca="false">Sens!$D$1773-Sens!$C$1773</f>
        <v>1080</v>
      </c>
      <c r="E1776" s="32" t="n">
        <f aca="false">Sens!$E$1773-Sens!$D$1773</f>
        <v>640</v>
      </c>
      <c r="F1776" s="32" t="n">
        <f aca="false">Sens!$F$1773-Sens!$E$1773</f>
        <v>1817.15</v>
      </c>
      <c r="G1776" s="32" t="n">
        <f aca="false">Sens!$E$1776+Sens!$F$1776</f>
        <v>2457.15</v>
      </c>
      <c r="H1776" s="32" t="n">
        <f aca="false">Sens!$H$1773-Sens!$G$1773</f>
        <v>3634.3</v>
      </c>
      <c r="I1776" s="32" t="n">
        <f aca="false">Sens!$I$1773-Sens!$H$1773</f>
        <v>3634.3</v>
      </c>
      <c r="J1776" s="32" t="n">
        <f aca="false">Sens!$J$1773-Sens!$I$1773</f>
        <v>3634.3</v>
      </c>
      <c r="K1776" s="32" t="n">
        <f aca="false">Sens!$K$1773-Sens!$J$1773</f>
        <v>2570.86716666667</v>
      </c>
      <c r="L1776" s="32" t="n">
        <f aca="false">Sens!$L$1773-Sens!$K$1773</f>
        <v>1507.43433333333</v>
      </c>
      <c r="M1776" s="32" t="n">
        <f aca="false">Sens!$M$1773-Sens!$L$1773</f>
        <v>444.001499999999</v>
      </c>
      <c r="N1776" s="32" t="n">
        <f aca="false">Sens!$N$1773-Sens!$C$1773</f>
        <v>540</v>
      </c>
      <c r="O1776" s="32" t="n">
        <f aca="false">Sens!$O$1773-Sens!$N$1773</f>
        <v>540</v>
      </c>
    </row>
    <row r="1777" customFormat="false" ht="17.15" hidden="false" customHeight="false" outlineLevel="0" collapsed="false">
      <c r="A1777" s="5" t="s">
        <v>596</v>
      </c>
      <c r="B1777" s="0" t="s">
        <v>129</v>
      </c>
      <c r="C1777" s="32" t="n">
        <f aca="false">Sens!$C$1776/ext_sh</f>
        <v>300</v>
      </c>
      <c r="D1777" s="32" t="n">
        <f aca="false">Sens!$D$1776/ext_sh</f>
        <v>1350</v>
      </c>
      <c r="E1777" s="32" t="n">
        <f aca="false">Sens!$E$1776/ext_sh</f>
        <v>800</v>
      </c>
      <c r="F1777" s="32" t="n">
        <f aca="false">Sens!$F$1776/ext_sh</f>
        <v>2271.4375</v>
      </c>
      <c r="G1777" s="32" t="n">
        <f aca="false">Sens!$G$1776/ext_sh</f>
        <v>3071.4375</v>
      </c>
      <c r="H1777" s="32" t="n">
        <f aca="false">Sens!$H$1776/ext_sh</f>
        <v>4542.875</v>
      </c>
      <c r="I1777" s="32" t="n">
        <f aca="false">Sens!$I$1776/ext_sh</f>
        <v>4542.875</v>
      </c>
      <c r="J1777" s="32" t="n">
        <f aca="false">Sens!$J$1776/ext_sh</f>
        <v>4542.875</v>
      </c>
      <c r="K1777" s="32" t="n">
        <f aca="false">Sens!$K$1776/ext_sh</f>
        <v>3213.58395833333</v>
      </c>
      <c r="L1777" s="32" t="n">
        <f aca="false">Sens!$L$1776/ext_sh</f>
        <v>1884.29291666667</v>
      </c>
      <c r="M1777" s="32" t="n">
        <f aca="false">Sens!$M$1776/ext_sh</f>
        <v>555.001874999998</v>
      </c>
      <c r="N1777" s="32" t="n">
        <f aca="false">Sens!$N$1776/ext_sh</f>
        <v>675</v>
      </c>
      <c r="O1777" s="32" t="n">
        <f aca="false">Sens!$O$1776/ext_sh</f>
        <v>675</v>
      </c>
      <c r="P1777" s="8" t="s">
        <v>597</v>
      </c>
      <c r="R1777" s="32" t="n">
        <f aca="false">mw_ye23/ext_sh</f>
        <v>150</v>
      </c>
      <c r="S1777" s="32" t="n">
        <f aca="false">Sens!$C$1777</f>
        <v>300</v>
      </c>
      <c r="T1777" s="32" t="n">
        <f aca="false">Sens!$D$1777</f>
        <v>1350</v>
      </c>
      <c r="U1777" s="32" t="n">
        <f aca="false">Sens!$G$1777</f>
        <v>3071.4375</v>
      </c>
      <c r="V1777" s="32" t="n">
        <f aca="false">Sens!$H$1777</f>
        <v>4542.875</v>
      </c>
      <c r="W1777" s="32" t="n">
        <f aca="false">Sens!$I$1777</f>
        <v>4542.875</v>
      </c>
      <c r="X1777" s="32" t="n">
        <f aca="false">Sens!$J$1777</f>
        <v>4542.875</v>
      </c>
      <c r="Y1777" s="32" t="n">
        <f aca="false">Sens!$K$1777</f>
        <v>3213.58395833333</v>
      </c>
      <c r="Z1777" s="32" t="n">
        <f aca="false">Sens!$L$1777</f>
        <v>1884.29291666667</v>
      </c>
      <c r="AA1777" s="32" t="n">
        <f aca="false">Sens!$M$1777</f>
        <v>555.001874999998</v>
      </c>
    </row>
    <row r="1778" customFormat="false" ht="17.15" hidden="false" customHeight="false" outlineLevel="0" collapsed="false">
      <c r="A1778" s="1" t="s">
        <v>598</v>
      </c>
    </row>
    <row r="1779" customFormat="false" ht="17.15" hidden="false" customHeight="false" outlineLevel="0" collapsed="false">
      <c r="A1779" s="0" t="s">
        <v>599</v>
      </c>
      <c r="B1779" s="0" t="s">
        <v>52</v>
      </c>
      <c r="F1779" s="35" t="n">
        <f aca="false">na_vr26</f>
        <v>0</v>
      </c>
      <c r="G1779" s="35" t="n">
        <f aca="false">na_vr26</f>
        <v>0</v>
      </c>
      <c r="H1779" s="35" t="n">
        <f aca="false">na_vr27</f>
        <v>0.5</v>
      </c>
      <c r="I1779" s="35" t="n">
        <f aca="false">na_vr28</f>
        <v>1</v>
      </c>
      <c r="J1779" s="35" t="n">
        <f aca="false">na_vr28</f>
        <v>1</v>
      </c>
      <c r="K1779" s="35" t="n">
        <f aca="false">na_vr28</f>
        <v>1</v>
      </c>
      <c r="L1779" s="35" t="n">
        <f aca="false">na_vr28</f>
        <v>1</v>
      </c>
      <c r="M1779" s="35" t="n">
        <f aca="false">na_vr28</f>
        <v>1</v>
      </c>
    </row>
    <row r="1780" customFormat="false" ht="17.15" hidden="false" customHeight="false" outlineLevel="0" collapsed="false">
      <c r="A1780" s="5" t="s">
        <v>600</v>
      </c>
      <c r="B1780" s="0" t="s">
        <v>173</v>
      </c>
      <c r="F1780" s="36" t="n">
        <f aca="false">cust_sh*tk_he_gb300*cf_chip+(1-cust_sh)*((1-Sens!$F$1779)*tk_he_gb300+Sens!$F$1779*tk_he_vr200)</f>
        <v>10.8864110021101</v>
      </c>
      <c r="G1780" s="36" t="n">
        <f aca="false">cust_sh*tk_he_gb300*cf_chip+(1-cust_sh)*((1-Sens!$G$1779)*tk_he_gb300+Sens!$G$1779*tk_he_vr200)</f>
        <v>10.8864110021101</v>
      </c>
      <c r="H1780" s="36" t="n">
        <f aca="false">cust_sh*tk_he_gb300*cf_chip+(1-cust_sh)*((1-Sens!$H$1779)*tk_he_gb300+Sens!$H$1779*tk_he_vr200)</f>
        <v>11.2211760027286</v>
      </c>
      <c r="I1780" s="36" t="n">
        <f aca="false">cust_sh*tk_he_gb300*cf_chip+(1-cust_sh)*((1-Sens!$I$1779)*tk_he_gb300+Sens!$I$1779*tk_he_vr200)</f>
        <v>11.5559410033471</v>
      </c>
      <c r="J1780" s="36" t="n">
        <f aca="false">cust_sh*tk_he_gb300*cf_chip+(1-cust_sh)*((1-Sens!$J$1779)*tk_he_gb300+Sens!$J$1779*tk_he_vr200)</f>
        <v>11.5559410033471</v>
      </c>
      <c r="K1780" s="36" t="n">
        <f aca="false">cust_sh*tk_he_gb300*cf_chip+(1-cust_sh)*((1-Sens!$K$1779)*tk_he_gb300+Sens!$K$1779*tk_he_vr200)</f>
        <v>11.5559410033471</v>
      </c>
      <c r="L1780" s="36" t="n">
        <f aca="false">cust_sh*tk_he_gb300*cf_chip+(1-cust_sh)*((1-Sens!$L$1779)*tk_he_gb300+Sens!$L$1779*tk_he_vr200)</f>
        <v>11.5559410033471</v>
      </c>
      <c r="M1780" s="36" t="n">
        <f aca="false">cust_sh*tk_he_gb300*cf_chip+(1-cust_sh)*((1-Sens!$M$1779)*tk_he_gb300+Sens!$M$1779*tk_he_vr200)</f>
        <v>11.5559410033471</v>
      </c>
    </row>
    <row r="1781" customFormat="false" ht="17.15" hidden="false" customHeight="false" outlineLevel="0" collapsed="false">
      <c r="A1781" s="5" t="s">
        <v>601</v>
      </c>
      <c r="B1781" s="0" t="s">
        <v>173</v>
      </c>
      <c r="F1781" s="36" t="n">
        <f aca="false">cust_sh*tk_ox_gb300+(1-cust_sh)*((1-Sens!$F$1779)*tk_ox_gb300+Sens!$F$1779*tk_ox_vr200)</f>
        <v>1.98263481314457</v>
      </c>
      <c r="G1781" s="36" t="n">
        <f aca="false">cust_sh*tk_ox_gb300+(1-cust_sh)*((1-Sens!$G$1779)*tk_ox_gb300+Sens!$G$1779*tk_ox_vr200)</f>
        <v>1.98263481314457</v>
      </c>
      <c r="H1781" s="36" t="n">
        <f aca="false">cust_sh*tk_ox_gb300+(1-cust_sh)*((1-Sens!$H$1779)*tk_ox_gb300+Sens!$H$1779*tk_ox_vr200)</f>
        <v>2.01034999693694</v>
      </c>
      <c r="I1781" s="36" t="n">
        <f aca="false">cust_sh*tk_ox_gb300+(1-cust_sh)*((1-Sens!$I$1779)*tk_ox_gb300+Sens!$I$1779*tk_ox_vr200)</f>
        <v>2.0380651807293</v>
      </c>
      <c r="J1781" s="36" t="n">
        <f aca="false">cust_sh*tk_ox_gb300+(1-cust_sh)*((1-Sens!$J$1779)*tk_ox_gb300+Sens!$J$1779*tk_ox_vr200)</f>
        <v>2.0380651807293</v>
      </c>
      <c r="K1781" s="36" t="n">
        <f aca="false">cust_sh*tk_ox_gb300+(1-cust_sh)*((1-Sens!$K$1779)*tk_ox_gb300+Sens!$K$1779*tk_ox_vr200)</f>
        <v>2.0380651807293</v>
      </c>
      <c r="L1781" s="36" t="n">
        <f aca="false">cust_sh*tk_ox_gb300+(1-cust_sh)*((1-Sens!$L$1779)*tk_ox_gb300+Sens!$L$1779*tk_ox_vr200)</f>
        <v>2.0380651807293</v>
      </c>
      <c r="M1781" s="36" t="n">
        <f aca="false">cust_sh*tk_ox_gb300+(1-cust_sh)*((1-Sens!$M$1779)*tk_ox_gb300+Sens!$M$1779*tk_ox_vr200)</f>
        <v>2.0380651807293</v>
      </c>
    </row>
    <row r="1782" customFormat="false" ht="17.15" hidden="false" customHeight="false" outlineLevel="0" collapsed="false">
      <c r="A1782" s="5" t="s">
        <v>602</v>
      </c>
      <c r="B1782" s="0" t="s">
        <v>192</v>
      </c>
      <c r="F1782" s="36" t="n">
        <f aca="false">cust_sh*tk_cx_gb300*cf_cx+(1-cust_sh)*((1-Sens!$F$1779)*tk_cx_gb300+Sens!$F$1779*tk_cx_vr200)</f>
        <v>32.237224</v>
      </c>
      <c r="G1782" s="36" t="n">
        <f aca="false">cust_sh*tk_cx_gb300*cf_cx+(1-cust_sh)*((1-Sens!$G$1779)*tk_cx_gb300+Sens!$G$1779*tk_cx_vr200)</f>
        <v>32.237224</v>
      </c>
      <c r="H1782" s="36" t="n">
        <f aca="false">cust_sh*tk_cx_gb300*cf_cx+(1-cust_sh)*((1-Sens!$H$1779)*tk_cx_gb300+Sens!$H$1779*tk_cx_vr200)</f>
        <v>33.574506</v>
      </c>
      <c r="I1782" s="36" t="n">
        <f aca="false">cust_sh*tk_cx_gb300*cf_cx+(1-cust_sh)*((1-Sens!$I$1779)*tk_cx_gb300+Sens!$I$1779*tk_cx_vr200)</f>
        <v>34.911788</v>
      </c>
      <c r="J1782" s="36" t="n">
        <f aca="false">cust_sh*tk_cx_gb300*cf_cx+(1-cust_sh)*((1-Sens!$J$1779)*tk_cx_gb300+Sens!$J$1779*tk_cx_vr200)</f>
        <v>34.911788</v>
      </c>
      <c r="K1782" s="36" t="n">
        <f aca="false">cust_sh*tk_cx_gb300*cf_cx+(1-cust_sh)*((1-Sens!$K$1779)*tk_cx_gb300+Sens!$K$1779*tk_cx_vr200)</f>
        <v>34.911788</v>
      </c>
      <c r="L1782" s="36" t="n">
        <f aca="false">cust_sh*tk_cx_gb300*cf_cx+(1-cust_sh)*((1-Sens!$L$1779)*tk_cx_gb300+Sens!$L$1779*tk_cx_vr200)</f>
        <v>34.911788</v>
      </c>
      <c r="M1782" s="36" t="n">
        <f aca="false">cust_sh*tk_cx_gb300*cf_cx+(1-cust_sh)*((1-Sens!$M$1779)*tk_cx_gb300+Sens!$M$1779*tk_cx_vr200)</f>
        <v>34.911788</v>
      </c>
    </row>
    <row r="1783" customFormat="false" ht="17.15" hidden="false" customHeight="false" outlineLevel="0" collapsed="false">
      <c r="A1783" s="5" t="s">
        <v>603</v>
      </c>
      <c r="B1783" s="0" t="s">
        <v>129</v>
      </c>
      <c r="F1783" s="32" t="n">
        <f aca="false">Sens!$F$1773-mw_open</f>
        <v>1817.15</v>
      </c>
      <c r="G1783" s="32" t="n">
        <f aca="false">Sens!$F$1783</f>
        <v>1817.15</v>
      </c>
      <c r="H1783" s="32" t="n">
        <f aca="false">Sens!$H$1773-mw_open</f>
        <v>5451.45</v>
      </c>
      <c r="I1783" s="32" t="n">
        <f aca="false">Sens!$I$1773-mw_open</f>
        <v>9085.75</v>
      </c>
      <c r="J1783" s="32" t="n">
        <f aca="false">Sens!$J$1773-mw_open</f>
        <v>12720.05</v>
      </c>
      <c r="K1783" s="32" t="n">
        <f aca="false">Sens!$K$1773-mw_open</f>
        <v>15290.9171666667</v>
      </c>
      <c r="L1783" s="32" t="n">
        <f aca="false">Sens!$L$1773-mw_open</f>
        <v>16798.3515</v>
      </c>
      <c r="M1783" s="32" t="n">
        <f aca="false">Sens!$M$1773-mw_open</f>
        <v>17242.353</v>
      </c>
    </row>
    <row r="1784" customFormat="false" ht="17.15" hidden="false" customHeight="false" outlineLevel="0" collapsed="false">
      <c r="A1784" s="0" t="s">
        <v>604</v>
      </c>
      <c r="B1784" s="0" t="s">
        <v>605</v>
      </c>
      <c r="F1784" s="32" t="n">
        <f aca="false">Sens!$F$1776*Sens!$F$1780</f>
        <v>19782.2417524844</v>
      </c>
      <c r="G1784" s="32" t="n">
        <f aca="false">Sens!$F$1784</f>
        <v>19782.2417524844</v>
      </c>
      <c r="H1784" s="32" t="n">
        <f aca="false">Sens!$G$1784+Sens!$H$1776*Sens!$H$1780</f>
        <v>60563.3616992009</v>
      </c>
      <c r="I1784" s="32" t="n">
        <f aca="false">Sens!$H$1784+Sens!$I$1776*Sens!$I$1780</f>
        <v>102561.118087665</v>
      </c>
      <c r="J1784" s="32" t="n">
        <f aca="false">Sens!$I$1784+Sens!$J$1776*Sens!$J$1780</f>
        <v>144558.87447613</v>
      </c>
      <c r="K1784" s="32" t="n">
        <f aca="false">Sens!$J$1784+Sens!$K$1776*Sens!$K$1780</f>
        <v>174267.663781572</v>
      </c>
      <c r="L1784" s="32" t="n">
        <f aca="false">Sens!$K$1784+Sens!$L$1776*Sens!$L$1780</f>
        <v>191687.486003992</v>
      </c>
      <c r="M1784" s="32" t="n">
        <f aca="false">Sens!$L$1784+Sens!$M$1776*Sens!$M$1780</f>
        <v>196818.341143389</v>
      </c>
    </row>
    <row r="1785" customFormat="false" ht="17.15" hidden="false" customHeight="false" outlineLevel="0" collapsed="false">
      <c r="A1785" s="0" t="s">
        <v>606</v>
      </c>
      <c r="B1785" s="0" t="s">
        <v>605</v>
      </c>
      <c r="F1785" s="32" t="n">
        <f aca="false">Sens!$F$1776*Sens!$F$1781</f>
        <v>3602.74485070566</v>
      </c>
      <c r="G1785" s="32" t="n">
        <f aca="false">Sens!$F$1785</f>
        <v>3602.74485070566</v>
      </c>
      <c r="H1785" s="32" t="n">
        <f aca="false">Sens!$G$1785+Sens!$H$1776*Sens!$H$1781</f>
        <v>10908.9598445736</v>
      </c>
      <c r="I1785" s="32" t="n">
        <f aca="false">Sens!$H$1785+Sens!$I$1776*Sens!$I$1781</f>
        <v>18315.9001308981</v>
      </c>
      <c r="J1785" s="32" t="n">
        <f aca="false">Sens!$I$1785+Sens!$J$1776*Sens!$J$1781</f>
        <v>25722.8404172225</v>
      </c>
      <c r="K1785" s="32" t="n">
        <f aca="false">Sens!$J$1785+Sens!$K$1776*Sens!$K$1781</f>
        <v>30962.4352738861</v>
      </c>
      <c r="L1785" s="32" t="n">
        <f aca="false">Sens!$K$1785+Sens!$L$1776*Sens!$L$1781</f>
        <v>34034.6847008886</v>
      </c>
      <c r="M1785" s="32" t="n">
        <f aca="false">Sens!$L$1785+Sens!$M$1776*Sens!$M$1781</f>
        <v>34939.5886982302</v>
      </c>
    </row>
    <row r="1786" customFormat="false" ht="17.15" hidden="false" customHeight="false" outlineLevel="0" collapsed="false">
      <c r="A1786" s="5" t="s">
        <v>607</v>
      </c>
      <c r="B1786" s="0" t="s">
        <v>173</v>
      </c>
      <c r="F1786" s="36" t="n">
        <f aca="false">IF(Sens!$F$1783&gt;0,Sens!$F$1784/Sens!$F$1783,Sens!$F$1780)</f>
        <v>10.8864110021101</v>
      </c>
      <c r="G1786" s="36" t="n">
        <f aca="false">IF(Sens!$G$1783&gt;0,Sens!$G$1784/Sens!$G$1783,Sens!$G$1780)</f>
        <v>10.8864110021101</v>
      </c>
      <c r="H1786" s="36" t="n">
        <f aca="false">IF(Sens!$H$1783&gt;0,Sens!$H$1784/Sens!$H$1783,Sens!$H$1780)</f>
        <v>11.1095876691891</v>
      </c>
      <c r="I1786" s="36" t="n">
        <f aca="false">IF(Sens!$I$1783&gt;0,Sens!$I$1784/Sens!$I$1783,Sens!$I$1780)</f>
        <v>11.2881290028523</v>
      </c>
      <c r="J1786" s="36" t="n">
        <f aca="false">IF(Sens!$J$1783&gt;0,Sens!$J$1784/Sens!$J$1783,Sens!$J$1780)</f>
        <v>11.3646467172794</v>
      </c>
      <c r="K1786" s="36" t="n">
        <f aca="false">IF(Sens!$K$1783&gt;0,Sens!$K$1784/Sens!$K$1783,Sens!$K$1780)</f>
        <v>11.3968090914432</v>
      </c>
      <c r="L1786" s="36" t="n">
        <f aca="false">IF(Sens!$L$1783&gt;0,Sens!$L$1784/Sens!$L$1783,Sens!$L$1780)</f>
        <v>11.4110891181192</v>
      </c>
      <c r="M1786" s="36" t="n">
        <f aca="false">IF(Sens!$M$1783&gt;0,Sens!$M$1784/Sens!$M$1783,Sens!$M$1780)</f>
        <v>11.4148191458201</v>
      </c>
    </row>
    <row r="1787" customFormat="false" ht="17.15" hidden="false" customHeight="false" outlineLevel="0" collapsed="false">
      <c r="A1787" s="5" t="s">
        <v>608</v>
      </c>
      <c r="B1787" s="0" t="s">
        <v>173</v>
      </c>
      <c r="F1787" s="36" t="n">
        <f aca="false">IF(Sens!$F$1783&gt;0,Sens!$F$1785/Sens!$F$1783,Sens!$F$1781)</f>
        <v>1.98263481314457</v>
      </c>
      <c r="G1787" s="36" t="n">
        <f aca="false">IF(Sens!$G$1783&gt;0,Sens!$G$1785/Sens!$G$1783,Sens!$G$1781)</f>
        <v>1.98263481314457</v>
      </c>
      <c r="H1787" s="36" t="n">
        <f aca="false">IF(Sens!$H$1783&gt;0,Sens!$H$1785/Sens!$H$1783,Sens!$H$1781)</f>
        <v>2.00111160233948</v>
      </c>
      <c r="I1787" s="36" t="n">
        <f aca="false">IF(Sens!$I$1783&gt;0,Sens!$I$1785/Sens!$I$1783,Sens!$I$1781)</f>
        <v>2.01589303369541</v>
      </c>
      <c r="J1787" s="36" t="n">
        <f aca="false">IF(Sens!$J$1783&gt;0,Sens!$J$1785/Sens!$J$1783,Sens!$J$1781)</f>
        <v>2.02222793284795</v>
      </c>
      <c r="K1787" s="36" t="n">
        <f aca="false">IF(Sens!$K$1783&gt;0,Sens!$K$1785/Sens!$K$1783,Sens!$K$1781)</f>
        <v>2.02489065478573</v>
      </c>
      <c r="L1787" s="36" t="n">
        <f aca="false">IF(Sens!$L$1783&gt;0,Sens!$L$1785/Sens!$L$1783,Sens!$L$1781)</f>
        <v>2.0260728977417</v>
      </c>
      <c r="M1787" s="36" t="n">
        <f aca="false">IF(Sens!$M$1783&gt;0,Sens!$M$1785/Sens!$M$1783,Sens!$M$1781)</f>
        <v>2.02638170661685</v>
      </c>
    </row>
    <row r="1788" customFormat="false" ht="17.15" hidden="false" customHeight="false" outlineLevel="0" collapsed="false">
      <c r="A1788" s="15" t="s">
        <v>609</v>
      </c>
      <c r="B1788" s="14" t="s">
        <v>173</v>
      </c>
      <c r="C1788" s="14"/>
      <c r="D1788" s="14"/>
      <c r="E1788" s="14"/>
      <c r="F1788" s="37" t="n">
        <f aca="false">Sens!$F$1786*k_B</f>
        <v>10.7987645808025</v>
      </c>
      <c r="G1788" s="37" t="n">
        <f aca="false">Sens!$G$1786*k_B</f>
        <v>10.7987645808025</v>
      </c>
      <c r="H1788" s="37" t="n">
        <f aca="false">Sens!$H$1786*k_B</f>
        <v>11.0201444540452</v>
      </c>
      <c r="I1788" s="37" t="n">
        <f aca="false">Sens!$I$1786*k_B</f>
        <v>11.1972483526393</v>
      </c>
      <c r="J1788" s="37" t="n">
        <f aca="false">Sens!$J$1786*k_B</f>
        <v>11.2731500234653</v>
      </c>
      <c r="K1788" s="37" t="n">
        <f aca="false">Sens!$K$1786*k_B</f>
        <v>11.3050534585724</v>
      </c>
      <c r="L1788" s="37" t="n">
        <f aca="false">Sens!$L$1786*k_B</f>
        <v>11.3192185168503</v>
      </c>
      <c r="M1788" s="37" t="n">
        <f aca="false">Sens!$M$1786*k_B</f>
        <v>11.3229185141234</v>
      </c>
      <c r="N1788" s="14"/>
      <c r="O1788" s="14"/>
      <c r="P1788" s="5" t="s">
        <v>610</v>
      </c>
    </row>
    <row r="1789" customFormat="false" ht="17.15" hidden="false" customHeight="false" outlineLevel="0" collapsed="false">
      <c r="A1789" s="5" t="s">
        <v>611</v>
      </c>
      <c r="B1789" s="0" t="s">
        <v>129</v>
      </c>
      <c r="F1789" s="32" t="n">
        <f aca="false">Sens!$F$1783/2</f>
        <v>908.575</v>
      </c>
      <c r="H1789" s="32" t="n">
        <f aca="false">(Sens!$G$1783+Sens!$H$1783)/2</f>
        <v>3634.3</v>
      </c>
      <c r="I1789" s="32" t="n">
        <f aca="false">(Sens!$H$1783+Sens!$I$1783)/2</f>
        <v>7268.6</v>
      </c>
      <c r="J1789" s="32" t="n">
        <f aca="false">(Sens!$I$1783+Sens!$J$1783)/2</f>
        <v>10902.9</v>
      </c>
      <c r="K1789" s="32" t="n">
        <f aca="false">(Sens!$J$1783+Sens!$K$1783)/2</f>
        <v>14005.4835833333</v>
      </c>
      <c r="L1789" s="32" t="n">
        <f aca="false">(Sens!$K$1783+Sens!$L$1783)/2</f>
        <v>16044.6343333333</v>
      </c>
      <c r="M1789" s="32" t="n">
        <f aca="false">(Sens!$L$1783+Sens!$M$1783)/2</f>
        <v>17020.35225</v>
      </c>
    </row>
    <row r="1790" customFormat="false" ht="17.15" hidden="false" customHeight="false" outlineLevel="0" collapsed="false">
      <c r="A1790" s="1" t="s">
        <v>612</v>
      </c>
    </row>
    <row r="1791" customFormat="false" ht="17.15" hidden="false" customHeight="false" outlineLevel="0" collapsed="false">
      <c r="A1791" s="1" t="s">
        <v>613</v>
      </c>
      <c r="B1791" s="8" t="s">
        <v>86</v>
      </c>
      <c r="C1791" s="38" t="n">
        <f aca="false">Sens!$C$1774*rpm_open*Sens!$C$1775/1000</f>
        <v>2.32100535697364</v>
      </c>
      <c r="D1791" s="38" t="n">
        <f aca="false">Sens!$D$1774*rpm_open*Sens!$D$1775/1000</f>
        <v>8.70377008865116</v>
      </c>
      <c r="E1791" s="38" t="n">
        <f aca="false">Sens!$E$1774*rpm_open*Sens!$E$1775/1000</f>
        <v>8.51035297557002</v>
      </c>
      <c r="F1791" s="38" t="n">
        <f aca="false">(mw_open*rpm_open+Sens!$F$1789*Sens!$F$1788)*Sens!$F$1775/1000</f>
        <v>14.9634336447205</v>
      </c>
      <c r="G1791" s="38" t="n">
        <f aca="false">Sens!$E$1791+Sens!$F$1791</f>
        <v>23.4737866202905</v>
      </c>
      <c r="H1791" s="38" t="n">
        <f aca="false">(mw_open*rpm_open+Sens!$H$1789*Sens!$H$1788)/1000</f>
        <v>60.1658907497746</v>
      </c>
      <c r="I1791" s="38" t="n">
        <f aca="false">(mw_open*rpm_open+Sens!$I$1789*Sens!$I$1788)/1000</f>
        <v>101.503699136432</v>
      </c>
      <c r="J1791" s="38" t="n">
        <f aca="false">(mw_open*rpm_open+Sens!$J$1789*Sens!$J$1788)/1000</f>
        <v>143.025407151278</v>
      </c>
      <c r="K1791" s="38" t="n">
        <f aca="false">(mw_open*rpm_open+Sens!$K$1789*Sens!$K$1788)/1000</f>
        <v>178.44812038318</v>
      </c>
      <c r="L1791" s="38" t="n">
        <f aca="false">(mw_open*rpm_open+Sens!$L$1789*Sens!$L$1788)/1000</f>
        <v>201.728101802396</v>
      </c>
      <c r="M1791" s="38" t="n">
        <f aca="false">(mw_open*rpm_open+Sens!$M$1789*Sens!$M$1788)/1000</f>
        <v>212.835441368865</v>
      </c>
      <c r="N1791" s="38" t="n">
        <f aca="false">Sens!$N$1774*rpm_open*Sens!$N$1775/1000</f>
        <v>3.04631953102791</v>
      </c>
      <c r="O1791" s="38" t="n">
        <f aca="false">Sens!$O$1774*rpm_open*Sens!$O$1775/1000</f>
        <v>5.65745055762326</v>
      </c>
      <c r="P1791" s="5" t="s">
        <v>614</v>
      </c>
    </row>
    <row r="1792" customFormat="false" ht="17.15" hidden="false" customHeight="false" outlineLevel="0" collapsed="false">
      <c r="A1792" s="5" t="s">
        <v>615</v>
      </c>
      <c r="B1792" s="0" t="s">
        <v>173</v>
      </c>
      <c r="C1792" s="36" t="n">
        <f aca="false">Sens!$C$1791*1000/(Sens!$C$1774*Sens!$C$1775)</f>
        <v>9.67085565405685</v>
      </c>
      <c r="D1792" s="36" t="n">
        <f aca="false">Sens!$D$1791*1000/(Sens!$D$1774*Sens!$D$1775)</f>
        <v>9.67085565405685</v>
      </c>
      <c r="E1792" s="36" t="n">
        <f aca="false">Sens!$E$1791*1000/(Sens!$E$1774*Sens!$E$1775)</f>
        <v>9.67085565405685</v>
      </c>
      <c r="F1792" s="36" t="n">
        <f aca="false">Sens!$F$1791*1000/(Sens!$F$1774*Sens!$F$1775)</f>
        <v>10.0137581588017</v>
      </c>
      <c r="G1792" s="36" t="n">
        <f aca="false">Sens!$G$1791*1000/(Sens!$G$1774*Sens!$G$1775)</f>
        <v>9.88666562928478</v>
      </c>
      <c r="H1792" s="36" t="n">
        <f aca="false">Sens!$H$1791*1000/(Sens!$H$1774*Sens!$H$1775)</f>
        <v>10.5290045586992</v>
      </c>
      <c r="I1792" s="36" t="n">
        <f aca="false">Sens!$I$1791*1000/(Sens!$I$1774*Sens!$I$1775)</f>
        <v>10.8576363451674</v>
      </c>
      <c r="J1792" s="36" t="n">
        <f aca="false">Sens!$J$1791*1000/(Sens!$J$1774*Sens!$J$1775)</f>
        <v>11.0164452588619</v>
      </c>
      <c r="K1792" s="36" t="n">
        <f aca="false">Sens!$K$1791*1000/(Sens!$K$1774*Sens!$K$1775)</f>
        <v>11.0937367508227</v>
      </c>
      <c r="L1792" s="36" t="n">
        <f aca="false">Sens!$L$1791*1000/(Sens!$L$1774*Sens!$L$1775)</f>
        <v>11.1300508519168</v>
      </c>
      <c r="M1792" s="36" t="n">
        <f aca="false">Sens!$M$1791*1000/(Sens!$M$1774*Sens!$M$1775)</f>
        <v>11.1430113216297</v>
      </c>
      <c r="N1792" s="36" t="n">
        <f aca="false">Sens!$N$1791*1000/(Sens!$N$1774*Sens!$N$1775)</f>
        <v>9.67085565405685</v>
      </c>
      <c r="O1792" s="36" t="n">
        <f aca="false">Sens!$O$1791*1000/(Sens!$O$1774*Sens!$O$1775)</f>
        <v>9.67085565405685</v>
      </c>
    </row>
    <row r="1793" customFormat="false" ht="17.15" hidden="false" customHeight="false" outlineLevel="0" collapsed="false">
      <c r="A1793" s="0" t="s">
        <v>616</v>
      </c>
      <c r="B1793" s="0" t="s">
        <v>86</v>
      </c>
      <c r="C1793" s="38" t="n">
        <f aca="false">Sens!$C$1774/ext_sh*(ox_open+rent_mw)*Sens!$C$1775/1000</f>
        <v>0.642569210675032</v>
      </c>
      <c r="D1793" s="38" t="n">
        <f aca="false">Sens!$D$1774/ext_sh*(ox_open+rent_mw)*Sens!$D$1775/1000</f>
        <v>2.40963454003137</v>
      </c>
      <c r="E1793" s="38" t="n">
        <f aca="false">Sens!$E$1774/ext_sh*(ox_open+rent_mw)*Sens!$E$1775/1000</f>
        <v>2.35608710580845</v>
      </c>
      <c r="F1793" s="38" t="n">
        <f aca="false">((mw_open*ox_open+Sens!$F$1789*Sens!$F$1787)/ext_sh+Sens!$F$1774/ext_sh*rent_mw)*Sens!$F$1775/1000</f>
        <v>4.05421991106232</v>
      </c>
      <c r="G1793" s="38" t="n">
        <f aca="false">Sens!$E$1793+Sens!$F$1793</f>
        <v>6.41030701687077</v>
      </c>
      <c r="H1793" s="38" t="n">
        <f aca="false">((mw_open*ox_open+Sens!$H$1789*Sens!$H$1787)/ext_sh+Sens!$H$1774/ext_sh*rent_mw)*Sens!$H$1775/1000</f>
        <v>15.8108975546616</v>
      </c>
      <c r="I1793" s="38" t="n">
        <f aca="false">((mw_open*ox_open+Sens!$I$1789*Sens!$I$1787)/ext_sh+Sens!$I$1774/ext_sh*rent_mw)*Sens!$I$1775/1000</f>
        <v>26.1871623400817</v>
      </c>
      <c r="J1793" s="38" t="n">
        <f aca="false">((mw_open*ox_open+Sens!$J$1789*Sens!$J$1787)/ext_sh+Sens!$J$1774/ext_sh*rent_mw)*Sens!$J$1775/1000</f>
        <v>36.5826128954935</v>
      </c>
      <c r="K1793" s="38" t="n">
        <f aca="false">((mw_open*ox_open+Sens!$K$1789*Sens!$K$1787)/ext_sh+Sens!$K$1774/ext_sh*rent_mw)*Sens!$K$1775/1000</f>
        <v>45.4546361137628</v>
      </c>
      <c r="L1793" s="38" t="n">
        <f aca="false">((mw_open*ox_open+Sens!$L$1789*Sens!$L$1787)/ext_sh+Sens!$L$1774/ext_sh*rent_mw)*Sens!$L$1775/1000</f>
        <v>51.2855695554452</v>
      </c>
      <c r="M1793" s="38" t="n">
        <f aca="false">((mw_open*ox_open+Sens!$M$1789*Sens!$M$1787)/ext_sh+Sens!$M$1774/ext_sh*rent_mw)*Sens!$M$1775/1000</f>
        <v>54.0722927838398</v>
      </c>
      <c r="N1793" s="38" t="n">
        <f aca="false">Sens!$N$1774/ext_sh*(ox_open+rent_mw)*Sens!$N$1775/1000</f>
        <v>0.84337208901098</v>
      </c>
      <c r="O1793" s="38" t="n">
        <f aca="false">Sens!$O$1774/ext_sh*(ox_open+rent_mw)*Sens!$O$1775/1000</f>
        <v>1.56626245102039</v>
      </c>
    </row>
    <row r="1794" customFormat="false" ht="17.15" hidden="false" customHeight="false" outlineLevel="0" collapsed="false">
      <c r="A1794" s="0" t="s">
        <v>617</v>
      </c>
      <c r="B1794" s="0" t="s">
        <v>86</v>
      </c>
      <c r="C1794" s="38" t="n">
        <f aca="false">Q!$D$7</f>
        <v>107.556</v>
      </c>
      <c r="D1794" s="38" t="n">
        <f aca="false">Q!$E$7</f>
        <v>128.725</v>
      </c>
      <c r="E1794" s="38" t="n">
        <f aca="false">Q!$P$7</f>
        <v>79.819</v>
      </c>
      <c r="N1794" s="38" t="n">
        <f aca="false">Q!$N$7</f>
        <v>60.14</v>
      </c>
      <c r="O1794" s="38" t="n">
        <f aca="false">Q!$O$7</f>
        <v>68.585</v>
      </c>
    </row>
    <row r="1795" customFormat="false" ht="17.15" hidden="false" customHeight="false" outlineLevel="0" collapsed="false">
      <c r="A1795" s="1" t="s">
        <v>618</v>
      </c>
      <c r="B1795" s="8" t="s">
        <v>86</v>
      </c>
      <c r="C1795" s="38" t="n">
        <f aca="false">Sens!$C$1794-Sens!$C$1791</f>
        <v>105.234994643026</v>
      </c>
      <c r="D1795" s="38" t="n">
        <f aca="false">Sens!$D$1794-Sens!$D$1791</f>
        <v>120.021229911349</v>
      </c>
      <c r="E1795" s="38" t="n">
        <f aca="false">Sens!$E$1794-Sens!$E$1791</f>
        <v>71.30864702443</v>
      </c>
      <c r="F1795" s="38" t="n">
        <f aca="false">Sens!$O$1795*(1+Sens!$F$1796)</f>
        <v>71.7692997942464</v>
      </c>
      <c r="G1795" s="38" t="n">
        <f aca="false">Sens!$E$1795+Sens!$F$1795</f>
        <v>143.077946818676</v>
      </c>
      <c r="H1795" s="38" t="n">
        <f aca="false">Sens!$G$1795*(1+Sens!$H$1796)</f>
        <v>161.017077079203</v>
      </c>
      <c r="I1795" s="38" t="n">
        <f aca="false">Sens!$H$1795*(1+Sens!$I$1796)</f>
        <v>178.769759521457</v>
      </c>
      <c r="J1795" s="38" t="n">
        <f aca="false">Sens!$I$1795*(1+Sens!$J$1796)</f>
        <v>195.775538045907</v>
      </c>
      <c r="K1795" s="38" t="n">
        <f aca="false">Sens!$J$1795*(1+Sens!$K$1796)</f>
        <v>211.43758108958</v>
      </c>
      <c r="L1795" s="38" t="n">
        <f aca="false">Sens!$K$1795*(1+Sens!$L$1796)</f>
        <v>228.352587576746</v>
      </c>
      <c r="M1795" s="38" t="n">
        <f aca="false">Sens!$L$1795*(1+Sens!$M$1796)</f>
        <v>246.620794582886</v>
      </c>
      <c r="N1795" s="38" t="n">
        <f aca="false">Sens!$N$1794-Sens!$N$1791</f>
        <v>57.0936804689721</v>
      </c>
      <c r="O1795" s="38" t="n">
        <f aca="false">Sens!$O$1794-Sens!$O$1791</f>
        <v>62.9275494423768</v>
      </c>
      <c r="P1795" s="5" t="s">
        <v>619</v>
      </c>
    </row>
    <row r="1796" customFormat="false" ht="17.15" hidden="false" customHeight="false" outlineLevel="0" collapsed="false">
      <c r="A1796" s="0" t="s">
        <v>620</v>
      </c>
      <c r="B1796" s="0" t="s">
        <v>52</v>
      </c>
      <c r="D1796" s="13" t="n">
        <f aca="false">Sens!$D$1795/Sens!$C$1795-1</f>
        <v>0.140506827776062</v>
      </c>
      <c r="E1796" s="13" t="n">
        <f aca="false">Sens!$E$1795/Sens!$N$1795-1</f>
        <v>0.248976181579029</v>
      </c>
      <c r="F1796" s="13" t="n">
        <f aca="false">Sens!$D$1796</f>
        <v>0.140506827776062</v>
      </c>
      <c r="G1796" s="13" t="n">
        <f aca="false">Sens!$G$1795/Sens!$D$1795-1</f>
        <v>0.19210532106993</v>
      </c>
      <c r="H1796" s="13" t="n">
        <f aca="false">Sens!$F$1796+(g_awso_lt-Sens!$F$1796)*1/4</f>
        <v>0.125380120832046</v>
      </c>
      <c r="I1796" s="13" t="n">
        <f aca="false">Sens!$F$1796+(g_awso_lt-Sens!$F$1796)*2/4</f>
        <v>0.110253413888031</v>
      </c>
      <c r="J1796" s="13" t="n">
        <f aca="false">Sens!$F$1796+(g_awso_lt-Sens!$F$1796)*3/4</f>
        <v>0.0951267069440154</v>
      </c>
      <c r="K1796" s="13" t="n">
        <f aca="false">Sens!$F$1796+(g_awso_lt-Sens!$F$1796)*4/4</f>
        <v>0.08</v>
      </c>
      <c r="L1796" s="13" t="n">
        <f aca="false">g_awso_lt</f>
        <v>0.08</v>
      </c>
      <c r="M1796" s="13" t="n">
        <f aca="false">g_awso_lt</f>
        <v>0.08</v>
      </c>
      <c r="P1796" s="5" t="s">
        <v>621</v>
      </c>
    </row>
    <row r="1797" customFormat="false" ht="17.15" hidden="false" customHeight="false" outlineLevel="0" collapsed="false">
      <c r="A1797" s="1" t="s">
        <v>622</v>
      </c>
    </row>
    <row r="1798" customFormat="false" ht="17.15" hidden="false" customHeight="false" outlineLevel="0" collapsed="false">
      <c r="A1798" s="0" t="s">
        <v>623</v>
      </c>
      <c r="B1798" s="0" t="s">
        <v>86</v>
      </c>
      <c r="F1798" s="38" t="n">
        <f aca="false">cx_rt*Sens!$F$1763+cx_awso*Sens!$F$1795</f>
        <v>34.9734495387866</v>
      </c>
    </row>
    <row r="1799" customFormat="false" ht="17.15" hidden="false" customHeight="false" outlineLevel="0" collapsed="false">
      <c r="A1799" s="0" t="s">
        <v>624</v>
      </c>
      <c r="B1799" s="0" t="s">
        <v>52</v>
      </c>
      <c r="C1799" s="13" t="n">
        <f aca="false">tk_cx_h100/(tk_cx_h100+tk_fac*(1-colo_sh))</f>
        <v>0.730756458006641</v>
      </c>
      <c r="D1799" s="13" t="n">
        <f aca="false">tk_cx_h100/(tk_cx_h100+tk_fac*(1-colo_sh))</f>
        <v>0.730756458006641</v>
      </c>
      <c r="E1799" s="13" t="n">
        <f aca="false">Sens!$F$1799</f>
        <v>0.760792334328868</v>
      </c>
      <c r="F1799" s="13" t="n">
        <f aca="false">Sens!$F$1782/(Sens!$F$1782+tk_fac*(1-colo_sh))</f>
        <v>0.760792334328868</v>
      </c>
      <c r="G1799" s="13" t="n">
        <f aca="false">Sens!$G$1782/(Sens!$G$1782+tk_fac*(1-colo_sh))</f>
        <v>0.760792334328868</v>
      </c>
      <c r="H1799" s="13" t="n">
        <f aca="false">Sens!$H$1782/(Sens!$H$1782+tk_fac*(1-colo_sh))</f>
        <v>0.768110668862996</v>
      </c>
      <c r="I1799" s="13" t="n">
        <f aca="false">Sens!$I$1782/(Sens!$I$1782+tk_fac*(1-colo_sh))</f>
        <v>0.77499450139483</v>
      </c>
      <c r="J1799" s="13" t="n">
        <f aca="false">Sens!$J$1782/(Sens!$J$1782+tk_fac*(1-colo_sh))</f>
        <v>0.77499450139483</v>
      </c>
      <c r="K1799" s="13" t="n">
        <f aca="false">Sens!$K$1782/(Sens!$K$1782+tk_fac*(1-colo_sh))</f>
        <v>0.77499450139483</v>
      </c>
      <c r="L1799" s="13" t="n">
        <f aca="false">Sens!$L$1782/(Sens!$L$1782+tk_fac*(1-colo_sh))</f>
        <v>0.77499450139483</v>
      </c>
      <c r="M1799" s="13" t="n">
        <f aca="false">Sens!$M$1782/(Sens!$M$1782+tk_fac*(1-colo_sh))</f>
        <v>0.77499450139483</v>
      </c>
    </row>
    <row r="1800" customFormat="false" ht="17.15" hidden="false" customHeight="false" outlineLevel="0" collapsed="false">
      <c r="A1800" s="1" t="s">
        <v>625</v>
      </c>
      <c r="B1800" s="8" t="s">
        <v>86</v>
      </c>
      <c r="C1800" s="38" t="n">
        <f aca="false">Q!$D$46-cx_rt*Q!$D$16-cx_awso*Sens!$C$1795</f>
        <v>25.2781053077374</v>
      </c>
      <c r="D1800" s="38" t="n">
        <f aca="false">Q!$E$46-cx_rt*Q!$E$16-cx_awso*Sens!$D$1795</f>
        <v>69.5686316310026</v>
      </c>
      <c r="E1800" s="38" t="n">
        <f aca="false">Q!$P$46-cx_rt*Q!$P$16-cx_awso*Sens!$E$1795</f>
        <v>64.1899206485108</v>
      </c>
      <c r="F1800" s="38" t="n">
        <f aca="false">MAX(Sens!$F$1777*(Sens!$F$1782+tk_fac*(1-colo_sh))/1000,capex_g26-Q!$P$46-Sens!$F$1798)</f>
        <v>96.2481299895</v>
      </c>
      <c r="G1800" s="38" t="n">
        <f aca="false">Sens!$E$1800+Sens!$F$1800</f>
        <v>160.438050638011</v>
      </c>
      <c r="H1800" s="38" t="n">
        <f aca="false">Sens!$H$1777*(Sens!$H$1782+tk_fac*(1-colo_sh))/1000+Sens!$H$1801</f>
        <v>198.57136494475</v>
      </c>
      <c r="I1800" s="38" t="n">
        <f aca="false">Sens!$I$1777*(Sens!$I$1782+tk_fac*(1-colo_sh))/1000+Sens!$I$1801</f>
        <v>209.8832381105</v>
      </c>
      <c r="J1800" s="38" t="n">
        <f aca="false">Sens!$J$1777*(Sens!$J$1782+tk_fac*(1-colo_sh))/1000+Sens!$J$1801</f>
        <v>215.1200063105</v>
      </c>
      <c r="K1800" s="38" t="n">
        <f aca="false">Sens!$K$1777*(Sens!$K$1782+tk_fac*(1-colo_sh))/1000+Sens!$K$1801</f>
        <v>191.895762675201</v>
      </c>
      <c r="L1800" s="38" t="n">
        <f aca="false">Sens!$L$1777*(Sens!$L$1782+tk_fac*(1-colo_sh))/1000+Sens!$L$1801</f>
        <v>192.112602695152</v>
      </c>
      <c r="M1800" s="38" t="n">
        <f aca="false">Sens!$M$1777*(Sens!$M$1782+tk_fac*(1-colo_sh))/1000+Sens!$M$1801</f>
        <v>183.601495715103</v>
      </c>
      <c r="P1800" s="5" t="s">
        <v>626</v>
      </c>
      <c r="R1800" s="38" t="n">
        <f aca="false">Q!$C$46-cx_rt*Q!$C$16-cx_awso*(Q!$C$7-mw_ye23/2*rpm_open/1000)</f>
        <v>1.50429979529945</v>
      </c>
      <c r="S1800" s="38" t="n">
        <f aca="false">Sens!$C$1800</f>
        <v>25.2781053077374</v>
      </c>
      <c r="T1800" s="38" t="n">
        <f aca="false">Sens!$D$1800</f>
        <v>69.5686316310026</v>
      </c>
      <c r="U1800" s="38" t="n">
        <f aca="false">Sens!$G$1800</f>
        <v>160.438050638011</v>
      </c>
      <c r="V1800" s="38" t="n">
        <f aca="false">Sens!$H$1800</f>
        <v>198.57136494475</v>
      </c>
      <c r="W1800" s="38" t="n">
        <f aca="false">Sens!$I$1800</f>
        <v>209.8832381105</v>
      </c>
      <c r="X1800" s="38" t="n">
        <f aca="false">Sens!$J$1800</f>
        <v>215.1200063105</v>
      </c>
      <c r="Y1800" s="38" t="n">
        <f aca="false">Sens!$K$1800</f>
        <v>191.895762675201</v>
      </c>
      <c r="Z1800" s="38" t="n">
        <f aca="false">Sens!$L$1800</f>
        <v>192.112602695152</v>
      </c>
      <c r="AA1800" s="38" t="n">
        <f aca="false">Sens!$M$1800</f>
        <v>183.601495715103</v>
      </c>
    </row>
    <row r="1801" customFormat="false" ht="17.15" hidden="false" customHeight="false" outlineLevel="0" collapsed="false">
      <c r="A1801" s="0" t="s">
        <v>627</v>
      </c>
      <c r="B1801" s="0" t="s">
        <v>86</v>
      </c>
      <c r="H1801" s="38" t="n">
        <f aca="false">SUMPRODUCT(--(Sens!$R$1770:$AA$1770=2027-tk_life_lo),Sens!$R$1777:$AA$1777)*Sens!$H$1782/1000</f>
        <v>0</v>
      </c>
      <c r="I1801" s="38" t="n">
        <f aca="false">SUMPRODUCT(--(Sens!$R$1770:$AA$1770=2028-tk_life_lo),Sens!$R$1777:$AA$1777)*Sens!$I$1782/1000</f>
        <v>5.2367682</v>
      </c>
      <c r="J1801" s="38" t="n">
        <f aca="false">SUMPRODUCT(--(Sens!$R$1770:$AA$1770=2029-tk_life_lo),Sens!$R$1777:$AA$1777)*Sens!$J$1782/1000</f>
        <v>10.4735364</v>
      </c>
      <c r="K1801" s="38" t="n">
        <f aca="false">SUMPRODUCT(--(Sens!$R$1770:$AA$1770=2030-tk_life_lo),Sens!$R$1777:$AA$1777)*Sens!$K$1782/1000</f>
        <v>47.1309138</v>
      </c>
      <c r="L1801" s="38" t="n">
        <f aca="false">SUMPRODUCT(--(Sens!$R$1770:$AA$1770=2031-tk_life_lo),Sens!$R$1777:$AA$1777)*Sens!$L$1782/1000</f>
        <v>107.22937485525</v>
      </c>
      <c r="M1801" s="38" t="n">
        <f aca="false">SUMPRODUCT(--(Sens!$R$1770:$AA$1770=2032-tk_life_lo),Sens!$R$1777:$AA$1777)*Sens!$M$1782/1000</f>
        <v>158.5998889105</v>
      </c>
    </row>
    <row r="1802" customFormat="false" ht="17.15" hidden="false" customHeight="false" outlineLevel="0" collapsed="false">
      <c r="A1802" s="5" t="s">
        <v>628</v>
      </c>
      <c r="B1802" s="0" t="s">
        <v>86</v>
      </c>
      <c r="C1802" s="38" t="n">
        <f aca="false">Sens!$C$1800*Sens!$C$1799</f>
        <v>18.472138699801</v>
      </c>
      <c r="D1802" s="38" t="n">
        <f aca="false">Sens!$D$1800*Sens!$D$1799</f>
        <v>50.8377268390402</v>
      </c>
      <c r="E1802" s="38" t="n">
        <f aca="false">Sens!$E$1800*Sens!$E$1799</f>
        <v>48.8351995705653</v>
      </c>
      <c r="F1802" s="38" t="n">
        <f aca="false">Sens!$F$1800*Sens!$F$1799</f>
        <v>73.2248394895</v>
      </c>
      <c r="G1802" s="38" t="n">
        <f aca="false">Sens!$E$1802+Sens!$F$1802</f>
        <v>122.060039060065</v>
      </c>
      <c r="H1802" s="38" t="n">
        <f aca="false">(Sens!$H$1800-Sens!$H$1801)*Sens!$H$1799+Sens!$H$1801</f>
        <v>152.52478394475</v>
      </c>
      <c r="I1802" s="38" t="n">
        <f aca="false">(Sens!$I$1800-Sens!$I$1801)*Sens!$I$1799+Sens!$I$1801</f>
        <v>163.8366571105</v>
      </c>
      <c r="J1802" s="38" t="n">
        <f aca="false">(Sens!$J$1800-Sens!$J$1801)*Sens!$J$1799+Sens!$J$1801</f>
        <v>169.0734253105</v>
      </c>
      <c r="K1802" s="38" t="n">
        <f aca="false">(Sens!$K$1800-Sens!$K$1801)*Sens!$K$1799+Sens!$K$1801</f>
        <v>159.322875673534</v>
      </c>
      <c r="L1802" s="38" t="n">
        <f aca="false">(Sens!$L$1800-Sens!$L$1801)*Sens!$L$1799+Sens!$L$1801</f>
        <v>173.013409691818</v>
      </c>
      <c r="M1802" s="38" t="n">
        <f aca="false">(Sens!$M$1800-Sens!$M$1801)*Sens!$M$1799+Sens!$M$1801</f>
        <v>177.975996710103</v>
      </c>
      <c r="R1802" s="38" t="n">
        <f aca="false">Sens!$R$1800*Sens!$C$1799</f>
        <v>1.09927679019314</v>
      </c>
      <c r="S1802" s="38" t="n">
        <f aca="false">Sens!$C$1802</f>
        <v>18.472138699801</v>
      </c>
      <c r="T1802" s="38" t="n">
        <f aca="false">Sens!$D$1802</f>
        <v>50.8377268390402</v>
      </c>
      <c r="U1802" s="38" t="n">
        <f aca="false">Sens!$G$1802</f>
        <v>122.060039060065</v>
      </c>
      <c r="V1802" s="38" t="n">
        <f aca="false">Sens!$H$1802</f>
        <v>152.52478394475</v>
      </c>
      <c r="W1802" s="38" t="n">
        <f aca="false">Sens!$I$1802</f>
        <v>163.8366571105</v>
      </c>
      <c r="X1802" s="38" t="n">
        <f aca="false">Sens!$J$1802</f>
        <v>169.0734253105</v>
      </c>
      <c r="Y1802" s="38" t="n">
        <f aca="false">Sens!$K$1802</f>
        <v>159.322875673534</v>
      </c>
      <c r="Z1802" s="38" t="n">
        <f aca="false">Sens!$L$1802</f>
        <v>173.013409691818</v>
      </c>
      <c r="AA1802" s="38" t="n">
        <f aca="false">Sens!$M$1802</f>
        <v>177.975996710103</v>
      </c>
    </row>
    <row r="1803" customFormat="false" ht="15" hidden="false" customHeight="false" outlineLevel="0" collapsed="false">
      <c r="A1803" s="5" t="s">
        <v>629</v>
      </c>
      <c r="B1803" s="0" t="s">
        <v>86</v>
      </c>
      <c r="C1803" s="38" t="n">
        <f aca="false">Sens!$C$1800-Sens!$C$1802</f>
        <v>6.80596660793636</v>
      </c>
      <c r="D1803" s="38" t="n">
        <f aca="false">Sens!$D$1800-Sens!$D$1802</f>
        <v>18.7309047919624</v>
      </c>
      <c r="E1803" s="38" t="n">
        <f aca="false">Sens!$E$1800-Sens!$E$1802</f>
        <v>15.3547210779455</v>
      </c>
      <c r="F1803" s="38" t="n">
        <f aca="false">Sens!$F$1800-Sens!$F$1802</f>
        <v>23.0232905</v>
      </c>
      <c r="G1803" s="38" t="n">
        <f aca="false">Sens!$G$1800-Sens!$G$1802</f>
        <v>38.3780115779455</v>
      </c>
      <c r="H1803" s="38" t="n">
        <f aca="false">Sens!$H$1800-Sens!$H$1802</f>
        <v>46.046581</v>
      </c>
      <c r="I1803" s="38" t="n">
        <f aca="false">Sens!$I$1800-Sens!$I$1802</f>
        <v>46.046581</v>
      </c>
      <c r="J1803" s="38" t="n">
        <f aca="false">Sens!$J$1800-Sens!$J$1802</f>
        <v>46.046581</v>
      </c>
      <c r="K1803" s="38" t="n">
        <f aca="false">Sens!$K$1800-Sens!$K$1802</f>
        <v>32.5728870016667</v>
      </c>
      <c r="L1803" s="38" t="n">
        <f aca="false">Sens!$L$1800-Sens!$L$1802</f>
        <v>19.0991930033334</v>
      </c>
      <c r="M1803" s="38" t="n">
        <f aca="false">Sens!$M$1800-Sens!$M$1802</f>
        <v>5.625499005</v>
      </c>
      <c r="R1803" s="38" t="n">
        <f aca="false">Sens!$R$1800-Sens!$R$1802</f>
        <v>0.405023005106309</v>
      </c>
      <c r="S1803" s="38" t="n">
        <f aca="false">Sens!$S$1800-Sens!$S$1802</f>
        <v>6.80596660793636</v>
      </c>
      <c r="T1803" s="38" t="n">
        <f aca="false">Sens!$T$1800-Sens!$T$1802</f>
        <v>18.7309047919624</v>
      </c>
      <c r="U1803" s="38" t="n">
        <f aca="false">Sens!$U$1800-Sens!$U$1802</f>
        <v>38.3780115779455</v>
      </c>
      <c r="V1803" s="38" t="n">
        <f aca="false">Sens!$V$1800-Sens!$V$1802</f>
        <v>46.046581</v>
      </c>
      <c r="W1803" s="38" t="n">
        <f aca="false">Sens!$W$1800-Sens!$W$1802</f>
        <v>46.046581</v>
      </c>
      <c r="X1803" s="38" t="n">
        <f aca="false">Sens!$X$1800-Sens!$X$1802</f>
        <v>46.046581</v>
      </c>
      <c r="Y1803" s="38" t="n">
        <f aca="false">Sens!$Y$1800-Sens!$Y$1802</f>
        <v>32.5728870016667</v>
      </c>
      <c r="Z1803" s="38" t="n">
        <f aca="false">Sens!$Z$1800-Sens!$Z$1802</f>
        <v>19.0991930033334</v>
      </c>
      <c r="AA1803" s="38" t="n">
        <f aca="false">Sens!$AA$1800-Sens!$AA$1802</f>
        <v>5.625499005</v>
      </c>
    </row>
    <row r="1804" customFormat="false" ht="17.15" hidden="false" customHeight="false" outlineLevel="0" collapsed="false">
      <c r="A1804" s="0" t="s">
        <v>630</v>
      </c>
      <c r="B1804" s="0" t="s">
        <v>52</v>
      </c>
      <c r="C1804" s="13" t="n">
        <f aca="false">Sens!$C$1800/Sens!$C$1920</f>
        <v>0.325505489553393</v>
      </c>
      <c r="D1804" s="13" t="n">
        <f aca="false">Sens!$D$1800/Sens!$D$1920</f>
        <v>0.54214956071542</v>
      </c>
      <c r="E1804" s="13" t="n">
        <f aca="false">Sens!$E$1800/Sens!$E$1920</f>
        <v>0.666492790452817</v>
      </c>
      <c r="F1804" s="13" t="n">
        <f aca="false">Sens!$F$1800/Sens!$F$1920</f>
        <v>0.733477910687338</v>
      </c>
      <c r="G1804" s="13" t="n">
        <f aca="false">Sens!$G$1800/Sens!$G$1920</f>
        <v>0.705124321514523</v>
      </c>
      <c r="H1804" s="13" t="n">
        <f aca="false">Sens!$H$1800/Sens!$H$1920</f>
        <v>0.726376041178204</v>
      </c>
      <c r="I1804" s="13" t="n">
        <f aca="false">Sens!$I$1800/Sens!$I$1920</f>
        <v>0.718240564315889</v>
      </c>
      <c r="J1804" s="13" t="n">
        <f aca="false">Sens!$J$1800/Sens!$J$1920</f>
        <v>0.706346046234102</v>
      </c>
      <c r="K1804" s="13" t="n">
        <f aca="false">Sens!$K$1800/Sens!$K$1920</f>
        <v>0.666965854670113</v>
      </c>
      <c r="L1804" s="13" t="n">
        <f aca="false">Sens!$L$1800/Sens!$L$1920</f>
        <v>0.651682485456269</v>
      </c>
      <c r="M1804" s="13" t="n">
        <f aca="false">Sens!$M$1800/Sens!$M$1920</f>
        <v>0.625213219138598</v>
      </c>
    </row>
    <row r="1805" customFormat="false" ht="17.15" hidden="false" customHeight="false" outlineLevel="0" collapsed="false">
      <c r="A1805" s="0" t="s">
        <v>631</v>
      </c>
      <c r="B1805" s="0" t="s">
        <v>86</v>
      </c>
      <c r="C1805" s="38" t="n">
        <f aca="false">Sens!$S$1805</f>
        <v>0.219855358038628</v>
      </c>
      <c r="D1805" s="38" t="n">
        <f aca="false">Sens!$T$1805</f>
        <v>3.91428309799884</v>
      </c>
      <c r="E1805" s="38" t="n">
        <f aca="false">Sens!$G$1805/2</f>
        <v>7.04091423290344</v>
      </c>
      <c r="F1805" s="38" t="n">
        <f aca="false">Sens!$G$1805/2</f>
        <v>7.04091423290344</v>
      </c>
      <c r="G1805" s="38" t="n">
        <f aca="false">Sens!$U$1805</f>
        <v>14.0818284658069</v>
      </c>
      <c r="H1805" s="38" t="n">
        <f aca="false">Sens!$V$1805</f>
        <v>38.4938362778199</v>
      </c>
      <c r="I1805" s="38" t="n">
        <f aca="false">Sens!$W$1805</f>
        <v>68.9987930667699</v>
      </c>
      <c r="J1805" s="38" t="n">
        <f aca="false">Sens!$X$1805</f>
        <v>101.546269130831</v>
      </c>
      <c r="K1805" s="38" t="n">
        <f aca="false">Sens!$Y$1805</f>
        <v>131.666526452971</v>
      </c>
      <c r="L1805" s="38" t="n">
        <f aca="false">Sens!$Z$1805</f>
        <v>153.36355621987</v>
      </c>
      <c r="M1805" s="38" t="n">
        <f aca="false">Sens!$AA$1805</f>
        <v>163.554230346221</v>
      </c>
      <c r="N1805" s="38" t="n">
        <f aca="false">Sens!$D$1805/2</f>
        <v>1.95714154899942</v>
      </c>
      <c r="O1805" s="38" t="n">
        <f aca="false">Sens!$D$1805/2</f>
        <v>1.95714154899942</v>
      </c>
      <c r="R1805" s="38" t="n">
        <f aca="false">SUMPRODUCT(--(Sens!$R$1770:$AA$1770&lt;Sens!R$1770),--(Sens!$R$1770:$AA$1770&gt;=Sens!R$1770-tk_life_lo),Sens!$R$1802:$AA$1802)/tk_life_lo</f>
        <v>0</v>
      </c>
      <c r="S1805" s="38" t="n">
        <f aca="false">SUMPRODUCT(--(Sens!$R$1770:$AA$1770&lt;Sens!S$1770),--(Sens!$R$1770:$AA$1770&gt;=Sens!S$1770-tk_life_lo),Sens!$R$1802:$AA$1802)/tk_life_lo</f>
        <v>0.219855358038628</v>
      </c>
      <c r="T1805" s="38" t="n">
        <f aca="false">SUMPRODUCT(--(Sens!$R$1770:$AA$1770&lt;Sens!T$1770),--(Sens!$R$1770:$AA$1770&gt;=Sens!T$1770-tk_life_lo),Sens!$R$1802:$AA$1802)/tk_life_lo</f>
        <v>3.91428309799884</v>
      </c>
      <c r="U1805" s="38" t="n">
        <f aca="false">SUMPRODUCT(--(Sens!$R$1770:$AA$1770&lt;Sens!U$1770),--(Sens!$R$1770:$AA$1770&gt;=Sens!U$1770-tk_life_lo),Sens!$R$1802:$AA$1802)/tk_life_lo</f>
        <v>14.0818284658069</v>
      </c>
      <c r="V1805" s="38" t="n">
        <f aca="false">SUMPRODUCT(--(Sens!$R$1770:$AA$1770&lt;Sens!V$1770),--(Sens!$R$1770:$AA$1770&gt;=Sens!V$1770-tk_life_lo),Sens!$R$1802:$AA$1802)/tk_life_lo</f>
        <v>38.4938362778199</v>
      </c>
      <c r="W1805" s="38" t="n">
        <f aca="false">SUMPRODUCT(--(Sens!$R$1770:$AA$1770&lt;Sens!W$1770),--(Sens!$R$1770:$AA$1770&gt;=Sens!W$1770-tk_life_lo),Sens!$R$1802:$AA$1802)/tk_life_lo</f>
        <v>68.9987930667699</v>
      </c>
      <c r="X1805" s="38" t="n">
        <f aca="false">SUMPRODUCT(--(Sens!$R$1770:$AA$1770&lt;Sens!X$1770),--(Sens!$R$1770:$AA$1770&gt;=Sens!X$1770-tk_life_lo),Sens!$R$1802:$AA$1802)/tk_life_lo</f>
        <v>101.546269130831</v>
      </c>
      <c r="Y1805" s="38" t="n">
        <f aca="false">SUMPRODUCT(--(Sens!$R$1770:$AA$1770&lt;Sens!Y$1770),--(Sens!$R$1770:$AA$1770&gt;=Sens!Y$1770-tk_life_lo),Sens!$R$1802:$AA$1802)/tk_life_lo</f>
        <v>131.666526452971</v>
      </c>
      <c r="Z1805" s="38" t="n">
        <f aca="false">SUMPRODUCT(--(Sens!$R$1770:$AA$1770&lt;Sens!Z$1770),--(Sens!$R$1770:$AA$1770&gt;=Sens!Z$1770-tk_life_lo),Sens!$R$1802:$AA$1802)/tk_life_lo</f>
        <v>153.36355621987</v>
      </c>
      <c r="AA1805" s="38" t="n">
        <f aca="false">SUMPRODUCT(--(Sens!$R$1770:$AA$1770&lt;Sens!AA$1770),--(Sens!$R$1770:$AA$1770&gt;=Sens!AA$1770-tk_life_lo),Sens!$R$1802:$AA$1802)/tk_life_lo</f>
        <v>163.554230346221</v>
      </c>
    </row>
    <row r="1806" customFormat="false" ht="17.15" hidden="false" customHeight="false" outlineLevel="0" collapsed="false">
      <c r="A1806" s="0" t="s">
        <v>632</v>
      </c>
      <c r="B1806" s="0" t="s">
        <v>86</v>
      </c>
      <c r="C1806" s="38" t="n">
        <f aca="false">Sens!$S$1806</f>
        <v>0.0202511502553155</v>
      </c>
      <c r="D1806" s="38" t="n">
        <f aca="false">Sens!$T$1806</f>
        <v>0.360549480652134</v>
      </c>
      <c r="E1806" s="38" t="n">
        <f aca="false">Sens!$G$1806/2</f>
        <v>0.648547360125127</v>
      </c>
      <c r="F1806" s="38" t="n">
        <f aca="false">Sens!$G$1806/2</f>
        <v>0.648547360125127</v>
      </c>
      <c r="G1806" s="38" t="n">
        <f aca="false">Sens!$U$1806</f>
        <v>1.29709472025025</v>
      </c>
      <c r="H1806" s="38" t="n">
        <f aca="false">Sens!$V$1806</f>
        <v>3.21599529914753</v>
      </c>
      <c r="I1806" s="38" t="n">
        <f aca="false">Sens!$W$1806</f>
        <v>5.51832434914753</v>
      </c>
      <c r="J1806" s="38" t="n">
        <f aca="false">Sens!$X$1806</f>
        <v>7.82065339914753</v>
      </c>
      <c r="K1806" s="38" t="n">
        <f aca="false">Sens!$Y$1806</f>
        <v>10.1229824491475</v>
      </c>
      <c r="L1806" s="38" t="n">
        <f aca="false">Sens!$Z$1806</f>
        <v>11.7516267992309</v>
      </c>
      <c r="M1806" s="38" t="n">
        <f aca="false">Sens!$AA$1806</f>
        <v>12.7065864493975</v>
      </c>
      <c r="N1806" s="38" t="n">
        <f aca="false">Sens!$D$1806/2</f>
        <v>0.180274740326067</v>
      </c>
      <c r="O1806" s="38" t="n">
        <f aca="false">Sens!$D$1806/2</f>
        <v>0.180274740326067</v>
      </c>
      <c r="R1806" s="38" t="n">
        <f aca="false">SUMPRODUCT(--(Sens!$R$1770:$AA$1770&lt;Sens!R$1770),Sens!$R$1803:$AA$1803)/fac_life</f>
        <v>0</v>
      </c>
      <c r="S1806" s="38" t="n">
        <f aca="false">SUMPRODUCT(--(Sens!$R$1770:$AA$1770&lt;Sens!S$1770),Sens!$R$1803:$AA$1803)/fac_life</f>
        <v>0.0202511502553155</v>
      </c>
      <c r="T1806" s="38" t="n">
        <f aca="false">SUMPRODUCT(--(Sens!$R$1770:$AA$1770&lt;Sens!T$1770),Sens!$R$1803:$AA$1803)/fac_life</f>
        <v>0.360549480652134</v>
      </c>
      <c r="U1806" s="38" t="n">
        <f aca="false">SUMPRODUCT(--(Sens!$R$1770:$AA$1770&lt;Sens!U$1770),Sens!$R$1803:$AA$1803)/fac_life</f>
        <v>1.29709472025025</v>
      </c>
      <c r="V1806" s="38" t="n">
        <f aca="false">SUMPRODUCT(--(Sens!$R$1770:$AA$1770&lt;Sens!V$1770),Sens!$R$1803:$AA$1803)/fac_life</f>
        <v>3.21599529914753</v>
      </c>
      <c r="W1806" s="38" t="n">
        <f aca="false">SUMPRODUCT(--(Sens!$R$1770:$AA$1770&lt;Sens!W$1770),Sens!$R$1803:$AA$1803)/fac_life</f>
        <v>5.51832434914753</v>
      </c>
      <c r="X1806" s="38" t="n">
        <f aca="false">SUMPRODUCT(--(Sens!$R$1770:$AA$1770&lt;Sens!X$1770),Sens!$R$1803:$AA$1803)/fac_life</f>
        <v>7.82065339914753</v>
      </c>
      <c r="Y1806" s="38" t="n">
        <f aca="false">SUMPRODUCT(--(Sens!$R$1770:$AA$1770&lt;Sens!Y$1770),Sens!$R$1803:$AA$1803)/fac_life</f>
        <v>10.1229824491475</v>
      </c>
      <c r="Z1806" s="38" t="n">
        <f aca="false">SUMPRODUCT(--(Sens!$R$1770:$AA$1770&lt;Sens!Z$1770),Sens!$R$1803:$AA$1803)/fac_life</f>
        <v>11.7516267992309</v>
      </c>
      <c r="AA1806" s="38" t="n">
        <f aca="false">SUMPRODUCT(--(Sens!$R$1770:$AA$1770&lt;Sens!AA$1770),Sens!$R$1803:$AA$1803)/fac_life</f>
        <v>12.7065864493975</v>
      </c>
    </row>
    <row r="1807" customFormat="false" ht="17.15" hidden="false" customHeight="false" outlineLevel="0" collapsed="false">
      <c r="A1807" s="1" t="s">
        <v>633</v>
      </c>
      <c r="B1807" s="8" t="s">
        <v>86</v>
      </c>
      <c r="C1807" s="38" t="n">
        <f aca="false">Sens!$C$1805+Sens!$C$1806</f>
        <v>0.240106508293943</v>
      </c>
      <c r="D1807" s="38" t="n">
        <f aca="false">Sens!$D$1805+Sens!$D$1806</f>
        <v>4.27483257865097</v>
      </c>
      <c r="E1807" s="38" t="n">
        <f aca="false">Sens!$E$1805+Sens!$E$1806</f>
        <v>7.68946159302857</v>
      </c>
      <c r="F1807" s="38" t="n">
        <f aca="false">Sens!$F$1805+Sens!$F$1806</f>
        <v>7.68946159302857</v>
      </c>
      <c r="G1807" s="38" t="n">
        <f aca="false">Sens!$G$1805+Sens!$G$1806</f>
        <v>15.3789231860571</v>
      </c>
      <c r="H1807" s="38" t="n">
        <f aca="false">Sens!$H$1805+Sens!$H$1806</f>
        <v>41.7098315769675</v>
      </c>
      <c r="I1807" s="38" t="n">
        <f aca="false">Sens!$I$1805+Sens!$I$1806</f>
        <v>74.5171174159175</v>
      </c>
      <c r="J1807" s="38" t="n">
        <f aca="false">Sens!$J$1805+Sens!$J$1806</f>
        <v>109.366922529979</v>
      </c>
      <c r="K1807" s="38" t="n">
        <f aca="false">Sens!$K$1805+Sens!$K$1806</f>
        <v>141.789508902119</v>
      </c>
      <c r="L1807" s="38" t="n">
        <f aca="false">Sens!$L$1805+Sens!$L$1806</f>
        <v>165.115183019101</v>
      </c>
      <c r="M1807" s="38" t="n">
        <f aca="false">Sens!$M$1805+Sens!$M$1806</f>
        <v>176.260816795618</v>
      </c>
      <c r="N1807" s="38" t="n">
        <f aca="false">Sens!$N$1805+Sens!$N$1806</f>
        <v>2.13741628932549</v>
      </c>
      <c r="O1807" s="38" t="n">
        <f aca="false">Sens!$O$1805+Sens!$O$1806</f>
        <v>2.13741628932549</v>
      </c>
      <c r="R1807" s="38" t="n">
        <f aca="false">Sens!$R$1805+Sens!$R$1806</f>
        <v>0</v>
      </c>
      <c r="S1807" s="38" t="n">
        <f aca="false">Sens!$S$1805+Sens!$S$1806</f>
        <v>0.240106508293943</v>
      </c>
      <c r="T1807" s="38" t="n">
        <f aca="false">Sens!$T$1805+Sens!$T$1806</f>
        <v>4.27483257865097</v>
      </c>
      <c r="U1807" s="38" t="n">
        <f aca="false">Sens!$U$1805+Sens!$U$1806</f>
        <v>15.3789231860571</v>
      </c>
      <c r="V1807" s="38" t="n">
        <f aca="false">Sens!$V$1805+Sens!$V$1806</f>
        <v>41.7098315769675</v>
      </c>
      <c r="W1807" s="38" t="n">
        <f aca="false">Sens!$W$1805+Sens!$W$1806</f>
        <v>74.5171174159175</v>
      </c>
      <c r="X1807" s="38" t="n">
        <f aca="false">Sens!$X$1805+Sens!$X$1806</f>
        <v>109.366922529979</v>
      </c>
      <c r="Y1807" s="38" t="n">
        <f aca="false">Sens!$Y$1805+Sens!$Y$1806</f>
        <v>141.789508902119</v>
      </c>
      <c r="Z1807" s="38" t="n">
        <f aca="false">Sens!$Z$1805+Sens!$Z$1806</f>
        <v>165.115183019101</v>
      </c>
      <c r="AA1807" s="38" t="n">
        <f aca="false">Sens!$AA$1805+Sens!$AA$1806</f>
        <v>176.260816795618</v>
      </c>
    </row>
    <row r="1808" customFormat="false" ht="17.15" hidden="false" customHeight="false" outlineLevel="0" collapsed="false">
      <c r="A1808" s="0" t="s">
        <v>634</v>
      </c>
      <c r="B1808" s="0" t="s">
        <v>86</v>
      </c>
      <c r="C1808" s="38" t="n">
        <f aca="false">Sens!$S$1808</f>
        <v>26.5422985947429</v>
      </c>
      <c r="D1808" s="38" t="n">
        <f aca="false">Sens!$T$1808</f>
        <v>91.8360976470946</v>
      </c>
      <c r="G1808" s="38" t="n">
        <f aca="false">Sens!$U$1808</f>
        <v>236.895225099048</v>
      </c>
      <c r="H1808" s="38" t="n">
        <f aca="false">Sens!$V$1808</f>
        <v>393.756758466831</v>
      </c>
      <c r="I1808" s="38" t="n">
        <f aca="false">Sens!$W$1808</f>
        <v>529.122879161413</v>
      </c>
      <c r="J1808" s="38" t="n">
        <f aca="false">Sens!$X$1808</f>
        <v>634.875962941934</v>
      </c>
      <c r="K1808" s="38" t="n">
        <f aca="false">Sens!$Y$1808</f>
        <v>684.982216715017</v>
      </c>
      <c r="L1808" s="38" t="n">
        <f aca="false">Sens!$Z$1808</f>
        <v>711.979636391068</v>
      </c>
      <c r="M1808" s="38" t="n">
        <f aca="false">Sens!$AA$1808</f>
        <v>719.320315310552</v>
      </c>
      <c r="R1808" s="38" t="n">
        <f aca="false">SUM(Sens!$R$1800:$R$1800)-SUM(Sens!$R$1807:$R$1807)</f>
        <v>1.50429979529945</v>
      </c>
      <c r="S1808" s="38" t="n">
        <f aca="false">SUM(Sens!$R$1800:$S$1800)-SUM(Sens!$R$1807:$S$1807)</f>
        <v>26.5422985947429</v>
      </c>
      <c r="T1808" s="38" t="n">
        <f aca="false">SUM(Sens!$R$1800:$T$1800)-SUM(Sens!$R$1807:$T$1807)</f>
        <v>91.8360976470946</v>
      </c>
      <c r="U1808" s="38" t="n">
        <f aca="false">SUM(Sens!$R$1800:$U$1800)-SUM(Sens!$R$1807:$U$1807)</f>
        <v>236.895225099048</v>
      </c>
      <c r="V1808" s="38" t="n">
        <f aca="false">SUM(Sens!$R$1800:$V$1800)-SUM(Sens!$R$1807:$V$1807)</f>
        <v>393.756758466831</v>
      </c>
      <c r="W1808" s="38" t="n">
        <f aca="false">SUM(Sens!$R$1800:$W$1800)-SUM(Sens!$R$1807:$W$1807)</f>
        <v>529.122879161413</v>
      </c>
      <c r="X1808" s="38" t="n">
        <f aca="false">SUM(Sens!$R$1800:$X$1800)-SUM(Sens!$R$1807:$X$1807)</f>
        <v>634.875962941934</v>
      </c>
      <c r="Y1808" s="38" t="n">
        <f aca="false">SUM(Sens!$R$1800:$Y$1800)-SUM(Sens!$R$1807:$Y$1807)</f>
        <v>684.982216715017</v>
      </c>
      <c r="Z1808" s="38" t="n">
        <f aca="false">SUM(Sens!$R$1800:$Z$1800)-SUM(Sens!$R$1807:$Z$1807)</f>
        <v>711.979636391068</v>
      </c>
      <c r="AA1808" s="38" t="n">
        <f aca="false">SUM(Sens!$R$1800:$AA$1800)-SUM(Sens!$R$1807:$AA$1807)</f>
        <v>719.320315310552</v>
      </c>
    </row>
    <row r="1809" customFormat="false" ht="17.15" hidden="false" customHeight="false" outlineLevel="0" collapsed="false">
      <c r="A1809" s="1" t="s">
        <v>635</v>
      </c>
    </row>
    <row r="1810" customFormat="false" ht="17.15" hidden="false" customHeight="false" outlineLevel="0" collapsed="false">
      <c r="A1810" s="0" t="s">
        <v>636</v>
      </c>
      <c r="B1810" s="0" t="s">
        <v>86</v>
      </c>
      <c r="C1810" s="38" t="n">
        <f aca="false">Sens!$C$1791-ext_sh*Sens!$C$1793</f>
        <v>1.80694998843362</v>
      </c>
      <c r="D1810" s="38" t="n">
        <f aca="false">Sens!$D$1791-ext_sh*Sens!$D$1793</f>
        <v>6.77606245662607</v>
      </c>
      <c r="E1810" s="38" t="n">
        <f aca="false">Sens!$E$1791-ext_sh*Sens!$E$1793</f>
        <v>6.62548329092326</v>
      </c>
      <c r="F1810" s="38" t="n">
        <f aca="false">Sens!$F$1791-ext_sh*Sens!$F$1793</f>
        <v>11.7200577158706</v>
      </c>
      <c r="G1810" s="38" t="n">
        <f aca="false">Sens!$G$1791-ext_sh*Sens!$G$1793</f>
        <v>18.3455410067939</v>
      </c>
      <c r="H1810" s="38" t="n">
        <f aca="false">Sens!$H$1791-ext_sh*Sens!$H$1793</f>
        <v>47.5171727060453</v>
      </c>
      <c r="I1810" s="38" t="n">
        <f aca="false">Sens!$I$1791-ext_sh*Sens!$I$1793</f>
        <v>80.5539692643667</v>
      </c>
      <c r="J1810" s="38" t="n">
        <f aca="false">Sens!$J$1791-ext_sh*Sens!$J$1793</f>
        <v>113.759316834883</v>
      </c>
      <c r="K1810" s="38" t="n">
        <f aca="false">Sens!$K$1791-ext_sh*Sens!$K$1793</f>
        <v>142.084411492169</v>
      </c>
      <c r="L1810" s="38" t="n">
        <f aca="false">Sens!$L$1791-ext_sh*Sens!$L$1793</f>
        <v>160.69964615804</v>
      </c>
      <c r="M1810" s="38" t="n">
        <f aca="false">Sens!$M$1791-ext_sh*Sens!$M$1793</f>
        <v>169.577607141793</v>
      </c>
      <c r="N1810" s="38" t="n">
        <f aca="false">Sens!$N$1791-ext_sh*Sens!$N$1793</f>
        <v>2.37162185981912</v>
      </c>
      <c r="O1810" s="38" t="n">
        <f aca="false">Sens!$O$1791-ext_sh*Sens!$O$1793</f>
        <v>4.40444059680694</v>
      </c>
    </row>
    <row r="1811" customFormat="false" ht="17.15" hidden="false" customHeight="false" outlineLevel="0" collapsed="false">
      <c r="A1811" s="1" t="s">
        <v>637</v>
      </c>
      <c r="B1811" s="8" t="s">
        <v>86</v>
      </c>
      <c r="C1811" s="38" t="n">
        <f aca="false">Sens!$C$1810-ext_sh*Sens!$C$1807</f>
        <v>1.61486478179846</v>
      </c>
      <c r="D1811" s="38" t="n">
        <f aca="false">Sens!$D$1810-ext_sh*Sens!$D$1807</f>
        <v>3.35619639370529</v>
      </c>
      <c r="E1811" s="38" t="n">
        <f aca="false">Sens!$E$1810-ext_sh*Sens!$E$1807</f>
        <v>0.47391401650041</v>
      </c>
      <c r="F1811" s="38" t="n">
        <f aca="false">Sens!$F$1810-ext_sh*Sens!$F$1807</f>
        <v>5.56848844144774</v>
      </c>
      <c r="G1811" s="38" t="n">
        <f aca="false">Sens!$G$1810-ext_sh*Sens!$G$1807</f>
        <v>6.04240245794815</v>
      </c>
      <c r="H1811" s="38" t="n">
        <f aca="false">Sens!$H$1810-ext_sh*Sens!$H$1807</f>
        <v>14.1493074444713</v>
      </c>
      <c r="I1811" s="38" t="n">
        <f aca="false">Sens!$I$1810-ext_sh*Sens!$I$1807</f>
        <v>20.9402753316327</v>
      </c>
      <c r="J1811" s="38" t="n">
        <f aca="false">Sens!$J$1810-ext_sh*Sens!$J$1807</f>
        <v>26.2657788109003</v>
      </c>
      <c r="K1811" s="38" t="n">
        <f aca="false">Sens!$K$1810-ext_sh*Sens!$K$1807</f>
        <v>28.6528043704745</v>
      </c>
      <c r="L1811" s="38" t="n">
        <f aca="false">Sens!$L$1810-ext_sh*Sens!$L$1807</f>
        <v>28.6074997427596</v>
      </c>
      <c r="M1811" s="38" t="n">
        <f aca="false">Sens!$M$1810-ext_sh*Sens!$M$1807</f>
        <v>28.5689537052989</v>
      </c>
      <c r="N1811" s="38" t="n">
        <f aca="false">Sens!$N$1810-ext_sh*Sens!$N$1807</f>
        <v>0.661688828358734</v>
      </c>
      <c r="O1811" s="38" t="n">
        <f aca="false">Sens!$O$1810-ext_sh*Sens!$O$1807</f>
        <v>2.69450756534655</v>
      </c>
    </row>
    <row r="1812" customFormat="false" ht="17.15" hidden="false" customHeight="false" outlineLevel="0" collapsed="false">
      <c r="A1812" s="0" t="s">
        <v>638</v>
      </c>
      <c r="B1812" s="0" t="s">
        <v>52</v>
      </c>
      <c r="C1812" s="13" t="n">
        <f aca="false">Sens!$C$1811/Sens!$C$1791</f>
        <v>0.695760902466888</v>
      </c>
      <c r="D1812" s="13" t="n">
        <f aca="false">Sens!$D$1811/Sens!$D$1791</f>
        <v>0.385602602035804</v>
      </c>
      <c r="E1812" s="13" t="n">
        <f aca="false">Sens!$E$1811/Sens!$E$1791</f>
        <v>0.0556867638581897</v>
      </c>
      <c r="F1812" s="13" t="n">
        <f aca="false">Sens!$F$1811/Sens!$F$1791</f>
        <v>0.372139749048339</v>
      </c>
      <c r="G1812" s="13" t="n">
        <f aca="false">Sens!$G$1811/Sens!$G$1791</f>
        <v>0.257410640885913</v>
      </c>
      <c r="H1812" s="13" t="n">
        <f aca="false">Sens!$H$1811/Sens!$H$1791</f>
        <v>0.235171577585666</v>
      </c>
      <c r="I1812" s="13" t="n">
        <f aca="false">Sens!$I$1811/Sens!$I$1791</f>
        <v>0.206300612783449</v>
      </c>
      <c r="J1812" s="13" t="n">
        <f aca="false">Sens!$J$1811/Sens!$J$1791</f>
        <v>0.183644146407631</v>
      </c>
      <c r="K1812" s="13" t="n">
        <f aca="false">Sens!$K$1811/Sens!$K$1791</f>
        <v>0.160566579849363</v>
      </c>
      <c r="L1812" s="13" t="n">
        <f aca="false">Sens!$L$1811/Sens!$L$1791</f>
        <v>0.141812169386208</v>
      </c>
      <c r="M1812" s="13" t="n">
        <f aca="false">Sens!$M$1811/Sens!$M$1791</f>
        <v>0.134230246248255</v>
      </c>
      <c r="N1812" s="13" t="n">
        <f aca="false">Sens!$N$1811/Sens!$N$1791</f>
        <v>0.217209265679186</v>
      </c>
      <c r="O1812" s="13" t="n">
        <f aca="false">Sens!$O$1811/Sens!$O$1791</f>
        <v>0.47627593699706</v>
      </c>
    </row>
    <row r="1813" customFormat="false" ht="17.15" hidden="false" customHeight="false" outlineLevel="0" collapsed="false">
      <c r="A1813" s="5" t="s">
        <v>639</v>
      </c>
      <c r="B1813" s="0" t="s">
        <v>86</v>
      </c>
      <c r="C1813" s="39" t="n">
        <v>0</v>
      </c>
      <c r="D1813" s="39" t="n">
        <v>0</v>
      </c>
      <c r="E1813" s="39" t="n">
        <v>0</v>
      </c>
      <c r="F1813" s="38" t="n">
        <f aca="false">IF(internal_ai_reading=2,1,0)*(1-ext_sh)/ext_sh*(mw_open*he_open+Sens!$F$1789*Sens!$F$1786)*Sens!$F$1775/1000</f>
        <v>3.77122048175818</v>
      </c>
      <c r="G1813" s="38" t="n">
        <f aca="false">Sens!$E$1813+Sens!$F$1813</f>
        <v>3.77122048175818</v>
      </c>
      <c r="H1813" s="38" t="n">
        <f aca="false">IF(internal_ai_reading=2,1,0)*(1-ext_sh)/ext_sh*(mw_open*he_open+Sens!$H$1789*Sens!$H$1786)*Sens!$H$1775/1000</f>
        <v>15.1635543609893</v>
      </c>
      <c r="I1813" s="38" t="n">
        <f aca="false">IF(internal_ai_reading=2,1,0)*(1-ext_sh)/ext_sh*(mw_open*he_open+Sens!$I$1789*Sens!$I$1786)*Sens!$I$1775/1000</f>
        <v>25.5818843619889</v>
      </c>
      <c r="J1813" s="38" t="n">
        <f aca="false">IF(internal_ai_reading=2,1,0)*(1-ext_sh)/ext_sh*(mw_open*he_open+Sens!$J$1789*Sens!$J$1786)*Sens!$J$1775/1000</f>
        <v>36.0465624179122</v>
      </c>
      <c r="K1813" s="38" t="n">
        <f aca="false">IF(internal_ai_reading=2,1,0)*(1-ext_sh)/ext_sh*(mw_open*he_open+Sens!$K$1789*Sens!$K$1786)*Sens!$K$1775/1000</f>
        <v>44.9741164026038</v>
      </c>
      <c r="L1813" s="38" t="n">
        <f aca="false">IF(internal_ai_reading=2,1,0)*(1-ext_sh)/ext_sh*(mw_open*he_open+Sens!$L$1789*Sens!$L$1786)*Sens!$L$1775/1000</f>
        <v>50.8413488057813</v>
      </c>
      <c r="M1813" s="38" t="n">
        <f aca="false">IF(internal_ai_reading=2,1,0)*(1-ext_sh)/ext_sh*(mw_open*he_open+Sens!$M$1789*Sens!$M$1786)*Sens!$M$1775/1000</f>
        <v>53.6407214274315</v>
      </c>
      <c r="N1813" s="39" t="n">
        <v>0</v>
      </c>
      <c r="O1813" s="39" t="n">
        <v>0</v>
      </c>
      <c r="P1813" s="8" t="s">
        <v>640</v>
      </c>
    </row>
    <row r="1814" customFormat="false" ht="17.15" hidden="false" customHeight="false" outlineLevel="0" collapsed="false">
      <c r="A1814" s="5" t="s">
        <v>641</v>
      </c>
      <c r="B1814" s="0" t="s">
        <v>86</v>
      </c>
      <c r="C1814" s="38" t="n">
        <f aca="false">(1-ext_sh)*(Sens!$C$1793+Sens!$C$1807)</f>
        <v>0.176535143793795</v>
      </c>
      <c r="D1814" s="38" t="n">
        <f aca="false">(1-ext_sh)*(Sens!$D$1793+Sens!$D$1807)</f>
        <v>1.33689342373647</v>
      </c>
      <c r="E1814" s="38" t="n">
        <f aca="false">(1-ext_sh)*(Sens!$E$1793+Sens!$E$1807)</f>
        <v>2.0091097397674</v>
      </c>
      <c r="F1814" s="38" t="n">
        <f aca="false">(1-ext_sh)*(Sens!$F$1793+Sens!$F$1807)</f>
        <v>2.34873630081818</v>
      </c>
      <c r="G1814" s="38" t="n">
        <f aca="false">(1-ext_sh)*(Sens!$G$1793+Sens!$G$1807)</f>
        <v>4.35784604058558</v>
      </c>
      <c r="H1814" s="38" t="n">
        <f aca="false">(1-ext_sh)*(Sens!$H$1793+Sens!$H$1807)</f>
        <v>11.5041458263258</v>
      </c>
      <c r="I1814" s="38" t="n">
        <f aca="false">(1-ext_sh)*(Sens!$I$1793+Sens!$I$1807)</f>
        <v>20.1408559511998</v>
      </c>
      <c r="J1814" s="38" t="n">
        <f aca="false">(1-ext_sh)*(Sens!$J$1793+Sens!$J$1807)</f>
        <v>29.1899070850945</v>
      </c>
      <c r="K1814" s="38" t="n">
        <f aca="false">(1-ext_sh)*(Sens!$K$1793+Sens!$K$1807)</f>
        <v>37.4488290031763</v>
      </c>
      <c r="L1814" s="38" t="n">
        <f aca="false">(1-ext_sh)*(Sens!$L$1793+Sens!$L$1807)</f>
        <v>43.2801505149092</v>
      </c>
      <c r="M1814" s="38" t="n">
        <f aca="false">(1-ext_sh)*(Sens!$M$1793+Sens!$M$1807)</f>
        <v>46.0666219158916</v>
      </c>
      <c r="N1814" s="38" t="n">
        <f aca="false">(1-ext_sh)*(Sens!$N$1793+Sens!$N$1807)</f>
        <v>0.596157675667293</v>
      </c>
      <c r="O1814" s="38" t="n">
        <f aca="false">(1-ext_sh)*(Sens!$O$1793+Sens!$O$1807)</f>
        <v>0.740735748069175</v>
      </c>
    </row>
    <row r="1815" customFormat="false" ht="17.15" hidden="false" customHeight="false" outlineLevel="0" collapsed="false">
      <c r="A1815" s="0" t="s">
        <v>642</v>
      </c>
      <c r="B1815" s="0" t="s">
        <v>86</v>
      </c>
      <c r="C1815" s="38" t="n">
        <f aca="false">Q!$D$24</f>
        <v>39.834</v>
      </c>
      <c r="D1815" s="38" t="n">
        <f aca="false">Q!$E$24</f>
        <v>45.606</v>
      </c>
      <c r="E1815" s="38" t="n">
        <f aca="false">Q!$P$24</f>
        <v>30.782</v>
      </c>
      <c r="N1815" s="38" t="n">
        <f aca="false">Q!$N$24</f>
        <v>21.707</v>
      </c>
      <c r="O1815" s="38" t="n">
        <f aca="false">Q!$O$24</f>
        <v>23.899</v>
      </c>
    </row>
    <row r="1816" customFormat="false" ht="17.15" hidden="false" customHeight="false" outlineLevel="0" collapsed="false">
      <c r="A1816" s="0" t="s">
        <v>643</v>
      </c>
      <c r="B1816" s="0" t="s">
        <v>86</v>
      </c>
      <c r="C1816" s="38" t="n">
        <f aca="false">Sens!$C$1815-Sens!$C$1811</f>
        <v>38.2191352182015</v>
      </c>
      <c r="D1816" s="38" t="n">
        <f aca="false">Sens!$D$1815-Sens!$D$1811</f>
        <v>42.2498036062947</v>
      </c>
      <c r="E1816" s="38" t="n">
        <f aca="false">Sens!$E$1815-Sens!$E$1811</f>
        <v>30.3080859834996</v>
      </c>
      <c r="F1816" s="38" t="n">
        <f aca="false">Sens!$F$1795*Sens!$F$1817</f>
        <v>27.5411683359282</v>
      </c>
      <c r="G1816" s="38" t="n">
        <f aca="false">Sens!$E$1816+Sens!$F$1816</f>
        <v>57.8492543194278</v>
      </c>
      <c r="H1816" s="38" t="n">
        <f aca="false">Sens!$H$1795*Sens!$H$1817</f>
        <v>61.7896292357721</v>
      </c>
      <c r="I1816" s="38" t="n">
        <f aca="false">Sens!$I$1795*Sens!$I$1817</f>
        <v>68.6021468018916</v>
      </c>
      <c r="J1816" s="38" t="n">
        <f aca="false">Sens!$J$1795*Sens!$J$1817</f>
        <v>75.1280431164455</v>
      </c>
      <c r="K1816" s="38" t="n">
        <f aca="false">Sens!$K$1795*Sens!$K$1817</f>
        <v>81.1382865657611</v>
      </c>
      <c r="L1816" s="38" t="n">
        <f aca="false">Sens!$L$1795*Sens!$L$1817</f>
        <v>87.629349491022</v>
      </c>
      <c r="M1816" s="38" t="n">
        <f aca="false">Sens!$M$1795*Sens!$M$1817</f>
        <v>94.6396974503038</v>
      </c>
      <c r="N1816" s="38" t="n">
        <f aca="false">Sens!$N$1815-Sens!$N$1811</f>
        <v>21.0453111716413</v>
      </c>
      <c r="O1816" s="38" t="n">
        <f aca="false">Sens!$O$1815-Sens!$O$1811</f>
        <v>21.2044924346534</v>
      </c>
      <c r="P1816" s="5" t="s">
        <v>644</v>
      </c>
    </row>
    <row r="1817" customFormat="false" ht="17.15" hidden="false" customHeight="false" outlineLevel="0" collapsed="false">
      <c r="A1817" s="0" t="s">
        <v>645</v>
      </c>
      <c r="B1817" s="0" t="s">
        <v>52</v>
      </c>
      <c r="C1817" s="13" t="n">
        <f aca="false">Sens!$C$1816/Sens!$C$1795</f>
        <v>0.363178953425587</v>
      </c>
      <c r="D1817" s="13" t="n">
        <f aca="false">Sens!$D$1816/Sens!$D$1795</f>
        <v>0.352019418876991</v>
      </c>
      <c r="E1817" s="13" t="n">
        <f aca="false">Sens!$E$1816/Sens!$E$1795</f>
        <v>0.425026798967539</v>
      </c>
      <c r="F1817" s="13" t="n">
        <f aca="false">(Sens!$O$1816+Sens!$E$1816)/(Sens!$O$1795+Sens!$E$1795)</f>
        <v>0.383745813528699</v>
      </c>
      <c r="G1817" s="13" t="n">
        <f aca="false">Sens!$G$1816/Sens!$G$1795</f>
        <v>0.404319852260254</v>
      </c>
      <c r="H1817" s="13" t="n">
        <f aca="false">Sens!$F$1817</f>
        <v>0.383745813528699</v>
      </c>
      <c r="I1817" s="13" t="n">
        <f aca="false">Sens!$F$1817</f>
        <v>0.383745813528699</v>
      </c>
      <c r="J1817" s="13" t="n">
        <f aca="false">Sens!$F$1817</f>
        <v>0.383745813528699</v>
      </c>
      <c r="K1817" s="13" t="n">
        <f aca="false">Sens!$F$1817</f>
        <v>0.383745813528699</v>
      </c>
      <c r="L1817" s="13" t="n">
        <f aca="false">Sens!$F$1817</f>
        <v>0.383745813528699</v>
      </c>
      <c r="M1817" s="13" t="n">
        <f aca="false">Sens!$F$1817</f>
        <v>0.383745813528699</v>
      </c>
      <c r="N1817" s="13" t="n">
        <f aca="false">Sens!$N$1816/Sens!$N$1795</f>
        <v>0.36861016838945</v>
      </c>
      <c r="O1817" s="13" t="n">
        <f aca="false">Sens!$O$1816/Sens!$O$1795</f>
        <v>0.33696675975076</v>
      </c>
      <c r="P1817" s="8" t="s">
        <v>646</v>
      </c>
    </row>
    <row r="1818" customFormat="false" ht="17.15" hidden="false" customHeight="false" outlineLevel="0" collapsed="false">
      <c r="A1818" s="0" t="s">
        <v>647</v>
      </c>
      <c r="B1818" s="0" t="s">
        <v>52</v>
      </c>
      <c r="D1818" s="13" t="n">
        <f aca="false">(Q!$E$31-ext_sh*Sens!$D$1807)/Sens!$D$1795</f>
        <v>0.15022453902861</v>
      </c>
    </row>
    <row r="1819" customFormat="false" ht="17.15" hidden="false" customHeight="false" outlineLevel="0" collapsed="false">
      <c r="A1819" s="0" t="s">
        <v>648</v>
      </c>
      <c r="B1819" s="0" t="s">
        <v>86</v>
      </c>
      <c r="C1819" s="38" t="n">
        <f aca="false">Q!$D$31</f>
        <v>13.32</v>
      </c>
      <c r="D1819" s="38" t="n">
        <f aca="false">Q!$E$31</f>
        <v>21.45</v>
      </c>
      <c r="E1819" s="38" t="n">
        <f aca="false">Q!$P$31</f>
        <v>15.353</v>
      </c>
      <c r="F1819" s="38" t="n">
        <f aca="false">ext_sh*Sens!$F$1807+Sens!$D$1818*Sens!$F$1795</f>
        <v>16.9330792524197</v>
      </c>
      <c r="G1819" s="38" t="n">
        <f aca="false">Sens!$E$1819+Sens!$F$1819</f>
        <v>32.2860792524197</v>
      </c>
      <c r="H1819" s="38" t="n">
        <f aca="false">ext_sh*Sens!$H$1807+Sens!$D$1818*Sens!$H$1795</f>
        <v>57.5565814415315</v>
      </c>
      <c r="I1819" s="38" t="n">
        <f aca="false">ext_sh*Sens!$I$1807+Sens!$D$1818*Sens!$I$1795</f>
        <v>86.4692986491004</v>
      </c>
      <c r="J1819" s="38" t="n">
        <f aca="false">ext_sh*Sens!$J$1807+Sens!$D$1818*Sens!$J$1795</f>
        <v>116.903827980008</v>
      </c>
      <c r="K1819" s="38" t="n">
        <f aca="false">ext_sh*Sens!$K$1807+Sens!$D$1818*Sens!$K$1795</f>
        <v>145.194720274201</v>
      </c>
      <c r="L1819" s="38" t="n">
        <f aca="false">ext_sh*Sens!$L$1807+Sens!$D$1818*Sens!$L$1795</f>
        <v>166.396308619988</v>
      </c>
      <c r="M1819" s="38" t="n">
        <f aca="false">ext_sh*Sens!$M$1807+Sens!$D$1818*Sens!$M$1795</f>
        <v>178.057148617578</v>
      </c>
      <c r="N1819" s="38" t="n">
        <f aca="false">Q!$N$31</f>
        <v>9.234</v>
      </c>
      <c r="O1819" s="38" t="n">
        <f aca="false">Q!$O$31</f>
        <v>12.216</v>
      </c>
    </row>
    <row r="1820" customFormat="false" ht="17.15" hidden="false" customHeight="false" outlineLevel="0" collapsed="false">
      <c r="A1820" s="1" t="s">
        <v>649</v>
      </c>
    </row>
    <row r="1821" customFormat="false" ht="17.15" hidden="false" customHeight="false" outlineLevel="0" collapsed="false">
      <c r="A1821" s="15" t="s">
        <v>650</v>
      </c>
      <c r="B1821" s="14" t="s">
        <v>52</v>
      </c>
      <c r="C1821" s="14"/>
      <c r="D1821" s="14"/>
      <c r="E1821" s="14"/>
      <c r="F1821" s="14"/>
      <c r="G1821" s="17" t="n">
        <f aca="false">Sens!$G$1811*(1-tax)/(ext_sh*(Sens!$D$1808+Sens!$G$1808)/2)</f>
        <v>0.0379758068528175</v>
      </c>
      <c r="H1821" s="17" t="n">
        <f aca="false">Sens!$H$1811*(1-tax)/(ext_sh*(Sens!$G$1808+Sens!$H$1808)/2)</f>
        <v>0.0463536423987396</v>
      </c>
      <c r="I1821" s="17" t="n">
        <f aca="false">Sens!$I$1811*(1-tax)/(ext_sh*(Sens!$H$1808+Sens!$I$1808)/2)</f>
        <v>0.0468787229810143</v>
      </c>
      <c r="J1821" s="17" t="n">
        <f aca="false">Sens!$J$1811*(1-tax)/(ext_sh*(Sens!$I$1808+Sens!$J$1808)/2)</f>
        <v>0.0466204201510502</v>
      </c>
      <c r="K1821" s="17" t="n">
        <f aca="false">Sens!$K$1811*(1-tax)/(ext_sh*(Sens!$J$1808+Sens!$K$1808)/2)</f>
        <v>0.0448516387071514</v>
      </c>
      <c r="L1821" s="17" t="n">
        <f aca="false">Sens!$L$1811*(1-tax)/(ext_sh*(Sens!$K$1808+Sens!$L$1808)/2)</f>
        <v>0.0423091016936778</v>
      </c>
      <c r="M1821" s="17" t="n">
        <f aca="false">Sens!$M$1811*(1-tax)/(ext_sh*(Sens!$L$1808+Sens!$M$1808)/2)</f>
        <v>0.0412384304426157</v>
      </c>
      <c r="N1821" s="14"/>
      <c r="O1821" s="14"/>
      <c r="P1821" s="8" t="s">
        <v>651</v>
      </c>
    </row>
    <row r="1822" customFormat="false" ht="17.15" hidden="false" customHeight="false" outlineLevel="0" collapsed="false">
      <c r="A1822" s="5" t="s">
        <v>652</v>
      </c>
      <c r="B1822" s="0" t="s">
        <v>57</v>
      </c>
      <c r="H1822" s="36" t="n">
        <f aca="false">Sens!$H$1791*1000/(mw_open*he_open+Sens!$H$1789*Sens!$H$1786)</f>
        <v>0.991949006767191</v>
      </c>
      <c r="I1822" s="36" t="n">
        <f aca="false">Sens!$I$1791*1000/(mw_open*he_open+Sens!$I$1789*Sens!$I$1786)</f>
        <v>0.991949006767191</v>
      </c>
      <c r="J1822" s="36" t="n">
        <f aca="false">Sens!$J$1791*1000/(mw_open*he_open+Sens!$J$1789*Sens!$J$1786)</f>
        <v>0.991949006767191</v>
      </c>
      <c r="K1822" s="36" t="n">
        <f aca="false">Sens!$K$1791*1000/(mw_open*he_open+Sens!$K$1789*Sens!$K$1786)</f>
        <v>0.991949006767191</v>
      </c>
      <c r="L1822" s="36" t="n">
        <f aca="false">Sens!$L$1791*1000/(mw_open*he_open+Sens!$L$1789*Sens!$L$1786)</f>
        <v>0.991949006767191</v>
      </c>
      <c r="M1822" s="36" t="n">
        <f aca="false">Sens!$M$1791*1000/(mw_open*he_open+Sens!$M$1789*Sens!$M$1786)</f>
        <v>0.991949006767191</v>
      </c>
    </row>
    <row r="1823" customFormat="false" ht="17.15" hidden="false" customHeight="false" outlineLevel="0" collapsed="false">
      <c r="A1823" s="5" t="s">
        <v>653</v>
      </c>
      <c r="B1823" s="0" t="s">
        <v>57</v>
      </c>
      <c r="H1823" s="36" t="n">
        <f aca="false">Sens!$H$1822*(Sens!$H$1791+wacc*ext_sh*(Sens!$G$1808+Sens!$H$1808)/2/(1-tax)-Sens!$H$1811)/Sens!$H$1791</f>
        <v>1.32884864703936</v>
      </c>
      <c r="I1823" s="36" t="n">
        <f aca="false">Sens!$I$1822*(Sens!$I$1791+wacc*ext_sh*(Sens!$H$1808+Sens!$I$1808)/2/(1-tax)-Sens!$I$1811)/Sens!$I$1791</f>
        <v>1.28188655496635</v>
      </c>
      <c r="J1823" s="36" t="n">
        <f aca="false">Sens!$J$1822*(Sens!$J$1791+wacc*ext_sh*(Sens!$I$1808+Sens!$J$1808)/2/(1-tax)-Sens!$J$1811)/Sens!$J$1791</f>
        <v>1.25248415557938</v>
      </c>
      <c r="K1823" s="36" t="n">
        <f aca="false">Sens!$K$1822*(Sens!$K$1791+wacc*ext_sh*(Sens!$J$1808+Sens!$K$1808)/2/(1-tax)-Sens!$K$1811)/Sens!$K$1791</f>
        <v>1.23500866981995</v>
      </c>
      <c r="L1823" s="36" t="n">
        <f aca="false">Sens!$L$1822*(Sens!$L$1791+wacc*ext_sh*(Sens!$K$1808+Sens!$L$1808)/2/(1-tax)-Sens!$L$1811)/Sens!$L$1791</f>
        <v>1.22797288827224</v>
      </c>
      <c r="M1823" s="36" t="n">
        <f aca="false">Sens!$M$1822*(Sens!$M$1791+wacc*ext_sh*(Sens!$L$1808+Sens!$M$1808)/2/(1-tax)-Sens!$M$1811)/Sens!$M$1791</f>
        <v>1.22461118577825</v>
      </c>
    </row>
    <row r="1824" customFormat="false" ht="17.15" hidden="false" customHeight="false" outlineLevel="0" collapsed="false">
      <c r="A1824" s="5" t="s">
        <v>654</v>
      </c>
      <c r="B1824" s="0" t="s">
        <v>52</v>
      </c>
      <c r="C1824" s="13" t="n">
        <f aca="false">Sens!$C$1792/tk_pq</f>
        <v>0.195316432429398</v>
      </c>
      <c r="D1824" s="13" t="n">
        <f aca="false">Sens!$D$1792/tk_pq</f>
        <v>0.195316432429398</v>
      </c>
      <c r="E1824" s="13" t="n">
        <f aca="false">Sens!$E$1792/tk_pq</f>
        <v>0.195316432429398</v>
      </c>
      <c r="F1824" s="13" t="n">
        <f aca="false">Sens!$F$1792/tk_pq</f>
        <v>0.202241827274866</v>
      </c>
      <c r="G1824" s="13" t="n">
        <f aca="false">Sens!$G$1792/tk_pq</f>
        <v>0.199675016194063</v>
      </c>
      <c r="H1824" s="13" t="n">
        <f aca="false">Sens!$H$1792/tk_pq</f>
        <v>0.212647947710325</v>
      </c>
      <c r="I1824" s="13" t="n">
        <f aca="false">Sens!$I$1792/tk_pq</f>
        <v>0.219285125475351</v>
      </c>
      <c r="J1824" s="13" t="n">
        <f aca="false">Sens!$J$1792/tk_pq</f>
        <v>0.222492493217189</v>
      </c>
      <c r="K1824" s="13" t="n">
        <f aca="false">Sens!$K$1792/tk_pq</f>
        <v>0.224053502812094</v>
      </c>
      <c r="L1824" s="13" t="n">
        <f aca="false">Sens!$L$1792/tk_pq</f>
        <v>0.224786916785614</v>
      </c>
      <c r="M1824" s="13" t="n">
        <f aca="false">Sens!$M$1792/tk_pq</f>
        <v>0.225048671566937</v>
      </c>
      <c r="N1824" s="13" t="n">
        <f aca="false">Sens!$N$1792/tk_pq</f>
        <v>0.195316432429398</v>
      </c>
      <c r="O1824" s="13" t="n">
        <f aca="false">Sens!$O$1792/tk_pq</f>
        <v>0.195316432429398</v>
      </c>
      <c r="P1824" s="5" t="s">
        <v>655</v>
      </c>
    </row>
    <row r="1827" customFormat="false" ht="17.15" hidden="false" customHeight="false" outlineLevel="0" collapsed="false">
      <c r="A1827" s="1" t="s">
        <v>684</v>
      </c>
    </row>
    <row r="1828" customFormat="false" ht="17.15" hidden="false" customHeight="false" outlineLevel="0" collapsed="false">
      <c r="A1828" s="0" t="s">
        <v>685</v>
      </c>
      <c r="B1828" s="0" t="s">
        <v>86</v>
      </c>
      <c r="C1828" s="38" t="n">
        <f aca="false">Sens!$C$1791</f>
        <v>2.32100535697364</v>
      </c>
      <c r="D1828" s="38" t="n">
        <f aca="false">Sens!$D$1791</f>
        <v>8.70377008865116</v>
      </c>
      <c r="E1828" s="38" t="n">
        <f aca="false">Sens!$E$1791</f>
        <v>8.51035297557002</v>
      </c>
      <c r="F1828" s="38" t="n">
        <f aca="false">Sens!$F$1791</f>
        <v>14.9634336447205</v>
      </c>
      <c r="G1828" s="38" t="n">
        <f aca="false">Sens!$G$1791</f>
        <v>23.4737866202905</v>
      </c>
      <c r="H1828" s="38" t="n">
        <f aca="false">Sens!$H$1791</f>
        <v>60.1658907497746</v>
      </c>
      <c r="I1828" s="38" t="n">
        <f aca="false">Sens!$I$1791</f>
        <v>101.503699136432</v>
      </c>
      <c r="J1828" s="38" t="n">
        <f aca="false">Sens!$J$1791</f>
        <v>143.025407151278</v>
      </c>
      <c r="K1828" s="38" t="n">
        <f aca="false">Sens!$K$1791</f>
        <v>178.44812038318</v>
      </c>
      <c r="L1828" s="38" t="n">
        <f aca="false">Sens!$L$1791</f>
        <v>201.728101802396</v>
      </c>
      <c r="M1828" s="38" t="n">
        <f aca="false">Sens!$M$1791</f>
        <v>212.835441368865</v>
      </c>
      <c r="N1828" s="38" t="n">
        <f aca="false">Sens!$N$1791</f>
        <v>3.04631953102791</v>
      </c>
      <c r="O1828" s="38" t="n">
        <f aca="false">Sens!$O$1791</f>
        <v>5.65745055762326</v>
      </c>
      <c r="P1828" s="8" t="s">
        <v>686</v>
      </c>
    </row>
    <row r="1829" customFormat="false" ht="17.15" hidden="false" customHeight="false" outlineLevel="0" collapsed="false">
      <c r="A1829" s="0" t="s">
        <v>687</v>
      </c>
      <c r="B1829" s="0" t="s">
        <v>86</v>
      </c>
      <c r="C1829" s="38" t="n">
        <f aca="false">Sens!$C$1795</f>
        <v>105.234994643026</v>
      </c>
      <c r="D1829" s="38" t="n">
        <f aca="false">Sens!$D$1795</f>
        <v>120.021229911349</v>
      </c>
      <c r="E1829" s="38" t="n">
        <f aca="false">Sens!$E$1795</f>
        <v>71.30864702443</v>
      </c>
      <c r="F1829" s="38" t="n">
        <f aca="false">Sens!$F$1795</f>
        <v>71.7692997942464</v>
      </c>
      <c r="G1829" s="38" t="n">
        <f aca="false">Sens!$G$1795</f>
        <v>143.077946818676</v>
      </c>
      <c r="H1829" s="38" t="n">
        <f aca="false">Sens!$H$1795</f>
        <v>161.017077079203</v>
      </c>
      <c r="I1829" s="38" t="n">
        <f aca="false">Sens!$I$1795</f>
        <v>178.769759521457</v>
      </c>
      <c r="J1829" s="38" t="n">
        <f aca="false">Sens!$J$1795</f>
        <v>195.775538045907</v>
      </c>
      <c r="K1829" s="38" t="n">
        <f aca="false">Sens!$K$1795</f>
        <v>211.43758108958</v>
      </c>
      <c r="L1829" s="38" t="n">
        <f aca="false">Sens!$L$1795</f>
        <v>228.352587576746</v>
      </c>
      <c r="M1829" s="38" t="n">
        <f aca="false">Sens!$M$1795</f>
        <v>246.620794582886</v>
      </c>
      <c r="N1829" s="38" t="n">
        <f aca="false">Sens!$N$1795</f>
        <v>57.0936804689721</v>
      </c>
      <c r="O1829" s="38" t="n">
        <f aca="false">Sens!$O$1795</f>
        <v>62.9275494423768</v>
      </c>
      <c r="P1829" s="8" t="s">
        <v>686</v>
      </c>
    </row>
    <row r="1830" customFormat="false" ht="17.15" hidden="false" customHeight="false" outlineLevel="0" collapsed="false">
      <c r="A1830" s="1" t="s">
        <v>513</v>
      </c>
      <c r="B1830" s="8" t="s">
        <v>86</v>
      </c>
      <c r="C1830" s="38" t="n">
        <f aca="false">Q!$D$7</f>
        <v>107.556</v>
      </c>
      <c r="D1830" s="38" t="n">
        <f aca="false">Q!$E$7</f>
        <v>128.725</v>
      </c>
      <c r="E1830" s="38" t="n">
        <f aca="false">Q!$P$7</f>
        <v>79.819</v>
      </c>
      <c r="F1830" s="38" t="n">
        <f aca="false">Sens!$F$1828+Sens!$F$1829</f>
        <v>86.7327334389669</v>
      </c>
      <c r="G1830" s="38" t="n">
        <f aca="false">Sens!$G$1828+Sens!$G$1829</f>
        <v>166.551733438967</v>
      </c>
      <c r="H1830" s="38" t="n">
        <f aca="false">Sens!$H$1828+Sens!$H$1829</f>
        <v>221.182967828978</v>
      </c>
      <c r="I1830" s="38" t="n">
        <f aca="false">Sens!$I$1828+Sens!$I$1829</f>
        <v>280.27345865789</v>
      </c>
      <c r="J1830" s="38" t="n">
        <f aca="false">Sens!$J$1828+Sens!$J$1829</f>
        <v>338.800945197185</v>
      </c>
      <c r="K1830" s="38" t="n">
        <f aca="false">Sens!$K$1828+Sens!$K$1829</f>
        <v>389.88570147276</v>
      </c>
      <c r="L1830" s="38" t="n">
        <f aca="false">Sens!$L$1828+Sens!$L$1829</f>
        <v>430.080689379143</v>
      </c>
      <c r="M1830" s="38" t="n">
        <f aca="false">Sens!$M$1828+Sens!$M$1829</f>
        <v>459.456235951751</v>
      </c>
      <c r="N1830" s="38" t="n">
        <f aca="false">Q!$N$7</f>
        <v>60.14</v>
      </c>
      <c r="O1830" s="38" t="n">
        <f aca="false">Q!$O$7</f>
        <v>68.585</v>
      </c>
      <c r="P1830" s="5" t="s">
        <v>688</v>
      </c>
    </row>
    <row r="1831" customFormat="false" ht="15" hidden="false" customHeight="false" outlineLevel="0" collapsed="false">
      <c r="A1831" s="3" t="s">
        <v>689</v>
      </c>
      <c r="B1831" s="8" t="s">
        <v>86</v>
      </c>
      <c r="C1831" s="38" t="n">
        <f aca="false">Q!$D$8</f>
        <v>637.959</v>
      </c>
      <c r="D1831" s="38" t="n">
        <f aca="false">Q!$E$8</f>
        <v>716.924</v>
      </c>
      <c r="E1831" s="38" t="n">
        <f aca="false">Q!$P$8</f>
        <v>382.125</v>
      </c>
      <c r="F1831" s="38" t="n">
        <f aca="false">Sens!$F$1763+Sens!$F$1830</f>
        <v>435.780975084504</v>
      </c>
      <c r="G1831" s="38" t="n">
        <f aca="false">Sens!$G$1763+Sens!$G$1830</f>
        <v>817.905975084504</v>
      </c>
      <c r="H1831" s="38" t="n">
        <f aca="false">Sens!$H$1763+Sens!$H$1830</f>
        <v>942.279857350364</v>
      </c>
      <c r="I1831" s="38" t="n">
        <f aca="false">Sens!$I$1763+Sens!$I$1830</f>
        <v>1068.80284981042</v>
      </c>
      <c r="J1831" s="38" t="n">
        <f aca="false">Sens!$J$1763+Sens!$J$1830</f>
        <v>1189.90935093863</v>
      </c>
      <c r="K1831" s="38" t="n">
        <f aca="false">Sens!$K$1763+Sens!$K$1830</f>
        <v>1296.06215690385</v>
      </c>
      <c r="L1831" s="38" t="n">
        <f aca="false">Sens!$L$1763+Sens!$L$1830</f>
        <v>1395.17379585473</v>
      </c>
      <c r="M1831" s="38" t="n">
        <f aca="false">Sens!$M$1763+Sens!$M$1830</f>
        <v>1487.60414389864</v>
      </c>
      <c r="N1831" s="38" t="n">
        <f aca="false">Q!$N$8</f>
        <v>323.369</v>
      </c>
      <c r="O1831" s="38" t="n">
        <f aca="false">Q!$O$8</f>
        <v>393.555</v>
      </c>
    </row>
    <row r="1832" customFormat="false" ht="17.15" hidden="false" customHeight="false" outlineLevel="0" collapsed="false">
      <c r="A1832" s="24" t="s">
        <v>697</v>
      </c>
      <c r="B1832" s="25" t="s">
        <v>86</v>
      </c>
      <c r="C1832" s="41" t="n">
        <f aca="false">Sens!$C$1763-(Sens!$C$1765+Sens!$C$1766)</f>
        <v>0</v>
      </c>
      <c r="D1832" s="41" t="n">
        <f aca="false">Sens!$D$1763-(Sens!$D$1765+Sens!$D$1766)</f>
        <v>0</v>
      </c>
      <c r="E1832" s="41" t="n">
        <f aca="false">Sens!$E$1763-(Sens!$E$1765+Sens!$E$1766)</f>
        <v>0</v>
      </c>
      <c r="F1832" s="41" t="n">
        <f aca="false">Sens!$F$1763-(Sens!$F$1765+Sens!$F$1766)</f>
        <v>0</v>
      </c>
      <c r="G1832" s="41" t="n">
        <f aca="false">Sens!$G$1763-(Sens!$G$1765+Sens!$G$1766)</f>
        <v>0</v>
      </c>
      <c r="H1832" s="41" t="n">
        <f aca="false">Sens!$H$1763-(Sens!$H$1765+Sens!$H$1766)</f>
        <v>0</v>
      </c>
      <c r="I1832" s="41" t="n">
        <f aca="false">Sens!$I$1763-(Sens!$I$1765+Sens!$I$1766)</f>
        <v>0</v>
      </c>
      <c r="J1832" s="41" t="n">
        <f aca="false">Sens!$J$1763-(Sens!$J$1765+Sens!$J$1766)</f>
        <v>0</v>
      </c>
      <c r="K1832" s="41" t="n">
        <f aca="false">Sens!$K$1763-(Sens!$K$1765+Sens!$K$1766)</f>
        <v>0</v>
      </c>
      <c r="L1832" s="41" t="n">
        <f aca="false">Sens!$L$1763-(Sens!$L$1765+Sens!$L$1766)</f>
        <v>0</v>
      </c>
      <c r="M1832" s="41" t="n">
        <f aca="false">Sens!$M$1763-(Sens!$M$1765+Sens!$M$1766)</f>
        <v>0</v>
      </c>
      <c r="N1832" s="41" t="n">
        <f aca="false">Sens!$N$1763-(Sens!$N$1765+Sens!$N$1766)</f>
        <v>0</v>
      </c>
      <c r="O1832" s="41" t="n">
        <f aca="false">Sens!$O$1763-(Sens!$O$1765+Sens!$O$1766)</f>
        <v>0</v>
      </c>
    </row>
    <row r="1833" customFormat="false" ht="17.15" hidden="false" customHeight="false" outlineLevel="0" collapsed="false">
      <c r="A1833" s="24" t="s">
        <v>698</v>
      </c>
      <c r="B1833" s="25" t="s">
        <v>86</v>
      </c>
      <c r="C1833" s="41" t="n">
        <f aca="false">Sens!$C$1828+Sens!$C$1829-Sens!$C$1830</f>
        <v>0</v>
      </c>
      <c r="D1833" s="41" t="n">
        <f aca="false">Sens!$D$1828+Sens!$D$1829-Sens!$D$1830</f>
        <v>0</v>
      </c>
      <c r="E1833" s="41" t="n">
        <f aca="false">Sens!$E$1828+Sens!$E$1829-Sens!$E$1830</f>
        <v>0</v>
      </c>
      <c r="F1833" s="41" t="n">
        <f aca="false">Sens!$F$1828+Sens!$F$1829-Sens!$F$1830</f>
        <v>0</v>
      </c>
      <c r="G1833" s="41" t="n">
        <f aca="false">Sens!$G$1828+Sens!$G$1829-Sens!$G$1830</f>
        <v>0</v>
      </c>
      <c r="H1833" s="41" t="n">
        <f aca="false">Sens!$H$1828+Sens!$H$1829-Sens!$H$1830</f>
        <v>0</v>
      </c>
      <c r="I1833" s="41" t="n">
        <f aca="false">Sens!$I$1828+Sens!$I$1829-Sens!$I$1830</f>
        <v>0</v>
      </c>
      <c r="J1833" s="41" t="n">
        <f aca="false">Sens!$J$1828+Sens!$J$1829-Sens!$J$1830</f>
        <v>0</v>
      </c>
      <c r="K1833" s="41" t="n">
        <f aca="false">Sens!$K$1828+Sens!$K$1829-Sens!$K$1830</f>
        <v>0</v>
      </c>
      <c r="L1833" s="41" t="n">
        <f aca="false">Sens!$L$1828+Sens!$L$1829-Sens!$L$1830</f>
        <v>0</v>
      </c>
      <c r="M1833" s="41" t="n">
        <f aca="false">Sens!$M$1828+Sens!$M$1829-Sens!$M$1830</f>
        <v>0</v>
      </c>
      <c r="N1833" s="41" t="n">
        <f aca="false">Sens!$N$1828+Sens!$N$1829-Sens!$N$1830</f>
        <v>0</v>
      </c>
      <c r="O1833" s="41" t="n">
        <f aca="false">Sens!$O$1828+Sens!$O$1829-Sens!$O$1830</f>
        <v>0</v>
      </c>
    </row>
    <row r="1834" customFormat="false" ht="17.15" hidden="false" customHeight="false" outlineLevel="0" collapsed="false">
      <c r="A1834" s="24" t="s">
        <v>699</v>
      </c>
      <c r="B1834" s="25" t="s">
        <v>86</v>
      </c>
      <c r="C1834" s="41" t="n">
        <f aca="false">Sens!$C$1765+Sens!$C$1766+Sens!$C$1830-Sens!$C$1831</f>
        <v>0</v>
      </c>
      <c r="D1834" s="41" t="n">
        <f aca="false">Sens!$D$1765+Sens!$D$1766+Sens!$D$1830-Sens!$D$1831</f>
        <v>0</v>
      </c>
      <c r="E1834" s="41" t="n">
        <f aca="false">Sens!$E$1765+Sens!$E$1766+Sens!$E$1830-Sens!$E$1831</f>
        <v>0</v>
      </c>
      <c r="F1834" s="41" t="n">
        <f aca="false">Sens!$F$1765+Sens!$F$1766+Sens!$F$1830-Sens!$F$1831</f>
        <v>0</v>
      </c>
      <c r="G1834" s="41" t="n">
        <f aca="false">Sens!$G$1765+Sens!$G$1766+Sens!$G$1830-Sens!$G$1831</f>
        <v>0</v>
      </c>
      <c r="H1834" s="41" t="n">
        <f aca="false">Sens!$H$1765+Sens!$H$1766+Sens!$H$1830-Sens!$H$1831</f>
        <v>0</v>
      </c>
      <c r="I1834" s="41" t="n">
        <f aca="false">Sens!$I$1765+Sens!$I$1766+Sens!$I$1830-Sens!$I$1831</f>
        <v>0</v>
      </c>
      <c r="J1834" s="41" t="n">
        <f aca="false">Sens!$J$1765+Sens!$J$1766+Sens!$J$1830-Sens!$J$1831</f>
        <v>0</v>
      </c>
      <c r="K1834" s="41" t="n">
        <f aca="false">Sens!$K$1765+Sens!$K$1766+Sens!$K$1830-Sens!$K$1831</f>
        <v>0</v>
      </c>
      <c r="L1834" s="41" t="n">
        <f aca="false">Sens!$L$1765+Sens!$L$1766+Sens!$L$1830-Sens!$L$1831</f>
        <v>0</v>
      </c>
      <c r="M1834" s="41" t="n">
        <f aca="false">Sens!$M$1765+Sens!$M$1766+Sens!$M$1830-Sens!$M$1831</f>
        <v>0</v>
      </c>
      <c r="N1834" s="41" t="n">
        <f aca="false">Sens!$N$1765+Sens!$N$1766+Sens!$N$1830-Sens!$N$1831</f>
        <v>0</v>
      </c>
      <c r="O1834" s="41" t="n">
        <f aca="false">Sens!$O$1765+Sens!$O$1766+Sens!$O$1830-Sens!$O$1831</f>
        <v>0</v>
      </c>
    </row>
    <row r="1835" customFormat="false" ht="15" hidden="false" customHeight="false" outlineLevel="0" collapsed="false">
      <c r="A1835" s="5" t="s">
        <v>693</v>
      </c>
      <c r="B1835" s="0" t="s">
        <v>52</v>
      </c>
      <c r="G1835" s="13" t="n">
        <f aca="false">Sens!$G$1831/Sens!$D$1831-1</f>
        <v>0.140854504918937</v>
      </c>
      <c r="H1835" s="13" t="n">
        <f aca="false">Sens!$H$1831/Sens!$G$1831-1</f>
        <v>0.152063789793209</v>
      </c>
      <c r="I1835" s="13" t="n">
        <f aca="false">Sens!$I$1831/Sens!$H$1831-1</f>
        <v>0.134273264437417</v>
      </c>
      <c r="J1835" s="13" t="n">
        <f aca="false">Sens!$J$1831/Sens!$I$1831-1</f>
        <v>0.113310421234083</v>
      </c>
      <c r="K1835" s="13" t="n">
        <f aca="false">Sens!$K$1831/Sens!$J$1831-1</f>
        <v>0.0892108343223652</v>
      </c>
      <c r="L1835" s="13" t="n">
        <f aca="false">Sens!$L$1831/Sens!$K$1831-1</f>
        <v>0.076471362444261</v>
      </c>
      <c r="M1835" s="13" t="n">
        <f aca="false">Sens!$M$1831/Sens!$L$1831-1</f>
        <v>0.066250060256672</v>
      </c>
    </row>
    <row r="1836" customFormat="false" ht="17.15" hidden="false" customHeight="false" outlineLevel="0" collapsed="false">
      <c r="A1836" s="0" t="s">
        <v>694</v>
      </c>
      <c r="B1836" s="0" t="s">
        <v>52</v>
      </c>
      <c r="C1836" s="13" t="n">
        <f aca="false">Sens!$C$1830/Sens!$C$1831</f>
        <v>0.168593906504964</v>
      </c>
      <c r="D1836" s="13" t="n">
        <f aca="false">Sens!$D$1830/Sens!$D$1831</f>
        <v>0.179551807444025</v>
      </c>
      <c r="E1836" s="13" t="n">
        <f aca="false">Sens!$E$1830/Sens!$E$1831</f>
        <v>0.208881910369643</v>
      </c>
      <c r="F1836" s="13" t="n">
        <f aca="false">Sens!$F$1830/Sens!$F$1831</f>
        <v>0.199028269699356</v>
      </c>
      <c r="G1836" s="13" t="n">
        <f aca="false">Sens!$G$1830/Sens!$G$1831</f>
        <v>0.203631882529968</v>
      </c>
      <c r="H1836" s="13" t="n">
        <f aca="false">Sens!$H$1830/Sens!$H$1831</f>
        <v>0.234731715958496</v>
      </c>
      <c r="I1836" s="13" t="n">
        <f aca="false">Sens!$I$1830/Sens!$I$1831</f>
        <v>0.262231204480418</v>
      </c>
      <c r="J1836" s="13" t="n">
        <f aca="false">Sens!$J$1830/Sens!$J$1831</f>
        <v>0.284728366013706</v>
      </c>
      <c r="K1836" s="13" t="n">
        <f aca="false">Sens!$K$1830/Sens!$K$1831</f>
        <v>0.300823304959505</v>
      </c>
      <c r="L1836" s="13" t="n">
        <f aca="false">Sens!$L$1830/Sens!$L$1831</f>
        <v>0.308263164529735</v>
      </c>
      <c r="M1836" s="13" t="n">
        <f aca="false">Sens!$M$1830/Sens!$M$1831</f>
        <v>0.308856517936036</v>
      </c>
      <c r="N1836" s="13" t="n">
        <f aca="false">Sens!$N$1830/Sens!$N$1831</f>
        <v>0.185979484737251</v>
      </c>
      <c r="O1836" s="13" t="n">
        <f aca="false">Sens!$O$1830/Sens!$O$1831</f>
        <v>0.174270432341096</v>
      </c>
    </row>
    <row r="1837" customFormat="false" ht="17.15" hidden="false" customHeight="false" outlineLevel="0" collapsed="false">
      <c r="A1837" s="0" t="s">
        <v>695</v>
      </c>
      <c r="B1837" s="0" t="s">
        <v>52</v>
      </c>
      <c r="C1837" s="13" t="n">
        <f aca="false">Sens!$C$1828/Sens!$C$1830</f>
        <v>0.0215795060896058</v>
      </c>
      <c r="D1837" s="13" t="n">
        <f aca="false">Sens!$D$1828/Sens!$D$1830</f>
        <v>0.0676152269462122</v>
      </c>
      <c r="E1837" s="13" t="n">
        <f aca="false">Sens!$E$1828/Sens!$E$1830</f>
        <v>0.106620641395783</v>
      </c>
      <c r="F1837" s="13" t="n">
        <f aca="false">Sens!$F$1828/Sens!$F$1830</f>
        <v>0.172523487401099</v>
      </c>
      <c r="G1837" s="13" t="n">
        <f aca="false">Sens!$G$1828/Sens!$G$1830</f>
        <v>0.140939911795589</v>
      </c>
      <c r="H1837" s="13" t="n">
        <f aca="false">Sens!$H$1828/Sens!$H$1830</f>
        <v>0.272018642937714</v>
      </c>
      <c r="I1837" s="13" t="n">
        <f aca="false">Sens!$I$1828/Sens!$I$1830</f>
        <v>0.362159512436497</v>
      </c>
      <c r="J1837" s="13" t="n">
        <f aca="false">Sens!$J$1828/Sens!$J$1830</f>
        <v>0.422151735934609</v>
      </c>
      <c r="K1837" s="13" t="n">
        <f aca="false">Sens!$K$1828/Sens!$K$1830</f>
        <v>0.45769342068485</v>
      </c>
      <c r="L1837" s="13" t="n">
        <f aca="false">Sens!$L$1828/Sens!$L$1830</f>
        <v>0.469047103913472</v>
      </c>
      <c r="M1837" s="13" t="n">
        <f aca="false">Sens!$M$1828/Sens!$M$1830</f>
        <v>0.463233328258093</v>
      </c>
      <c r="N1837" s="13" t="n">
        <f aca="false">Sens!$N$1828/Sens!$N$1830</f>
        <v>0.0506537999838362</v>
      </c>
      <c r="O1837" s="13" t="n">
        <f aca="false">Sens!$O$1828/Sens!$O$1830</f>
        <v>0.0824881615167056</v>
      </c>
    </row>
    <row r="1840" customFormat="false" ht="19.4" hidden="false" customHeight="false" outlineLevel="0" collapsed="false">
      <c r="A1840" s="31" t="s">
        <v>1164</v>
      </c>
    </row>
    <row r="1841" customFormat="false" ht="17.15" hidden="false" customHeight="false" outlineLevel="0" collapsed="false">
      <c r="A1841" s="6" t="s">
        <v>16</v>
      </c>
      <c r="B1841" s="6" t="s">
        <v>17</v>
      </c>
      <c r="C1841" s="20" t="s">
        <v>494</v>
      </c>
      <c r="D1841" s="20" t="s">
        <v>495</v>
      </c>
      <c r="E1841" s="20" t="s">
        <v>577</v>
      </c>
      <c r="F1841" s="20" t="s">
        <v>578</v>
      </c>
      <c r="G1841" s="20" t="s">
        <v>579</v>
      </c>
      <c r="H1841" s="20" t="s">
        <v>580</v>
      </c>
      <c r="I1841" s="20" t="s">
        <v>581</v>
      </c>
      <c r="J1841" s="20" t="s">
        <v>582</v>
      </c>
      <c r="K1841" s="20" t="s">
        <v>583</v>
      </c>
      <c r="L1841" s="20" t="s">
        <v>584</v>
      </c>
      <c r="M1841" s="20" t="s">
        <v>585</v>
      </c>
      <c r="N1841" s="20" t="s">
        <v>586</v>
      </c>
      <c r="O1841" s="20" t="s">
        <v>587</v>
      </c>
      <c r="P1841" s="6" t="s">
        <v>23</v>
      </c>
      <c r="R1841" s="20" t="n">
        <v>2023</v>
      </c>
      <c r="S1841" s="20" t="n">
        <v>2024</v>
      </c>
      <c r="T1841" s="20" t="n">
        <v>2025</v>
      </c>
      <c r="U1841" s="20" t="n">
        <v>2026</v>
      </c>
      <c r="V1841" s="20" t="n">
        <v>2027</v>
      </c>
      <c r="W1841" s="20" t="n">
        <v>2028</v>
      </c>
      <c r="X1841" s="20" t="n">
        <v>2029</v>
      </c>
      <c r="Y1841" s="20" t="n">
        <v>2030</v>
      </c>
      <c r="Z1841" s="20" t="n">
        <v>2031</v>
      </c>
      <c r="AA1841" s="20" t="n">
        <v>2032</v>
      </c>
    </row>
    <row r="1842" customFormat="false" ht="17.15" hidden="false" customHeight="false" outlineLevel="0" collapsed="false">
      <c r="A1842" s="1" t="s">
        <v>710</v>
      </c>
    </row>
    <row r="1843" customFormat="false" ht="15" hidden="false" customHeight="false" outlineLevel="0" collapsed="false">
      <c r="A1843" s="0" t="s">
        <v>516</v>
      </c>
      <c r="B1843" s="0" t="s">
        <v>86</v>
      </c>
      <c r="C1843" s="38" t="n">
        <f aca="false">Sens!$C$1750</f>
        <v>247.029</v>
      </c>
      <c r="D1843" s="38" t="n">
        <f aca="false">Sens!$D$1750</f>
        <v>269.287</v>
      </c>
      <c r="E1843" s="38" t="n">
        <f aca="false">Sens!$E$1750</f>
        <v>134.686</v>
      </c>
      <c r="F1843" s="38" t="n">
        <f aca="false">Sens!$F$1750</f>
        <v>158.293876822267</v>
      </c>
      <c r="G1843" s="38" t="n">
        <f aca="false">Sens!$G$1750</f>
        <v>292.979876822267</v>
      </c>
      <c r="H1843" s="38" t="n">
        <f aca="false">Sens!$H$1750</f>
        <v>318.184543087396</v>
      </c>
      <c r="I1843" s="38" t="n">
        <f aca="false">Sens!$I$1750</f>
        <v>341.736278761793</v>
      </c>
      <c r="J1843" s="38" t="n">
        <f aca="false">Sens!$J$1750</f>
        <v>362.927192787048</v>
      </c>
      <c r="K1843" s="38" t="n">
        <f aca="false">Sens!$K$1750</f>
        <v>381.0735524264</v>
      </c>
      <c r="L1843" s="38" t="n">
        <f aca="false">Sens!$L$1750</f>
        <v>400.12723004772</v>
      </c>
      <c r="M1843" s="38" t="n">
        <f aca="false">Sens!$M$1750</f>
        <v>420.133591550106</v>
      </c>
      <c r="N1843" s="38" t="n">
        <f aca="false">Sens!$N$1750</f>
        <v>118.892</v>
      </c>
      <c r="O1843" s="38" t="n">
        <f aca="false">Sens!$O$1750</f>
        <v>150.395</v>
      </c>
    </row>
    <row r="1844" customFormat="false" ht="15" hidden="false" customHeight="false" outlineLevel="0" collapsed="false">
      <c r="A1844" s="0" t="s">
        <v>517</v>
      </c>
      <c r="B1844" s="0" t="s">
        <v>86</v>
      </c>
      <c r="C1844" s="38" t="n">
        <f aca="false">Sens!$C$1752</f>
        <v>21.215</v>
      </c>
      <c r="D1844" s="38" t="n">
        <f aca="false">Sens!$D$1752</f>
        <v>22.561</v>
      </c>
      <c r="E1844" s="38" t="n">
        <f aca="false">Sens!$E$1752</f>
        <v>11.579</v>
      </c>
      <c r="F1844" s="38" t="n">
        <f aca="false">Sens!$F$1752</f>
        <v>11.5938724610325</v>
      </c>
      <c r="G1844" s="38" t="n">
        <f aca="false">Sens!$G$1752</f>
        <v>23.1728724610325</v>
      </c>
      <c r="H1844" s="38" t="n">
        <f aca="false">Sens!$H$1752</f>
        <v>24.353392759506</v>
      </c>
      <c r="I1844" s="38" t="n">
        <f aca="false">Sens!$I$1752</f>
        <v>25.4240338872015</v>
      </c>
      <c r="J1844" s="38" t="n">
        <f aca="false">Sens!$J$1752</f>
        <v>26.3642491017174</v>
      </c>
      <c r="K1844" s="38" t="n">
        <f aca="false">Sens!$K$1752</f>
        <v>27.155176574769</v>
      </c>
      <c r="L1844" s="38" t="n">
        <f aca="false">Sens!$L$1752</f>
        <v>27.969831872012</v>
      </c>
      <c r="M1844" s="38" t="n">
        <f aca="false">Sens!$M$1752</f>
        <v>28.8089268281724</v>
      </c>
      <c r="N1844" s="38" t="n">
        <f aca="false">Sens!$N$1752</f>
        <v>11.128</v>
      </c>
      <c r="O1844" s="38" t="n">
        <f aca="false">Sens!$O$1752</f>
        <v>11.433</v>
      </c>
    </row>
    <row r="1845" customFormat="false" ht="15" hidden="false" customHeight="false" outlineLevel="0" collapsed="false">
      <c r="A1845" s="0" t="s">
        <v>518</v>
      </c>
      <c r="B1845" s="0" t="s">
        <v>86</v>
      </c>
      <c r="C1845" s="38" t="n">
        <f aca="false">Sens!$C$1754</f>
        <v>156.146</v>
      </c>
      <c r="D1845" s="38" t="n">
        <f aca="false">Sens!$D$1754</f>
        <v>172.162</v>
      </c>
      <c r="E1845" s="38" t="n">
        <f aca="false">Sens!$E$1754</f>
        <v>88.358</v>
      </c>
      <c r="F1845" s="38" t="n">
        <f aca="false">Sens!$F$1754</f>
        <v>102.004388260171</v>
      </c>
      <c r="G1845" s="38" t="n">
        <f aca="false">Sens!$G$1754</f>
        <v>190.362388260171</v>
      </c>
      <c r="H1845" s="38" t="n">
        <f aca="false">Sens!$H$1754</f>
        <v>210.343106588311</v>
      </c>
      <c r="I1845" s="38" t="n">
        <f aca="false">Sens!$I$1754</f>
        <v>229.969728494648</v>
      </c>
      <c r="J1845" s="38" t="n">
        <f aca="false">Sens!$J$1754</f>
        <v>248.747636972598</v>
      </c>
      <c r="K1845" s="38" t="n">
        <f aca="false">Sens!$K$1754</f>
        <v>266.15997156068</v>
      </c>
      <c r="L1845" s="38" t="n">
        <f aca="false">Sens!$L$1754</f>
        <v>284.791169569927</v>
      </c>
      <c r="M1845" s="38" t="n">
        <f aca="false">Sens!$M$1754</f>
        <v>304.726551439822</v>
      </c>
      <c r="N1845" s="38" t="n">
        <f aca="false">Sens!$N$1754</f>
        <v>76.86</v>
      </c>
      <c r="O1845" s="38" t="n">
        <f aca="false">Sens!$O$1754</f>
        <v>95.302</v>
      </c>
    </row>
    <row r="1846" customFormat="false" ht="15" hidden="false" customHeight="false" outlineLevel="0" collapsed="false">
      <c r="A1846" s="0" t="s">
        <v>519</v>
      </c>
      <c r="B1846" s="0" t="s">
        <v>86</v>
      </c>
      <c r="C1846" s="38" t="n">
        <f aca="false">Sens!$C$1756</f>
        <v>56.214</v>
      </c>
      <c r="D1846" s="38" t="n">
        <f aca="false">Sens!$D$1756</f>
        <v>68.635</v>
      </c>
      <c r="E1846" s="38" t="n">
        <f aca="false">Sens!$E$1756</f>
        <v>37.052</v>
      </c>
      <c r="F1846" s="38" t="n">
        <f aca="false">Sens!$F$1756</f>
        <v>46.1572219944148</v>
      </c>
      <c r="G1846" s="38" t="n">
        <f aca="false">Sens!$G$1756</f>
        <v>83.2092219944148</v>
      </c>
      <c r="H1846" s="38" t="n">
        <f aca="false">Sens!$H$1756</f>
        <v>99.8969223878976</v>
      </c>
      <c r="I1846" s="38" t="n">
        <f aca="false">Sens!$I$1756</f>
        <v>116.583111095496</v>
      </c>
      <c r="J1846" s="38" t="n">
        <f aca="false">Sens!$J$1756</f>
        <v>132.148941941952</v>
      </c>
      <c r="K1846" s="38" t="n">
        <f aca="false">Sens!$K$1756</f>
        <v>145.363836136147</v>
      </c>
      <c r="L1846" s="38" t="n">
        <f aca="false">Sens!$L$1756</f>
        <v>159.900219749762</v>
      </c>
      <c r="M1846" s="38" t="n">
        <f aca="false">Sens!$M$1756</f>
        <v>175.890241724738</v>
      </c>
      <c r="N1846" s="38" t="n">
        <f aca="false">Sens!$N$1756</f>
        <v>29.615</v>
      </c>
      <c r="O1846" s="38" t="n">
        <f aca="false">Sens!$O$1756</f>
        <v>39.02</v>
      </c>
    </row>
    <row r="1847" customFormat="false" ht="15" hidden="false" customHeight="false" outlineLevel="0" collapsed="false">
      <c r="A1847" s="0" t="s">
        <v>520</v>
      </c>
      <c r="B1847" s="0" t="s">
        <v>86</v>
      </c>
      <c r="C1847" s="38" t="n">
        <f aca="false">Sens!$C$1758</f>
        <v>44.374</v>
      </c>
      <c r="D1847" s="38" t="n">
        <f aca="false">Sens!$D$1758</f>
        <v>49.619</v>
      </c>
      <c r="E1847" s="38" t="n">
        <f aca="false">Sens!$E$1758</f>
        <v>27.157</v>
      </c>
      <c r="F1847" s="38" t="n">
        <f aca="false">Sens!$F$1758</f>
        <v>27.7764165988154</v>
      </c>
      <c r="G1847" s="38" t="n">
        <f aca="false">Sens!$G$1758</f>
        <v>54.9334165988154</v>
      </c>
      <c r="H1847" s="38" t="n">
        <f aca="false">Sens!$H$1758</f>
        <v>61.1564112561829</v>
      </c>
      <c r="I1847" s="38" t="n">
        <f aca="false">Sens!$I$1758</f>
        <v>67.2020282103945</v>
      </c>
      <c r="J1847" s="38" t="n">
        <f aca="false">Sens!$J$1758</f>
        <v>72.8757274028885</v>
      </c>
      <c r="K1847" s="38" t="n">
        <f aca="false">Sens!$K$1758</f>
        <v>77.9770283210907</v>
      </c>
      <c r="L1847" s="38" t="n">
        <f aca="false">Sens!$L$1758</f>
        <v>83.4354203035671</v>
      </c>
      <c r="M1847" s="38" t="n">
        <f aca="false">Sens!$M$1758</f>
        <v>89.2758997248168</v>
      </c>
      <c r="N1847" s="38" t="n">
        <f aca="false">Sens!$N$1758</f>
        <v>23.923</v>
      </c>
      <c r="O1847" s="38" t="n">
        <f aca="false">Sens!$O$1758</f>
        <v>25.696</v>
      </c>
    </row>
    <row r="1848" customFormat="false" ht="15" hidden="false" customHeight="false" outlineLevel="0" collapsed="false">
      <c r="A1848" s="0" t="s">
        <v>521</v>
      </c>
      <c r="B1848" s="0" t="s">
        <v>86</v>
      </c>
      <c r="C1848" s="38" t="n">
        <f aca="false">Sens!$C$1760</f>
        <v>5.425</v>
      </c>
      <c r="D1848" s="38" t="n">
        <f aca="false">Sens!$D$1760</f>
        <v>5.935</v>
      </c>
      <c r="E1848" s="38" t="n">
        <f aca="false">Sens!$E$1760</f>
        <v>3.474</v>
      </c>
      <c r="F1848" s="38" t="n">
        <f aca="false">Sens!$F$1760</f>
        <v>3.22246550883619</v>
      </c>
      <c r="G1848" s="38" t="n">
        <f aca="false">Sens!$G$1760</f>
        <v>6.69646550883619</v>
      </c>
      <c r="H1848" s="38" t="n">
        <f aca="false">Sens!$H$1760</f>
        <v>7.16251344209196</v>
      </c>
      <c r="I1848" s="38" t="n">
        <f aca="false">Sens!$I$1760</f>
        <v>7.61421070299826</v>
      </c>
      <c r="J1848" s="38" t="n">
        <f aca="false">Sens!$J$1760</f>
        <v>8.04465753523932</v>
      </c>
      <c r="K1848" s="38" t="n">
        <f aca="false">Sens!$K$1760</f>
        <v>8.44689041200128</v>
      </c>
      <c r="L1848" s="38" t="n">
        <f aca="false">Sens!$L$1760</f>
        <v>8.86923493260135</v>
      </c>
      <c r="M1848" s="38" t="n">
        <f aca="false">Sens!$M$1760</f>
        <v>9.31269667923142</v>
      </c>
      <c r="N1848" s="38" t="n">
        <f aca="false">Sens!$N$1760</f>
        <v>2.811</v>
      </c>
      <c r="O1848" s="38" t="n">
        <f aca="false">Sens!$O$1760</f>
        <v>3.124</v>
      </c>
    </row>
    <row r="1849" customFormat="false" ht="17.15" hidden="false" customHeight="false" outlineLevel="0" collapsed="false">
      <c r="A1849" s="0" t="s">
        <v>711</v>
      </c>
      <c r="B1849" s="0" t="s">
        <v>86</v>
      </c>
      <c r="C1849" s="38" t="n">
        <f aca="false">Sens!$C$1830</f>
        <v>107.556</v>
      </c>
      <c r="D1849" s="38" t="n">
        <f aca="false">Sens!$D$1830</f>
        <v>128.725</v>
      </c>
      <c r="E1849" s="38" t="n">
        <f aca="false">Sens!$E$1830</f>
        <v>79.819</v>
      </c>
      <c r="F1849" s="38" t="n">
        <f aca="false">Sens!$F$1830</f>
        <v>86.7327334389669</v>
      </c>
      <c r="G1849" s="38" t="n">
        <f aca="false">Sens!$G$1830</f>
        <v>166.551733438967</v>
      </c>
      <c r="H1849" s="38" t="n">
        <f aca="false">Sens!$H$1830</f>
        <v>221.182967828978</v>
      </c>
      <c r="I1849" s="38" t="n">
        <f aca="false">Sens!$I$1830</f>
        <v>280.27345865789</v>
      </c>
      <c r="J1849" s="38" t="n">
        <f aca="false">Sens!$J$1830</f>
        <v>338.800945197185</v>
      </c>
      <c r="K1849" s="38" t="n">
        <f aca="false">Sens!$K$1830</f>
        <v>389.88570147276</v>
      </c>
      <c r="L1849" s="38" t="n">
        <f aca="false">Sens!$L$1830</f>
        <v>430.080689379143</v>
      </c>
      <c r="M1849" s="38" t="n">
        <f aca="false">Sens!$M$1830</f>
        <v>459.456235951751</v>
      </c>
      <c r="N1849" s="38" t="n">
        <f aca="false">Sens!$N$1830</f>
        <v>60.14</v>
      </c>
      <c r="O1849" s="38" t="n">
        <f aca="false">Sens!$O$1830</f>
        <v>68.585</v>
      </c>
    </row>
    <row r="1850" customFormat="false" ht="15" hidden="false" customHeight="false" outlineLevel="0" collapsed="false">
      <c r="A1850" s="1" t="s">
        <v>509</v>
      </c>
      <c r="B1850" s="8" t="s">
        <v>86</v>
      </c>
      <c r="C1850" s="38" t="n">
        <f aca="false">Sens!$C$1765</f>
        <v>387.497</v>
      </c>
      <c r="D1850" s="38" t="n">
        <f aca="false">Sens!$D$1765</f>
        <v>426.305</v>
      </c>
      <c r="E1850" s="38" t="n">
        <f aca="false">Sens!$E$1765</f>
        <v>220.32</v>
      </c>
      <c r="F1850" s="38" t="n">
        <f aca="false">Sens!$F$1765</f>
        <v>250.639773480586</v>
      </c>
      <c r="G1850" s="38" t="n">
        <f aca="false">Sens!$G$1765</f>
        <v>470.959773480586</v>
      </c>
      <c r="H1850" s="38" t="n">
        <f aca="false">Sens!$H$1765</f>
        <v>521.386990416437</v>
      </c>
      <c r="I1850" s="38" t="n">
        <f aca="false">Sens!$I$1765</f>
        <v>570.143862887555</v>
      </c>
      <c r="J1850" s="38" t="n">
        <f aca="false">Sens!$J$1765</f>
        <v>615.391435791933</v>
      </c>
      <c r="K1850" s="38" t="n">
        <f aca="false">Sens!$K$1765</f>
        <v>655.208227561543</v>
      </c>
      <c r="L1850" s="38" t="n">
        <f aca="false">Sens!$L$1765</f>
        <v>697.807739249767</v>
      </c>
      <c r="M1850" s="38" t="n">
        <f aca="false">Sens!$M$1765</f>
        <v>743.399328463592</v>
      </c>
      <c r="N1850" s="38" t="n">
        <f aca="false">Sens!$N$1765</f>
        <v>192.955</v>
      </c>
      <c r="O1850" s="38" t="n">
        <f aca="false">Sens!$O$1765</f>
        <v>233.35</v>
      </c>
    </row>
    <row r="1851" customFormat="false" ht="15" hidden="false" customHeight="false" outlineLevel="0" collapsed="false">
      <c r="A1851" s="1" t="s">
        <v>512</v>
      </c>
      <c r="B1851" s="8" t="s">
        <v>86</v>
      </c>
      <c r="C1851" s="38" t="n">
        <f aca="false">Sens!$C$1766</f>
        <v>142.906</v>
      </c>
      <c r="D1851" s="38" t="n">
        <f aca="false">Sens!$D$1766</f>
        <v>161.894</v>
      </c>
      <c r="E1851" s="38" t="n">
        <f aca="false">Sens!$E$1766</f>
        <v>81.986</v>
      </c>
      <c r="F1851" s="38" t="n">
        <f aca="false">Sens!$F$1766</f>
        <v>98.408468164951</v>
      </c>
      <c r="G1851" s="38" t="n">
        <f aca="false">Sens!$G$1766</f>
        <v>180.394468164951</v>
      </c>
      <c r="H1851" s="38" t="n">
        <f aca="false">Sens!$H$1766</f>
        <v>199.709899104949</v>
      </c>
      <c r="I1851" s="38" t="n">
        <f aca="false">Sens!$I$1766</f>
        <v>218.385528264976</v>
      </c>
      <c r="J1851" s="38" t="n">
        <f aca="false">Sens!$J$1766</f>
        <v>235.71696994951</v>
      </c>
      <c r="K1851" s="38" t="n">
        <f aca="false">Sens!$K$1766</f>
        <v>250.968227869545</v>
      </c>
      <c r="L1851" s="38" t="n">
        <f aca="false">Sens!$L$1766</f>
        <v>267.285367225822</v>
      </c>
      <c r="M1851" s="38" t="n">
        <f aca="false">Sens!$M$1766</f>
        <v>284.748579483295</v>
      </c>
      <c r="N1851" s="38" t="n">
        <f aca="false">Sens!$N$1766</f>
        <v>70.274</v>
      </c>
      <c r="O1851" s="38" t="n">
        <f aca="false">Sens!$O$1766</f>
        <v>91.62</v>
      </c>
    </row>
    <row r="1852" customFormat="false" ht="15" hidden="false" customHeight="false" outlineLevel="0" collapsed="false">
      <c r="A1852" s="1" t="s">
        <v>513</v>
      </c>
      <c r="B1852" s="8" t="s">
        <v>86</v>
      </c>
      <c r="C1852" s="38" t="n">
        <f aca="false">Sens!$C$1830</f>
        <v>107.556</v>
      </c>
      <c r="D1852" s="38" t="n">
        <f aca="false">Sens!$D$1830</f>
        <v>128.725</v>
      </c>
      <c r="E1852" s="38" t="n">
        <f aca="false">Sens!$E$1830</f>
        <v>79.819</v>
      </c>
      <c r="F1852" s="38" t="n">
        <f aca="false">Sens!$F$1830</f>
        <v>86.7327334389669</v>
      </c>
      <c r="G1852" s="38" t="n">
        <f aca="false">Sens!$G$1830</f>
        <v>166.551733438967</v>
      </c>
      <c r="H1852" s="38" t="n">
        <f aca="false">Sens!$H$1830</f>
        <v>221.182967828978</v>
      </c>
      <c r="I1852" s="38" t="n">
        <f aca="false">Sens!$I$1830</f>
        <v>280.27345865789</v>
      </c>
      <c r="J1852" s="38" t="n">
        <f aca="false">Sens!$J$1830</f>
        <v>338.800945197185</v>
      </c>
      <c r="K1852" s="38" t="n">
        <f aca="false">Sens!$K$1830</f>
        <v>389.88570147276</v>
      </c>
      <c r="L1852" s="38" t="n">
        <f aca="false">Sens!$L$1830</f>
        <v>430.080689379143</v>
      </c>
      <c r="M1852" s="38" t="n">
        <f aca="false">Sens!$M$1830</f>
        <v>459.456235951751</v>
      </c>
      <c r="N1852" s="38" t="n">
        <f aca="false">Sens!$N$1830</f>
        <v>60.14</v>
      </c>
      <c r="O1852" s="38" t="n">
        <f aca="false">Sens!$O$1830</f>
        <v>68.585</v>
      </c>
    </row>
    <row r="1853" customFormat="false" ht="17.15" hidden="false" customHeight="false" outlineLevel="0" collapsed="false">
      <c r="A1853" s="0" t="s">
        <v>685</v>
      </c>
      <c r="B1853" s="0" t="s">
        <v>86</v>
      </c>
      <c r="C1853" s="38" t="n">
        <f aca="false">Sens!$C$1828</f>
        <v>2.32100535697364</v>
      </c>
      <c r="D1853" s="38" t="n">
        <f aca="false">Sens!$D$1828</f>
        <v>8.70377008865116</v>
      </c>
      <c r="E1853" s="38" t="n">
        <f aca="false">Sens!$E$1828</f>
        <v>8.51035297557002</v>
      </c>
      <c r="F1853" s="38" t="n">
        <f aca="false">Sens!$F$1828</f>
        <v>14.9634336447205</v>
      </c>
      <c r="G1853" s="38" t="n">
        <f aca="false">Sens!$G$1828</f>
        <v>23.4737866202905</v>
      </c>
      <c r="H1853" s="38" t="n">
        <f aca="false">Sens!$H$1828</f>
        <v>60.1658907497746</v>
      </c>
      <c r="I1853" s="38" t="n">
        <f aca="false">Sens!$I$1828</f>
        <v>101.503699136432</v>
      </c>
      <c r="J1853" s="38" t="n">
        <f aca="false">Sens!$J$1828</f>
        <v>143.025407151278</v>
      </c>
      <c r="K1853" s="38" t="n">
        <f aca="false">Sens!$K$1828</f>
        <v>178.44812038318</v>
      </c>
      <c r="L1853" s="38" t="n">
        <f aca="false">Sens!$L$1828</f>
        <v>201.728101802396</v>
      </c>
      <c r="M1853" s="38" t="n">
        <f aca="false">Sens!$M$1828</f>
        <v>212.835441368865</v>
      </c>
      <c r="N1853" s="38" t="n">
        <f aca="false">Sens!$N$1828</f>
        <v>3.04631953102791</v>
      </c>
      <c r="O1853" s="38" t="n">
        <f aca="false">Sens!$O$1828</f>
        <v>5.65745055762326</v>
      </c>
    </row>
    <row r="1854" customFormat="false" ht="17.15" hidden="false" customHeight="false" outlineLevel="0" collapsed="false">
      <c r="A1854" s="0" t="s">
        <v>687</v>
      </c>
      <c r="B1854" s="0" t="s">
        <v>86</v>
      </c>
      <c r="C1854" s="38" t="n">
        <f aca="false">Sens!$C$1829</f>
        <v>105.234994643026</v>
      </c>
      <c r="D1854" s="38" t="n">
        <f aca="false">Sens!$D$1829</f>
        <v>120.021229911349</v>
      </c>
      <c r="E1854" s="38" t="n">
        <f aca="false">Sens!$E$1829</f>
        <v>71.30864702443</v>
      </c>
      <c r="F1854" s="38" t="n">
        <f aca="false">Sens!$F$1829</f>
        <v>71.7692997942464</v>
      </c>
      <c r="G1854" s="38" t="n">
        <f aca="false">Sens!$G$1829</f>
        <v>143.077946818676</v>
      </c>
      <c r="H1854" s="38" t="n">
        <f aca="false">Sens!$H$1829</f>
        <v>161.017077079203</v>
      </c>
      <c r="I1854" s="38" t="n">
        <f aca="false">Sens!$I$1829</f>
        <v>178.769759521457</v>
      </c>
      <c r="J1854" s="38" t="n">
        <f aca="false">Sens!$J$1829</f>
        <v>195.775538045907</v>
      </c>
      <c r="K1854" s="38" t="n">
        <f aca="false">Sens!$K$1829</f>
        <v>211.43758108958</v>
      </c>
      <c r="L1854" s="38" t="n">
        <f aca="false">Sens!$L$1829</f>
        <v>228.352587576746</v>
      </c>
      <c r="M1854" s="38" t="n">
        <f aca="false">Sens!$M$1829</f>
        <v>246.620794582886</v>
      </c>
      <c r="N1854" s="38" t="n">
        <f aca="false">Sens!$N$1829</f>
        <v>57.0936804689721</v>
      </c>
      <c r="O1854" s="38" t="n">
        <f aca="false">Sens!$O$1829</f>
        <v>62.9275494423768</v>
      </c>
    </row>
    <row r="1855" customFormat="false" ht="15" hidden="false" customHeight="false" outlineLevel="0" collapsed="false">
      <c r="A1855" s="3" t="s">
        <v>514</v>
      </c>
      <c r="B1855" s="8" t="s">
        <v>86</v>
      </c>
      <c r="C1855" s="38" t="n">
        <f aca="false">Sens!$C$1831</f>
        <v>637.959</v>
      </c>
      <c r="D1855" s="38" t="n">
        <f aca="false">Sens!$D$1831</f>
        <v>716.924</v>
      </c>
      <c r="E1855" s="38" t="n">
        <f aca="false">Sens!$E$1831</f>
        <v>382.125</v>
      </c>
      <c r="F1855" s="38" t="n">
        <f aca="false">Sens!$F$1831</f>
        <v>435.780975084504</v>
      </c>
      <c r="G1855" s="38" t="n">
        <f aca="false">Sens!$G$1831</f>
        <v>817.905975084504</v>
      </c>
      <c r="H1855" s="38" t="n">
        <f aca="false">Sens!$H$1831</f>
        <v>942.279857350364</v>
      </c>
      <c r="I1855" s="38" t="n">
        <f aca="false">Sens!$I$1831</f>
        <v>1068.80284981042</v>
      </c>
      <c r="J1855" s="38" t="n">
        <f aca="false">Sens!$J$1831</f>
        <v>1189.90935093863</v>
      </c>
      <c r="K1855" s="38" t="n">
        <f aca="false">Sens!$K$1831</f>
        <v>1296.06215690385</v>
      </c>
      <c r="L1855" s="38" t="n">
        <f aca="false">Sens!$L$1831</f>
        <v>1395.17379585473</v>
      </c>
      <c r="M1855" s="38" t="n">
        <f aca="false">Sens!$M$1831</f>
        <v>1487.60414389864</v>
      </c>
      <c r="N1855" s="38" t="n">
        <f aca="false">Sens!$N$1831</f>
        <v>323.369</v>
      </c>
      <c r="O1855" s="38" t="n">
        <f aca="false">Sens!$O$1831</f>
        <v>393.555</v>
      </c>
    </row>
    <row r="1856" customFormat="false" ht="17.15" hidden="false" customHeight="false" outlineLevel="0" collapsed="false">
      <c r="A1856" s="24" t="s">
        <v>697</v>
      </c>
      <c r="B1856" s="25" t="s">
        <v>86</v>
      </c>
      <c r="C1856" s="41" t="n">
        <f aca="false">Sens!$C$1843+Sens!$C$1844+Sens!$C$1845+Sens!$C$1846+Sens!$C$1847+Sens!$C$1848-(Sens!$C$1850+Sens!$C$1851)</f>
        <v>0</v>
      </c>
      <c r="D1856" s="41" t="n">
        <f aca="false">Sens!$D$1843+Sens!$D$1844+Sens!$D$1845+Sens!$D$1846+Sens!$D$1847+Sens!$D$1848-(Sens!$D$1850+Sens!$D$1851)</f>
        <v>0</v>
      </c>
      <c r="E1856" s="41" t="n">
        <f aca="false">Sens!$E$1843+Sens!$E$1844+Sens!$E$1845+Sens!$E$1846+Sens!$E$1847+Sens!$E$1848-(Sens!$E$1850+Sens!$E$1851)</f>
        <v>0</v>
      </c>
      <c r="F1856" s="41" t="n">
        <f aca="false">Sens!$F$1843+Sens!$F$1844+Sens!$F$1845+Sens!$F$1846+Sens!$F$1847+Sens!$F$1848-(Sens!$F$1850+Sens!$F$1851)</f>
        <v>0</v>
      </c>
      <c r="G1856" s="41" t="n">
        <f aca="false">Sens!$G$1843+Sens!$G$1844+Sens!$G$1845+Sens!$G$1846+Sens!$G$1847+Sens!$G$1848-(Sens!$G$1850+Sens!$G$1851)</f>
        <v>0</v>
      </c>
      <c r="H1856" s="41" t="n">
        <f aca="false">Sens!$H$1843+Sens!$H$1844+Sens!$H$1845+Sens!$H$1846+Sens!$H$1847+Sens!$H$1848-(Sens!$H$1850+Sens!$H$1851)</f>
        <v>0</v>
      </c>
      <c r="I1856" s="41" t="n">
        <f aca="false">Sens!$I$1843+Sens!$I$1844+Sens!$I$1845+Sens!$I$1846+Sens!$I$1847+Sens!$I$1848-(Sens!$I$1850+Sens!$I$1851)</f>
        <v>0</v>
      </c>
      <c r="J1856" s="41" t="n">
        <f aca="false">Sens!$J$1843+Sens!$J$1844+Sens!$J$1845+Sens!$J$1846+Sens!$J$1847+Sens!$J$1848-(Sens!$J$1850+Sens!$J$1851)</f>
        <v>0</v>
      </c>
      <c r="K1856" s="41" t="n">
        <f aca="false">Sens!$K$1843+Sens!$K$1844+Sens!$K$1845+Sens!$K$1846+Sens!$K$1847+Sens!$K$1848-(Sens!$K$1850+Sens!$K$1851)</f>
        <v>0</v>
      </c>
      <c r="L1856" s="41" t="n">
        <f aca="false">Sens!$L$1843+Sens!$L$1844+Sens!$L$1845+Sens!$L$1846+Sens!$L$1847+Sens!$L$1848-(Sens!$L$1850+Sens!$L$1851)</f>
        <v>0</v>
      </c>
      <c r="M1856" s="41" t="n">
        <f aca="false">Sens!$M$1843+Sens!$M$1844+Sens!$M$1845+Sens!$M$1846+Sens!$M$1847+Sens!$M$1848-(Sens!$M$1850+Sens!$M$1851)</f>
        <v>0</v>
      </c>
      <c r="N1856" s="41" t="n">
        <f aca="false">Sens!$N$1843+Sens!$N$1844+Sens!$N$1845+Sens!$N$1846+Sens!$N$1847+Sens!$N$1848-(Sens!$N$1850+Sens!$N$1851)</f>
        <v>0</v>
      </c>
      <c r="O1856" s="41" t="n">
        <f aca="false">Sens!$O$1843+Sens!$O$1844+Sens!$O$1845+Sens!$O$1846+Sens!$O$1847+Sens!$O$1848-(Sens!$O$1850+Sens!$O$1851)</f>
        <v>0</v>
      </c>
    </row>
    <row r="1857" customFormat="false" ht="17.15" hidden="false" customHeight="false" outlineLevel="0" collapsed="false">
      <c r="A1857" s="24" t="s">
        <v>698</v>
      </c>
      <c r="B1857" s="25" t="s">
        <v>86</v>
      </c>
      <c r="C1857" s="41" t="n">
        <f aca="false">Sens!$C$1853+Sens!$C$1854-Sens!$C$1852</f>
        <v>0</v>
      </c>
      <c r="D1857" s="41" t="n">
        <f aca="false">Sens!$D$1853+Sens!$D$1854-Sens!$D$1852</f>
        <v>0</v>
      </c>
      <c r="E1857" s="41" t="n">
        <f aca="false">Sens!$E$1853+Sens!$E$1854-Sens!$E$1852</f>
        <v>0</v>
      </c>
      <c r="F1857" s="41" t="n">
        <f aca="false">Sens!$F$1853+Sens!$F$1854-Sens!$F$1852</f>
        <v>0</v>
      </c>
      <c r="G1857" s="41" t="n">
        <f aca="false">Sens!$G$1853+Sens!$G$1854-Sens!$G$1852</f>
        <v>0</v>
      </c>
      <c r="H1857" s="41" t="n">
        <f aca="false">Sens!$H$1853+Sens!$H$1854-Sens!$H$1852</f>
        <v>0</v>
      </c>
      <c r="I1857" s="41" t="n">
        <f aca="false">Sens!$I$1853+Sens!$I$1854-Sens!$I$1852</f>
        <v>0</v>
      </c>
      <c r="J1857" s="41" t="n">
        <f aca="false">Sens!$J$1853+Sens!$J$1854-Sens!$J$1852</f>
        <v>0</v>
      </c>
      <c r="K1857" s="41" t="n">
        <f aca="false">Sens!$K$1853+Sens!$K$1854-Sens!$K$1852</f>
        <v>0</v>
      </c>
      <c r="L1857" s="41" t="n">
        <f aca="false">Sens!$L$1853+Sens!$L$1854-Sens!$L$1852</f>
        <v>0</v>
      </c>
      <c r="M1857" s="41" t="n">
        <f aca="false">Sens!$M$1853+Sens!$M$1854-Sens!$M$1852</f>
        <v>0</v>
      </c>
      <c r="N1857" s="41" t="n">
        <f aca="false">Sens!$N$1853+Sens!$N$1854-Sens!$N$1852</f>
        <v>0</v>
      </c>
      <c r="O1857" s="41" t="n">
        <f aca="false">Sens!$O$1853+Sens!$O$1854-Sens!$O$1852</f>
        <v>0</v>
      </c>
    </row>
    <row r="1858" customFormat="false" ht="17.15" hidden="false" customHeight="false" outlineLevel="0" collapsed="false">
      <c r="A1858" s="24" t="s">
        <v>757</v>
      </c>
      <c r="B1858" s="25" t="s">
        <v>86</v>
      </c>
      <c r="C1858" s="41" t="n">
        <f aca="false">Sens!$C$1843+Sens!$C$1844+Sens!$C$1845+Sens!$C$1846+Sens!$C$1847+Sens!$C$1848+Sens!$C$1849-Sens!$C$1855</f>
        <v>0</v>
      </c>
      <c r="D1858" s="41" t="n">
        <f aca="false">Sens!$D$1843+Sens!$D$1844+Sens!$D$1845+Sens!$D$1846+Sens!$D$1847+Sens!$D$1848+Sens!$D$1849-Sens!$D$1855</f>
        <v>0</v>
      </c>
      <c r="E1858" s="41" t="n">
        <f aca="false">Sens!$E$1843+Sens!$E$1844+Sens!$E$1845+Sens!$E$1846+Sens!$E$1847+Sens!$E$1848+Sens!$E$1849-Sens!$E$1855</f>
        <v>0</v>
      </c>
      <c r="F1858" s="41" t="n">
        <f aca="false">Sens!$F$1843+Sens!$F$1844+Sens!$F$1845+Sens!$F$1846+Sens!$F$1847+Sens!$F$1848+Sens!$F$1849-Sens!$F$1855</f>
        <v>0</v>
      </c>
      <c r="G1858" s="41" t="n">
        <f aca="false">Sens!$G$1843+Sens!$G$1844+Sens!$G$1845+Sens!$G$1846+Sens!$G$1847+Sens!$G$1848+Sens!$G$1849-Sens!$G$1855</f>
        <v>0</v>
      </c>
      <c r="H1858" s="41" t="n">
        <f aca="false">Sens!$H$1843+Sens!$H$1844+Sens!$H$1845+Sens!$H$1846+Sens!$H$1847+Sens!$H$1848+Sens!$H$1849-Sens!$H$1855</f>
        <v>0</v>
      </c>
      <c r="I1858" s="41" t="n">
        <f aca="false">Sens!$I$1843+Sens!$I$1844+Sens!$I$1845+Sens!$I$1846+Sens!$I$1847+Sens!$I$1848+Sens!$I$1849-Sens!$I$1855</f>
        <v>0</v>
      </c>
      <c r="J1858" s="41" t="n">
        <f aca="false">Sens!$J$1843+Sens!$J$1844+Sens!$J$1845+Sens!$J$1846+Sens!$J$1847+Sens!$J$1848+Sens!$J$1849-Sens!$J$1855</f>
        <v>0</v>
      </c>
      <c r="K1858" s="41" t="n">
        <f aca="false">Sens!$K$1843+Sens!$K$1844+Sens!$K$1845+Sens!$K$1846+Sens!$K$1847+Sens!$K$1848+Sens!$K$1849-Sens!$K$1855</f>
        <v>0</v>
      </c>
      <c r="L1858" s="41" t="n">
        <f aca="false">Sens!$L$1843+Sens!$L$1844+Sens!$L$1845+Sens!$L$1846+Sens!$L$1847+Sens!$L$1848+Sens!$L$1849-Sens!$L$1855</f>
        <v>0</v>
      </c>
      <c r="M1858" s="41" t="n">
        <f aca="false">Sens!$M$1843+Sens!$M$1844+Sens!$M$1845+Sens!$M$1846+Sens!$M$1847+Sens!$M$1848+Sens!$M$1849-Sens!$M$1855</f>
        <v>0</v>
      </c>
      <c r="N1858" s="41" t="n">
        <f aca="false">Sens!$N$1843+Sens!$N$1844+Sens!$N$1845+Sens!$N$1846+Sens!$N$1847+Sens!$N$1848+Sens!$N$1849-Sens!$N$1855</f>
        <v>0</v>
      </c>
      <c r="O1858" s="41" t="n">
        <f aca="false">Sens!$O$1843+Sens!$O$1844+Sens!$O$1845+Sens!$O$1846+Sens!$O$1847+Sens!$O$1848+Sens!$O$1849-Sens!$O$1855</f>
        <v>0</v>
      </c>
    </row>
    <row r="1859" customFormat="false" ht="17.15" hidden="false" customHeight="false" outlineLevel="0" collapsed="false">
      <c r="A1859" s="24" t="s">
        <v>699</v>
      </c>
      <c r="B1859" s="25" t="s">
        <v>86</v>
      </c>
      <c r="C1859" s="41" t="n">
        <f aca="false">Sens!$C$1850+Sens!$C$1851+Sens!$C$1852-Sens!$C$1855</f>
        <v>0</v>
      </c>
      <c r="D1859" s="41" t="n">
        <f aca="false">Sens!$D$1850+Sens!$D$1851+Sens!$D$1852-Sens!$D$1855</f>
        <v>0</v>
      </c>
      <c r="E1859" s="41" t="n">
        <f aca="false">Sens!$E$1850+Sens!$E$1851+Sens!$E$1852-Sens!$E$1855</f>
        <v>0</v>
      </c>
      <c r="F1859" s="41" t="n">
        <f aca="false">Sens!$F$1850+Sens!$F$1851+Sens!$F$1852-Sens!$F$1855</f>
        <v>0</v>
      </c>
      <c r="G1859" s="41" t="n">
        <f aca="false">Sens!$G$1850+Sens!$G$1851+Sens!$G$1852-Sens!$G$1855</f>
        <v>0</v>
      </c>
      <c r="H1859" s="41" t="n">
        <f aca="false">Sens!$H$1850+Sens!$H$1851+Sens!$H$1852-Sens!$H$1855</f>
        <v>0</v>
      </c>
      <c r="I1859" s="41" t="n">
        <f aca="false">Sens!$I$1850+Sens!$I$1851+Sens!$I$1852-Sens!$I$1855</f>
        <v>0</v>
      </c>
      <c r="J1859" s="41" t="n">
        <f aca="false">Sens!$J$1850+Sens!$J$1851+Sens!$J$1852-Sens!$J$1855</f>
        <v>0</v>
      </c>
      <c r="K1859" s="41" t="n">
        <f aca="false">Sens!$K$1850+Sens!$K$1851+Sens!$K$1852-Sens!$K$1855</f>
        <v>0</v>
      </c>
      <c r="L1859" s="41" t="n">
        <f aca="false">Sens!$L$1850+Sens!$L$1851+Sens!$L$1852-Sens!$L$1855</f>
        <v>0</v>
      </c>
      <c r="M1859" s="41" t="n">
        <f aca="false">Sens!$M$1850+Sens!$M$1851+Sens!$M$1852-Sens!$M$1855</f>
        <v>0</v>
      </c>
      <c r="N1859" s="41" t="n">
        <f aca="false">Sens!$N$1850+Sens!$N$1851+Sens!$N$1852-Sens!$N$1855</f>
        <v>0</v>
      </c>
      <c r="O1859" s="41" t="n">
        <f aca="false">Sens!$O$1850+Sens!$O$1851+Sens!$O$1852-Sens!$O$1855</f>
        <v>0</v>
      </c>
    </row>
    <row r="1860" customFormat="false" ht="17.15" hidden="false" customHeight="false" outlineLevel="0" collapsed="false">
      <c r="A1860" s="1" t="s">
        <v>713</v>
      </c>
    </row>
    <row r="1861" customFormat="false" ht="17.15" hidden="false" customHeight="false" outlineLevel="0" collapsed="false">
      <c r="A1861" s="0" t="s">
        <v>714</v>
      </c>
      <c r="B1861" s="0" t="s">
        <v>86</v>
      </c>
      <c r="C1861" s="38" t="n">
        <f aca="false">Sens!$C$1767*m_ad</f>
        <v>20.5341564414228</v>
      </c>
      <c r="D1861" s="38" t="n">
        <f aca="false">Sens!$D$1767*m_ad</f>
        <v>24.8720617299587</v>
      </c>
      <c r="E1861" s="38" t="n">
        <f aca="false">Sens!$E$1767*m_ad</f>
        <v>13.5017112462207</v>
      </c>
      <c r="F1861" s="38" t="n">
        <f aca="false">Sens!$F$1767*m_ad</f>
        <v>16.5719724165257</v>
      </c>
      <c r="G1861" s="38" t="n">
        <f aca="false">Sens!$G$1767*m_ad</f>
        <v>30.0820919220415</v>
      </c>
      <c r="H1861" s="38" t="n">
        <f aca="false">Sens!$H$1767*m_ad</f>
        <v>36.1150883276314</v>
      </c>
      <c r="I1861" s="38" t="n">
        <f aca="false">Sens!$I$1767*m_ad</f>
        <v>42.1475382231996</v>
      </c>
      <c r="J1861" s="38" t="n">
        <f aca="false">Sens!$J$1767*m_ad</f>
        <v>47.7749523864693</v>
      </c>
      <c r="K1861" s="38" t="n">
        <f aca="false">Sens!$K$1767*m_ad</f>
        <v>52.5524476251162</v>
      </c>
      <c r="L1861" s="38" t="n">
        <f aca="false">Sens!$L$1767*m_ad</f>
        <v>57.8076923876279</v>
      </c>
      <c r="M1861" s="38" t="n">
        <f aca="false">Sens!$M$1767*m_ad</f>
        <v>63.5884616263907</v>
      </c>
      <c r="N1861" s="38" t="n">
        <f aca="false">Sens!$N$1767*m_ad</f>
        <v>10.8543555706248</v>
      </c>
      <c r="O1861" s="38" t="n">
        <f aca="false">Sens!$O$1767*m_ad</f>
        <v>14.0094731821399</v>
      </c>
    </row>
    <row r="1862" customFormat="false" ht="17.15" hidden="false" customHeight="false" outlineLevel="0" collapsed="false">
      <c r="A1862" s="0" t="s">
        <v>715</v>
      </c>
      <c r="B1862" s="0" t="s">
        <v>86</v>
      </c>
      <c r="C1862" s="38" t="n">
        <f aca="false">Sens!$C$1765-Sens!$C$1767</f>
        <v>346.428687117154</v>
      </c>
      <c r="D1862" s="38" t="n">
        <f aca="false">Sens!$D$1765-Sens!$D$1767</f>
        <v>376.560876540083</v>
      </c>
      <c r="E1862" s="38" t="n">
        <f aca="false">Sens!$E$1765-Sens!$E$1767</f>
        <v>193.316577507559</v>
      </c>
      <c r="F1862" s="38" t="n">
        <f aca="false">Sens!$F$1765-Sens!$F$1767</f>
        <v>217.495828647535</v>
      </c>
      <c r="G1862" s="38" t="n">
        <f aca="false">Sens!$G$1765-Sens!$G$1767</f>
        <v>410.795589636503</v>
      </c>
      <c r="H1862" s="38" t="n">
        <f aca="false">Sens!$H$1765-Sens!$H$1767</f>
        <v>449.156813761174</v>
      </c>
      <c r="I1862" s="38" t="n">
        <f aca="false">Sens!$I$1765-Sens!$I$1767</f>
        <v>485.848786441156</v>
      </c>
      <c r="J1862" s="38" t="n">
        <f aca="false">Sens!$J$1765-Sens!$J$1767</f>
        <v>519.841531018994</v>
      </c>
      <c r="K1862" s="38" t="n">
        <f aca="false">Sens!$K$1765-Sens!$K$1767</f>
        <v>550.103332311311</v>
      </c>
      <c r="L1862" s="38" t="n">
        <f aca="false">Sens!$L$1765-Sens!$L$1767</f>
        <v>582.192354474511</v>
      </c>
      <c r="M1862" s="38" t="n">
        <f aca="false">Sens!$M$1765-Sens!$M$1767</f>
        <v>616.22240521081</v>
      </c>
      <c r="N1862" s="38" t="n">
        <f aca="false">Sens!$N$1765-Sens!$N$1767</f>
        <v>171.24628885875</v>
      </c>
      <c r="O1862" s="38" t="n">
        <f aca="false">Sens!$O$1765-Sens!$O$1767</f>
        <v>205.33105363572</v>
      </c>
    </row>
    <row r="1863" customFormat="false" ht="17.15" hidden="false" customHeight="false" outlineLevel="0" collapsed="false">
      <c r="A1863" s="0" t="s">
        <v>716</v>
      </c>
      <c r="B1863" s="0" t="s">
        <v>86</v>
      </c>
      <c r="C1863" s="38" t="n">
        <f aca="false">Sens!$C$1814*Sens!$C$1764</f>
        <v>0.128971439857362</v>
      </c>
      <c r="D1863" s="38" t="n">
        <f aca="false">Sens!$D$1814*Sens!$D$1764</f>
        <v>0.968931179763949</v>
      </c>
      <c r="E1863" s="38" t="n">
        <f aca="false">Sens!$E$1814*Sens!$E$1764</f>
        <v>1.46423510570599</v>
      </c>
      <c r="F1863" s="38" t="n">
        <f aca="false">Sens!$F$1814*Sens!$F$1764</f>
        <v>1.68654834537318</v>
      </c>
      <c r="G1863" s="38" t="n">
        <f aca="false">Sens!$G$1814*Sens!$G$1764</f>
        <v>3.1509277946091</v>
      </c>
      <c r="H1863" s="38" t="n">
        <f aca="false">Sens!$H$1814*Sens!$H$1764</f>
        <v>8.3180388888946</v>
      </c>
      <c r="I1863" s="38" t="n">
        <f aca="false">Sens!$I$1814*Sens!$I$1764</f>
        <v>14.5627868063292</v>
      </c>
      <c r="J1863" s="38" t="n">
        <f aca="false">Sens!$J$1814*Sens!$J$1764</f>
        <v>21.1056766806113</v>
      </c>
      <c r="K1863" s="38" t="n">
        <f aca="false">Sens!$K$1814*Sens!$K$1764</f>
        <v>27.0772659434787</v>
      </c>
      <c r="L1863" s="38" t="n">
        <f aca="false">Sens!$L$1814*Sens!$L$1764</f>
        <v>31.2935858546227</v>
      </c>
      <c r="M1863" s="38" t="n">
        <f aca="false">Sens!$M$1814*Sens!$M$1764</f>
        <v>33.3083358261612</v>
      </c>
      <c r="N1863" s="38" t="n">
        <f aca="false">Sens!$N$1814*Sens!$N$1764</f>
        <v>0.437002018426475</v>
      </c>
      <c r="O1863" s="38" t="n">
        <f aca="false">Sens!$O$1814*Sens!$O$1764</f>
        <v>0.531897365332006</v>
      </c>
    </row>
    <row r="1864" customFormat="false" ht="17.15" hidden="false" customHeight="false" outlineLevel="0" collapsed="false">
      <c r="A1864" s="0" t="s">
        <v>717</v>
      </c>
      <c r="B1864" s="0" t="s">
        <v>52</v>
      </c>
      <c r="C1864" s="28" t="n">
        <f aca="false">(Sens!$C$1865-Sens!$C$1861+Sens!$C$1863)/Sens!$C$1862</f>
        <v>0.0131681213712299</v>
      </c>
      <c r="D1864" s="28" t="n">
        <f aca="false">(Sens!$D$1865-Sens!$D$1861+Sens!$D$1863)/Sens!$D$1862</f>
        <v>0.0151791378390761</v>
      </c>
      <c r="E1864" s="28" t="n">
        <f aca="false">(Sens!$E$1865-Sens!$E$1861+Sens!$E$1863)/Sens!$E$1862</f>
        <v>0.0276878678926332</v>
      </c>
      <c r="F1864" s="28" t="n">
        <f aca="false">Sens!$O$1864+(Sens!$E$1864-Sens!$N$1864)</f>
        <v>0.0240716254278699</v>
      </c>
      <c r="G1864" s="28" t="n">
        <f aca="false">(Sens!$G$1865-Sens!$G$1861+Sens!$G$1863)/Sens!$G$1862</f>
        <v>0.0257542639939472</v>
      </c>
      <c r="H1864" s="28" t="n">
        <f aca="false">Sens!$G$1864+step_na</f>
        <v>0.0287542639939472</v>
      </c>
      <c r="I1864" s="28" t="n">
        <f aca="false">Sens!$H$1864+step_na</f>
        <v>0.0317542639939472</v>
      </c>
      <c r="J1864" s="28" t="n">
        <f aca="false">Sens!$I$1864+step_na</f>
        <v>0.0347542639939472</v>
      </c>
      <c r="K1864" s="28" t="n">
        <f aca="false">Sens!$J$1864+step_na</f>
        <v>0.0377542639939472</v>
      </c>
      <c r="L1864" s="28" t="n">
        <f aca="false">Sens!$K$1864</f>
        <v>0.0377542639939472</v>
      </c>
      <c r="M1864" s="28" t="n">
        <f aca="false">Sens!$L$1864</f>
        <v>0.0377542639939472</v>
      </c>
      <c r="N1864" s="28" t="n">
        <f aca="false">(Sens!$N$1865-Sens!$N$1861+Sens!$N$1863)/Sens!$N$1862</f>
        <v>0.0171720302226649</v>
      </c>
      <c r="O1864" s="28" t="n">
        <f aca="false">(Sens!$O$1865-Sens!$O$1861+Sens!$O$1863)/Sens!$O$1862</f>
        <v>0.0135557877579015</v>
      </c>
      <c r="P1864" s="8" t="s">
        <v>718</v>
      </c>
    </row>
    <row r="1865" customFormat="false" ht="17.15" hidden="false" customHeight="false" outlineLevel="0" collapsed="false">
      <c r="A1865" s="1" t="s">
        <v>719</v>
      </c>
      <c r="B1865" s="8" t="s">
        <v>86</v>
      </c>
      <c r="C1865" s="38" t="n">
        <f aca="false">Q!$D$22</f>
        <v>24.967</v>
      </c>
      <c r="D1865" s="38" t="n">
        <f aca="false">Q!$E$22</f>
        <v>29.619</v>
      </c>
      <c r="E1865" s="38" t="n">
        <f aca="false">Q!$P$22</f>
        <v>17.39</v>
      </c>
      <c r="F1865" s="38" t="n">
        <f aca="false">Sens!$F$1861+Sens!$F$1862*Sens!$F$1864-Sens!$F$1863</f>
        <v>20.1209021904801</v>
      </c>
      <c r="G1865" s="38" t="n">
        <f aca="false">Sens!$E$1865+Sens!$F$1865</f>
        <v>37.5109021904801</v>
      </c>
      <c r="H1865" s="38" t="n">
        <f aca="false">Sens!$H$1861+Sens!$H$1862*Sens!$H$1864-Sens!$H$1863</f>
        <v>40.7122230363058</v>
      </c>
      <c r="I1865" s="38" t="n">
        <f aca="false">Sens!$I$1861+Sens!$I$1862*Sens!$I$1864-Sens!$I$1863</f>
        <v>43.0125220426617</v>
      </c>
      <c r="J1865" s="38" t="n">
        <f aca="false">Sens!$J$1861+Sens!$J$1862*Sens!$J$1864-Sens!$J$1863</f>
        <v>44.7359855099099</v>
      </c>
      <c r="K1865" s="38" t="n">
        <f aca="false">Sens!$K$1861+Sens!$K$1862*Sens!$K$1864-Sens!$K$1863</f>
        <v>46.2439281136688</v>
      </c>
      <c r="L1865" s="38" t="n">
        <f aca="false">Sens!$L$1861+Sens!$L$1862*Sens!$L$1864-Sens!$L$1863</f>
        <v>48.4943503790935</v>
      </c>
      <c r="M1865" s="38" t="n">
        <f aca="false">Sens!$M$1861+Sens!$M$1862*Sens!$M$1864-Sens!$M$1863</f>
        <v>53.5451491655435</v>
      </c>
      <c r="N1865" s="38" t="n">
        <f aca="false">Q!$N$22</f>
        <v>13.358</v>
      </c>
      <c r="O1865" s="38" t="n">
        <f aca="false">Q!$O$22</f>
        <v>16.261</v>
      </c>
    </row>
    <row r="1866" customFormat="false" ht="17.15" hidden="false" customHeight="false" outlineLevel="0" collapsed="false">
      <c r="A1866" s="0" t="s">
        <v>720</v>
      </c>
      <c r="B1866" s="0" t="s">
        <v>86</v>
      </c>
      <c r="C1866" s="38" t="n">
        <f aca="false">Sens!$C$1768*m_ad</f>
        <v>7.57284355857716</v>
      </c>
      <c r="D1866" s="38" t="n">
        <f aca="false">Sens!$D$1768*m_ad</f>
        <v>9.44543827004127</v>
      </c>
      <c r="E1866" s="38" t="n">
        <f aca="false">Sens!$E$1768*m_ad</f>
        <v>5.02428875377928</v>
      </c>
      <c r="F1866" s="38" t="n">
        <f aca="false">Sens!$F$1768*m_ad</f>
        <v>6.50663858068173</v>
      </c>
      <c r="G1866" s="38" t="n">
        <f aca="false">Sens!$G$1768*m_ad</f>
        <v>11.5225190751659</v>
      </c>
      <c r="H1866" s="38" t="n">
        <f aca="false">Sens!$H$1768*m_ad</f>
        <v>13.8333728663174</v>
      </c>
      <c r="I1866" s="38" t="n">
        <f aca="false">Sens!$I$1768*m_ad</f>
        <v>16.1440173245485</v>
      </c>
      <c r="J1866" s="38" t="n">
        <f aca="false">Sens!$J$1768*m_ad</f>
        <v>18.2995185845066</v>
      </c>
      <c r="K1866" s="38" t="n">
        <f aca="false">Sens!$K$1768*m_ad</f>
        <v>20.1294704429572</v>
      </c>
      <c r="L1866" s="38" t="n">
        <f aca="false">Sens!$L$1768*m_ad</f>
        <v>22.142417487253</v>
      </c>
      <c r="M1866" s="38" t="n">
        <f aca="false">Sens!$M$1768*m_ad</f>
        <v>24.3566592359783</v>
      </c>
      <c r="N1866" s="38" t="n">
        <f aca="false">Sens!$N$1768*m_ad</f>
        <v>3.95314442937518</v>
      </c>
      <c r="O1866" s="38" t="n">
        <f aca="false">Sens!$O$1768*m_ad</f>
        <v>5.50052681786011</v>
      </c>
    </row>
    <row r="1867" customFormat="false" ht="17.15" hidden="false" customHeight="false" outlineLevel="0" collapsed="false">
      <c r="A1867" s="0" t="s">
        <v>721</v>
      </c>
      <c r="B1867" s="0" t="s">
        <v>86</v>
      </c>
      <c r="C1867" s="38" t="n">
        <f aca="false">Sens!$C$1766-Sens!$C$1768</f>
        <v>127.760312882846</v>
      </c>
      <c r="D1867" s="38" t="n">
        <f aca="false">Sens!$D$1766-Sens!$D$1768</f>
        <v>143.003123459917</v>
      </c>
      <c r="E1867" s="38" t="n">
        <f aca="false">Sens!$E$1766-Sens!$E$1768</f>
        <v>71.9374224924414</v>
      </c>
      <c r="F1867" s="38" t="n">
        <f aca="false">Sens!$F$1766-Sens!$F$1768</f>
        <v>85.3951910035875</v>
      </c>
      <c r="G1867" s="38" t="n">
        <f aca="false">Sens!$G$1766-Sens!$G$1768</f>
        <v>157.349430014619</v>
      </c>
      <c r="H1867" s="38" t="n">
        <f aca="false">Sens!$H$1766-Sens!$H$1768</f>
        <v>172.043153372315</v>
      </c>
      <c r="I1867" s="38" t="n">
        <f aca="false">Sens!$I$1766-Sens!$I$1768</f>
        <v>186.097493615879</v>
      </c>
      <c r="J1867" s="38" t="n">
        <f aca="false">Sens!$J$1766-Sens!$J$1768</f>
        <v>199.117932780497</v>
      </c>
      <c r="K1867" s="38" t="n">
        <f aca="false">Sens!$K$1766-Sens!$K$1768</f>
        <v>210.70928698363</v>
      </c>
      <c r="L1867" s="38" t="n">
        <f aca="false">Sens!$L$1766-Sens!$L$1768</f>
        <v>223.000532251316</v>
      </c>
      <c r="M1867" s="38" t="n">
        <f aca="false">Sens!$M$1766-Sens!$M$1768</f>
        <v>236.035261011339</v>
      </c>
      <c r="N1867" s="38" t="n">
        <f aca="false">Sens!$N$1766-Sens!$N$1768</f>
        <v>62.3677111412496</v>
      </c>
      <c r="O1867" s="38" t="n">
        <f aca="false">Sens!$O$1766-Sens!$O$1768</f>
        <v>80.6189463642798</v>
      </c>
    </row>
    <row r="1868" customFormat="false" ht="17.15" hidden="false" customHeight="false" outlineLevel="0" collapsed="false">
      <c r="A1868" s="0" t="s">
        <v>722</v>
      </c>
      <c r="B1868" s="0" t="s">
        <v>86</v>
      </c>
      <c r="C1868" s="38" t="n">
        <f aca="false">Sens!$C$1814*(1-Sens!$C$1764)</f>
        <v>0.0475637039364334</v>
      </c>
      <c r="D1868" s="38" t="n">
        <f aca="false">Sens!$D$1814*(1-Sens!$D$1764)</f>
        <v>0.367962243972519</v>
      </c>
      <c r="E1868" s="38" t="n">
        <f aca="false">Sens!$E$1814*(1-Sens!$E$1764)</f>
        <v>0.544874634061416</v>
      </c>
      <c r="F1868" s="38" t="n">
        <f aca="false">Sens!$F$1814*(1-Sens!$F$1764)</f>
        <v>0.662187955445</v>
      </c>
      <c r="G1868" s="38" t="n">
        <f aca="false">Sens!$G$1814*(1-Sens!$G$1764)</f>
        <v>1.20691824597648</v>
      </c>
      <c r="H1868" s="38" t="n">
        <f aca="false">Sens!$H$1814*(1-Sens!$H$1764)</f>
        <v>3.1861069374312</v>
      </c>
      <c r="I1868" s="38" t="n">
        <f aca="false">Sens!$I$1814*(1-Sens!$I$1764)</f>
        <v>5.57806914487064</v>
      </c>
      <c r="J1868" s="38" t="n">
        <f aca="false">Sens!$J$1814*(1-Sens!$J$1764)</f>
        <v>8.08423040448321</v>
      </c>
      <c r="K1868" s="38" t="n">
        <f aca="false">Sens!$K$1814*(1-Sens!$K$1764)</f>
        <v>10.3715630596976</v>
      </c>
      <c r="L1868" s="38" t="n">
        <f aca="false">Sens!$L$1814*(1-Sens!$L$1764)</f>
        <v>11.9865646602865</v>
      </c>
      <c r="M1868" s="38" t="n">
        <f aca="false">Sens!$M$1814*(1-Sens!$M$1764)</f>
        <v>12.7582860897304</v>
      </c>
      <c r="N1868" s="38" t="n">
        <f aca="false">Sens!$N$1814*(1-Sens!$N$1764)</f>
        <v>0.159155657240818</v>
      </c>
      <c r="O1868" s="38" t="n">
        <f aca="false">Sens!$O$1814*(1-Sens!$O$1764)</f>
        <v>0.208838382737169</v>
      </c>
    </row>
    <row r="1869" customFormat="false" ht="17.15" hidden="false" customHeight="false" outlineLevel="0" collapsed="false">
      <c r="A1869" s="0" t="s">
        <v>723</v>
      </c>
      <c r="B1869" s="0" t="s">
        <v>52</v>
      </c>
      <c r="C1869" s="28" t="n">
        <f aca="false">(Sens!$C$1870-Sens!$C$1866+Sens!$C$1868)/Sens!$C$1867</f>
        <v>-0.0292209667493855</v>
      </c>
      <c r="D1869" s="28" t="n">
        <f aca="false">(Sens!$D$1870-Sens!$D$1866+Sens!$D$1868)/Sens!$D$1867</f>
        <v>-0.0302614091312607</v>
      </c>
      <c r="E1869" s="28" t="n">
        <f aca="false">(Sens!$E$1870-Sens!$E$1866+Sens!$E$1868)/Sens!$E$1867</f>
        <v>-0.0186052554198546</v>
      </c>
      <c r="F1869" s="28" t="n">
        <f aca="false">Sens!$O$1869+(Sens!$E$1869-Sens!$N$1869)</f>
        <v>-0.0358995386680489</v>
      </c>
      <c r="G1869" s="28" t="n">
        <f aca="false">(Sens!$G$1870-Sens!$G$1866+Sens!$G$1868)/Sens!$G$1867</f>
        <v>-0.0279365369486433</v>
      </c>
      <c r="H1869" s="28" t="n">
        <f aca="false">Sens!$G$1869+step_in</f>
        <v>-0.0279365369486433</v>
      </c>
      <c r="I1869" s="28" t="n">
        <f aca="false">Sens!$H$1869+step_in</f>
        <v>-0.0279365369486433</v>
      </c>
      <c r="J1869" s="28" t="n">
        <f aca="false">Sens!$I$1869+step_in</f>
        <v>-0.0279365369486433</v>
      </c>
      <c r="K1869" s="28" t="n">
        <f aca="false">Sens!$J$1869+step_in</f>
        <v>-0.0279365369486433</v>
      </c>
      <c r="L1869" s="28" t="n">
        <f aca="false">Sens!$K$1869</f>
        <v>-0.0279365369486433</v>
      </c>
      <c r="M1869" s="28" t="n">
        <f aca="false">Sens!$L$1869</f>
        <v>-0.0279365369486433</v>
      </c>
      <c r="N1869" s="28" t="n">
        <f aca="false">(Sens!$N$1870-Sens!$N$1866+Sens!$N$1868)/Sens!$N$1867</f>
        <v>-0.0205713621464906</v>
      </c>
      <c r="O1869" s="28" t="n">
        <f aca="false">(Sens!$O$1870-Sens!$O$1866+Sens!$O$1868)/Sens!$O$1867</f>
        <v>-0.0378656453946849</v>
      </c>
      <c r="P1869" s="8" t="s">
        <v>718</v>
      </c>
    </row>
    <row r="1870" customFormat="false" ht="17.15" hidden="false" customHeight="false" outlineLevel="0" collapsed="false">
      <c r="A1870" s="1" t="s">
        <v>724</v>
      </c>
      <c r="B1870" s="8" t="s">
        <v>86</v>
      </c>
      <c r="C1870" s="38" t="n">
        <f aca="false">Q!$D$23</f>
        <v>3.792</v>
      </c>
      <c r="D1870" s="38" t="n">
        <f aca="false">Q!$E$23</f>
        <v>4.75</v>
      </c>
      <c r="E1870" s="38" t="n">
        <f aca="false">Q!$P$23</f>
        <v>3.141</v>
      </c>
      <c r="F1870" s="38" t="n">
        <f aca="false">Sens!$F$1866+Sens!$F$1867*Sens!$F$1869-Sens!$F$1868</f>
        <v>2.77880266373802</v>
      </c>
      <c r="G1870" s="38" t="n">
        <f aca="false">Sens!$E$1870+Sens!$F$1870</f>
        <v>5.91980266373802</v>
      </c>
      <c r="H1870" s="38" t="n">
        <f aca="false">Sens!$H$1866+Sens!$H$1867*Sens!$H$1869-Sens!$H$1868</f>
        <v>5.84097601793938</v>
      </c>
      <c r="I1870" s="38" t="n">
        <f aca="false">Sens!$I$1866+Sens!$I$1867*Sens!$I$1869-Sens!$I$1868</f>
        <v>5.36702867322798</v>
      </c>
      <c r="J1870" s="38" t="n">
        <f aca="false">Sens!$J$1866+Sens!$J$1867*Sens!$J$1869-Sens!$J$1868</f>
        <v>4.65262269376355</v>
      </c>
      <c r="K1870" s="38" t="n">
        <f aca="false">Sens!$K$1866+Sens!$K$1867*Sens!$K$1869-Sens!$K$1868</f>
        <v>3.8714196020192</v>
      </c>
      <c r="L1870" s="38" t="n">
        <f aca="false">Sens!$L$1866+Sens!$L$1867*Sens!$L$1869-Sens!$L$1868</f>
        <v>3.92599021816049</v>
      </c>
      <c r="M1870" s="38" t="n">
        <f aca="false">Sens!$M$1866+Sens!$M$1867*Sens!$M$1869-Sens!$M$1868</f>
        <v>5.00436535582195</v>
      </c>
      <c r="N1870" s="38" t="n">
        <f aca="false">Q!$N$23</f>
        <v>2.511</v>
      </c>
      <c r="O1870" s="38" t="n">
        <f aca="false">Q!$O$23</f>
        <v>2.239</v>
      </c>
    </row>
    <row r="1871" customFormat="false" ht="17.15" hidden="false" customHeight="false" outlineLevel="0" collapsed="false">
      <c r="A1871" s="0" t="s">
        <v>725</v>
      </c>
      <c r="B1871" s="0" t="s">
        <v>86</v>
      </c>
      <c r="C1871" s="38" t="n">
        <f aca="false">Sens!$C$1811</f>
        <v>1.61486478179846</v>
      </c>
      <c r="D1871" s="38" t="n">
        <f aca="false">Sens!$D$1811</f>
        <v>3.35619639370529</v>
      </c>
      <c r="E1871" s="38" t="n">
        <f aca="false">Sens!$E$1811</f>
        <v>0.47391401650041</v>
      </c>
      <c r="F1871" s="38" t="n">
        <f aca="false">Sens!$F$1811</f>
        <v>5.56848844144774</v>
      </c>
      <c r="G1871" s="38" t="n">
        <f aca="false">Sens!$G$1811</f>
        <v>6.04240245794815</v>
      </c>
      <c r="H1871" s="38" t="n">
        <f aca="false">Sens!$H$1811</f>
        <v>14.1493074444713</v>
      </c>
      <c r="I1871" s="38" t="n">
        <f aca="false">Sens!$I$1811</f>
        <v>20.9402753316327</v>
      </c>
      <c r="J1871" s="38" t="n">
        <f aca="false">Sens!$J$1811</f>
        <v>26.2657788109003</v>
      </c>
      <c r="K1871" s="38" t="n">
        <f aca="false">Sens!$K$1811</f>
        <v>28.6528043704745</v>
      </c>
      <c r="L1871" s="38" t="n">
        <f aca="false">Sens!$L$1811</f>
        <v>28.6074997427596</v>
      </c>
      <c r="M1871" s="38" t="n">
        <f aca="false">Sens!$M$1811</f>
        <v>28.5689537052989</v>
      </c>
      <c r="N1871" s="38" t="n">
        <f aca="false">Sens!$N$1811</f>
        <v>0.661688828358734</v>
      </c>
      <c r="O1871" s="38" t="n">
        <f aca="false">Sens!$O$1811</f>
        <v>2.69450756534655</v>
      </c>
    </row>
    <row r="1872" customFormat="false" ht="17.15" hidden="false" customHeight="false" outlineLevel="0" collapsed="false">
      <c r="A1872" s="0" t="s">
        <v>643</v>
      </c>
      <c r="B1872" s="0" t="s">
        <v>86</v>
      </c>
      <c r="C1872" s="38" t="n">
        <f aca="false">Sens!$C$1816</f>
        <v>38.2191352182015</v>
      </c>
      <c r="D1872" s="38" t="n">
        <f aca="false">Sens!$D$1816</f>
        <v>42.2498036062947</v>
      </c>
      <c r="E1872" s="38" t="n">
        <f aca="false">Sens!$E$1816</f>
        <v>30.3080859834996</v>
      </c>
      <c r="F1872" s="38" t="n">
        <f aca="false">Sens!$F$1816</f>
        <v>27.5411683359282</v>
      </c>
      <c r="G1872" s="38" t="n">
        <f aca="false">Sens!$G$1816</f>
        <v>57.8492543194278</v>
      </c>
      <c r="H1872" s="38" t="n">
        <f aca="false">Sens!$H$1816</f>
        <v>61.7896292357721</v>
      </c>
      <c r="I1872" s="38" t="n">
        <f aca="false">Sens!$I$1816</f>
        <v>68.6021468018916</v>
      </c>
      <c r="J1872" s="38" t="n">
        <f aca="false">Sens!$J$1816</f>
        <v>75.1280431164455</v>
      </c>
      <c r="K1872" s="38" t="n">
        <f aca="false">Sens!$K$1816</f>
        <v>81.1382865657611</v>
      </c>
      <c r="L1872" s="38" t="n">
        <f aca="false">Sens!$L$1816</f>
        <v>87.629349491022</v>
      </c>
      <c r="M1872" s="38" t="n">
        <f aca="false">Sens!$M$1816</f>
        <v>94.6396974503038</v>
      </c>
      <c r="N1872" s="38" t="n">
        <f aca="false">Sens!$N$1816</f>
        <v>21.0453111716413</v>
      </c>
      <c r="O1872" s="38" t="n">
        <f aca="false">Sens!$O$1816</f>
        <v>21.2044924346534</v>
      </c>
    </row>
    <row r="1873" customFormat="false" ht="17.15" hidden="false" customHeight="false" outlineLevel="0" collapsed="false">
      <c r="A1873" s="1" t="s">
        <v>726</v>
      </c>
      <c r="B1873" s="8" t="s">
        <v>86</v>
      </c>
      <c r="C1873" s="38" t="n">
        <f aca="false">Q!$D$24</f>
        <v>39.834</v>
      </c>
      <c r="D1873" s="38" t="n">
        <f aca="false">Q!$E$24</f>
        <v>45.606</v>
      </c>
      <c r="E1873" s="38" t="n">
        <f aca="false">Q!$P$24</f>
        <v>30.782</v>
      </c>
      <c r="F1873" s="38" t="n">
        <f aca="false">Sens!$F$1871+Sens!$F$1872</f>
        <v>33.1096567773759</v>
      </c>
      <c r="G1873" s="38" t="n">
        <f aca="false">Sens!$G$1871+Sens!$G$1872</f>
        <v>63.8916567773759</v>
      </c>
      <c r="H1873" s="38" t="n">
        <f aca="false">Sens!$H$1871+Sens!$H$1872</f>
        <v>75.9389366802434</v>
      </c>
      <c r="I1873" s="38" t="n">
        <f aca="false">Sens!$I$1871+Sens!$I$1872</f>
        <v>89.5424221335243</v>
      </c>
      <c r="J1873" s="38" t="n">
        <f aca="false">Sens!$J$1871+Sens!$J$1872</f>
        <v>101.393821927346</v>
      </c>
      <c r="K1873" s="38" t="n">
        <f aca="false">Sens!$K$1871+Sens!$K$1872</f>
        <v>109.791090936236</v>
      </c>
      <c r="L1873" s="38" t="n">
        <f aca="false">Sens!$L$1871+Sens!$L$1872</f>
        <v>116.236849233782</v>
      </c>
      <c r="M1873" s="38" t="n">
        <f aca="false">Sens!$M$1871+Sens!$M$1872</f>
        <v>123.208651155603</v>
      </c>
      <c r="N1873" s="38" t="n">
        <f aca="false">Q!$N$24</f>
        <v>21.707</v>
      </c>
      <c r="O1873" s="38" t="n">
        <f aca="false">Q!$O$24</f>
        <v>23.899</v>
      </c>
    </row>
    <row r="1874" customFormat="false" ht="17.15" hidden="false" customHeight="false" outlineLevel="0" collapsed="false">
      <c r="A1874" s="5" t="s">
        <v>727</v>
      </c>
      <c r="B1874" s="0" t="s">
        <v>86</v>
      </c>
      <c r="C1874" s="38" t="n">
        <f aca="false">Q!$D$26</f>
        <v>0</v>
      </c>
      <c r="D1874" s="38" t="n">
        <f aca="false">Q!$E$26</f>
        <v>0</v>
      </c>
      <c r="E1874" s="38" t="n">
        <f aca="false">Q!$P$26</f>
        <v>0</v>
      </c>
      <c r="F1874" s="39" t="n">
        <v>0</v>
      </c>
      <c r="G1874" s="38" t="n">
        <f aca="false">Sens!$E$1874+Sens!$F$1874</f>
        <v>0</v>
      </c>
      <c r="H1874" s="39" t="n">
        <v>0</v>
      </c>
      <c r="I1874" s="39" t="n">
        <v>0</v>
      </c>
      <c r="J1874" s="39" t="n">
        <v>0</v>
      </c>
      <c r="K1874" s="39" t="n">
        <v>0</v>
      </c>
      <c r="L1874" s="39" t="n">
        <v>0</v>
      </c>
      <c r="M1874" s="39" t="n">
        <v>0</v>
      </c>
      <c r="N1874" s="38" t="n">
        <f aca="false">Q!$N$26</f>
        <v>0</v>
      </c>
      <c r="O1874" s="38" t="n">
        <f aca="false">Q!$O$26</f>
        <v>0</v>
      </c>
    </row>
    <row r="1875" customFormat="false" ht="15" hidden="false" customHeight="false" outlineLevel="0" collapsed="false">
      <c r="A1875" s="3" t="s">
        <v>531</v>
      </c>
      <c r="B1875" s="8" t="s">
        <v>86</v>
      </c>
      <c r="C1875" s="38" t="n">
        <f aca="false">Q!$D$25</f>
        <v>68.593</v>
      </c>
      <c r="D1875" s="38" t="n">
        <f aca="false">Q!$E$25</f>
        <v>79.975</v>
      </c>
      <c r="E1875" s="38" t="n">
        <f aca="false">Q!$P$25</f>
        <v>51.313</v>
      </c>
      <c r="F1875" s="38" t="n">
        <f aca="false">Sens!$F$1865+Sens!$F$1870+Sens!$F$1873+Sens!$F$1874</f>
        <v>56.0093616315941</v>
      </c>
      <c r="G1875" s="38" t="n">
        <f aca="false">Sens!$G$1865+Sens!$G$1870+Sens!$G$1873+Sens!$G$1874</f>
        <v>107.322361631594</v>
      </c>
      <c r="H1875" s="38" t="n">
        <f aca="false">Sens!$H$1865+Sens!$H$1870+Sens!$H$1873+Sens!$H$1874</f>
        <v>122.492135734489</v>
      </c>
      <c r="I1875" s="38" t="n">
        <f aca="false">Sens!$I$1865+Sens!$I$1870+Sens!$I$1873+Sens!$I$1874</f>
        <v>137.921972849414</v>
      </c>
      <c r="J1875" s="38" t="n">
        <f aca="false">Sens!$J$1865+Sens!$J$1870+Sens!$J$1873+Sens!$J$1874</f>
        <v>150.782430131019</v>
      </c>
      <c r="K1875" s="38" t="n">
        <f aca="false">Sens!$K$1865+Sens!$K$1870+Sens!$K$1873+Sens!$K$1874</f>
        <v>159.906438651924</v>
      </c>
      <c r="L1875" s="38" t="n">
        <f aca="false">Sens!$L$1865+Sens!$L$1870+Sens!$L$1873+Sens!$L$1874</f>
        <v>168.657189831036</v>
      </c>
      <c r="M1875" s="38" t="n">
        <f aca="false">Sens!$M$1865+Sens!$M$1870+Sens!$M$1873+Sens!$M$1874</f>
        <v>181.758165676968</v>
      </c>
      <c r="N1875" s="38" t="n">
        <f aca="false">Q!$N$25</f>
        <v>37.576</v>
      </c>
      <c r="O1875" s="38" t="n">
        <f aca="false">Q!$O$25</f>
        <v>42.399</v>
      </c>
    </row>
    <row r="1876" customFormat="false" ht="17.15" hidden="false" customHeight="false" outlineLevel="0" collapsed="false">
      <c r="A1876" s="24" t="s">
        <v>758</v>
      </c>
      <c r="B1876" s="25" t="s">
        <v>86</v>
      </c>
      <c r="C1876" s="41" t="n">
        <f aca="false">Sens!$C$1865+Sens!$C$1870+Sens!$C$1873+Sens!$C$1874-Sens!$C$1875</f>
        <v>0</v>
      </c>
      <c r="D1876" s="41" t="n">
        <f aca="false">Sens!$D$1865+Sens!$D$1870+Sens!$D$1873+Sens!$D$1874-Sens!$D$1875</f>
        <v>0</v>
      </c>
      <c r="E1876" s="41" t="n">
        <f aca="false">Sens!$E$1865+Sens!$E$1870+Sens!$E$1873+Sens!$E$1874-Sens!$E$1875</f>
        <v>0</v>
      </c>
      <c r="F1876" s="41" t="n">
        <f aca="false">Sens!$F$1865+Sens!$F$1870+Sens!$F$1873+Sens!$F$1874-Sens!$F$1875</f>
        <v>0</v>
      </c>
      <c r="G1876" s="41" t="n">
        <f aca="false">Sens!$G$1865+Sens!$G$1870+Sens!$G$1873+Sens!$G$1874-Sens!$G$1875</f>
        <v>0</v>
      </c>
      <c r="H1876" s="41" t="n">
        <f aca="false">Sens!$H$1865+Sens!$H$1870+Sens!$H$1873+Sens!$H$1874-Sens!$H$1875</f>
        <v>0</v>
      </c>
      <c r="I1876" s="41" t="n">
        <f aca="false">Sens!$I$1865+Sens!$I$1870+Sens!$I$1873+Sens!$I$1874-Sens!$I$1875</f>
        <v>0</v>
      </c>
      <c r="J1876" s="41" t="n">
        <f aca="false">Sens!$J$1865+Sens!$J$1870+Sens!$J$1873+Sens!$J$1874-Sens!$J$1875</f>
        <v>0</v>
      </c>
      <c r="K1876" s="41" t="n">
        <f aca="false">Sens!$K$1865+Sens!$K$1870+Sens!$K$1873+Sens!$K$1874-Sens!$K$1875</f>
        <v>0</v>
      </c>
      <c r="L1876" s="41" t="n">
        <f aca="false">Sens!$L$1865+Sens!$L$1870+Sens!$L$1873+Sens!$L$1874-Sens!$L$1875</f>
        <v>0</v>
      </c>
      <c r="M1876" s="41" t="n">
        <f aca="false">Sens!$M$1865+Sens!$M$1870+Sens!$M$1873+Sens!$M$1874-Sens!$M$1875</f>
        <v>0</v>
      </c>
      <c r="N1876" s="41" t="n">
        <f aca="false">Sens!$N$1865+Sens!$N$1870+Sens!$N$1873+Sens!$N$1874-Sens!$N$1875</f>
        <v>0</v>
      </c>
      <c r="O1876" s="41" t="n">
        <f aca="false">Sens!$O$1865+Sens!$O$1870+Sens!$O$1873+Sens!$O$1874-Sens!$O$1875</f>
        <v>0</v>
      </c>
    </row>
    <row r="1877" customFormat="false" ht="17.15" hidden="false" customHeight="false" outlineLevel="0" collapsed="false">
      <c r="A1877" s="5" t="s">
        <v>729</v>
      </c>
      <c r="B1877" s="0" t="s">
        <v>86</v>
      </c>
      <c r="C1877" s="38" t="n">
        <f aca="false">Sens!$C$1813</f>
        <v>0</v>
      </c>
      <c r="D1877" s="38" t="n">
        <f aca="false">Sens!$D$1813</f>
        <v>0</v>
      </c>
      <c r="E1877" s="38" t="n">
        <f aca="false">Sens!$E$1813</f>
        <v>0</v>
      </c>
      <c r="F1877" s="38" t="n">
        <f aca="false">Sens!$F$1813</f>
        <v>3.77122048175818</v>
      </c>
      <c r="G1877" s="38" t="n">
        <f aca="false">Sens!$G$1813</f>
        <v>3.77122048175818</v>
      </c>
      <c r="H1877" s="38" t="n">
        <f aca="false">Sens!$H$1813</f>
        <v>15.1635543609893</v>
      </c>
      <c r="I1877" s="38" t="n">
        <f aca="false">Sens!$I$1813</f>
        <v>25.5818843619889</v>
      </c>
      <c r="J1877" s="38" t="n">
        <f aca="false">Sens!$J$1813</f>
        <v>36.0465624179122</v>
      </c>
      <c r="K1877" s="38" t="n">
        <f aca="false">Sens!$K$1813</f>
        <v>44.9741164026038</v>
      </c>
      <c r="L1877" s="38" t="n">
        <f aca="false">Sens!$L$1813</f>
        <v>50.8413488057813</v>
      </c>
      <c r="M1877" s="38" t="n">
        <f aca="false">Sens!$M$1813</f>
        <v>53.6407214274315</v>
      </c>
      <c r="N1877" s="38" t="n">
        <f aca="false">Sens!$N$1813</f>
        <v>0</v>
      </c>
      <c r="O1877" s="38" t="n">
        <f aca="false">Sens!$O$1813</f>
        <v>0</v>
      </c>
      <c r="P1877" s="5" t="s">
        <v>730</v>
      </c>
    </row>
    <row r="1878" customFormat="false" ht="17.15" hidden="false" customHeight="false" outlineLevel="0" collapsed="false">
      <c r="A1878" s="5" t="s">
        <v>731</v>
      </c>
      <c r="B1878" s="0" t="s">
        <v>86</v>
      </c>
      <c r="C1878" s="38" t="n">
        <f aca="false">Sens!$C$1875+Sens!$C$1877</f>
        <v>68.593</v>
      </c>
      <c r="D1878" s="38" t="n">
        <f aca="false">Sens!$D$1875+Sens!$D$1877</f>
        <v>79.975</v>
      </c>
      <c r="E1878" s="38" t="n">
        <f aca="false">Sens!$E$1875+Sens!$E$1877</f>
        <v>51.313</v>
      </c>
      <c r="F1878" s="38" t="n">
        <f aca="false">Sens!$F$1875+Sens!$F$1877</f>
        <v>59.7805821133522</v>
      </c>
      <c r="G1878" s="38" t="n">
        <f aca="false">Sens!$G$1875+Sens!$G$1877</f>
        <v>111.093582113352</v>
      </c>
      <c r="H1878" s="38" t="n">
        <f aca="false">Sens!$H$1875+Sens!$H$1877</f>
        <v>137.655690095478</v>
      </c>
      <c r="I1878" s="38" t="n">
        <f aca="false">Sens!$I$1875+Sens!$I$1877</f>
        <v>163.503857211403</v>
      </c>
      <c r="J1878" s="38" t="n">
        <f aca="false">Sens!$J$1875+Sens!$J$1877</f>
        <v>186.828992548931</v>
      </c>
      <c r="K1878" s="38" t="n">
        <f aca="false">Sens!$K$1875+Sens!$K$1877</f>
        <v>204.880555054527</v>
      </c>
      <c r="L1878" s="38" t="n">
        <f aca="false">Sens!$L$1875+Sens!$L$1877</f>
        <v>219.498538636817</v>
      </c>
      <c r="M1878" s="38" t="n">
        <f aca="false">Sens!$M$1875+Sens!$M$1877</f>
        <v>235.3988871044</v>
      </c>
      <c r="N1878" s="38" t="n">
        <f aca="false">Sens!$N$1875+Sens!$N$1877</f>
        <v>37.576</v>
      </c>
      <c r="O1878" s="38" t="n">
        <f aca="false">Sens!$O$1875+Sens!$O$1877</f>
        <v>42.399</v>
      </c>
    </row>
    <row r="1879" customFormat="false" ht="17.15" hidden="false" customHeight="false" outlineLevel="0" collapsed="false">
      <c r="A1879" s="0" t="s">
        <v>732</v>
      </c>
      <c r="B1879" s="0" t="s">
        <v>52</v>
      </c>
      <c r="C1879" s="13" t="n">
        <f aca="false">Sens!$C$1865/Sens!$C$1850</f>
        <v>0.0644314665661928</v>
      </c>
      <c r="D1879" s="13" t="n">
        <f aca="false">Sens!$D$1865/Sens!$D$1850</f>
        <v>0.0694784250712518</v>
      </c>
      <c r="E1879" s="13" t="n">
        <f aca="false">Sens!$E$1865/Sens!$E$1850</f>
        <v>0.0789306463326071</v>
      </c>
      <c r="F1879" s="13" t="n">
        <f aca="false">Sens!$F$1865/Sens!$F$1850</f>
        <v>0.0802781693865464</v>
      </c>
      <c r="G1879" s="13" t="n">
        <f aca="false">Sens!$G$1865/Sens!$G$1850</f>
        <v>0.0796477837443719</v>
      </c>
      <c r="H1879" s="13" t="n">
        <f aca="false">Sens!$H$1865/Sens!$H$1850</f>
        <v>0.0780844627592041</v>
      </c>
      <c r="I1879" s="13" t="n">
        <f aca="false">Sens!$I$1865/Sens!$I$1850</f>
        <v>0.0754415242230622</v>
      </c>
      <c r="J1879" s="13" t="n">
        <f aca="false">Sens!$J$1865/Sens!$J$1850</f>
        <v>0.0726951707612573</v>
      </c>
      <c r="K1879" s="13" t="n">
        <f aca="false">Sens!$K$1865/Sens!$K$1850</f>
        <v>0.0705789795799308</v>
      </c>
      <c r="L1879" s="13" t="n">
        <f aca="false">Sens!$L$1865/Sens!$L$1850</f>
        <v>0.0694952888187098</v>
      </c>
      <c r="M1879" s="13" t="n">
        <f aca="false">Sens!$M$1865/Sens!$M$1850</f>
        <v>0.0720274381686718</v>
      </c>
      <c r="N1879" s="13" t="n">
        <f aca="false">Sens!$N$1865/Sens!$N$1850</f>
        <v>0.069228576611127</v>
      </c>
      <c r="O1879" s="13" t="n">
        <f aca="false">Sens!$O$1865/Sens!$O$1850</f>
        <v>0.069685022498393</v>
      </c>
    </row>
    <row r="1880" customFormat="false" ht="17.15" hidden="false" customHeight="false" outlineLevel="0" collapsed="false">
      <c r="A1880" s="0" t="s">
        <v>733</v>
      </c>
      <c r="B1880" s="0" t="s">
        <v>52</v>
      </c>
      <c r="C1880" s="13" t="n">
        <f aca="false">Sens!$C$1870/Sens!$C$1851</f>
        <v>0.026534925055631</v>
      </c>
      <c r="D1880" s="13" t="n">
        <f aca="false">Sens!$D$1870/Sens!$D$1851</f>
        <v>0.0293401855535103</v>
      </c>
      <c r="E1880" s="13" t="n">
        <f aca="false">Sens!$E$1870/Sens!$E$1851</f>
        <v>0.03831141902276</v>
      </c>
      <c r="F1880" s="13" t="n">
        <f aca="false">Sens!$F$1870/Sens!$F$1851</f>
        <v>0.0282374343951806</v>
      </c>
      <c r="G1880" s="13" t="n">
        <f aca="false">Sens!$G$1870/Sens!$G$1851</f>
        <v>0.0328158769166081</v>
      </c>
      <c r="H1880" s="13" t="n">
        <f aca="false">Sens!$H$1870/Sens!$H$1851</f>
        <v>0.0292473034342173</v>
      </c>
      <c r="I1880" s="13" t="n">
        <f aca="false">Sens!$I$1870/Sens!$I$1851</f>
        <v>0.0245759355753461</v>
      </c>
      <c r="J1880" s="13" t="n">
        <f aca="false">Sens!$J$1870/Sens!$J$1851</f>
        <v>0.0197381745351645</v>
      </c>
      <c r="K1880" s="13" t="n">
        <f aca="false">Sens!$K$1870/Sens!$K$1851</f>
        <v>0.0154259351268623</v>
      </c>
      <c r="L1880" s="13" t="n">
        <f aca="false">Sens!$L$1870/Sens!$L$1851</f>
        <v>0.014688384399448</v>
      </c>
      <c r="M1880" s="13" t="n">
        <f aca="false">Sens!$M$1870/Sens!$M$1851</f>
        <v>0.0175746806705862</v>
      </c>
      <c r="N1880" s="13" t="n">
        <f aca="false">Sens!$N$1870/Sens!$N$1851</f>
        <v>0.0357315650169337</v>
      </c>
      <c r="O1880" s="13" t="n">
        <f aca="false">Sens!$O$1870/Sens!$O$1851</f>
        <v>0.0244378956559703</v>
      </c>
    </row>
    <row r="1881" customFormat="false" ht="17.15" hidden="false" customHeight="false" outlineLevel="0" collapsed="false">
      <c r="A1881" s="14" t="s">
        <v>734</v>
      </c>
      <c r="B1881" s="14" t="s">
        <v>52</v>
      </c>
      <c r="C1881" s="17" t="n">
        <f aca="false">Sens!$C$1873/Sens!$C$1852</f>
        <v>0.370355907620217</v>
      </c>
      <c r="D1881" s="17" t="n">
        <f aca="false">Sens!$D$1873/Sens!$D$1852</f>
        <v>0.35429015342785</v>
      </c>
      <c r="E1881" s="17" t="n">
        <f aca="false">Sens!$E$1873/Sens!$E$1852</f>
        <v>0.385647527531039</v>
      </c>
      <c r="F1881" s="17" t="n">
        <f aca="false">Sens!$F$1873/Sens!$F$1852</f>
        <v>0.381743494809545</v>
      </c>
      <c r="G1881" s="17" t="n">
        <f aca="false">Sens!$G$1873/Sens!$G$1852</f>
        <v>0.383614480967195</v>
      </c>
      <c r="H1881" s="17" t="n">
        <f aca="false">Sens!$H$1873/Sens!$H$1852</f>
        <v>0.343330851491968</v>
      </c>
      <c r="I1881" s="17" t="n">
        <f aca="false">Sens!$I$1873/Sens!$I$1852</f>
        <v>0.319482346142603</v>
      </c>
      <c r="J1881" s="17" t="n">
        <f aca="false">Sens!$J$1873/Sens!$J$1852</f>
        <v>0.299272547390131</v>
      </c>
      <c r="K1881" s="17" t="n">
        <f aca="false">Sens!$K$1873/Sens!$K$1852</f>
        <v>0.28159814664018</v>
      </c>
      <c r="L1881" s="17" t="n">
        <f aca="false">Sens!$L$1873/Sens!$L$1852</f>
        <v>0.270267538404431</v>
      </c>
      <c r="M1881" s="17" t="n">
        <f aca="false">Sens!$M$1873/Sens!$M$1852</f>
        <v>0.268161886845173</v>
      </c>
      <c r="N1881" s="17" t="n">
        <f aca="false">Sens!$N$1873/Sens!$N$1852</f>
        <v>0.360941137346192</v>
      </c>
      <c r="O1881" s="17" t="n">
        <f aca="false">Sens!$O$1873/Sens!$O$1852</f>
        <v>0.348458117664212</v>
      </c>
    </row>
    <row r="1882" customFormat="false" ht="17.15" hidden="false" customHeight="false" outlineLevel="0" collapsed="false">
      <c r="A1882" s="0" t="s">
        <v>735</v>
      </c>
      <c r="B1882" s="0" t="s">
        <v>52</v>
      </c>
      <c r="C1882" s="13" t="n">
        <f aca="false">Sens!$C$1871/Sens!$C$1853</f>
        <v>0.695760902466888</v>
      </c>
      <c r="D1882" s="13" t="n">
        <f aca="false">Sens!$D$1871/Sens!$D$1853</f>
        <v>0.385602602035804</v>
      </c>
      <c r="E1882" s="13" t="n">
        <f aca="false">Sens!$E$1871/Sens!$E$1853</f>
        <v>0.0556867638581897</v>
      </c>
      <c r="F1882" s="13" t="n">
        <f aca="false">Sens!$F$1871/Sens!$F$1853</f>
        <v>0.372139749048339</v>
      </c>
      <c r="G1882" s="13" t="n">
        <f aca="false">Sens!$G$1871/Sens!$G$1853</f>
        <v>0.257410640885913</v>
      </c>
      <c r="H1882" s="13" t="n">
        <f aca="false">Sens!$H$1871/Sens!$H$1853</f>
        <v>0.235171577585666</v>
      </c>
      <c r="I1882" s="13" t="n">
        <f aca="false">Sens!$I$1871/Sens!$I$1853</f>
        <v>0.206300612783449</v>
      </c>
      <c r="J1882" s="13" t="n">
        <f aca="false">Sens!$J$1871/Sens!$J$1853</f>
        <v>0.183644146407631</v>
      </c>
      <c r="K1882" s="13" t="n">
        <f aca="false">Sens!$K$1871/Sens!$K$1853</f>
        <v>0.160566579849363</v>
      </c>
      <c r="L1882" s="13" t="n">
        <f aca="false">Sens!$L$1871/Sens!$L$1853</f>
        <v>0.141812169386208</v>
      </c>
      <c r="M1882" s="13" t="n">
        <f aca="false">Sens!$M$1871/Sens!$M$1853</f>
        <v>0.134230246248255</v>
      </c>
      <c r="N1882" s="13" t="n">
        <f aca="false">Sens!$N$1871/Sens!$N$1853</f>
        <v>0.217209265679186</v>
      </c>
      <c r="O1882" s="13" t="n">
        <f aca="false">Sens!$O$1871/Sens!$O$1853</f>
        <v>0.47627593699706</v>
      </c>
    </row>
    <row r="1883" customFormat="false" ht="15" hidden="false" customHeight="false" outlineLevel="0" collapsed="false">
      <c r="A1883" s="5" t="s">
        <v>736</v>
      </c>
      <c r="B1883" s="0" t="s">
        <v>52</v>
      </c>
      <c r="C1883" s="13" t="n">
        <f aca="false">Sens!$C$1875/Sens!$C$1855</f>
        <v>0.107519448742004</v>
      </c>
      <c r="D1883" s="13" t="n">
        <f aca="false">Sens!$D$1875/Sens!$D$1855</f>
        <v>0.111552967957552</v>
      </c>
      <c r="E1883" s="13" t="n">
        <f aca="false">Sens!$E$1875/Sens!$E$1855</f>
        <v>0.13428328426562</v>
      </c>
      <c r="F1883" s="13" t="n">
        <f aca="false">Sens!$F$1875/Sens!$F$1855</f>
        <v>0.128526403936595</v>
      </c>
      <c r="G1883" s="13" t="n">
        <f aca="false">Sens!$G$1875/Sens!$G$1855</f>
        <v>0.131216013699503</v>
      </c>
      <c r="H1883" s="13" t="n">
        <f aca="false">Sens!$H$1875/Sens!$H$1855</f>
        <v>0.129995494203738</v>
      </c>
      <c r="I1883" s="13" t="n">
        <f aca="false">Sens!$I$1875/Sens!$I$1855</f>
        <v>0.129043417945487</v>
      </c>
      <c r="J1883" s="13" t="n">
        <f aca="false">Sens!$J$1875/Sens!$J$1855</f>
        <v>0.126717577277696</v>
      </c>
      <c r="K1883" s="13" t="n">
        <f aca="false">Sens!$K$1875/Sens!$K$1855</f>
        <v>0.123378680412923</v>
      </c>
      <c r="L1883" s="13" t="n">
        <f aca="false">Sens!$L$1875/Sens!$L$1855</f>
        <v>0.120886150766407</v>
      </c>
      <c r="M1883" s="13" t="n">
        <f aca="false">Sens!$M$1875/Sens!$M$1855</f>
        <v>0.122181809201355</v>
      </c>
      <c r="N1883" s="13" t="n">
        <f aca="false">Sens!$N$1875/Sens!$N$1855</f>
        <v>0.116201614873411</v>
      </c>
      <c r="O1883" s="13" t="n">
        <f aca="false">Sens!$O$1875/Sens!$O$1855</f>
        <v>0.107733353660861</v>
      </c>
    </row>
    <row r="1884" customFormat="false" ht="17.15" hidden="false" customHeight="false" outlineLevel="0" collapsed="false">
      <c r="A1884" s="1" t="s">
        <v>737</v>
      </c>
    </row>
    <row r="1885" customFormat="false" ht="17.15" hidden="false" customHeight="false" outlineLevel="0" collapsed="false">
      <c r="A1885" s="5" t="s">
        <v>738</v>
      </c>
      <c r="B1885" s="0" t="s">
        <v>52</v>
      </c>
      <c r="D1885" s="28" t="n">
        <f aca="false">(Q!$E$29+Q!$E$30-(1-ext_sh)*Sens!$D$1807)/Sens!$D$1763</f>
        <v>0.0332456081772832</v>
      </c>
    </row>
    <row r="1886" customFormat="false" ht="17.15" hidden="false" customHeight="false" outlineLevel="0" collapsed="false">
      <c r="A1886" s="0" t="s">
        <v>535</v>
      </c>
      <c r="B1886" s="0" t="s">
        <v>86</v>
      </c>
      <c r="C1886" s="38" t="n">
        <f aca="false">Q!$D$29</f>
        <v>14.285</v>
      </c>
      <c r="D1886" s="38" t="n">
        <f aca="false">Q!$E$29</f>
        <v>15.503</v>
      </c>
      <c r="E1886" s="38" t="n">
        <f aca="false">Q!$P$29</f>
        <v>8.78</v>
      </c>
      <c r="F1886" s="38" t="n">
        <f aca="false">(Sens!$D$1885*Sens!$F$1763+(1-ext_sh)*Sens!$F$1807)*Sens!$F$1764</f>
        <v>9.43698032371789</v>
      </c>
      <c r="G1886" s="38" t="n">
        <f aca="false">Sens!$E$1886+Sens!$F$1886</f>
        <v>18.2169803237179</v>
      </c>
      <c r="H1886" s="38" t="n">
        <f aca="false">(Sens!$D$1885*Sens!$H$1763+(1-ext_sh)*Sens!$H$1807)*Sens!$H$1764</f>
        <v>23.365461862826</v>
      </c>
      <c r="I1886" s="38" t="n">
        <f aca="false">(Sens!$D$1885*Sens!$I$1763+(1-ext_sh)*Sens!$I$1807)*Sens!$I$1764</f>
        <v>29.7306560961368</v>
      </c>
      <c r="J1886" s="38" t="n">
        <f aca="false">(Sens!$D$1885*Sens!$J$1763+(1-ext_sh)*Sens!$J$1807)*Sens!$J$1764</f>
        <v>36.2745490449814</v>
      </c>
      <c r="K1886" s="38" t="n">
        <f aca="false">(Sens!$D$1885*Sens!$K$1763+(1-ext_sh)*Sens!$K$1807)*Sens!$K$1764</f>
        <v>42.2868936940471</v>
      </c>
      <c r="L1886" s="38" t="n">
        <f aca="false">(Sens!$D$1885*Sens!$L$1763+(1-ext_sh)*Sens!$L$1807)*Sens!$L$1764</f>
        <v>47.076252415675</v>
      </c>
      <c r="M1886" s="38" t="n">
        <f aca="false">(Sens!$D$1885*Sens!$M$1763+(1-ext_sh)*Sens!$M$1807)*Sens!$M$1764</f>
        <v>50.2037360874739</v>
      </c>
      <c r="N1886" s="38" t="n">
        <f aca="false">Q!$N$29</f>
        <v>7.272</v>
      </c>
      <c r="O1886" s="38" t="n">
        <f aca="false">Q!$O$29</f>
        <v>8.231</v>
      </c>
    </row>
    <row r="1887" customFormat="false" ht="17.15" hidden="false" customHeight="false" outlineLevel="0" collapsed="false">
      <c r="A1887" s="0" t="s">
        <v>537</v>
      </c>
      <c r="B1887" s="0" t="s">
        <v>86</v>
      </c>
      <c r="C1887" s="38" t="n">
        <f aca="false">Q!$D$30</f>
        <v>4.462</v>
      </c>
      <c r="D1887" s="38" t="n">
        <f aca="false">Q!$E$30</f>
        <v>4.907</v>
      </c>
      <c r="E1887" s="38" t="n">
        <f aca="false">Q!$P$30</f>
        <v>2.57</v>
      </c>
      <c r="F1887" s="38" t="n">
        <f aca="false">(Sens!$D$1885*Sens!$F$1763+(1-ext_sh)*Sens!$F$1807)*(1-Sens!$F$1764)</f>
        <v>3.70523307160503</v>
      </c>
      <c r="G1887" s="38" t="n">
        <f aca="false">Sens!$E$1887+Sens!$F$1887</f>
        <v>6.27523307160503</v>
      </c>
      <c r="H1887" s="38" t="n">
        <f aca="false">(Sens!$D$1885*Sens!$H$1763+(1-ext_sh)*Sens!$H$1807)*(1-Sens!$H$1764)</f>
        <v>8.94980909945316</v>
      </c>
      <c r="I1887" s="38" t="n">
        <f aca="false">(Sens!$D$1885*Sens!$I$1763+(1-ext_sh)*Sens!$I$1807)*(1-Sens!$I$1764)</f>
        <v>11.3879065615755</v>
      </c>
      <c r="J1887" s="38" t="n">
        <f aca="false">(Sens!$D$1885*Sens!$J$1763+(1-ext_sh)*Sens!$J$1807)*(1-Sens!$J$1764)</f>
        <v>13.8944520346866</v>
      </c>
      <c r="K1887" s="38" t="n">
        <f aca="false">(Sens!$D$1885*Sens!$K$1763+(1-ext_sh)*Sens!$K$1807)*(1-Sens!$K$1764)</f>
        <v>16.1973954631179</v>
      </c>
      <c r="L1887" s="38" t="n">
        <f aca="false">(Sens!$D$1885*Sens!$L$1763+(1-ext_sh)*Sens!$L$1807)*(1-Sens!$L$1764)</f>
        <v>18.0318914606297</v>
      </c>
      <c r="M1887" s="38" t="n">
        <f aca="false">(Sens!$D$1885*Sens!$M$1763+(1-ext_sh)*Sens!$M$1807)*(1-Sens!$M$1764)</f>
        <v>19.2298297675454</v>
      </c>
      <c r="N1887" s="38" t="n">
        <f aca="false">Q!$N$30</f>
        <v>2.316</v>
      </c>
      <c r="O1887" s="38" t="n">
        <f aca="false">Q!$O$30</f>
        <v>2.591</v>
      </c>
    </row>
    <row r="1888" customFormat="false" ht="17.15" hidden="false" customHeight="false" outlineLevel="0" collapsed="false">
      <c r="A1888" s="0" t="s">
        <v>538</v>
      </c>
      <c r="B1888" s="0" t="s">
        <v>86</v>
      </c>
      <c r="C1888" s="38" t="n">
        <f aca="false">Sens!$C$1819</f>
        <v>13.32</v>
      </c>
      <c r="D1888" s="38" t="n">
        <f aca="false">Sens!$D$1819</f>
        <v>21.45</v>
      </c>
      <c r="E1888" s="38" t="n">
        <f aca="false">Sens!$E$1819</f>
        <v>15.353</v>
      </c>
      <c r="F1888" s="38" t="n">
        <f aca="false">Sens!$F$1819</f>
        <v>16.9330792524197</v>
      </c>
      <c r="G1888" s="38" t="n">
        <f aca="false">Sens!$G$1819</f>
        <v>32.2860792524197</v>
      </c>
      <c r="H1888" s="38" t="n">
        <f aca="false">Sens!$H$1819</f>
        <v>57.5565814415315</v>
      </c>
      <c r="I1888" s="38" t="n">
        <f aca="false">Sens!$I$1819</f>
        <v>86.4692986491004</v>
      </c>
      <c r="J1888" s="38" t="n">
        <f aca="false">Sens!$J$1819</f>
        <v>116.903827980008</v>
      </c>
      <c r="K1888" s="38" t="n">
        <f aca="false">Sens!$K$1819</f>
        <v>145.194720274201</v>
      </c>
      <c r="L1888" s="38" t="n">
        <f aca="false">Sens!$L$1819</f>
        <v>166.396308619988</v>
      </c>
      <c r="M1888" s="38" t="n">
        <f aca="false">Sens!$M$1819</f>
        <v>178.057148617578</v>
      </c>
      <c r="N1888" s="38" t="n">
        <f aca="false">Sens!$N$1819</f>
        <v>9.234</v>
      </c>
      <c r="O1888" s="38" t="n">
        <f aca="false">Sens!$O$1819</f>
        <v>12.216</v>
      </c>
    </row>
    <row r="1889" customFormat="false" ht="17.15" hidden="false" customHeight="false" outlineLevel="0" collapsed="false">
      <c r="A1889" s="5" t="s">
        <v>739</v>
      </c>
      <c r="B1889" s="0" t="s">
        <v>86</v>
      </c>
      <c r="C1889" s="38" t="n">
        <f aca="false">Sens!$C$1886+Sens!$C$1887+Sens!$C$1888</f>
        <v>32.067</v>
      </c>
      <c r="D1889" s="38" t="n">
        <f aca="false">Sens!$D$1886+Sens!$D$1887+Sens!$D$1888</f>
        <v>41.86</v>
      </c>
      <c r="E1889" s="38" t="n">
        <f aca="false">Sens!$E$1886+Sens!$E$1887+Sens!$E$1888</f>
        <v>26.703</v>
      </c>
      <c r="F1889" s="38" t="n">
        <f aca="false">Sens!$F$1886+Sens!$F$1887+Sens!$F$1888</f>
        <v>30.0752926477426</v>
      </c>
      <c r="G1889" s="38" t="n">
        <f aca="false">Sens!$G$1886+Sens!$G$1887+Sens!$G$1888</f>
        <v>56.7782926477426</v>
      </c>
      <c r="H1889" s="38" t="n">
        <f aca="false">Sens!$H$1886+Sens!$H$1887+Sens!$H$1888</f>
        <v>89.8718524038106</v>
      </c>
      <c r="I1889" s="38" t="n">
        <f aca="false">Sens!$I$1886+Sens!$I$1887+Sens!$I$1888</f>
        <v>127.587861306813</v>
      </c>
      <c r="J1889" s="38" t="n">
        <f aca="false">Sens!$J$1886+Sens!$J$1887+Sens!$J$1888</f>
        <v>167.072829059676</v>
      </c>
      <c r="K1889" s="38" t="n">
        <f aca="false">Sens!$K$1886+Sens!$K$1887+Sens!$K$1888</f>
        <v>203.679009431366</v>
      </c>
      <c r="L1889" s="38" t="n">
        <f aca="false">Sens!$L$1886+Sens!$L$1887+Sens!$L$1888</f>
        <v>231.504452496292</v>
      </c>
      <c r="M1889" s="38" t="n">
        <f aca="false">Sens!$M$1886+Sens!$M$1887+Sens!$M$1888</f>
        <v>247.490714472597</v>
      </c>
      <c r="N1889" s="38" t="n">
        <f aca="false">Sens!$N$1886+Sens!$N$1887+Sens!$N$1888</f>
        <v>18.822</v>
      </c>
      <c r="O1889" s="38" t="n">
        <f aca="false">Sens!$O$1886+Sens!$O$1887+Sens!$O$1888</f>
        <v>23.038</v>
      </c>
    </row>
    <row r="1890" customFormat="false" ht="17.15" hidden="false" customHeight="false" outlineLevel="0" collapsed="false">
      <c r="A1890" s="0" t="s">
        <v>740</v>
      </c>
      <c r="B1890" s="0" t="s">
        <v>86</v>
      </c>
      <c r="C1890" s="38" t="n">
        <f aca="false">Sens!$C$1861+Sens!$C$1866</f>
        <v>28.107</v>
      </c>
      <c r="D1890" s="38" t="n">
        <f aca="false">Sens!$D$1861+Sens!$D$1866</f>
        <v>34.3175</v>
      </c>
      <c r="E1890" s="38" t="n">
        <f aca="false">Sens!$E$1861+Sens!$E$1866</f>
        <v>18.526</v>
      </c>
      <c r="F1890" s="38" t="n">
        <f aca="false">Sens!$F$1861+Sens!$F$1866</f>
        <v>23.0786109972074</v>
      </c>
      <c r="G1890" s="38" t="n">
        <f aca="false">Sens!$G$1861+Sens!$G$1866</f>
        <v>41.6046109972074</v>
      </c>
      <c r="H1890" s="38" t="n">
        <f aca="false">Sens!$H$1861+Sens!$H$1866</f>
        <v>49.9484611939488</v>
      </c>
      <c r="I1890" s="38" t="n">
        <f aca="false">Sens!$I$1861+Sens!$I$1866</f>
        <v>58.2915555477481</v>
      </c>
      <c r="J1890" s="38" t="n">
        <f aca="false">Sens!$J$1861+Sens!$J$1866</f>
        <v>66.0744709709759</v>
      </c>
      <c r="K1890" s="38" t="n">
        <f aca="false">Sens!$K$1861+Sens!$K$1866</f>
        <v>72.6819180680735</v>
      </c>
      <c r="L1890" s="38" t="n">
        <f aca="false">Sens!$L$1861+Sens!$L$1866</f>
        <v>79.9501098748808</v>
      </c>
      <c r="M1890" s="38" t="n">
        <f aca="false">Sens!$M$1861+Sens!$M$1866</f>
        <v>87.9451208623689</v>
      </c>
      <c r="N1890" s="38" t="n">
        <f aca="false">Sens!$N$1861+Sens!$N$1866</f>
        <v>14.8075</v>
      </c>
      <c r="O1890" s="38" t="n">
        <f aca="false">Sens!$O$1861+Sens!$O$1866</f>
        <v>19.51</v>
      </c>
    </row>
    <row r="1891" customFormat="false" ht="17.15" hidden="false" customHeight="false" outlineLevel="0" collapsed="false">
      <c r="A1891" s="0" t="s">
        <v>741</v>
      </c>
      <c r="B1891" s="0" t="s">
        <v>86</v>
      </c>
      <c r="C1891" s="38" t="n">
        <f aca="false">Sens!$C$1865+Sens!$C$1870+Sens!$C$1886+Sens!$C$1887-Sens!$C$1890</f>
        <v>19.399</v>
      </c>
      <c r="D1891" s="38" t="n">
        <f aca="false">Sens!$D$1865+Sens!$D$1870+Sens!$D$1886+Sens!$D$1887-Sens!$D$1890</f>
        <v>20.4615</v>
      </c>
      <c r="E1891" s="38" t="n">
        <f aca="false">Sens!$E$1865+Sens!$E$1870+Sens!$E$1886+Sens!$E$1887-Sens!$E$1890</f>
        <v>13.355</v>
      </c>
      <c r="F1891" s="38" t="n">
        <f aca="false">Sens!$F$1865+Sens!$F$1870+Sens!$F$1886+Sens!$F$1887-Sens!$F$1890</f>
        <v>12.9633072523337</v>
      </c>
      <c r="G1891" s="38" t="n">
        <f aca="false">Sens!$G$1865+Sens!$G$1870+Sens!$G$1886+Sens!$G$1887-Sens!$G$1890</f>
        <v>26.3183072523337</v>
      </c>
      <c r="H1891" s="38" t="n">
        <f aca="false">Sens!$H$1865+Sens!$H$1870+Sens!$H$1886+Sens!$H$1887-Sens!$H$1890</f>
        <v>28.9200088225756</v>
      </c>
      <c r="I1891" s="38" t="n">
        <f aca="false">Sens!$I$1865+Sens!$I$1870+Sens!$I$1886+Sens!$I$1887-Sens!$I$1890</f>
        <v>31.2065578258539</v>
      </c>
      <c r="J1891" s="38" t="n">
        <f aca="false">Sens!$J$1865+Sens!$J$1870+Sens!$J$1886+Sens!$J$1887-Sens!$J$1890</f>
        <v>33.4831383123655</v>
      </c>
      <c r="K1891" s="38" t="n">
        <f aca="false">Sens!$K$1865+Sens!$K$1870+Sens!$K$1886+Sens!$K$1887-Sens!$K$1890</f>
        <v>35.9177188047795</v>
      </c>
      <c r="L1891" s="38" t="n">
        <f aca="false">Sens!$L$1865+Sens!$L$1870+Sens!$L$1886+Sens!$L$1887-Sens!$L$1890</f>
        <v>37.5783745986778</v>
      </c>
      <c r="M1891" s="38" t="n">
        <f aca="false">Sens!$M$1865+Sens!$M$1870+Sens!$M$1886+Sens!$M$1887-Sens!$M$1890</f>
        <v>40.0379595140158</v>
      </c>
      <c r="N1891" s="38" t="n">
        <f aca="false">Sens!$N$1865+Sens!$N$1870+Sens!$N$1886+Sens!$N$1887-Sens!$N$1890</f>
        <v>10.6495</v>
      </c>
      <c r="O1891" s="38" t="n">
        <f aca="false">Sens!$O$1865+Sens!$O$1870+Sens!$O$1886+Sens!$O$1887-Sens!$O$1890</f>
        <v>9.81200000000001</v>
      </c>
    </row>
    <row r="1892" customFormat="false" ht="17.15" hidden="false" customHeight="false" outlineLevel="0" collapsed="false">
      <c r="A1892" s="0" t="s">
        <v>742</v>
      </c>
      <c r="B1892" s="0" t="s">
        <v>86</v>
      </c>
      <c r="C1892" s="38" t="n">
        <f aca="false">Sens!$C$1872+Sens!$C$1888-ext_sh*Sens!$C$1807</f>
        <v>51.3470500115664</v>
      </c>
      <c r="D1892" s="38" t="n">
        <f aca="false">Sens!$D$1872+Sens!$D$1888-ext_sh*Sens!$D$1807</f>
        <v>60.2799375433739</v>
      </c>
      <c r="E1892" s="38" t="n">
        <f aca="false">Sens!$E$1872+Sens!$E$1888-ext_sh*Sens!$E$1807</f>
        <v>39.5095167090767</v>
      </c>
      <c r="F1892" s="38" t="n">
        <f aca="false">Sens!$F$1872+Sens!$F$1888-ext_sh*Sens!$F$1807</f>
        <v>38.322678313925</v>
      </c>
      <c r="G1892" s="38" t="n">
        <f aca="false">Sens!$G$1872+Sens!$G$1888-ext_sh*Sens!$G$1807</f>
        <v>77.8321950230017</v>
      </c>
      <c r="H1892" s="38" t="n">
        <f aca="false">Sens!$H$1872+Sens!$H$1888-ext_sh*Sens!$H$1807</f>
        <v>85.9783454157295</v>
      </c>
      <c r="I1892" s="38" t="n">
        <f aca="false">Sens!$I$1872+Sens!$I$1888-ext_sh*Sens!$I$1807</f>
        <v>95.4577515182581</v>
      </c>
      <c r="J1892" s="38" t="n">
        <f aca="false">Sens!$J$1872+Sens!$J$1888-ext_sh*Sens!$J$1807</f>
        <v>104.53833307247</v>
      </c>
      <c r="K1892" s="38" t="n">
        <f aca="false">Sens!$K$1872+Sens!$K$1888-ext_sh*Sens!$K$1807</f>
        <v>112.901399718268</v>
      </c>
      <c r="L1892" s="38" t="n">
        <f aca="false">Sens!$L$1872+Sens!$L$1888-ext_sh*Sens!$L$1807</f>
        <v>121.933511695729</v>
      </c>
      <c r="M1892" s="38" t="n">
        <f aca="false">Sens!$M$1872+Sens!$M$1888-ext_sh*Sens!$M$1807</f>
        <v>131.688192631387</v>
      </c>
      <c r="N1892" s="38" t="n">
        <f aca="false">Sens!$N$1872+Sens!$N$1888-ext_sh*Sens!$N$1807</f>
        <v>28.5693781401809</v>
      </c>
      <c r="O1892" s="38" t="n">
        <f aca="false">Sens!$O$1872+Sens!$O$1888-ext_sh*Sens!$O$1807</f>
        <v>31.7105594031931</v>
      </c>
    </row>
    <row r="1893" customFormat="false" ht="17.15" hidden="false" customHeight="false" outlineLevel="0" collapsed="false">
      <c r="A1893" s="0" t="s">
        <v>743</v>
      </c>
      <c r="B1893" s="0" t="s">
        <v>86</v>
      </c>
      <c r="C1893" s="38" t="n">
        <f aca="false">Sens!$C$1810</f>
        <v>1.80694998843362</v>
      </c>
      <c r="D1893" s="38" t="n">
        <f aca="false">Sens!$D$1810</f>
        <v>6.77606245662607</v>
      </c>
      <c r="E1893" s="38" t="n">
        <f aca="false">Sens!$E$1810</f>
        <v>6.62548329092326</v>
      </c>
      <c r="F1893" s="38" t="n">
        <f aca="false">Sens!$F$1810</f>
        <v>11.7200577158706</v>
      </c>
      <c r="G1893" s="38" t="n">
        <f aca="false">Sens!$G$1810</f>
        <v>18.3455410067939</v>
      </c>
      <c r="H1893" s="38" t="n">
        <f aca="false">Sens!$H$1810</f>
        <v>47.5171727060453</v>
      </c>
      <c r="I1893" s="38" t="n">
        <f aca="false">Sens!$I$1810</f>
        <v>80.5539692643667</v>
      </c>
      <c r="J1893" s="38" t="n">
        <f aca="false">Sens!$J$1810</f>
        <v>113.759316834883</v>
      </c>
      <c r="K1893" s="38" t="n">
        <f aca="false">Sens!$K$1810</f>
        <v>142.084411492169</v>
      </c>
      <c r="L1893" s="38" t="n">
        <f aca="false">Sens!$L$1810</f>
        <v>160.69964615804</v>
      </c>
      <c r="M1893" s="38" t="n">
        <f aca="false">Sens!$M$1810</f>
        <v>169.577607141793</v>
      </c>
      <c r="N1893" s="38" t="n">
        <f aca="false">Sens!$N$1810</f>
        <v>2.37162185981912</v>
      </c>
      <c r="O1893" s="38" t="n">
        <f aca="false">Sens!$O$1810</f>
        <v>4.40444059680694</v>
      </c>
    </row>
    <row r="1894" customFormat="false" ht="17.15" hidden="false" customHeight="false" outlineLevel="0" collapsed="false">
      <c r="A1894" s="0" t="s">
        <v>744</v>
      </c>
      <c r="B1894" s="0" t="s">
        <v>86</v>
      </c>
      <c r="C1894" s="38" t="n">
        <f aca="false">Sens!$C$1875+Sens!$C$1889</f>
        <v>100.66</v>
      </c>
      <c r="D1894" s="38" t="n">
        <f aca="false">Sens!$D$1875+Sens!$D$1889</f>
        <v>121.835</v>
      </c>
      <c r="E1894" s="38" t="n">
        <f aca="false">Sens!$E$1875+Sens!$E$1889</f>
        <v>78.016</v>
      </c>
      <c r="F1894" s="38" t="n">
        <f aca="false">Sens!$F$1875+Sens!$F$1889</f>
        <v>86.0846542793366</v>
      </c>
      <c r="G1894" s="38" t="n">
        <f aca="false">Sens!$G$1875+Sens!$G$1889</f>
        <v>164.100654279337</v>
      </c>
      <c r="H1894" s="38" t="n">
        <f aca="false">Sens!$H$1875+Sens!$H$1889</f>
        <v>212.363988138299</v>
      </c>
      <c r="I1894" s="38" t="n">
        <f aca="false">Sens!$I$1875+Sens!$I$1889</f>
        <v>265.509834156227</v>
      </c>
      <c r="J1894" s="38" t="n">
        <f aca="false">Sens!$J$1875+Sens!$J$1889</f>
        <v>317.855259190695</v>
      </c>
      <c r="K1894" s="38" t="n">
        <f aca="false">Sens!$K$1875+Sens!$K$1889</f>
        <v>363.58544808329</v>
      </c>
      <c r="L1894" s="38" t="n">
        <f aca="false">Sens!$L$1875+Sens!$L$1889</f>
        <v>400.161642327328</v>
      </c>
      <c r="M1894" s="38" t="n">
        <f aca="false">Sens!$M$1875+Sens!$M$1889</f>
        <v>429.248880149565</v>
      </c>
      <c r="N1894" s="38" t="n">
        <f aca="false">Sens!$N$1875+Sens!$N$1889</f>
        <v>56.398</v>
      </c>
      <c r="O1894" s="38" t="n">
        <f aca="false">Sens!$O$1875+Sens!$O$1889</f>
        <v>65.437</v>
      </c>
    </row>
    <row r="1895" customFormat="false" ht="17.15" hidden="false" customHeight="false" outlineLevel="0" collapsed="false">
      <c r="A1895" s="1" t="s">
        <v>745</v>
      </c>
    </row>
    <row r="1896" customFormat="false" ht="15" hidden="false" customHeight="false" outlineLevel="0" collapsed="false">
      <c r="A1896" s="5" t="s">
        <v>541</v>
      </c>
      <c r="B1896" s="0" t="s">
        <v>86</v>
      </c>
      <c r="C1896" s="38" t="n">
        <f aca="false">Q!$D$34</f>
        <v>2.406</v>
      </c>
      <c r="D1896" s="38" t="n">
        <f aca="false">Q!$E$34</f>
        <v>2.274</v>
      </c>
      <c r="E1896" s="38" t="n">
        <f aca="false">Q!$P$34</f>
        <v>2.114</v>
      </c>
      <c r="F1896" s="38" t="n">
        <f aca="false">Sens!$F$1934</f>
        <v>3.24888962733561</v>
      </c>
      <c r="G1896" s="38" t="n">
        <f aca="false">Sens!$E$1896+Sens!$F$1896</f>
        <v>5.36288962733561</v>
      </c>
      <c r="H1896" s="38" t="n">
        <f aca="false">Sens!$H$1934</f>
        <v>7.42354172302123</v>
      </c>
      <c r="I1896" s="38" t="n">
        <f aca="false">Sens!$I$1934</f>
        <v>8.13775578777296</v>
      </c>
      <c r="J1896" s="38" t="n">
        <f aca="false">Sens!$J$1934</f>
        <v>9.26531477313415</v>
      </c>
      <c r="K1896" s="38" t="n">
        <f aca="false">Sens!$K$1934</f>
        <v>9.26531477313415</v>
      </c>
      <c r="L1896" s="38" t="n">
        <f aca="false">Sens!$L$1934</f>
        <v>9.26531477313415</v>
      </c>
      <c r="M1896" s="38" t="n">
        <f aca="false">Sens!$M$1934</f>
        <v>9.26531477313415</v>
      </c>
      <c r="N1896" s="38" t="n">
        <f aca="false">Q!$N$34</f>
        <v>1.057</v>
      </c>
      <c r="O1896" s="38" t="n">
        <f aca="false">Q!$O$34</f>
        <v>1.217</v>
      </c>
    </row>
    <row r="1897" customFormat="false" ht="15" hidden="false" customHeight="false" outlineLevel="0" collapsed="false">
      <c r="A1897" s="5" t="s">
        <v>746</v>
      </c>
      <c r="B1897" s="0" t="s">
        <v>86</v>
      </c>
      <c r="F1897" s="38" t="n">
        <f aca="false">Sens!$F$1935</f>
        <v>2.59</v>
      </c>
      <c r="H1897" s="38" t="n">
        <f aca="false">Sens!$H$1935</f>
        <v>3.82462625228262</v>
      </c>
      <c r="I1897" s="38" t="n">
        <f aca="false">Sens!$I$1935</f>
        <v>2.10589651022864</v>
      </c>
      <c r="J1897" s="38" t="n">
        <f aca="false">Sens!$J$1935</f>
        <v>2.10589651022864</v>
      </c>
      <c r="K1897" s="38" t="n">
        <f aca="false">Sens!$K$1935</f>
        <v>3.0956877614926</v>
      </c>
      <c r="L1897" s="38" t="n">
        <f aca="false">Sens!$L$1935</f>
        <v>6.85340546521651</v>
      </c>
      <c r="M1897" s="38" t="n">
        <f aca="false">Sens!$M$1935</f>
        <v>12.0742159293717</v>
      </c>
    </row>
    <row r="1898" customFormat="false" ht="17.15" hidden="false" customHeight="false" outlineLevel="0" collapsed="false">
      <c r="A1898" s="5" t="s">
        <v>747</v>
      </c>
      <c r="B1898" s="0" t="s">
        <v>86</v>
      </c>
      <c r="C1898" s="38" t="n">
        <f aca="false">Q!$D$39</f>
        <v>2.427</v>
      </c>
      <c r="D1898" s="38" t="n">
        <f aca="false">Q!$E$39</f>
        <v>19.61</v>
      </c>
      <c r="E1898" s="38" t="n">
        <f aca="false">Q!$P$39</f>
        <v>71.492</v>
      </c>
      <c r="F1898" s="39" t="n">
        <v>0</v>
      </c>
      <c r="G1898" s="38" t="n">
        <f aca="false">Sens!$E$1898+Sens!$F$1898</f>
        <v>71.492</v>
      </c>
      <c r="H1898" s="39" t="n">
        <v>0</v>
      </c>
      <c r="I1898" s="39" t="n">
        <v>0</v>
      </c>
      <c r="J1898" s="39" t="n">
        <v>0</v>
      </c>
      <c r="K1898" s="39" t="n">
        <v>0</v>
      </c>
      <c r="L1898" s="39" t="n">
        <v>0</v>
      </c>
      <c r="M1898" s="39" t="n">
        <v>0</v>
      </c>
      <c r="N1898" s="38" t="n">
        <f aca="false">Q!$N$39</f>
        <v>6.017</v>
      </c>
      <c r="O1898" s="38" t="n">
        <f aca="false">Q!$O$39</f>
        <v>13.593</v>
      </c>
      <c r="P1898" s="5" t="s">
        <v>748</v>
      </c>
    </row>
    <row r="1899" customFormat="false" ht="15" hidden="false" customHeight="false" outlineLevel="0" collapsed="false">
      <c r="A1899" s="5" t="s">
        <v>544</v>
      </c>
      <c r="B1899" s="0" t="s">
        <v>86</v>
      </c>
      <c r="C1899" s="38" t="n">
        <f aca="false">Q!$D$36</f>
        <v>68.614</v>
      </c>
      <c r="D1899" s="38" t="n">
        <f aca="false">Q!$E$36</f>
        <v>97.311</v>
      </c>
      <c r="E1899" s="38" t="n">
        <f aca="false">Q!$P$36</f>
        <v>120.691</v>
      </c>
      <c r="F1899" s="38" t="n">
        <f aca="false">Sens!$F$1875-Sens!$F$1896+Sens!$F$1897+Sens!$F$1898</f>
        <v>55.3504720042584</v>
      </c>
      <c r="G1899" s="38" t="n">
        <f aca="false">Sens!$E$1899+Sens!$F$1899</f>
        <v>176.041472004258</v>
      </c>
      <c r="H1899" s="38" t="n">
        <f aca="false">Sens!$H$1875-Sens!$H$1896+Sens!$H$1897+Sens!$H$1898</f>
        <v>118.89322026375</v>
      </c>
      <c r="I1899" s="38" t="n">
        <f aca="false">Sens!$I$1875-Sens!$I$1896+Sens!$I$1897+Sens!$I$1898</f>
        <v>131.89011357187</v>
      </c>
      <c r="J1899" s="38" t="n">
        <f aca="false">Sens!$J$1875-Sens!$J$1896+Sens!$J$1897+Sens!$J$1898</f>
        <v>143.623011868114</v>
      </c>
      <c r="K1899" s="38" t="n">
        <f aca="false">Sens!$K$1875-Sens!$K$1896+Sens!$K$1897+Sens!$K$1898</f>
        <v>153.736811640282</v>
      </c>
      <c r="L1899" s="38" t="n">
        <f aca="false">Sens!$L$1875-Sens!$L$1896+Sens!$L$1897+Sens!$L$1898</f>
        <v>166.245280523118</v>
      </c>
      <c r="M1899" s="38" t="n">
        <f aca="false">Sens!$M$1875-Sens!$M$1896+Sens!$M$1897+Sens!$M$1898</f>
        <v>184.567066833206</v>
      </c>
      <c r="N1899" s="38" t="n">
        <f aca="false">Q!$N$36</f>
        <v>42.536</v>
      </c>
      <c r="O1899" s="38" t="n">
        <f aca="false">Q!$O$36</f>
        <v>54.775</v>
      </c>
    </row>
    <row r="1900" customFormat="false" ht="15" hidden="false" customHeight="false" outlineLevel="0" collapsed="false">
      <c r="A1900" s="5" t="s">
        <v>545</v>
      </c>
      <c r="B1900" s="0" t="s">
        <v>86</v>
      </c>
      <c r="C1900" s="38" t="n">
        <f aca="false">Q!$D$37</f>
        <v>9.265</v>
      </c>
      <c r="D1900" s="38" t="n">
        <f aca="false">Q!$E$37</f>
        <v>19.087</v>
      </c>
      <c r="E1900" s="38" t="n">
        <f aca="false">Q!$P$37</f>
        <v>27.759</v>
      </c>
      <c r="F1900" s="38" t="n">
        <f aca="false">Sens!$F$1899*tax</f>
        <v>9.60798548110954</v>
      </c>
      <c r="G1900" s="38" t="n">
        <f aca="false">Sens!$E$1900+Sens!$F$1900</f>
        <v>37.3669854811095</v>
      </c>
      <c r="H1900" s="38" t="n">
        <f aca="false">Sens!$H$1899*tax</f>
        <v>20.6380233579324</v>
      </c>
      <c r="I1900" s="38" t="n">
        <f aca="false">Sens!$I$1899*tax</f>
        <v>22.8940829303663</v>
      </c>
      <c r="J1900" s="38" t="n">
        <f aca="false">Sens!$J$1899*tax</f>
        <v>24.9307325270125</v>
      </c>
      <c r="K1900" s="38" t="n">
        <f aca="false">Sens!$K$1899*tax</f>
        <v>26.6863316728042</v>
      </c>
      <c r="L1900" s="38" t="n">
        <f aca="false">Sens!$L$1899*tax</f>
        <v>28.8576083225851</v>
      </c>
      <c r="M1900" s="38" t="n">
        <f aca="false">Sens!$M$1899*tax</f>
        <v>32.0379869260732</v>
      </c>
      <c r="N1900" s="38" t="n">
        <f aca="false">Q!$N$37</f>
        <v>7.231</v>
      </c>
      <c r="O1900" s="38" t="n">
        <f aca="false">Q!$O$37</f>
        <v>11.856</v>
      </c>
    </row>
    <row r="1901" customFormat="false" ht="15" hidden="false" customHeight="false" outlineLevel="0" collapsed="false">
      <c r="A1901" s="3" t="s">
        <v>546</v>
      </c>
      <c r="B1901" s="8" t="s">
        <v>86</v>
      </c>
      <c r="C1901" s="38" t="n">
        <f aca="false">Q!$D$38</f>
        <v>59.248</v>
      </c>
      <c r="D1901" s="38" t="n">
        <f aca="false">Q!$E$38</f>
        <v>77.67</v>
      </c>
      <c r="E1901" s="38" t="n">
        <f aca="false">Q!$P$38</f>
        <v>92.902</v>
      </c>
      <c r="F1901" s="38" t="n">
        <f aca="false">Sens!$F$1899-Sens!$F$1900</f>
        <v>45.7424865231489</v>
      </c>
      <c r="G1901" s="38" t="n">
        <f aca="false">Sens!$E$1901+Sens!$F$1901</f>
        <v>138.644486523149</v>
      </c>
      <c r="H1901" s="38" t="n">
        <f aca="false">Sens!$H$1899-Sens!$H$1900</f>
        <v>98.2551969058175</v>
      </c>
      <c r="I1901" s="38" t="n">
        <f aca="false">Sens!$I$1899-Sens!$I$1900</f>
        <v>108.996030641503</v>
      </c>
      <c r="J1901" s="38" t="n">
        <f aca="false">Sens!$J$1899-Sens!$J$1900</f>
        <v>118.692279341101</v>
      </c>
      <c r="K1901" s="38" t="n">
        <f aca="false">Sens!$K$1899-Sens!$K$1900</f>
        <v>127.050479967478</v>
      </c>
      <c r="L1901" s="38" t="n">
        <f aca="false">Sens!$L$1899-Sens!$L$1900</f>
        <v>137.387672200533</v>
      </c>
      <c r="M1901" s="38" t="n">
        <f aca="false">Sens!$M$1899-Sens!$M$1900</f>
        <v>152.529079907132</v>
      </c>
      <c r="N1901" s="38" t="n">
        <f aca="false">Q!$N$38</f>
        <v>35.291</v>
      </c>
      <c r="O1901" s="38" t="n">
        <f aca="false">Q!$O$38</f>
        <v>42.379</v>
      </c>
    </row>
    <row r="1902" customFormat="false" ht="17.15" hidden="false" customHeight="false" outlineLevel="0" collapsed="false">
      <c r="A1902" s="5" t="s">
        <v>549</v>
      </c>
      <c r="B1902" s="5" t="s">
        <v>33</v>
      </c>
      <c r="C1902" s="22" t="n">
        <f aca="false">Q!$D$41</f>
        <v>10.721</v>
      </c>
      <c r="D1902" s="22" t="n">
        <f aca="false">Q!$E$41</f>
        <v>10.827</v>
      </c>
      <c r="E1902" s="22" t="n">
        <f aca="false">(Q!$L$41+Q!$M$41)/2</f>
        <v>10.8885</v>
      </c>
      <c r="F1902" s="22" t="n">
        <f aca="false">Sens!$G$1902</f>
        <v>10.924806</v>
      </c>
      <c r="G1902" s="22" t="n">
        <f aca="false">Q!$M$41*(1+sh_g*0.25)</f>
        <v>10.924806</v>
      </c>
      <c r="H1902" s="22" t="n">
        <f aca="false">Sens!$G$1902*(1+sh_g)</f>
        <v>11.012204448</v>
      </c>
      <c r="I1902" s="22" t="n">
        <f aca="false">Sens!$H$1902*(1+sh_g)</f>
        <v>11.100302083584</v>
      </c>
      <c r="J1902" s="22" t="n">
        <f aca="false">Sens!$I$1902*(1+sh_g)</f>
        <v>11.1891045002527</v>
      </c>
      <c r="K1902" s="22" t="n">
        <f aca="false">Sens!$J$1902*(1+sh_g)</f>
        <v>11.2786173362547</v>
      </c>
      <c r="L1902" s="22" t="n">
        <f aca="false">Sens!$K$1902*(1+sh_g)</f>
        <v>11.3688462749447</v>
      </c>
      <c r="M1902" s="22" t="n">
        <f aca="false">Sens!$L$1902*(1+sh_g)</f>
        <v>11.4597970451443</v>
      </c>
      <c r="P1902" s="5" t="s">
        <v>749</v>
      </c>
    </row>
    <row r="1903" customFormat="false" ht="17.15" hidden="false" customHeight="false" outlineLevel="0" collapsed="false">
      <c r="A1903" s="5" t="s">
        <v>750</v>
      </c>
      <c r="B1903" s="0" t="s">
        <v>86</v>
      </c>
      <c r="C1903" s="38" t="n">
        <f aca="false">Sens!$C$1901+Sens!$C$1877*(1-tax)</f>
        <v>59.248</v>
      </c>
      <c r="D1903" s="38" t="n">
        <f aca="false">Sens!$D$1901+Sens!$D$1877*(1-tax)</f>
        <v>77.67</v>
      </c>
      <c r="E1903" s="38" t="n">
        <f aca="false">Sens!$E$1901+Sens!$E$1877*(1-tax)</f>
        <v>92.902</v>
      </c>
      <c r="F1903" s="38" t="n">
        <f aca="false">Sens!$F$1901+Sens!$F$1877*(1-tax)</f>
        <v>48.8590814827976</v>
      </c>
      <c r="G1903" s="38" t="n">
        <f aca="false">Sens!$G$1901+Sens!$G$1877*(1-tax)</f>
        <v>141.761081482798</v>
      </c>
      <c r="H1903" s="38" t="n">
        <f aca="false">Sens!$H$1901+Sens!$H$1877*(1-tax)</f>
        <v>110.786592861162</v>
      </c>
      <c r="I1903" s="38" t="n">
        <f aca="false">Sens!$I$1901+Sens!$I$1877*(1-tax)</f>
        <v>130.137295716443</v>
      </c>
      <c r="J1903" s="38" t="n">
        <f aca="false">Sens!$J$1901+Sens!$J$1877*(1-tax)</f>
        <v>148.481716285385</v>
      </c>
      <c r="K1903" s="38" t="n">
        <f aca="false">Sens!$K$1901+Sens!$K$1877*(1-tax)</f>
        <v>164.217785664137</v>
      </c>
      <c r="L1903" s="38" t="n">
        <f aca="false">Sens!$L$1901+Sens!$L$1877*(1-tax)</f>
        <v>179.403749541088</v>
      </c>
      <c r="M1903" s="38" t="n">
        <f aca="false">Sens!$M$1901+Sens!$M$1877*(1-tax)</f>
        <v>196.858602097973</v>
      </c>
      <c r="N1903" s="38" t="n">
        <f aca="false">Sens!$N$1901+Sens!$N$1877*(1-tax)</f>
        <v>35.291</v>
      </c>
      <c r="O1903" s="38" t="n">
        <f aca="false">Sens!$O$1901+Sens!$O$1877*(1-tax)</f>
        <v>42.379</v>
      </c>
    </row>
    <row r="1904" customFormat="false" ht="17.15" hidden="false" customHeight="false" outlineLevel="0" collapsed="false">
      <c r="A1904" s="43" t="s">
        <v>751</v>
      </c>
      <c r="B1904" s="14" t="s">
        <v>27</v>
      </c>
      <c r="C1904" s="44" t="n">
        <f aca="false">Sens!$C$1903/Sens!$C$1902</f>
        <v>5.52635015390355</v>
      </c>
      <c r="D1904" s="44" t="n">
        <f aca="false">Sens!$D$1903/Sens!$D$1902</f>
        <v>7.1737323358271</v>
      </c>
      <c r="E1904" s="44" t="n">
        <f aca="false">Sens!$E$1903/Sens!$E$1902</f>
        <v>8.53212104513937</v>
      </c>
      <c r="F1904" s="14"/>
      <c r="G1904" s="44" t="n">
        <f aca="false">Sens!$G$1903/Sens!$G$1902</f>
        <v>12.9760731204561</v>
      </c>
      <c r="H1904" s="44" t="n">
        <f aca="false">Sens!$H$1903/Sens!$H$1902</f>
        <v>10.0603465350013</v>
      </c>
      <c r="I1904" s="44" t="n">
        <f aca="false">Sens!$I$1903/Sens!$I$1902</f>
        <v>11.7237616360819</v>
      </c>
      <c r="J1904" s="44" t="n">
        <f aca="false">Sens!$J$1903/Sens!$J$1902</f>
        <v>13.2702055184159</v>
      </c>
      <c r="K1904" s="44" t="n">
        <f aca="false">Sens!$K$1903/Sens!$K$1902</f>
        <v>14.5600990589746</v>
      </c>
      <c r="L1904" s="44" t="n">
        <f aca="false">Sens!$L$1903/Sens!$L$1902</f>
        <v>15.7802951330662</v>
      </c>
      <c r="M1904" s="44" t="n">
        <f aca="false">Sens!$M$1903/Sens!$M$1902</f>
        <v>17.1781927134028</v>
      </c>
      <c r="N1904" s="14"/>
      <c r="O1904" s="14"/>
    </row>
    <row r="1905" customFormat="false" ht="17.15" hidden="false" customHeight="false" outlineLevel="0" collapsed="false">
      <c r="A1905" s="0" t="s">
        <v>752</v>
      </c>
      <c r="B1905" s="0" t="s">
        <v>27</v>
      </c>
      <c r="C1905" s="30" t="n">
        <f aca="false">Sens!$C$1901/Sens!$C$1902</f>
        <v>5.52635015390355</v>
      </c>
      <c r="D1905" s="30" t="n">
        <f aca="false">Sens!$D$1901/Sens!$D$1902</f>
        <v>7.1737323358271</v>
      </c>
      <c r="E1905" s="30" t="n">
        <f aca="false">Sens!$E$1901/Sens!$E$1902</f>
        <v>8.53212104513937</v>
      </c>
      <c r="G1905" s="30" t="n">
        <f aca="false">Sens!$G$1901/Sens!$G$1902</f>
        <v>12.6907962048158</v>
      </c>
      <c r="H1905" s="30" t="n">
        <f aca="false">Sens!$H$1901/Sens!$H$1902</f>
        <v>8.9223912768585</v>
      </c>
      <c r="I1905" s="30" t="n">
        <f aca="false">Sens!$I$1901/Sens!$I$1902</f>
        <v>9.81919499314305</v>
      </c>
      <c r="J1905" s="30" t="n">
        <f aca="false">Sens!$J$1901/Sens!$J$1902</f>
        <v>10.6078443845458</v>
      </c>
      <c r="K1905" s="30" t="n">
        <f aca="false">Sens!$K$1901/Sens!$K$1902</f>
        <v>11.2647212135728</v>
      </c>
      <c r="L1905" s="30" t="n">
        <f aca="false">Sens!$L$1901/Sens!$L$1902</f>
        <v>12.0845747121513</v>
      </c>
      <c r="M1905" s="30" t="n">
        <f aca="false">Sens!$M$1901/Sens!$M$1902</f>
        <v>13.3099285533823</v>
      </c>
    </row>
    <row r="1906" customFormat="false" ht="17.15" hidden="false" customHeight="false" outlineLevel="0" collapsed="false">
      <c r="A1906" s="0" t="s">
        <v>753</v>
      </c>
      <c r="B1906" s="0" t="s">
        <v>27</v>
      </c>
      <c r="C1906" s="30" t="n">
        <f aca="false">(Sens!$C$1901-Sens!$C$1898*(1-tax))/Sens!$C$1902</f>
        <v>5.33926775917445</v>
      </c>
      <c r="D1906" s="30" t="n">
        <f aca="false">(Sens!$D$1901-Sens!$D$1898*(1-tax))/Sens!$D$1902</f>
        <v>5.67691812755503</v>
      </c>
      <c r="E1906" s="30" t="n">
        <f aca="false">(Sens!$E$1901-Sens!$E$1898*(1-tax))/Sens!$E$1902</f>
        <v>3.10602057006846</v>
      </c>
      <c r="G1906" s="30" t="n">
        <f aca="false">(Sens!$G$1901-Sens!$G$1898*(1-tax))/Sens!$G$1902</f>
        <v>7.28272808691882</v>
      </c>
      <c r="H1906" s="30" t="n">
        <f aca="false">(Sens!$H$1901-Sens!$H$1898*(1-tax))/Sens!$H$1902</f>
        <v>8.9223912768585</v>
      </c>
      <c r="I1906" s="30" t="n">
        <f aca="false">(Sens!$I$1901-Sens!$I$1898*(1-tax))/Sens!$I$1902</f>
        <v>9.81919499314305</v>
      </c>
      <c r="J1906" s="30" t="n">
        <f aca="false">(Sens!$J$1901-Sens!$J$1898*(1-tax))/Sens!$J$1902</f>
        <v>10.6078443845458</v>
      </c>
      <c r="K1906" s="30" t="n">
        <f aca="false">(Sens!$K$1901-Sens!$K$1898*(1-tax))/Sens!$K$1902</f>
        <v>11.2647212135728</v>
      </c>
      <c r="L1906" s="30" t="n">
        <f aca="false">(Sens!$L$1901-Sens!$L$1898*(1-tax))/Sens!$L$1902</f>
        <v>12.0845747121513</v>
      </c>
      <c r="M1906" s="30" t="n">
        <f aca="false">(Sens!$M$1901-Sens!$M$1898*(1-tax))/Sens!$M$1902</f>
        <v>13.3099285533823</v>
      </c>
      <c r="P1906" s="5" t="s">
        <v>754</v>
      </c>
    </row>
    <row r="1907" customFormat="false" ht="17.15" hidden="false" customHeight="false" outlineLevel="0" collapsed="false">
      <c r="A1907" s="0" t="s">
        <v>755</v>
      </c>
      <c r="B1907" s="0" t="s">
        <v>52</v>
      </c>
      <c r="H1907" s="13" t="n">
        <f aca="false">Sens!$H$1904/Sens!$G$1904-1</f>
        <v>-0.224700227749052</v>
      </c>
      <c r="I1907" s="13" t="n">
        <f aca="false">Sens!$I$1904/Sens!$H$1904-1</f>
        <v>0.165343718061146</v>
      </c>
      <c r="J1907" s="13" t="n">
        <f aca="false">Sens!$J$1904/Sens!$I$1904-1</f>
        <v>0.131906800081508</v>
      </c>
      <c r="K1907" s="13" t="n">
        <f aca="false">Sens!$K$1904/Sens!$J$1904-1</f>
        <v>0.0972022278606533</v>
      </c>
      <c r="L1907" s="13" t="n">
        <f aca="false">Sens!$L$1904/Sens!$K$1904-1</f>
        <v>0.0838041052570637</v>
      </c>
      <c r="M1907" s="13" t="n">
        <f aca="false">Sens!$M$1904/Sens!$L$1904-1</f>
        <v>0.0885850086166924</v>
      </c>
    </row>
    <row r="1910" customFormat="false" ht="19.4" hidden="false" customHeight="false" outlineLevel="0" collapsed="false">
      <c r="A1910" s="31" t="s">
        <v>1165</v>
      </c>
    </row>
    <row r="1911" customFormat="false" ht="17.15" hidden="false" customHeight="false" outlineLevel="0" collapsed="false">
      <c r="A1911" s="6" t="s">
        <v>16</v>
      </c>
      <c r="B1911" s="6" t="s">
        <v>17</v>
      </c>
      <c r="C1911" s="20" t="s">
        <v>494</v>
      </c>
      <c r="D1911" s="20" t="s">
        <v>495</v>
      </c>
      <c r="E1911" s="20" t="s">
        <v>577</v>
      </c>
      <c r="F1911" s="20" t="s">
        <v>578</v>
      </c>
      <c r="G1911" s="20" t="s">
        <v>579</v>
      </c>
      <c r="H1911" s="20" t="s">
        <v>580</v>
      </c>
      <c r="I1911" s="20" t="s">
        <v>581</v>
      </c>
      <c r="J1911" s="20" t="s">
        <v>582</v>
      </c>
      <c r="K1911" s="20" t="s">
        <v>583</v>
      </c>
      <c r="L1911" s="20" t="s">
        <v>584</v>
      </c>
      <c r="M1911" s="20" t="s">
        <v>585</v>
      </c>
      <c r="N1911" s="20" t="s">
        <v>586</v>
      </c>
      <c r="O1911" s="20" t="s">
        <v>587</v>
      </c>
      <c r="P1911" s="6" t="s">
        <v>23</v>
      </c>
      <c r="R1911" s="20" t="n">
        <v>2023</v>
      </c>
      <c r="S1911" s="20" t="n">
        <v>2024</v>
      </c>
      <c r="T1911" s="20" t="n">
        <v>2025</v>
      </c>
      <c r="U1911" s="20" t="n">
        <v>2026</v>
      </c>
      <c r="V1911" s="20" t="n">
        <v>2027</v>
      </c>
      <c r="W1911" s="20" t="n">
        <v>2028</v>
      </c>
      <c r="X1911" s="20" t="n">
        <v>2029</v>
      </c>
      <c r="Y1911" s="20" t="n">
        <v>2030</v>
      </c>
      <c r="Z1911" s="20" t="n">
        <v>2031</v>
      </c>
      <c r="AA1911" s="20" t="n">
        <v>2032</v>
      </c>
    </row>
    <row r="1912" customFormat="false" ht="15" hidden="false" customHeight="false" outlineLevel="0" collapsed="false">
      <c r="A1912" s="5" t="s">
        <v>546</v>
      </c>
      <c r="B1912" s="0" t="s">
        <v>86</v>
      </c>
      <c r="C1912" s="38" t="n">
        <f aca="false">Sens!$C$1901</f>
        <v>59.248</v>
      </c>
      <c r="D1912" s="38" t="n">
        <f aca="false">Sens!$D$1901</f>
        <v>77.67</v>
      </c>
      <c r="E1912" s="38" t="n">
        <f aca="false">Sens!$E$1901</f>
        <v>92.902</v>
      </c>
      <c r="F1912" s="38" t="n">
        <f aca="false">Sens!$F$1901</f>
        <v>45.7424865231489</v>
      </c>
      <c r="G1912" s="38" t="n">
        <f aca="false">Sens!$G$1901</f>
        <v>138.644486523149</v>
      </c>
      <c r="H1912" s="38" t="n">
        <f aca="false">Sens!$H$1901</f>
        <v>98.2551969058175</v>
      </c>
      <c r="I1912" s="38" t="n">
        <f aca="false">Sens!$I$1901</f>
        <v>108.996030641503</v>
      </c>
      <c r="J1912" s="38" t="n">
        <f aca="false">Sens!$J$1901</f>
        <v>118.692279341101</v>
      </c>
      <c r="K1912" s="38" t="n">
        <f aca="false">Sens!$K$1901</f>
        <v>127.050479967478</v>
      </c>
      <c r="L1912" s="38" t="n">
        <f aca="false">Sens!$L$1901</f>
        <v>137.387672200533</v>
      </c>
      <c r="M1912" s="38" t="n">
        <f aca="false">Sens!$M$1901</f>
        <v>152.529079907132</v>
      </c>
    </row>
    <row r="1913" customFormat="false" ht="17.15" hidden="false" customHeight="false" outlineLevel="0" collapsed="false">
      <c r="A1913" s="5" t="s">
        <v>778</v>
      </c>
      <c r="B1913" s="0" t="s">
        <v>86</v>
      </c>
      <c r="C1913" s="38" t="n">
        <f aca="false">Sens!$C$1889</f>
        <v>32.067</v>
      </c>
      <c r="D1913" s="38" t="n">
        <f aca="false">Sens!$D$1889</f>
        <v>41.86</v>
      </c>
      <c r="E1913" s="38" t="n">
        <f aca="false">Sens!$E$1889</f>
        <v>26.703</v>
      </c>
      <c r="F1913" s="38" t="n">
        <f aca="false">Sens!$F$1889</f>
        <v>30.0752926477426</v>
      </c>
      <c r="G1913" s="38" t="n">
        <f aca="false">Sens!$G$1889</f>
        <v>56.7782926477426</v>
      </c>
      <c r="H1913" s="38" t="n">
        <f aca="false">Sens!$H$1889</f>
        <v>89.8718524038106</v>
      </c>
      <c r="I1913" s="38" t="n">
        <f aca="false">Sens!$I$1889</f>
        <v>127.587861306813</v>
      </c>
      <c r="J1913" s="38" t="n">
        <f aca="false">Sens!$J$1889</f>
        <v>167.072829059676</v>
      </c>
      <c r="K1913" s="38" t="n">
        <f aca="false">Sens!$K$1889</f>
        <v>203.679009431366</v>
      </c>
      <c r="L1913" s="38" t="n">
        <f aca="false">Sens!$L$1889</f>
        <v>231.504452496292</v>
      </c>
      <c r="M1913" s="38" t="n">
        <f aca="false">Sens!$M$1889</f>
        <v>247.490714472597</v>
      </c>
    </row>
    <row r="1914" customFormat="false" ht="15" hidden="false" customHeight="false" outlineLevel="0" collapsed="false">
      <c r="A1914" s="5" t="s">
        <v>779</v>
      </c>
      <c r="B1914" s="0" t="s">
        <v>86</v>
      </c>
      <c r="C1914" s="38" t="n">
        <f aca="false">Q!$D$48</f>
        <v>22.011</v>
      </c>
      <c r="D1914" s="38" t="n">
        <f aca="false">Q!$E$48</f>
        <v>19.467</v>
      </c>
      <c r="E1914" s="38" t="n">
        <f aca="false">Q!$P$48</f>
        <v>10.07</v>
      </c>
      <c r="F1914" s="38" t="n">
        <f aca="false">sbc_r*Sens!$F$1831</f>
        <v>10.8507035798037</v>
      </c>
      <c r="G1914" s="38" t="n">
        <f aca="false">Sens!$E$1914+Sens!$F$1914</f>
        <v>20.9207035798037</v>
      </c>
      <c r="H1914" s="38" t="n">
        <f aca="false">sbc_r*Sens!$H$1831</f>
        <v>23.46224366345</v>
      </c>
      <c r="I1914" s="38" t="n">
        <f aca="false">sbc_r*Sens!$I$1831</f>
        <v>26.6125957111676</v>
      </c>
      <c r="J1914" s="38" t="n">
        <f aca="false">sbc_r*Sens!$J$1831</f>
        <v>29.6280801413323</v>
      </c>
      <c r="K1914" s="38" t="n">
        <f aca="false">sbc_r*Sens!$K$1831</f>
        <v>32.2712258901105</v>
      </c>
      <c r="L1914" s="38" t="n">
        <f aca="false">sbc_r*Sens!$L$1831</f>
        <v>34.7390505016737</v>
      </c>
      <c r="M1914" s="38" t="n">
        <f aca="false">sbc_r*Sens!$M$1831</f>
        <v>37.0405146906692</v>
      </c>
    </row>
    <row r="1915" customFormat="false" ht="17.15" hidden="false" customHeight="false" outlineLevel="0" collapsed="false">
      <c r="A1915" s="5" t="s">
        <v>780</v>
      </c>
      <c r="B1915" s="0" t="s">
        <v>86</v>
      </c>
      <c r="C1915" s="38" t="n">
        <f aca="false">Q!$D$44-Sens!$C$1912-Sens!$C$1913-Sens!$C$1914</f>
        <v>2.551</v>
      </c>
      <c r="D1915" s="38" t="n">
        <f aca="false">Q!$E$44-Sens!$D$1912-Sens!$D$1913-Sens!$D$1914</f>
        <v>0.51700000000001</v>
      </c>
      <c r="E1915" s="38" t="n">
        <f aca="false">Q!$P$44-Sens!$E$1912-Sens!$E$1913-Sens!$E$1914</f>
        <v>-58.256</v>
      </c>
      <c r="F1915" s="38" t="n">
        <f aca="false">oth_r*Sens!$F$1831</f>
        <v>5.22265251035878</v>
      </c>
      <c r="G1915" s="38" t="n">
        <f aca="false">Sens!$E$1915+Sens!$F$1915</f>
        <v>-53.0333474896412</v>
      </c>
      <c r="H1915" s="38" t="n">
        <f aca="false">oth_r*Sens!$H$1831</f>
        <v>11.2928295263397</v>
      </c>
      <c r="I1915" s="38" t="n">
        <f aca="false">oth_r*Sens!$I$1831</f>
        <v>12.8091546115766</v>
      </c>
      <c r="J1915" s="38" t="n">
        <f aca="false">oth_r*Sens!$J$1831</f>
        <v>14.2605653162668</v>
      </c>
      <c r="K1915" s="38" t="n">
        <f aca="false">oth_r*Sens!$K$1831</f>
        <v>15.5327622460396</v>
      </c>
      <c r="L1915" s="38" t="n">
        <f aca="false">oth_r*Sens!$L$1831</f>
        <v>16.720573737517</v>
      </c>
      <c r="M1915" s="38" t="n">
        <f aca="false">oth_r*Sens!$M$1831</f>
        <v>17.8283127551536</v>
      </c>
      <c r="P1915" s="8" t="s">
        <v>781</v>
      </c>
    </row>
    <row r="1916" customFormat="false" ht="15" hidden="false" customHeight="false" outlineLevel="0" collapsed="false">
      <c r="A1916" s="3" t="s">
        <v>552</v>
      </c>
      <c r="B1916" s="8" t="s">
        <v>86</v>
      </c>
      <c r="C1916" s="38" t="n">
        <f aca="false">Q!$D$44</f>
        <v>115.877</v>
      </c>
      <c r="D1916" s="38" t="n">
        <f aca="false">Q!$E$44</f>
        <v>139.514</v>
      </c>
      <c r="E1916" s="38" t="n">
        <f aca="false">Q!$P$44</f>
        <v>71.419</v>
      </c>
      <c r="F1916" s="38" t="n">
        <f aca="false">Sens!$F$1912+Sens!$F$1913+Sens!$F$1914+Sens!$F$1915</f>
        <v>91.8911352610539</v>
      </c>
      <c r="G1916" s="38" t="n">
        <f aca="false">Sens!$E$1916+Sens!$F$1916</f>
        <v>163.310135261054</v>
      </c>
      <c r="H1916" s="38" t="n">
        <f aca="false">Sens!$H$1912+Sens!$H$1913+Sens!$H$1914+Sens!$H$1915</f>
        <v>222.882122499418</v>
      </c>
      <c r="I1916" s="38" t="n">
        <f aca="false">Sens!$I$1912+Sens!$I$1913+Sens!$I$1914+Sens!$I$1915</f>
        <v>276.00564227106</v>
      </c>
      <c r="J1916" s="38" t="n">
        <f aca="false">Sens!$J$1912+Sens!$J$1913+Sens!$J$1914+Sens!$J$1915</f>
        <v>329.653753858376</v>
      </c>
      <c r="K1916" s="38" t="n">
        <f aca="false">Sens!$K$1912+Sens!$K$1913+Sens!$K$1914+Sens!$K$1915</f>
        <v>378.533477534994</v>
      </c>
      <c r="L1916" s="38" t="n">
        <f aca="false">Sens!$L$1912+Sens!$L$1913+Sens!$L$1914+Sens!$L$1915</f>
        <v>420.351748936016</v>
      </c>
      <c r="M1916" s="38" t="n">
        <f aca="false">Sens!$M$1912+Sens!$M$1913+Sens!$M$1914+Sens!$M$1915</f>
        <v>454.888621825553</v>
      </c>
    </row>
    <row r="1917" customFormat="false" ht="17.15" hidden="false" customHeight="false" outlineLevel="0" collapsed="false">
      <c r="A1917" s="5" t="s">
        <v>782</v>
      </c>
      <c r="B1917" s="0" t="s">
        <v>86</v>
      </c>
      <c r="C1917" s="38" t="n">
        <f aca="false">Sens!$C$1800</f>
        <v>25.2781053077374</v>
      </c>
      <c r="D1917" s="38" t="n">
        <f aca="false">Sens!$D$1800</f>
        <v>69.5686316310026</v>
      </c>
      <c r="E1917" s="38" t="n">
        <f aca="false">Sens!$E$1800</f>
        <v>64.1899206485108</v>
      </c>
      <c r="F1917" s="38" t="n">
        <f aca="false">Sens!$F$1800</f>
        <v>96.2481299895</v>
      </c>
      <c r="G1917" s="38" t="n">
        <f aca="false">Sens!$G$1800</f>
        <v>160.438050638011</v>
      </c>
      <c r="H1917" s="38" t="n">
        <f aca="false">Sens!$H$1800</f>
        <v>198.57136494475</v>
      </c>
      <c r="I1917" s="38" t="n">
        <f aca="false">Sens!$I$1800</f>
        <v>209.8832381105</v>
      </c>
      <c r="J1917" s="38" t="n">
        <f aca="false">Sens!$J$1800</f>
        <v>215.1200063105</v>
      </c>
      <c r="K1917" s="38" t="n">
        <f aca="false">Sens!$K$1800</f>
        <v>191.895762675201</v>
      </c>
      <c r="L1917" s="38" t="n">
        <f aca="false">Sens!$L$1800</f>
        <v>192.112602695152</v>
      </c>
      <c r="M1917" s="38" t="n">
        <f aca="false">Sens!$M$1800</f>
        <v>183.601495715103</v>
      </c>
    </row>
    <row r="1918" customFormat="false" ht="17.15" hidden="false" customHeight="false" outlineLevel="0" collapsed="false">
      <c r="A1918" s="5" t="s">
        <v>783</v>
      </c>
      <c r="B1918" s="0" t="s">
        <v>86</v>
      </c>
      <c r="C1918" s="38" t="n">
        <f aca="false">cx_awso*Sens!$C$1829</f>
        <v>21.0469989286053</v>
      </c>
      <c r="D1918" s="38" t="n">
        <f aca="false">cx_awso*Sens!$D$1829</f>
        <v>24.0042459822698</v>
      </c>
      <c r="E1918" s="38" t="n">
        <f aca="false">cx_awso*Sens!$E$1829</f>
        <v>14.261729404886</v>
      </c>
      <c r="F1918" s="38" t="n">
        <f aca="false">cx_awso*Sens!$F$1829</f>
        <v>14.3538599588493</v>
      </c>
      <c r="G1918" s="38" t="n">
        <f aca="false">Sens!$E$1918+Sens!$F$1918</f>
        <v>28.6155893637353</v>
      </c>
      <c r="H1918" s="38" t="n">
        <f aca="false">cx_awso*Sens!$H$1829</f>
        <v>32.2034154158406</v>
      </c>
      <c r="I1918" s="38" t="n">
        <f aca="false">cx_awso*Sens!$I$1829</f>
        <v>35.7539519042915</v>
      </c>
      <c r="J1918" s="38" t="n">
        <f aca="false">cx_awso*Sens!$J$1829</f>
        <v>39.1551076091815</v>
      </c>
      <c r="K1918" s="38" t="n">
        <f aca="false">cx_awso*Sens!$K$1829</f>
        <v>42.287516217916</v>
      </c>
      <c r="L1918" s="38" t="n">
        <f aca="false">cx_awso*Sens!$L$1829</f>
        <v>45.6705175153492</v>
      </c>
      <c r="M1918" s="38" t="n">
        <f aca="false">cx_awso*Sens!$M$1829</f>
        <v>49.3241589165772</v>
      </c>
    </row>
    <row r="1919" customFormat="false" ht="17.15" hidden="false" customHeight="false" outlineLevel="0" collapsed="false">
      <c r="A1919" s="5" t="s">
        <v>784</v>
      </c>
      <c r="B1919" s="0" t="s">
        <v>86</v>
      </c>
      <c r="C1919" s="38" t="n">
        <f aca="false">Q!$D$46-Sens!$C$1917-Sens!$C$1918</f>
        <v>31.3328957636573</v>
      </c>
      <c r="D1919" s="38" t="n">
        <f aca="false">Q!$E$46-Sens!$D$1917-Sens!$D$1918</f>
        <v>34.7471223867276</v>
      </c>
      <c r="E1919" s="38" t="n">
        <f aca="false">Q!$P$46-Sens!$E$1917-Sens!$E$1918</f>
        <v>17.8583499466032</v>
      </c>
      <c r="F1919" s="38" t="n">
        <f aca="false">cx_rt*Sens!$F$1763</f>
        <v>20.6195895799373</v>
      </c>
      <c r="G1919" s="38" t="n">
        <f aca="false">Sens!$E$1919+Sens!$F$1919</f>
        <v>38.4779395265405</v>
      </c>
      <c r="H1919" s="38" t="n">
        <f aca="false">cx_rt*Sens!$H$1763</f>
        <v>42.5978994743075</v>
      </c>
      <c r="I1919" s="38" t="n">
        <f aca="false">cx_rt*Sens!$I$1763</f>
        <v>46.5813904136335</v>
      </c>
      <c r="J1919" s="38" t="n">
        <f aca="false">cx_rt*Sens!$J$1763</f>
        <v>50.2781676586844</v>
      </c>
      <c r="K1919" s="38" t="n">
        <f aca="false">cx_rt*Sens!$K$1763</f>
        <v>53.5312440191755</v>
      </c>
      <c r="L1919" s="38" t="n">
        <f aca="false">cx_rt*Sens!$L$1763</f>
        <v>57.0116717051447</v>
      </c>
      <c r="M1919" s="38" t="n">
        <f aca="false">cx_rt*Sens!$M$1763</f>
        <v>60.7365554669226</v>
      </c>
    </row>
    <row r="1920" customFormat="false" ht="15" hidden="false" customHeight="false" outlineLevel="0" collapsed="false">
      <c r="A1920" s="3" t="s">
        <v>785</v>
      </c>
      <c r="B1920" s="8" t="s">
        <v>86</v>
      </c>
      <c r="C1920" s="38" t="n">
        <f aca="false">Q!$D$46</f>
        <v>77.658</v>
      </c>
      <c r="D1920" s="38" t="n">
        <f aca="false">Q!$E$46</f>
        <v>128.32</v>
      </c>
      <c r="E1920" s="38" t="n">
        <f aca="false">Q!$P$46</f>
        <v>96.31</v>
      </c>
      <c r="F1920" s="38" t="n">
        <f aca="false">Sens!$F$1917+Sens!$F$1918+Sens!$F$1919</f>
        <v>131.221579528287</v>
      </c>
      <c r="G1920" s="38" t="n">
        <f aca="false">Sens!$E$1920+Sens!$F$1920</f>
        <v>227.531579528287</v>
      </c>
      <c r="H1920" s="38" t="n">
        <f aca="false">Sens!$H$1917+Sens!$H$1918+Sens!$H$1919</f>
        <v>273.372679834898</v>
      </c>
      <c r="I1920" s="38" t="n">
        <f aca="false">Sens!$I$1917+Sens!$I$1918+Sens!$I$1919</f>
        <v>292.218580428425</v>
      </c>
      <c r="J1920" s="38" t="n">
        <f aca="false">Sens!$J$1917+Sens!$J$1918+Sens!$J$1919</f>
        <v>304.553281578366</v>
      </c>
      <c r="K1920" s="38" t="n">
        <f aca="false">Sens!$K$1917+Sens!$K$1918+Sens!$K$1919</f>
        <v>287.714522912292</v>
      </c>
      <c r="L1920" s="38" t="n">
        <f aca="false">Sens!$L$1917+Sens!$L$1918+Sens!$L$1919</f>
        <v>294.794791915646</v>
      </c>
      <c r="M1920" s="38" t="n">
        <f aca="false">Sens!$M$1917+Sens!$M$1918+Sens!$M$1919</f>
        <v>293.662210098602</v>
      </c>
    </row>
    <row r="1921" customFormat="false" ht="17.15" hidden="false" customHeight="false" outlineLevel="0" collapsed="false">
      <c r="A1921" s="5" t="s">
        <v>560</v>
      </c>
      <c r="B1921" s="0" t="s">
        <v>86</v>
      </c>
      <c r="C1921" s="38" t="n">
        <f aca="false">Q!$D$50</f>
        <v>2.043</v>
      </c>
      <c r="D1921" s="38" t="n">
        <f aca="false">Q!$E$50</f>
        <v>1.557</v>
      </c>
      <c r="E1921" s="38" t="n">
        <f aca="false">lease_pr/2</f>
        <v>0.8</v>
      </c>
      <c r="F1921" s="38" t="n">
        <f aca="false">lease_pr/2</f>
        <v>0.8</v>
      </c>
      <c r="G1921" s="38" t="n">
        <f aca="false">Sens!$E$1921+Sens!$F$1921</f>
        <v>1.6</v>
      </c>
      <c r="H1921" s="38" t="n">
        <f aca="false">lease_pr</f>
        <v>1.6</v>
      </c>
      <c r="I1921" s="38" t="n">
        <f aca="false">lease_pr</f>
        <v>1.6</v>
      </c>
      <c r="J1921" s="38" t="n">
        <f aca="false">lease_pr</f>
        <v>1.6</v>
      </c>
      <c r="K1921" s="38" t="n">
        <f aca="false">lease_pr</f>
        <v>1.6</v>
      </c>
      <c r="L1921" s="38" t="n">
        <f aca="false">lease_pr</f>
        <v>1.6</v>
      </c>
      <c r="M1921" s="38" t="n">
        <f aca="false">lease_pr</f>
        <v>1.6</v>
      </c>
      <c r="P1921" s="8" t="s">
        <v>786</v>
      </c>
    </row>
    <row r="1922" customFormat="false" ht="15" hidden="false" customHeight="false" outlineLevel="0" collapsed="false">
      <c r="A1922" s="47" t="s">
        <v>787</v>
      </c>
      <c r="B1922" s="14" t="s">
        <v>86</v>
      </c>
      <c r="C1922" s="48" t="n">
        <f aca="false">Sens!$C$1916-Sens!$C$1920-Sens!$C$1921</f>
        <v>36.176</v>
      </c>
      <c r="D1922" s="48" t="n">
        <f aca="false">Sens!$D$1916-Sens!$D$1920-Sens!$D$1921</f>
        <v>9.63700000000002</v>
      </c>
      <c r="E1922" s="48" t="n">
        <f aca="false">Sens!$E$1916-Sens!$E$1920-Sens!$E$1921</f>
        <v>-25.691</v>
      </c>
      <c r="F1922" s="48" t="n">
        <f aca="false">Sens!$F$1916-Sens!$F$1920-Sens!$F$1921</f>
        <v>-40.1304442672327</v>
      </c>
      <c r="G1922" s="48" t="n">
        <f aca="false">Sens!$G$1916-Sens!$G$1920-Sens!$G$1921</f>
        <v>-65.8214442672327</v>
      </c>
      <c r="H1922" s="48" t="n">
        <f aca="false">Sens!$H$1916-Sens!$H$1920-Sens!$H$1921</f>
        <v>-52.0905573354803</v>
      </c>
      <c r="I1922" s="48" t="n">
        <f aca="false">Sens!$I$1916-Sens!$I$1920-Sens!$I$1921</f>
        <v>-17.8129381573648</v>
      </c>
      <c r="J1922" s="48" t="n">
        <f aca="false">Sens!$J$1916-Sens!$J$1920-Sens!$J$1921</f>
        <v>23.50047228001</v>
      </c>
      <c r="K1922" s="48" t="n">
        <f aca="false">Sens!$K$1916-Sens!$K$1920-Sens!$K$1921</f>
        <v>89.2189546227021</v>
      </c>
      <c r="L1922" s="48" t="n">
        <f aca="false">Sens!$L$1916-Sens!$L$1920-Sens!$L$1921</f>
        <v>123.95695702037</v>
      </c>
      <c r="M1922" s="48" t="n">
        <f aca="false">Sens!$M$1916-Sens!$M$1920-Sens!$M$1921</f>
        <v>159.62641172695</v>
      </c>
      <c r="N1922" s="14"/>
      <c r="O1922" s="14"/>
    </row>
    <row r="1923" customFormat="false" ht="17.15" hidden="false" customHeight="false" outlineLevel="0" collapsed="false">
      <c r="A1923" s="5" t="s">
        <v>788</v>
      </c>
      <c r="B1923" s="0" t="s">
        <v>86</v>
      </c>
      <c r="C1923" s="38" t="n">
        <f aca="false">dps*Sens!$C$1902</f>
        <v>0</v>
      </c>
      <c r="D1923" s="38" t="n">
        <f aca="false">dps*Sens!$D$1902</f>
        <v>0</v>
      </c>
      <c r="E1923" s="38" t="n">
        <f aca="false">dps*Sens!$E$1902</f>
        <v>0</v>
      </c>
      <c r="F1923" s="38" t="n">
        <f aca="false">0</f>
        <v>0</v>
      </c>
      <c r="G1923" s="38" t="n">
        <f aca="false">dps*Sens!$G$1902</f>
        <v>0</v>
      </c>
      <c r="H1923" s="38" t="n">
        <f aca="false">dps*Sens!$H$1902</f>
        <v>0</v>
      </c>
      <c r="I1923" s="38" t="n">
        <f aca="false">dps*Sens!$I$1902</f>
        <v>0</v>
      </c>
      <c r="J1923" s="38" t="n">
        <f aca="false">dps*Sens!$J$1902</f>
        <v>0</v>
      </c>
      <c r="K1923" s="38" t="n">
        <f aca="false">dps*Sens!$K$1902</f>
        <v>0</v>
      </c>
      <c r="L1923" s="38" t="n">
        <f aca="false">dps*Sens!$L$1902</f>
        <v>0</v>
      </c>
      <c r="M1923" s="38" t="n">
        <f aca="false">dps*Sens!$M$1902</f>
        <v>0</v>
      </c>
      <c r="P1923" s="8" t="s">
        <v>789</v>
      </c>
    </row>
    <row r="1924" customFormat="false" ht="17.15" hidden="false" customHeight="false" outlineLevel="0" collapsed="false">
      <c r="A1924" s="5" t="s">
        <v>790</v>
      </c>
      <c r="B1924" s="0" t="s">
        <v>86</v>
      </c>
      <c r="C1924" s="38" t="n">
        <f aca="false">0</f>
        <v>0</v>
      </c>
      <c r="D1924" s="38" t="n">
        <f aca="false">0</f>
        <v>0</v>
      </c>
      <c r="E1924" s="38" t="n">
        <f aca="false">0</f>
        <v>0</v>
      </c>
      <c r="F1924" s="38" t="n">
        <f aca="false">0</f>
        <v>0</v>
      </c>
      <c r="G1924" s="38" t="n">
        <f aca="false">0</f>
        <v>0</v>
      </c>
      <c r="H1924" s="38" t="n">
        <f aca="false">0</f>
        <v>0</v>
      </c>
      <c r="I1924" s="38" t="n">
        <f aca="false">0</f>
        <v>0</v>
      </c>
      <c r="J1924" s="38" t="n">
        <f aca="false">0</f>
        <v>0</v>
      </c>
      <c r="K1924" s="38" t="n">
        <f aca="false">0</f>
        <v>0</v>
      </c>
      <c r="L1924" s="38" t="n">
        <f aca="false">0</f>
        <v>0</v>
      </c>
      <c r="M1924" s="38" t="n">
        <f aca="false">0</f>
        <v>0</v>
      </c>
      <c r="P1924" s="8" t="s">
        <v>791</v>
      </c>
    </row>
    <row r="1925" customFormat="false" ht="15" hidden="false" customHeight="false" outlineLevel="0" collapsed="false">
      <c r="A1925" s="3" t="s">
        <v>792</v>
      </c>
      <c r="B1925" s="8" t="s">
        <v>86</v>
      </c>
      <c r="C1925" s="38" t="n">
        <f aca="false">Sens!$C$1922-Sens!$C$1923</f>
        <v>36.176</v>
      </c>
      <c r="D1925" s="38" t="n">
        <f aca="false">Sens!$D$1922-Sens!$D$1923</f>
        <v>9.63700000000002</v>
      </c>
      <c r="E1925" s="38" t="n">
        <f aca="false">Sens!$E$1922-Sens!$E$1923</f>
        <v>-25.691</v>
      </c>
      <c r="F1925" s="38" t="n">
        <f aca="false">Sens!$F$1922-Sens!$F$1923</f>
        <v>-40.1304442672327</v>
      </c>
      <c r="G1925" s="38" t="n">
        <f aca="false">Sens!$G$1922-Sens!$G$1923</f>
        <v>-65.8214442672327</v>
      </c>
      <c r="H1925" s="38" t="n">
        <f aca="false">Sens!$H$1922-Sens!$H$1923</f>
        <v>-52.0905573354803</v>
      </c>
      <c r="I1925" s="38" t="n">
        <f aca="false">Sens!$I$1922-Sens!$I$1923</f>
        <v>-17.8129381573648</v>
      </c>
      <c r="J1925" s="38" t="n">
        <f aca="false">Sens!$J$1922-Sens!$J$1923</f>
        <v>23.50047228001</v>
      </c>
      <c r="K1925" s="38" t="n">
        <f aca="false">Sens!$K$1922-Sens!$K$1923</f>
        <v>89.2189546227021</v>
      </c>
      <c r="L1925" s="38" t="n">
        <f aca="false">Sens!$L$1922-Sens!$L$1923</f>
        <v>123.95695702037</v>
      </c>
      <c r="M1925" s="38" t="n">
        <f aca="false">Sens!$M$1922-Sens!$M$1923</f>
        <v>159.62641172695</v>
      </c>
    </row>
    <row r="1926" customFormat="false" ht="17.15" hidden="false" customHeight="false" outlineLevel="0" collapsed="false">
      <c r="A1926" s="5" t="s">
        <v>793</v>
      </c>
      <c r="B1926" s="0" t="s">
        <v>86</v>
      </c>
      <c r="E1926" s="38" t="n">
        <f aca="false">Q!$P$53</f>
        <v>39.767</v>
      </c>
      <c r="F1926" s="38" t="n">
        <f aca="false">inv_2h26</f>
        <v>21.3</v>
      </c>
      <c r="G1926" s="38" t="n">
        <f aca="false">Sens!$E$1926+Sens!$F$1926</f>
        <v>61.067</v>
      </c>
      <c r="H1926" s="39" t="n">
        <v>0</v>
      </c>
      <c r="I1926" s="39" t="n">
        <v>0</v>
      </c>
      <c r="J1926" s="39" t="n">
        <v>0</v>
      </c>
      <c r="K1926" s="39" t="n">
        <v>0</v>
      </c>
      <c r="L1926" s="39" t="n">
        <v>0</v>
      </c>
      <c r="M1926" s="39" t="n">
        <v>0</v>
      </c>
    </row>
    <row r="1927" customFormat="false" ht="17.15" hidden="false" customHeight="false" outlineLevel="0" collapsed="false">
      <c r="A1927" s="5" t="s">
        <v>794</v>
      </c>
      <c r="B1927" s="0" t="s">
        <v>86</v>
      </c>
      <c r="F1927" s="38" t="n">
        <f aca="false">iss_2h26</f>
        <v>29.249999</v>
      </c>
      <c r="G1927" s="38" t="n">
        <f aca="false">Sens!$F$1927</f>
        <v>29.249999</v>
      </c>
      <c r="H1927" s="39" t="n">
        <v>0</v>
      </c>
      <c r="I1927" s="39" t="n">
        <v>0</v>
      </c>
      <c r="J1927" s="39" t="n">
        <v>0</v>
      </c>
      <c r="K1927" s="39" t="n">
        <v>0</v>
      </c>
      <c r="L1927" s="39" t="n">
        <v>0</v>
      </c>
      <c r="M1927" s="39" t="n">
        <v>0</v>
      </c>
    </row>
    <row r="1928" customFormat="false" ht="17.15" hidden="false" customHeight="false" outlineLevel="0" collapsed="false">
      <c r="A1928" s="5" t="s">
        <v>795</v>
      </c>
      <c r="B1928" s="0" t="s">
        <v>86</v>
      </c>
      <c r="F1928" s="38" t="n">
        <f aca="false">cash_q2</f>
        <v>122.988</v>
      </c>
      <c r="G1928" s="38" t="n">
        <f aca="false">cash_q2</f>
        <v>122.988</v>
      </c>
      <c r="H1928" s="38" t="n">
        <f aca="false">Sens!$G$1931</f>
        <v>90.8075547327673</v>
      </c>
      <c r="I1928" s="38" t="n">
        <f aca="false">Sens!$H$1931</f>
        <v>50</v>
      </c>
      <c r="J1928" s="38" t="n">
        <f aca="false">Sens!$I$1931</f>
        <v>50</v>
      </c>
      <c r="K1928" s="38" t="n">
        <f aca="false">Sens!$J$1931</f>
        <v>73.50047228001</v>
      </c>
      <c r="L1928" s="38" t="n">
        <f aca="false">Sens!$K$1931</f>
        <v>162.719426902712</v>
      </c>
      <c r="M1928" s="38" t="n">
        <f aca="false">Sens!$L$1931</f>
        <v>286.676383923082</v>
      </c>
    </row>
    <row r="1929" customFormat="false" ht="15" hidden="false" customHeight="false" outlineLevel="0" collapsed="false">
      <c r="A1929" s="5" t="s">
        <v>796</v>
      </c>
      <c r="B1929" s="0" t="s">
        <v>86</v>
      </c>
      <c r="F1929" s="38" t="n">
        <f aca="false">Sens!$F$1928+Sens!$F$1925-Sens!$F$1924-Sens!$F$1926+Sens!$F$1927</f>
        <v>90.8075547327673</v>
      </c>
      <c r="H1929" s="38" t="n">
        <f aca="false">Sens!$H$1928+Sens!$H$1925-Sens!$H$1924-Sens!$H$1926+Sens!$H$1927</f>
        <v>38.716997397287</v>
      </c>
      <c r="I1929" s="38" t="n">
        <f aca="false">Sens!$I$1928+Sens!$I$1925-Sens!$I$1924-Sens!$I$1926+Sens!$I$1927</f>
        <v>32.1870618426352</v>
      </c>
      <c r="J1929" s="38" t="n">
        <f aca="false">Sens!$J$1928+Sens!$J$1925-Sens!$J$1924-Sens!$J$1926+Sens!$J$1927</f>
        <v>73.50047228001</v>
      </c>
      <c r="K1929" s="38" t="n">
        <f aca="false">Sens!$K$1928+Sens!$K$1925-Sens!$K$1924-Sens!$K$1926+Sens!$K$1927</f>
        <v>162.719426902712</v>
      </c>
      <c r="L1929" s="38" t="n">
        <f aca="false">Sens!$L$1928+Sens!$L$1925-Sens!$L$1924-Sens!$L$1926+Sens!$L$1927</f>
        <v>286.676383923082</v>
      </c>
      <c r="M1929" s="38" t="n">
        <f aca="false">Sens!$M$1928+Sens!$M$1925-Sens!$M$1924-Sens!$M$1926+Sens!$M$1927</f>
        <v>446.302795650033</v>
      </c>
    </row>
    <row r="1930" customFormat="false" ht="17.15" hidden="false" customHeight="false" outlineLevel="0" collapsed="false">
      <c r="A1930" s="5" t="s">
        <v>797</v>
      </c>
      <c r="B1930" s="0" t="s">
        <v>86</v>
      </c>
      <c r="F1930" s="38" t="n">
        <f aca="false">MAX(0,min_cash-Sens!$F$1929)</f>
        <v>0</v>
      </c>
      <c r="G1930" s="38" t="n">
        <f aca="false">Sens!$F$1930</f>
        <v>0</v>
      </c>
      <c r="H1930" s="38" t="n">
        <f aca="false">MAX(0,min_cash-Sens!$H$1929)</f>
        <v>11.283002602713</v>
      </c>
      <c r="I1930" s="38" t="n">
        <f aca="false">MAX(0,min_cash-Sens!$I$1929)</f>
        <v>17.8129381573648</v>
      </c>
      <c r="J1930" s="38" t="n">
        <f aca="false">MAX(0,min_cash-Sens!$J$1929)</f>
        <v>0</v>
      </c>
      <c r="K1930" s="38" t="n">
        <f aca="false">MAX(0,min_cash-Sens!$K$1929)</f>
        <v>0</v>
      </c>
      <c r="L1930" s="38" t="n">
        <f aca="false">MAX(0,min_cash-Sens!$L$1929)</f>
        <v>0</v>
      </c>
      <c r="M1930" s="38" t="n">
        <f aca="false">MAX(0,min_cash-Sens!$M$1929)</f>
        <v>0</v>
      </c>
      <c r="P1930" s="5" t="s">
        <v>798</v>
      </c>
    </row>
    <row r="1931" customFormat="false" ht="15" hidden="false" customHeight="false" outlineLevel="0" collapsed="false">
      <c r="A1931" s="5" t="s">
        <v>799</v>
      </c>
      <c r="B1931" s="0" t="s">
        <v>86</v>
      </c>
      <c r="D1931" s="38" t="n">
        <f aca="false">Q!$E$61</f>
        <v>123.029</v>
      </c>
      <c r="E1931" s="38" t="n">
        <f aca="false">Q!$M$61</f>
        <v>122.988</v>
      </c>
      <c r="F1931" s="38" t="n">
        <f aca="false">Sens!$F$1929+Sens!$F$1930</f>
        <v>90.8075547327673</v>
      </c>
      <c r="G1931" s="38" t="n">
        <f aca="false">Sens!$F$1931</f>
        <v>90.8075547327673</v>
      </c>
      <c r="H1931" s="38" t="n">
        <f aca="false">Sens!$H$1929+Sens!$H$1930</f>
        <v>50</v>
      </c>
      <c r="I1931" s="38" t="n">
        <f aca="false">Sens!$I$1929+Sens!$I$1930</f>
        <v>50</v>
      </c>
      <c r="J1931" s="38" t="n">
        <f aca="false">Sens!$J$1929+Sens!$J$1930</f>
        <v>73.50047228001</v>
      </c>
      <c r="K1931" s="38" t="n">
        <f aca="false">Sens!$K$1929+Sens!$K$1930</f>
        <v>162.719426902712</v>
      </c>
      <c r="L1931" s="38" t="n">
        <f aca="false">Sens!$L$1929+Sens!$L$1930</f>
        <v>286.676383923082</v>
      </c>
      <c r="M1931" s="38" t="n">
        <f aca="false">Sens!$M$1929+Sens!$M$1930</f>
        <v>446.302795650033</v>
      </c>
    </row>
    <row r="1932" customFormat="false" ht="15" hidden="false" customHeight="false" outlineLevel="0" collapsed="false">
      <c r="A1932" s="5" t="s">
        <v>800</v>
      </c>
      <c r="B1932" s="0" t="s">
        <v>86</v>
      </c>
      <c r="D1932" s="38" t="n">
        <f aca="false">Q!$E$62</f>
        <v>68.836</v>
      </c>
      <c r="E1932" s="38" t="n">
        <f aca="false">Q!$M$62</f>
        <v>132.995</v>
      </c>
      <c r="F1932" s="38" t="n">
        <f aca="false">debt_q2+Sens!$F$1927+Sens!$F$1930</f>
        <v>162.244999</v>
      </c>
      <c r="G1932" s="38" t="n">
        <f aca="false">Sens!$F$1932</f>
        <v>162.244999</v>
      </c>
      <c r="H1932" s="38" t="n">
        <f aca="false">Sens!$G$1932+Sens!$H$1930</f>
        <v>173.528001602713</v>
      </c>
      <c r="I1932" s="38" t="n">
        <f aca="false">Sens!$H$1932+Sens!$I$1930</f>
        <v>191.340939760078</v>
      </c>
      <c r="J1932" s="38" t="n">
        <f aca="false">Sens!$I$1932+Sens!$J$1930</f>
        <v>191.340939760078</v>
      </c>
      <c r="K1932" s="38" t="n">
        <f aca="false">Sens!$J$1932+Sens!$K$1930</f>
        <v>191.340939760078</v>
      </c>
      <c r="L1932" s="38" t="n">
        <f aca="false">Sens!$K$1932+Sens!$L$1930</f>
        <v>191.340939760078</v>
      </c>
      <c r="M1932" s="38" t="n">
        <f aca="false">Sens!$L$1932+Sens!$M$1930</f>
        <v>191.340939760078</v>
      </c>
    </row>
    <row r="1933" customFormat="false" ht="15" hidden="false" customHeight="false" outlineLevel="0" collapsed="false">
      <c r="A1933" s="5" t="s">
        <v>801</v>
      </c>
      <c r="B1933" s="0" t="s">
        <v>86</v>
      </c>
      <c r="D1933" s="38" t="n">
        <f aca="false">Sens!$D$1932-Sens!$D$1931</f>
        <v>-54.193</v>
      </c>
      <c r="E1933" s="38" t="n">
        <f aca="false">Sens!$E$1932-Sens!$E$1931</f>
        <v>10.007</v>
      </c>
      <c r="F1933" s="38" t="n">
        <f aca="false">Sens!$F$1932-Sens!$F$1931</f>
        <v>71.4374442672327</v>
      </c>
      <c r="G1933" s="38" t="n">
        <f aca="false">Sens!$G$1932-Sens!$G$1931</f>
        <v>71.4374442672327</v>
      </c>
      <c r="H1933" s="38" t="n">
        <f aca="false">Sens!$H$1932-Sens!$H$1931</f>
        <v>123.528001602713</v>
      </c>
      <c r="I1933" s="38" t="n">
        <f aca="false">Sens!$I$1932-Sens!$I$1931</f>
        <v>141.340939760078</v>
      </c>
      <c r="J1933" s="38" t="n">
        <f aca="false">Sens!$J$1932-Sens!$J$1931</f>
        <v>117.840467480068</v>
      </c>
      <c r="K1933" s="38" t="n">
        <f aca="false">Sens!$K$1932-Sens!$K$1931</f>
        <v>28.6215128573657</v>
      </c>
      <c r="L1933" s="38" t="n">
        <f aca="false">Sens!$L$1932-Sens!$L$1931</f>
        <v>-95.3354441630046</v>
      </c>
      <c r="M1933" s="38" t="n">
        <f aca="false">Sens!$M$1932-Sens!$M$1931</f>
        <v>-254.961855889955</v>
      </c>
    </row>
    <row r="1934" customFormat="false" ht="17.15" hidden="false" customHeight="false" outlineLevel="0" collapsed="false">
      <c r="A1934" s="5" t="s">
        <v>802</v>
      </c>
      <c r="B1934" s="0" t="s">
        <v>86</v>
      </c>
      <c r="F1934" s="38" t="n">
        <f aca="false">debt_q2*kd_book*0.5+iss_2h26*kd_new*iss_t</f>
        <v>3.24888962733561</v>
      </c>
      <c r="H1934" s="38" t="n">
        <f aca="false">debt_q2*kd_book+(Sens!$G$1932-debt_q2)*kd_new</f>
        <v>7.42354172302123</v>
      </c>
      <c r="I1934" s="38" t="n">
        <f aca="false">debt_q2*kd_book+(Sens!$H$1932-debt_q2)*kd_new</f>
        <v>8.13775578777296</v>
      </c>
      <c r="J1934" s="38" t="n">
        <f aca="false">debt_q2*kd_book+(Sens!$I$1932-debt_q2)*kd_new</f>
        <v>9.26531477313415</v>
      </c>
      <c r="K1934" s="38" t="n">
        <f aca="false">debt_q2*kd_book+(Sens!$J$1932-debt_q2)*kd_new</f>
        <v>9.26531477313415</v>
      </c>
      <c r="L1934" s="38" t="n">
        <f aca="false">debt_q2*kd_book+(Sens!$K$1932-debt_q2)*kd_new</f>
        <v>9.26531477313415</v>
      </c>
      <c r="M1934" s="38" t="n">
        <f aca="false">debt_q2*kd_book+(Sens!$L$1932-debt_q2)*kd_new</f>
        <v>9.26531477313415</v>
      </c>
    </row>
    <row r="1935" customFormat="false" ht="17.15" hidden="false" customHeight="false" outlineLevel="0" collapsed="false">
      <c r="A1935" s="5" t="s">
        <v>803</v>
      </c>
      <c r="B1935" s="0" t="s">
        <v>86</v>
      </c>
      <c r="F1935" s="38" t="n">
        <f aca="false">cash_q2*y_cash*0.5</f>
        <v>2.59</v>
      </c>
      <c r="H1935" s="38" t="n">
        <f aca="false">Sens!$G$1931*y_cash</f>
        <v>3.82462625228262</v>
      </c>
      <c r="I1935" s="38" t="n">
        <f aca="false">Sens!$H$1931*y_cash</f>
        <v>2.10589651022864</v>
      </c>
      <c r="J1935" s="38" t="n">
        <f aca="false">Sens!$I$1931*y_cash</f>
        <v>2.10589651022864</v>
      </c>
      <c r="K1935" s="38" t="n">
        <f aca="false">Sens!$J$1931*y_cash</f>
        <v>3.0956877614926</v>
      </c>
      <c r="L1935" s="38" t="n">
        <f aca="false">Sens!$K$1931*y_cash</f>
        <v>6.85340546521651</v>
      </c>
      <c r="M1935" s="38" t="n">
        <f aca="false">Sens!$L$1931*y_cash</f>
        <v>12.0742159293717</v>
      </c>
    </row>
    <row r="1936" customFormat="false" ht="17.15" hidden="false" customHeight="false" outlineLevel="0" collapsed="false">
      <c r="A1936" s="47" t="s">
        <v>804</v>
      </c>
      <c r="B1936" s="14" t="s">
        <v>86</v>
      </c>
      <c r="C1936" s="14"/>
      <c r="D1936" s="14"/>
      <c r="E1936" s="14"/>
      <c r="F1936" s="14"/>
      <c r="G1936" s="48" t="n">
        <f aca="false">SUM(Sens!$G$1925:$K$1925)</f>
        <v>-23.0055128573657</v>
      </c>
      <c r="H1936" s="14"/>
      <c r="I1936" s="14"/>
      <c r="J1936" s="14"/>
      <c r="K1936" s="14"/>
      <c r="L1936" s="14"/>
      <c r="M1936" s="14"/>
      <c r="N1936" s="14"/>
      <c r="O1936" s="14"/>
    </row>
    <row r="1937" customFormat="false" ht="17.15" hidden="false" customHeight="false" outlineLevel="0" collapsed="false">
      <c r="A1937" s="0" t="s">
        <v>770</v>
      </c>
      <c r="B1937" s="0" t="s">
        <v>86</v>
      </c>
      <c r="G1937" s="38" t="n">
        <f aca="false">SUM(Sens!$G$1930:$K$1930)</f>
        <v>29.0959407600778</v>
      </c>
    </row>
    <row r="1938" customFormat="false" ht="17.15" hidden="false" customHeight="false" outlineLevel="0" collapsed="false">
      <c r="A1938" s="24" t="s">
        <v>807</v>
      </c>
      <c r="B1938" s="25" t="s">
        <v>86</v>
      </c>
      <c r="C1938" s="25"/>
      <c r="D1938" s="25"/>
      <c r="E1938" s="25"/>
      <c r="F1938" s="25"/>
      <c r="G1938" s="41" t="n">
        <f aca="false">Sens!$G$1936-(Sens!$G$1925+Sens!$H$1925+Sens!$I$1925+Sens!$J$1925+Sens!$K$1925)</f>
        <v>0</v>
      </c>
      <c r="H1938" s="25"/>
      <c r="I1938" s="25"/>
      <c r="J1938" s="25"/>
      <c r="K1938" s="25"/>
      <c r="L1938" s="25"/>
      <c r="M1938" s="25"/>
      <c r="N1938" s="25"/>
      <c r="O1938" s="25"/>
    </row>
    <row r="1941" customFormat="false" ht="19.4" hidden="false" customHeight="false" outlineLevel="0" collapsed="false">
      <c r="A1941" s="31" t="s">
        <v>1166</v>
      </c>
    </row>
    <row r="1942" customFormat="false" ht="17.15" hidden="false" customHeight="false" outlineLevel="0" collapsed="false">
      <c r="A1942" s="6" t="s">
        <v>16</v>
      </c>
      <c r="B1942" s="6" t="s">
        <v>17</v>
      </c>
      <c r="C1942" s="20" t="s">
        <v>494</v>
      </c>
      <c r="D1942" s="20" t="s">
        <v>495</v>
      </c>
      <c r="E1942" s="20" t="s">
        <v>577</v>
      </c>
      <c r="F1942" s="20" t="s">
        <v>578</v>
      </c>
      <c r="G1942" s="20" t="s">
        <v>579</v>
      </c>
      <c r="H1942" s="20" t="s">
        <v>580</v>
      </c>
      <c r="I1942" s="20" t="s">
        <v>581</v>
      </c>
      <c r="J1942" s="20" t="s">
        <v>582</v>
      </c>
      <c r="K1942" s="20" t="s">
        <v>583</v>
      </c>
      <c r="L1942" s="20" t="s">
        <v>584</v>
      </c>
      <c r="M1942" s="20" t="s">
        <v>585</v>
      </c>
      <c r="N1942" s="20" t="s">
        <v>586</v>
      </c>
      <c r="O1942" s="20" t="s">
        <v>587</v>
      </c>
      <c r="P1942" s="6" t="s">
        <v>23</v>
      </c>
      <c r="R1942" s="20" t="n">
        <v>2023</v>
      </c>
      <c r="S1942" s="20" t="n">
        <v>2024</v>
      </c>
      <c r="T1942" s="20" t="n">
        <v>2025</v>
      </c>
      <c r="U1942" s="20" t="n">
        <v>2026</v>
      </c>
      <c r="V1942" s="20" t="n">
        <v>2027</v>
      </c>
      <c r="W1942" s="20" t="n">
        <v>2028</v>
      </c>
      <c r="X1942" s="20" t="n">
        <v>2029</v>
      </c>
      <c r="Y1942" s="20" t="n">
        <v>2030</v>
      </c>
      <c r="Z1942" s="20" t="n">
        <v>2031</v>
      </c>
      <c r="AA1942" s="20" t="n">
        <v>2032</v>
      </c>
    </row>
    <row r="1943" customFormat="false" ht="17.15" hidden="false" customHeight="false" outlineLevel="0" collapsed="false">
      <c r="A1943" s="1" t="s">
        <v>909</v>
      </c>
    </row>
    <row r="1944" customFormat="false" ht="17.15" hidden="false" customHeight="false" outlineLevel="0" collapsed="false">
      <c r="A1944" s="0" t="s">
        <v>910</v>
      </c>
      <c r="B1944" s="0" t="s">
        <v>86</v>
      </c>
      <c r="H1944" s="38" t="n">
        <f aca="false">Sens!$H$1878*(1-tax)</f>
        <v>113.760792293564</v>
      </c>
      <c r="I1944" s="38" t="n">
        <f aca="false">Sens!$I$1878*(1-tax)</f>
        <v>135.12211755665</v>
      </c>
      <c r="J1944" s="38" t="n">
        <f aca="false">Sens!$J$1878*(1-tax)</f>
        <v>154.398370318242</v>
      </c>
      <c r="K1944" s="38" t="n">
        <f aca="false">Sens!$K$1878*(1-tax)</f>
        <v>169.316460891534</v>
      </c>
      <c r="L1944" s="38" t="n">
        <f aca="false">Sens!$L$1878*(1-tax)</f>
        <v>181.396988713538</v>
      </c>
      <c r="M1944" s="38" t="n">
        <f aca="false">Sens!$M$1878*(1-tax)</f>
        <v>194.537282719266</v>
      </c>
    </row>
    <row r="1945" customFormat="false" ht="15" hidden="false" customHeight="false" outlineLevel="0" collapsed="false">
      <c r="A1945" s="5" t="s">
        <v>911</v>
      </c>
      <c r="B1945" s="0" t="s">
        <v>86</v>
      </c>
      <c r="H1945" s="38" t="n">
        <f aca="false">Sens!$H$1889</f>
        <v>89.8718524038106</v>
      </c>
      <c r="I1945" s="38" t="n">
        <f aca="false">Sens!$I$1889</f>
        <v>127.587861306813</v>
      </c>
      <c r="J1945" s="38" t="n">
        <f aca="false">Sens!$J$1889</f>
        <v>167.072829059676</v>
      </c>
      <c r="K1945" s="38" t="n">
        <f aca="false">Sens!$K$1889</f>
        <v>203.679009431366</v>
      </c>
      <c r="L1945" s="38" t="n">
        <f aca="false">Sens!$L$1889</f>
        <v>231.504452496292</v>
      </c>
      <c r="M1945" s="38" t="n">
        <f aca="false">Sens!$M$1889</f>
        <v>247.490714472597</v>
      </c>
    </row>
    <row r="1946" customFormat="false" ht="15" hidden="false" customHeight="false" outlineLevel="0" collapsed="false">
      <c r="A1946" s="5" t="s">
        <v>912</v>
      </c>
      <c r="B1946" s="0" t="s">
        <v>86</v>
      </c>
      <c r="H1946" s="38" t="n">
        <f aca="false">Sens!$H$1920</f>
        <v>273.372679834898</v>
      </c>
      <c r="I1946" s="38" t="n">
        <f aca="false">Sens!$I$1920</f>
        <v>292.218580428425</v>
      </c>
      <c r="J1946" s="38" t="n">
        <f aca="false">Sens!$J$1920</f>
        <v>304.553281578366</v>
      </c>
      <c r="K1946" s="38" t="n">
        <f aca="false">Sens!$K$1920</f>
        <v>287.714522912292</v>
      </c>
      <c r="L1946" s="38" t="n">
        <f aca="false">Sens!$L$1920</f>
        <v>294.794791915646</v>
      </c>
      <c r="M1946" s="38" t="n">
        <f aca="false">Sens!$M$1920</f>
        <v>293.662210098602</v>
      </c>
    </row>
    <row r="1947" customFormat="false" ht="15" hidden="false" customHeight="false" outlineLevel="0" collapsed="false">
      <c r="A1947" s="5" t="s">
        <v>913</v>
      </c>
      <c r="B1947" s="0" t="s">
        <v>86</v>
      </c>
      <c r="H1947" s="38" t="n">
        <f aca="false">Sens!$H$1921</f>
        <v>1.6</v>
      </c>
      <c r="I1947" s="38" t="n">
        <f aca="false">Sens!$I$1921</f>
        <v>1.6</v>
      </c>
      <c r="J1947" s="38" t="n">
        <f aca="false">Sens!$J$1921</f>
        <v>1.6</v>
      </c>
      <c r="K1947" s="38" t="n">
        <f aca="false">Sens!$K$1921</f>
        <v>1.6</v>
      </c>
      <c r="L1947" s="38" t="n">
        <f aca="false">Sens!$L$1921</f>
        <v>1.6</v>
      </c>
      <c r="M1947" s="38" t="n">
        <f aca="false">Sens!$M$1921</f>
        <v>1.6</v>
      </c>
    </row>
    <row r="1948" customFormat="false" ht="15" hidden="false" customHeight="false" outlineLevel="0" collapsed="false">
      <c r="A1948" s="5" t="s">
        <v>914</v>
      </c>
      <c r="B1948" s="0" t="s">
        <v>86</v>
      </c>
      <c r="H1948" s="38" t="n">
        <f aca="false">Sens!$H$1915</f>
        <v>11.2928295263397</v>
      </c>
      <c r="I1948" s="38" t="n">
        <f aca="false">Sens!$I$1915</f>
        <v>12.8091546115766</v>
      </c>
      <c r="J1948" s="38" t="n">
        <f aca="false">Sens!$J$1915</f>
        <v>14.2605653162668</v>
      </c>
      <c r="K1948" s="38" t="n">
        <f aca="false">Sens!$K$1915</f>
        <v>15.5327622460396</v>
      </c>
      <c r="L1948" s="38" t="n">
        <f aca="false">Sens!$L$1915</f>
        <v>16.720573737517</v>
      </c>
      <c r="M1948" s="38" t="n">
        <f aca="false">Sens!$M$1915</f>
        <v>17.8283127551536</v>
      </c>
    </row>
    <row r="1949" customFormat="false" ht="17.15" hidden="false" customHeight="false" outlineLevel="0" collapsed="false">
      <c r="A1949" s="1" t="s">
        <v>915</v>
      </c>
      <c r="B1949" s="8" t="s">
        <v>86</v>
      </c>
      <c r="H1949" s="38" t="n">
        <f aca="false">Sens!$H$1944+Sens!$H$1945-Sens!$H$1946-Sens!$H$1947+Sens!$H$1948</f>
        <v>-60.0472056111842</v>
      </c>
      <c r="I1949" s="38" t="n">
        <f aca="false">Sens!$I$1944+Sens!$I$1945-Sens!$I$1946-Sens!$I$1947+Sens!$I$1948</f>
        <v>-18.299446953386</v>
      </c>
      <c r="J1949" s="38" t="n">
        <f aca="false">Sens!$J$1944+Sens!$J$1945-Sens!$J$1946-Sens!$J$1947+Sens!$J$1948</f>
        <v>29.5784831158185</v>
      </c>
      <c r="K1949" s="38" t="n">
        <f aca="false">Sens!$K$1944+Sens!$K$1945-Sens!$K$1946-Sens!$K$1947+Sens!$K$1948</f>
        <v>99.2137096566479</v>
      </c>
      <c r="L1949" s="38" t="n">
        <f aca="false">Sens!$L$1944+Sens!$L$1945-Sens!$L$1946-Sens!$L$1947+Sens!$L$1948</f>
        <v>133.227223031702</v>
      </c>
      <c r="M1949" s="38" t="n">
        <f aca="false">Sens!$M$1944+Sens!$M$1945-Sens!$M$1946-Sens!$M$1947+Sens!$M$1948</f>
        <v>164.594099848415</v>
      </c>
    </row>
    <row r="1950" customFormat="false" ht="15" hidden="false" customHeight="false" outlineLevel="0" collapsed="false">
      <c r="A1950" s="5" t="s">
        <v>916</v>
      </c>
      <c r="B1950" s="0" t="s">
        <v>57</v>
      </c>
      <c r="H1950" s="40" t="n">
        <f aca="false">1/(1+wacc)^(2027-2026-0.5)</f>
        <v>0.947751320380232</v>
      </c>
      <c r="I1950" s="40" t="n">
        <f aca="false">1/(1+wacc)^(2028-2026-0.5)</f>
        <v>0.851301099754987</v>
      </c>
      <c r="J1950" s="40" t="n">
        <f aca="false">1/(1+wacc)^(2029-2026-0.5)</f>
        <v>0.764666370660713</v>
      </c>
      <c r="K1950" s="40" t="n">
        <f aca="false">1/(1+wacc)^(2030-2026-0.5)</f>
        <v>0.686848235703811</v>
      </c>
      <c r="L1950" s="40" t="n">
        <f aca="false">1/(1+wacc)^(2031-2026-0.5)</f>
        <v>0.616949452715975</v>
      </c>
      <c r="M1950" s="40" t="n">
        <f aca="false">1/(1+wacc)^(2032-2026-0.5)</f>
        <v>0.554164089562688</v>
      </c>
    </row>
    <row r="1951" customFormat="false" ht="15" hidden="false" customHeight="false" outlineLevel="0" collapsed="false">
      <c r="A1951" s="5" t="s">
        <v>917</v>
      </c>
      <c r="B1951" s="0" t="s">
        <v>86</v>
      </c>
      <c r="H1951" s="38" t="n">
        <f aca="false">Sens!$H$1949*Sens!$H$1950</f>
        <v>-56.9098184031431</v>
      </c>
      <c r="I1951" s="38" t="n">
        <f aca="false">Sens!$I$1949*Sens!$I$1950</f>
        <v>-15.5783393163256</v>
      </c>
      <c r="J1951" s="38" t="n">
        <f aca="false">Sens!$J$1949*Sens!$J$1950</f>
        <v>22.6176713338221</v>
      </c>
      <c r="K1951" s="38" t="n">
        <f aca="false">Sens!$K$1949*Sens!$K$1950</f>
        <v>68.1447614352988</v>
      </c>
      <c r="L1951" s="38" t="n">
        <f aca="false">Sens!$L$1949*Sens!$L$1950</f>
        <v>82.1944623362775</v>
      </c>
      <c r="M1951" s="38" t="n">
        <f aca="false">Sens!$M$1949*Sens!$M$1950</f>
        <v>91.212139489887</v>
      </c>
    </row>
    <row r="1952" customFormat="false" ht="15" hidden="false" customHeight="false" outlineLevel="0" collapsed="false">
      <c r="A1952" s="5" t="s">
        <v>918</v>
      </c>
      <c r="B1952" s="0" t="s">
        <v>86</v>
      </c>
      <c r="C1952" s="38" t="n">
        <f aca="false">SUM(Sens!$H$1951:$M$1951)</f>
        <v>191.680876875817</v>
      </c>
    </row>
    <row r="1953" customFormat="false" ht="17.15" hidden="false" customHeight="false" outlineLevel="0" collapsed="false">
      <c r="A1953" s="5" t="s">
        <v>919</v>
      </c>
      <c r="B1953" s="0" t="s">
        <v>86</v>
      </c>
      <c r="C1953" s="38" t="n">
        <f aca="false">Sens!$M$1944*(1+tg)*(1-tg/ronic)/(wacc-tg)</f>
        <v>1768.56098097176</v>
      </c>
    </row>
    <row r="1954" customFormat="false" ht="15" hidden="false" customHeight="false" outlineLevel="0" collapsed="false">
      <c r="A1954" s="5" t="s">
        <v>920</v>
      </c>
      <c r="B1954" s="0" t="s">
        <v>86</v>
      </c>
      <c r="C1954" s="38" t="n">
        <f aca="false">Sens!$C$1953/(1+wacc)^6</f>
        <v>928.865466414314</v>
      </c>
    </row>
    <row r="1955" customFormat="false" ht="17.15" hidden="false" customHeight="false" outlineLevel="0" collapsed="false">
      <c r="A1955" s="5" t="s">
        <v>921</v>
      </c>
      <c r="B1955" s="0" t="s">
        <v>86</v>
      </c>
      <c r="C1955" s="38" t="n">
        <f aca="false">Sens!$C$1952+Sens!$C$1954</f>
        <v>1120.54634329013</v>
      </c>
    </row>
    <row r="1956" customFormat="false" ht="17.15" hidden="false" customHeight="false" outlineLevel="0" collapsed="false">
      <c r="A1956" s="5" t="s">
        <v>922</v>
      </c>
      <c r="B1956" s="0" t="s">
        <v>52</v>
      </c>
      <c r="C1956" s="13" t="n">
        <f aca="false">Sens!$C$1954/Sens!$C$1955</f>
        <v>0.828939804209252</v>
      </c>
    </row>
    <row r="1957" customFormat="false" ht="17.15" hidden="false" customHeight="false" outlineLevel="0" collapsed="false">
      <c r="A1957" s="5" t="s">
        <v>923</v>
      </c>
      <c r="B1957" s="0" t="s">
        <v>86</v>
      </c>
      <c r="C1957" s="38" t="n">
        <f aca="false">Sens!$G$1933+fin_debt</f>
        <v>95.9584442672327</v>
      </c>
    </row>
    <row r="1958" customFormat="false" ht="17.15" hidden="false" customHeight="false" outlineLevel="0" collapsed="false">
      <c r="A1958" s="5" t="s">
        <v>924</v>
      </c>
      <c r="B1958" s="0" t="s">
        <v>86</v>
      </c>
      <c r="C1958" s="38" t="n">
        <f aca="false">(ant_val*ant_sh+oai_val*oai_sh)*(1-liq_disc)</f>
        <v>178.944</v>
      </c>
    </row>
    <row r="1959" customFormat="false" ht="15" hidden="false" customHeight="false" outlineLevel="0" collapsed="false">
      <c r="A1959" s="5" t="s">
        <v>925</v>
      </c>
      <c r="B1959" s="0" t="s">
        <v>86</v>
      </c>
      <c r="C1959" s="38" t="n">
        <f aca="false">Sens!$C$1955-Sens!$C$1957+Sens!$C$1958</f>
        <v>1203.5318990229</v>
      </c>
    </row>
    <row r="1960" customFormat="false" ht="17.15" hidden="false" customHeight="false" outlineLevel="0" collapsed="false">
      <c r="A1960" s="5" t="s">
        <v>926</v>
      </c>
      <c r="B1960" s="0" t="s">
        <v>27</v>
      </c>
      <c r="C1960" s="30" t="n">
        <f aca="false">Sens!$C$1959/sh_out</f>
        <v>111.579534864542</v>
      </c>
    </row>
    <row r="1961" customFormat="false" ht="17.15" hidden="false" customHeight="false" outlineLevel="0" collapsed="false">
      <c r="A1961" s="1" t="s">
        <v>927</v>
      </c>
      <c r="B1961" s="8" t="s">
        <v>27</v>
      </c>
      <c r="C1961" s="30" t="n">
        <f aca="false">Sens!$C$1960*(1+ke)^tp_yf-dps*tp_yf</f>
        <v>122.22074639475</v>
      </c>
    </row>
    <row r="1962" customFormat="false" ht="17.15" hidden="false" customHeight="false" outlineLevel="0" collapsed="false">
      <c r="A1962" s="3" t="s">
        <v>928</v>
      </c>
    </row>
    <row r="1963" customFormat="false" ht="17.15" hidden="false" customHeight="false" outlineLevel="0" collapsed="false">
      <c r="A1963" s="5" t="s">
        <v>929</v>
      </c>
      <c r="B1963" s="0" t="s">
        <v>86</v>
      </c>
      <c r="C1963" s="38" t="n">
        <f aca="false">(1-tp_yf)*(Sens!$H$1890+Sens!$H$1914*Sens!$H$1756/Sens!$H$1831)+tp_yf*(Sens!$I$1890+Sens!$I$1914*Sens!$I$1756/Sens!$I$1831)</f>
        <v>59.634664536349</v>
      </c>
    </row>
    <row r="1964" customFormat="false" ht="15" hidden="false" customHeight="false" outlineLevel="0" collapsed="false">
      <c r="A1964" s="5" t="s">
        <v>930</v>
      </c>
      <c r="B1964" s="0" t="s">
        <v>57</v>
      </c>
      <c r="C1964" s="30" t="n">
        <f aca="false">m_ads*m_x</f>
        <v>9.11</v>
      </c>
    </row>
    <row r="1965" customFormat="false" ht="17.15" hidden="false" customHeight="false" outlineLevel="0" collapsed="false">
      <c r="A1965" s="5" t="s">
        <v>931</v>
      </c>
      <c r="B1965" s="0" t="s">
        <v>86</v>
      </c>
      <c r="C1965" s="38" t="n">
        <f aca="false">Sens!$C$1963*Sens!$C$1964</f>
        <v>543.271793926139</v>
      </c>
    </row>
    <row r="1966" customFormat="false" ht="17.15" hidden="false" customHeight="false" outlineLevel="0" collapsed="false">
      <c r="A1966" s="5" t="s">
        <v>932</v>
      </c>
      <c r="B1966" s="0" t="s">
        <v>86</v>
      </c>
      <c r="C1966" s="38" t="n">
        <f aca="false">(1-tp_yf)*(Sens!$H$1891+Sens!$H$1914*(Sens!$H$1763-Sens!$H$1756)/Sens!$H$1831+IF(internal_ai_reading=2,1,0)*(1-ext_sh)*Sens!$H$1793)+tp_yf*(Sens!$I$1891+Sens!$I$1914*(Sens!$I$1763-Sens!$I$1756)/Sens!$I$1831+IF(internal_ai_reading=2,1,0)*(1-ext_sh)*Sens!$I$1793)</f>
        <v>52.173302555266</v>
      </c>
    </row>
    <row r="1967" customFormat="false" ht="17.15" hidden="false" customHeight="false" outlineLevel="0" collapsed="false">
      <c r="A1967" s="5" t="s">
        <v>933</v>
      </c>
      <c r="B1967" s="0" t="s">
        <v>57</v>
      </c>
      <c r="C1967" s="30" t="n">
        <f aca="false">m_retail*m_x</f>
        <v>17.72</v>
      </c>
    </row>
    <row r="1968" customFormat="false" ht="17.15" hidden="false" customHeight="false" outlineLevel="0" collapsed="false">
      <c r="A1968" s="5" t="s">
        <v>934</v>
      </c>
      <c r="B1968" s="0" t="s">
        <v>86</v>
      </c>
      <c r="C1968" s="38" t="n">
        <f aca="false">Sens!$C$1966*Sens!$C$1967</f>
        <v>924.510921279314</v>
      </c>
    </row>
    <row r="1969" customFormat="false" ht="17.15" hidden="false" customHeight="false" outlineLevel="0" collapsed="false">
      <c r="A1969" s="0" t="s">
        <v>935</v>
      </c>
      <c r="B1969" s="0" t="s">
        <v>86</v>
      </c>
      <c r="C1969" s="38" t="n">
        <f aca="false">(1-tp_yf)*(Sens!$H$1892+Sens!$H$1914*Sens!$H$1829/Sens!$H$1831)+tp_yf*(Sens!$I$1892+Sens!$I$1914*Sens!$I$1829/Sens!$I$1831)</f>
        <v>98.1421875418359</v>
      </c>
    </row>
    <row r="1970" customFormat="false" ht="17.15" hidden="false" customHeight="false" outlineLevel="0" collapsed="false">
      <c r="A1970" s="0" t="s">
        <v>936</v>
      </c>
      <c r="B1970" s="0" t="s">
        <v>57</v>
      </c>
      <c r="C1970" s="30" t="n">
        <f aca="false">m_cloud*m_x</f>
        <v>13.82</v>
      </c>
    </row>
    <row r="1971" customFormat="false" ht="17.15" hidden="false" customHeight="false" outlineLevel="0" collapsed="false">
      <c r="A1971" s="0" t="s">
        <v>937</v>
      </c>
      <c r="B1971" s="0" t="s">
        <v>86</v>
      </c>
      <c r="C1971" s="38" t="n">
        <f aca="false">Sens!$C$1969*Sens!$C$1970</f>
        <v>1356.32503182817</v>
      </c>
    </row>
    <row r="1972" customFormat="false" ht="17.15" hidden="false" customHeight="false" outlineLevel="0" collapsed="false">
      <c r="A1972" s="0" t="s">
        <v>938</v>
      </c>
      <c r="B1972" s="0" t="s">
        <v>86</v>
      </c>
      <c r="H1972" s="38" t="n">
        <f aca="false">Sens!$H$1810-tax*Sens!$H$1811-ext_sh*Sens!$H$1800</f>
        <v>-113.796020084519</v>
      </c>
      <c r="I1972" s="38" t="n">
        <f aca="false">Sens!$I$1810-tax*Sens!$I$1811-ext_sh*Sens!$I$1800</f>
        <v>-90.9875290047887</v>
      </c>
      <c r="J1972" s="38" t="n">
        <f aca="false">Sens!$J$1810-tax*Sens!$J$1811-ext_sh*Sens!$J$1800</f>
        <v>-62.8960209947393</v>
      </c>
      <c r="K1972" s="38" t="n">
        <f aca="false">Sens!$K$1810-tax*Sens!$K$1811-ext_sh*Sens!$K$1800</f>
        <v>-16.405882131005</v>
      </c>
      <c r="L1972" s="38" t="n">
        <f aca="false">Sens!$L$1810-tax*Sens!$L$1811-ext_sh*Sens!$L$1800</f>
        <v>2.04374470126081</v>
      </c>
      <c r="M1972" s="38" t="n">
        <f aca="false">Sens!$M$1810-tax*Sens!$M$1811-ext_sh*Sens!$M$1800</f>
        <v>17.737282264719</v>
      </c>
    </row>
    <row r="1973" customFormat="false" ht="17.15" hidden="false" customHeight="false" outlineLevel="0" collapsed="false">
      <c r="A1973" s="5" t="s">
        <v>939</v>
      </c>
      <c r="B1973" s="0" t="s">
        <v>86</v>
      </c>
      <c r="H1973" s="38" t="n">
        <f aca="false">Sens!$H$1972*Sens!$H$1950</f>
        <v>-107.850328289118</v>
      </c>
      <c r="I1973" s="38" t="n">
        <f aca="false">Sens!$I$1972*Sens!$I$1950</f>
        <v>-77.4577835057655</v>
      </c>
      <c r="J1973" s="38" t="n">
        <f aca="false">Sens!$J$1972*Sens!$J$1950</f>
        <v>-48.0944721030473</v>
      </c>
      <c r="K1973" s="38" t="n">
        <f aca="false">Sens!$K$1972*Sens!$K$1950</f>
        <v>-11.2683511968454</v>
      </c>
      <c r="L1973" s="38" t="n">
        <f aca="false">Sens!$L$1972*Sens!$L$1950</f>
        <v>1.26088717493403</v>
      </c>
      <c r="M1973" s="38" t="n">
        <f aca="false">Sens!$M$1972*Sens!$M$1950</f>
        <v>9.82936487754444</v>
      </c>
    </row>
    <row r="1974" customFormat="false" ht="17.15" hidden="false" customHeight="false" outlineLevel="0" collapsed="false">
      <c r="A1974" s="5" t="s">
        <v>940</v>
      </c>
      <c r="B1974" s="0" t="s">
        <v>86</v>
      </c>
      <c r="C1974" s="38" t="n">
        <f aca="false">Sens!$M$1811*(1-tax)*(1+tg)*(1-tg/ronic)/(wacc-tg)</f>
        <v>214.639658716704</v>
      </c>
    </row>
    <row r="1975" customFormat="false" ht="17.15" hidden="false" customHeight="false" outlineLevel="0" collapsed="false">
      <c r="A1975" s="0" t="s">
        <v>941</v>
      </c>
      <c r="B1975" s="0" t="s">
        <v>86</v>
      </c>
      <c r="C1975" s="38" t="n">
        <f aca="false">(SUM(Sens!$H$1973:$M$1973)+Sens!$C$1974/(1+wacc)^6)*(1+wacc)^tp_yf</f>
        <v>-131.994752365012</v>
      </c>
    </row>
    <row r="1976" customFormat="false" ht="17.15" hidden="false" customHeight="false" outlineLevel="0" collapsed="false">
      <c r="A1976" s="5" t="s">
        <v>942</v>
      </c>
      <c r="B1976" s="0" t="s">
        <v>86</v>
      </c>
      <c r="C1976" s="38" t="n">
        <f aca="false">(1-tp_yf)*(Sens!$H$1893)+tp_yf*(Sens!$I$1893)</f>
        <v>74.6707041238437</v>
      </c>
    </row>
    <row r="1977" customFormat="false" ht="17.15" hidden="false" customHeight="false" outlineLevel="0" collapsed="false">
      <c r="A1977" s="5" t="s">
        <v>943</v>
      </c>
      <c r="B1977" s="0" t="s">
        <v>86</v>
      </c>
      <c r="C1977" s="38" t="n">
        <f aca="false">Sens!$C$1976*m_ai</f>
        <v>448.024224743062</v>
      </c>
    </row>
    <row r="1978" customFormat="false" ht="17.15" hidden="false" customHeight="false" outlineLevel="0" collapsed="false">
      <c r="A1978" s="0" t="s">
        <v>944</v>
      </c>
      <c r="B1978" s="0" t="s">
        <v>86</v>
      </c>
      <c r="C1978" s="38" t="n">
        <f aca="false">IF(ai_leg=1,Sens!$C$1975,Sens!$C$1977)</f>
        <v>-131.994752365012</v>
      </c>
    </row>
    <row r="1979" customFormat="false" ht="17.15" hidden="false" customHeight="false" outlineLevel="0" collapsed="false">
      <c r="A1979" s="5" t="s">
        <v>945</v>
      </c>
      <c r="B1979" s="0" t="s">
        <v>86</v>
      </c>
      <c r="C1979" s="38" t="n">
        <f aca="false">Sens!$C$1965+Sens!$C$1968+Sens!$C$1971+Sens!$C$1978</f>
        <v>2692.11299466861</v>
      </c>
    </row>
    <row r="1980" customFormat="false" ht="17.15" hidden="false" customHeight="false" outlineLevel="0" collapsed="false">
      <c r="A1980" s="5" t="s">
        <v>946</v>
      </c>
      <c r="B1980" s="0" t="s">
        <v>86</v>
      </c>
      <c r="C1980" s="38" t="n">
        <f aca="false">Sens!$H$1933+fin_debt</f>
        <v>148.049001602713</v>
      </c>
    </row>
    <row r="1981" customFormat="false" ht="15" hidden="false" customHeight="false" outlineLevel="0" collapsed="false">
      <c r="A1981" s="5" t="s">
        <v>947</v>
      </c>
      <c r="B1981" s="0" t="s">
        <v>86</v>
      </c>
      <c r="C1981" s="38" t="n">
        <f aca="false">Sens!$C$1979-Sens!$C$1980+Sens!$C$1958</f>
        <v>2723.0079930659</v>
      </c>
    </row>
    <row r="1982" customFormat="false" ht="15" hidden="false" customHeight="false" outlineLevel="0" collapsed="false">
      <c r="A1982" s="3" t="s">
        <v>948</v>
      </c>
      <c r="B1982" s="8" t="s">
        <v>27</v>
      </c>
      <c r="C1982" s="30" t="n">
        <f aca="false">Sens!$C$1981/sh_val</f>
        <v>246.865863752011</v>
      </c>
    </row>
    <row r="1983" customFormat="false" ht="17.15" hidden="false" customHeight="false" outlineLevel="0" collapsed="false">
      <c r="A1983" s="47" t="s">
        <v>949</v>
      </c>
      <c r="B1983" s="14" t="s">
        <v>27</v>
      </c>
      <c r="C1983" s="44" t="n">
        <f aca="false">w_dcf*Sens!$C$1961+(1-w_dcf)*Sens!$C$1982</f>
        <v>184.54330507338</v>
      </c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</row>
    <row r="1984" customFormat="false" ht="17.15" hidden="false" customHeight="false" outlineLevel="0" collapsed="false">
      <c r="A1984" s="5" t="s">
        <v>950</v>
      </c>
      <c r="B1984" s="0" t="s">
        <v>27</v>
      </c>
      <c r="C1984" s="30" t="n">
        <f aca="false">v022_wdcf*Sens!$C$1961+(1-v022_wdcf)*Sens!$C$1982</f>
        <v>190.775560941243</v>
      </c>
    </row>
    <row r="1985" customFormat="false" ht="17.15" hidden="false" customHeight="false" outlineLevel="0" collapsed="false">
      <c r="A1985" s="5" t="s">
        <v>951</v>
      </c>
      <c r="B1985" s="0" t="s">
        <v>27</v>
      </c>
      <c r="C1985" s="30" t="n">
        <f aca="false">(Sens!$C$1981-Sens!$C$1978+Sens!$C$1977)/sh_val</f>
        <v>299.449949491372</v>
      </c>
    </row>
    <row r="1988" customFormat="false" ht="19.4" hidden="false" customHeight="false" outlineLevel="0" collapsed="false">
      <c r="A1988" s="31" t="s">
        <v>1167</v>
      </c>
    </row>
    <row r="1989" customFormat="false" ht="17.15" hidden="false" customHeight="false" outlineLevel="0" collapsed="false">
      <c r="A1989" s="6" t="s">
        <v>16</v>
      </c>
      <c r="B1989" s="6" t="s">
        <v>17</v>
      </c>
      <c r="C1989" s="20" t="s">
        <v>494</v>
      </c>
      <c r="D1989" s="20" t="s">
        <v>495</v>
      </c>
      <c r="E1989" s="20" t="s">
        <v>577</v>
      </c>
      <c r="F1989" s="20" t="s">
        <v>578</v>
      </c>
      <c r="G1989" s="20" t="s">
        <v>579</v>
      </c>
      <c r="H1989" s="20" t="s">
        <v>580</v>
      </c>
      <c r="I1989" s="20" t="s">
        <v>581</v>
      </c>
      <c r="J1989" s="20" t="s">
        <v>582</v>
      </c>
      <c r="K1989" s="20" t="s">
        <v>583</v>
      </c>
      <c r="L1989" s="20" t="s">
        <v>584</v>
      </c>
      <c r="M1989" s="20" t="s">
        <v>585</v>
      </c>
      <c r="N1989" s="20" t="s">
        <v>586</v>
      </c>
      <c r="O1989" s="20" t="s">
        <v>587</v>
      </c>
      <c r="P1989" s="6" t="s">
        <v>23</v>
      </c>
      <c r="R1989" s="20" t="n">
        <v>2023</v>
      </c>
      <c r="S1989" s="20" t="n">
        <v>2024</v>
      </c>
      <c r="T1989" s="20" t="n">
        <v>2025</v>
      </c>
      <c r="U1989" s="20" t="n">
        <v>2026</v>
      </c>
      <c r="V1989" s="20" t="n">
        <v>2027</v>
      </c>
      <c r="W1989" s="20" t="n">
        <v>2028</v>
      </c>
      <c r="X1989" s="20" t="n">
        <v>2029</v>
      </c>
      <c r="Y1989" s="20" t="n">
        <v>2030</v>
      </c>
      <c r="Z1989" s="20" t="n">
        <v>2031</v>
      </c>
      <c r="AA1989" s="20" t="n">
        <v>2032</v>
      </c>
    </row>
    <row r="1990" customFormat="false" ht="17.15" hidden="false" customHeight="false" outlineLevel="0" collapsed="false">
      <c r="A1990" s="1" t="s">
        <v>660</v>
      </c>
    </row>
    <row r="1991" customFormat="false" ht="17.15" hidden="false" customHeight="false" outlineLevel="0" collapsed="false">
      <c r="A1991" s="0" t="s">
        <v>516</v>
      </c>
      <c r="B1991" s="0" t="s">
        <v>86</v>
      </c>
      <c r="C1991" s="38" t="n">
        <f aca="false">Q!$D$10</f>
        <v>247.029</v>
      </c>
      <c r="D1991" s="38" t="n">
        <f aca="false">Q!$E$10</f>
        <v>269.287</v>
      </c>
      <c r="E1991" s="38" t="n">
        <f aca="false">Q!$P$10</f>
        <v>134.686</v>
      </c>
      <c r="F1991" s="38" t="n">
        <f aca="false">Sens!$O$1991*(1+Sens!$F$1992)*Sens!$F$2003</f>
        <v>158.293876822267</v>
      </c>
      <c r="G1991" s="38" t="n">
        <f aca="false">Sens!$E$1991+Sens!$F$1991</f>
        <v>292.979876822267</v>
      </c>
      <c r="H1991" s="38" t="n">
        <f aca="false">Sens!$G$1991*(1+Sens!$H$1992)</f>
        <v>318.184543087396</v>
      </c>
      <c r="I1991" s="38" t="n">
        <f aca="false">Sens!$H$1991*(1+Sens!$I$1992)</f>
        <v>341.736278761793</v>
      </c>
      <c r="J1991" s="38" t="n">
        <f aca="false">Sens!$I$1991*(1+Sens!$J$1992)</f>
        <v>362.927192787048</v>
      </c>
      <c r="K1991" s="38" t="n">
        <f aca="false">Sens!$J$1991*(1+Sens!$K$1992)</f>
        <v>381.0735524264</v>
      </c>
      <c r="L1991" s="38" t="n">
        <f aca="false">Sens!$K$1991*(1+Sens!$L$1992)</f>
        <v>400.12723004772</v>
      </c>
      <c r="M1991" s="38" t="n">
        <f aca="false">Sens!$L$1991*(1+Sens!$M$1992)</f>
        <v>420.133591550106</v>
      </c>
      <c r="N1991" s="38" t="n">
        <f aca="false">Q!$N$10</f>
        <v>118.892</v>
      </c>
      <c r="O1991" s="38" t="n">
        <f aca="false">Q!$O$10</f>
        <v>150.395</v>
      </c>
      <c r="P1991" s="8" t="s">
        <v>661</v>
      </c>
    </row>
    <row r="1992" customFormat="false" ht="17.15" hidden="false" customHeight="false" outlineLevel="0" collapsed="false">
      <c r="A1992" s="0" t="s">
        <v>662</v>
      </c>
      <c r="B1992" s="0" t="s">
        <v>52</v>
      </c>
      <c r="E1992" s="13" t="n">
        <f aca="false">Sens!$E$1991/Sens!$N$1991-1</f>
        <v>0.132843252699929</v>
      </c>
      <c r="F1992" s="13" t="n">
        <f aca="false">Sens!$O$1991/(Q!$F$10+Q!$G$10)-1</f>
        <v>0.0980382135842941</v>
      </c>
      <c r="G1992" s="13" t="n">
        <f aca="false">Sens!$G$1991/Sens!$D$1991-1</f>
        <v>0.0879837378791657</v>
      </c>
      <c r="H1992" s="13" t="n">
        <f aca="false">Sens!$F$1992+(g_os-Sens!$F$1992)*1/4</f>
        <v>0.0860286601882206</v>
      </c>
      <c r="I1992" s="13" t="n">
        <f aca="false">Sens!$F$1992+(g_os-Sens!$F$1992)*2/4</f>
        <v>0.074019106792147</v>
      </c>
      <c r="J1992" s="13" t="n">
        <f aca="false">Sens!$F$1992+(g_os-Sens!$F$1992)*3/4</f>
        <v>0.0620095533960735</v>
      </c>
      <c r="K1992" s="13" t="n">
        <f aca="false">Sens!$F$1992+(g_os-Sens!$F$1992)*4/4</f>
        <v>0.05</v>
      </c>
      <c r="L1992" s="13" t="n">
        <f aca="false">g_os</f>
        <v>0.05</v>
      </c>
      <c r="M1992" s="13" t="n">
        <f aca="false">g_os</f>
        <v>0.05</v>
      </c>
      <c r="P1992" s="8" t="s">
        <v>663</v>
      </c>
    </row>
    <row r="1993" customFormat="false" ht="17.15" hidden="false" customHeight="false" outlineLevel="0" collapsed="false">
      <c r="A1993" s="0" t="s">
        <v>517</v>
      </c>
      <c r="B1993" s="0" t="s">
        <v>86</v>
      </c>
      <c r="C1993" s="38" t="n">
        <f aca="false">Q!$D$11</f>
        <v>21.215</v>
      </c>
      <c r="D1993" s="38" t="n">
        <f aca="false">Q!$E$11</f>
        <v>22.561</v>
      </c>
      <c r="E1993" s="38" t="n">
        <f aca="false">Q!$P$11</f>
        <v>11.579</v>
      </c>
      <c r="F1993" s="38" t="n">
        <f aca="false">Sens!$O$1993*(1+Sens!$F$1994)*Sens!$F$2003</f>
        <v>11.5938724610325</v>
      </c>
      <c r="G1993" s="38" t="n">
        <f aca="false">Sens!$E$1993+Sens!$F$1993</f>
        <v>23.1728724610325</v>
      </c>
      <c r="H1993" s="38" t="n">
        <f aca="false">Sens!$G$1993*(1+Sens!$H$1994)</f>
        <v>24.353392759506</v>
      </c>
      <c r="I1993" s="38" t="n">
        <f aca="false">Sens!$H$1993*(1+Sens!$I$1994)</f>
        <v>25.4240338872015</v>
      </c>
      <c r="J1993" s="38" t="n">
        <f aca="false">Sens!$I$1993*(1+Sens!$J$1994)</f>
        <v>26.3642491017174</v>
      </c>
      <c r="K1993" s="38" t="n">
        <f aca="false">Sens!$J$1993*(1+Sens!$K$1994)</f>
        <v>27.155176574769</v>
      </c>
      <c r="L1993" s="38" t="n">
        <f aca="false">Sens!$K$1993*(1+Sens!$L$1994)</f>
        <v>27.969831872012</v>
      </c>
      <c r="M1993" s="38" t="n">
        <f aca="false">Sens!$L$1993*(1+Sens!$M$1994)</f>
        <v>28.8089268281724</v>
      </c>
      <c r="N1993" s="38" t="n">
        <f aca="false">Q!$N$11</f>
        <v>11.128</v>
      </c>
      <c r="O1993" s="38" t="n">
        <f aca="false">Q!$O$11</f>
        <v>11.433</v>
      </c>
      <c r="P1993" s="8" t="s">
        <v>661</v>
      </c>
    </row>
    <row r="1994" customFormat="false" ht="17.15" hidden="false" customHeight="false" outlineLevel="0" collapsed="false">
      <c r="A1994" s="0" t="s">
        <v>664</v>
      </c>
      <c r="B1994" s="0" t="s">
        <v>52</v>
      </c>
      <c r="E1994" s="13" t="n">
        <f aca="false">Sens!$E$1993/Sens!$N$1993-1</f>
        <v>0.0405283968368082</v>
      </c>
      <c r="F1994" s="13" t="n">
        <f aca="false">Sens!$O$1993/(Q!$F$11+Q!$G$11)-1</f>
        <v>0.0579254187100955</v>
      </c>
      <c r="G1994" s="13" t="n">
        <f aca="false">Sens!$G$1993/Sens!$D$1993-1</f>
        <v>0.0271208040881397</v>
      </c>
      <c r="H1994" s="13" t="n">
        <f aca="false">Sens!$F$1994+(g_ps-Sens!$F$1994)*1/4</f>
        <v>0.0509440640325716</v>
      </c>
      <c r="I1994" s="13" t="n">
        <f aca="false">Sens!$F$1994+(g_ps-Sens!$F$1994)*2/4</f>
        <v>0.0439627093550477</v>
      </c>
      <c r="J1994" s="13" t="n">
        <f aca="false">Sens!$F$1994+(g_ps-Sens!$F$1994)*3/4</f>
        <v>0.0369813546775239</v>
      </c>
      <c r="K1994" s="13" t="n">
        <f aca="false">Sens!$F$1994+(g_ps-Sens!$F$1994)*4/4</f>
        <v>0.03</v>
      </c>
      <c r="L1994" s="13" t="n">
        <f aca="false">g_ps</f>
        <v>0.03</v>
      </c>
      <c r="M1994" s="13" t="n">
        <f aca="false">g_ps</f>
        <v>0.03</v>
      </c>
      <c r="P1994" s="8" t="s">
        <v>665</v>
      </c>
    </row>
    <row r="1995" customFormat="false" ht="17.15" hidden="false" customHeight="false" outlineLevel="0" collapsed="false">
      <c r="A1995" s="0" t="s">
        <v>518</v>
      </c>
      <c r="B1995" s="0" t="s">
        <v>86</v>
      </c>
      <c r="C1995" s="38" t="n">
        <f aca="false">Q!$D$12</f>
        <v>156.146</v>
      </c>
      <c r="D1995" s="38" t="n">
        <f aca="false">Q!$E$12</f>
        <v>172.162</v>
      </c>
      <c r="E1995" s="38" t="n">
        <f aca="false">Q!$P$12</f>
        <v>88.358</v>
      </c>
      <c r="F1995" s="38" t="n">
        <f aca="false">Sens!$O$1995*(1+Sens!$F$1996)*Sens!$F$2003</f>
        <v>102.004388260171</v>
      </c>
      <c r="G1995" s="38" t="n">
        <f aca="false">Sens!$E$1995+Sens!$F$1995</f>
        <v>190.362388260171</v>
      </c>
      <c r="H1995" s="38" t="n">
        <f aca="false">Sens!$G$1995*(1+Sens!$H$1996)</f>
        <v>210.343106588311</v>
      </c>
      <c r="I1995" s="38" t="n">
        <f aca="false">Sens!$H$1995*(1+Sens!$I$1996)</f>
        <v>229.969728494648</v>
      </c>
      <c r="J1995" s="38" t="n">
        <f aca="false">Sens!$I$1995*(1+Sens!$J$1996)</f>
        <v>248.747636972598</v>
      </c>
      <c r="K1995" s="38" t="n">
        <f aca="false">Sens!$J$1995*(1+Sens!$K$1996)</f>
        <v>266.15997156068</v>
      </c>
      <c r="L1995" s="38" t="n">
        <f aca="false">Sens!$K$1995*(1+Sens!$L$1996)</f>
        <v>284.791169569927</v>
      </c>
      <c r="M1995" s="38" t="n">
        <f aca="false">Sens!$L$1995*(1+Sens!$M$1996)</f>
        <v>304.726551439822</v>
      </c>
      <c r="N1995" s="38" t="n">
        <f aca="false">Q!$N$12</f>
        <v>76.86</v>
      </c>
      <c r="O1995" s="38" t="n">
        <f aca="false">Q!$O$12</f>
        <v>95.302</v>
      </c>
      <c r="P1995" s="8" t="s">
        <v>661</v>
      </c>
    </row>
    <row r="1996" customFormat="false" ht="17.15" hidden="false" customHeight="false" outlineLevel="0" collapsed="false">
      <c r="A1996" s="0" t="s">
        <v>666</v>
      </c>
      <c r="B1996" s="0" t="s">
        <v>52</v>
      </c>
      <c r="E1996" s="13" t="n">
        <f aca="false">Sens!$E$1995/Sens!$N$1995-1</f>
        <v>0.1495966692688</v>
      </c>
      <c r="F1996" s="13" t="n">
        <f aca="false">Sens!$O$1995/(Q!$F$12+Q!$G$12)-1</f>
        <v>0.11661530890813</v>
      </c>
      <c r="G1996" s="13" t="n">
        <f aca="false">Sens!$G$1995/Sens!$D$1995-1</f>
        <v>0.105716640490767</v>
      </c>
      <c r="H1996" s="13" t="n">
        <f aca="false">Sens!$F$1996+(g_sp-Sens!$F$1996)*1/4</f>
        <v>0.104961481681098</v>
      </c>
      <c r="I1996" s="13" t="n">
        <f aca="false">Sens!$F$1996+(g_sp-Sens!$F$1996)*2/4</f>
        <v>0.0933076544540651</v>
      </c>
      <c r="J1996" s="13" t="n">
        <f aca="false">Sens!$F$1996+(g_sp-Sens!$F$1996)*3/4</f>
        <v>0.0816538272270325</v>
      </c>
      <c r="K1996" s="13" t="n">
        <f aca="false">Sens!$F$1996+(g_sp-Sens!$F$1996)*4/4</f>
        <v>0.07</v>
      </c>
      <c r="L1996" s="13" t="n">
        <f aca="false">g_sp</f>
        <v>0.07</v>
      </c>
      <c r="M1996" s="13" t="n">
        <f aca="false">g_sp</f>
        <v>0.07</v>
      </c>
      <c r="P1996" s="8" t="s">
        <v>667</v>
      </c>
    </row>
    <row r="1997" customFormat="false" ht="17.15" hidden="false" customHeight="false" outlineLevel="0" collapsed="false">
      <c r="A1997" s="0" t="s">
        <v>519</v>
      </c>
      <c r="B1997" s="0" t="s">
        <v>86</v>
      </c>
      <c r="C1997" s="38" t="n">
        <f aca="false">Q!$D$13</f>
        <v>56.214</v>
      </c>
      <c r="D1997" s="38" t="n">
        <f aca="false">Q!$E$13</f>
        <v>68.635</v>
      </c>
      <c r="E1997" s="38" t="n">
        <f aca="false">Q!$P$13</f>
        <v>37.052</v>
      </c>
      <c r="F1997" s="38" t="n">
        <f aca="false">Sens!$O$1997*(1+Sens!$F$1998)*Sens!$F$2003</f>
        <v>46.1572219944148</v>
      </c>
      <c r="G1997" s="38" t="n">
        <f aca="false">Sens!$E$1997+Sens!$F$1997</f>
        <v>83.2092219944148</v>
      </c>
      <c r="H1997" s="38" t="n">
        <f aca="false">Sens!$G$1997*(1+Sens!$H$1998)</f>
        <v>99.8969223878976</v>
      </c>
      <c r="I1997" s="38" t="n">
        <f aca="false">Sens!$H$1997*(1+Sens!$I$1998)</f>
        <v>116.583111095496</v>
      </c>
      <c r="J1997" s="38" t="n">
        <f aca="false">Sens!$I$1997*(1+Sens!$J$1998)</f>
        <v>132.148941941952</v>
      </c>
      <c r="K1997" s="38" t="n">
        <f aca="false">Sens!$J$1997*(1+Sens!$K$1998)</f>
        <v>145.363836136147</v>
      </c>
      <c r="L1997" s="38" t="n">
        <f aca="false">Sens!$K$1997*(1+Sens!$L$1998)</f>
        <v>159.900219749762</v>
      </c>
      <c r="M1997" s="38" t="n">
        <f aca="false">Sens!$L$1997*(1+Sens!$M$1998)</f>
        <v>175.890241724738</v>
      </c>
      <c r="N1997" s="38" t="n">
        <f aca="false">Q!$N$13</f>
        <v>29.615</v>
      </c>
      <c r="O1997" s="38" t="n">
        <f aca="false">Q!$O$13</f>
        <v>39.02</v>
      </c>
      <c r="P1997" s="8" t="s">
        <v>661</v>
      </c>
    </row>
    <row r="1998" customFormat="false" ht="17.15" hidden="false" customHeight="false" outlineLevel="0" collapsed="false">
      <c r="A1998" s="0" t="s">
        <v>668</v>
      </c>
      <c r="B1998" s="0" t="s">
        <v>52</v>
      </c>
      <c r="E1998" s="13" t="n">
        <f aca="false">Sens!$E$1997/Sens!$N$1997-1</f>
        <v>0.25112274185379</v>
      </c>
      <c r="F1998" s="13" t="n">
        <f aca="false">Sens!$O$1997/(Q!$F$13+Q!$G$13)-1</f>
        <v>0.234068123596572</v>
      </c>
      <c r="G1998" s="13" t="n">
        <f aca="false">Sens!$G$1997/Sens!$D$1997-1</f>
        <v>0.212343876949294</v>
      </c>
      <c r="H1998" s="13" t="n">
        <f aca="false">Sens!$F$1998+(g_ad-Sens!$F$1998)*1/4</f>
        <v>0.200551092697429</v>
      </c>
      <c r="I1998" s="13" t="n">
        <f aca="false">Sens!$F$1998+(g_ad-Sens!$F$1998)*2/4</f>
        <v>0.167034061798286</v>
      </c>
      <c r="J1998" s="13" t="n">
        <f aca="false">Sens!$F$1998+(g_ad-Sens!$F$1998)*3/4</f>
        <v>0.133517030899143</v>
      </c>
      <c r="K1998" s="13" t="n">
        <f aca="false">Sens!$F$1998+(g_ad-Sens!$F$1998)*4/4</f>
        <v>0.1</v>
      </c>
      <c r="L1998" s="13" t="n">
        <f aca="false">g_ad</f>
        <v>0.1</v>
      </c>
      <c r="M1998" s="13" t="n">
        <f aca="false">g_ad</f>
        <v>0.1</v>
      </c>
      <c r="P1998" s="8" t="s">
        <v>669</v>
      </c>
    </row>
    <row r="1999" customFormat="false" ht="17.15" hidden="false" customHeight="false" outlineLevel="0" collapsed="false">
      <c r="A1999" s="0" t="s">
        <v>520</v>
      </c>
      <c r="B1999" s="0" t="s">
        <v>86</v>
      </c>
      <c r="C1999" s="38" t="n">
        <f aca="false">Q!$D$14</f>
        <v>44.374</v>
      </c>
      <c r="D1999" s="38" t="n">
        <f aca="false">Q!$E$14</f>
        <v>49.619</v>
      </c>
      <c r="E1999" s="38" t="n">
        <f aca="false">Q!$P$14</f>
        <v>27.157</v>
      </c>
      <c r="F1999" s="38" t="n">
        <f aca="false">Sens!$O$1999*(1+Sens!$F$2000)*Sens!$F$2003</f>
        <v>27.7764165988154</v>
      </c>
      <c r="G1999" s="38" t="n">
        <f aca="false">Sens!$E$1999+Sens!$F$1999</f>
        <v>54.9334165988154</v>
      </c>
      <c r="H1999" s="38" t="n">
        <f aca="false">Sens!$G$1999*(1+Sens!$H$2000)</f>
        <v>61.1564112561829</v>
      </c>
      <c r="I1999" s="38" t="n">
        <f aca="false">Sens!$H$1999*(1+Sens!$I$2000)</f>
        <v>67.2020282103945</v>
      </c>
      <c r="J1999" s="38" t="n">
        <f aca="false">Sens!$I$1999*(1+Sens!$J$2000)</f>
        <v>72.8757274028885</v>
      </c>
      <c r="K1999" s="38" t="n">
        <f aca="false">Sens!$J$1999*(1+Sens!$K$2000)</f>
        <v>77.9770283210907</v>
      </c>
      <c r="L1999" s="38" t="n">
        <f aca="false">Sens!$K$1999*(1+Sens!$L$2000)</f>
        <v>83.4354203035671</v>
      </c>
      <c r="M1999" s="38" t="n">
        <f aca="false">Sens!$L$1999*(1+Sens!$M$2000)</f>
        <v>89.2758997248168</v>
      </c>
      <c r="N1999" s="38" t="n">
        <f aca="false">Q!$N$14</f>
        <v>23.923</v>
      </c>
      <c r="O1999" s="38" t="n">
        <f aca="false">Q!$O$14</f>
        <v>25.696</v>
      </c>
      <c r="P1999" s="8" t="s">
        <v>661</v>
      </c>
    </row>
    <row r="2000" customFormat="false" ht="17.15" hidden="false" customHeight="false" outlineLevel="0" collapsed="false">
      <c r="A2000" s="0" t="s">
        <v>670</v>
      </c>
      <c r="B2000" s="0" t="s">
        <v>52</v>
      </c>
      <c r="E2000" s="13" t="n">
        <f aca="false">Sens!$E$1999/Sens!$N$1999-1</f>
        <v>0.135183714417088</v>
      </c>
      <c r="F2000" s="13" t="n">
        <f aca="false">Sens!$O$1999/(Q!$F$14+Q!$G$14)-1</f>
        <v>0.127709997366804</v>
      </c>
      <c r="G2000" s="13" t="n">
        <f aca="false">Sens!$G$1999/Sens!$D$1999-1</f>
        <v>0.107104468022641</v>
      </c>
      <c r="H2000" s="13" t="n">
        <f aca="false">Sens!$F$2000+(g_sub-Sens!$F$2000)*1/4</f>
        <v>0.113282498025103</v>
      </c>
      <c r="I2000" s="13" t="n">
        <f aca="false">Sens!$F$2000+(g_sub-Sens!$F$2000)*2/4</f>
        <v>0.0988549986834021</v>
      </c>
      <c r="J2000" s="13" t="n">
        <f aca="false">Sens!$F$2000+(g_sub-Sens!$F$2000)*3/4</f>
        <v>0.084427499341701</v>
      </c>
      <c r="K2000" s="13" t="n">
        <f aca="false">Sens!$F$2000+(g_sub-Sens!$F$2000)*4/4</f>
        <v>0.07</v>
      </c>
      <c r="L2000" s="13" t="n">
        <f aca="false">g_sub</f>
        <v>0.07</v>
      </c>
      <c r="M2000" s="13" t="n">
        <f aca="false">g_sub</f>
        <v>0.07</v>
      </c>
      <c r="P2000" s="8" t="s">
        <v>671</v>
      </c>
    </row>
    <row r="2001" customFormat="false" ht="17.15" hidden="false" customHeight="false" outlineLevel="0" collapsed="false">
      <c r="A2001" s="0" t="s">
        <v>521</v>
      </c>
      <c r="B2001" s="0" t="s">
        <v>86</v>
      </c>
      <c r="C2001" s="38" t="n">
        <f aca="false">Q!$D$15</f>
        <v>5.425</v>
      </c>
      <c r="D2001" s="38" t="n">
        <f aca="false">Q!$E$15</f>
        <v>5.935</v>
      </c>
      <c r="E2001" s="38" t="n">
        <f aca="false">Q!$P$15</f>
        <v>3.474</v>
      </c>
      <c r="F2001" s="38" t="n">
        <f aca="false">Sens!$O$2001*(1+Sens!$F$2002)*Sens!$F$2003</f>
        <v>3.22246550883619</v>
      </c>
      <c r="G2001" s="38" t="n">
        <f aca="false">Sens!$E$2001+Sens!$F$2001</f>
        <v>6.69646550883619</v>
      </c>
      <c r="H2001" s="38" t="n">
        <f aca="false">Sens!$G$2001*(1+Sens!$H$2002)</f>
        <v>7.16251344209196</v>
      </c>
      <c r="I2001" s="38" t="n">
        <f aca="false">Sens!$H$2001*(1+Sens!$I$2002)</f>
        <v>7.61421070299826</v>
      </c>
      <c r="J2001" s="38" t="n">
        <f aca="false">Sens!$I$2001*(1+Sens!$J$2002)</f>
        <v>8.04465753523932</v>
      </c>
      <c r="K2001" s="38" t="n">
        <f aca="false">Sens!$J$2001*(1+Sens!$K$2002)</f>
        <v>8.44689041200128</v>
      </c>
      <c r="L2001" s="38" t="n">
        <f aca="false">Sens!$K$2001*(1+Sens!$L$2002)</f>
        <v>8.86923493260135</v>
      </c>
      <c r="M2001" s="38" t="n">
        <f aca="false">Sens!$L$2001*(1+Sens!$M$2002)</f>
        <v>9.31269667923142</v>
      </c>
      <c r="N2001" s="38" t="n">
        <f aca="false">Q!$N$15</f>
        <v>2.811</v>
      </c>
      <c r="O2001" s="38" t="n">
        <f aca="false">Q!$O$15</f>
        <v>3.124</v>
      </c>
      <c r="P2001" s="8" t="s">
        <v>661</v>
      </c>
    </row>
    <row r="2002" customFormat="false" ht="17.15" hidden="false" customHeight="false" outlineLevel="0" collapsed="false">
      <c r="A2002" s="0" t="s">
        <v>672</v>
      </c>
      <c r="B2002" s="0" t="s">
        <v>52</v>
      </c>
      <c r="E2002" s="13" t="n">
        <f aca="false">Sens!$E$2001/Sens!$N$2001-1</f>
        <v>0.235859124866596</v>
      </c>
      <c r="F2002" s="13" t="n">
        <f aca="false">Sens!$O$2001/(Q!$F$15+Q!$G$15)-1</f>
        <v>0.0761281433000345</v>
      </c>
      <c r="G2002" s="13" t="n">
        <f aca="false">Sens!$G$2001/Sens!$D$2001-1</f>
        <v>0.128300843948811</v>
      </c>
      <c r="H2002" s="13" t="n">
        <f aca="false">Sens!$F$2002+(g_ot-Sens!$F$2002)*1/4</f>
        <v>0.0695961074750259</v>
      </c>
      <c r="I2002" s="13" t="n">
        <f aca="false">Sens!$F$2002+(g_ot-Sens!$F$2002)*2/4</f>
        <v>0.0630640716500172</v>
      </c>
      <c r="J2002" s="13" t="n">
        <f aca="false">Sens!$F$2002+(g_ot-Sens!$F$2002)*3/4</f>
        <v>0.0565320358250086</v>
      </c>
      <c r="K2002" s="13" t="n">
        <f aca="false">Sens!$F$2002+(g_ot-Sens!$F$2002)*4/4</f>
        <v>0.05</v>
      </c>
      <c r="L2002" s="13" t="n">
        <f aca="false">g_ot</f>
        <v>0.05</v>
      </c>
      <c r="M2002" s="13" t="n">
        <f aca="false">g_ot</f>
        <v>0.05</v>
      </c>
      <c r="P2002" s="8" t="s">
        <v>673</v>
      </c>
    </row>
    <row r="2003" customFormat="false" ht="17.15" hidden="false" customHeight="false" outlineLevel="0" collapsed="false">
      <c r="A2003" s="0" t="s">
        <v>674</v>
      </c>
      <c r="B2003" s="0" t="s">
        <v>57</v>
      </c>
      <c r="F2003" s="40" t="n">
        <f aca="false">(g26q3_mid*Q!$O$8/Q!$J$8-Sens!$F$2032-Sens!$F$2036)/(Sens!$O$1991*(1+Sens!$F$1992)+Sens!$O$1993*(1+Sens!$F$1994)+Sens!$O$1995*(1+Sens!$F$1996)+Sens!$O$1997*(1+Sens!$F$1998)+Sens!$O$1999*(1+Sens!$F$2000)+Sens!$O$2001*(1+Sens!$F$2002))</f>
        <v>0.958546670622329</v>
      </c>
      <c r="P2003" s="8" t="s">
        <v>675</v>
      </c>
    </row>
    <row r="2004" customFormat="false" ht="17.15" hidden="false" customHeight="false" outlineLevel="0" collapsed="false">
      <c r="A2004" s="3" t="s">
        <v>676</v>
      </c>
      <c r="B2004" s="8" t="s">
        <v>86</v>
      </c>
      <c r="C2004" s="38" t="n">
        <f aca="false">Sens!$C$1991+Sens!$C$1993+Sens!$C$1995+Sens!$C$1997+Sens!$C$1999+Sens!$C$2001</f>
        <v>530.403</v>
      </c>
      <c r="D2004" s="38" t="n">
        <f aca="false">Sens!$D$1991+Sens!$D$1993+Sens!$D$1995+Sens!$D$1997+Sens!$D$1999+Sens!$D$2001</f>
        <v>588.199</v>
      </c>
      <c r="E2004" s="38" t="n">
        <f aca="false">Sens!$E$1991+Sens!$E$1993+Sens!$E$1995+Sens!$E$1997+Sens!$E$1999+Sens!$E$2001</f>
        <v>302.306</v>
      </c>
      <c r="F2004" s="38" t="n">
        <f aca="false">Sens!$F$1991+Sens!$F$1993+Sens!$F$1995+Sens!$F$1997+Sens!$F$1999+Sens!$F$2001</f>
        <v>349.048241645537</v>
      </c>
      <c r="G2004" s="38" t="n">
        <f aca="false">Sens!$G$1991+Sens!$G$1993+Sens!$G$1995+Sens!$G$1997+Sens!$G$1999+Sens!$G$2001</f>
        <v>651.354241645537</v>
      </c>
      <c r="H2004" s="38" t="n">
        <f aca="false">Sens!$H$1991+Sens!$H$1993+Sens!$H$1995+Sens!$H$1997+Sens!$H$1999+Sens!$H$2001</f>
        <v>721.096889521386</v>
      </c>
      <c r="I2004" s="38" t="n">
        <f aca="false">Sens!$I$1991+Sens!$I$1993+Sens!$I$1995+Sens!$I$1997+Sens!$I$1999+Sens!$I$2001</f>
        <v>788.529391152531</v>
      </c>
      <c r="J2004" s="38" t="n">
        <f aca="false">Sens!$J$1991+Sens!$J$1993+Sens!$J$1995+Sens!$J$1997+Sens!$J$1999+Sens!$J$2001</f>
        <v>851.108405741443</v>
      </c>
      <c r="K2004" s="38" t="n">
        <f aca="false">Sens!$K$1991+Sens!$K$1993+Sens!$K$1995+Sens!$K$1997+Sens!$K$1999+Sens!$K$2001</f>
        <v>906.176455431088</v>
      </c>
      <c r="L2004" s="38" t="n">
        <f aca="false">Sens!$L$1991+Sens!$L$1993+Sens!$L$1995+Sens!$L$1997+Sens!$L$1999+Sens!$L$2001</f>
        <v>965.093106475589</v>
      </c>
      <c r="M2004" s="38" t="n">
        <f aca="false">Sens!$M$1991+Sens!$M$1993+Sens!$M$1995+Sens!$M$1997+Sens!$M$1999+Sens!$M$2001</f>
        <v>1028.14790794689</v>
      </c>
      <c r="N2004" s="38" t="n">
        <f aca="false">Sens!$N$1991+Sens!$N$1993+Sens!$N$1995+Sens!$N$1997+Sens!$N$1999+Sens!$N$2001</f>
        <v>263.229</v>
      </c>
      <c r="O2004" s="38" t="n">
        <f aca="false">Sens!$O$1991+Sens!$O$1993+Sens!$O$1995+Sens!$O$1997+Sens!$O$1999+Sens!$O$2001</f>
        <v>324.97</v>
      </c>
    </row>
    <row r="2005" customFormat="false" ht="17.15" hidden="false" customHeight="false" outlineLevel="0" collapsed="false">
      <c r="A2005" s="5" t="s">
        <v>677</v>
      </c>
      <c r="B2005" s="0" t="s">
        <v>52</v>
      </c>
      <c r="C2005" s="13" t="n">
        <f aca="false">Q!$D$5/(Q!$D$5+Q!$D$6)</f>
        <v>0.730570905519011</v>
      </c>
      <c r="D2005" s="13" t="n">
        <f aca="false">Q!$E$5/(Q!$E$5+Q!$E$6)</f>
        <v>0.724763217890544</v>
      </c>
      <c r="E2005" s="13" t="n">
        <f aca="false">Q!$P$5/(Q!$P$5+Q!$P$6)</f>
        <v>0.728797972914861</v>
      </c>
      <c r="F2005" s="13" t="n">
        <f aca="false">Sens!$O$2005</f>
        <v>0.718066283041511</v>
      </c>
      <c r="G2005" s="13" t="n">
        <f aca="false">Sens!$G$2006/Sens!$G$2004</f>
        <v>0.723047066202847</v>
      </c>
      <c r="H2005" s="13" t="n">
        <f aca="false">Sens!$G$2005</f>
        <v>0.723047066202847</v>
      </c>
      <c r="I2005" s="13" t="n">
        <f aca="false">Sens!$G$2005</f>
        <v>0.723047066202847</v>
      </c>
      <c r="J2005" s="13" t="n">
        <f aca="false">Sens!$G$2005</f>
        <v>0.723047066202847</v>
      </c>
      <c r="K2005" s="13" t="n">
        <f aca="false">Sens!$G$2005</f>
        <v>0.723047066202847</v>
      </c>
      <c r="L2005" s="13" t="n">
        <f aca="false">Sens!$G$2005</f>
        <v>0.723047066202847</v>
      </c>
      <c r="M2005" s="13" t="n">
        <f aca="false">Sens!$G$2005</f>
        <v>0.723047066202847</v>
      </c>
      <c r="N2005" s="13" t="n">
        <f aca="false">Q!$N$5/(Q!$N$5+Q!$N$6)</f>
        <v>0.733030935041352</v>
      </c>
      <c r="O2005" s="13" t="n">
        <f aca="false">Q!$O$5/(Q!$O$5+Q!$O$6)</f>
        <v>0.718066283041511</v>
      </c>
      <c r="P2005" s="8" t="s">
        <v>678</v>
      </c>
    </row>
    <row r="2006" customFormat="false" ht="17.15" hidden="false" customHeight="false" outlineLevel="0" collapsed="false">
      <c r="A2006" s="1" t="s">
        <v>509</v>
      </c>
      <c r="B2006" s="8" t="s">
        <v>86</v>
      </c>
      <c r="C2006" s="38" t="n">
        <f aca="false">Q!$D$5</f>
        <v>387.497</v>
      </c>
      <c r="D2006" s="38" t="n">
        <f aca="false">Q!$E$5</f>
        <v>426.305</v>
      </c>
      <c r="E2006" s="38" t="n">
        <f aca="false">Q!$P$5</f>
        <v>220.32</v>
      </c>
      <c r="F2006" s="38" t="n">
        <f aca="false">Sens!$F$2004*Sens!$F$2005</f>
        <v>250.639773480586</v>
      </c>
      <c r="G2006" s="38" t="n">
        <f aca="false">Sens!$E$2006+Sens!$F$2006</f>
        <v>470.959773480586</v>
      </c>
      <c r="H2006" s="38" t="n">
        <f aca="false">Sens!$H$2004*Sens!$H$2005</f>
        <v>521.386990416437</v>
      </c>
      <c r="I2006" s="38" t="n">
        <f aca="false">Sens!$I$2004*Sens!$I$2005</f>
        <v>570.143862887555</v>
      </c>
      <c r="J2006" s="38" t="n">
        <f aca="false">Sens!$J$2004*Sens!$J$2005</f>
        <v>615.391435791933</v>
      </c>
      <c r="K2006" s="38" t="n">
        <f aca="false">Sens!$K$2004*Sens!$K$2005</f>
        <v>655.208227561543</v>
      </c>
      <c r="L2006" s="38" t="n">
        <f aca="false">Sens!$L$2004*Sens!$L$2005</f>
        <v>697.807739249767</v>
      </c>
      <c r="M2006" s="38" t="n">
        <f aca="false">Sens!$M$2004*Sens!$M$2005</f>
        <v>743.399328463592</v>
      </c>
      <c r="N2006" s="38" t="n">
        <f aca="false">Q!$N$5</f>
        <v>192.955</v>
      </c>
      <c r="O2006" s="38" t="n">
        <f aca="false">Q!$O$5</f>
        <v>233.35</v>
      </c>
      <c r="P2006" s="5" t="s">
        <v>679</v>
      </c>
    </row>
    <row r="2007" customFormat="false" ht="17.15" hidden="false" customHeight="false" outlineLevel="0" collapsed="false">
      <c r="A2007" s="1" t="s">
        <v>512</v>
      </c>
      <c r="B2007" s="8" t="s">
        <v>86</v>
      </c>
      <c r="C2007" s="38" t="n">
        <f aca="false">Q!$D$6</f>
        <v>142.906</v>
      </c>
      <c r="D2007" s="38" t="n">
        <f aca="false">Q!$E$6</f>
        <v>161.894</v>
      </c>
      <c r="E2007" s="38" t="n">
        <f aca="false">Q!$P$6</f>
        <v>81.986</v>
      </c>
      <c r="F2007" s="38" t="n">
        <f aca="false">Sens!$F$2004*(1-Sens!$F$2005)</f>
        <v>98.408468164951</v>
      </c>
      <c r="G2007" s="38" t="n">
        <f aca="false">Sens!$E$2007+Sens!$F$2007</f>
        <v>180.394468164951</v>
      </c>
      <c r="H2007" s="38" t="n">
        <f aca="false">Sens!$H$2004*(1-Sens!$H$2005)</f>
        <v>199.709899104949</v>
      </c>
      <c r="I2007" s="38" t="n">
        <f aca="false">Sens!$I$2004*(1-Sens!$I$2005)</f>
        <v>218.385528264976</v>
      </c>
      <c r="J2007" s="38" t="n">
        <f aca="false">Sens!$J$2004*(1-Sens!$J$2005)</f>
        <v>235.71696994951</v>
      </c>
      <c r="K2007" s="38" t="n">
        <f aca="false">Sens!$K$2004*(1-Sens!$K$2005)</f>
        <v>250.968227869545</v>
      </c>
      <c r="L2007" s="38" t="n">
        <f aca="false">Sens!$L$2004*(1-Sens!$L$2005)</f>
        <v>267.285367225822</v>
      </c>
      <c r="M2007" s="38" t="n">
        <f aca="false">Sens!$M$2004*(1-Sens!$M$2005)</f>
        <v>284.748579483295</v>
      </c>
      <c r="N2007" s="38" t="n">
        <f aca="false">Q!$N$6</f>
        <v>70.274</v>
      </c>
      <c r="O2007" s="38" t="n">
        <f aca="false">Q!$O$6</f>
        <v>91.62</v>
      </c>
      <c r="P2007" s="5" t="s">
        <v>680</v>
      </c>
    </row>
    <row r="2008" customFormat="false" ht="17.15" hidden="false" customHeight="false" outlineLevel="0" collapsed="false">
      <c r="A2008" s="5" t="s">
        <v>681</v>
      </c>
      <c r="B2008" s="0" t="s">
        <v>86</v>
      </c>
      <c r="C2008" s="38" t="n">
        <f aca="false">Sens!$C$1997*Sens!$C$2005</f>
        <v>41.0683128828457</v>
      </c>
      <c r="D2008" s="38" t="n">
        <f aca="false">Sens!$D$1997*Sens!$D$2005</f>
        <v>49.7441234599175</v>
      </c>
      <c r="E2008" s="38" t="n">
        <f aca="false">Sens!$E$1997*Sens!$E$2005</f>
        <v>27.0034224924414</v>
      </c>
      <c r="F2008" s="38" t="n">
        <f aca="false">Sens!$F$1997*Sens!$F$2005</f>
        <v>33.1439448330513</v>
      </c>
      <c r="G2008" s="38" t="n">
        <f aca="false">Sens!$G$1997*Sens!$G$2005</f>
        <v>60.164183844083</v>
      </c>
      <c r="H2008" s="38" t="n">
        <f aca="false">Sens!$H$1997*Sens!$H$2005</f>
        <v>72.2301766552629</v>
      </c>
      <c r="I2008" s="38" t="n">
        <f aca="false">Sens!$I$1997*Sens!$I$2005</f>
        <v>84.2950764463991</v>
      </c>
      <c r="J2008" s="38" t="n">
        <f aca="false">Sens!$J$1997*Sens!$J$2005</f>
        <v>95.5499047729386</v>
      </c>
      <c r="K2008" s="38" t="n">
        <f aca="false">Sens!$K$1997*Sens!$K$2005</f>
        <v>105.104895250232</v>
      </c>
      <c r="L2008" s="38" t="n">
        <f aca="false">Sens!$L$1997*Sens!$L$2005</f>
        <v>115.615384775256</v>
      </c>
      <c r="M2008" s="38" t="n">
        <f aca="false">Sens!$M$1997*Sens!$M$2005</f>
        <v>127.176923252781</v>
      </c>
      <c r="N2008" s="38" t="n">
        <f aca="false">Sens!$N$1997*Sens!$N$2005</f>
        <v>21.7087111412496</v>
      </c>
      <c r="O2008" s="38" t="n">
        <f aca="false">Sens!$O$1997*Sens!$O$2005</f>
        <v>28.0189463642798</v>
      </c>
      <c r="P2008" s="5" t="s">
        <v>682</v>
      </c>
    </row>
    <row r="2009" customFormat="false" ht="15" hidden="false" customHeight="false" outlineLevel="0" collapsed="false">
      <c r="A2009" s="5" t="s">
        <v>683</v>
      </c>
      <c r="B2009" s="0" t="s">
        <v>86</v>
      </c>
      <c r="C2009" s="38" t="n">
        <f aca="false">Sens!$C$1997-Sens!$C$2008</f>
        <v>15.1456871171543</v>
      </c>
      <c r="D2009" s="38" t="n">
        <f aca="false">Sens!$D$1997-Sens!$D$2008</f>
        <v>18.8908765400825</v>
      </c>
      <c r="E2009" s="38" t="n">
        <f aca="false">Sens!$E$1997-Sens!$E$2008</f>
        <v>10.0485775075586</v>
      </c>
      <c r="F2009" s="38" t="n">
        <f aca="false">Sens!$F$1997-Sens!$F$2008</f>
        <v>13.0132771613635</v>
      </c>
      <c r="G2009" s="38" t="n">
        <f aca="false">Sens!$G$1997-Sens!$G$2008</f>
        <v>23.0450381503318</v>
      </c>
      <c r="H2009" s="38" t="n">
        <f aca="false">Sens!$H$1997-Sens!$H$2008</f>
        <v>27.6667457326347</v>
      </c>
      <c r="I2009" s="38" t="n">
        <f aca="false">Sens!$I$1997-Sens!$I$2008</f>
        <v>32.2880346490971</v>
      </c>
      <c r="J2009" s="38" t="n">
        <f aca="false">Sens!$J$1997-Sens!$J$2008</f>
        <v>36.5990371690132</v>
      </c>
      <c r="K2009" s="38" t="n">
        <f aca="false">Sens!$K$1997-Sens!$K$2008</f>
        <v>40.2589408859145</v>
      </c>
      <c r="L2009" s="38" t="n">
        <f aca="false">Sens!$L$1997-Sens!$L$2008</f>
        <v>44.2848349745059</v>
      </c>
      <c r="M2009" s="38" t="n">
        <f aca="false">Sens!$M$1997-Sens!$M$2008</f>
        <v>48.7133184719565</v>
      </c>
      <c r="N2009" s="38" t="n">
        <f aca="false">Sens!$N$1997-Sens!$N$2008</f>
        <v>7.90628885875037</v>
      </c>
      <c r="O2009" s="38" t="n">
        <f aca="false">Sens!$O$1997-Sens!$O$2008</f>
        <v>11.0010536357202</v>
      </c>
    </row>
    <row r="2010" customFormat="false" ht="19.4" hidden="false" customHeight="false" outlineLevel="0" collapsed="false">
      <c r="A2010" s="31" t="s">
        <v>1168</v>
      </c>
    </row>
    <row r="2011" customFormat="false" ht="17.15" hidden="false" customHeight="false" outlineLevel="0" collapsed="false">
      <c r="A2011" s="6" t="s">
        <v>16</v>
      </c>
      <c r="B2011" s="6" t="s">
        <v>17</v>
      </c>
      <c r="C2011" s="20" t="s">
        <v>494</v>
      </c>
      <c r="D2011" s="20" t="s">
        <v>495</v>
      </c>
      <c r="E2011" s="20" t="s">
        <v>577</v>
      </c>
      <c r="F2011" s="20" t="s">
        <v>578</v>
      </c>
      <c r="G2011" s="20" t="s">
        <v>579</v>
      </c>
      <c r="H2011" s="20" t="s">
        <v>580</v>
      </c>
      <c r="I2011" s="20" t="s">
        <v>581</v>
      </c>
      <c r="J2011" s="20" t="s">
        <v>582</v>
      </c>
      <c r="K2011" s="20" t="s">
        <v>583</v>
      </c>
      <c r="L2011" s="20" t="s">
        <v>584</v>
      </c>
      <c r="M2011" s="20" t="s">
        <v>585</v>
      </c>
      <c r="N2011" s="20" t="s">
        <v>586</v>
      </c>
      <c r="O2011" s="20" t="s">
        <v>587</v>
      </c>
      <c r="P2011" s="6" t="s">
        <v>23</v>
      </c>
      <c r="R2011" s="20" t="n">
        <v>2023</v>
      </c>
      <c r="S2011" s="20" t="n">
        <v>2024</v>
      </c>
      <c r="T2011" s="20" t="n">
        <v>2025</v>
      </c>
      <c r="U2011" s="20" t="n">
        <v>2026</v>
      </c>
      <c r="V2011" s="20" t="n">
        <v>2027</v>
      </c>
      <c r="W2011" s="20" t="n">
        <v>2028</v>
      </c>
      <c r="X2011" s="20" t="n">
        <v>2029</v>
      </c>
      <c r="Y2011" s="20" t="n">
        <v>2030</v>
      </c>
      <c r="Z2011" s="20" t="n">
        <v>2031</v>
      </c>
      <c r="AA2011" s="20" t="n">
        <v>2032</v>
      </c>
    </row>
    <row r="2012" customFormat="false" ht="17.15" hidden="false" customHeight="false" outlineLevel="0" collapsed="false">
      <c r="A2012" s="1" t="s">
        <v>588</v>
      </c>
    </row>
    <row r="2013" customFormat="false" ht="17.15" hidden="false" customHeight="false" outlineLevel="0" collapsed="false">
      <c r="A2013" s="5" t="s">
        <v>589</v>
      </c>
      <c r="B2013" s="0" t="s">
        <v>144</v>
      </c>
      <c r="H2013" s="32" t="n">
        <f aca="false">pace_B</f>
        <v>3634.3</v>
      </c>
      <c r="I2013" s="32" t="n">
        <f aca="false">pace_B</f>
        <v>3634.3</v>
      </c>
      <c r="J2013" s="32" t="n">
        <f aca="false">pace_B</f>
        <v>3634.3</v>
      </c>
      <c r="K2013" s="32" t="n">
        <f aca="false">pace_B+(Sens!$J$2014*tg-pace_B)*1/3</f>
        <v>2570.86716666667</v>
      </c>
      <c r="L2013" s="32" t="n">
        <f aca="false">pace_B+(Sens!$J$2014*tg-pace_B)*2/3</f>
        <v>1507.43433333333</v>
      </c>
      <c r="M2013" s="32" t="n">
        <f aca="false">pace_B+(Sens!$J$2014*tg-pace_B)*3/3</f>
        <v>444.0015</v>
      </c>
      <c r="P2013" s="5" t="s">
        <v>590</v>
      </c>
    </row>
    <row r="2014" customFormat="false" ht="17.15" hidden="false" customHeight="false" outlineLevel="0" collapsed="false">
      <c r="A2014" s="15" t="s">
        <v>591</v>
      </c>
      <c r="B2014" s="14" t="s">
        <v>129</v>
      </c>
      <c r="C2014" s="33" t="n">
        <f aca="false">mw_ye24</f>
        <v>360</v>
      </c>
      <c r="D2014" s="33" t="n">
        <f aca="false">mw_ye25</f>
        <v>1440</v>
      </c>
      <c r="E2014" s="33" t="n">
        <f aca="false">mw_open</f>
        <v>2080</v>
      </c>
      <c r="F2014" s="33" t="n">
        <f aca="false">Sens!$E$2014+pace_B*0.5</f>
        <v>3897.15</v>
      </c>
      <c r="G2014" s="33" t="n">
        <f aca="false">Sens!$F$2014</f>
        <v>3897.15</v>
      </c>
      <c r="H2014" s="33" t="n">
        <f aca="false">Sens!$G$2014+Sens!$H$2013</f>
        <v>7531.45</v>
      </c>
      <c r="I2014" s="33" t="n">
        <f aca="false">Sens!$H$2014+Sens!$I$2013</f>
        <v>11165.75</v>
      </c>
      <c r="J2014" s="33" t="n">
        <f aca="false">Sens!$I$2014+Sens!$J$2013</f>
        <v>14800.05</v>
      </c>
      <c r="K2014" s="33" t="n">
        <f aca="false">Sens!$J$2014+Sens!$K$2013</f>
        <v>17370.9171666667</v>
      </c>
      <c r="L2014" s="33" t="n">
        <f aca="false">Sens!$K$2014+Sens!$L$2013</f>
        <v>18878.3515</v>
      </c>
      <c r="M2014" s="33" t="n">
        <f aca="false">Sens!$L$2014+Sens!$M$2013</f>
        <v>19322.353</v>
      </c>
      <c r="N2014" s="33" t="n">
        <f aca="false">(mw_ye24+mw_ye25)/2</f>
        <v>900</v>
      </c>
      <c r="O2014" s="33" t="n">
        <f aca="false">mw_ye25</f>
        <v>1440</v>
      </c>
      <c r="P2014" s="5" t="s">
        <v>592</v>
      </c>
    </row>
    <row r="2015" customFormat="false" ht="17.15" hidden="false" customHeight="false" outlineLevel="0" collapsed="false">
      <c r="A2015" s="5" t="s">
        <v>593</v>
      </c>
      <c r="B2015" s="0" t="s">
        <v>129</v>
      </c>
      <c r="C2015" s="32" t="n">
        <f aca="false">(mw_ye23+mw_ye24)/2</f>
        <v>240</v>
      </c>
      <c r="D2015" s="32" t="n">
        <f aca="false">(Sens!$C$2014+Sens!$D$2014)/2</f>
        <v>900</v>
      </c>
      <c r="E2015" s="32" t="n">
        <f aca="false">(Sens!$D$2014+Sens!$E$2014)/2</f>
        <v>1760</v>
      </c>
      <c r="F2015" s="32" t="n">
        <f aca="false">(Sens!$E$2014+Sens!$F$2014)/2</f>
        <v>2988.575</v>
      </c>
      <c r="G2015" s="32" t="n">
        <f aca="false">(Sens!$E$2015+Sens!$F$2015)/2</f>
        <v>2374.2875</v>
      </c>
      <c r="H2015" s="32" t="n">
        <f aca="false">(Sens!$G$2014+Sens!$H$2014)/2</f>
        <v>5714.3</v>
      </c>
      <c r="I2015" s="32" t="n">
        <f aca="false">(Sens!$H$2014+Sens!$I$2014)/2</f>
        <v>9348.6</v>
      </c>
      <c r="J2015" s="32" t="n">
        <f aca="false">(Sens!$I$2014+Sens!$J$2014)/2</f>
        <v>12982.9</v>
      </c>
      <c r="K2015" s="32" t="n">
        <f aca="false">(Sens!$J$2014+Sens!$K$2014)/2</f>
        <v>16085.4835833333</v>
      </c>
      <c r="L2015" s="32" t="n">
        <f aca="false">(Sens!$K$2014+Sens!$L$2014)/2</f>
        <v>18124.6343333333</v>
      </c>
      <c r="M2015" s="32" t="n">
        <f aca="false">(Sens!$L$2014+Sens!$M$2014)/2</f>
        <v>19100.35225</v>
      </c>
      <c r="N2015" s="32" t="n">
        <f aca="false">(Sens!$C$2014+Sens!$N$2014)/2</f>
        <v>630</v>
      </c>
      <c r="O2015" s="32" t="n">
        <f aca="false">(Sens!$N$2014+Sens!$O$2014)/2</f>
        <v>1170</v>
      </c>
    </row>
    <row r="2016" customFormat="false" ht="15" hidden="false" customHeight="false" outlineLevel="0" collapsed="false">
      <c r="A2016" s="5" t="s">
        <v>594</v>
      </c>
      <c r="B2016" s="5" t="s">
        <v>123</v>
      </c>
      <c r="C2016" s="34" t="n">
        <v>1</v>
      </c>
      <c r="D2016" s="34" t="n">
        <v>1</v>
      </c>
      <c r="E2016" s="34" t="n">
        <v>0.5</v>
      </c>
      <c r="F2016" s="34" t="n">
        <v>0.5</v>
      </c>
      <c r="G2016" s="34" t="n">
        <v>1</v>
      </c>
      <c r="H2016" s="34" t="n">
        <v>1</v>
      </c>
      <c r="I2016" s="34" t="n">
        <v>1</v>
      </c>
      <c r="J2016" s="34" t="n">
        <v>1</v>
      </c>
      <c r="K2016" s="34" t="n">
        <v>1</v>
      </c>
      <c r="L2016" s="34" t="n">
        <v>1</v>
      </c>
      <c r="M2016" s="34" t="n">
        <v>1</v>
      </c>
      <c r="N2016" s="34" t="n">
        <v>0.5</v>
      </c>
      <c r="O2016" s="34" t="n">
        <v>0.5</v>
      </c>
    </row>
    <row r="2017" customFormat="false" ht="17.15" hidden="false" customHeight="false" outlineLevel="0" collapsed="false">
      <c r="A2017" s="5" t="s">
        <v>595</v>
      </c>
      <c r="B2017" s="0" t="s">
        <v>129</v>
      </c>
      <c r="C2017" s="32" t="n">
        <f aca="false">Sens!$C$2014-mw_ye23</f>
        <v>240</v>
      </c>
      <c r="D2017" s="32" t="n">
        <f aca="false">Sens!$D$2014-Sens!$C$2014</f>
        <v>1080</v>
      </c>
      <c r="E2017" s="32" t="n">
        <f aca="false">Sens!$E$2014-Sens!$D$2014</f>
        <v>640</v>
      </c>
      <c r="F2017" s="32" t="n">
        <f aca="false">Sens!$F$2014-Sens!$E$2014</f>
        <v>1817.15</v>
      </c>
      <c r="G2017" s="32" t="n">
        <f aca="false">Sens!$E$2017+Sens!$F$2017</f>
        <v>2457.15</v>
      </c>
      <c r="H2017" s="32" t="n">
        <f aca="false">Sens!$H$2014-Sens!$G$2014</f>
        <v>3634.3</v>
      </c>
      <c r="I2017" s="32" t="n">
        <f aca="false">Sens!$I$2014-Sens!$H$2014</f>
        <v>3634.3</v>
      </c>
      <c r="J2017" s="32" t="n">
        <f aca="false">Sens!$J$2014-Sens!$I$2014</f>
        <v>3634.3</v>
      </c>
      <c r="K2017" s="32" t="n">
        <f aca="false">Sens!$K$2014-Sens!$J$2014</f>
        <v>2570.86716666667</v>
      </c>
      <c r="L2017" s="32" t="n">
        <f aca="false">Sens!$L$2014-Sens!$K$2014</f>
        <v>1507.43433333333</v>
      </c>
      <c r="M2017" s="32" t="n">
        <f aca="false">Sens!$M$2014-Sens!$L$2014</f>
        <v>444.001499999999</v>
      </c>
      <c r="N2017" s="32" t="n">
        <f aca="false">Sens!$N$2014-Sens!$C$2014</f>
        <v>540</v>
      </c>
      <c r="O2017" s="32" t="n">
        <f aca="false">Sens!$O$2014-Sens!$N$2014</f>
        <v>540</v>
      </c>
    </row>
    <row r="2018" customFormat="false" ht="17.15" hidden="false" customHeight="false" outlineLevel="0" collapsed="false">
      <c r="A2018" s="5" t="s">
        <v>596</v>
      </c>
      <c r="B2018" s="0" t="s">
        <v>129</v>
      </c>
      <c r="C2018" s="32" t="n">
        <f aca="false">Sens!$C$2017/ext_sh</f>
        <v>300</v>
      </c>
      <c r="D2018" s="32" t="n">
        <f aca="false">Sens!$D$2017/ext_sh</f>
        <v>1350</v>
      </c>
      <c r="E2018" s="32" t="n">
        <f aca="false">Sens!$E$2017/ext_sh</f>
        <v>800</v>
      </c>
      <c r="F2018" s="32" t="n">
        <f aca="false">Sens!$F$2017/ext_sh</f>
        <v>2271.4375</v>
      </c>
      <c r="G2018" s="32" t="n">
        <f aca="false">Sens!$G$2017/ext_sh</f>
        <v>3071.4375</v>
      </c>
      <c r="H2018" s="32" t="n">
        <f aca="false">Sens!$H$2017/ext_sh</f>
        <v>4542.875</v>
      </c>
      <c r="I2018" s="32" t="n">
        <f aca="false">Sens!$I$2017/ext_sh</f>
        <v>4542.875</v>
      </c>
      <c r="J2018" s="32" t="n">
        <f aca="false">Sens!$J$2017/ext_sh</f>
        <v>4542.875</v>
      </c>
      <c r="K2018" s="32" t="n">
        <f aca="false">Sens!$K$2017/ext_sh</f>
        <v>3213.58395833333</v>
      </c>
      <c r="L2018" s="32" t="n">
        <f aca="false">Sens!$L$2017/ext_sh</f>
        <v>1884.29291666667</v>
      </c>
      <c r="M2018" s="32" t="n">
        <f aca="false">Sens!$M$2017/ext_sh</f>
        <v>555.001874999998</v>
      </c>
      <c r="N2018" s="32" t="n">
        <f aca="false">Sens!$N$2017/ext_sh</f>
        <v>675</v>
      </c>
      <c r="O2018" s="32" t="n">
        <f aca="false">Sens!$O$2017/ext_sh</f>
        <v>675</v>
      </c>
      <c r="P2018" s="8" t="s">
        <v>597</v>
      </c>
      <c r="R2018" s="32" t="n">
        <f aca="false">mw_ye23/ext_sh</f>
        <v>150</v>
      </c>
      <c r="S2018" s="32" t="n">
        <f aca="false">Sens!$C$2018</f>
        <v>300</v>
      </c>
      <c r="T2018" s="32" t="n">
        <f aca="false">Sens!$D$2018</f>
        <v>1350</v>
      </c>
      <c r="U2018" s="32" t="n">
        <f aca="false">Sens!$G$2018</f>
        <v>3071.4375</v>
      </c>
      <c r="V2018" s="32" t="n">
        <f aca="false">Sens!$H$2018</f>
        <v>4542.875</v>
      </c>
      <c r="W2018" s="32" t="n">
        <f aca="false">Sens!$I$2018</f>
        <v>4542.875</v>
      </c>
      <c r="X2018" s="32" t="n">
        <f aca="false">Sens!$J$2018</f>
        <v>4542.875</v>
      </c>
      <c r="Y2018" s="32" t="n">
        <f aca="false">Sens!$K$2018</f>
        <v>3213.58395833333</v>
      </c>
      <c r="Z2018" s="32" t="n">
        <f aca="false">Sens!$L$2018</f>
        <v>1884.29291666667</v>
      </c>
      <c r="AA2018" s="32" t="n">
        <f aca="false">Sens!$M$2018</f>
        <v>555.001874999998</v>
      </c>
    </row>
    <row r="2019" customFormat="false" ht="17.15" hidden="false" customHeight="false" outlineLevel="0" collapsed="false">
      <c r="A2019" s="1" t="s">
        <v>598</v>
      </c>
    </row>
    <row r="2020" customFormat="false" ht="17.15" hidden="false" customHeight="false" outlineLevel="0" collapsed="false">
      <c r="A2020" s="0" t="s">
        <v>599</v>
      </c>
      <c r="B2020" s="0" t="s">
        <v>52</v>
      </c>
      <c r="F2020" s="35" t="n">
        <f aca="false">na_vr26</f>
        <v>0</v>
      </c>
      <c r="G2020" s="35" t="n">
        <f aca="false">na_vr26</f>
        <v>0</v>
      </c>
      <c r="H2020" s="35" t="n">
        <f aca="false">na_vr27</f>
        <v>0.5</v>
      </c>
      <c r="I2020" s="35" t="n">
        <f aca="false">na_vr28</f>
        <v>1</v>
      </c>
      <c r="J2020" s="35" t="n">
        <f aca="false">na_vr28</f>
        <v>1</v>
      </c>
      <c r="K2020" s="35" t="n">
        <f aca="false">na_vr28</f>
        <v>1</v>
      </c>
      <c r="L2020" s="35" t="n">
        <f aca="false">na_vr28</f>
        <v>1</v>
      </c>
      <c r="M2020" s="35" t="n">
        <f aca="false">na_vr28</f>
        <v>1</v>
      </c>
    </row>
    <row r="2021" customFormat="false" ht="17.15" hidden="false" customHeight="false" outlineLevel="0" collapsed="false">
      <c r="A2021" s="5" t="s">
        <v>600</v>
      </c>
      <c r="B2021" s="0" t="s">
        <v>173</v>
      </c>
      <c r="F2021" s="36" t="n">
        <f aca="false">cust_sh*tk_he_gb300*cf_chip+(1-cust_sh)*((1-Sens!$F$2020)*tk_he_gb300+Sens!$F$2020*tk_he_vr200)</f>
        <v>10.8864110021101</v>
      </c>
      <c r="G2021" s="36" t="n">
        <f aca="false">cust_sh*tk_he_gb300*cf_chip+(1-cust_sh)*((1-Sens!$G$2020)*tk_he_gb300+Sens!$G$2020*tk_he_vr200)</f>
        <v>10.8864110021101</v>
      </c>
      <c r="H2021" s="36" t="n">
        <f aca="false">cust_sh*tk_he_gb300*cf_chip+(1-cust_sh)*((1-Sens!$H$2020)*tk_he_gb300+Sens!$H$2020*tk_he_vr200)</f>
        <v>11.2211760027286</v>
      </c>
      <c r="I2021" s="36" t="n">
        <f aca="false">cust_sh*tk_he_gb300*cf_chip+(1-cust_sh)*((1-Sens!$I$2020)*tk_he_gb300+Sens!$I$2020*tk_he_vr200)</f>
        <v>11.5559410033471</v>
      </c>
      <c r="J2021" s="36" t="n">
        <f aca="false">cust_sh*tk_he_gb300*cf_chip+(1-cust_sh)*((1-Sens!$J$2020)*tk_he_gb300+Sens!$J$2020*tk_he_vr200)</f>
        <v>11.5559410033471</v>
      </c>
      <c r="K2021" s="36" t="n">
        <f aca="false">cust_sh*tk_he_gb300*cf_chip+(1-cust_sh)*((1-Sens!$K$2020)*tk_he_gb300+Sens!$K$2020*tk_he_vr200)</f>
        <v>11.5559410033471</v>
      </c>
      <c r="L2021" s="36" t="n">
        <f aca="false">cust_sh*tk_he_gb300*cf_chip+(1-cust_sh)*((1-Sens!$L$2020)*tk_he_gb300+Sens!$L$2020*tk_he_vr200)</f>
        <v>11.5559410033471</v>
      </c>
      <c r="M2021" s="36" t="n">
        <f aca="false">cust_sh*tk_he_gb300*cf_chip+(1-cust_sh)*((1-Sens!$M$2020)*tk_he_gb300+Sens!$M$2020*tk_he_vr200)</f>
        <v>11.5559410033471</v>
      </c>
    </row>
    <row r="2022" customFormat="false" ht="17.15" hidden="false" customHeight="false" outlineLevel="0" collapsed="false">
      <c r="A2022" s="5" t="s">
        <v>601</v>
      </c>
      <c r="B2022" s="0" t="s">
        <v>173</v>
      </c>
      <c r="F2022" s="36" t="n">
        <f aca="false">cust_sh*tk_ox_gb300+(1-cust_sh)*((1-Sens!$F$2020)*tk_ox_gb300+Sens!$F$2020*tk_ox_vr200)</f>
        <v>1.98263481314457</v>
      </c>
      <c r="G2022" s="36" t="n">
        <f aca="false">cust_sh*tk_ox_gb300+(1-cust_sh)*((1-Sens!$G$2020)*tk_ox_gb300+Sens!$G$2020*tk_ox_vr200)</f>
        <v>1.98263481314457</v>
      </c>
      <c r="H2022" s="36" t="n">
        <f aca="false">cust_sh*tk_ox_gb300+(1-cust_sh)*((1-Sens!$H$2020)*tk_ox_gb300+Sens!$H$2020*tk_ox_vr200)</f>
        <v>2.01034999693694</v>
      </c>
      <c r="I2022" s="36" t="n">
        <f aca="false">cust_sh*tk_ox_gb300+(1-cust_sh)*((1-Sens!$I$2020)*tk_ox_gb300+Sens!$I$2020*tk_ox_vr200)</f>
        <v>2.0380651807293</v>
      </c>
      <c r="J2022" s="36" t="n">
        <f aca="false">cust_sh*tk_ox_gb300+(1-cust_sh)*((1-Sens!$J$2020)*tk_ox_gb300+Sens!$J$2020*tk_ox_vr200)</f>
        <v>2.0380651807293</v>
      </c>
      <c r="K2022" s="36" t="n">
        <f aca="false">cust_sh*tk_ox_gb300+(1-cust_sh)*((1-Sens!$K$2020)*tk_ox_gb300+Sens!$K$2020*tk_ox_vr200)</f>
        <v>2.0380651807293</v>
      </c>
      <c r="L2022" s="36" t="n">
        <f aca="false">cust_sh*tk_ox_gb300+(1-cust_sh)*((1-Sens!$L$2020)*tk_ox_gb300+Sens!$L$2020*tk_ox_vr200)</f>
        <v>2.0380651807293</v>
      </c>
      <c r="M2022" s="36" t="n">
        <f aca="false">cust_sh*tk_ox_gb300+(1-cust_sh)*((1-Sens!$M$2020)*tk_ox_gb300+Sens!$M$2020*tk_ox_vr200)</f>
        <v>2.0380651807293</v>
      </c>
    </row>
    <row r="2023" customFormat="false" ht="17.15" hidden="false" customHeight="false" outlineLevel="0" collapsed="false">
      <c r="A2023" s="5" t="s">
        <v>602</v>
      </c>
      <c r="B2023" s="0" t="s">
        <v>192</v>
      </c>
      <c r="F2023" s="36" t="n">
        <f aca="false">cust_sh*tk_cx_gb300*cf_cx+(1-cust_sh)*((1-Sens!$F$2020)*tk_cx_gb300+Sens!$F$2020*tk_cx_vr200)</f>
        <v>32.237224</v>
      </c>
      <c r="G2023" s="36" t="n">
        <f aca="false">cust_sh*tk_cx_gb300*cf_cx+(1-cust_sh)*((1-Sens!$G$2020)*tk_cx_gb300+Sens!$G$2020*tk_cx_vr200)</f>
        <v>32.237224</v>
      </c>
      <c r="H2023" s="36" t="n">
        <f aca="false">cust_sh*tk_cx_gb300*cf_cx+(1-cust_sh)*((1-Sens!$H$2020)*tk_cx_gb300+Sens!$H$2020*tk_cx_vr200)</f>
        <v>33.574506</v>
      </c>
      <c r="I2023" s="36" t="n">
        <f aca="false">cust_sh*tk_cx_gb300*cf_cx+(1-cust_sh)*((1-Sens!$I$2020)*tk_cx_gb300+Sens!$I$2020*tk_cx_vr200)</f>
        <v>34.911788</v>
      </c>
      <c r="J2023" s="36" t="n">
        <f aca="false">cust_sh*tk_cx_gb300*cf_cx+(1-cust_sh)*((1-Sens!$J$2020)*tk_cx_gb300+Sens!$J$2020*tk_cx_vr200)</f>
        <v>34.911788</v>
      </c>
      <c r="K2023" s="36" t="n">
        <f aca="false">cust_sh*tk_cx_gb300*cf_cx+(1-cust_sh)*((1-Sens!$K$2020)*tk_cx_gb300+Sens!$K$2020*tk_cx_vr200)</f>
        <v>34.911788</v>
      </c>
      <c r="L2023" s="36" t="n">
        <f aca="false">cust_sh*tk_cx_gb300*cf_cx+(1-cust_sh)*((1-Sens!$L$2020)*tk_cx_gb300+Sens!$L$2020*tk_cx_vr200)</f>
        <v>34.911788</v>
      </c>
      <c r="M2023" s="36" t="n">
        <f aca="false">cust_sh*tk_cx_gb300*cf_cx+(1-cust_sh)*((1-Sens!$M$2020)*tk_cx_gb300+Sens!$M$2020*tk_cx_vr200)</f>
        <v>34.911788</v>
      </c>
    </row>
    <row r="2024" customFormat="false" ht="17.15" hidden="false" customHeight="false" outlineLevel="0" collapsed="false">
      <c r="A2024" s="5" t="s">
        <v>603</v>
      </c>
      <c r="B2024" s="0" t="s">
        <v>129</v>
      </c>
      <c r="F2024" s="32" t="n">
        <f aca="false">Sens!$F$2014-mw_open</f>
        <v>1817.15</v>
      </c>
      <c r="G2024" s="32" t="n">
        <f aca="false">Sens!$F$2024</f>
        <v>1817.15</v>
      </c>
      <c r="H2024" s="32" t="n">
        <f aca="false">Sens!$H$2014-mw_open</f>
        <v>5451.45</v>
      </c>
      <c r="I2024" s="32" t="n">
        <f aca="false">Sens!$I$2014-mw_open</f>
        <v>9085.75</v>
      </c>
      <c r="J2024" s="32" t="n">
        <f aca="false">Sens!$J$2014-mw_open</f>
        <v>12720.05</v>
      </c>
      <c r="K2024" s="32" t="n">
        <f aca="false">Sens!$K$2014-mw_open</f>
        <v>15290.9171666667</v>
      </c>
      <c r="L2024" s="32" t="n">
        <f aca="false">Sens!$L$2014-mw_open</f>
        <v>16798.3515</v>
      </c>
      <c r="M2024" s="32" t="n">
        <f aca="false">Sens!$M$2014-mw_open</f>
        <v>17242.353</v>
      </c>
    </row>
    <row r="2025" customFormat="false" ht="17.15" hidden="false" customHeight="false" outlineLevel="0" collapsed="false">
      <c r="A2025" s="0" t="s">
        <v>604</v>
      </c>
      <c r="B2025" s="0" t="s">
        <v>605</v>
      </c>
      <c r="F2025" s="32" t="n">
        <f aca="false">Sens!$F$2017*Sens!$F$2021</f>
        <v>19782.2417524844</v>
      </c>
      <c r="G2025" s="32" t="n">
        <f aca="false">Sens!$F$2025</f>
        <v>19782.2417524844</v>
      </c>
      <c r="H2025" s="32" t="n">
        <f aca="false">Sens!$G$2025+Sens!$H$2017*Sens!$H$2021</f>
        <v>60563.3616992009</v>
      </c>
      <c r="I2025" s="32" t="n">
        <f aca="false">Sens!$H$2025+Sens!$I$2017*Sens!$I$2021</f>
        <v>102561.118087665</v>
      </c>
      <c r="J2025" s="32" t="n">
        <f aca="false">Sens!$I$2025+Sens!$J$2017*Sens!$J$2021</f>
        <v>144558.87447613</v>
      </c>
      <c r="K2025" s="32" t="n">
        <f aca="false">Sens!$J$2025+Sens!$K$2017*Sens!$K$2021</f>
        <v>174267.663781572</v>
      </c>
      <c r="L2025" s="32" t="n">
        <f aca="false">Sens!$K$2025+Sens!$L$2017*Sens!$L$2021</f>
        <v>191687.486003992</v>
      </c>
      <c r="M2025" s="32" t="n">
        <f aca="false">Sens!$L$2025+Sens!$M$2017*Sens!$M$2021</f>
        <v>196818.341143389</v>
      </c>
    </row>
    <row r="2026" customFormat="false" ht="17.15" hidden="false" customHeight="false" outlineLevel="0" collapsed="false">
      <c r="A2026" s="0" t="s">
        <v>606</v>
      </c>
      <c r="B2026" s="0" t="s">
        <v>605</v>
      </c>
      <c r="F2026" s="32" t="n">
        <f aca="false">Sens!$F$2017*Sens!$F$2022</f>
        <v>3602.74485070566</v>
      </c>
      <c r="G2026" s="32" t="n">
        <f aca="false">Sens!$F$2026</f>
        <v>3602.74485070566</v>
      </c>
      <c r="H2026" s="32" t="n">
        <f aca="false">Sens!$G$2026+Sens!$H$2017*Sens!$H$2022</f>
        <v>10908.9598445736</v>
      </c>
      <c r="I2026" s="32" t="n">
        <f aca="false">Sens!$H$2026+Sens!$I$2017*Sens!$I$2022</f>
        <v>18315.9001308981</v>
      </c>
      <c r="J2026" s="32" t="n">
        <f aca="false">Sens!$I$2026+Sens!$J$2017*Sens!$J$2022</f>
        <v>25722.8404172225</v>
      </c>
      <c r="K2026" s="32" t="n">
        <f aca="false">Sens!$J$2026+Sens!$K$2017*Sens!$K$2022</f>
        <v>30962.4352738861</v>
      </c>
      <c r="L2026" s="32" t="n">
        <f aca="false">Sens!$K$2026+Sens!$L$2017*Sens!$L$2022</f>
        <v>34034.6847008886</v>
      </c>
      <c r="M2026" s="32" t="n">
        <f aca="false">Sens!$L$2026+Sens!$M$2017*Sens!$M$2022</f>
        <v>34939.5886982302</v>
      </c>
    </row>
    <row r="2027" customFormat="false" ht="17.15" hidden="false" customHeight="false" outlineLevel="0" collapsed="false">
      <c r="A2027" s="5" t="s">
        <v>607</v>
      </c>
      <c r="B2027" s="0" t="s">
        <v>173</v>
      </c>
      <c r="F2027" s="36" t="n">
        <f aca="false">IF(Sens!$F$2024&gt;0,Sens!$F$2025/Sens!$F$2024,Sens!$F$2021)</f>
        <v>10.8864110021101</v>
      </c>
      <c r="G2027" s="36" t="n">
        <f aca="false">IF(Sens!$G$2024&gt;0,Sens!$G$2025/Sens!$G$2024,Sens!$G$2021)</f>
        <v>10.8864110021101</v>
      </c>
      <c r="H2027" s="36" t="n">
        <f aca="false">IF(Sens!$H$2024&gt;0,Sens!$H$2025/Sens!$H$2024,Sens!$H$2021)</f>
        <v>11.1095876691891</v>
      </c>
      <c r="I2027" s="36" t="n">
        <f aca="false">IF(Sens!$I$2024&gt;0,Sens!$I$2025/Sens!$I$2024,Sens!$I$2021)</f>
        <v>11.2881290028523</v>
      </c>
      <c r="J2027" s="36" t="n">
        <f aca="false">IF(Sens!$J$2024&gt;0,Sens!$J$2025/Sens!$J$2024,Sens!$J$2021)</f>
        <v>11.3646467172794</v>
      </c>
      <c r="K2027" s="36" t="n">
        <f aca="false">IF(Sens!$K$2024&gt;0,Sens!$K$2025/Sens!$K$2024,Sens!$K$2021)</f>
        <v>11.3968090914432</v>
      </c>
      <c r="L2027" s="36" t="n">
        <f aca="false">IF(Sens!$L$2024&gt;0,Sens!$L$2025/Sens!$L$2024,Sens!$L$2021)</f>
        <v>11.4110891181192</v>
      </c>
      <c r="M2027" s="36" t="n">
        <f aca="false">IF(Sens!$M$2024&gt;0,Sens!$M$2025/Sens!$M$2024,Sens!$M$2021)</f>
        <v>11.4148191458201</v>
      </c>
    </row>
    <row r="2028" customFormat="false" ht="17.15" hidden="false" customHeight="false" outlineLevel="0" collapsed="false">
      <c r="A2028" s="5" t="s">
        <v>608</v>
      </c>
      <c r="B2028" s="0" t="s">
        <v>173</v>
      </c>
      <c r="F2028" s="36" t="n">
        <f aca="false">IF(Sens!$F$2024&gt;0,Sens!$F$2026/Sens!$F$2024,Sens!$F$2022)</f>
        <v>1.98263481314457</v>
      </c>
      <c r="G2028" s="36" t="n">
        <f aca="false">IF(Sens!$G$2024&gt;0,Sens!$G$2026/Sens!$G$2024,Sens!$G$2022)</f>
        <v>1.98263481314457</v>
      </c>
      <c r="H2028" s="36" t="n">
        <f aca="false">IF(Sens!$H$2024&gt;0,Sens!$H$2026/Sens!$H$2024,Sens!$H$2022)</f>
        <v>2.00111160233948</v>
      </c>
      <c r="I2028" s="36" t="n">
        <f aca="false">IF(Sens!$I$2024&gt;0,Sens!$I$2026/Sens!$I$2024,Sens!$I$2022)</f>
        <v>2.01589303369541</v>
      </c>
      <c r="J2028" s="36" t="n">
        <f aca="false">IF(Sens!$J$2024&gt;0,Sens!$J$2026/Sens!$J$2024,Sens!$J$2022)</f>
        <v>2.02222793284795</v>
      </c>
      <c r="K2028" s="36" t="n">
        <f aca="false">IF(Sens!$K$2024&gt;0,Sens!$K$2026/Sens!$K$2024,Sens!$K$2022)</f>
        <v>2.02489065478573</v>
      </c>
      <c r="L2028" s="36" t="n">
        <f aca="false">IF(Sens!$L$2024&gt;0,Sens!$L$2026/Sens!$L$2024,Sens!$L$2022)</f>
        <v>2.0260728977417</v>
      </c>
      <c r="M2028" s="36" t="n">
        <f aca="false">IF(Sens!$M$2024&gt;0,Sens!$M$2026/Sens!$M$2024,Sens!$M$2022)</f>
        <v>2.02638170661685</v>
      </c>
    </row>
    <row r="2029" customFormat="false" ht="17.15" hidden="false" customHeight="false" outlineLevel="0" collapsed="false">
      <c r="A2029" s="15" t="s">
        <v>609</v>
      </c>
      <c r="B2029" s="14" t="s">
        <v>173</v>
      </c>
      <c r="C2029" s="14"/>
      <c r="D2029" s="14"/>
      <c r="E2029" s="14"/>
      <c r="F2029" s="37" t="n">
        <f aca="false">Sens!$F$2027*k_B</f>
        <v>10.7987645808025</v>
      </c>
      <c r="G2029" s="37" t="n">
        <f aca="false">Sens!$G$2027*k_B</f>
        <v>10.7987645808025</v>
      </c>
      <c r="H2029" s="37" t="n">
        <f aca="false">Sens!$H$2027*k_B</f>
        <v>11.0201444540452</v>
      </c>
      <c r="I2029" s="37" t="n">
        <f aca="false">Sens!$I$2027*k_B</f>
        <v>11.1972483526393</v>
      </c>
      <c r="J2029" s="37" t="n">
        <f aca="false">Sens!$J$2027*k_B</f>
        <v>11.2731500234653</v>
      </c>
      <c r="K2029" s="37" t="n">
        <f aca="false">Sens!$K$2027*k_B</f>
        <v>11.3050534585724</v>
      </c>
      <c r="L2029" s="37" t="n">
        <f aca="false">Sens!$L$2027*k_B</f>
        <v>11.3192185168503</v>
      </c>
      <c r="M2029" s="37" t="n">
        <f aca="false">Sens!$M$2027*k_B</f>
        <v>11.3229185141234</v>
      </c>
      <c r="N2029" s="14"/>
      <c r="O2029" s="14"/>
      <c r="P2029" s="5" t="s">
        <v>610</v>
      </c>
    </row>
    <row r="2030" customFormat="false" ht="17.15" hidden="false" customHeight="false" outlineLevel="0" collapsed="false">
      <c r="A2030" s="5" t="s">
        <v>611</v>
      </c>
      <c r="B2030" s="0" t="s">
        <v>129</v>
      </c>
      <c r="F2030" s="32" t="n">
        <f aca="false">Sens!$F$2024/2</f>
        <v>908.575</v>
      </c>
      <c r="H2030" s="32" t="n">
        <f aca="false">(Sens!$G$2024+Sens!$H$2024)/2</f>
        <v>3634.3</v>
      </c>
      <c r="I2030" s="32" t="n">
        <f aca="false">(Sens!$H$2024+Sens!$I$2024)/2</f>
        <v>7268.6</v>
      </c>
      <c r="J2030" s="32" t="n">
        <f aca="false">(Sens!$I$2024+Sens!$J$2024)/2</f>
        <v>10902.9</v>
      </c>
      <c r="K2030" s="32" t="n">
        <f aca="false">(Sens!$J$2024+Sens!$K$2024)/2</f>
        <v>14005.4835833333</v>
      </c>
      <c r="L2030" s="32" t="n">
        <f aca="false">(Sens!$K$2024+Sens!$L$2024)/2</f>
        <v>16044.6343333333</v>
      </c>
      <c r="M2030" s="32" t="n">
        <f aca="false">(Sens!$L$2024+Sens!$M$2024)/2</f>
        <v>17020.35225</v>
      </c>
    </row>
    <row r="2031" customFormat="false" ht="17.15" hidden="false" customHeight="false" outlineLevel="0" collapsed="false">
      <c r="A2031" s="1" t="s">
        <v>612</v>
      </c>
    </row>
    <row r="2032" customFormat="false" ht="17.15" hidden="false" customHeight="false" outlineLevel="0" collapsed="false">
      <c r="A2032" s="1" t="s">
        <v>613</v>
      </c>
      <c r="B2032" s="8" t="s">
        <v>86</v>
      </c>
      <c r="C2032" s="38" t="n">
        <f aca="false">Sens!$C$2015*rpm_open*Sens!$C$2016/1000</f>
        <v>2.32100535697364</v>
      </c>
      <c r="D2032" s="38" t="n">
        <f aca="false">Sens!$D$2015*rpm_open*Sens!$D$2016/1000</f>
        <v>8.70377008865116</v>
      </c>
      <c r="E2032" s="38" t="n">
        <f aca="false">Sens!$E$2015*rpm_open*Sens!$E$2016/1000</f>
        <v>8.51035297557002</v>
      </c>
      <c r="F2032" s="38" t="n">
        <f aca="false">(mw_open*rpm_open+Sens!$F$2030*Sens!$F$2029)*Sens!$F$2016/1000</f>
        <v>14.9634336447205</v>
      </c>
      <c r="G2032" s="38" t="n">
        <f aca="false">Sens!$E$2032+Sens!$F$2032</f>
        <v>23.4737866202905</v>
      </c>
      <c r="H2032" s="38" t="n">
        <f aca="false">(mw_open*rpm_open+Sens!$H$2030*Sens!$H$2029)/1000</f>
        <v>60.1658907497746</v>
      </c>
      <c r="I2032" s="38" t="n">
        <f aca="false">(mw_open*rpm_open+Sens!$I$2030*Sens!$I$2029)/1000</f>
        <v>101.503699136432</v>
      </c>
      <c r="J2032" s="38" t="n">
        <f aca="false">(mw_open*rpm_open+Sens!$J$2030*Sens!$J$2029)/1000</f>
        <v>143.025407151278</v>
      </c>
      <c r="K2032" s="38" t="n">
        <f aca="false">(mw_open*rpm_open+Sens!$K$2030*Sens!$K$2029)/1000</f>
        <v>178.44812038318</v>
      </c>
      <c r="L2032" s="38" t="n">
        <f aca="false">(mw_open*rpm_open+Sens!$L$2030*Sens!$L$2029)/1000</f>
        <v>201.728101802396</v>
      </c>
      <c r="M2032" s="38" t="n">
        <f aca="false">(mw_open*rpm_open+Sens!$M$2030*Sens!$M$2029)/1000</f>
        <v>212.835441368865</v>
      </c>
      <c r="N2032" s="38" t="n">
        <f aca="false">Sens!$N$2015*rpm_open*Sens!$N$2016/1000</f>
        <v>3.04631953102791</v>
      </c>
      <c r="O2032" s="38" t="n">
        <f aca="false">Sens!$O$2015*rpm_open*Sens!$O$2016/1000</f>
        <v>5.65745055762326</v>
      </c>
      <c r="P2032" s="5" t="s">
        <v>614</v>
      </c>
    </row>
    <row r="2033" customFormat="false" ht="17.15" hidden="false" customHeight="false" outlineLevel="0" collapsed="false">
      <c r="A2033" s="5" t="s">
        <v>615</v>
      </c>
      <c r="B2033" s="0" t="s">
        <v>173</v>
      </c>
      <c r="C2033" s="36" t="n">
        <f aca="false">Sens!$C$2032*1000/(Sens!$C$2015*Sens!$C$2016)</f>
        <v>9.67085565405685</v>
      </c>
      <c r="D2033" s="36" t="n">
        <f aca="false">Sens!$D$2032*1000/(Sens!$D$2015*Sens!$D$2016)</f>
        <v>9.67085565405685</v>
      </c>
      <c r="E2033" s="36" t="n">
        <f aca="false">Sens!$E$2032*1000/(Sens!$E$2015*Sens!$E$2016)</f>
        <v>9.67085565405685</v>
      </c>
      <c r="F2033" s="36" t="n">
        <f aca="false">Sens!$F$2032*1000/(Sens!$F$2015*Sens!$F$2016)</f>
        <v>10.0137581588017</v>
      </c>
      <c r="G2033" s="36" t="n">
        <f aca="false">Sens!$G$2032*1000/(Sens!$G$2015*Sens!$G$2016)</f>
        <v>9.88666562928478</v>
      </c>
      <c r="H2033" s="36" t="n">
        <f aca="false">Sens!$H$2032*1000/(Sens!$H$2015*Sens!$H$2016)</f>
        <v>10.5290045586992</v>
      </c>
      <c r="I2033" s="36" t="n">
        <f aca="false">Sens!$I$2032*1000/(Sens!$I$2015*Sens!$I$2016)</f>
        <v>10.8576363451674</v>
      </c>
      <c r="J2033" s="36" t="n">
        <f aca="false">Sens!$J$2032*1000/(Sens!$J$2015*Sens!$J$2016)</f>
        <v>11.0164452588619</v>
      </c>
      <c r="K2033" s="36" t="n">
        <f aca="false">Sens!$K$2032*1000/(Sens!$K$2015*Sens!$K$2016)</f>
        <v>11.0937367508227</v>
      </c>
      <c r="L2033" s="36" t="n">
        <f aca="false">Sens!$L$2032*1000/(Sens!$L$2015*Sens!$L$2016)</f>
        <v>11.1300508519168</v>
      </c>
      <c r="M2033" s="36" t="n">
        <f aca="false">Sens!$M$2032*1000/(Sens!$M$2015*Sens!$M$2016)</f>
        <v>11.1430113216297</v>
      </c>
      <c r="N2033" s="36" t="n">
        <f aca="false">Sens!$N$2032*1000/(Sens!$N$2015*Sens!$N$2016)</f>
        <v>9.67085565405685</v>
      </c>
      <c r="O2033" s="36" t="n">
        <f aca="false">Sens!$O$2032*1000/(Sens!$O$2015*Sens!$O$2016)</f>
        <v>9.67085565405685</v>
      </c>
    </row>
    <row r="2034" customFormat="false" ht="17.15" hidden="false" customHeight="false" outlineLevel="0" collapsed="false">
      <c r="A2034" s="0" t="s">
        <v>616</v>
      </c>
      <c r="B2034" s="0" t="s">
        <v>86</v>
      </c>
      <c r="C2034" s="38" t="n">
        <f aca="false">Sens!$C$2015/ext_sh*(ox_open+rent_mw)*Sens!$C$2016/1000</f>
        <v>0.642569210675032</v>
      </c>
      <c r="D2034" s="38" t="n">
        <f aca="false">Sens!$D$2015/ext_sh*(ox_open+rent_mw)*Sens!$D$2016/1000</f>
        <v>2.40963454003137</v>
      </c>
      <c r="E2034" s="38" t="n">
        <f aca="false">Sens!$E$2015/ext_sh*(ox_open+rent_mw)*Sens!$E$2016/1000</f>
        <v>2.35608710580845</v>
      </c>
      <c r="F2034" s="38" t="n">
        <f aca="false">((mw_open*ox_open+Sens!$F$2030*Sens!$F$2028)/ext_sh+Sens!$F$2015/ext_sh*rent_mw)*Sens!$F$2016/1000</f>
        <v>4.05421991106232</v>
      </c>
      <c r="G2034" s="38" t="n">
        <f aca="false">Sens!$E$2034+Sens!$F$2034</f>
        <v>6.41030701687077</v>
      </c>
      <c r="H2034" s="38" t="n">
        <f aca="false">((mw_open*ox_open+Sens!$H$2030*Sens!$H$2028)/ext_sh+Sens!$H$2015/ext_sh*rent_mw)*Sens!$H$2016/1000</f>
        <v>15.8108975546616</v>
      </c>
      <c r="I2034" s="38" t="n">
        <f aca="false">((mw_open*ox_open+Sens!$I$2030*Sens!$I$2028)/ext_sh+Sens!$I$2015/ext_sh*rent_mw)*Sens!$I$2016/1000</f>
        <v>26.1871623400817</v>
      </c>
      <c r="J2034" s="38" t="n">
        <f aca="false">((mw_open*ox_open+Sens!$J$2030*Sens!$J$2028)/ext_sh+Sens!$J$2015/ext_sh*rent_mw)*Sens!$J$2016/1000</f>
        <v>36.5826128954935</v>
      </c>
      <c r="K2034" s="38" t="n">
        <f aca="false">((mw_open*ox_open+Sens!$K$2030*Sens!$K$2028)/ext_sh+Sens!$K$2015/ext_sh*rent_mw)*Sens!$K$2016/1000</f>
        <v>45.4546361137628</v>
      </c>
      <c r="L2034" s="38" t="n">
        <f aca="false">((mw_open*ox_open+Sens!$L$2030*Sens!$L$2028)/ext_sh+Sens!$L$2015/ext_sh*rent_mw)*Sens!$L$2016/1000</f>
        <v>51.2855695554452</v>
      </c>
      <c r="M2034" s="38" t="n">
        <f aca="false">((mw_open*ox_open+Sens!$M$2030*Sens!$M$2028)/ext_sh+Sens!$M$2015/ext_sh*rent_mw)*Sens!$M$2016/1000</f>
        <v>54.0722927838398</v>
      </c>
      <c r="N2034" s="38" t="n">
        <f aca="false">Sens!$N$2015/ext_sh*(ox_open+rent_mw)*Sens!$N$2016/1000</f>
        <v>0.84337208901098</v>
      </c>
      <c r="O2034" s="38" t="n">
        <f aca="false">Sens!$O$2015/ext_sh*(ox_open+rent_mw)*Sens!$O$2016/1000</f>
        <v>1.56626245102039</v>
      </c>
    </row>
    <row r="2035" customFormat="false" ht="17.15" hidden="false" customHeight="false" outlineLevel="0" collapsed="false">
      <c r="A2035" s="0" t="s">
        <v>617</v>
      </c>
      <c r="B2035" s="0" t="s">
        <v>86</v>
      </c>
      <c r="C2035" s="38" t="n">
        <f aca="false">Q!$D$7</f>
        <v>107.556</v>
      </c>
      <c r="D2035" s="38" t="n">
        <f aca="false">Q!$E$7</f>
        <v>128.725</v>
      </c>
      <c r="E2035" s="38" t="n">
        <f aca="false">Q!$P$7</f>
        <v>79.819</v>
      </c>
      <c r="N2035" s="38" t="n">
        <f aca="false">Q!$N$7</f>
        <v>60.14</v>
      </c>
      <c r="O2035" s="38" t="n">
        <f aca="false">Q!$O$7</f>
        <v>68.585</v>
      </c>
    </row>
    <row r="2036" customFormat="false" ht="17.15" hidden="false" customHeight="false" outlineLevel="0" collapsed="false">
      <c r="A2036" s="1" t="s">
        <v>618</v>
      </c>
      <c r="B2036" s="8" t="s">
        <v>86</v>
      </c>
      <c r="C2036" s="38" t="n">
        <f aca="false">Sens!$C$2035-Sens!$C$2032</f>
        <v>105.234994643026</v>
      </c>
      <c r="D2036" s="38" t="n">
        <f aca="false">Sens!$D$2035-Sens!$D$2032</f>
        <v>120.021229911349</v>
      </c>
      <c r="E2036" s="38" t="n">
        <f aca="false">Sens!$E$2035-Sens!$E$2032</f>
        <v>71.30864702443</v>
      </c>
      <c r="F2036" s="38" t="n">
        <f aca="false">Sens!$O$2036*(1+Sens!$F$2037)</f>
        <v>71.7692997942464</v>
      </c>
      <c r="G2036" s="38" t="n">
        <f aca="false">Sens!$E$2036+Sens!$F$2036</f>
        <v>143.077946818676</v>
      </c>
      <c r="H2036" s="38" t="n">
        <f aca="false">Sens!$G$2036*(1+Sens!$H$2037)</f>
        <v>161.017077079203</v>
      </c>
      <c r="I2036" s="38" t="n">
        <f aca="false">Sens!$H$2036*(1+Sens!$I$2037)</f>
        <v>178.769759521457</v>
      </c>
      <c r="J2036" s="38" t="n">
        <f aca="false">Sens!$I$2036*(1+Sens!$J$2037)</f>
        <v>195.775538045907</v>
      </c>
      <c r="K2036" s="38" t="n">
        <f aca="false">Sens!$J$2036*(1+Sens!$K$2037)</f>
        <v>211.43758108958</v>
      </c>
      <c r="L2036" s="38" t="n">
        <f aca="false">Sens!$K$2036*(1+Sens!$L$2037)</f>
        <v>228.352587576746</v>
      </c>
      <c r="M2036" s="38" t="n">
        <f aca="false">Sens!$L$2036*(1+Sens!$M$2037)</f>
        <v>246.620794582886</v>
      </c>
      <c r="N2036" s="38" t="n">
        <f aca="false">Sens!$N$2035-Sens!$N$2032</f>
        <v>57.0936804689721</v>
      </c>
      <c r="O2036" s="38" t="n">
        <f aca="false">Sens!$O$2035-Sens!$O$2032</f>
        <v>62.9275494423768</v>
      </c>
      <c r="P2036" s="5" t="s">
        <v>619</v>
      </c>
    </row>
    <row r="2037" customFormat="false" ht="17.15" hidden="false" customHeight="false" outlineLevel="0" collapsed="false">
      <c r="A2037" s="0" t="s">
        <v>620</v>
      </c>
      <c r="B2037" s="0" t="s">
        <v>52</v>
      </c>
      <c r="D2037" s="13" t="n">
        <f aca="false">Sens!$D$2036/Sens!$C$2036-1</f>
        <v>0.140506827776062</v>
      </c>
      <c r="E2037" s="13" t="n">
        <f aca="false">Sens!$E$2036/Sens!$N$2036-1</f>
        <v>0.248976181579029</v>
      </c>
      <c r="F2037" s="13" t="n">
        <f aca="false">Sens!$D$2037</f>
        <v>0.140506827776062</v>
      </c>
      <c r="G2037" s="13" t="n">
        <f aca="false">Sens!$G$2036/Sens!$D$2036-1</f>
        <v>0.19210532106993</v>
      </c>
      <c r="H2037" s="13" t="n">
        <f aca="false">Sens!$F$2037+(g_awso_lt-Sens!$F$2037)*1/4</f>
        <v>0.125380120832046</v>
      </c>
      <c r="I2037" s="13" t="n">
        <f aca="false">Sens!$F$2037+(g_awso_lt-Sens!$F$2037)*2/4</f>
        <v>0.110253413888031</v>
      </c>
      <c r="J2037" s="13" t="n">
        <f aca="false">Sens!$F$2037+(g_awso_lt-Sens!$F$2037)*3/4</f>
        <v>0.0951267069440154</v>
      </c>
      <c r="K2037" s="13" t="n">
        <f aca="false">Sens!$F$2037+(g_awso_lt-Sens!$F$2037)*4/4</f>
        <v>0.08</v>
      </c>
      <c r="L2037" s="13" t="n">
        <f aca="false">g_awso_lt</f>
        <v>0.08</v>
      </c>
      <c r="M2037" s="13" t="n">
        <f aca="false">g_awso_lt</f>
        <v>0.08</v>
      </c>
      <c r="P2037" s="5" t="s">
        <v>621</v>
      </c>
    </row>
    <row r="2038" customFormat="false" ht="17.15" hidden="false" customHeight="false" outlineLevel="0" collapsed="false">
      <c r="A2038" s="1" t="s">
        <v>622</v>
      </c>
    </row>
    <row r="2039" customFormat="false" ht="17.15" hidden="false" customHeight="false" outlineLevel="0" collapsed="false">
      <c r="A2039" s="0" t="s">
        <v>623</v>
      </c>
      <c r="B2039" s="0" t="s">
        <v>86</v>
      </c>
      <c r="F2039" s="38" t="n">
        <f aca="false">cx_rt*Sens!$F$2004+cx_awso*Sens!$F$2036</f>
        <v>34.9734495387866</v>
      </c>
    </row>
    <row r="2040" customFormat="false" ht="17.15" hidden="false" customHeight="false" outlineLevel="0" collapsed="false">
      <c r="A2040" s="0" t="s">
        <v>624</v>
      </c>
      <c r="B2040" s="0" t="s">
        <v>52</v>
      </c>
      <c r="C2040" s="13" t="n">
        <f aca="false">tk_cx_h100/(tk_cx_h100+tk_fac*(1-colo_sh))</f>
        <v>0.730756458006641</v>
      </c>
      <c r="D2040" s="13" t="n">
        <f aca="false">tk_cx_h100/(tk_cx_h100+tk_fac*(1-colo_sh))</f>
        <v>0.730756458006641</v>
      </c>
      <c r="E2040" s="13" t="n">
        <f aca="false">Sens!$F$2040</f>
        <v>0.760792334328868</v>
      </c>
      <c r="F2040" s="13" t="n">
        <f aca="false">Sens!$F$2023/(Sens!$F$2023+tk_fac*(1-colo_sh))</f>
        <v>0.760792334328868</v>
      </c>
      <c r="G2040" s="13" t="n">
        <f aca="false">Sens!$G$2023/(Sens!$G$2023+tk_fac*(1-colo_sh))</f>
        <v>0.760792334328868</v>
      </c>
      <c r="H2040" s="13" t="n">
        <f aca="false">Sens!$H$2023/(Sens!$H$2023+tk_fac*(1-colo_sh))</f>
        <v>0.768110668862996</v>
      </c>
      <c r="I2040" s="13" t="n">
        <f aca="false">Sens!$I$2023/(Sens!$I$2023+tk_fac*(1-colo_sh))</f>
        <v>0.77499450139483</v>
      </c>
      <c r="J2040" s="13" t="n">
        <f aca="false">Sens!$J$2023/(Sens!$J$2023+tk_fac*(1-colo_sh))</f>
        <v>0.77499450139483</v>
      </c>
      <c r="K2040" s="13" t="n">
        <f aca="false">Sens!$K$2023/(Sens!$K$2023+tk_fac*(1-colo_sh))</f>
        <v>0.77499450139483</v>
      </c>
      <c r="L2040" s="13" t="n">
        <f aca="false">Sens!$L$2023/(Sens!$L$2023+tk_fac*(1-colo_sh))</f>
        <v>0.77499450139483</v>
      </c>
      <c r="M2040" s="13" t="n">
        <f aca="false">Sens!$M$2023/(Sens!$M$2023+tk_fac*(1-colo_sh))</f>
        <v>0.77499450139483</v>
      </c>
    </row>
    <row r="2041" customFormat="false" ht="17.15" hidden="false" customHeight="false" outlineLevel="0" collapsed="false">
      <c r="A2041" s="1" t="s">
        <v>625</v>
      </c>
      <c r="B2041" s="8" t="s">
        <v>86</v>
      </c>
      <c r="C2041" s="38" t="n">
        <f aca="false">Q!$D$46-cx_rt*Q!$D$16-cx_awso*Sens!$C$2036</f>
        <v>25.2781053077374</v>
      </c>
      <c r="D2041" s="38" t="n">
        <f aca="false">Q!$E$46-cx_rt*Q!$E$16-cx_awso*Sens!$D$2036</f>
        <v>69.5686316310026</v>
      </c>
      <c r="E2041" s="38" t="n">
        <f aca="false">Q!$P$46-cx_rt*Q!$P$16-cx_awso*Sens!$E$2036</f>
        <v>64.1899206485108</v>
      </c>
      <c r="F2041" s="38" t="n">
        <f aca="false">MAX(Sens!$F$2018*(Sens!$F$2023+tk_fac*(1-colo_sh))/1000,capex_g26-Q!$P$46-Sens!$F$2039)</f>
        <v>96.2481299895</v>
      </c>
      <c r="G2041" s="38" t="n">
        <f aca="false">Sens!$E$2041+Sens!$F$2041</f>
        <v>160.438050638011</v>
      </c>
      <c r="H2041" s="38" t="n">
        <f aca="false">Sens!$H$2018*(Sens!$H$2023+tk_fac*(1-colo_sh))/1000+Sens!$H$2042</f>
        <v>198.57136494475</v>
      </c>
      <c r="I2041" s="38" t="n">
        <f aca="false">Sens!$I$2018*(Sens!$I$2023+tk_fac*(1-colo_sh))/1000+Sens!$I$2042</f>
        <v>204.6464699105</v>
      </c>
      <c r="J2041" s="38" t="n">
        <f aca="false">Sens!$J$2018*(Sens!$J$2023+tk_fac*(1-colo_sh))/1000+Sens!$J$2042</f>
        <v>204.6464699105</v>
      </c>
      <c r="K2041" s="38" t="n">
        <f aca="false">Sens!$K$2018*(Sens!$K$2023+tk_fac*(1-colo_sh))/1000+Sens!$K$2042</f>
        <v>150.001617075201</v>
      </c>
      <c r="L2041" s="38" t="n">
        <f aca="false">Sens!$L$2018*(Sens!$L$2023+tk_fac*(1-colo_sh))/1000+Sens!$L$2042</f>
        <v>95.3567642399017</v>
      </c>
      <c r="M2041" s="38" t="n">
        <f aca="false">Sens!$M$2018*(Sens!$M$2023+tk_fac*(1-colo_sh))/1000+Sens!$M$2042</f>
        <v>72.1325206046024</v>
      </c>
      <c r="P2041" s="5" t="s">
        <v>626</v>
      </c>
      <c r="R2041" s="38" t="n">
        <f aca="false">Q!$C$46-cx_rt*Q!$C$16-cx_awso*(Q!$C$7-mw_ye23/2*rpm_open/1000)</f>
        <v>1.50429979529945</v>
      </c>
      <c r="S2041" s="38" t="n">
        <f aca="false">Sens!$C$2041</f>
        <v>25.2781053077374</v>
      </c>
      <c r="T2041" s="38" t="n">
        <f aca="false">Sens!$D$2041</f>
        <v>69.5686316310026</v>
      </c>
      <c r="U2041" s="38" t="n">
        <f aca="false">Sens!$G$2041</f>
        <v>160.438050638011</v>
      </c>
      <c r="V2041" s="38" t="n">
        <f aca="false">Sens!$H$2041</f>
        <v>198.57136494475</v>
      </c>
      <c r="W2041" s="38" t="n">
        <f aca="false">Sens!$I$2041</f>
        <v>204.6464699105</v>
      </c>
      <c r="X2041" s="38" t="n">
        <f aca="false">Sens!$J$2041</f>
        <v>204.6464699105</v>
      </c>
      <c r="Y2041" s="38" t="n">
        <f aca="false">Sens!$K$2041</f>
        <v>150.001617075201</v>
      </c>
      <c r="Z2041" s="38" t="n">
        <f aca="false">Sens!$L$2041</f>
        <v>95.3567642399017</v>
      </c>
      <c r="AA2041" s="38" t="n">
        <f aca="false">Sens!$M$2041</f>
        <v>72.1325206046024</v>
      </c>
    </row>
    <row r="2042" customFormat="false" ht="17.15" hidden="false" customHeight="false" outlineLevel="0" collapsed="false">
      <c r="A2042" s="0" t="s">
        <v>627</v>
      </c>
      <c r="B2042" s="0" t="s">
        <v>86</v>
      </c>
      <c r="H2042" s="38" t="n">
        <f aca="false">SUMPRODUCT(--(Sens!$R$2011:$AA$2011=2027-tk_life_hi),Sens!$R$2018:$AA$2018)*Sens!$H$2023/1000</f>
        <v>0</v>
      </c>
      <c r="I2042" s="38" t="n">
        <f aca="false">SUMPRODUCT(--(Sens!$R$2011:$AA$2011=2028-tk_life_hi),Sens!$R$2018:$AA$2018)*Sens!$I$2023/1000</f>
        <v>0</v>
      </c>
      <c r="J2042" s="38" t="n">
        <f aca="false">SUMPRODUCT(--(Sens!$R$2011:$AA$2011=2029-tk_life_hi),Sens!$R$2018:$AA$2018)*Sens!$J$2023/1000</f>
        <v>0</v>
      </c>
      <c r="K2042" s="38" t="n">
        <f aca="false">SUMPRODUCT(--(Sens!$R$2011:$AA$2011=2030-tk_life_hi),Sens!$R$2018:$AA$2018)*Sens!$K$2023/1000</f>
        <v>5.2367682</v>
      </c>
      <c r="L2042" s="38" t="n">
        <f aca="false">SUMPRODUCT(--(Sens!$R$2011:$AA$2011=2031-tk_life_hi),Sens!$R$2018:$AA$2018)*Sens!$L$2023/1000</f>
        <v>10.4735364</v>
      </c>
      <c r="M2042" s="38" t="n">
        <f aca="false">SUMPRODUCT(--(Sens!$R$2011:$AA$2011=2032-tk_life_hi),Sens!$R$2018:$AA$2018)*Sens!$M$2023/1000</f>
        <v>47.1309138</v>
      </c>
    </row>
    <row r="2043" customFormat="false" ht="17.15" hidden="false" customHeight="false" outlineLevel="0" collapsed="false">
      <c r="A2043" s="5" t="s">
        <v>628</v>
      </c>
      <c r="B2043" s="0" t="s">
        <v>86</v>
      </c>
      <c r="C2043" s="38" t="n">
        <f aca="false">Sens!$C$2041*Sens!$C$2040</f>
        <v>18.472138699801</v>
      </c>
      <c r="D2043" s="38" t="n">
        <f aca="false">Sens!$D$2041*Sens!$D$2040</f>
        <v>50.8377268390402</v>
      </c>
      <c r="E2043" s="38" t="n">
        <f aca="false">Sens!$E$2041*Sens!$E$2040</f>
        <v>48.8351995705653</v>
      </c>
      <c r="F2043" s="38" t="n">
        <f aca="false">Sens!$F$2041*Sens!$F$2040</f>
        <v>73.2248394895</v>
      </c>
      <c r="G2043" s="38" t="n">
        <f aca="false">Sens!$E$2043+Sens!$F$2043</f>
        <v>122.060039060065</v>
      </c>
      <c r="H2043" s="38" t="n">
        <f aca="false">(Sens!$H$2041-Sens!$H$2042)*Sens!$H$2040+Sens!$H$2042</f>
        <v>152.52478394475</v>
      </c>
      <c r="I2043" s="38" t="n">
        <f aca="false">(Sens!$I$2041-Sens!$I$2042)*Sens!$I$2040+Sens!$I$2042</f>
        <v>158.5998889105</v>
      </c>
      <c r="J2043" s="38" t="n">
        <f aca="false">(Sens!$J$2041-Sens!$J$2042)*Sens!$J$2040+Sens!$J$2042</f>
        <v>158.5998889105</v>
      </c>
      <c r="K2043" s="38" t="n">
        <f aca="false">(Sens!$K$2041-Sens!$K$2042)*Sens!$K$2040+Sens!$K$2042</f>
        <v>117.428730073534</v>
      </c>
      <c r="L2043" s="38" t="n">
        <f aca="false">(Sens!$L$2041-Sens!$L$2042)*Sens!$L$2040+Sens!$L$2042</f>
        <v>76.2575712365684</v>
      </c>
      <c r="M2043" s="38" t="n">
        <f aca="false">(Sens!$M$2041-Sens!$M$2042)*Sens!$M$2040+Sens!$M$2042</f>
        <v>66.5070215996024</v>
      </c>
      <c r="R2043" s="38" t="n">
        <f aca="false">Sens!$R$2041*Sens!$C$2040</f>
        <v>1.09927679019314</v>
      </c>
      <c r="S2043" s="38" t="n">
        <f aca="false">Sens!$C$2043</f>
        <v>18.472138699801</v>
      </c>
      <c r="T2043" s="38" t="n">
        <f aca="false">Sens!$D$2043</f>
        <v>50.8377268390402</v>
      </c>
      <c r="U2043" s="38" t="n">
        <f aca="false">Sens!$G$2043</f>
        <v>122.060039060065</v>
      </c>
      <c r="V2043" s="38" t="n">
        <f aca="false">Sens!$H$2043</f>
        <v>152.52478394475</v>
      </c>
      <c r="W2043" s="38" t="n">
        <f aca="false">Sens!$I$2043</f>
        <v>158.5998889105</v>
      </c>
      <c r="X2043" s="38" t="n">
        <f aca="false">Sens!$J$2043</f>
        <v>158.5998889105</v>
      </c>
      <c r="Y2043" s="38" t="n">
        <f aca="false">Sens!$K$2043</f>
        <v>117.428730073534</v>
      </c>
      <c r="Z2043" s="38" t="n">
        <f aca="false">Sens!$L$2043</f>
        <v>76.2575712365684</v>
      </c>
      <c r="AA2043" s="38" t="n">
        <f aca="false">Sens!$M$2043</f>
        <v>66.5070215996024</v>
      </c>
    </row>
    <row r="2044" customFormat="false" ht="15" hidden="false" customHeight="false" outlineLevel="0" collapsed="false">
      <c r="A2044" s="5" t="s">
        <v>629</v>
      </c>
      <c r="B2044" s="0" t="s">
        <v>86</v>
      </c>
      <c r="C2044" s="38" t="n">
        <f aca="false">Sens!$C$2041-Sens!$C$2043</f>
        <v>6.80596660793636</v>
      </c>
      <c r="D2044" s="38" t="n">
        <f aca="false">Sens!$D$2041-Sens!$D$2043</f>
        <v>18.7309047919624</v>
      </c>
      <c r="E2044" s="38" t="n">
        <f aca="false">Sens!$E$2041-Sens!$E$2043</f>
        <v>15.3547210779455</v>
      </c>
      <c r="F2044" s="38" t="n">
        <f aca="false">Sens!$F$2041-Sens!$F$2043</f>
        <v>23.0232905</v>
      </c>
      <c r="G2044" s="38" t="n">
        <f aca="false">Sens!$G$2041-Sens!$G$2043</f>
        <v>38.3780115779455</v>
      </c>
      <c r="H2044" s="38" t="n">
        <f aca="false">Sens!$H$2041-Sens!$H$2043</f>
        <v>46.046581</v>
      </c>
      <c r="I2044" s="38" t="n">
        <f aca="false">Sens!$I$2041-Sens!$I$2043</f>
        <v>46.046581</v>
      </c>
      <c r="J2044" s="38" t="n">
        <f aca="false">Sens!$J$2041-Sens!$J$2043</f>
        <v>46.046581</v>
      </c>
      <c r="K2044" s="38" t="n">
        <f aca="false">Sens!$K$2041-Sens!$K$2043</f>
        <v>32.5728870016667</v>
      </c>
      <c r="L2044" s="38" t="n">
        <f aca="false">Sens!$L$2041-Sens!$L$2043</f>
        <v>19.0991930033334</v>
      </c>
      <c r="M2044" s="38" t="n">
        <f aca="false">Sens!$M$2041-Sens!$M$2043</f>
        <v>5.62549900499998</v>
      </c>
      <c r="R2044" s="38" t="n">
        <f aca="false">Sens!$R$2041-Sens!$R$2043</f>
        <v>0.405023005106309</v>
      </c>
      <c r="S2044" s="38" t="n">
        <f aca="false">Sens!$S$2041-Sens!$S$2043</f>
        <v>6.80596660793636</v>
      </c>
      <c r="T2044" s="38" t="n">
        <f aca="false">Sens!$T$2041-Sens!$T$2043</f>
        <v>18.7309047919624</v>
      </c>
      <c r="U2044" s="38" t="n">
        <f aca="false">Sens!$U$2041-Sens!$U$2043</f>
        <v>38.3780115779455</v>
      </c>
      <c r="V2044" s="38" t="n">
        <f aca="false">Sens!$V$2041-Sens!$V$2043</f>
        <v>46.046581</v>
      </c>
      <c r="W2044" s="38" t="n">
        <f aca="false">Sens!$W$2041-Sens!$W$2043</f>
        <v>46.046581</v>
      </c>
      <c r="X2044" s="38" t="n">
        <f aca="false">Sens!$X$2041-Sens!$X$2043</f>
        <v>46.046581</v>
      </c>
      <c r="Y2044" s="38" t="n">
        <f aca="false">Sens!$Y$2041-Sens!$Y$2043</f>
        <v>32.5728870016667</v>
      </c>
      <c r="Z2044" s="38" t="n">
        <f aca="false">Sens!$Z$2041-Sens!$Z$2043</f>
        <v>19.0991930033334</v>
      </c>
      <c r="AA2044" s="38" t="n">
        <f aca="false">Sens!$AA$2041-Sens!$AA$2043</f>
        <v>5.62549900499998</v>
      </c>
    </row>
    <row r="2045" customFormat="false" ht="17.15" hidden="false" customHeight="false" outlineLevel="0" collapsed="false">
      <c r="A2045" s="0" t="s">
        <v>630</v>
      </c>
      <c r="B2045" s="0" t="s">
        <v>52</v>
      </c>
      <c r="C2045" s="13" t="n">
        <f aca="false">Sens!$C$2041/Sens!$C$2161</f>
        <v>0.325505489553393</v>
      </c>
      <c r="D2045" s="13" t="n">
        <f aca="false">Sens!$D$2041/Sens!$D$2161</f>
        <v>0.54214956071542</v>
      </c>
      <c r="E2045" s="13" t="n">
        <f aca="false">Sens!$E$2041/Sens!$E$2161</f>
        <v>0.666492790452817</v>
      </c>
      <c r="F2045" s="13" t="n">
        <f aca="false">Sens!$F$2041/Sens!$F$2161</f>
        <v>0.733477910687338</v>
      </c>
      <c r="G2045" s="13" t="n">
        <f aca="false">Sens!$G$2041/Sens!$G$2161</f>
        <v>0.705124321514523</v>
      </c>
      <c r="H2045" s="13" t="n">
        <f aca="false">Sens!$H$2041/Sens!$H$2161</f>
        <v>0.726376041178204</v>
      </c>
      <c r="I2045" s="13" t="n">
        <f aca="false">Sens!$I$2041/Sens!$I$2161</f>
        <v>0.713099092661699</v>
      </c>
      <c r="J2045" s="13" t="n">
        <f aca="false">Sens!$J$2041/Sens!$J$2161</f>
        <v>0.695887674230598</v>
      </c>
      <c r="K2045" s="13" t="n">
        <f aca="false">Sens!$K$2041/Sens!$K$2161</f>
        <v>0.610208228932289</v>
      </c>
      <c r="L2045" s="13" t="n">
        <f aca="false">Sens!$L$2041/Sens!$L$2161</f>
        <v>0.481505090658699</v>
      </c>
      <c r="M2045" s="13" t="n">
        <f aca="false">Sens!$M$2041/Sens!$M$2161</f>
        <v>0.395912178678385</v>
      </c>
    </row>
    <row r="2046" customFormat="false" ht="17.15" hidden="false" customHeight="false" outlineLevel="0" collapsed="false">
      <c r="A2046" s="0" t="s">
        <v>631</v>
      </c>
      <c r="B2046" s="0" t="s">
        <v>86</v>
      </c>
      <c r="C2046" s="38" t="n">
        <f aca="false">Sens!$S$2046</f>
        <v>0.157039541456163</v>
      </c>
      <c r="D2046" s="38" t="n">
        <f aca="false">Sens!$T$2046</f>
        <v>2.7959164985706</v>
      </c>
      <c r="E2046" s="38" t="n">
        <f aca="false">Sens!$G$2046/2</f>
        <v>5.02922445207389</v>
      </c>
      <c r="F2046" s="38" t="n">
        <f aca="false">Sens!$G$2046/2</f>
        <v>5.02922445207389</v>
      </c>
      <c r="G2046" s="38" t="n">
        <f aca="false">Sens!$U$2046</f>
        <v>10.0584489041478</v>
      </c>
      <c r="H2046" s="38" t="n">
        <f aca="false">Sens!$V$2046</f>
        <v>27.4955973413</v>
      </c>
      <c r="I2046" s="38" t="n">
        <f aca="false">Sens!$W$2046</f>
        <v>49.28485219055</v>
      </c>
      <c r="J2046" s="38" t="n">
        <f aca="false">Sens!$X$2046</f>
        <v>71.9419791777642</v>
      </c>
      <c r="K2046" s="38" t="n">
        <f aca="false">Sens!$Y$2046</f>
        <v>94.5991061649785</v>
      </c>
      <c r="L2046" s="38" t="n">
        <f aca="false">Sens!$Z$2046</f>
        <v>111.21759949117</v>
      </c>
      <c r="M2046" s="38" t="n">
        <f aca="false">Sens!$AA$2046</f>
        <v>119.472661282137</v>
      </c>
      <c r="N2046" s="38" t="n">
        <f aca="false">Sens!$D$2046/2</f>
        <v>1.3979582492853</v>
      </c>
      <c r="O2046" s="38" t="n">
        <f aca="false">Sens!$D$2046/2</f>
        <v>1.3979582492853</v>
      </c>
      <c r="R2046" s="38" t="n">
        <f aca="false">SUMPRODUCT(--(Sens!$R$2011:$AA$2011&lt;Sens!R$2011),--(Sens!$R$2011:$AA$2011&gt;=Sens!R$2011-tk_life_hi),Sens!$R$2043:$AA$2043)/tk_life_hi</f>
        <v>0</v>
      </c>
      <c r="S2046" s="38" t="n">
        <f aca="false">SUMPRODUCT(--(Sens!$R$2011:$AA$2011&lt;Sens!S$2011),--(Sens!$R$2011:$AA$2011&gt;=Sens!S$2011-tk_life_hi),Sens!$R$2043:$AA$2043)/tk_life_hi</f>
        <v>0.157039541456163</v>
      </c>
      <c r="T2046" s="38" t="n">
        <f aca="false">SUMPRODUCT(--(Sens!$R$2011:$AA$2011&lt;Sens!T$2011),--(Sens!$R$2011:$AA$2011&gt;=Sens!T$2011-tk_life_hi),Sens!$R$2043:$AA$2043)/tk_life_hi</f>
        <v>2.7959164985706</v>
      </c>
      <c r="U2046" s="38" t="n">
        <f aca="false">SUMPRODUCT(--(Sens!$R$2011:$AA$2011&lt;Sens!U$2011),--(Sens!$R$2011:$AA$2011&gt;=Sens!U$2011-tk_life_hi),Sens!$R$2043:$AA$2043)/tk_life_hi</f>
        <v>10.0584489041478</v>
      </c>
      <c r="V2046" s="38" t="n">
        <f aca="false">SUMPRODUCT(--(Sens!$R$2011:$AA$2011&lt;Sens!V$2011),--(Sens!$R$2011:$AA$2011&gt;=Sens!V$2011-tk_life_hi),Sens!$R$2043:$AA$2043)/tk_life_hi</f>
        <v>27.4955973413</v>
      </c>
      <c r="W2046" s="38" t="n">
        <f aca="false">SUMPRODUCT(--(Sens!$R$2011:$AA$2011&lt;Sens!W$2011),--(Sens!$R$2011:$AA$2011&gt;=Sens!W$2011-tk_life_hi),Sens!$R$2043:$AA$2043)/tk_life_hi</f>
        <v>49.28485219055</v>
      </c>
      <c r="X2046" s="38" t="n">
        <f aca="false">SUMPRODUCT(--(Sens!$R$2011:$AA$2011&lt;Sens!X$2011),--(Sens!$R$2011:$AA$2011&gt;=Sens!X$2011-tk_life_hi),Sens!$R$2043:$AA$2043)/tk_life_hi</f>
        <v>71.9419791777642</v>
      </c>
      <c r="Y2046" s="38" t="n">
        <f aca="false">SUMPRODUCT(--(Sens!$R$2011:$AA$2011&lt;Sens!Y$2011),--(Sens!$R$2011:$AA$2011&gt;=Sens!Y$2011-tk_life_hi),Sens!$R$2043:$AA$2043)/tk_life_hi</f>
        <v>94.5991061649785</v>
      </c>
      <c r="Z2046" s="38" t="n">
        <f aca="false">SUMPRODUCT(--(Sens!$R$2011:$AA$2011&lt;Sens!Z$2011),--(Sens!$R$2011:$AA$2011&gt;=Sens!Z$2011-tk_life_hi),Sens!$R$2043:$AA$2043)/tk_life_hi</f>
        <v>111.21759949117</v>
      </c>
      <c r="AA2046" s="38" t="n">
        <f aca="false">SUMPRODUCT(--(Sens!$R$2011:$AA$2011&lt;Sens!AA$2011),--(Sens!$R$2011:$AA$2011&gt;=Sens!AA$2011-tk_life_hi),Sens!$R$2043:$AA$2043)/tk_life_hi</f>
        <v>119.472661282137</v>
      </c>
    </row>
    <row r="2047" customFormat="false" ht="17.15" hidden="false" customHeight="false" outlineLevel="0" collapsed="false">
      <c r="A2047" s="0" t="s">
        <v>632</v>
      </c>
      <c r="B2047" s="0" t="s">
        <v>86</v>
      </c>
      <c r="C2047" s="38" t="n">
        <f aca="false">Sens!$S$2047</f>
        <v>0.0202511502553155</v>
      </c>
      <c r="D2047" s="38" t="n">
        <f aca="false">Sens!$T$2047</f>
        <v>0.360549480652134</v>
      </c>
      <c r="E2047" s="38" t="n">
        <f aca="false">Sens!$G$2047/2</f>
        <v>0.648547360125127</v>
      </c>
      <c r="F2047" s="38" t="n">
        <f aca="false">Sens!$G$2047/2</f>
        <v>0.648547360125127</v>
      </c>
      <c r="G2047" s="38" t="n">
        <f aca="false">Sens!$U$2047</f>
        <v>1.29709472025025</v>
      </c>
      <c r="H2047" s="38" t="n">
        <f aca="false">Sens!$V$2047</f>
        <v>3.21599529914753</v>
      </c>
      <c r="I2047" s="38" t="n">
        <f aca="false">Sens!$W$2047</f>
        <v>5.51832434914753</v>
      </c>
      <c r="J2047" s="38" t="n">
        <f aca="false">Sens!$X$2047</f>
        <v>7.82065339914753</v>
      </c>
      <c r="K2047" s="38" t="n">
        <f aca="false">Sens!$Y$2047</f>
        <v>10.1229824491475</v>
      </c>
      <c r="L2047" s="38" t="n">
        <f aca="false">Sens!$Z$2047</f>
        <v>11.7516267992309</v>
      </c>
      <c r="M2047" s="38" t="n">
        <f aca="false">Sens!$AA$2047</f>
        <v>12.7065864493975</v>
      </c>
      <c r="N2047" s="38" t="n">
        <f aca="false">Sens!$D$2047/2</f>
        <v>0.180274740326067</v>
      </c>
      <c r="O2047" s="38" t="n">
        <f aca="false">Sens!$D$2047/2</f>
        <v>0.180274740326067</v>
      </c>
      <c r="R2047" s="38" t="n">
        <f aca="false">SUMPRODUCT(--(Sens!$R$2011:$AA$2011&lt;Sens!R$2011),Sens!$R$2044:$AA$2044)/fac_life</f>
        <v>0</v>
      </c>
      <c r="S2047" s="38" t="n">
        <f aca="false">SUMPRODUCT(--(Sens!$R$2011:$AA$2011&lt;Sens!S$2011),Sens!$R$2044:$AA$2044)/fac_life</f>
        <v>0.0202511502553155</v>
      </c>
      <c r="T2047" s="38" t="n">
        <f aca="false">SUMPRODUCT(--(Sens!$R$2011:$AA$2011&lt;Sens!T$2011),Sens!$R$2044:$AA$2044)/fac_life</f>
        <v>0.360549480652134</v>
      </c>
      <c r="U2047" s="38" t="n">
        <f aca="false">SUMPRODUCT(--(Sens!$R$2011:$AA$2011&lt;Sens!U$2011),Sens!$R$2044:$AA$2044)/fac_life</f>
        <v>1.29709472025025</v>
      </c>
      <c r="V2047" s="38" t="n">
        <f aca="false">SUMPRODUCT(--(Sens!$R$2011:$AA$2011&lt;Sens!V$2011),Sens!$R$2044:$AA$2044)/fac_life</f>
        <v>3.21599529914753</v>
      </c>
      <c r="W2047" s="38" t="n">
        <f aca="false">SUMPRODUCT(--(Sens!$R$2011:$AA$2011&lt;Sens!W$2011),Sens!$R$2044:$AA$2044)/fac_life</f>
        <v>5.51832434914753</v>
      </c>
      <c r="X2047" s="38" t="n">
        <f aca="false">SUMPRODUCT(--(Sens!$R$2011:$AA$2011&lt;Sens!X$2011),Sens!$R$2044:$AA$2044)/fac_life</f>
        <v>7.82065339914753</v>
      </c>
      <c r="Y2047" s="38" t="n">
        <f aca="false">SUMPRODUCT(--(Sens!$R$2011:$AA$2011&lt;Sens!Y$2011),Sens!$R$2044:$AA$2044)/fac_life</f>
        <v>10.1229824491475</v>
      </c>
      <c r="Z2047" s="38" t="n">
        <f aca="false">SUMPRODUCT(--(Sens!$R$2011:$AA$2011&lt;Sens!Z$2011),Sens!$R$2044:$AA$2044)/fac_life</f>
        <v>11.7516267992309</v>
      </c>
      <c r="AA2047" s="38" t="n">
        <f aca="false">SUMPRODUCT(--(Sens!$R$2011:$AA$2011&lt;Sens!AA$2011),Sens!$R$2044:$AA$2044)/fac_life</f>
        <v>12.7065864493975</v>
      </c>
    </row>
    <row r="2048" customFormat="false" ht="17.15" hidden="false" customHeight="false" outlineLevel="0" collapsed="false">
      <c r="A2048" s="1" t="s">
        <v>633</v>
      </c>
      <c r="B2048" s="8" t="s">
        <v>86</v>
      </c>
      <c r="C2048" s="38" t="n">
        <f aca="false">Sens!$C$2046+Sens!$C$2047</f>
        <v>0.177290691711478</v>
      </c>
      <c r="D2048" s="38" t="n">
        <f aca="false">Sens!$D$2046+Sens!$D$2047</f>
        <v>3.15646597922273</v>
      </c>
      <c r="E2048" s="38" t="n">
        <f aca="false">Sens!$E$2046+Sens!$E$2047</f>
        <v>5.67777181219901</v>
      </c>
      <c r="F2048" s="38" t="n">
        <f aca="false">Sens!$F$2046+Sens!$F$2047</f>
        <v>5.67777181219901</v>
      </c>
      <c r="G2048" s="38" t="n">
        <f aca="false">Sens!$G$2046+Sens!$G$2047</f>
        <v>11.355543624398</v>
      </c>
      <c r="H2048" s="38" t="n">
        <f aca="false">Sens!$H$2046+Sens!$H$2047</f>
        <v>30.7115926404475</v>
      </c>
      <c r="I2048" s="38" t="n">
        <f aca="false">Sens!$I$2046+Sens!$I$2047</f>
        <v>54.8031765396975</v>
      </c>
      <c r="J2048" s="38" t="n">
        <f aca="false">Sens!$J$2046+Sens!$J$2047</f>
        <v>79.7626325769118</v>
      </c>
      <c r="K2048" s="38" t="n">
        <f aca="false">Sens!$K$2046+Sens!$K$2047</f>
        <v>104.722088614126</v>
      </c>
      <c r="L2048" s="38" t="n">
        <f aca="false">Sens!$L$2046+Sens!$L$2047</f>
        <v>122.969226290401</v>
      </c>
      <c r="M2048" s="38" t="n">
        <f aca="false">Sens!$M$2046+Sens!$M$2047</f>
        <v>132.179247731534</v>
      </c>
      <c r="N2048" s="38" t="n">
        <f aca="false">Sens!$N$2046+Sens!$N$2047</f>
        <v>1.57823298961137</v>
      </c>
      <c r="O2048" s="38" t="n">
        <f aca="false">Sens!$O$2046+Sens!$O$2047</f>
        <v>1.57823298961137</v>
      </c>
      <c r="R2048" s="38" t="n">
        <f aca="false">Sens!$R$2046+Sens!$R$2047</f>
        <v>0</v>
      </c>
      <c r="S2048" s="38" t="n">
        <f aca="false">Sens!$S$2046+Sens!$S$2047</f>
        <v>0.177290691711478</v>
      </c>
      <c r="T2048" s="38" t="n">
        <f aca="false">Sens!$T$2046+Sens!$T$2047</f>
        <v>3.15646597922273</v>
      </c>
      <c r="U2048" s="38" t="n">
        <f aca="false">Sens!$U$2046+Sens!$U$2047</f>
        <v>11.355543624398</v>
      </c>
      <c r="V2048" s="38" t="n">
        <f aca="false">Sens!$V$2046+Sens!$V$2047</f>
        <v>30.7115926404475</v>
      </c>
      <c r="W2048" s="38" t="n">
        <f aca="false">Sens!$W$2046+Sens!$W$2047</f>
        <v>54.8031765396975</v>
      </c>
      <c r="X2048" s="38" t="n">
        <f aca="false">Sens!$X$2046+Sens!$X$2047</f>
        <v>79.7626325769118</v>
      </c>
      <c r="Y2048" s="38" t="n">
        <f aca="false">Sens!$Y$2046+Sens!$Y$2047</f>
        <v>104.722088614126</v>
      </c>
      <c r="Z2048" s="38" t="n">
        <f aca="false">Sens!$Z$2046+Sens!$Z$2047</f>
        <v>122.969226290401</v>
      </c>
      <c r="AA2048" s="38" t="n">
        <f aca="false">Sens!$AA$2046+Sens!$AA$2047</f>
        <v>132.179247731534</v>
      </c>
    </row>
    <row r="2049" customFormat="false" ht="17.15" hidden="false" customHeight="false" outlineLevel="0" collapsed="false">
      <c r="A2049" s="0" t="s">
        <v>634</v>
      </c>
      <c r="B2049" s="0" t="s">
        <v>86</v>
      </c>
      <c r="C2049" s="38" t="n">
        <f aca="false">Sens!$S$2049</f>
        <v>26.6051144113254</v>
      </c>
      <c r="D2049" s="38" t="n">
        <f aca="false">Sens!$T$2049</f>
        <v>93.0172800631053</v>
      </c>
      <c r="G2049" s="38" t="n">
        <f aca="false">Sens!$U$2049</f>
        <v>242.099787076718</v>
      </c>
      <c r="H2049" s="38" t="n">
        <f aca="false">Sens!$V$2049</f>
        <v>409.959559381021</v>
      </c>
      <c r="I2049" s="38" t="n">
        <f aca="false">Sens!$W$2049</f>
        <v>559.802852751823</v>
      </c>
      <c r="J2049" s="38" t="n">
        <f aca="false">Sens!$X$2049</f>
        <v>684.686690085411</v>
      </c>
      <c r="K2049" s="38" t="n">
        <f aca="false">Sens!$Y$2049</f>
        <v>729.966218546486</v>
      </c>
      <c r="L2049" s="38" t="n">
        <f aca="false">Sens!$Z$2049</f>
        <v>702.353756495987</v>
      </c>
      <c r="M2049" s="38" t="n">
        <f aca="false">Sens!$AA$2049</f>
        <v>642.307029369055</v>
      </c>
      <c r="R2049" s="38" t="n">
        <f aca="false">SUM(Sens!$R$2041:$R$2041)-SUM(Sens!$R$2048:$R$2048)</f>
        <v>1.50429979529945</v>
      </c>
      <c r="S2049" s="38" t="n">
        <f aca="false">SUM(Sens!$R$2041:$S$2041)-SUM(Sens!$R$2048:$S$2048)</f>
        <v>26.6051144113254</v>
      </c>
      <c r="T2049" s="38" t="n">
        <f aca="false">SUM(Sens!$R$2041:$T$2041)-SUM(Sens!$R$2048:$T$2048)</f>
        <v>93.0172800631053</v>
      </c>
      <c r="U2049" s="38" t="n">
        <f aca="false">SUM(Sens!$R$2041:$U$2041)-SUM(Sens!$R$2048:$U$2048)</f>
        <v>242.099787076718</v>
      </c>
      <c r="V2049" s="38" t="n">
        <f aca="false">SUM(Sens!$R$2041:$V$2041)-SUM(Sens!$R$2048:$V$2048)</f>
        <v>409.959559381021</v>
      </c>
      <c r="W2049" s="38" t="n">
        <f aca="false">SUM(Sens!$R$2041:$W$2041)-SUM(Sens!$R$2048:$W$2048)</f>
        <v>559.802852751823</v>
      </c>
      <c r="X2049" s="38" t="n">
        <f aca="false">SUM(Sens!$R$2041:$X$2041)-SUM(Sens!$R$2048:$X$2048)</f>
        <v>684.686690085411</v>
      </c>
      <c r="Y2049" s="38" t="n">
        <f aca="false">SUM(Sens!$R$2041:$Y$2041)-SUM(Sens!$R$2048:$Y$2048)</f>
        <v>729.966218546486</v>
      </c>
      <c r="Z2049" s="38" t="n">
        <f aca="false">SUM(Sens!$R$2041:$Z$2041)-SUM(Sens!$R$2048:$Z$2048)</f>
        <v>702.353756495987</v>
      </c>
      <c r="AA2049" s="38" t="n">
        <f aca="false">SUM(Sens!$R$2041:$AA$2041)-SUM(Sens!$R$2048:$AA$2048)</f>
        <v>642.307029369055</v>
      </c>
    </row>
    <row r="2050" customFormat="false" ht="17.15" hidden="false" customHeight="false" outlineLevel="0" collapsed="false">
      <c r="A2050" s="1" t="s">
        <v>635</v>
      </c>
    </row>
    <row r="2051" customFormat="false" ht="17.15" hidden="false" customHeight="false" outlineLevel="0" collapsed="false">
      <c r="A2051" s="0" t="s">
        <v>636</v>
      </c>
      <c r="B2051" s="0" t="s">
        <v>86</v>
      </c>
      <c r="C2051" s="38" t="n">
        <f aca="false">Sens!$C$2032-ext_sh*Sens!$C$2034</f>
        <v>1.80694998843362</v>
      </c>
      <c r="D2051" s="38" t="n">
        <f aca="false">Sens!$D$2032-ext_sh*Sens!$D$2034</f>
        <v>6.77606245662607</v>
      </c>
      <c r="E2051" s="38" t="n">
        <f aca="false">Sens!$E$2032-ext_sh*Sens!$E$2034</f>
        <v>6.62548329092326</v>
      </c>
      <c r="F2051" s="38" t="n">
        <f aca="false">Sens!$F$2032-ext_sh*Sens!$F$2034</f>
        <v>11.7200577158706</v>
      </c>
      <c r="G2051" s="38" t="n">
        <f aca="false">Sens!$G$2032-ext_sh*Sens!$G$2034</f>
        <v>18.3455410067939</v>
      </c>
      <c r="H2051" s="38" t="n">
        <f aca="false">Sens!$H$2032-ext_sh*Sens!$H$2034</f>
        <v>47.5171727060453</v>
      </c>
      <c r="I2051" s="38" t="n">
        <f aca="false">Sens!$I$2032-ext_sh*Sens!$I$2034</f>
        <v>80.5539692643667</v>
      </c>
      <c r="J2051" s="38" t="n">
        <f aca="false">Sens!$J$2032-ext_sh*Sens!$J$2034</f>
        <v>113.759316834883</v>
      </c>
      <c r="K2051" s="38" t="n">
        <f aca="false">Sens!$K$2032-ext_sh*Sens!$K$2034</f>
        <v>142.084411492169</v>
      </c>
      <c r="L2051" s="38" t="n">
        <f aca="false">Sens!$L$2032-ext_sh*Sens!$L$2034</f>
        <v>160.69964615804</v>
      </c>
      <c r="M2051" s="38" t="n">
        <f aca="false">Sens!$M$2032-ext_sh*Sens!$M$2034</f>
        <v>169.577607141793</v>
      </c>
      <c r="N2051" s="38" t="n">
        <f aca="false">Sens!$N$2032-ext_sh*Sens!$N$2034</f>
        <v>2.37162185981912</v>
      </c>
      <c r="O2051" s="38" t="n">
        <f aca="false">Sens!$O$2032-ext_sh*Sens!$O$2034</f>
        <v>4.40444059680694</v>
      </c>
    </row>
    <row r="2052" customFormat="false" ht="17.15" hidden="false" customHeight="false" outlineLevel="0" collapsed="false">
      <c r="A2052" s="1" t="s">
        <v>637</v>
      </c>
      <c r="B2052" s="8" t="s">
        <v>86</v>
      </c>
      <c r="C2052" s="38" t="n">
        <f aca="false">Sens!$C$2051-ext_sh*Sens!$C$2048</f>
        <v>1.66511743506443</v>
      </c>
      <c r="D2052" s="38" t="n">
        <f aca="false">Sens!$D$2051-ext_sh*Sens!$D$2048</f>
        <v>4.25088967324788</v>
      </c>
      <c r="E2052" s="38" t="n">
        <f aca="false">Sens!$E$2051-ext_sh*Sens!$E$2048</f>
        <v>2.08326584116405</v>
      </c>
      <c r="F2052" s="38" t="n">
        <f aca="false">Sens!$F$2051-ext_sh*Sens!$F$2048</f>
        <v>7.17784026611138</v>
      </c>
      <c r="G2052" s="38" t="n">
        <f aca="false">Sens!$G$2051-ext_sh*Sens!$G$2048</f>
        <v>9.26110610727544</v>
      </c>
      <c r="H2052" s="38" t="n">
        <f aca="false">Sens!$H$2051-ext_sh*Sens!$H$2048</f>
        <v>22.9478985936873</v>
      </c>
      <c r="I2052" s="38" t="n">
        <f aca="false">Sens!$I$2051-ext_sh*Sens!$I$2048</f>
        <v>36.7114280326087</v>
      </c>
      <c r="J2052" s="38" t="n">
        <f aca="false">Sens!$J$2051-ext_sh*Sens!$J$2048</f>
        <v>49.949210773354</v>
      </c>
      <c r="K2052" s="38" t="n">
        <f aca="false">Sens!$K$2051-ext_sh*Sens!$K$2048</f>
        <v>58.3067406008686</v>
      </c>
      <c r="L2052" s="38" t="n">
        <f aca="false">Sens!$L$2051-ext_sh*Sens!$L$2048</f>
        <v>62.3242651257195</v>
      </c>
      <c r="M2052" s="38" t="n">
        <f aca="false">Sens!$M$2051-ext_sh*Sens!$M$2048</f>
        <v>63.8342089565658</v>
      </c>
      <c r="N2052" s="38" t="n">
        <f aca="false">Sens!$N$2051-ext_sh*Sens!$N$2048</f>
        <v>1.10903546813003</v>
      </c>
      <c r="O2052" s="38" t="n">
        <f aca="false">Sens!$O$2051-ext_sh*Sens!$O$2048</f>
        <v>3.14185420511785</v>
      </c>
    </row>
    <row r="2053" customFormat="false" ht="17.15" hidden="false" customHeight="false" outlineLevel="0" collapsed="false">
      <c r="A2053" s="0" t="s">
        <v>638</v>
      </c>
      <c r="B2053" s="0" t="s">
        <v>52</v>
      </c>
      <c r="C2053" s="13" t="n">
        <f aca="false">Sens!$C$2052/Sens!$C$2032</f>
        <v>0.717412146448287</v>
      </c>
      <c r="D2053" s="13" t="n">
        <f aca="false">Sens!$D$2052/Sens!$D$2032</f>
        <v>0.4883963650178</v>
      </c>
      <c r="E2053" s="13" t="n">
        <f aca="false">Sens!$E$2052/Sens!$E$2032</f>
        <v>0.244791943077369</v>
      </c>
      <c r="F2053" s="13" t="n">
        <f aca="false">Sens!$F$2052/Sens!$F$2032</f>
        <v>0.479692057086372</v>
      </c>
      <c r="G2053" s="13" t="n">
        <f aca="false">Sens!$G$2052/Sens!$G$2032</f>
        <v>0.394529704861091</v>
      </c>
      <c r="H2053" s="13" t="n">
        <f aca="false">Sens!$H$2052/Sens!$H$2032</f>
        <v>0.38141043550948</v>
      </c>
      <c r="I2053" s="13" t="n">
        <f aca="false">Sens!$I$2052/Sens!$I$2032</f>
        <v>0.361675764971526</v>
      </c>
      <c r="J2053" s="13" t="n">
        <f aca="false">Sens!$J$2052/Sens!$J$2032</f>
        <v>0.349233131149367</v>
      </c>
      <c r="K2053" s="13" t="n">
        <f aca="false">Sens!$K$2052/Sens!$K$2032</f>
        <v>0.326743372110993</v>
      </c>
      <c r="L2053" s="13" t="n">
        <f aca="false">Sens!$L$2052/Sens!$L$2032</f>
        <v>0.30895182460384</v>
      </c>
      <c r="M2053" s="13" t="n">
        <f aca="false">Sens!$M$2052/Sens!$M$2032</f>
        <v>0.299922834965887</v>
      </c>
      <c r="N2053" s="13" t="n">
        <f aca="false">Sens!$N$2052/Sens!$N$2032</f>
        <v>0.364057498510609</v>
      </c>
      <c r="O2053" s="13" t="n">
        <f aca="false">Sens!$O$2052/Sens!$O$2032</f>
        <v>0.555348062367826</v>
      </c>
    </row>
    <row r="2054" customFormat="false" ht="17.15" hidden="false" customHeight="false" outlineLevel="0" collapsed="false">
      <c r="A2054" s="5" t="s">
        <v>639</v>
      </c>
      <c r="B2054" s="0" t="s">
        <v>86</v>
      </c>
      <c r="C2054" s="39" t="n">
        <v>0</v>
      </c>
      <c r="D2054" s="39" t="n">
        <v>0</v>
      </c>
      <c r="E2054" s="39" t="n">
        <v>0</v>
      </c>
      <c r="F2054" s="38" t="n">
        <f aca="false">IF(internal_ai_reading=2,1,0)*(1-ext_sh)/ext_sh*(mw_open*he_open+Sens!$F$2030*Sens!$F$2027)*Sens!$F$2016/1000</f>
        <v>3.77122048175818</v>
      </c>
      <c r="G2054" s="38" t="n">
        <f aca="false">Sens!$E$2054+Sens!$F$2054</f>
        <v>3.77122048175818</v>
      </c>
      <c r="H2054" s="38" t="n">
        <f aca="false">IF(internal_ai_reading=2,1,0)*(1-ext_sh)/ext_sh*(mw_open*he_open+Sens!$H$2030*Sens!$H$2027)*Sens!$H$2016/1000</f>
        <v>15.1635543609893</v>
      </c>
      <c r="I2054" s="38" t="n">
        <f aca="false">IF(internal_ai_reading=2,1,0)*(1-ext_sh)/ext_sh*(mw_open*he_open+Sens!$I$2030*Sens!$I$2027)*Sens!$I$2016/1000</f>
        <v>25.5818843619889</v>
      </c>
      <c r="J2054" s="38" t="n">
        <f aca="false">IF(internal_ai_reading=2,1,0)*(1-ext_sh)/ext_sh*(mw_open*he_open+Sens!$J$2030*Sens!$J$2027)*Sens!$J$2016/1000</f>
        <v>36.0465624179122</v>
      </c>
      <c r="K2054" s="38" t="n">
        <f aca="false">IF(internal_ai_reading=2,1,0)*(1-ext_sh)/ext_sh*(mw_open*he_open+Sens!$K$2030*Sens!$K$2027)*Sens!$K$2016/1000</f>
        <v>44.9741164026038</v>
      </c>
      <c r="L2054" s="38" t="n">
        <f aca="false">IF(internal_ai_reading=2,1,0)*(1-ext_sh)/ext_sh*(mw_open*he_open+Sens!$L$2030*Sens!$L$2027)*Sens!$L$2016/1000</f>
        <v>50.8413488057813</v>
      </c>
      <c r="M2054" s="38" t="n">
        <f aca="false">IF(internal_ai_reading=2,1,0)*(1-ext_sh)/ext_sh*(mw_open*he_open+Sens!$M$2030*Sens!$M$2027)*Sens!$M$2016/1000</f>
        <v>53.6407214274315</v>
      </c>
      <c r="N2054" s="39" t="n">
        <v>0</v>
      </c>
      <c r="O2054" s="39" t="n">
        <v>0</v>
      </c>
      <c r="P2054" s="8" t="s">
        <v>640</v>
      </c>
    </row>
    <row r="2055" customFormat="false" ht="17.15" hidden="false" customHeight="false" outlineLevel="0" collapsed="false">
      <c r="A2055" s="5" t="s">
        <v>641</v>
      </c>
      <c r="B2055" s="0" t="s">
        <v>86</v>
      </c>
      <c r="C2055" s="38" t="n">
        <f aca="false">(1-ext_sh)*(Sens!$C$2034+Sens!$C$2048)</f>
        <v>0.163971980477302</v>
      </c>
      <c r="D2055" s="38" t="n">
        <f aca="false">(1-ext_sh)*(Sens!$D$2034+Sens!$D$2048)</f>
        <v>1.11322010385082</v>
      </c>
      <c r="E2055" s="38" t="n">
        <f aca="false">(1-ext_sh)*(Sens!$E$2034+Sens!$E$2048)</f>
        <v>1.60677178360149</v>
      </c>
      <c r="F2055" s="38" t="n">
        <f aca="false">(1-ext_sh)*(Sens!$F$2034+Sens!$F$2048)</f>
        <v>1.94639834465227</v>
      </c>
      <c r="G2055" s="38" t="n">
        <f aca="false">(1-ext_sh)*(Sens!$G$2034+Sens!$G$2048)</f>
        <v>3.55317012825376</v>
      </c>
      <c r="H2055" s="38" t="n">
        <f aca="false">(1-ext_sh)*(Sens!$H$2034+Sens!$H$2048)</f>
        <v>9.30449803902181</v>
      </c>
      <c r="I2055" s="38" t="n">
        <f aca="false">(1-ext_sh)*(Sens!$I$2034+Sens!$I$2048)</f>
        <v>16.1980677759558</v>
      </c>
      <c r="J2055" s="38" t="n">
        <f aca="false">(1-ext_sh)*(Sens!$J$2034+Sens!$J$2048)</f>
        <v>23.269049094481</v>
      </c>
      <c r="K2055" s="38" t="n">
        <f aca="false">(1-ext_sh)*(Sens!$K$2034+Sens!$K$2048)</f>
        <v>30.0353449455778</v>
      </c>
      <c r="L2055" s="38" t="n">
        <f aca="false">(1-ext_sh)*(Sens!$L$2034+Sens!$L$2048)</f>
        <v>34.8509591691692</v>
      </c>
      <c r="M2055" s="38" t="n">
        <f aca="false">(1-ext_sh)*(Sens!$M$2034+Sens!$M$2048)</f>
        <v>37.2503081030748</v>
      </c>
      <c r="N2055" s="38" t="n">
        <f aca="false">(1-ext_sh)*(Sens!$N$2034+Sens!$N$2048)</f>
        <v>0.484321015724469</v>
      </c>
      <c r="O2055" s="38" t="n">
        <f aca="false">(1-ext_sh)*(Sens!$O$2034+Sens!$O$2048)</f>
        <v>0.628899088126351</v>
      </c>
    </row>
    <row r="2056" customFormat="false" ht="17.15" hidden="false" customHeight="false" outlineLevel="0" collapsed="false">
      <c r="A2056" s="0" t="s">
        <v>642</v>
      </c>
      <c r="B2056" s="0" t="s">
        <v>86</v>
      </c>
      <c r="C2056" s="38" t="n">
        <f aca="false">Q!$D$24</f>
        <v>39.834</v>
      </c>
      <c r="D2056" s="38" t="n">
        <f aca="false">Q!$E$24</f>
        <v>45.606</v>
      </c>
      <c r="E2056" s="38" t="n">
        <f aca="false">Q!$P$24</f>
        <v>30.782</v>
      </c>
      <c r="N2056" s="38" t="n">
        <f aca="false">Q!$N$24</f>
        <v>21.707</v>
      </c>
      <c r="O2056" s="38" t="n">
        <f aca="false">Q!$O$24</f>
        <v>23.899</v>
      </c>
    </row>
    <row r="2057" customFormat="false" ht="17.15" hidden="false" customHeight="false" outlineLevel="0" collapsed="false">
      <c r="A2057" s="0" t="s">
        <v>643</v>
      </c>
      <c r="B2057" s="0" t="s">
        <v>86</v>
      </c>
      <c r="C2057" s="38" t="n">
        <f aca="false">Sens!$C$2056-Sens!$C$2052</f>
        <v>38.1688825649356</v>
      </c>
      <c r="D2057" s="38" t="n">
        <f aca="false">Sens!$D$2056-Sens!$D$2052</f>
        <v>41.3551103267521</v>
      </c>
      <c r="E2057" s="38" t="n">
        <f aca="false">Sens!$E$2056-Sens!$E$2052</f>
        <v>28.6987341588359</v>
      </c>
      <c r="F2057" s="38" t="n">
        <f aca="false">Sens!$F$2036*Sens!$F$2058</f>
        <v>26.4415557681891</v>
      </c>
      <c r="G2057" s="38" t="n">
        <f aca="false">Sens!$E$2057+Sens!$F$2057</f>
        <v>55.140289927025</v>
      </c>
      <c r="H2057" s="38" t="n">
        <f aca="false">Sens!$H$2036*Sens!$H$2058</f>
        <v>59.3226077922787</v>
      </c>
      <c r="I2057" s="38" t="n">
        <f aca="false">Sens!$I$2036*Sens!$I$2058</f>
        <v>65.8631278221181</v>
      </c>
      <c r="J2057" s="38" t="n">
        <f aca="false">Sens!$J$2036*Sens!$J$2058</f>
        <v>72.128470280869</v>
      </c>
      <c r="K2057" s="38" t="n">
        <f aca="false">Sens!$K$2036*Sens!$K$2058</f>
        <v>77.8987479033385</v>
      </c>
      <c r="L2057" s="38" t="n">
        <f aca="false">Sens!$L$2036*Sens!$L$2058</f>
        <v>84.1306477356056</v>
      </c>
      <c r="M2057" s="38" t="n">
        <f aca="false">Sens!$M$2036*Sens!$M$2058</f>
        <v>90.861099554454</v>
      </c>
      <c r="N2057" s="38" t="n">
        <f aca="false">Sens!$N$2056-Sens!$N$2052</f>
        <v>20.59796453187</v>
      </c>
      <c r="O2057" s="38" t="n">
        <f aca="false">Sens!$O$2056-Sens!$O$2052</f>
        <v>20.7571457948822</v>
      </c>
      <c r="P2057" s="5" t="s">
        <v>644</v>
      </c>
    </row>
    <row r="2058" customFormat="false" ht="17.15" hidden="false" customHeight="false" outlineLevel="0" collapsed="false">
      <c r="A2058" s="0" t="s">
        <v>645</v>
      </c>
      <c r="B2058" s="0" t="s">
        <v>52</v>
      </c>
      <c r="C2058" s="13" t="n">
        <f aca="false">Sens!$C$2057/Sens!$C$2036</f>
        <v>0.362701425456526</v>
      </c>
      <c r="D2058" s="13" t="n">
        <f aca="false">Sens!$D$2057/Sens!$D$2036</f>
        <v>0.344564960359915</v>
      </c>
      <c r="E2058" s="13" t="n">
        <f aca="false">Sens!$E$2057/Sens!$E$2036</f>
        <v>0.402457981694757</v>
      </c>
      <c r="F2058" s="13" t="n">
        <f aca="false">(Sens!$O$2057+Sens!$E$2057)/(Sens!$O$2036+Sens!$E$2036)</f>
        <v>0.368424324105066</v>
      </c>
      <c r="G2058" s="13" t="n">
        <f aca="false">Sens!$G$2057/Sens!$G$2036</f>
        <v>0.385386365635402</v>
      </c>
      <c r="H2058" s="13" t="n">
        <f aca="false">Sens!$F$2058</f>
        <v>0.368424324105066</v>
      </c>
      <c r="I2058" s="13" t="n">
        <f aca="false">Sens!$F$2058</f>
        <v>0.368424324105066</v>
      </c>
      <c r="J2058" s="13" t="n">
        <f aca="false">Sens!$F$2058</f>
        <v>0.368424324105066</v>
      </c>
      <c r="K2058" s="13" t="n">
        <f aca="false">Sens!$F$2058</f>
        <v>0.368424324105066</v>
      </c>
      <c r="L2058" s="13" t="n">
        <f aca="false">Sens!$F$2058</f>
        <v>0.368424324105066</v>
      </c>
      <c r="M2058" s="13" t="n">
        <f aca="false">Sens!$F$2058</f>
        <v>0.368424324105066</v>
      </c>
      <c r="N2058" s="13" t="n">
        <f aca="false">Sens!$N$2057/Sens!$N$2036</f>
        <v>0.360774859190661</v>
      </c>
      <c r="O2058" s="13" t="n">
        <f aca="false">Sens!$O$2057/Sens!$O$2036</f>
        <v>0.329857844121034</v>
      </c>
      <c r="P2058" s="8" t="s">
        <v>646</v>
      </c>
    </row>
    <row r="2059" customFormat="false" ht="17.15" hidden="false" customHeight="false" outlineLevel="0" collapsed="false">
      <c r="A2059" s="0" t="s">
        <v>647</v>
      </c>
      <c r="B2059" s="0" t="s">
        <v>52</v>
      </c>
      <c r="D2059" s="13" t="n">
        <f aca="false">(Q!$E$31-ext_sh*Sens!$D$2048)/Sens!$D$2036</f>
        <v>0.157678997545686</v>
      </c>
    </row>
    <row r="2060" customFormat="false" ht="17.15" hidden="false" customHeight="false" outlineLevel="0" collapsed="false">
      <c r="A2060" s="0" t="s">
        <v>648</v>
      </c>
      <c r="B2060" s="0" t="s">
        <v>86</v>
      </c>
      <c r="C2060" s="38" t="n">
        <f aca="false">Q!$D$31</f>
        <v>13.32</v>
      </c>
      <c r="D2060" s="38" t="n">
        <f aca="false">Q!$E$31</f>
        <v>21.45</v>
      </c>
      <c r="E2060" s="38" t="n">
        <f aca="false">Q!$P$31</f>
        <v>15.353</v>
      </c>
      <c r="F2060" s="38" t="n">
        <f aca="false">ext_sh*Sens!$F$2048+Sens!$D$2059*Sens!$F$2036</f>
        <v>15.8587286958718</v>
      </c>
      <c r="G2060" s="38" t="n">
        <f aca="false">Sens!$E$2060+Sens!$F$2060</f>
        <v>31.2117286958718</v>
      </c>
      <c r="H2060" s="38" t="n">
        <f aca="false">ext_sh*Sens!$H$2048+Sens!$D$2059*Sens!$H$2036</f>
        <v>49.9582854139432</v>
      </c>
      <c r="I2060" s="38" t="n">
        <f aca="false">ext_sh*Sens!$I$2048+Sens!$D$2059*Sens!$I$2036</f>
        <v>72.0307777045848</v>
      </c>
      <c r="J2060" s="38" t="n">
        <f aca="false">ext_sh*Sens!$J$2048+Sens!$D$2059*Sens!$J$2036</f>
        <v>94.6797966445754</v>
      </c>
      <c r="K2060" s="38" t="n">
        <f aca="false">ext_sh*Sens!$K$2048+Sens!$D$2059*Sens!$K$2036</f>
        <v>117.116936720991</v>
      </c>
      <c r="L2060" s="38" t="n">
        <f aca="false">ext_sh*Sens!$L$2048+Sens!$D$2059*Sens!$L$2036</f>
        <v>134.381788128386</v>
      </c>
      <c r="M2060" s="38" t="n">
        <f aca="false">ext_sh*Sens!$M$2048+Sens!$D$2059*Sens!$M$2036</f>
        <v>144.630317848978</v>
      </c>
      <c r="N2060" s="38" t="n">
        <f aca="false">Q!$N$31</f>
        <v>9.234</v>
      </c>
      <c r="O2060" s="38" t="n">
        <f aca="false">Q!$O$31</f>
        <v>12.216</v>
      </c>
    </row>
    <row r="2061" customFormat="false" ht="17.15" hidden="false" customHeight="false" outlineLevel="0" collapsed="false">
      <c r="A2061" s="1" t="s">
        <v>649</v>
      </c>
    </row>
    <row r="2062" customFormat="false" ht="17.15" hidden="false" customHeight="false" outlineLevel="0" collapsed="false">
      <c r="A2062" s="15" t="s">
        <v>650</v>
      </c>
      <c r="B2062" s="14" t="s">
        <v>52</v>
      </c>
      <c r="C2062" s="14"/>
      <c r="D2062" s="14"/>
      <c r="E2062" s="14"/>
      <c r="F2062" s="14"/>
      <c r="G2062" s="17" t="n">
        <f aca="false">Sens!$G$2052*(1-tax)/(ext_sh*(Sens!$D$2049+Sens!$G$2049)/2)</f>
        <v>0.0570958788594286</v>
      </c>
      <c r="H2062" s="17" t="n">
        <f aca="false">Sens!$H$2052*(1-tax)/(ext_sh*(Sens!$G$2049+Sens!$H$2049)/2)</f>
        <v>0.0727100170497439</v>
      </c>
      <c r="I2062" s="17" t="n">
        <f aca="false">Sens!$I$2052*(1-tax)/(ext_sh*(Sens!$H$2049+Sens!$I$2049)/2)</f>
        <v>0.0782121780459111</v>
      </c>
      <c r="J2062" s="17" t="n">
        <f aca="false">Sens!$J$2052*(1-tax)/(ext_sh*(Sens!$I$2049+Sens!$J$2049)/2)</f>
        <v>0.0829231569356109</v>
      </c>
      <c r="K2062" s="17" t="n">
        <f aca="false">Sens!$K$2052*(1-tax)/(ext_sh*(Sens!$J$2049+Sens!$K$2049)/2)</f>
        <v>0.0851544437876494</v>
      </c>
      <c r="L2062" s="17" t="n">
        <f aca="false">Sens!$L$2052*(1-tax)/(ext_sh*(Sens!$K$2049+Sens!$L$2049)/2)</f>
        <v>0.0898991460782721</v>
      </c>
      <c r="M2062" s="17" t="n">
        <f aca="false">Sens!$M$2052*(1-tax)/(ext_sh*(Sens!$L$2049+Sens!$M$2049)/2)</f>
        <v>0.0980797137968805</v>
      </c>
      <c r="N2062" s="14"/>
      <c r="O2062" s="14"/>
      <c r="P2062" s="8" t="s">
        <v>651</v>
      </c>
    </row>
    <row r="2063" customFormat="false" ht="17.15" hidden="false" customHeight="false" outlineLevel="0" collapsed="false">
      <c r="A2063" s="5" t="s">
        <v>652</v>
      </c>
      <c r="B2063" s="0" t="s">
        <v>57</v>
      </c>
      <c r="H2063" s="36" t="n">
        <f aca="false">Sens!$H$2032*1000/(mw_open*he_open+Sens!$H$2030*Sens!$H$2027)</f>
        <v>0.991949006767191</v>
      </c>
      <c r="I2063" s="36" t="n">
        <f aca="false">Sens!$I$2032*1000/(mw_open*he_open+Sens!$I$2030*Sens!$I$2027)</f>
        <v>0.991949006767191</v>
      </c>
      <c r="J2063" s="36" t="n">
        <f aca="false">Sens!$J$2032*1000/(mw_open*he_open+Sens!$J$2030*Sens!$J$2027)</f>
        <v>0.991949006767191</v>
      </c>
      <c r="K2063" s="36" t="n">
        <f aca="false">Sens!$K$2032*1000/(mw_open*he_open+Sens!$K$2030*Sens!$K$2027)</f>
        <v>0.991949006767191</v>
      </c>
      <c r="L2063" s="36" t="n">
        <f aca="false">Sens!$L$2032*1000/(mw_open*he_open+Sens!$L$2030*Sens!$L$2027)</f>
        <v>0.991949006767191</v>
      </c>
      <c r="M2063" s="36" t="n">
        <f aca="false">Sens!$M$2032*1000/(mw_open*he_open+Sens!$M$2030*Sens!$M$2027)</f>
        <v>0.991949006767191</v>
      </c>
    </row>
    <row r="2064" customFormat="false" ht="17.15" hidden="false" customHeight="false" outlineLevel="0" collapsed="false">
      <c r="A2064" s="5" t="s">
        <v>653</v>
      </c>
      <c r="B2064" s="0" t="s">
        <v>57</v>
      </c>
      <c r="H2064" s="36" t="n">
        <f aca="false">Sens!$H$2063*(Sens!$H$2032+wacc*ext_sh*(Sens!$G$2049+Sens!$H$2049)/2/(1-tax)-Sens!$H$2052)/Sens!$H$2032</f>
        <v>1.2031417370849</v>
      </c>
      <c r="I2064" s="36" t="n">
        <f aca="false">Sens!$I$2063*(Sens!$I$2032+wacc*ext_sh*(Sens!$H$2049+Sens!$I$2049)/2/(1-tax)-Sens!$I$2052)/Sens!$I$2032</f>
        <v>1.15288711268498</v>
      </c>
      <c r="J2064" s="36" t="n">
        <f aca="false">Sens!$J$2063*(Sens!$J$2032+wacc*ext_sh*(Sens!$I$2049+Sens!$J$2049)/2/(1-tax)-Sens!$J$2052)/Sens!$J$2032</f>
        <v>1.11884115415733</v>
      </c>
      <c r="K2064" s="36" t="n">
        <f aca="false">Sens!$K$2063*(Sens!$K$2032+wacc*ext_sh*(Sens!$J$2049+Sens!$K$2049)/2/(1-tax)-Sens!$K$2052)/Sens!$K$2032</f>
        <v>1.09906612587182</v>
      </c>
      <c r="L2064" s="36" t="n">
        <f aca="false">Sens!$L$2063*(Sens!$L$2032+wacc*ext_sh*(Sens!$K$2049+Sens!$L$2049)/2/(1-tax)-Sens!$L$2052)/Sens!$L$2032</f>
        <v>1.07171328093316</v>
      </c>
      <c r="M2064" s="36" t="n">
        <f aca="false">Sens!$M$2063*(Sens!$M$2032+wacc*ext_sh*(Sens!$L$2049+Sens!$M$2049)/2/(1-tax)-Sens!$M$2052)/Sens!$M$2032</f>
        <v>1.03810934310717</v>
      </c>
    </row>
    <row r="2065" customFormat="false" ht="17.15" hidden="false" customHeight="false" outlineLevel="0" collapsed="false">
      <c r="A2065" s="5" t="s">
        <v>654</v>
      </c>
      <c r="B2065" s="0" t="s">
        <v>52</v>
      </c>
      <c r="C2065" s="13" t="n">
        <f aca="false">Sens!$C$2033/tk_pq</f>
        <v>0.195316432429398</v>
      </c>
      <c r="D2065" s="13" t="n">
        <f aca="false">Sens!$D$2033/tk_pq</f>
        <v>0.195316432429398</v>
      </c>
      <c r="E2065" s="13" t="n">
        <f aca="false">Sens!$E$2033/tk_pq</f>
        <v>0.195316432429398</v>
      </c>
      <c r="F2065" s="13" t="n">
        <f aca="false">Sens!$F$2033/tk_pq</f>
        <v>0.202241827274866</v>
      </c>
      <c r="G2065" s="13" t="n">
        <f aca="false">Sens!$G$2033/tk_pq</f>
        <v>0.199675016194063</v>
      </c>
      <c r="H2065" s="13" t="n">
        <f aca="false">Sens!$H$2033/tk_pq</f>
        <v>0.212647947710325</v>
      </c>
      <c r="I2065" s="13" t="n">
        <f aca="false">Sens!$I$2033/tk_pq</f>
        <v>0.219285125475351</v>
      </c>
      <c r="J2065" s="13" t="n">
        <f aca="false">Sens!$J$2033/tk_pq</f>
        <v>0.222492493217189</v>
      </c>
      <c r="K2065" s="13" t="n">
        <f aca="false">Sens!$K$2033/tk_pq</f>
        <v>0.224053502812094</v>
      </c>
      <c r="L2065" s="13" t="n">
        <f aca="false">Sens!$L$2033/tk_pq</f>
        <v>0.224786916785614</v>
      </c>
      <c r="M2065" s="13" t="n">
        <f aca="false">Sens!$M$2033/tk_pq</f>
        <v>0.225048671566937</v>
      </c>
      <c r="N2065" s="13" t="n">
        <f aca="false">Sens!$N$2033/tk_pq</f>
        <v>0.195316432429398</v>
      </c>
      <c r="O2065" s="13" t="n">
        <f aca="false">Sens!$O$2033/tk_pq</f>
        <v>0.195316432429398</v>
      </c>
      <c r="P2065" s="5" t="s">
        <v>655</v>
      </c>
    </row>
    <row r="2068" customFormat="false" ht="17.15" hidden="false" customHeight="false" outlineLevel="0" collapsed="false">
      <c r="A2068" s="1" t="s">
        <v>684</v>
      </c>
    </row>
    <row r="2069" customFormat="false" ht="17.15" hidden="false" customHeight="false" outlineLevel="0" collapsed="false">
      <c r="A2069" s="0" t="s">
        <v>685</v>
      </c>
      <c r="B2069" s="0" t="s">
        <v>86</v>
      </c>
      <c r="C2069" s="38" t="n">
        <f aca="false">Sens!$C$2032</f>
        <v>2.32100535697364</v>
      </c>
      <c r="D2069" s="38" t="n">
        <f aca="false">Sens!$D$2032</f>
        <v>8.70377008865116</v>
      </c>
      <c r="E2069" s="38" t="n">
        <f aca="false">Sens!$E$2032</f>
        <v>8.51035297557002</v>
      </c>
      <c r="F2069" s="38" t="n">
        <f aca="false">Sens!$F$2032</f>
        <v>14.9634336447205</v>
      </c>
      <c r="G2069" s="38" t="n">
        <f aca="false">Sens!$G$2032</f>
        <v>23.4737866202905</v>
      </c>
      <c r="H2069" s="38" t="n">
        <f aca="false">Sens!$H$2032</f>
        <v>60.1658907497746</v>
      </c>
      <c r="I2069" s="38" t="n">
        <f aca="false">Sens!$I$2032</f>
        <v>101.503699136432</v>
      </c>
      <c r="J2069" s="38" t="n">
        <f aca="false">Sens!$J$2032</f>
        <v>143.025407151278</v>
      </c>
      <c r="K2069" s="38" t="n">
        <f aca="false">Sens!$K$2032</f>
        <v>178.44812038318</v>
      </c>
      <c r="L2069" s="38" t="n">
        <f aca="false">Sens!$L$2032</f>
        <v>201.728101802396</v>
      </c>
      <c r="M2069" s="38" t="n">
        <f aca="false">Sens!$M$2032</f>
        <v>212.835441368865</v>
      </c>
      <c r="N2069" s="38" t="n">
        <f aca="false">Sens!$N$2032</f>
        <v>3.04631953102791</v>
      </c>
      <c r="O2069" s="38" t="n">
        <f aca="false">Sens!$O$2032</f>
        <v>5.65745055762326</v>
      </c>
      <c r="P2069" s="8" t="s">
        <v>686</v>
      </c>
    </row>
    <row r="2070" customFormat="false" ht="17.15" hidden="false" customHeight="false" outlineLevel="0" collapsed="false">
      <c r="A2070" s="0" t="s">
        <v>687</v>
      </c>
      <c r="B2070" s="0" t="s">
        <v>86</v>
      </c>
      <c r="C2070" s="38" t="n">
        <f aca="false">Sens!$C$2036</f>
        <v>105.234994643026</v>
      </c>
      <c r="D2070" s="38" t="n">
        <f aca="false">Sens!$D$2036</f>
        <v>120.021229911349</v>
      </c>
      <c r="E2070" s="38" t="n">
        <f aca="false">Sens!$E$2036</f>
        <v>71.30864702443</v>
      </c>
      <c r="F2070" s="38" t="n">
        <f aca="false">Sens!$F$2036</f>
        <v>71.7692997942464</v>
      </c>
      <c r="G2070" s="38" t="n">
        <f aca="false">Sens!$G$2036</f>
        <v>143.077946818676</v>
      </c>
      <c r="H2070" s="38" t="n">
        <f aca="false">Sens!$H$2036</f>
        <v>161.017077079203</v>
      </c>
      <c r="I2070" s="38" t="n">
        <f aca="false">Sens!$I$2036</f>
        <v>178.769759521457</v>
      </c>
      <c r="J2070" s="38" t="n">
        <f aca="false">Sens!$J$2036</f>
        <v>195.775538045907</v>
      </c>
      <c r="K2070" s="38" t="n">
        <f aca="false">Sens!$K$2036</f>
        <v>211.43758108958</v>
      </c>
      <c r="L2070" s="38" t="n">
        <f aca="false">Sens!$L$2036</f>
        <v>228.352587576746</v>
      </c>
      <c r="M2070" s="38" t="n">
        <f aca="false">Sens!$M$2036</f>
        <v>246.620794582886</v>
      </c>
      <c r="N2070" s="38" t="n">
        <f aca="false">Sens!$N$2036</f>
        <v>57.0936804689721</v>
      </c>
      <c r="O2070" s="38" t="n">
        <f aca="false">Sens!$O$2036</f>
        <v>62.9275494423768</v>
      </c>
      <c r="P2070" s="8" t="s">
        <v>686</v>
      </c>
    </row>
    <row r="2071" customFormat="false" ht="17.15" hidden="false" customHeight="false" outlineLevel="0" collapsed="false">
      <c r="A2071" s="1" t="s">
        <v>513</v>
      </c>
      <c r="B2071" s="8" t="s">
        <v>86</v>
      </c>
      <c r="C2071" s="38" t="n">
        <f aca="false">Q!$D$7</f>
        <v>107.556</v>
      </c>
      <c r="D2071" s="38" t="n">
        <f aca="false">Q!$E$7</f>
        <v>128.725</v>
      </c>
      <c r="E2071" s="38" t="n">
        <f aca="false">Q!$P$7</f>
        <v>79.819</v>
      </c>
      <c r="F2071" s="38" t="n">
        <f aca="false">Sens!$F$2069+Sens!$F$2070</f>
        <v>86.7327334389669</v>
      </c>
      <c r="G2071" s="38" t="n">
        <f aca="false">Sens!$G$2069+Sens!$G$2070</f>
        <v>166.551733438967</v>
      </c>
      <c r="H2071" s="38" t="n">
        <f aca="false">Sens!$H$2069+Sens!$H$2070</f>
        <v>221.182967828978</v>
      </c>
      <c r="I2071" s="38" t="n">
        <f aca="false">Sens!$I$2069+Sens!$I$2070</f>
        <v>280.27345865789</v>
      </c>
      <c r="J2071" s="38" t="n">
        <f aca="false">Sens!$J$2069+Sens!$J$2070</f>
        <v>338.800945197185</v>
      </c>
      <c r="K2071" s="38" t="n">
        <f aca="false">Sens!$K$2069+Sens!$K$2070</f>
        <v>389.88570147276</v>
      </c>
      <c r="L2071" s="38" t="n">
        <f aca="false">Sens!$L$2069+Sens!$L$2070</f>
        <v>430.080689379143</v>
      </c>
      <c r="M2071" s="38" t="n">
        <f aca="false">Sens!$M$2069+Sens!$M$2070</f>
        <v>459.456235951751</v>
      </c>
      <c r="N2071" s="38" t="n">
        <f aca="false">Q!$N$7</f>
        <v>60.14</v>
      </c>
      <c r="O2071" s="38" t="n">
        <f aca="false">Q!$O$7</f>
        <v>68.585</v>
      </c>
      <c r="P2071" s="5" t="s">
        <v>688</v>
      </c>
    </row>
    <row r="2072" customFormat="false" ht="15" hidden="false" customHeight="false" outlineLevel="0" collapsed="false">
      <c r="A2072" s="3" t="s">
        <v>689</v>
      </c>
      <c r="B2072" s="8" t="s">
        <v>86</v>
      </c>
      <c r="C2072" s="38" t="n">
        <f aca="false">Q!$D$8</f>
        <v>637.959</v>
      </c>
      <c r="D2072" s="38" t="n">
        <f aca="false">Q!$E$8</f>
        <v>716.924</v>
      </c>
      <c r="E2072" s="38" t="n">
        <f aca="false">Q!$P$8</f>
        <v>382.125</v>
      </c>
      <c r="F2072" s="38" t="n">
        <f aca="false">Sens!$F$2004+Sens!$F$2071</f>
        <v>435.780975084504</v>
      </c>
      <c r="G2072" s="38" t="n">
        <f aca="false">Sens!$G$2004+Sens!$G$2071</f>
        <v>817.905975084504</v>
      </c>
      <c r="H2072" s="38" t="n">
        <f aca="false">Sens!$H$2004+Sens!$H$2071</f>
        <v>942.279857350364</v>
      </c>
      <c r="I2072" s="38" t="n">
        <f aca="false">Sens!$I$2004+Sens!$I$2071</f>
        <v>1068.80284981042</v>
      </c>
      <c r="J2072" s="38" t="n">
        <f aca="false">Sens!$J$2004+Sens!$J$2071</f>
        <v>1189.90935093863</v>
      </c>
      <c r="K2072" s="38" t="n">
        <f aca="false">Sens!$K$2004+Sens!$K$2071</f>
        <v>1296.06215690385</v>
      </c>
      <c r="L2072" s="38" t="n">
        <f aca="false">Sens!$L$2004+Sens!$L$2071</f>
        <v>1395.17379585473</v>
      </c>
      <c r="M2072" s="38" t="n">
        <f aca="false">Sens!$M$2004+Sens!$M$2071</f>
        <v>1487.60414389864</v>
      </c>
      <c r="N2072" s="38" t="n">
        <f aca="false">Q!$N$8</f>
        <v>323.369</v>
      </c>
      <c r="O2072" s="38" t="n">
        <f aca="false">Q!$O$8</f>
        <v>393.555</v>
      </c>
    </row>
    <row r="2073" customFormat="false" ht="17.15" hidden="false" customHeight="false" outlineLevel="0" collapsed="false">
      <c r="A2073" s="24" t="s">
        <v>697</v>
      </c>
      <c r="B2073" s="25" t="s">
        <v>86</v>
      </c>
      <c r="C2073" s="41" t="n">
        <f aca="false">Sens!$C$2004-(Sens!$C$2006+Sens!$C$2007)</f>
        <v>0</v>
      </c>
      <c r="D2073" s="41" t="n">
        <f aca="false">Sens!$D$2004-(Sens!$D$2006+Sens!$D$2007)</f>
        <v>0</v>
      </c>
      <c r="E2073" s="41" t="n">
        <f aca="false">Sens!$E$2004-(Sens!$E$2006+Sens!$E$2007)</f>
        <v>0</v>
      </c>
      <c r="F2073" s="41" t="n">
        <f aca="false">Sens!$F$2004-(Sens!$F$2006+Sens!$F$2007)</f>
        <v>0</v>
      </c>
      <c r="G2073" s="41" t="n">
        <f aca="false">Sens!$G$2004-(Sens!$G$2006+Sens!$G$2007)</f>
        <v>0</v>
      </c>
      <c r="H2073" s="41" t="n">
        <f aca="false">Sens!$H$2004-(Sens!$H$2006+Sens!$H$2007)</f>
        <v>0</v>
      </c>
      <c r="I2073" s="41" t="n">
        <f aca="false">Sens!$I$2004-(Sens!$I$2006+Sens!$I$2007)</f>
        <v>0</v>
      </c>
      <c r="J2073" s="41" t="n">
        <f aca="false">Sens!$J$2004-(Sens!$J$2006+Sens!$J$2007)</f>
        <v>0</v>
      </c>
      <c r="K2073" s="41" t="n">
        <f aca="false">Sens!$K$2004-(Sens!$K$2006+Sens!$K$2007)</f>
        <v>0</v>
      </c>
      <c r="L2073" s="41" t="n">
        <f aca="false">Sens!$L$2004-(Sens!$L$2006+Sens!$L$2007)</f>
        <v>0</v>
      </c>
      <c r="M2073" s="41" t="n">
        <f aca="false">Sens!$M$2004-(Sens!$M$2006+Sens!$M$2007)</f>
        <v>0</v>
      </c>
      <c r="N2073" s="41" t="n">
        <f aca="false">Sens!$N$2004-(Sens!$N$2006+Sens!$N$2007)</f>
        <v>0</v>
      </c>
      <c r="O2073" s="41" t="n">
        <f aca="false">Sens!$O$2004-(Sens!$O$2006+Sens!$O$2007)</f>
        <v>0</v>
      </c>
    </row>
    <row r="2074" customFormat="false" ht="17.15" hidden="false" customHeight="false" outlineLevel="0" collapsed="false">
      <c r="A2074" s="24" t="s">
        <v>698</v>
      </c>
      <c r="B2074" s="25" t="s">
        <v>86</v>
      </c>
      <c r="C2074" s="41" t="n">
        <f aca="false">Sens!$C$2069+Sens!$C$2070-Sens!$C$2071</f>
        <v>0</v>
      </c>
      <c r="D2074" s="41" t="n">
        <f aca="false">Sens!$D$2069+Sens!$D$2070-Sens!$D$2071</f>
        <v>0</v>
      </c>
      <c r="E2074" s="41" t="n">
        <f aca="false">Sens!$E$2069+Sens!$E$2070-Sens!$E$2071</f>
        <v>0</v>
      </c>
      <c r="F2074" s="41" t="n">
        <f aca="false">Sens!$F$2069+Sens!$F$2070-Sens!$F$2071</f>
        <v>0</v>
      </c>
      <c r="G2074" s="41" t="n">
        <f aca="false">Sens!$G$2069+Sens!$G$2070-Sens!$G$2071</f>
        <v>0</v>
      </c>
      <c r="H2074" s="41" t="n">
        <f aca="false">Sens!$H$2069+Sens!$H$2070-Sens!$H$2071</f>
        <v>0</v>
      </c>
      <c r="I2074" s="41" t="n">
        <f aca="false">Sens!$I$2069+Sens!$I$2070-Sens!$I$2071</f>
        <v>0</v>
      </c>
      <c r="J2074" s="41" t="n">
        <f aca="false">Sens!$J$2069+Sens!$J$2070-Sens!$J$2071</f>
        <v>0</v>
      </c>
      <c r="K2074" s="41" t="n">
        <f aca="false">Sens!$K$2069+Sens!$K$2070-Sens!$K$2071</f>
        <v>0</v>
      </c>
      <c r="L2074" s="41" t="n">
        <f aca="false">Sens!$L$2069+Sens!$L$2070-Sens!$L$2071</f>
        <v>0</v>
      </c>
      <c r="M2074" s="41" t="n">
        <f aca="false">Sens!$M$2069+Sens!$M$2070-Sens!$M$2071</f>
        <v>0</v>
      </c>
      <c r="N2074" s="41" t="n">
        <f aca="false">Sens!$N$2069+Sens!$N$2070-Sens!$N$2071</f>
        <v>0</v>
      </c>
      <c r="O2074" s="41" t="n">
        <f aca="false">Sens!$O$2069+Sens!$O$2070-Sens!$O$2071</f>
        <v>0</v>
      </c>
    </row>
    <row r="2075" customFormat="false" ht="17.15" hidden="false" customHeight="false" outlineLevel="0" collapsed="false">
      <c r="A2075" s="24" t="s">
        <v>699</v>
      </c>
      <c r="B2075" s="25" t="s">
        <v>86</v>
      </c>
      <c r="C2075" s="41" t="n">
        <f aca="false">Sens!$C$2006+Sens!$C$2007+Sens!$C$2071-Sens!$C$2072</f>
        <v>0</v>
      </c>
      <c r="D2075" s="41" t="n">
        <f aca="false">Sens!$D$2006+Sens!$D$2007+Sens!$D$2071-Sens!$D$2072</f>
        <v>0</v>
      </c>
      <c r="E2075" s="41" t="n">
        <f aca="false">Sens!$E$2006+Sens!$E$2007+Sens!$E$2071-Sens!$E$2072</f>
        <v>0</v>
      </c>
      <c r="F2075" s="41" t="n">
        <f aca="false">Sens!$F$2006+Sens!$F$2007+Sens!$F$2071-Sens!$F$2072</f>
        <v>0</v>
      </c>
      <c r="G2075" s="41" t="n">
        <f aca="false">Sens!$G$2006+Sens!$G$2007+Sens!$G$2071-Sens!$G$2072</f>
        <v>0</v>
      </c>
      <c r="H2075" s="41" t="n">
        <f aca="false">Sens!$H$2006+Sens!$H$2007+Sens!$H$2071-Sens!$H$2072</f>
        <v>0</v>
      </c>
      <c r="I2075" s="41" t="n">
        <f aca="false">Sens!$I$2006+Sens!$I$2007+Sens!$I$2071-Sens!$I$2072</f>
        <v>0</v>
      </c>
      <c r="J2075" s="41" t="n">
        <f aca="false">Sens!$J$2006+Sens!$J$2007+Sens!$J$2071-Sens!$J$2072</f>
        <v>0</v>
      </c>
      <c r="K2075" s="41" t="n">
        <f aca="false">Sens!$K$2006+Sens!$K$2007+Sens!$K$2071-Sens!$K$2072</f>
        <v>0</v>
      </c>
      <c r="L2075" s="41" t="n">
        <f aca="false">Sens!$L$2006+Sens!$L$2007+Sens!$L$2071-Sens!$L$2072</f>
        <v>0</v>
      </c>
      <c r="M2075" s="41" t="n">
        <f aca="false">Sens!$M$2006+Sens!$M$2007+Sens!$M$2071-Sens!$M$2072</f>
        <v>0</v>
      </c>
      <c r="N2075" s="41" t="n">
        <f aca="false">Sens!$N$2006+Sens!$N$2007+Sens!$N$2071-Sens!$N$2072</f>
        <v>0</v>
      </c>
      <c r="O2075" s="41" t="n">
        <f aca="false">Sens!$O$2006+Sens!$O$2007+Sens!$O$2071-Sens!$O$2072</f>
        <v>0</v>
      </c>
    </row>
    <row r="2076" customFormat="false" ht="15" hidden="false" customHeight="false" outlineLevel="0" collapsed="false">
      <c r="A2076" s="5" t="s">
        <v>693</v>
      </c>
      <c r="B2076" s="0" t="s">
        <v>52</v>
      </c>
      <c r="G2076" s="13" t="n">
        <f aca="false">Sens!$G$2072/Sens!$D$2072-1</f>
        <v>0.140854504918937</v>
      </c>
      <c r="H2076" s="13" t="n">
        <f aca="false">Sens!$H$2072/Sens!$G$2072-1</f>
        <v>0.152063789793209</v>
      </c>
      <c r="I2076" s="13" t="n">
        <f aca="false">Sens!$I$2072/Sens!$H$2072-1</f>
        <v>0.134273264437417</v>
      </c>
      <c r="J2076" s="13" t="n">
        <f aca="false">Sens!$J$2072/Sens!$I$2072-1</f>
        <v>0.113310421234083</v>
      </c>
      <c r="K2076" s="13" t="n">
        <f aca="false">Sens!$K$2072/Sens!$J$2072-1</f>
        <v>0.0892108343223652</v>
      </c>
      <c r="L2076" s="13" t="n">
        <f aca="false">Sens!$L$2072/Sens!$K$2072-1</f>
        <v>0.076471362444261</v>
      </c>
      <c r="M2076" s="13" t="n">
        <f aca="false">Sens!$M$2072/Sens!$L$2072-1</f>
        <v>0.066250060256672</v>
      </c>
    </row>
    <row r="2077" customFormat="false" ht="17.15" hidden="false" customHeight="false" outlineLevel="0" collapsed="false">
      <c r="A2077" s="0" t="s">
        <v>694</v>
      </c>
      <c r="B2077" s="0" t="s">
        <v>52</v>
      </c>
      <c r="C2077" s="13" t="n">
        <f aca="false">Sens!$C$2071/Sens!$C$2072</f>
        <v>0.168593906504964</v>
      </c>
      <c r="D2077" s="13" t="n">
        <f aca="false">Sens!$D$2071/Sens!$D$2072</f>
        <v>0.179551807444025</v>
      </c>
      <c r="E2077" s="13" t="n">
        <f aca="false">Sens!$E$2071/Sens!$E$2072</f>
        <v>0.208881910369643</v>
      </c>
      <c r="F2077" s="13" t="n">
        <f aca="false">Sens!$F$2071/Sens!$F$2072</f>
        <v>0.199028269699356</v>
      </c>
      <c r="G2077" s="13" t="n">
        <f aca="false">Sens!$G$2071/Sens!$G$2072</f>
        <v>0.203631882529968</v>
      </c>
      <c r="H2077" s="13" t="n">
        <f aca="false">Sens!$H$2071/Sens!$H$2072</f>
        <v>0.234731715958496</v>
      </c>
      <c r="I2077" s="13" t="n">
        <f aca="false">Sens!$I$2071/Sens!$I$2072</f>
        <v>0.262231204480418</v>
      </c>
      <c r="J2077" s="13" t="n">
        <f aca="false">Sens!$J$2071/Sens!$J$2072</f>
        <v>0.284728366013706</v>
      </c>
      <c r="K2077" s="13" t="n">
        <f aca="false">Sens!$K$2071/Sens!$K$2072</f>
        <v>0.300823304959505</v>
      </c>
      <c r="L2077" s="13" t="n">
        <f aca="false">Sens!$L$2071/Sens!$L$2072</f>
        <v>0.308263164529735</v>
      </c>
      <c r="M2077" s="13" t="n">
        <f aca="false">Sens!$M$2071/Sens!$M$2072</f>
        <v>0.308856517936036</v>
      </c>
      <c r="N2077" s="13" t="n">
        <f aca="false">Sens!$N$2071/Sens!$N$2072</f>
        <v>0.185979484737251</v>
      </c>
      <c r="O2077" s="13" t="n">
        <f aca="false">Sens!$O$2071/Sens!$O$2072</f>
        <v>0.174270432341096</v>
      </c>
    </row>
    <row r="2078" customFormat="false" ht="17.15" hidden="false" customHeight="false" outlineLevel="0" collapsed="false">
      <c r="A2078" s="0" t="s">
        <v>695</v>
      </c>
      <c r="B2078" s="0" t="s">
        <v>52</v>
      </c>
      <c r="C2078" s="13" t="n">
        <f aca="false">Sens!$C$2069/Sens!$C$2071</f>
        <v>0.0215795060896058</v>
      </c>
      <c r="D2078" s="13" t="n">
        <f aca="false">Sens!$D$2069/Sens!$D$2071</f>
        <v>0.0676152269462122</v>
      </c>
      <c r="E2078" s="13" t="n">
        <f aca="false">Sens!$E$2069/Sens!$E$2071</f>
        <v>0.106620641395783</v>
      </c>
      <c r="F2078" s="13" t="n">
        <f aca="false">Sens!$F$2069/Sens!$F$2071</f>
        <v>0.172523487401099</v>
      </c>
      <c r="G2078" s="13" t="n">
        <f aca="false">Sens!$G$2069/Sens!$G$2071</f>
        <v>0.140939911795589</v>
      </c>
      <c r="H2078" s="13" t="n">
        <f aca="false">Sens!$H$2069/Sens!$H$2071</f>
        <v>0.272018642937714</v>
      </c>
      <c r="I2078" s="13" t="n">
        <f aca="false">Sens!$I$2069/Sens!$I$2071</f>
        <v>0.362159512436497</v>
      </c>
      <c r="J2078" s="13" t="n">
        <f aca="false">Sens!$J$2069/Sens!$J$2071</f>
        <v>0.422151735934609</v>
      </c>
      <c r="K2078" s="13" t="n">
        <f aca="false">Sens!$K$2069/Sens!$K$2071</f>
        <v>0.45769342068485</v>
      </c>
      <c r="L2078" s="13" t="n">
        <f aca="false">Sens!$L$2069/Sens!$L$2071</f>
        <v>0.469047103913472</v>
      </c>
      <c r="M2078" s="13" t="n">
        <f aca="false">Sens!$M$2069/Sens!$M$2071</f>
        <v>0.463233328258093</v>
      </c>
      <c r="N2078" s="13" t="n">
        <f aca="false">Sens!$N$2069/Sens!$N$2071</f>
        <v>0.0506537999838362</v>
      </c>
      <c r="O2078" s="13" t="n">
        <f aca="false">Sens!$O$2069/Sens!$O$2071</f>
        <v>0.0824881615167056</v>
      </c>
    </row>
    <row r="2081" customFormat="false" ht="19.4" hidden="false" customHeight="false" outlineLevel="0" collapsed="false">
      <c r="A2081" s="31" t="s">
        <v>1169</v>
      </c>
    </row>
    <row r="2082" customFormat="false" ht="17.15" hidden="false" customHeight="false" outlineLevel="0" collapsed="false">
      <c r="A2082" s="6" t="s">
        <v>16</v>
      </c>
      <c r="B2082" s="6" t="s">
        <v>17</v>
      </c>
      <c r="C2082" s="20" t="s">
        <v>494</v>
      </c>
      <c r="D2082" s="20" t="s">
        <v>495</v>
      </c>
      <c r="E2082" s="20" t="s">
        <v>577</v>
      </c>
      <c r="F2082" s="20" t="s">
        <v>578</v>
      </c>
      <c r="G2082" s="20" t="s">
        <v>579</v>
      </c>
      <c r="H2082" s="20" t="s">
        <v>580</v>
      </c>
      <c r="I2082" s="20" t="s">
        <v>581</v>
      </c>
      <c r="J2082" s="20" t="s">
        <v>582</v>
      </c>
      <c r="K2082" s="20" t="s">
        <v>583</v>
      </c>
      <c r="L2082" s="20" t="s">
        <v>584</v>
      </c>
      <c r="M2082" s="20" t="s">
        <v>585</v>
      </c>
      <c r="N2082" s="20" t="s">
        <v>586</v>
      </c>
      <c r="O2082" s="20" t="s">
        <v>587</v>
      </c>
      <c r="P2082" s="6" t="s">
        <v>23</v>
      </c>
      <c r="R2082" s="20" t="n">
        <v>2023</v>
      </c>
      <c r="S2082" s="20" t="n">
        <v>2024</v>
      </c>
      <c r="T2082" s="20" t="n">
        <v>2025</v>
      </c>
      <c r="U2082" s="20" t="n">
        <v>2026</v>
      </c>
      <c r="V2082" s="20" t="n">
        <v>2027</v>
      </c>
      <c r="W2082" s="20" t="n">
        <v>2028</v>
      </c>
      <c r="X2082" s="20" t="n">
        <v>2029</v>
      </c>
      <c r="Y2082" s="20" t="n">
        <v>2030</v>
      </c>
      <c r="Z2082" s="20" t="n">
        <v>2031</v>
      </c>
      <c r="AA2082" s="20" t="n">
        <v>2032</v>
      </c>
    </row>
    <row r="2083" customFormat="false" ht="17.15" hidden="false" customHeight="false" outlineLevel="0" collapsed="false">
      <c r="A2083" s="1" t="s">
        <v>710</v>
      </c>
    </row>
    <row r="2084" customFormat="false" ht="15" hidden="false" customHeight="false" outlineLevel="0" collapsed="false">
      <c r="A2084" s="0" t="s">
        <v>516</v>
      </c>
      <c r="B2084" s="0" t="s">
        <v>86</v>
      </c>
      <c r="C2084" s="38" t="n">
        <f aca="false">Sens!$C$1991</f>
        <v>247.029</v>
      </c>
      <c r="D2084" s="38" t="n">
        <f aca="false">Sens!$D$1991</f>
        <v>269.287</v>
      </c>
      <c r="E2084" s="38" t="n">
        <f aca="false">Sens!$E$1991</f>
        <v>134.686</v>
      </c>
      <c r="F2084" s="38" t="n">
        <f aca="false">Sens!$F$1991</f>
        <v>158.293876822267</v>
      </c>
      <c r="G2084" s="38" t="n">
        <f aca="false">Sens!$G$1991</f>
        <v>292.979876822267</v>
      </c>
      <c r="H2084" s="38" t="n">
        <f aca="false">Sens!$H$1991</f>
        <v>318.184543087396</v>
      </c>
      <c r="I2084" s="38" t="n">
        <f aca="false">Sens!$I$1991</f>
        <v>341.736278761793</v>
      </c>
      <c r="J2084" s="38" t="n">
        <f aca="false">Sens!$J$1991</f>
        <v>362.927192787048</v>
      </c>
      <c r="K2084" s="38" t="n">
        <f aca="false">Sens!$K$1991</f>
        <v>381.0735524264</v>
      </c>
      <c r="L2084" s="38" t="n">
        <f aca="false">Sens!$L$1991</f>
        <v>400.12723004772</v>
      </c>
      <c r="M2084" s="38" t="n">
        <f aca="false">Sens!$M$1991</f>
        <v>420.133591550106</v>
      </c>
      <c r="N2084" s="38" t="n">
        <f aca="false">Sens!$N$1991</f>
        <v>118.892</v>
      </c>
      <c r="O2084" s="38" t="n">
        <f aca="false">Sens!$O$1991</f>
        <v>150.395</v>
      </c>
    </row>
    <row r="2085" customFormat="false" ht="15" hidden="false" customHeight="false" outlineLevel="0" collapsed="false">
      <c r="A2085" s="0" t="s">
        <v>517</v>
      </c>
      <c r="B2085" s="0" t="s">
        <v>86</v>
      </c>
      <c r="C2085" s="38" t="n">
        <f aca="false">Sens!$C$1993</f>
        <v>21.215</v>
      </c>
      <c r="D2085" s="38" t="n">
        <f aca="false">Sens!$D$1993</f>
        <v>22.561</v>
      </c>
      <c r="E2085" s="38" t="n">
        <f aca="false">Sens!$E$1993</f>
        <v>11.579</v>
      </c>
      <c r="F2085" s="38" t="n">
        <f aca="false">Sens!$F$1993</f>
        <v>11.5938724610325</v>
      </c>
      <c r="G2085" s="38" t="n">
        <f aca="false">Sens!$G$1993</f>
        <v>23.1728724610325</v>
      </c>
      <c r="H2085" s="38" t="n">
        <f aca="false">Sens!$H$1993</f>
        <v>24.353392759506</v>
      </c>
      <c r="I2085" s="38" t="n">
        <f aca="false">Sens!$I$1993</f>
        <v>25.4240338872015</v>
      </c>
      <c r="J2085" s="38" t="n">
        <f aca="false">Sens!$J$1993</f>
        <v>26.3642491017174</v>
      </c>
      <c r="K2085" s="38" t="n">
        <f aca="false">Sens!$K$1993</f>
        <v>27.155176574769</v>
      </c>
      <c r="L2085" s="38" t="n">
        <f aca="false">Sens!$L$1993</f>
        <v>27.969831872012</v>
      </c>
      <c r="M2085" s="38" t="n">
        <f aca="false">Sens!$M$1993</f>
        <v>28.8089268281724</v>
      </c>
      <c r="N2085" s="38" t="n">
        <f aca="false">Sens!$N$1993</f>
        <v>11.128</v>
      </c>
      <c r="O2085" s="38" t="n">
        <f aca="false">Sens!$O$1993</f>
        <v>11.433</v>
      </c>
    </row>
    <row r="2086" customFormat="false" ht="15" hidden="false" customHeight="false" outlineLevel="0" collapsed="false">
      <c r="A2086" s="0" t="s">
        <v>518</v>
      </c>
      <c r="B2086" s="0" t="s">
        <v>86</v>
      </c>
      <c r="C2086" s="38" t="n">
        <f aca="false">Sens!$C$1995</f>
        <v>156.146</v>
      </c>
      <c r="D2086" s="38" t="n">
        <f aca="false">Sens!$D$1995</f>
        <v>172.162</v>
      </c>
      <c r="E2086" s="38" t="n">
        <f aca="false">Sens!$E$1995</f>
        <v>88.358</v>
      </c>
      <c r="F2086" s="38" t="n">
        <f aca="false">Sens!$F$1995</f>
        <v>102.004388260171</v>
      </c>
      <c r="G2086" s="38" t="n">
        <f aca="false">Sens!$G$1995</f>
        <v>190.362388260171</v>
      </c>
      <c r="H2086" s="38" t="n">
        <f aca="false">Sens!$H$1995</f>
        <v>210.343106588311</v>
      </c>
      <c r="I2086" s="38" t="n">
        <f aca="false">Sens!$I$1995</f>
        <v>229.969728494648</v>
      </c>
      <c r="J2086" s="38" t="n">
        <f aca="false">Sens!$J$1995</f>
        <v>248.747636972598</v>
      </c>
      <c r="K2086" s="38" t="n">
        <f aca="false">Sens!$K$1995</f>
        <v>266.15997156068</v>
      </c>
      <c r="L2086" s="38" t="n">
        <f aca="false">Sens!$L$1995</f>
        <v>284.791169569927</v>
      </c>
      <c r="M2086" s="38" t="n">
        <f aca="false">Sens!$M$1995</f>
        <v>304.726551439822</v>
      </c>
      <c r="N2086" s="38" t="n">
        <f aca="false">Sens!$N$1995</f>
        <v>76.86</v>
      </c>
      <c r="O2086" s="38" t="n">
        <f aca="false">Sens!$O$1995</f>
        <v>95.302</v>
      </c>
    </row>
    <row r="2087" customFormat="false" ht="15" hidden="false" customHeight="false" outlineLevel="0" collapsed="false">
      <c r="A2087" s="0" t="s">
        <v>519</v>
      </c>
      <c r="B2087" s="0" t="s">
        <v>86</v>
      </c>
      <c r="C2087" s="38" t="n">
        <f aca="false">Sens!$C$1997</f>
        <v>56.214</v>
      </c>
      <c r="D2087" s="38" t="n">
        <f aca="false">Sens!$D$1997</f>
        <v>68.635</v>
      </c>
      <c r="E2087" s="38" t="n">
        <f aca="false">Sens!$E$1997</f>
        <v>37.052</v>
      </c>
      <c r="F2087" s="38" t="n">
        <f aca="false">Sens!$F$1997</f>
        <v>46.1572219944148</v>
      </c>
      <c r="G2087" s="38" t="n">
        <f aca="false">Sens!$G$1997</f>
        <v>83.2092219944148</v>
      </c>
      <c r="H2087" s="38" t="n">
        <f aca="false">Sens!$H$1997</f>
        <v>99.8969223878976</v>
      </c>
      <c r="I2087" s="38" t="n">
        <f aca="false">Sens!$I$1997</f>
        <v>116.583111095496</v>
      </c>
      <c r="J2087" s="38" t="n">
        <f aca="false">Sens!$J$1997</f>
        <v>132.148941941952</v>
      </c>
      <c r="K2087" s="38" t="n">
        <f aca="false">Sens!$K$1997</f>
        <v>145.363836136147</v>
      </c>
      <c r="L2087" s="38" t="n">
        <f aca="false">Sens!$L$1997</f>
        <v>159.900219749762</v>
      </c>
      <c r="M2087" s="38" t="n">
        <f aca="false">Sens!$M$1997</f>
        <v>175.890241724738</v>
      </c>
      <c r="N2087" s="38" t="n">
        <f aca="false">Sens!$N$1997</f>
        <v>29.615</v>
      </c>
      <c r="O2087" s="38" t="n">
        <f aca="false">Sens!$O$1997</f>
        <v>39.02</v>
      </c>
    </row>
    <row r="2088" customFormat="false" ht="15" hidden="false" customHeight="false" outlineLevel="0" collapsed="false">
      <c r="A2088" s="0" t="s">
        <v>520</v>
      </c>
      <c r="B2088" s="0" t="s">
        <v>86</v>
      </c>
      <c r="C2088" s="38" t="n">
        <f aca="false">Sens!$C$1999</f>
        <v>44.374</v>
      </c>
      <c r="D2088" s="38" t="n">
        <f aca="false">Sens!$D$1999</f>
        <v>49.619</v>
      </c>
      <c r="E2088" s="38" t="n">
        <f aca="false">Sens!$E$1999</f>
        <v>27.157</v>
      </c>
      <c r="F2088" s="38" t="n">
        <f aca="false">Sens!$F$1999</f>
        <v>27.7764165988154</v>
      </c>
      <c r="G2088" s="38" t="n">
        <f aca="false">Sens!$G$1999</f>
        <v>54.9334165988154</v>
      </c>
      <c r="H2088" s="38" t="n">
        <f aca="false">Sens!$H$1999</f>
        <v>61.1564112561829</v>
      </c>
      <c r="I2088" s="38" t="n">
        <f aca="false">Sens!$I$1999</f>
        <v>67.2020282103945</v>
      </c>
      <c r="J2088" s="38" t="n">
        <f aca="false">Sens!$J$1999</f>
        <v>72.8757274028885</v>
      </c>
      <c r="K2088" s="38" t="n">
        <f aca="false">Sens!$K$1999</f>
        <v>77.9770283210907</v>
      </c>
      <c r="L2088" s="38" t="n">
        <f aca="false">Sens!$L$1999</f>
        <v>83.4354203035671</v>
      </c>
      <c r="M2088" s="38" t="n">
        <f aca="false">Sens!$M$1999</f>
        <v>89.2758997248168</v>
      </c>
      <c r="N2088" s="38" t="n">
        <f aca="false">Sens!$N$1999</f>
        <v>23.923</v>
      </c>
      <c r="O2088" s="38" t="n">
        <f aca="false">Sens!$O$1999</f>
        <v>25.696</v>
      </c>
    </row>
    <row r="2089" customFormat="false" ht="15" hidden="false" customHeight="false" outlineLevel="0" collapsed="false">
      <c r="A2089" s="0" t="s">
        <v>521</v>
      </c>
      <c r="B2089" s="0" t="s">
        <v>86</v>
      </c>
      <c r="C2089" s="38" t="n">
        <f aca="false">Sens!$C$2001</f>
        <v>5.425</v>
      </c>
      <c r="D2089" s="38" t="n">
        <f aca="false">Sens!$D$2001</f>
        <v>5.935</v>
      </c>
      <c r="E2089" s="38" t="n">
        <f aca="false">Sens!$E$2001</f>
        <v>3.474</v>
      </c>
      <c r="F2089" s="38" t="n">
        <f aca="false">Sens!$F$2001</f>
        <v>3.22246550883619</v>
      </c>
      <c r="G2089" s="38" t="n">
        <f aca="false">Sens!$G$2001</f>
        <v>6.69646550883619</v>
      </c>
      <c r="H2089" s="38" t="n">
        <f aca="false">Sens!$H$2001</f>
        <v>7.16251344209196</v>
      </c>
      <c r="I2089" s="38" t="n">
        <f aca="false">Sens!$I$2001</f>
        <v>7.61421070299826</v>
      </c>
      <c r="J2089" s="38" t="n">
        <f aca="false">Sens!$J$2001</f>
        <v>8.04465753523932</v>
      </c>
      <c r="K2089" s="38" t="n">
        <f aca="false">Sens!$K$2001</f>
        <v>8.44689041200128</v>
      </c>
      <c r="L2089" s="38" t="n">
        <f aca="false">Sens!$L$2001</f>
        <v>8.86923493260135</v>
      </c>
      <c r="M2089" s="38" t="n">
        <f aca="false">Sens!$M$2001</f>
        <v>9.31269667923142</v>
      </c>
      <c r="N2089" s="38" t="n">
        <f aca="false">Sens!$N$2001</f>
        <v>2.811</v>
      </c>
      <c r="O2089" s="38" t="n">
        <f aca="false">Sens!$O$2001</f>
        <v>3.124</v>
      </c>
    </row>
    <row r="2090" customFormat="false" ht="17.15" hidden="false" customHeight="false" outlineLevel="0" collapsed="false">
      <c r="A2090" s="0" t="s">
        <v>711</v>
      </c>
      <c r="B2090" s="0" t="s">
        <v>86</v>
      </c>
      <c r="C2090" s="38" t="n">
        <f aca="false">Sens!$C$2071</f>
        <v>107.556</v>
      </c>
      <c r="D2090" s="38" t="n">
        <f aca="false">Sens!$D$2071</f>
        <v>128.725</v>
      </c>
      <c r="E2090" s="38" t="n">
        <f aca="false">Sens!$E$2071</f>
        <v>79.819</v>
      </c>
      <c r="F2090" s="38" t="n">
        <f aca="false">Sens!$F$2071</f>
        <v>86.7327334389669</v>
      </c>
      <c r="G2090" s="38" t="n">
        <f aca="false">Sens!$G$2071</f>
        <v>166.551733438967</v>
      </c>
      <c r="H2090" s="38" t="n">
        <f aca="false">Sens!$H$2071</f>
        <v>221.182967828978</v>
      </c>
      <c r="I2090" s="38" t="n">
        <f aca="false">Sens!$I$2071</f>
        <v>280.27345865789</v>
      </c>
      <c r="J2090" s="38" t="n">
        <f aca="false">Sens!$J$2071</f>
        <v>338.800945197185</v>
      </c>
      <c r="K2090" s="38" t="n">
        <f aca="false">Sens!$K$2071</f>
        <v>389.88570147276</v>
      </c>
      <c r="L2090" s="38" t="n">
        <f aca="false">Sens!$L$2071</f>
        <v>430.080689379143</v>
      </c>
      <c r="M2090" s="38" t="n">
        <f aca="false">Sens!$M$2071</f>
        <v>459.456235951751</v>
      </c>
      <c r="N2090" s="38" t="n">
        <f aca="false">Sens!$N$2071</f>
        <v>60.14</v>
      </c>
      <c r="O2090" s="38" t="n">
        <f aca="false">Sens!$O$2071</f>
        <v>68.585</v>
      </c>
    </row>
    <row r="2091" customFormat="false" ht="15" hidden="false" customHeight="false" outlineLevel="0" collapsed="false">
      <c r="A2091" s="1" t="s">
        <v>509</v>
      </c>
      <c r="B2091" s="8" t="s">
        <v>86</v>
      </c>
      <c r="C2091" s="38" t="n">
        <f aca="false">Sens!$C$2006</f>
        <v>387.497</v>
      </c>
      <c r="D2091" s="38" t="n">
        <f aca="false">Sens!$D$2006</f>
        <v>426.305</v>
      </c>
      <c r="E2091" s="38" t="n">
        <f aca="false">Sens!$E$2006</f>
        <v>220.32</v>
      </c>
      <c r="F2091" s="38" t="n">
        <f aca="false">Sens!$F$2006</f>
        <v>250.639773480586</v>
      </c>
      <c r="G2091" s="38" t="n">
        <f aca="false">Sens!$G$2006</f>
        <v>470.959773480586</v>
      </c>
      <c r="H2091" s="38" t="n">
        <f aca="false">Sens!$H$2006</f>
        <v>521.386990416437</v>
      </c>
      <c r="I2091" s="38" t="n">
        <f aca="false">Sens!$I$2006</f>
        <v>570.143862887555</v>
      </c>
      <c r="J2091" s="38" t="n">
        <f aca="false">Sens!$J$2006</f>
        <v>615.391435791933</v>
      </c>
      <c r="K2091" s="38" t="n">
        <f aca="false">Sens!$K$2006</f>
        <v>655.208227561543</v>
      </c>
      <c r="L2091" s="38" t="n">
        <f aca="false">Sens!$L$2006</f>
        <v>697.807739249767</v>
      </c>
      <c r="M2091" s="38" t="n">
        <f aca="false">Sens!$M$2006</f>
        <v>743.399328463592</v>
      </c>
      <c r="N2091" s="38" t="n">
        <f aca="false">Sens!$N$2006</f>
        <v>192.955</v>
      </c>
      <c r="O2091" s="38" t="n">
        <f aca="false">Sens!$O$2006</f>
        <v>233.35</v>
      </c>
    </row>
    <row r="2092" customFormat="false" ht="15" hidden="false" customHeight="false" outlineLevel="0" collapsed="false">
      <c r="A2092" s="1" t="s">
        <v>512</v>
      </c>
      <c r="B2092" s="8" t="s">
        <v>86</v>
      </c>
      <c r="C2092" s="38" t="n">
        <f aca="false">Sens!$C$2007</f>
        <v>142.906</v>
      </c>
      <c r="D2092" s="38" t="n">
        <f aca="false">Sens!$D$2007</f>
        <v>161.894</v>
      </c>
      <c r="E2092" s="38" t="n">
        <f aca="false">Sens!$E$2007</f>
        <v>81.986</v>
      </c>
      <c r="F2092" s="38" t="n">
        <f aca="false">Sens!$F$2007</f>
        <v>98.408468164951</v>
      </c>
      <c r="G2092" s="38" t="n">
        <f aca="false">Sens!$G$2007</f>
        <v>180.394468164951</v>
      </c>
      <c r="H2092" s="38" t="n">
        <f aca="false">Sens!$H$2007</f>
        <v>199.709899104949</v>
      </c>
      <c r="I2092" s="38" t="n">
        <f aca="false">Sens!$I$2007</f>
        <v>218.385528264976</v>
      </c>
      <c r="J2092" s="38" t="n">
        <f aca="false">Sens!$J$2007</f>
        <v>235.71696994951</v>
      </c>
      <c r="K2092" s="38" t="n">
        <f aca="false">Sens!$K$2007</f>
        <v>250.968227869545</v>
      </c>
      <c r="L2092" s="38" t="n">
        <f aca="false">Sens!$L$2007</f>
        <v>267.285367225822</v>
      </c>
      <c r="M2092" s="38" t="n">
        <f aca="false">Sens!$M$2007</f>
        <v>284.748579483295</v>
      </c>
      <c r="N2092" s="38" t="n">
        <f aca="false">Sens!$N$2007</f>
        <v>70.274</v>
      </c>
      <c r="O2092" s="38" t="n">
        <f aca="false">Sens!$O$2007</f>
        <v>91.62</v>
      </c>
    </row>
    <row r="2093" customFormat="false" ht="15" hidden="false" customHeight="false" outlineLevel="0" collapsed="false">
      <c r="A2093" s="1" t="s">
        <v>513</v>
      </c>
      <c r="B2093" s="8" t="s">
        <v>86</v>
      </c>
      <c r="C2093" s="38" t="n">
        <f aca="false">Sens!$C$2071</f>
        <v>107.556</v>
      </c>
      <c r="D2093" s="38" t="n">
        <f aca="false">Sens!$D$2071</f>
        <v>128.725</v>
      </c>
      <c r="E2093" s="38" t="n">
        <f aca="false">Sens!$E$2071</f>
        <v>79.819</v>
      </c>
      <c r="F2093" s="38" t="n">
        <f aca="false">Sens!$F$2071</f>
        <v>86.7327334389669</v>
      </c>
      <c r="G2093" s="38" t="n">
        <f aca="false">Sens!$G$2071</f>
        <v>166.551733438967</v>
      </c>
      <c r="H2093" s="38" t="n">
        <f aca="false">Sens!$H$2071</f>
        <v>221.182967828978</v>
      </c>
      <c r="I2093" s="38" t="n">
        <f aca="false">Sens!$I$2071</f>
        <v>280.27345865789</v>
      </c>
      <c r="J2093" s="38" t="n">
        <f aca="false">Sens!$J$2071</f>
        <v>338.800945197185</v>
      </c>
      <c r="K2093" s="38" t="n">
        <f aca="false">Sens!$K$2071</f>
        <v>389.88570147276</v>
      </c>
      <c r="L2093" s="38" t="n">
        <f aca="false">Sens!$L$2071</f>
        <v>430.080689379143</v>
      </c>
      <c r="M2093" s="38" t="n">
        <f aca="false">Sens!$M$2071</f>
        <v>459.456235951751</v>
      </c>
      <c r="N2093" s="38" t="n">
        <f aca="false">Sens!$N$2071</f>
        <v>60.14</v>
      </c>
      <c r="O2093" s="38" t="n">
        <f aca="false">Sens!$O$2071</f>
        <v>68.585</v>
      </c>
    </row>
    <row r="2094" customFormat="false" ht="17.15" hidden="false" customHeight="false" outlineLevel="0" collapsed="false">
      <c r="A2094" s="0" t="s">
        <v>685</v>
      </c>
      <c r="B2094" s="0" t="s">
        <v>86</v>
      </c>
      <c r="C2094" s="38" t="n">
        <f aca="false">Sens!$C$2069</f>
        <v>2.32100535697364</v>
      </c>
      <c r="D2094" s="38" t="n">
        <f aca="false">Sens!$D$2069</f>
        <v>8.70377008865116</v>
      </c>
      <c r="E2094" s="38" t="n">
        <f aca="false">Sens!$E$2069</f>
        <v>8.51035297557002</v>
      </c>
      <c r="F2094" s="38" t="n">
        <f aca="false">Sens!$F$2069</f>
        <v>14.9634336447205</v>
      </c>
      <c r="G2094" s="38" t="n">
        <f aca="false">Sens!$G$2069</f>
        <v>23.4737866202905</v>
      </c>
      <c r="H2094" s="38" t="n">
        <f aca="false">Sens!$H$2069</f>
        <v>60.1658907497746</v>
      </c>
      <c r="I2094" s="38" t="n">
        <f aca="false">Sens!$I$2069</f>
        <v>101.503699136432</v>
      </c>
      <c r="J2094" s="38" t="n">
        <f aca="false">Sens!$J$2069</f>
        <v>143.025407151278</v>
      </c>
      <c r="K2094" s="38" t="n">
        <f aca="false">Sens!$K$2069</f>
        <v>178.44812038318</v>
      </c>
      <c r="L2094" s="38" t="n">
        <f aca="false">Sens!$L$2069</f>
        <v>201.728101802396</v>
      </c>
      <c r="M2094" s="38" t="n">
        <f aca="false">Sens!$M$2069</f>
        <v>212.835441368865</v>
      </c>
      <c r="N2094" s="38" t="n">
        <f aca="false">Sens!$N$2069</f>
        <v>3.04631953102791</v>
      </c>
      <c r="O2094" s="38" t="n">
        <f aca="false">Sens!$O$2069</f>
        <v>5.65745055762326</v>
      </c>
    </row>
    <row r="2095" customFormat="false" ht="17.15" hidden="false" customHeight="false" outlineLevel="0" collapsed="false">
      <c r="A2095" s="0" t="s">
        <v>687</v>
      </c>
      <c r="B2095" s="0" t="s">
        <v>86</v>
      </c>
      <c r="C2095" s="38" t="n">
        <f aca="false">Sens!$C$2070</f>
        <v>105.234994643026</v>
      </c>
      <c r="D2095" s="38" t="n">
        <f aca="false">Sens!$D$2070</f>
        <v>120.021229911349</v>
      </c>
      <c r="E2095" s="38" t="n">
        <f aca="false">Sens!$E$2070</f>
        <v>71.30864702443</v>
      </c>
      <c r="F2095" s="38" t="n">
        <f aca="false">Sens!$F$2070</f>
        <v>71.7692997942464</v>
      </c>
      <c r="G2095" s="38" t="n">
        <f aca="false">Sens!$G$2070</f>
        <v>143.077946818676</v>
      </c>
      <c r="H2095" s="38" t="n">
        <f aca="false">Sens!$H$2070</f>
        <v>161.017077079203</v>
      </c>
      <c r="I2095" s="38" t="n">
        <f aca="false">Sens!$I$2070</f>
        <v>178.769759521457</v>
      </c>
      <c r="J2095" s="38" t="n">
        <f aca="false">Sens!$J$2070</f>
        <v>195.775538045907</v>
      </c>
      <c r="K2095" s="38" t="n">
        <f aca="false">Sens!$K$2070</f>
        <v>211.43758108958</v>
      </c>
      <c r="L2095" s="38" t="n">
        <f aca="false">Sens!$L$2070</f>
        <v>228.352587576746</v>
      </c>
      <c r="M2095" s="38" t="n">
        <f aca="false">Sens!$M$2070</f>
        <v>246.620794582886</v>
      </c>
      <c r="N2095" s="38" t="n">
        <f aca="false">Sens!$N$2070</f>
        <v>57.0936804689721</v>
      </c>
      <c r="O2095" s="38" t="n">
        <f aca="false">Sens!$O$2070</f>
        <v>62.9275494423768</v>
      </c>
    </row>
    <row r="2096" customFormat="false" ht="15" hidden="false" customHeight="false" outlineLevel="0" collapsed="false">
      <c r="A2096" s="3" t="s">
        <v>514</v>
      </c>
      <c r="B2096" s="8" t="s">
        <v>86</v>
      </c>
      <c r="C2096" s="38" t="n">
        <f aca="false">Sens!$C$2072</f>
        <v>637.959</v>
      </c>
      <c r="D2096" s="38" t="n">
        <f aca="false">Sens!$D$2072</f>
        <v>716.924</v>
      </c>
      <c r="E2096" s="38" t="n">
        <f aca="false">Sens!$E$2072</f>
        <v>382.125</v>
      </c>
      <c r="F2096" s="38" t="n">
        <f aca="false">Sens!$F$2072</f>
        <v>435.780975084504</v>
      </c>
      <c r="G2096" s="38" t="n">
        <f aca="false">Sens!$G$2072</f>
        <v>817.905975084504</v>
      </c>
      <c r="H2096" s="38" t="n">
        <f aca="false">Sens!$H$2072</f>
        <v>942.279857350364</v>
      </c>
      <c r="I2096" s="38" t="n">
        <f aca="false">Sens!$I$2072</f>
        <v>1068.80284981042</v>
      </c>
      <c r="J2096" s="38" t="n">
        <f aca="false">Sens!$J$2072</f>
        <v>1189.90935093863</v>
      </c>
      <c r="K2096" s="38" t="n">
        <f aca="false">Sens!$K$2072</f>
        <v>1296.06215690385</v>
      </c>
      <c r="L2096" s="38" t="n">
        <f aca="false">Sens!$L$2072</f>
        <v>1395.17379585473</v>
      </c>
      <c r="M2096" s="38" t="n">
        <f aca="false">Sens!$M$2072</f>
        <v>1487.60414389864</v>
      </c>
      <c r="N2096" s="38" t="n">
        <f aca="false">Sens!$N$2072</f>
        <v>323.369</v>
      </c>
      <c r="O2096" s="38" t="n">
        <f aca="false">Sens!$O$2072</f>
        <v>393.555</v>
      </c>
    </row>
    <row r="2097" customFormat="false" ht="17.15" hidden="false" customHeight="false" outlineLevel="0" collapsed="false">
      <c r="A2097" s="24" t="s">
        <v>697</v>
      </c>
      <c r="B2097" s="25" t="s">
        <v>86</v>
      </c>
      <c r="C2097" s="41" t="n">
        <f aca="false">Sens!$C$2084+Sens!$C$2085+Sens!$C$2086+Sens!$C$2087+Sens!$C$2088+Sens!$C$2089-(Sens!$C$2091+Sens!$C$2092)</f>
        <v>0</v>
      </c>
      <c r="D2097" s="41" t="n">
        <f aca="false">Sens!$D$2084+Sens!$D$2085+Sens!$D$2086+Sens!$D$2087+Sens!$D$2088+Sens!$D$2089-(Sens!$D$2091+Sens!$D$2092)</f>
        <v>0</v>
      </c>
      <c r="E2097" s="41" t="n">
        <f aca="false">Sens!$E$2084+Sens!$E$2085+Sens!$E$2086+Sens!$E$2087+Sens!$E$2088+Sens!$E$2089-(Sens!$E$2091+Sens!$E$2092)</f>
        <v>0</v>
      </c>
      <c r="F2097" s="41" t="n">
        <f aca="false">Sens!$F$2084+Sens!$F$2085+Sens!$F$2086+Sens!$F$2087+Sens!$F$2088+Sens!$F$2089-(Sens!$F$2091+Sens!$F$2092)</f>
        <v>0</v>
      </c>
      <c r="G2097" s="41" t="n">
        <f aca="false">Sens!$G$2084+Sens!$G$2085+Sens!$G$2086+Sens!$G$2087+Sens!$G$2088+Sens!$G$2089-(Sens!$G$2091+Sens!$G$2092)</f>
        <v>0</v>
      </c>
      <c r="H2097" s="41" t="n">
        <f aca="false">Sens!$H$2084+Sens!$H$2085+Sens!$H$2086+Sens!$H$2087+Sens!$H$2088+Sens!$H$2089-(Sens!$H$2091+Sens!$H$2092)</f>
        <v>0</v>
      </c>
      <c r="I2097" s="41" t="n">
        <f aca="false">Sens!$I$2084+Sens!$I$2085+Sens!$I$2086+Sens!$I$2087+Sens!$I$2088+Sens!$I$2089-(Sens!$I$2091+Sens!$I$2092)</f>
        <v>0</v>
      </c>
      <c r="J2097" s="41" t="n">
        <f aca="false">Sens!$J$2084+Sens!$J$2085+Sens!$J$2086+Sens!$J$2087+Sens!$J$2088+Sens!$J$2089-(Sens!$J$2091+Sens!$J$2092)</f>
        <v>0</v>
      </c>
      <c r="K2097" s="41" t="n">
        <f aca="false">Sens!$K$2084+Sens!$K$2085+Sens!$K$2086+Sens!$K$2087+Sens!$K$2088+Sens!$K$2089-(Sens!$K$2091+Sens!$K$2092)</f>
        <v>0</v>
      </c>
      <c r="L2097" s="41" t="n">
        <f aca="false">Sens!$L$2084+Sens!$L$2085+Sens!$L$2086+Sens!$L$2087+Sens!$L$2088+Sens!$L$2089-(Sens!$L$2091+Sens!$L$2092)</f>
        <v>0</v>
      </c>
      <c r="M2097" s="41" t="n">
        <f aca="false">Sens!$M$2084+Sens!$M$2085+Sens!$M$2086+Sens!$M$2087+Sens!$M$2088+Sens!$M$2089-(Sens!$M$2091+Sens!$M$2092)</f>
        <v>0</v>
      </c>
      <c r="N2097" s="41" t="n">
        <f aca="false">Sens!$N$2084+Sens!$N$2085+Sens!$N$2086+Sens!$N$2087+Sens!$N$2088+Sens!$N$2089-(Sens!$N$2091+Sens!$N$2092)</f>
        <v>0</v>
      </c>
      <c r="O2097" s="41" t="n">
        <f aca="false">Sens!$O$2084+Sens!$O$2085+Sens!$O$2086+Sens!$O$2087+Sens!$O$2088+Sens!$O$2089-(Sens!$O$2091+Sens!$O$2092)</f>
        <v>0</v>
      </c>
    </row>
    <row r="2098" customFormat="false" ht="17.15" hidden="false" customHeight="false" outlineLevel="0" collapsed="false">
      <c r="A2098" s="24" t="s">
        <v>698</v>
      </c>
      <c r="B2098" s="25" t="s">
        <v>86</v>
      </c>
      <c r="C2098" s="41" t="n">
        <f aca="false">Sens!$C$2094+Sens!$C$2095-Sens!$C$2093</f>
        <v>0</v>
      </c>
      <c r="D2098" s="41" t="n">
        <f aca="false">Sens!$D$2094+Sens!$D$2095-Sens!$D$2093</f>
        <v>0</v>
      </c>
      <c r="E2098" s="41" t="n">
        <f aca="false">Sens!$E$2094+Sens!$E$2095-Sens!$E$2093</f>
        <v>0</v>
      </c>
      <c r="F2098" s="41" t="n">
        <f aca="false">Sens!$F$2094+Sens!$F$2095-Sens!$F$2093</f>
        <v>0</v>
      </c>
      <c r="G2098" s="41" t="n">
        <f aca="false">Sens!$G$2094+Sens!$G$2095-Sens!$G$2093</f>
        <v>0</v>
      </c>
      <c r="H2098" s="41" t="n">
        <f aca="false">Sens!$H$2094+Sens!$H$2095-Sens!$H$2093</f>
        <v>0</v>
      </c>
      <c r="I2098" s="41" t="n">
        <f aca="false">Sens!$I$2094+Sens!$I$2095-Sens!$I$2093</f>
        <v>0</v>
      </c>
      <c r="J2098" s="41" t="n">
        <f aca="false">Sens!$J$2094+Sens!$J$2095-Sens!$J$2093</f>
        <v>0</v>
      </c>
      <c r="K2098" s="41" t="n">
        <f aca="false">Sens!$K$2094+Sens!$K$2095-Sens!$K$2093</f>
        <v>0</v>
      </c>
      <c r="L2098" s="41" t="n">
        <f aca="false">Sens!$L$2094+Sens!$L$2095-Sens!$L$2093</f>
        <v>0</v>
      </c>
      <c r="M2098" s="41" t="n">
        <f aca="false">Sens!$M$2094+Sens!$M$2095-Sens!$M$2093</f>
        <v>0</v>
      </c>
      <c r="N2098" s="41" t="n">
        <f aca="false">Sens!$N$2094+Sens!$N$2095-Sens!$N$2093</f>
        <v>0</v>
      </c>
      <c r="O2098" s="41" t="n">
        <f aca="false">Sens!$O$2094+Sens!$O$2095-Sens!$O$2093</f>
        <v>0</v>
      </c>
    </row>
    <row r="2099" customFormat="false" ht="17.15" hidden="false" customHeight="false" outlineLevel="0" collapsed="false">
      <c r="A2099" s="24" t="s">
        <v>757</v>
      </c>
      <c r="B2099" s="25" t="s">
        <v>86</v>
      </c>
      <c r="C2099" s="41" t="n">
        <f aca="false">Sens!$C$2084+Sens!$C$2085+Sens!$C$2086+Sens!$C$2087+Sens!$C$2088+Sens!$C$2089+Sens!$C$2090-Sens!$C$2096</f>
        <v>0</v>
      </c>
      <c r="D2099" s="41" t="n">
        <f aca="false">Sens!$D$2084+Sens!$D$2085+Sens!$D$2086+Sens!$D$2087+Sens!$D$2088+Sens!$D$2089+Sens!$D$2090-Sens!$D$2096</f>
        <v>0</v>
      </c>
      <c r="E2099" s="41" t="n">
        <f aca="false">Sens!$E$2084+Sens!$E$2085+Sens!$E$2086+Sens!$E$2087+Sens!$E$2088+Sens!$E$2089+Sens!$E$2090-Sens!$E$2096</f>
        <v>0</v>
      </c>
      <c r="F2099" s="41" t="n">
        <f aca="false">Sens!$F$2084+Sens!$F$2085+Sens!$F$2086+Sens!$F$2087+Sens!$F$2088+Sens!$F$2089+Sens!$F$2090-Sens!$F$2096</f>
        <v>0</v>
      </c>
      <c r="G2099" s="41" t="n">
        <f aca="false">Sens!$G$2084+Sens!$G$2085+Sens!$G$2086+Sens!$G$2087+Sens!$G$2088+Sens!$G$2089+Sens!$G$2090-Sens!$G$2096</f>
        <v>0</v>
      </c>
      <c r="H2099" s="41" t="n">
        <f aca="false">Sens!$H$2084+Sens!$H$2085+Sens!$H$2086+Sens!$H$2087+Sens!$H$2088+Sens!$H$2089+Sens!$H$2090-Sens!$H$2096</f>
        <v>0</v>
      </c>
      <c r="I2099" s="41" t="n">
        <f aca="false">Sens!$I$2084+Sens!$I$2085+Sens!$I$2086+Sens!$I$2087+Sens!$I$2088+Sens!$I$2089+Sens!$I$2090-Sens!$I$2096</f>
        <v>0</v>
      </c>
      <c r="J2099" s="41" t="n">
        <f aca="false">Sens!$J$2084+Sens!$J$2085+Sens!$J$2086+Sens!$J$2087+Sens!$J$2088+Sens!$J$2089+Sens!$J$2090-Sens!$J$2096</f>
        <v>0</v>
      </c>
      <c r="K2099" s="41" t="n">
        <f aca="false">Sens!$K$2084+Sens!$K$2085+Sens!$K$2086+Sens!$K$2087+Sens!$K$2088+Sens!$K$2089+Sens!$K$2090-Sens!$K$2096</f>
        <v>0</v>
      </c>
      <c r="L2099" s="41" t="n">
        <f aca="false">Sens!$L$2084+Sens!$L$2085+Sens!$L$2086+Sens!$L$2087+Sens!$L$2088+Sens!$L$2089+Sens!$L$2090-Sens!$L$2096</f>
        <v>0</v>
      </c>
      <c r="M2099" s="41" t="n">
        <f aca="false">Sens!$M$2084+Sens!$M$2085+Sens!$M$2086+Sens!$M$2087+Sens!$M$2088+Sens!$M$2089+Sens!$M$2090-Sens!$M$2096</f>
        <v>0</v>
      </c>
      <c r="N2099" s="41" t="n">
        <f aca="false">Sens!$N$2084+Sens!$N$2085+Sens!$N$2086+Sens!$N$2087+Sens!$N$2088+Sens!$N$2089+Sens!$N$2090-Sens!$N$2096</f>
        <v>0</v>
      </c>
      <c r="O2099" s="41" t="n">
        <f aca="false">Sens!$O$2084+Sens!$O$2085+Sens!$O$2086+Sens!$O$2087+Sens!$O$2088+Sens!$O$2089+Sens!$O$2090-Sens!$O$2096</f>
        <v>0</v>
      </c>
    </row>
    <row r="2100" customFormat="false" ht="17.15" hidden="false" customHeight="false" outlineLevel="0" collapsed="false">
      <c r="A2100" s="24" t="s">
        <v>699</v>
      </c>
      <c r="B2100" s="25" t="s">
        <v>86</v>
      </c>
      <c r="C2100" s="41" t="n">
        <f aca="false">Sens!$C$2091+Sens!$C$2092+Sens!$C$2093-Sens!$C$2096</f>
        <v>0</v>
      </c>
      <c r="D2100" s="41" t="n">
        <f aca="false">Sens!$D$2091+Sens!$D$2092+Sens!$D$2093-Sens!$D$2096</f>
        <v>0</v>
      </c>
      <c r="E2100" s="41" t="n">
        <f aca="false">Sens!$E$2091+Sens!$E$2092+Sens!$E$2093-Sens!$E$2096</f>
        <v>0</v>
      </c>
      <c r="F2100" s="41" t="n">
        <f aca="false">Sens!$F$2091+Sens!$F$2092+Sens!$F$2093-Sens!$F$2096</f>
        <v>0</v>
      </c>
      <c r="G2100" s="41" t="n">
        <f aca="false">Sens!$G$2091+Sens!$G$2092+Sens!$G$2093-Sens!$G$2096</f>
        <v>0</v>
      </c>
      <c r="H2100" s="41" t="n">
        <f aca="false">Sens!$H$2091+Sens!$H$2092+Sens!$H$2093-Sens!$H$2096</f>
        <v>0</v>
      </c>
      <c r="I2100" s="41" t="n">
        <f aca="false">Sens!$I$2091+Sens!$I$2092+Sens!$I$2093-Sens!$I$2096</f>
        <v>0</v>
      </c>
      <c r="J2100" s="41" t="n">
        <f aca="false">Sens!$J$2091+Sens!$J$2092+Sens!$J$2093-Sens!$J$2096</f>
        <v>0</v>
      </c>
      <c r="K2100" s="41" t="n">
        <f aca="false">Sens!$K$2091+Sens!$K$2092+Sens!$K$2093-Sens!$K$2096</f>
        <v>0</v>
      </c>
      <c r="L2100" s="41" t="n">
        <f aca="false">Sens!$L$2091+Sens!$L$2092+Sens!$L$2093-Sens!$L$2096</f>
        <v>0</v>
      </c>
      <c r="M2100" s="41" t="n">
        <f aca="false">Sens!$M$2091+Sens!$M$2092+Sens!$M$2093-Sens!$M$2096</f>
        <v>0</v>
      </c>
      <c r="N2100" s="41" t="n">
        <f aca="false">Sens!$N$2091+Sens!$N$2092+Sens!$N$2093-Sens!$N$2096</f>
        <v>0</v>
      </c>
      <c r="O2100" s="41" t="n">
        <f aca="false">Sens!$O$2091+Sens!$O$2092+Sens!$O$2093-Sens!$O$2096</f>
        <v>0</v>
      </c>
    </row>
    <row r="2101" customFormat="false" ht="17.15" hidden="false" customHeight="false" outlineLevel="0" collapsed="false">
      <c r="A2101" s="1" t="s">
        <v>713</v>
      </c>
    </row>
    <row r="2102" customFormat="false" ht="17.15" hidden="false" customHeight="false" outlineLevel="0" collapsed="false">
      <c r="A2102" s="0" t="s">
        <v>714</v>
      </c>
      <c r="B2102" s="0" t="s">
        <v>86</v>
      </c>
      <c r="C2102" s="38" t="n">
        <f aca="false">Sens!$C$2008*m_ad</f>
        <v>20.5341564414228</v>
      </c>
      <c r="D2102" s="38" t="n">
        <f aca="false">Sens!$D$2008*m_ad</f>
        <v>24.8720617299587</v>
      </c>
      <c r="E2102" s="38" t="n">
        <f aca="false">Sens!$E$2008*m_ad</f>
        <v>13.5017112462207</v>
      </c>
      <c r="F2102" s="38" t="n">
        <f aca="false">Sens!$F$2008*m_ad</f>
        <v>16.5719724165257</v>
      </c>
      <c r="G2102" s="38" t="n">
        <f aca="false">Sens!$G$2008*m_ad</f>
        <v>30.0820919220415</v>
      </c>
      <c r="H2102" s="38" t="n">
        <f aca="false">Sens!$H$2008*m_ad</f>
        <v>36.1150883276314</v>
      </c>
      <c r="I2102" s="38" t="n">
        <f aca="false">Sens!$I$2008*m_ad</f>
        <v>42.1475382231996</v>
      </c>
      <c r="J2102" s="38" t="n">
        <f aca="false">Sens!$J$2008*m_ad</f>
        <v>47.7749523864693</v>
      </c>
      <c r="K2102" s="38" t="n">
        <f aca="false">Sens!$K$2008*m_ad</f>
        <v>52.5524476251162</v>
      </c>
      <c r="L2102" s="38" t="n">
        <f aca="false">Sens!$L$2008*m_ad</f>
        <v>57.8076923876279</v>
      </c>
      <c r="M2102" s="38" t="n">
        <f aca="false">Sens!$M$2008*m_ad</f>
        <v>63.5884616263907</v>
      </c>
      <c r="N2102" s="38" t="n">
        <f aca="false">Sens!$N$2008*m_ad</f>
        <v>10.8543555706248</v>
      </c>
      <c r="O2102" s="38" t="n">
        <f aca="false">Sens!$O$2008*m_ad</f>
        <v>14.0094731821399</v>
      </c>
    </row>
    <row r="2103" customFormat="false" ht="17.15" hidden="false" customHeight="false" outlineLevel="0" collapsed="false">
      <c r="A2103" s="0" t="s">
        <v>715</v>
      </c>
      <c r="B2103" s="0" t="s">
        <v>86</v>
      </c>
      <c r="C2103" s="38" t="n">
        <f aca="false">Sens!$C$2006-Sens!$C$2008</f>
        <v>346.428687117154</v>
      </c>
      <c r="D2103" s="38" t="n">
        <f aca="false">Sens!$D$2006-Sens!$D$2008</f>
        <v>376.560876540083</v>
      </c>
      <c r="E2103" s="38" t="n">
        <f aca="false">Sens!$E$2006-Sens!$E$2008</f>
        <v>193.316577507559</v>
      </c>
      <c r="F2103" s="38" t="n">
        <f aca="false">Sens!$F$2006-Sens!$F$2008</f>
        <v>217.495828647535</v>
      </c>
      <c r="G2103" s="38" t="n">
        <f aca="false">Sens!$G$2006-Sens!$G$2008</f>
        <v>410.795589636503</v>
      </c>
      <c r="H2103" s="38" t="n">
        <f aca="false">Sens!$H$2006-Sens!$H$2008</f>
        <v>449.156813761174</v>
      </c>
      <c r="I2103" s="38" t="n">
        <f aca="false">Sens!$I$2006-Sens!$I$2008</f>
        <v>485.848786441156</v>
      </c>
      <c r="J2103" s="38" t="n">
        <f aca="false">Sens!$J$2006-Sens!$J$2008</f>
        <v>519.841531018994</v>
      </c>
      <c r="K2103" s="38" t="n">
        <f aca="false">Sens!$K$2006-Sens!$K$2008</f>
        <v>550.103332311311</v>
      </c>
      <c r="L2103" s="38" t="n">
        <f aca="false">Sens!$L$2006-Sens!$L$2008</f>
        <v>582.192354474511</v>
      </c>
      <c r="M2103" s="38" t="n">
        <f aca="false">Sens!$M$2006-Sens!$M$2008</f>
        <v>616.22240521081</v>
      </c>
      <c r="N2103" s="38" t="n">
        <f aca="false">Sens!$N$2006-Sens!$N$2008</f>
        <v>171.24628885875</v>
      </c>
      <c r="O2103" s="38" t="n">
        <f aca="false">Sens!$O$2006-Sens!$O$2008</f>
        <v>205.33105363572</v>
      </c>
    </row>
    <row r="2104" customFormat="false" ht="17.15" hidden="false" customHeight="false" outlineLevel="0" collapsed="false">
      <c r="A2104" s="0" t="s">
        <v>716</v>
      </c>
      <c r="B2104" s="0" t="s">
        <v>86</v>
      </c>
      <c r="C2104" s="38" t="n">
        <f aca="false">Sens!$C$2055*Sens!$C$2005</f>
        <v>0.119793158257048</v>
      </c>
      <c r="D2104" s="38" t="n">
        <f aca="false">Sens!$D$2055*Sens!$D$2005</f>
        <v>0.806820984687366</v>
      </c>
      <c r="E2104" s="38" t="n">
        <f aca="false">Sens!$E$2055*Sens!$E$2005</f>
        <v>1.17101201882556</v>
      </c>
      <c r="F2104" s="38" t="n">
        <f aca="false">Sens!$F$2055*Sens!$F$2005</f>
        <v>1.3976430246626</v>
      </c>
      <c r="G2104" s="38" t="n">
        <f aca="false">Sens!$G$2055*Sens!$G$2005</f>
        <v>2.56910923695347</v>
      </c>
      <c r="H2104" s="38" t="n">
        <f aca="false">Sens!$H$2055*Sens!$H$2005</f>
        <v>6.72759000960487</v>
      </c>
      <c r="I2104" s="38" t="n">
        <f aca="false">Sens!$I$2055*Sens!$I$2005</f>
        <v>11.7119653835597</v>
      </c>
      <c r="J2104" s="38" t="n">
        <f aca="false">Sens!$J$2055*Sens!$J$2005</f>
        <v>16.8246176810945</v>
      </c>
      <c r="K2104" s="38" t="n">
        <f aca="false">Sens!$K$2055*Sens!$K$2005</f>
        <v>21.7169680452905</v>
      </c>
      <c r="L2104" s="38" t="n">
        <f aca="false">Sens!$L$2055*Sens!$L$2005</f>
        <v>25.198883781623</v>
      </c>
      <c r="M2104" s="38" t="n">
        <f aca="false">Sens!$M$2055*Sens!$M$2005</f>
        <v>26.9337259890804</v>
      </c>
      <c r="N2104" s="38" t="n">
        <f aca="false">Sens!$N$2055*Sens!$N$2005</f>
        <v>0.355022287016685</v>
      </c>
      <c r="O2104" s="38" t="n">
        <f aca="false">Sens!$O$2055*Sens!$O$2005</f>
        <v>0.451591230619085</v>
      </c>
    </row>
    <row r="2105" customFormat="false" ht="17.15" hidden="false" customHeight="false" outlineLevel="0" collapsed="false">
      <c r="A2105" s="0" t="s">
        <v>717</v>
      </c>
      <c r="B2105" s="0" t="s">
        <v>52</v>
      </c>
      <c r="C2105" s="28" t="n">
        <f aca="false">(Sens!$C$2106-Sens!$C$2102+Sens!$C$2104)/Sens!$C$2103</f>
        <v>0.0131416273713343</v>
      </c>
      <c r="D2105" s="28" t="n">
        <f aca="false">(Sens!$D$2106-Sens!$D$2102+Sens!$D$2104)/Sens!$D$2103</f>
        <v>0.014748635879961</v>
      </c>
      <c r="E2105" s="28" t="n">
        <f aca="false">(Sens!$E$2106-Sens!$E$2102+Sens!$E$2104)/Sens!$E$2103</f>
        <v>0.0261710652952514</v>
      </c>
      <c r="F2105" s="28" t="n">
        <f aca="false">Sens!$O$2105+(Sens!$E$2105-Sens!$N$2105)</f>
        <v>0.0226424413172865</v>
      </c>
      <c r="G2105" s="28" t="n">
        <f aca="false">(Sens!$G$2106-Sens!$G$2102+Sens!$G$2104)/Sens!$G$2103</f>
        <v>0.0242845432019092</v>
      </c>
      <c r="H2105" s="28" t="n">
        <f aca="false">Sens!$G$2105+step_na</f>
        <v>0.0272845432019092</v>
      </c>
      <c r="I2105" s="28" t="n">
        <f aca="false">Sens!$H$2105+step_na</f>
        <v>0.0302845432019092</v>
      </c>
      <c r="J2105" s="28" t="n">
        <f aca="false">Sens!$I$2105+step_na</f>
        <v>0.0332845432019092</v>
      </c>
      <c r="K2105" s="28" t="n">
        <f aca="false">Sens!$J$2105+step_na</f>
        <v>0.0362845432019092</v>
      </c>
      <c r="L2105" s="28" t="n">
        <f aca="false">Sens!$K$2105</f>
        <v>0.0362845432019092</v>
      </c>
      <c r="M2105" s="28" t="n">
        <f aca="false">Sens!$L$2105</f>
        <v>0.0362845432019092</v>
      </c>
      <c r="N2105" s="28" t="n">
        <f aca="false">(Sens!$N$2106-Sens!$N$2102+Sens!$N$2104)/Sens!$N$2103</f>
        <v>0.0166933060882259</v>
      </c>
      <c r="O2105" s="28" t="n">
        <f aca="false">(Sens!$O$2106-Sens!$O$2102+Sens!$O$2104)/Sens!$O$2103</f>
        <v>0.0131646821102609</v>
      </c>
      <c r="P2105" s="8" t="s">
        <v>718</v>
      </c>
    </row>
    <row r="2106" customFormat="false" ht="17.15" hidden="false" customHeight="false" outlineLevel="0" collapsed="false">
      <c r="A2106" s="1" t="s">
        <v>719</v>
      </c>
      <c r="B2106" s="8" t="s">
        <v>86</v>
      </c>
      <c r="C2106" s="38" t="n">
        <f aca="false">Q!$D$22</f>
        <v>24.967</v>
      </c>
      <c r="D2106" s="38" t="n">
        <f aca="false">Q!$E$22</f>
        <v>29.619</v>
      </c>
      <c r="E2106" s="38" t="n">
        <f aca="false">Q!$P$22</f>
        <v>17.39</v>
      </c>
      <c r="F2106" s="38" t="n">
        <f aca="false">Sens!$F$2102+Sens!$F$2103*Sens!$F$2105-Sens!$F$2104</f>
        <v>20.0989659287695</v>
      </c>
      <c r="G2106" s="38" t="n">
        <f aca="false">Sens!$E$2106+Sens!$F$2106</f>
        <v>37.4889659287695</v>
      </c>
      <c r="H2106" s="38" t="n">
        <f aca="false">Sens!$H$2102+Sens!$H$2103*Sens!$H$2105-Sens!$H$2104</f>
        <v>41.6425368075252</v>
      </c>
      <c r="I2106" s="38" t="n">
        <f aca="false">Sens!$I$2102+Sens!$I$2103*Sens!$I$2105-Sens!$I$2104</f>
        <v>45.1492814022122</v>
      </c>
      <c r="J2106" s="38" t="n">
        <f aca="false">Sens!$J$2102+Sens!$J$2103*Sens!$J$2105-Sens!$J$2104</f>
        <v>48.2530226027231</v>
      </c>
      <c r="K2106" s="38" t="n">
        <f aca="false">Sens!$K$2102+Sens!$K$2103*Sens!$K$2105-Sens!$K$2104</f>
        <v>50.7957277065897</v>
      </c>
      <c r="L2106" s="38" t="n">
        <f aca="false">Sens!$L$2102+Sens!$L$2103*Sens!$L$2105-Sens!$L$2104</f>
        <v>53.7333922437565</v>
      </c>
      <c r="M2106" s="38" t="n">
        <f aca="false">Sens!$M$2102+Sens!$M$2103*Sens!$M$2105-Sens!$M$2104</f>
        <v>59.0140841211663</v>
      </c>
      <c r="N2106" s="38" t="n">
        <f aca="false">Q!$N$22</f>
        <v>13.358</v>
      </c>
      <c r="O2106" s="38" t="n">
        <f aca="false">Q!$O$22</f>
        <v>16.261</v>
      </c>
    </row>
    <row r="2107" customFormat="false" ht="17.15" hidden="false" customHeight="false" outlineLevel="0" collapsed="false">
      <c r="A2107" s="0" t="s">
        <v>720</v>
      </c>
      <c r="B2107" s="0" t="s">
        <v>86</v>
      </c>
      <c r="C2107" s="38" t="n">
        <f aca="false">Sens!$C$2009*m_ad</f>
        <v>7.57284355857716</v>
      </c>
      <c r="D2107" s="38" t="n">
        <f aca="false">Sens!$D$2009*m_ad</f>
        <v>9.44543827004127</v>
      </c>
      <c r="E2107" s="38" t="n">
        <f aca="false">Sens!$E$2009*m_ad</f>
        <v>5.02428875377928</v>
      </c>
      <c r="F2107" s="38" t="n">
        <f aca="false">Sens!$F$2009*m_ad</f>
        <v>6.50663858068173</v>
      </c>
      <c r="G2107" s="38" t="n">
        <f aca="false">Sens!$G$2009*m_ad</f>
        <v>11.5225190751659</v>
      </c>
      <c r="H2107" s="38" t="n">
        <f aca="false">Sens!$H$2009*m_ad</f>
        <v>13.8333728663174</v>
      </c>
      <c r="I2107" s="38" t="n">
        <f aca="false">Sens!$I$2009*m_ad</f>
        <v>16.1440173245485</v>
      </c>
      <c r="J2107" s="38" t="n">
        <f aca="false">Sens!$J$2009*m_ad</f>
        <v>18.2995185845066</v>
      </c>
      <c r="K2107" s="38" t="n">
        <f aca="false">Sens!$K$2009*m_ad</f>
        <v>20.1294704429572</v>
      </c>
      <c r="L2107" s="38" t="n">
        <f aca="false">Sens!$L$2009*m_ad</f>
        <v>22.142417487253</v>
      </c>
      <c r="M2107" s="38" t="n">
        <f aca="false">Sens!$M$2009*m_ad</f>
        <v>24.3566592359783</v>
      </c>
      <c r="N2107" s="38" t="n">
        <f aca="false">Sens!$N$2009*m_ad</f>
        <v>3.95314442937518</v>
      </c>
      <c r="O2107" s="38" t="n">
        <f aca="false">Sens!$O$2009*m_ad</f>
        <v>5.50052681786011</v>
      </c>
    </row>
    <row r="2108" customFormat="false" ht="17.15" hidden="false" customHeight="false" outlineLevel="0" collapsed="false">
      <c r="A2108" s="0" t="s">
        <v>721</v>
      </c>
      <c r="B2108" s="0" t="s">
        <v>86</v>
      </c>
      <c r="C2108" s="38" t="n">
        <f aca="false">Sens!$C$2007-Sens!$C$2009</f>
        <v>127.760312882846</v>
      </c>
      <c r="D2108" s="38" t="n">
        <f aca="false">Sens!$D$2007-Sens!$D$2009</f>
        <v>143.003123459917</v>
      </c>
      <c r="E2108" s="38" t="n">
        <f aca="false">Sens!$E$2007-Sens!$E$2009</f>
        <v>71.9374224924414</v>
      </c>
      <c r="F2108" s="38" t="n">
        <f aca="false">Sens!$F$2007-Sens!$F$2009</f>
        <v>85.3951910035875</v>
      </c>
      <c r="G2108" s="38" t="n">
        <f aca="false">Sens!$G$2007-Sens!$G$2009</f>
        <v>157.349430014619</v>
      </c>
      <c r="H2108" s="38" t="n">
        <f aca="false">Sens!$H$2007-Sens!$H$2009</f>
        <v>172.043153372315</v>
      </c>
      <c r="I2108" s="38" t="n">
        <f aca="false">Sens!$I$2007-Sens!$I$2009</f>
        <v>186.097493615879</v>
      </c>
      <c r="J2108" s="38" t="n">
        <f aca="false">Sens!$J$2007-Sens!$J$2009</f>
        <v>199.117932780497</v>
      </c>
      <c r="K2108" s="38" t="n">
        <f aca="false">Sens!$K$2007-Sens!$K$2009</f>
        <v>210.70928698363</v>
      </c>
      <c r="L2108" s="38" t="n">
        <f aca="false">Sens!$L$2007-Sens!$L$2009</f>
        <v>223.000532251316</v>
      </c>
      <c r="M2108" s="38" t="n">
        <f aca="false">Sens!$M$2007-Sens!$M$2009</f>
        <v>236.035261011339</v>
      </c>
      <c r="N2108" s="38" t="n">
        <f aca="false">Sens!$N$2007-Sens!$N$2009</f>
        <v>62.3677111412496</v>
      </c>
      <c r="O2108" s="38" t="n">
        <f aca="false">Sens!$O$2007-Sens!$O$2009</f>
        <v>80.6189463642798</v>
      </c>
    </row>
    <row r="2109" customFormat="false" ht="17.15" hidden="false" customHeight="false" outlineLevel="0" collapsed="false">
      <c r="A2109" s="0" t="s">
        <v>722</v>
      </c>
      <c r="B2109" s="0" t="s">
        <v>86</v>
      </c>
      <c r="C2109" s="38" t="n">
        <f aca="false">Sens!$C$2055*(1-Sens!$C$2005)</f>
        <v>0.0441788222202539</v>
      </c>
      <c r="D2109" s="38" t="n">
        <f aca="false">Sens!$D$2055*(1-Sens!$D$2005)</f>
        <v>0.306399119163454</v>
      </c>
      <c r="E2109" s="38" t="n">
        <f aca="false">Sens!$E$2055*(1-Sens!$E$2005)</f>
        <v>0.435759764775929</v>
      </c>
      <c r="F2109" s="38" t="n">
        <f aca="false">Sens!$F$2055*(1-Sens!$F$2005)</f>
        <v>0.548755319989663</v>
      </c>
      <c r="G2109" s="38" t="n">
        <f aca="false">Sens!$G$2055*(1-Sens!$G$2005)</f>
        <v>0.984060891300284</v>
      </c>
      <c r="H2109" s="38" t="n">
        <f aca="false">Sens!$H$2055*(1-Sens!$H$2005)</f>
        <v>2.57690802941695</v>
      </c>
      <c r="I2109" s="38" t="n">
        <f aca="false">Sens!$I$2055*(1-Sens!$I$2005)</f>
        <v>4.48610239239609</v>
      </c>
      <c r="J2109" s="38" t="n">
        <f aca="false">Sens!$J$2055*(1-Sens!$J$2005)</f>
        <v>6.44443141338651</v>
      </c>
      <c r="K2109" s="38" t="n">
        <f aca="false">Sens!$K$2055*(1-Sens!$K$2005)</f>
        <v>8.31837690028725</v>
      </c>
      <c r="L2109" s="38" t="n">
        <f aca="false">Sens!$L$2055*(1-Sens!$L$2005)</f>
        <v>9.6520753875462</v>
      </c>
      <c r="M2109" s="38" t="n">
        <f aca="false">Sens!$M$2055*(1-Sens!$M$2005)</f>
        <v>10.3165821139944</v>
      </c>
      <c r="N2109" s="38" t="n">
        <f aca="false">Sens!$N$2055*(1-Sens!$N$2005)</f>
        <v>0.129298728707784</v>
      </c>
      <c r="O2109" s="38" t="n">
        <f aca="false">Sens!$O$2055*(1-Sens!$O$2005)</f>
        <v>0.177307857507266</v>
      </c>
    </row>
    <row r="2110" customFormat="false" ht="17.15" hidden="false" customHeight="false" outlineLevel="0" collapsed="false">
      <c r="A2110" s="0" t="s">
        <v>723</v>
      </c>
      <c r="B2110" s="0" t="s">
        <v>52</v>
      </c>
      <c r="C2110" s="28" t="n">
        <f aca="false">(Sens!$C$2111-Sens!$C$2107+Sens!$C$2109)/Sens!$C$2108</f>
        <v>-0.0292474607492811</v>
      </c>
      <c r="D2110" s="28" t="n">
        <f aca="false">(Sens!$D$2111-Sens!$D$2107+Sens!$D$2109)/Sens!$D$2108</f>
        <v>-0.0306919110903757</v>
      </c>
      <c r="E2110" s="28" t="n">
        <f aca="false">(Sens!$E$2111-Sens!$E$2107+Sens!$E$2109)/Sens!$E$2108</f>
        <v>-0.0201220580172364</v>
      </c>
      <c r="F2110" s="28" t="n">
        <f aca="false">Sens!$O$2110+(Sens!$E$2110-Sens!$N$2110)</f>
        <v>-0.0373287227786323</v>
      </c>
      <c r="G2110" s="28" t="n">
        <f aca="false">(Sens!$G$2111-Sens!$G$2107+Sens!$G$2109)/Sens!$G$2108</f>
        <v>-0.0294075951488663</v>
      </c>
      <c r="H2110" s="28" t="n">
        <f aca="false">Sens!$G$2110+step_in</f>
        <v>-0.0294075951488663</v>
      </c>
      <c r="I2110" s="28" t="n">
        <f aca="false">Sens!$H$2110+step_in</f>
        <v>-0.0294075951488663</v>
      </c>
      <c r="J2110" s="28" t="n">
        <f aca="false">Sens!$I$2110+step_in</f>
        <v>-0.0294075951488663</v>
      </c>
      <c r="K2110" s="28" t="n">
        <f aca="false">Sens!$J$2110+step_in</f>
        <v>-0.0294075951488663</v>
      </c>
      <c r="L2110" s="28" t="n">
        <f aca="false">Sens!$K$2110</f>
        <v>-0.0294075951488663</v>
      </c>
      <c r="M2110" s="28" t="n">
        <f aca="false">Sens!$L$2110</f>
        <v>-0.0294075951488663</v>
      </c>
      <c r="N2110" s="28" t="n">
        <f aca="false">(Sens!$N$2111-Sens!$N$2107+Sens!$N$2109)/Sens!$N$2108</f>
        <v>-0.0210500862809296</v>
      </c>
      <c r="O2110" s="28" t="n">
        <f aca="false">(Sens!$O$2111-Sens!$O$2107+Sens!$O$2109)/Sens!$O$2108</f>
        <v>-0.0382567510423255</v>
      </c>
      <c r="P2110" s="8" t="s">
        <v>718</v>
      </c>
    </row>
    <row r="2111" customFormat="false" ht="17.15" hidden="false" customHeight="false" outlineLevel="0" collapsed="false">
      <c r="A2111" s="1" t="s">
        <v>724</v>
      </c>
      <c r="B2111" s="8" t="s">
        <v>86</v>
      </c>
      <c r="C2111" s="38" t="n">
        <f aca="false">Q!$D$23</f>
        <v>3.792</v>
      </c>
      <c r="D2111" s="38" t="n">
        <f aca="false">Q!$E$23</f>
        <v>4.75</v>
      </c>
      <c r="E2111" s="38" t="n">
        <f aca="false">Q!$P$23</f>
        <v>3.141</v>
      </c>
      <c r="F2111" s="38" t="n">
        <f aca="false">Sens!$F$2107+Sens!$F$2108*Sens!$F$2110-Sens!$F$2109</f>
        <v>2.77018984909079</v>
      </c>
      <c r="G2111" s="38" t="n">
        <f aca="false">Sens!$E$2111+Sens!$F$2111</f>
        <v>5.91118984909079</v>
      </c>
      <c r="H2111" s="38" t="n">
        <f aca="false">Sens!$H$2107+Sens!$H$2108*Sens!$H$2110-Sens!$H$2109</f>
        <v>6.19708943439307</v>
      </c>
      <c r="I2111" s="38" t="n">
        <f aca="false">Sens!$I$2107+Sens!$I$2108*Sens!$I$2110-Sens!$I$2109</f>
        <v>6.18523518167794</v>
      </c>
      <c r="J2111" s="38" t="n">
        <f aca="false">Sens!$J$2107+Sens!$J$2108*Sens!$J$2110-Sens!$J$2109</f>
        <v>5.99950761703204</v>
      </c>
      <c r="K2111" s="38" t="n">
        <f aca="false">Sens!$K$2107+Sens!$K$2108*Sens!$K$2110-Sens!$K$2109</f>
        <v>5.61464013694911</v>
      </c>
      <c r="L2111" s="38" t="n">
        <f aca="false">Sens!$L$2107+Sens!$L$2108*Sens!$L$2110-Sens!$L$2109</f>
        <v>5.93243272927834</v>
      </c>
      <c r="M2111" s="38" t="n">
        <f aca="false">Sens!$M$2107+Sens!$M$2108*Sens!$M$2110-Sens!$M$2109</f>
        <v>7.09884772530539</v>
      </c>
      <c r="N2111" s="38" t="n">
        <f aca="false">Q!$N$23</f>
        <v>2.511</v>
      </c>
      <c r="O2111" s="38" t="n">
        <f aca="false">Q!$O$23</f>
        <v>2.239</v>
      </c>
    </row>
    <row r="2112" customFormat="false" ht="17.15" hidden="false" customHeight="false" outlineLevel="0" collapsed="false">
      <c r="A2112" s="0" t="s">
        <v>725</v>
      </c>
      <c r="B2112" s="0" t="s">
        <v>86</v>
      </c>
      <c r="C2112" s="38" t="n">
        <f aca="false">Sens!$C$2052</f>
        <v>1.66511743506443</v>
      </c>
      <c r="D2112" s="38" t="n">
        <f aca="false">Sens!$D$2052</f>
        <v>4.25088967324788</v>
      </c>
      <c r="E2112" s="38" t="n">
        <f aca="false">Sens!$E$2052</f>
        <v>2.08326584116405</v>
      </c>
      <c r="F2112" s="38" t="n">
        <f aca="false">Sens!$F$2052</f>
        <v>7.17784026611138</v>
      </c>
      <c r="G2112" s="38" t="n">
        <f aca="false">Sens!$G$2052</f>
        <v>9.26110610727544</v>
      </c>
      <c r="H2112" s="38" t="n">
        <f aca="false">Sens!$H$2052</f>
        <v>22.9478985936873</v>
      </c>
      <c r="I2112" s="38" t="n">
        <f aca="false">Sens!$I$2052</f>
        <v>36.7114280326087</v>
      </c>
      <c r="J2112" s="38" t="n">
        <f aca="false">Sens!$J$2052</f>
        <v>49.949210773354</v>
      </c>
      <c r="K2112" s="38" t="n">
        <f aca="false">Sens!$K$2052</f>
        <v>58.3067406008686</v>
      </c>
      <c r="L2112" s="38" t="n">
        <f aca="false">Sens!$L$2052</f>
        <v>62.3242651257195</v>
      </c>
      <c r="M2112" s="38" t="n">
        <f aca="false">Sens!$M$2052</f>
        <v>63.8342089565658</v>
      </c>
      <c r="N2112" s="38" t="n">
        <f aca="false">Sens!$N$2052</f>
        <v>1.10903546813003</v>
      </c>
      <c r="O2112" s="38" t="n">
        <f aca="false">Sens!$O$2052</f>
        <v>3.14185420511785</v>
      </c>
    </row>
    <row r="2113" customFormat="false" ht="17.15" hidden="false" customHeight="false" outlineLevel="0" collapsed="false">
      <c r="A2113" s="0" t="s">
        <v>643</v>
      </c>
      <c r="B2113" s="0" t="s">
        <v>86</v>
      </c>
      <c r="C2113" s="38" t="n">
        <f aca="false">Sens!$C$2057</f>
        <v>38.1688825649356</v>
      </c>
      <c r="D2113" s="38" t="n">
        <f aca="false">Sens!$D$2057</f>
        <v>41.3551103267521</v>
      </c>
      <c r="E2113" s="38" t="n">
        <f aca="false">Sens!$E$2057</f>
        <v>28.6987341588359</v>
      </c>
      <c r="F2113" s="38" t="n">
        <f aca="false">Sens!$F$2057</f>
        <v>26.4415557681891</v>
      </c>
      <c r="G2113" s="38" t="n">
        <f aca="false">Sens!$G$2057</f>
        <v>55.140289927025</v>
      </c>
      <c r="H2113" s="38" t="n">
        <f aca="false">Sens!$H$2057</f>
        <v>59.3226077922787</v>
      </c>
      <c r="I2113" s="38" t="n">
        <f aca="false">Sens!$I$2057</f>
        <v>65.8631278221181</v>
      </c>
      <c r="J2113" s="38" t="n">
        <f aca="false">Sens!$J$2057</f>
        <v>72.128470280869</v>
      </c>
      <c r="K2113" s="38" t="n">
        <f aca="false">Sens!$K$2057</f>
        <v>77.8987479033385</v>
      </c>
      <c r="L2113" s="38" t="n">
        <f aca="false">Sens!$L$2057</f>
        <v>84.1306477356056</v>
      </c>
      <c r="M2113" s="38" t="n">
        <f aca="false">Sens!$M$2057</f>
        <v>90.861099554454</v>
      </c>
      <c r="N2113" s="38" t="n">
        <f aca="false">Sens!$N$2057</f>
        <v>20.59796453187</v>
      </c>
      <c r="O2113" s="38" t="n">
        <f aca="false">Sens!$O$2057</f>
        <v>20.7571457948822</v>
      </c>
    </row>
    <row r="2114" customFormat="false" ht="17.15" hidden="false" customHeight="false" outlineLevel="0" collapsed="false">
      <c r="A2114" s="1" t="s">
        <v>726</v>
      </c>
      <c r="B2114" s="8" t="s">
        <v>86</v>
      </c>
      <c r="C2114" s="38" t="n">
        <f aca="false">Q!$D$24</f>
        <v>39.834</v>
      </c>
      <c r="D2114" s="38" t="n">
        <f aca="false">Q!$E$24</f>
        <v>45.606</v>
      </c>
      <c r="E2114" s="38" t="n">
        <f aca="false">Q!$P$24</f>
        <v>30.782</v>
      </c>
      <c r="F2114" s="38" t="n">
        <f aca="false">Sens!$F$2112+Sens!$F$2113</f>
        <v>33.6193960343005</v>
      </c>
      <c r="G2114" s="38" t="n">
        <f aca="false">Sens!$G$2112+Sens!$G$2113</f>
        <v>64.4013960343005</v>
      </c>
      <c r="H2114" s="38" t="n">
        <f aca="false">Sens!$H$2112+Sens!$H$2113</f>
        <v>82.270506385966</v>
      </c>
      <c r="I2114" s="38" t="n">
        <f aca="false">Sens!$I$2112+Sens!$I$2113</f>
        <v>102.574555854727</v>
      </c>
      <c r="J2114" s="38" t="n">
        <f aca="false">Sens!$J$2112+Sens!$J$2113</f>
        <v>122.077681054223</v>
      </c>
      <c r="K2114" s="38" t="n">
        <f aca="false">Sens!$K$2112+Sens!$K$2113</f>
        <v>136.205488504207</v>
      </c>
      <c r="L2114" s="38" t="n">
        <f aca="false">Sens!$L$2112+Sens!$L$2113</f>
        <v>146.454912861325</v>
      </c>
      <c r="M2114" s="38" t="n">
        <f aca="false">Sens!$M$2112+Sens!$M$2113</f>
        <v>154.69530851102</v>
      </c>
      <c r="N2114" s="38" t="n">
        <f aca="false">Q!$N$24</f>
        <v>21.707</v>
      </c>
      <c r="O2114" s="38" t="n">
        <f aca="false">Q!$O$24</f>
        <v>23.899</v>
      </c>
    </row>
    <row r="2115" customFormat="false" ht="17.15" hidden="false" customHeight="false" outlineLevel="0" collapsed="false">
      <c r="A2115" s="5" t="s">
        <v>727</v>
      </c>
      <c r="B2115" s="0" t="s">
        <v>86</v>
      </c>
      <c r="C2115" s="38" t="n">
        <f aca="false">Q!$D$26</f>
        <v>0</v>
      </c>
      <c r="D2115" s="38" t="n">
        <f aca="false">Q!$E$26</f>
        <v>0</v>
      </c>
      <c r="E2115" s="38" t="n">
        <f aca="false">Q!$P$26</f>
        <v>0</v>
      </c>
      <c r="F2115" s="39" t="n">
        <v>0</v>
      </c>
      <c r="G2115" s="38" t="n">
        <f aca="false">Sens!$E$2115+Sens!$F$2115</f>
        <v>0</v>
      </c>
      <c r="H2115" s="39" t="n">
        <v>0</v>
      </c>
      <c r="I2115" s="39" t="n">
        <v>0</v>
      </c>
      <c r="J2115" s="39" t="n">
        <v>0</v>
      </c>
      <c r="K2115" s="39" t="n">
        <v>0</v>
      </c>
      <c r="L2115" s="39" t="n">
        <v>0</v>
      </c>
      <c r="M2115" s="39" t="n">
        <v>0</v>
      </c>
      <c r="N2115" s="38" t="n">
        <f aca="false">Q!$N$26</f>
        <v>0</v>
      </c>
      <c r="O2115" s="38" t="n">
        <f aca="false">Q!$O$26</f>
        <v>0</v>
      </c>
    </row>
    <row r="2116" customFormat="false" ht="15" hidden="false" customHeight="false" outlineLevel="0" collapsed="false">
      <c r="A2116" s="3" t="s">
        <v>531</v>
      </c>
      <c r="B2116" s="8" t="s">
        <v>86</v>
      </c>
      <c r="C2116" s="38" t="n">
        <f aca="false">Q!$D$25</f>
        <v>68.593</v>
      </c>
      <c r="D2116" s="38" t="n">
        <f aca="false">Q!$E$25</f>
        <v>79.975</v>
      </c>
      <c r="E2116" s="38" t="n">
        <f aca="false">Q!$P$25</f>
        <v>51.313</v>
      </c>
      <c r="F2116" s="38" t="n">
        <f aca="false">Sens!$F$2106+Sens!$F$2111+Sens!$F$2114+Sens!$F$2115</f>
        <v>56.4885518121607</v>
      </c>
      <c r="G2116" s="38" t="n">
        <f aca="false">Sens!$G$2106+Sens!$G$2111+Sens!$G$2114+Sens!$G$2115</f>
        <v>107.801551812161</v>
      </c>
      <c r="H2116" s="38" t="n">
        <f aca="false">Sens!$H$2106+Sens!$H$2111+Sens!$H$2114+Sens!$H$2115</f>
        <v>130.110132627884</v>
      </c>
      <c r="I2116" s="38" t="n">
        <f aca="false">Sens!$I$2106+Sens!$I$2111+Sens!$I$2114+Sens!$I$2115</f>
        <v>153.909072438617</v>
      </c>
      <c r="J2116" s="38" t="n">
        <f aca="false">Sens!$J$2106+Sens!$J$2111+Sens!$J$2114+Sens!$J$2115</f>
        <v>176.330211273978</v>
      </c>
      <c r="K2116" s="38" t="n">
        <f aca="false">Sens!$K$2106+Sens!$K$2111+Sens!$K$2114+Sens!$K$2115</f>
        <v>192.615856347746</v>
      </c>
      <c r="L2116" s="38" t="n">
        <f aca="false">Sens!$L$2106+Sens!$L$2111+Sens!$L$2114+Sens!$L$2115</f>
        <v>206.12073783436</v>
      </c>
      <c r="M2116" s="38" t="n">
        <f aca="false">Sens!$M$2106+Sens!$M$2111+Sens!$M$2114+Sens!$M$2115</f>
        <v>220.808240357492</v>
      </c>
      <c r="N2116" s="38" t="n">
        <f aca="false">Q!$N$25</f>
        <v>37.576</v>
      </c>
      <c r="O2116" s="38" t="n">
        <f aca="false">Q!$O$25</f>
        <v>42.399</v>
      </c>
    </row>
    <row r="2117" customFormat="false" ht="17.15" hidden="false" customHeight="false" outlineLevel="0" collapsed="false">
      <c r="A2117" s="24" t="s">
        <v>758</v>
      </c>
      <c r="B2117" s="25" t="s">
        <v>86</v>
      </c>
      <c r="C2117" s="41" t="n">
        <f aca="false">Sens!$C$2106+Sens!$C$2111+Sens!$C$2114+Sens!$C$2115-Sens!$C$2116</f>
        <v>0</v>
      </c>
      <c r="D2117" s="41" t="n">
        <f aca="false">Sens!$D$2106+Sens!$D$2111+Sens!$D$2114+Sens!$D$2115-Sens!$D$2116</f>
        <v>0</v>
      </c>
      <c r="E2117" s="41" t="n">
        <f aca="false">Sens!$E$2106+Sens!$E$2111+Sens!$E$2114+Sens!$E$2115-Sens!$E$2116</f>
        <v>0</v>
      </c>
      <c r="F2117" s="41" t="n">
        <f aca="false">Sens!$F$2106+Sens!$F$2111+Sens!$F$2114+Sens!$F$2115-Sens!$F$2116</f>
        <v>0</v>
      </c>
      <c r="G2117" s="41" t="n">
        <f aca="false">Sens!$G$2106+Sens!$G$2111+Sens!$G$2114+Sens!$G$2115-Sens!$G$2116</f>
        <v>0</v>
      </c>
      <c r="H2117" s="41" t="n">
        <f aca="false">Sens!$H$2106+Sens!$H$2111+Sens!$H$2114+Sens!$H$2115-Sens!$H$2116</f>
        <v>0</v>
      </c>
      <c r="I2117" s="41" t="n">
        <f aca="false">Sens!$I$2106+Sens!$I$2111+Sens!$I$2114+Sens!$I$2115-Sens!$I$2116</f>
        <v>0</v>
      </c>
      <c r="J2117" s="41" t="n">
        <f aca="false">Sens!$J$2106+Sens!$J$2111+Sens!$J$2114+Sens!$J$2115-Sens!$J$2116</f>
        <v>0</v>
      </c>
      <c r="K2117" s="41" t="n">
        <f aca="false">Sens!$K$2106+Sens!$K$2111+Sens!$K$2114+Sens!$K$2115-Sens!$K$2116</f>
        <v>0</v>
      </c>
      <c r="L2117" s="41" t="n">
        <f aca="false">Sens!$L$2106+Sens!$L$2111+Sens!$L$2114+Sens!$L$2115-Sens!$L$2116</f>
        <v>0</v>
      </c>
      <c r="M2117" s="41" t="n">
        <f aca="false">Sens!$M$2106+Sens!$M$2111+Sens!$M$2114+Sens!$M$2115-Sens!$M$2116</f>
        <v>0</v>
      </c>
      <c r="N2117" s="41" t="n">
        <f aca="false">Sens!$N$2106+Sens!$N$2111+Sens!$N$2114+Sens!$N$2115-Sens!$N$2116</f>
        <v>0</v>
      </c>
      <c r="O2117" s="41" t="n">
        <f aca="false">Sens!$O$2106+Sens!$O$2111+Sens!$O$2114+Sens!$O$2115-Sens!$O$2116</f>
        <v>0</v>
      </c>
    </row>
    <row r="2118" customFormat="false" ht="17.15" hidden="false" customHeight="false" outlineLevel="0" collapsed="false">
      <c r="A2118" s="5" t="s">
        <v>729</v>
      </c>
      <c r="B2118" s="0" t="s">
        <v>86</v>
      </c>
      <c r="C2118" s="38" t="n">
        <f aca="false">Sens!$C$2054</f>
        <v>0</v>
      </c>
      <c r="D2118" s="38" t="n">
        <f aca="false">Sens!$D$2054</f>
        <v>0</v>
      </c>
      <c r="E2118" s="38" t="n">
        <f aca="false">Sens!$E$2054</f>
        <v>0</v>
      </c>
      <c r="F2118" s="38" t="n">
        <f aca="false">Sens!$F$2054</f>
        <v>3.77122048175818</v>
      </c>
      <c r="G2118" s="38" t="n">
        <f aca="false">Sens!$G$2054</f>
        <v>3.77122048175818</v>
      </c>
      <c r="H2118" s="38" t="n">
        <f aca="false">Sens!$H$2054</f>
        <v>15.1635543609893</v>
      </c>
      <c r="I2118" s="38" t="n">
        <f aca="false">Sens!$I$2054</f>
        <v>25.5818843619889</v>
      </c>
      <c r="J2118" s="38" t="n">
        <f aca="false">Sens!$J$2054</f>
        <v>36.0465624179122</v>
      </c>
      <c r="K2118" s="38" t="n">
        <f aca="false">Sens!$K$2054</f>
        <v>44.9741164026038</v>
      </c>
      <c r="L2118" s="38" t="n">
        <f aca="false">Sens!$L$2054</f>
        <v>50.8413488057813</v>
      </c>
      <c r="M2118" s="38" t="n">
        <f aca="false">Sens!$M$2054</f>
        <v>53.6407214274315</v>
      </c>
      <c r="N2118" s="38" t="n">
        <f aca="false">Sens!$N$2054</f>
        <v>0</v>
      </c>
      <c r="O2118" s="38" t="n">
        <f aca="false">Sens!$O$2054</f>
        <v>0</v>
      </c>
      <c r="P2118" s="5" t="s">
        <v>730</v>
      </c>
    </row>
    <row r="2119" customFormat="false" ht="17.15" hidden="false" customHeight="false" outlineLevel="0" collapsed="false">
      <c r="A2119" s="5" t="s">
        <v>731</v>
      </c>
      <c r="B2119" s="0" t="s">
        <v>86</v>
      </c>
      <c r="C2119" s="38" t="n">
        <f aca="false">Sens!$C$2116+Sens!$C$2118</f>
        <v>68.593</v>
      </c>
      <c r="D2119" s="38" t="n">
        <f aca="false">Sens!$D$2116+Sens!$D$2118</f>
        <v>79.975</v>
      </c>
      <c r="E2119" s="38" t="n">
        <f aca="false">Sens!$E$2116+Sens!$E$2118</f>
        <v>51.313</v>
      </c>
      <c r="F2119" s="38" t="n">
        <f aca="false">Sens!$F$2116+Sens!$F$2118</f>
        <v>60.2597722939189</v>
      </c>
      <c r="G2119" s="38" t="n">
        <f aca="false">Sens!$G$2116+Sens!$G$2118</f>
        <v>111.572772293919</v>
      </c>
      <c r="H2119" s="38" t="n">
        <f aca="false">Sens!$H$2116+Sens!$H$2118</f>
        <v>145.273686988874</v>
      </c>
      <c r="I2119" s="38" t="n">
        <f aca="false">Sens!$I$2116+Sens!$I$2118</f>
        <v>179.490956800606</v>
      </c>
      <c r="J2119" s="38" t="n">
        <f aca="false">Sens!$J$2116+Sens!$J$2118</f>
        <v>212.37677369189</v>
      </c>
      <c r="K2119" s="38" t="n">
        <f aca="false">Sens!$K$2116+Sens!$K$2118</f>
        <v>237.58997275035</v>
      </c>
      <c r="L2119" s="38" t="n">
        <f aca="false">Sens!$L$2116+Sens!$L$2118</f>
        <v>256.962086640141</v>
      </c>
      <c r="M2119" s="38" t="n">
        <f aca="false">Sens!$M$2116+Sens!$M$2118</f>
        <v>274.448961784923</v>
      </c>
      <c r="N2119" s="38" t="n">
        <f aca="false">Sens!$N$2116+Sens!$N$2118</f>
        <v>37.576</v>
      </c>
      <c r="O2119" s="38" t="n">
        <f aca="false">Sens!$O$2116+Sens!$O$2118</f>
        <v>42.399</v>
      </c>
    </row>
    <row r="2120" customFormat="false" ht="17.15" hidden="false" customHeight="false" outlineLevel="0" collapsed="false">
      <c r="A2120" s="0" t="s">
        <v>732</v>
      </c>
      <c r="B2120" s="0" t="s">
        <v>52</v>
      </c>
      <c r="C2120" s="13" t="n">
        <f aca="false">Sens!$C$2106/Sens!$C$2091</f>
        <v>0.0644314665661928</v>
      </c>
      <c r="D2120" s="13" t="n">
        <f aca="false">Sens!$D$2106/Sens!$D$2091</f>
        <v>0.0694784250712518</v>
      </c>
      <c r="E2120" s="13" t="n">
        <f aca="false">Sens!$E$2106/Sens!$E$2091</f>
        <v>0.0789306463326071</v>
      </c>
      <c r="F2120" s="13" t="n">
        <f aca="false">Sens!$F$2106/Sens!$F$2091</f>
        <v>0.0801906483143477</v>
      </c>
      <c r="G2120" s="13" t="n">
        <f aca="false">Sens!$G$2106/Sens!$G$2091</f>
        <v>0.0796012059622643</v>
      </c>
      <c r="H2120" s="13" t="n">
        <f aca="false">Sens!$H$2106/Sens!$H$2091</f>
        <v>0.0798687684444618</v>
      </c>
      <c r="I2120" s="13" t="n">
        <f aca="false">Sens!$I$2106/Sens!$I$2091</f>
        <v>0.0791892789541727</v>
      </c>
      <c r="J2120" s="13" t="n">
        <f aca="false">Sens!$J$2106/Sens!$J$2091</f>
        <v>0.0784102926954572</v>
      </c>
      <c r="K2120" s="13" t="n">
        <f aca="false">Sens!$K$2106/Sens!$K$2091</f>
        <v>0.0775260834187533</v>
      </c>
      <c r="L2120" s="13" t="n">
        <f aca="false">Sens!$L$2106/Sens!$L$2091</f>
        <v>0.0770031474593945</v>
      </c>
      <c r="M2120" s="13" t="n">
        <f aca="false">Sens!$M$2106/Sens!$M$2091</f>
        <v>0.0793840966242634</v>
      </c>
      <c r="N2120" s="13" t="n">
        <f aca="false">Sens!$N$2106/Sens!$N$2091</f>
        <v>0.069228576611127</v>
      </c>
      <c r="O2120" s="13" t="n">
        <f aca="false">Sens!$O$2106/Sens!$O$2091</f>
        <v>0.069685022498393</v>
      </c>
    </row>
    <row r="2121" customFormat="false" ht="17.15" hidden="false" customHeight="false" outlineLevel="0" collapsed="false">
      <c r="A2121" s="0" t="s">
        <v>733</v>
      </c>
      <c r="B2121" s="0" t="s">
        <v>52</v>
      </c>
      <c r="C2121" s="13" t="n">
        <f aca="false">Sens!$C$2111/Sens!$C$2092</f>
        <v>0.026534925055631</v>
      </c>
      <c r="D2121" s="13" t="n">
        <f aca="false">Sens!$D$2111/Sens!$D$2092</f>
        <v>0.0293401855535103</v>
      </c>
      <c r="E2121" s="13" t="n">
        <f aca="false">Sens!$E$2111/Sens!$E$2092</f>
        <v>0.03831141902276</v>
      </c>
      <c r="F2121" s="13" t="n">
        <f aca="false">Sens!$F$2111/Sens!$F$2092</f>
        <v>0.0281499133229819</v>
      </c>
      <c r="G2121" s="13" t="n">
        <f aca="false">Sens!$G$2111/Sens!$G$2092</f>
        <v>0.032768132577578</v>
      </c>
      <c r="H2121" s="13" t="n">
        <f aca="false">Sens!$H$2111/Sens!$H$2092</f>
        <v>0.0310304569886966</v>
      </c>
      <c r="I2121" s="13" t="n">
        <f aca="false">Sens!$I$2111/Sens!$I$2092</f>
        <v>0.0283225506324445</v>
      </c>
      <c r="J2121" s="13" t="n">
        <f aca="false">Sens!$J$2111/Sens!$J$2092</f>
        <v>0.025452166716368</v>
      </c>
      <c r="K2121" s="13" t="n">
        <f aca="false">Sens!$K$2111/Sens!$K$2092</f>
        <v>0.0223719160971549</v>
      </c>
      <c r="L2121" s="13" t="n">
        <f aca="false">Sens!$L$2111/Sens!$L$2092</f>
        <v>0.022195127218716</v>
      </c>
      <c r="M2121" s="13" t="n">
        <f aca="false">Sens!$M$2111/Sens!$M$2092</f>
        <v>0.0249302305148877</v>
      </c>
      <c r="N2121" s="13" t="n">
        <f aca="false">Sens!$N$2111/Sens!$N$2092</f>
        <v>0.0357315650169337</v>
      </c>
      <c r="O2121" s="13" t="n">
        <f aca="false">Sens!$O$2111/Sens!$O$2092</f>
        <v>0.0244378956559703</v>
      </c>
    </row>
    <row r="2122" customFormat="false" ht="17.15" hidden="false" customHeight="false" outlineLevel="0" collapsed="false">
      <c r="A2122" s="14" t="s">
        <v>734</v>
      </c>
      <c r="B2122" s="14" t="s">
        <v>52</v>
      </c>
      <c r="C2122" s="17" t="n">
        <f aca="false">Sens!$C$2114/Sens!$C$2093</f>
        <v>0.370355907620217</v>
      </c>
      <c r="D2122" s="17" t="n">
        <f aca="false">Sens!$D$2114/Sens!$D$2093</f>
        <v>0.35429015342785</v>
      </c>
      <c r="E2122" s="17" t="n">
        <f aca="false">Sens!$E$2114/Sens!$E$2093</f>
        <v>0.385647527531039</v>
      </c>
      <c r="F2122" s="17" t="n">
        <f aca="false">Sens!$F$2114/Sens!$F$2093</f>
        <v>0.387620621434215</v>
      </c>
      <c r="G2122" s="17" t="n">
        <f aca="false">Sens!$G$2114/Sens!$G$2093</f>
        <v>0.386675027059388</v>
      </c>
      <c r="H2122" s="17" t="n">
        <f aca="false">Sens!$H$2114/Sens!$H$2093</f>
        <v>0.371956788506333</v>
      </c>
      <c r="I2122" s="17" t="n">
        <f aca="false">Sens!$I$2114/Sens!$I$2093</f>
        <v>0.365980269219614</v>
      </c>
      <c r="J2122" s="17" t="n">
        <f aca="false">Sens!$J$2114/Sens!$J$2093</f>
        <v>0.360322728684162</v>
      </c>
      <c r="K2122" s="17" t="n">
        <f aca="false">Sens!$K$2114/Sens!$K$2093</f>
        <v>0.349347226609498</v>
      </c>
      <c r="L2122" s="17" t="n">
        <f aca="false">Sens!$L$2114/Sens!$L$2093</f>
        <v>0.34052892045152</v>
      </c>
      <c r="M2122" s="17" t="n">
        <f aca="false">Sens!$M$2114/Sens!$M$2093</f>
        <v>0.336692151300488</v>
      </c>
      <c r="N2122" s="17" t="n">
        <f aca="false">Sens!$N$2114/Sens!$N$2093</f>
        <v>0.360941137346192</v>
      </c>
      <c r="O2122" s="17" t="n">
        <f aca="false">Sens!$O$2114/Sens!$O$2093</f>
        <v>0.348458117664212</v>
      </c>
    </row>
    <row r="2123" customFormat="false" ht="17.15" hidden="false" customHeight="false" outlineLevel="0" collapsed="false">
      <c r="A2123" s="0" t="s">
        <v>735</v>
      </c>
      <c r="B2123" s="0" t="s">
        <v>52</v>
      </c>
      <c r="C2123" s="13" t="n">
        <f aca="false">Sens!$C$2112/Sens!$C$2094</f>
        <v>0.717412146448287</v>
      </c>
      <c r="D2123" s="13" t="n">
        <f aca="false">Sens!$D$2112/Sens!$D$2094</f>
        <v>0.4883963650178</v>
      </c>
      <c r="E2123" s="13" t="n">
        <f aca="false">Sens!$E$2112/Sens!$E$2094</f>
        <v>0.244791943077369</v>
      </c>
      <c r="F2123" s="13" t="n">
        <f aca="false">Sens!$F$2112/Sens!$F$2094</f>
        <v>0.479692057086372</v>
      </c>
      <c r="G2123" s="13" t="n">
        <f aca="false">Sens!$G$2112/Sens!$G$2094</f>
        <v>0.394529704861091</v>
      </c>
      <c r="H2123" s="13" t="n">
        <f aca="false">Sens!$H$2112/Sens!$H$2094</f>
        <v>0.38141043550948</v>
      </c>
      <c r="I2123" s="13" t="n">
        <f aca="false">Sens!$I$2112/Sens!$I$2094</f>
        <v>0.361675764971526</v>
      </c>
      <c r="J2123" s="13" t="n">
        <f aca="false">Sens!$J$2112/Sens!$J$2094</f>
        <v>0.349233131149367</v>
      </c>
      <c r="K2123" s="13" t="n">
        <f aca="false">Sens!$K$2112/Sens!$K$2094</f>
        <v>0.326743372110993</v>
      </c>
      <c r="L2123" s="13" t="n">
        <f aca="false">Sens!$L$2112/Sens!$L$2094</f>
        <v>0.30895182460384</v>
      </c>
      <c r="M2123" s="13" t="n">
        <f aca="false">Sens!$M$2112/Sens!$M$2094</f>
        <v>0.299922834965887</v>
      </c>
      <c r="N2123" s="13" t="n">
        <f aca="false">Sens!$N$2112/Sens!$N$2094</f>
        <v>0.364057498510609</v>
      </c>
      <c r="O2123" s="13" t="n">
        <f aca="false">Sens!$O$2112/Sens!$O$2094</f>
        <v>0.555348062367826</v>
      </c>
    </row>
    <row r="2124" customFormat="false" ht="15" hidden="false" customHeight="false" outlineLevel="0" collapsed="false">
      <c r="A2124" s="5" t="s">
        <v>736</v>
      </c>
      <c r="B2124" s="0" t="s">
        <v>52</v>
      </c>
      <c r="C2124" s="13" t="n">
        <f aca="false">Sens!$C$2116/Sens!$C$2096</f>
        <v>0.107519448742004</v>
      </c>
      <c r="D2124" s="13" t="n">
        <f aca="false">Sens!$D$2116/Sens!$D$2096</f>
        <v>0.111552967957552</v>
      </c>
      <c r="E2124" s="13" t="n">
        <f aca="false">Sens!$E$2116/Sens!$E$2096</f>
        <v>0.13428328426562</v>
      </c>
      <c r="F2124" s="13" t="n">
        <f aca="false">Sens!$F$2116/Sens!$F$2096</f>
        <v>0.12962601637487</v>
      </c>
      <c r="G2124" s="13" t="n">
        <f aca="false">Sens!$G$2116/Sens!$G$2096</f>
        <v>0.131801888109477</v>
      </c>
      <c r="H2124" s="13" t="n">
        <f aca="false">Sens!$H$2116/Sens!$H$2096</f>
        <v>0.138080137883608</v>
      </c>
      <c r="I2124" s="13" t="n">
        <f aca="false">Sens!$I$2116/Sens!$I$2096</f>
        <v>0.144001367947247</v>
      </c>
      <c r="J2124" s="13" t="n">
        <f aca="false">Sens!$J$2116/Sens!$J$2096</f>
        <v>0.14818793644649</v>
      </c>
      <c r="K2124" s="13" t="n">
        <f aca="false">Sens!$K$2116/Sens!$K$2096</f>
        <v>0.148616218228209</v>
      </c>
      <c r="L2124" s="13" t="n">
        <f aca="false">Sens!$L$2116/Sens!$L$2096</f>
        <v>0.147738395350296</v>
      </c>
      <c r="M2124" s="13" t="n">
        <f aca="false">Sens!$M$2116/Sens!$M$2096</f>
        <v>0.148432122391652</v>
      </c>
      <c r="N2124" s="13" t="n">
        <f aca="false">Sens!$N$2116/Sens!$N$2096</f>
        <v>0.116201614873411</v>
      </c>
      <c r="O2124" s="13" t="n">
        <f aca="false">Sens!$O$2116/Sens!$O$2096</f>
        <v>0.107733353660861</v>
      </c>
    </row>
    <row r="2125" customFormat="false" ht="17.15" hidden="false" customHeight="false" outlineLevel="0" collapsed="false">
      <c r="A2125" s="1" t="s">
        <v>737</v>
      </c>
    </row>
    <row r="2126" customFormat="false" ht="17.15" hidden="false" customHeight="false" outlineLevel="0" collapsed="false">
      <c r="A2126" s="5" t="s">
        <v>738</v>
      </c>
      <c r="B2126" s="0" t="s">
        <v>52</v>
      </c>
      <c r="D2126" s="28" t="n">
        <f aca="false">(Q!$E$29+Q!$E$30-(1-ext_sh)*Sens!$D$2048)/Sens!$D$2004</f>
        <v>0.033625876283631</v>
      </c>
    </row>
    <row r="2127" customFormat="false" ht="17.15" hidden="false" customHeight="false" outlineLevel="0" collapsed="false">
      <c r="A2127" s="0" t="s">
        <v>535</v>
      </c>
      <c r="B2127" s="0" t="s">
        <v>86</v>
      </c>
      <c r="C2127" s="38" t="n">
        <f aca="false">Q!$D$29</f>
        <v>14.285</v>
      </c>
      <c r="D2127" s="38" t="n">
        <f aca="false">Q!$E$29</f>
        <v>15.503</v>
      </c>
      <c r="E2127" s="38" t="n">
        <f aca="false">Q!$P$29</f>
        <v>8.78</v>
      </c>
      <c r="F2127" s="38" t="n">
        <f aca="false">(Sens!$D$2126*Sens!$F$2004+(1-ext_sh)*Sens!$F$2048)*Sens!$F$2005</f>
        <v>9.24338531504421</v>
      </c>
      <c r="G2127" s="38" t="n">
        <f aca="false">Sens!$E$2127+Sens!$F$2127</f>
        <v>18.0233853150442</v>
      </c>
      <c r="H2127" s="38" t="n">
        <f aca="false">(Sens!$D$2126*Sens!$H$2004+(1-ext_sh)*Sens!$H$2048)*Sens!$H$2005</f>
        <v>21.9732798270563</v>
      </c>
      <c r="I2127" s="38" t="n">
        <f aca="false">(Sens!$D$2126*Sens!$I$2004+(1-ext_sh)*Sens!$I$2048)*Sens!$I$2005</f>
        <v>27.0966422004534</v>
      </c>
      <c r="J2127" s="38" t="n">
        <f aca="false">(Sens!$D$2126*Sens!$J$2004+(1-ext_sh)*Sens!$J$2048)*Sens!$J$2005</f>
        <v>32.2275037814159</v>
      </c>
      <c r="K2127" s="38" t="n">
        <f aca="false">(Sens!$D$2126*Sens!$K$2004+(1-ext_sh)*Sens!$K$2048)*Sens!$K$2005</f>
        <v>37.1757505878173</v>
      </c>
      <c r="L2127" s="38" t="n">
        <f aca="false">(Sens!$D$2126*Sens!$L$2004+(1-ext_sh)*Sens!$L$2048)*Sens!$L$2005</f>
        <v>41.2469043702746</v>
      </c>
      <c r="M2127" s="38" t="n">
        <f aca="false">(Sens!$D$2126*Sens!$M$2004+(1-ext_sh)*Sens!$M$2048)*Sens!$M$2005</f>
        <v>44.1118173052881</v>
      </c>
      <c r="N2127" s="38" t="n">
        <f aca="false">Q!$N$29</f>
        <v>7.272</v>
      </c>
      <c r="O2127" s="38" t="n">
        <f aca="false">Q!$O$29</f>
        <v>8.231</v>
      </c>
    </row>
    <row r="2128" customFormat="false" ht="17.15" hidden="false" customHeight="false" outlineLevel="0" collapsed="false">
      <c r="A2128" s="0" t="s">
        <v>537</v>
      </c>
      <c r="B2128" s="0" t="s">
        <v>86</v>
      </c>
      <c r="C2128" s="38" t="n">
        <f aca="false">Q!$D$30</f>
        <v>4.462</v>
      </c>
      <c r="D2128" s="38" t="n">
        <f aca="false">Q!$E$30</f>
        <v>4.907</v>
      </c>
      <c r="E2128" s="38" t="n">
        <f aca="false">Q!$P$30</f>
        <v>2.57</v>
      </c>
      <c r="F2128" s="38" t="n">
        <f aca="false">(Sens!$D$2126*Sens!$F$2004+(1-ext_sh)*Sens!$F$2048)*(1-Sens!$F$2005)</f>
        <v>3.62922203798736</v>
      </c>
      <c r="G2128" s="38" t="n">
        <f aca="false">Sens!$E$2128+Sens!$F$2128</f>
        <v>6.19922203798736</v>
      </c>
      <c r="H2128" s="38" t="n">
        <f aca="false">(Sens!$D$2126*Sens!$H$2004+(1-ext_sh)*Sens!$H$2048)*(1-Sens!$H$2005)</f>
        <v>8.41655349659045</v>
      </c>
      <c r="I2128" s="38" t="n">
        <f aca="false">(Sens!$D$2126*Sens!$I$2004+(1-ext_sh)*Sens!$I$2048)*(1-Sens!$I$2005)</f>
        <v>10.378984860388</v>
      </c>
      <c r="J2128" s="38" t="n">
        <f aca="false">(Sens!$D$2126*Sens!$J$2004+(1-ext_sh)*Sens!$J$2048)*(1-Sens!$J$2005)</f>
        <v>12.3442886893866</v>
      </c>
      <c r="K2128" s="38" t="n">
        <f aca="false">(Sens!$D$2126*Sens!$K$2004+(1-ext_sh)*Sens!$K$2048)*(1-Sens!$K$2005)</f>
        <v>14.2396445164729</v>
      </c>
      <c r="L2128" s="38" t="n">
        <f aca="false">(Sens!$D$2126*Sens!$L$2004+(1-ext_sh)*Sens!$L$2048)*(1-Sens!$L$2005)</f>
        <v>15.7990422883389</v>
      </c>
      <c r="M2128" s="38" t="n">
        <f aca="false">(Sens!$D$2126*Sens!$M$2004+(1-ext_sh)*Sens!$M$2048)*(1-Sens!$M$2005)</f>
        <v>16.8964065949148</v>
      </c>
      <c r="N2128" s="38" t="n">
        <f aca="false">Q!$N$30</f>
        <v>2.316</v>
      </c>
      <c r="O2128" s="38" t="n">
        <f aca="false">Q!$O$30</f>
        <v>2.591</v>
      </c>
    </row>
    <row r="2129" customFormat="false" ht="17.15" hidden="false" customHeight="false" outlineLevel="0" collapsed="false">
      <c r="A2129" s="0" t="s">
        <v>538</v>
      </c>
      <c r="B2129" s="0" t="s">
        <v>86</v>
      </c>
      <c r="C2129" s="38" t="n">
        <f aca="false">Sens!$C$2060</f>
        <v>13.32</v>
      </c>
      <c r="D2129" s="38" t="n">
        <f aca="false">Sens!$D$2060</f>
        <v>21.45</v>
      </c>
      <c r="E2129" s="38" t="n">
        <f aca="false">Sens!$E$2060</f>
        <v>15.353</v>
      </c>
      <c r="F2129" s="38" t="n">
        <f aca="false">Sens!$F$2060</f>
        <v>15.8587286958718</v>
      </c>
      <c r="G2129" s="38" t="n">
        <f aca="false">Sens!$G$2060</f>
        <v>31.2117286958718</v>
      </c>
      <c r="H2129" s="38" t="n">
        <f aca="false">Sens!$H$2060</f>
        <v>49.9582854139432</v>
      </c>
      <c r="I2129" s="38" t="n">
        <f aca="false">Sens!$I$2060</f>
        <v>72.0307777045848</v>
      </c>
      <c r="J2129" s="38" t="n">
        <f aca="false">Sens!$J$2060</f>
        <v>94.6797966445754</v>
      </c>
      <c r="K2129" s="38" t="n">
        <f aca="false">Sens!$K$2060</f>
        <v>117.116936720991</v>
      </c>
      <c r="L2129" s="38" t="n">
        <f aca="false">Sens!$L$2060</f>
        <v>134.381788128386</v>
      </c>
      <c r="M2129" s="38" t="n">
        <f aca="false">Sens!$M$2060</f>
        <v>144.630317848978</v>
      </c>
      <c r="N2129" s="38" t="n">
        <f aca="false">Sens!$N$2060</f>
        <v>9.234</v>
      </c>
      <c r="O2129" s="38" t="n">
        <f aca="false">Sens!$O$2060</f>
        <v>12.216</v>
      </c>
    </row>
    <row r="2130" customFormat="false" ht="17.15" hidden="false" customHeight="false" outlineLevel="0" collapsed="false">
      <c r="A2130" s="5" t="s">
        <v>739</v>
      </c>
      <c r="B2130" s="0" t="s">
        <v>86</v>
      </c>
      <c r="C2130" s="38" t="n">
        <f aca="false">Sens!$C$2127+Sens!$C$2128+Sens!$C$2129</f>
        <v>32.067</v>
      </c>
      <c r="D2130" s="38" t="n">
        <f aca="false">Sens!$D$2127+Sens!$D$2128+Sens!$D$2129</f>
        <v>41.86</v>
      </c>
      <c r="E2130" s="38" t="n">
        <f aca="false">Sens!$E$2127+Sens!$E$2128+Sens!$E$2129</f>
        <v>26.703</v>
      </c>
      <c r="F2130" s="38" t="n">
        <f aca="false">Sens!$F$2127+Sens!$F$2128+Sens!$F$2129</f>
        <v>28.7313360489034</v>
      </c>
      <c r="G2130" s="38" t="n">
        <f aca="false">Sens!$G$2127+Sens!$G$2128+Sens!$G$2129</f>
        <v>55.4343360489034</v>
      </c>
      <c r="H2130" s="38" t="n">
        <f aca="false">Sens!$H$2127+Sens!$H$2128+Sens!$H$2129</f>
        <v>80.34811873759</v>
      </c>
      <c r="I2130" s="38" t="n">
        <f aca="false">Sens!$I$2127+Sens!$I$2128+Sens!$I$2129</f>
        <v>109.506404765426</v>
      </c>
      <c r="J2130" s="38" t="n">
        <f aca="false">Sens!$J$2127+Sens!$J$2128+Sens!$J$2129</f>
        <v>139.251589115378</v>
      </c>
      <c r="K2130" s="38" t="n">
        <f aca="false">Sens!$K$2127+Sens!$K$2128+Sens!$K$2129</f>
        <v>168.532331825281</v>
      </c>
      <c r="L2130" s="38" t="n">
        <f aca="false">Sens!$L$2127+Sens!$L$2128+Sens!$L$2129</f>
        <v>191.427734786999</v>
      </c>
      <c r="M2130" s="38" t="n">
        <f aca="false">Sens!$M$2127+Sens!$M$2128+Sens!$M$2129</f>
        <v>205.638541749181</v>
      </c>
      <c r="N2130" s="38" t="n">
        <f aca="false">Sens!$N$2127+Sens!$N$2128+Sens!$N$2129</f>
        <v>18.822</v>
      </c>
      <c r="O2130" s="38" t="n">
        <f aca="false">Sens!$O$2127+Sens!$O$2128+Sens!$O$2129</f>
        <v>23.038</v>
      </c>
    </row>
    <row r="2131" customFormat="false" ht="17.15" hidden="false" customHeight="false" outlineLevel="0" collapsed="false">
      <c r="A2131" s="0" t="s">
        <v>740</v>
      </c>
      <c r="B2131" s="0" t="s">
        <v>86</v>
      </c>
      <c r="C2131" s="38" t="n">
        <f aca="false">Sens!$C$2102+Sens!$C$2107</f>
        <v>28.107</v>
      </c>
      <c r="D2131" s="38" t="n">
        <f aca="false">Sens!$D$2102+Sens!$D$2107</f>
        <v>34.3175</v>
      </c>
      <c r="E2131" s="38" t="n">
        <f aca="false">Sens!$E$2102+Sens!$E$2107</f>
        <v>18.526</v>
      </c>
      <c r="F2131" s="38" t="n">
        <f aca="false">Sens!$F$2102+Sens!$F$2107</f>
        <v>23.0786109972074</v>
      </c>
      <c r="G2131" s="38" t="n">
        <f aca="false">Sens!$G$2102+Sens!$G$2107</f>
        <v>41.6046109972074</v>
      </c>
      <c r="H2131" s="38" t="n">
        <f aca="false">Sens!$H$2102+Sens!$H$2107</f>
        <v>49.9484611939488</v>
      </c>
      <c r="I2131" s="38" t="n">
        <f aca="false">Sens!$I$2102+Sens!$I$2107</f>
        <v>58.2915555477481</v>
      </c>
      <c r="J2131" s="38" t="n">
        <f aca="false">Sens!$J$2102+Sens!$J$2107</f>
        <v>66.0744709709759</v>
      </c>
      <c r="K2131" s="38" t="n">
        <f aca="false">Sens!$K$2102+Sens!$K$2107</f>
        <v>72.6819180680735</v>
      </c>
      <c r="L2131" s="38" t="n">
        <f aca="false">Sens!$L$2102+Sens!$L$2107</f>
        <v>79.9501098748808</v>
      </c>
      <c r="M2131" s="38" t="n">
        <f aca="false">Sens!$M$2102+Sens!$M$2107</f>
        <v>87.9451208623689</v>
      </c>
      <c r="N2131" s="38" t="n">
        <f aca="false">Sens!$N$2102+Sens!$N$2107</f>
        <v>14.8075</v>
      </c>
      <c r="O2131" s="38" t="n">
        <f aca="false">Sens!$O$2102+Sens!$O$2107</f>
        <v>19.51</v>
      </c>
    </row>
    <row r="2132" customFormat="false" ht="17.15" hidden="false" customHeight="false" outlineLevel="0" collapsed="false">
      <c r="A2132" s="0" t="s">
        <v>741</v>
      </c>
      <c r="B2132" s="0" t="s">
        <v>86</v>
      </c>
      <c r="C2132" s="38" t="n">
        <f aca="false">Sens!$C$2106+Sens!$C$2111+Sens!$C$2127+Sens!$C$2128-Sens!$C$2131</f>
        <v>19.399</v>
      </c>
      <c r="D2132" s="38" t="n">
        <f aca="false">Sens!$D$2106+Sens!$D$2111+Sens!$D$2127+Sens!$D$2128-Sens!$D$2131</f>
        <v>20.4615</v>
      </c>
      <c r="E2132" s="38" t="n">
        <f aca="false">Sens!$E$2106+Sens!$E$2111+Sens!$E$2127+Sens!$E$2128-Sens!$E$2131</f>
        <v>13.355</v>
      </c>
      <c r="F2132" s="38" t="n">
        <f aca="false">Sens!$F$2106+Sens!$F$2111+Sens!$F$2127+Sens!$F$2128-Sens!$F$2131</f>
        <v>12.6631521336844</v>
      </c>
      <c r="G2132" s="38" t="n">
        <f aca="false">Sens!$G$2106+Sens!$G$2111+Sens!$G$2127+Sens!$G$2128-Sens!$G$2131</f>
        <v>26.0181521336844</v>
      </c>
      <c r="H2132" s="38" t="n">
        <f aca="false">Sens!$H$2106+Sens!$H$2111+Sens!$H$2127+Sens!$H$2128-Sens!$H$2131</f>
        <v>28.2809983716162</v>
      </c>
      <c r="I2132" s="38" t="n">
        <f aca="false">Sens!$I$2106+Sens!$I$2111+Sens!$I$2127+Sens!$I$2128-Sens!$I$2131</f>
        <v>30.5185880969834</v>
      </c>
      <c r="J2132" s="38" t="n">
        <f aca="false">Sens!$J$2106+Sens!$J$2111+Sens!$J$2127+Sens!$J$2128-Sens!$J$2131</f>
        <v>32.7498517195818</v>
      </c>
      <c r="K2132" s="38" t="n">
        <f aca="false">Sens!$K$2106+Sens!$K$2111+Sens!$K$2127+Sens!$K$2128-Sens!$K$2131</f>
        <v>35.1438448797555</v>
      </c>
      <c r="L2132" s="38" t="n">
        <f aca="false">Sens!$L$2106+Sens!$L$2111+Sens!$L$2127+Sens!$L$2128-Sens!$L$2131</f>
        <v>36.7616617567674</v>
      </c>
      <c r="M2132" s="38" t="n">
        <f aca="false">Sens!$M$2106+Sens!$M$2111+Sens!$M$2127+Sens!$M$2128-Sens!$M$2131</f>
        <v>39.1760348843057</v>
      </c>
      <c r="N2132" s="38" t="n">
        <f aca="false">Sens!$N$2106+Sens!$N$2111+Sens!$N$2127+Sens!$N$2128-Sens!$N$2131</f>
        <v>10.6495</v>
      </c>
      <c r="O2132" s="38" t="n">
        <f aca="false">Sens!$O$2106+Sens!$O$2111+Sens!$O$2127+Sens!$O$2128-Sens!$O$2131</f>
        <v>9.81200000000001</v>
      </c>
    </row>
    <row r="2133" customFormat="false" ht="17.15" hidden="false" customHeight="false" outlineLevel="0" collapsed="false">
      <c r="A2133" s="0" t="s">
        <v>742</v>
      </c>
      <c r="B2133" s="0" t="s">
        <v>86</v>
      </c>
      <c r="C2133" s="38" t="n">
        <f aca="false">Sens!$C$2113+Sens!$C$2129-ext_sh*Sens!$C$2048</f>
        <v>51.3470500115664</v>
      </c>
      <c r="D2133" s="38" t="n">
        <f aca="false">Sens!$D$2113+Sens!$D$2129-ext_sh*Sens!$D$2048</f>
        <v>60.2799375433739</v>
      </c>
      <c r="E2133" s="38" t="n">
        <f aca="false">Sens!$E$2113+Sens!$E$2129-ext_sh*Sens!$E$2048</f>
        <v>39.5095167090767</v>
      </c>
      <c r="F2133" s="38" t="n">
        <f aca="false">Sens!$F$2113+Sens!$F$2129-ext_sh*Sens!$F$2048</f>
        <v>37.7580670143017</v>
      </c>
      <c r="G2133" s="38" t="n">
        <f aca="false">Sens!$G$2113+Sens!$G$2129-ext_sh*Sens!$G$2048</f>
        <v>77.2675837233784</v>
      </c>
      <c r="H2133" s="38" t="n">
        <f aca="false">Sens!$H$2113+Sens!$H$2129-ext_sh*Sens!$H$2048</f>
        <v>84.7116190938639</v>
      </c>
      <c r="I2133" s="38" t="n">
        <f aca="false">Sens!$I$2113+Sens!$I$2129-ext_sh*Sens!$I$2048</f>
        <v>94.0513642949449</v>
      </c>
      <c r="J2133" s="38" t="n">
        <f aca="false">Sens!$J$2113+Sens!$J$2129-ext_sh*Sens!$J$2048</f>
        <v>102.998160863915</v>
      </c>
      <c r="K2133" s="38" t="n">
        <f aca="false">Sens!$K$2113+Sens!$K$2129-ext_sh*Sens!$K$2048</f>
        <v>111.238013733028</v>
      </c>
      <c r="L2133" s="38" t="n">
        <f aca="false">Sens!$L$2113+Sens!$L$2129-ext_sh*Sens!$L$2048</f>
        <v>120.13705483167</v>
      </c>
      <c r="M2133" s="38" t="n">
        <f aca="false">Sens!$M$2113+Sens!$M$2129-ext_sh*Sens!$M$2048</f>
        <v>129.748019218204</v>
      </c>
      <c r="N2133" s="38" t="n">
        <f aca="false">Sens!$N$2113+Sens!$N$2129-ext_sh*Sens!$N$2048</f>
        <v>28.5693781401809</v>
      </c>
      <c r="O2133" s="38" t="n">
        <f aca="false">Sens!$O$2113+Sens!$O$2129-ext_sh*Sens!$O$2048</f>
        <v>31.7105594031931</v>
      </c>
    </row>
    <row r="2134" customFormat="false" ht="17.15" hidden="false" customHeight="false" outlineLevel="0" collapsed="false">
      <c r="A2134" s="0" t="s">
        <v>743</v>
      </c>
      <c r="B2134" s="0" t="s">
        <v>86</v>
      </c>
      <c r="C2134" s="38" t="n">
        <f aca="false">Sens!$C$2051</f>
        <v>1.80694998843362</v>
      </c>
      <c r="D2134" s="38" t="n">
        <f aca="false">Sens!$D$2051</f>
        <v>6.77606245662607</v>
      </c>
      <c r="E2134" s="38" t="n">
        <f aca="false">Sens!$E$2051</f>
        <v>6.62548329092326</v>
      </c>
      <c r="F2134" s="38" t="n">
        <f aca="false">Sens!$F$2051</f>
        <v>11.7200577158706</v>
      </c>
      <c r="G2134" s="38" t="n">
        <f aca="false">Sens!$G$2051</f>
        <v>18.3455410067939</v>
      </c>
      <c r="H2134" s="38" t="n">
        <f aca="false">Sens!$H$2051</f>
        <v>47.5171727060453</v>
      </c>
      <c r="I2134" s="38" t="n">
        <f aca="false">Sens!$I$2051</f>
        <v>80.5539692643667</v>
      </c>
      <c r="J2134" s="38" t="n">
        <f aca="false">Sens!$J$2051</f>
        <v>113.759316834883</v>
      </c>
      <c r="K2134" s="38" t="n">
        <f aca="false">Sens!$K$2051</f>
        <v>142.084411492169</v>
      </c>
      <c r="L2134" s="38" t="n">
        <f aca="false">Sens!$L$2051</f>
        <v>160.69964615804</v>
      </c>
      <c r="M2134" s="38" t="n">
        <f aca="false">Sens!$M$2051</f>
        <v>169.577607141793</v>
      </c>
      <c r="N2134" s="38" t="n">
        <f aca="false">Sens!$N$2051</f>
        <v>2.37162185981912</v>
      </c>
      <c r="O2134" s="38" t="n">
        <f aca="false">Sens!$O$2051</f>
        <v>4.40444059680694</v>
      </c>
    </row>
    <row r="2135" customFormat="false" ht="17.15" hidden="false" customHeight="false" outlineLevel="0" collapsed="false">
      <c r="A2135" s="0" t="s">
        <v>744</v>
      </c>
      <c r="B2135" s="0" t="s">
        <v>86</v>
      </c>
      <c r="C2135" s="38" t="n">
        <f aca="false">Sens!$C$2116+Sens!$C$2130</f>
        <v>100.66</v>
      </c>
      <c r="D2135" s="38" t="n">
        <f aca="false">Sens!$D$2116+Sens!$D$2130</f>
        <v>121.835</v>
      </c>
      <c r="E2135" s="38" t="n">
        <f aca="false">Sens!$E$2116+Sens!$E$2130</f>
        <v>78.016</v>
      </c>
      <c r="F2135" s="38" t="n">
        <f aca="false">Sens!$F$2116+Sens!$F$2130</f>
        <v>85.2198878610641</v>
      </c>
      <c r="G2135" s="38" t="n">
        <f aca="false">Sens!$G$2116+Sens!$G$2130</f>
        <v>163.235887861064</v>
      </c>
      <c r="H2135" s="38" t="n">
        <f aca="false">Sens!$H$2116+Sens!$H$2130</f>
        <v>210.458251365474</v>
      </c>
      <c r="I2135" s="38" t="n">
        <f aca="false">Sens!$I$2116+Sens!$I$2130</f>
        <v>263.415477204043</v>
      </c>
      <c r="J2135" s="38" t="n">
        <f aca="false">Sens!$J$2116+Sens!$J$2130</f>
        <v>315.581800389356</v>
      </c>
      <c r="K2135" s="38" t="n">
        <f aca="false">Sens!$K$2116+Sens!$K$2130</f>
        <v>361.148188173027</v>
      </c>
      <c r="L2135" s="38" t="n">
        <f aca="false">Sens!$L$2116+Sens!$L$2130</f>
        <v>397.548472621359</v>
      </c>
      <c r="M2135" s="38" t="n">
        <f aca="false">Sens!$M$2116+Sens!$M$2130</f>
        <v>426.446782106672</v>
      </c>
      <c r="N2135" s="38" t="n">
        <f aca="false">Sens!$N$2116+Sens!$N$2130</f>
        <v>56.398</v>
      </c>
      <c r="O2135" s="38" t="n">
        <f aca="false">Sens!$O$2116+Sens!$O$2130</f>
        <v>65.437</v>
      </c>
    </row>
    <row r="2136" customFormat="false" ht="17.15" hidden="false" customHeight="false" outlineLevel="0" collapsed="false">
      <c r="A2136" s="1" t="s">
        <v>745</v>
      </c>
    </row>
    <row r="2137" customFormat="false" ht="15" hidden="false" customHeight="false" outlineLevel="0" collapsed="false">
      <c r="A2137" s="5" t="s">
        <v>541</v>
      </c>
      <c r="B2137" s="0" t="s">
        <v>86</v>
      </c>
      <c r="C2137" s="38" t="n">
        <f aca="false">Q!$D$34</f>
        <v>2.406</v>
      </c>
      <c r="D2137" s="38" t="n">
        <f aca="false">Q!$E$34</f>
        <v>2.274</v>
      </c>
      <c r="E2137" s="38" t="n">
        <f aca="false">Q!$P$34</f>
        <v>2.114</v>
      </c>
      <c r="F2137" s="38" t="n">
        <f aca="false">Sens!$F$2175</f>
        <v>3.24888962733561</v>
      </c>
      <c r="G2137" s="38" t="n">
        <f aca="false">Sens!$E$2137+Sens!$F$2137</f>
        <v>5.36288962733561</v>
      </c>
      <c r="H2137" s="38" t="n">
        <f aca="false">Sens!$H$2175</f>
        <v>7.42354172302123</v>
      </c>
      <c r="I2137" s="38" t="n">
        <f aca="false">Sens!$I$2175</f>
        <v>8.40418831483006</v>
      </c>
      <c r="J2137" s="38" t="n">
        <f aca="false">Sens!$J$2175</f>
        <v>9.52243497319164</v>
      </c>
      <c r="K2137" s="38" t="n">
        <f aca="false">Sens!$K$2175</f>
        <v>9.52243497319164</v>
      </c>
      <c r="L2137" s="38" t="n">
        <f aca="false">Sens!$L$2175</f>
        <v>9.52243497319164</v>
      </c>
      <c r="M2137" s="38" t="n">
        <f aca="false">Sens!$M$2175</f>
        <v>9.52243497319164</v>
      </c>
      <c r="N2137" s="38" t="n">
        <f aca="false">Q!$N$34</f>
        <v>1.057</v>
      </c>
      <c r="O2137" s="38" t="n">
        <f aca="false">Q!$O$34</f>
        <v>1.217</v>
      </c>
    </row>
    <row r="2138" customFormat="false" ht="15" hidden="false" customHeight="false" outlineLevel="0" collapsed="false">
      <c r="A2138" s="5" t="s">
        <v>746</v>
      </c>
      <c r="B2138" s="0" t="s">
        <v>86</v>
      </c>
      <c r="F2138" s="38" t="n">
        <f aca="false">Sens!$F$2176</f>
        <v>2.59</v>
      </c>
      <c r="H2138" s="38" t="n">
        <f aca="false">Sens!$H$2176</f>
        <v>3.78470071117255</v>
      </c>
      <c r="I2138" s="38" t="n">
        <f aca="false">Sens!$I$2176</f>
        <v>2.10589651022864</v>
      </c>
      <c r="J2138" s="38" t="n">
        <f aca="false">Sens!$J$2176</f>
        <v>2.10589651022864</v>
      </c>
      <c r="K2138" s="38" t="n">
        <f aca="false">Sens!$K$2176</f>
        <v>3.24532813415374</v>
      </c>
      <c r="L2138" s="38" t="n">
        <f aca="false">Sens!$L$2176</f>
        <v>8.42200791593812</v>
      </c>
      <c r="M2138" s="38" t="n">
        <f aca="false">Sens!$M$2176</f>
        <v>17.3796645900821</v>
      </c>
    </row>
    <row r="2139" customFormat="false" ht="17.15" hidden="false" customHeight="false" outlineLevel="0" collapsed="false">
      <c r="A2139" s="5" t="s">
        <v>747</v>
      </c>
      <c r="B2139" s="0" t="s">
        <v>86</v>
      </c>
      <c r="C2139" s="38" t="n">
        <f aca="false">Q!$D$39</f>
        <v>2.427</v>
      </c>
      <c r="D2139" s="38" t="n">
        <f aca="false">Q!$E$39</f>
        <v>19.61</v>
      </c>
      <c r="E2139" s="38" t="n">
        <f aca="false">Q!$P$39</f>
        <v>71.492</v>
      </c>
      <c r="F2139" s="39" t="n">
        <v>0</v>
      </c>
      <c r="G2139" s="38" t="n">
        <f aca="false">Sens!$E$2139+Sens!$F$2139</f>
        <v>71.492</v>
      </c>
      <c r="H2139" s="39" t="n">
        <v>0</v>
      </c>
      <c r="I2139" s="39" t="n">
        <v>0</v>
      </c>
      <c r="J2139" s="39" t="n">
        <v>0</v>
      </c>
      <c r="K2139" s="39" t="n">
        <v>0</v>
      </c>
      <c r="L2139" s="39" t="n">
        <v>0</v>
      </c>
      <c r="M2139" s="39" t="n">
        <v>0</v>
      </c>
      <c r="N2139" s="38" t="n">
        <f aca="false">Q!$N$39</f>
        <v>6.017</v>
      </c>
      <c r="O2139" s="38" t="n">
        <f aca="false">Q!$O$39</f>
        <v>13.593</v>
      </c>
      <c r="P2139" s="5" t="s">
        <v>748</v>
      </c>
    </row>
    <row r="2140" customFormat="false" ht="15" hidden="false" customHeight="false" outlineLevel="0" collapsed="false">
      <c r="A2140" s="5" t="s">
        <v>544</v>
      </c>
      <c r="B2140" s="0" t="s">
        <v>86</v>
      </c>
      <c r="C2140" s="38" t="n">
        <f aca="false">Q!$D$36</f>
        <v>68.614</v>
      </c>
      <c r="D2140" s="38" t="n">
        <f aca="false">Q!$E$36</f>
        <v>97.311</v>
      </c>
      <c r="E2140" s="38" t="n">
        <f aca="false">Q!$P$36</f>
        <v>120.691</v>
      </c>
      <c r="F2140" s="38" t="n">
        <f aca="false">Sens!$F$2116-Sens!$F$2137+Sens!$F$2138+Sens!$F$2139</f>
        <v>55.8296621848251</v>
      </c>
      <c r="G2140" s="38" t="n">
        <f aca="false">Sens!$E$2140+Sens!$F$2140</f>
        <v>176.520662184825</v>
      </c>
      <c r="H2140" s="38" t="n">
        <f aca="false">Sens!$H$2116-Sens!$H$2137+Sens!$H$2138+Sens!$H$2139</f>
        <v>126.471291616036</v>
      </c>
      <c r="I2140" s="38" t="n">
        <f aca="false">Sens!$I$2116-Sens!$I$2137+Sens!$I$2138+Sens!$I$2139</f>
        <v>147.610780634016</v>
      </c>
      <c r="J2140" s="38" t="n">
        <f aca="false">Sens!$J$2116-Sens!$J$2137+Sens!$J$2138+Sens!$J$2139</f>
        <v>168.913672811015</v>
      </c>
      <c r="K2140" s="38" t="n">
        <f aca="false">Sens!$K$2116-Sens!$K$2137+Sens!$K$2138+Sens!$K$2139</f>
        <v>186.338749508708</v>
      </c>
      <c r="L2140" s="38" t="n">
        <f aca="false">Sens!$L$2116-Sens!$L$2137+Sens!$L$2138+Sens!$L$2139</f>
        <v>205.020310777106</v>
      </c>
      <c r="M2140" s="38" t="n">
        <f aca="false">Sens!$M$2116-Sens!$M$2137+Sens!$M$2138+Sens!$M$2139</f>
        <v>228.665469974382</v>
      </c>
      <c r="N2140" s="38" t="n">
        <f aca="false">Q!$N$36</f>
        <v>42.536</v>
      </c>
      <c r="O2140" s="38" t="n">
        <f aca="false">Q!$O$36</f>
        <v>54.775</v>
      </c>
    </row>
    <row r="2141" customFormat="false" ht="15" hidden="false" customHeight="false" outlineLevel="0" collapsed="false">
      <c r="A2141" s="5" t="s">
        <v>545</v>
      </c>
      <c r="B2141" s="0" t="s">
        <v>86</v>
      </c>
      <c r="C2141" s="38" t="n">
        <f aca="false">Q!$D$37</f>
        <v>9.265</v>
      </c>
      <c r="D2141" s="38" t="n">
        <f aca="false">Q!$E$37</f>
        <v>19.087</v>
      </c>
      <c r="E2141" s="38" t="n">
        <f aca="false">Q!$P$37</f>
        <v>27.759</v>
      </c>
      <c r="F2141" s="38" t="n">
        <f aca="false">Sens!$F$2140*tax</f>
        <v>9.69116548176465</v>
      </c>
      <c r="G2141" s="38" t="n">
        <f aca="false">Sens!$E$2141+Sens!$F$2141</f>
        <v>37.4501654817647</v>
      </c>
      <c r="H2141" s="38" t="n">
        <f aca="false">Sens!$H$2140*tax</f>
        <v>21.9534592863193</v>
      </c>
      <c r="I2141" s="38" t="n">
        <f aca="false">Sens!$I$2140*tax</f>
        <v>25.6229474805157</v>
      </c>
      <c r="J2141" s="38" t="n">
        <f aca="false">Sens!$J$2140*tax</f>
        <v>29.3207999347189</v>
      </c>
      <c r="K2141" s="38" t="n">
        <f aca="false">Sens!$K$2140*tax</f>
        <v>32.345523624623</v>
      </c>
      <c r="L2141" s="38" t="n">
        <f aca="false">Sens!$L$2140*tax</f>
        <v>35.5883535939396</v>
      </c>
      <c r="M2141" s="38" t="n">
        <f aca="false">Sens!$M$2140*tax</f>
        <v>39.6927873600775</v>
      </c>
      <c r="N2141" s="38" t="n">
        <f aca="false">Q!$N$37</f>
        <v>7.231</v>
      </c>
      <c r="O2141" s="38" t="n">
        <f aca="false">Q!$O$37</f>
        <v>11.856</v>
      </c>
    </row>
    <row r="2142" customFormat="false" ht="15" hidden="false" customHeight="false" outlineLevel="0" collapsed="false">
      <c r="A2142" s="3" t="s">
        <v>546</v>
      </c>
      <c r="B2142" s="8" t="s">
        <v>86</v>
      </c>
      <c r="C2142" s="38" t="n">
        <f aca="false">Q!$D$38</f>
        <v>59.248</v>
      </c>
      <c r="D2142" s="38" t="n">
        <f aca="false">Q!$E$38</f>
        <v>77.67</v>
      </c>
      <c r="E2142" s="38" t="n">
        <f aca="false">Q!$P$38</f>
        <v>92.902</v>
      </c>
      <c r="F2142" s="38" t="n">
        <f aca="false">Sens!$F$2140-Sens!$F$2141</f>
        <v>46.1384967030604</v>
      </c>
      <c r="G2142" s="38" t="n">
        <f aca="false">Sens!$E$2142+Sens!$F$2142</f>
        <v>139.04049670306</v>
      </c>
      <c r="H2142" s="38" t="n">
        <f aca="false">Sens!$H$2140-Sens!$H$2141</f>
        <v>104.517832329716</v>
      </c>
      <c r="I2142" s="38" t="n">
        <f aca="false">Sens!$I$2140-Sens!$I$2141</f>
        <v>121.9878331535</v>
      </c>
      <c r="J2142" s="38" t="n">
        <f aca="false">Sens!$J$2140-Sens!$J$2141</f>
        <v>139.592872876296</v>
      </c>
      <c r="K2142" s="38" t="n">
        <f aca="false">Sens!$K$2140-Sens!$K$2141</f>
        <v>153.993225884085</v>
      </c>
      <c r="L2142" s="38" t="n">
        <f aca="false">Sens!$L$2140-Sens!$L$2141</f>
        <v>169.431957183167</v>
      </c>
      <c r="M2142" s="38" t="n">
        <f aca="false">Sens!$M$2140-Sens!$M$2141</f>
        <v>188.972682614304</v>
      </c>
      <c r="N2142" s="38" t="n">
        <f aca="false">Q!$N$38</f>
        <v>35.291</v>
      </c>
      <c r="O2142" s="38" t="n">
        <f aca="false">Q!$O$38</f>
        <v>42.379</v>
      </c>
    </row>
    <row r="2143" customFormat="false" ht="17.15" hidden="false" customHeight="false" outlineLevel="0" collapsed="false">
      <c r="A2143" s="5" t="s">
        <v>549</v>
      </c>
      <c r="B2143" s="5" t="s">
        <v>33</v>
      </c>
      <c r="C2143" s="22" t="n">
        <f aca="false">Q!$D$41</f>
        <v>10.721</v>
      </c>
      <c r="D2143" s="22" t="n">
        <f aca="false">Q!$E$41</f>
        <v>10.827</v>
      </c>
      <c r="E2143" s="22" t="n">
        <f aca="false">(Q!$L$41+Q!$M$41)/2</f>
        <v>10.8885</v>
      </c>
      <c r="F2143" s="22" t="n">
        <f aca="false">Sens!$G$2143</f>
        <v>10.924806</v>
      </c>
      <c r="G2143" s="22" t="n">
        <f aca="false">Q!$M$41*(1+sh_g*0.25)</f>
        <v>10.924806</v>
      </c>
      <c r="H2143" s="22" t="n">
        <f aca="false">Sens!$G$2143*(1+sh_g)</f>
        <v>11.012204448</v>
      </c>
      <c r="I2143" s="22" t="n">
        <f aca="false">Sens!$H$2143*(1+sh_g)</f>
        <v>11.100302083584</v>
      </c>
      <c r="J2143" s="22" t="n">
        <f aca="false">Sens!$I$2143*(1+sh_g)</f>
        <v>11.1891045002527</v>
      </c>
      <c r="K2143" s="22" t="n">
        <f aca="false">Sens!$J$2143*(1+sh_g)</f>
        <v>11.2786173362547</v>
      </c>
      <c r="L2143" s="22" t="n">
        <f aca="false">Sens!$K$2143*(1+sh_g)</f>
        <v>11.3688462749447</v>
      </c>
      <c r="M2143" s="22" t="n">
        <f aca="false">Sens!$L$2143*(1+sh_g)</f>
        <v>11.4597970451443</v>
      </c>
      <c r="P2143" s="5" t="s">
        <v>749</v>
      </c>
    </row>
    <row r="2144" customFormat="false" ht="17.15" hidden="false" customHeight="false" outlineLevel="0" collapsed="false">
      <c r="A2144" s="5" t="s">
        <v>750</v>
      </c>
      <c r="B2144" s="0" t="s">
        <v>86</v>
      </c>
      <c r="C2144" s="38" t="n">
        <f aca="false">Sens!$C$2142+Sens!$C$2118*(1-tax)</f>
        <v>59.248</v>
      </c>
      <c r="D2144" s="38" t="n">
        <f aca="false">Sens!$D$2142+Sens!$D$2118*(1-tax)</f>
        <v>77.67</v>
      </c>
      <c r="E2144" s="38" t="n">
        <f aca="false">Sens!$E$2142+Sens!$E$2118*(1-tax)</f>
        <v>92.902</v>
      </c>
      <c r="F2144" s="38" t="n">
        <f aca="false">Sens!$F$2142+Sens!$F$2118*(1-tax)</f>
        <v>49.2550916627091</v>
      </c>
      <c r="G2144" s="38" t="n">
        <f aca="false">Sens!$G$2142+Sens!$G$2118*(1-tax)</f>
        <v>142.157091662709</v>
      </c>
      <c r="H2144" s="38" t="n">
        <f aca="false">Sens!$H$2142+Sens!$H$2118*(1-tax)</f>
        <v>117.049228285061</v>
      </c>
      <c r="I2144" s="38" t="n">
        <f aca="false">Sens!$I$2142+Sens!$I$2118*(1-tax)</f>
        <v>143.129098228439</v>
      </c>
      <c r="J2144" s="38" t="n">
        <f aca="false">Sens!$J$2142+Sens!$J$2118*(1-tax)</f>
        <v>169.38230982058</v>
      </c>
      <c r="K2144" s="38" t="n">
        <f aca="false">Sens!$K$2142+Sens!$K$2118*(1-tax)</f>
        <v>191.160531580744</v>
      </c>
      <c r="L2144" s="38" t="n">
        <f aca="false">Sens!$L$2142+Sens!$L$2118*(1-tax)</f>
        <v>211.448034523722</v>
      </c>
      <c r="M2144" s="38" t="n">
        <f aca="false">Sens!$M$2142+Sens!$M$2118*(1-tax)</f>
        <v>233.302204805145</v>
      </c>
      <c r="N2144" s="38" t="n">
        <f aca="false">Sens!$N$2142+Sens!$N$2118*(1-tax)</f>
        <v>35.291</v>
      </c>
      <c r="O2144" s="38" t="n">
        <f aca="false">Sens!$O$2142+Sens!$O$2118*(1-tax)</f>
        <v>42.379</v>
      </c>
    </row>
    <row r="2145" customFormat="false" ht="17.15" hidden="false" customHeight="false" outlineLevel="0" collapsed="false">
      <c r="A2145" s="43" t="s">
        <v>751</v>
      </c>
      <c r="B2145" s="14" t="s">
        <v>27</v>
      </c>
      <c r="C2145" s="44" t="n">
        <f aca="false">Sens!$C$2144/Sens!$C$2143</f>
        <v>5.52635015390355</v>
      </c>
      <c r="D2145" s="44" t="n">
        <f aca="false">Sens!$D$2144/Sens!$D$2143</f>
        <v>7.1737323358271</v>
      </c>
      <c r="E2145" s="44" t="n">
        <f aca="false">Sens!$E$2144/Sens!$E$2143</f>
        <v>8.53212104513937</v>
      </c>
      <c r="F2145" s="14"/>
      <c r="G2145" s="44" t="n">
        <f aca="false">Sens!$G$2144/Sens!$G$2143</f>
        <v>13.0123218355282</v>
      </c>
      <c r="H2145" s="44" t="n">
        <f aca="false">Sens!$H$2144/Sens!$H$2143</f>
        <v>10.6290460586499</v>
      </c>
      <c r="I2145" s="44" t="n">
        <f aca="false">Sens!$I$2144/Sens!$I$2143</f>
        <v>12.8941624426699</v>
      </c>
      <c r="J2145" s="44" t="n">
        <f aca="false">Sens!$J$2144/Sens!$J$2143</f>
        <v>15.138147098077</v>
      </c>
      <c r="K2145" s="44" t="n">
        <f aca="false">Sens!$K$2144/Sens!$K$2143</f>
        <v>16.9489331787386</v>
      </c>
      <c r="L2145" s="44" t="n">
        <f aca="false">Sens!$L$2144/Sens!$L$2143</f>
        <v>18.5988999595959</v>
      </c>
      <c r="M2145" s="44" t="n">
        <f aca="false">Sens!$M$2144/Sens!$M$2143</f>
        <v>20.3583190772125</v>
      </c>
      <c r="N2145" s="14"/>
      <c r="O2145" s="14"/>
    </row>
    <row r="2146" customFormat="false" ht="17.15" hidden="false" customHeight="false" outlineLevel="0" collapsed="false">
      <c r="A2146" s="0" t="s">
        <v>752</v>
      </c>
      <c r="B2146" s="0" t="s">
        <v>27</v>
      </c>
      <c r="C2146" s="30" t="n">
        <f aca="false">Sens!$C$2142/Sens!$C$2143</f>
        <v>5.52635015390355</v>
      </c>
      <c r="D2146" s="30" t="n">
        <f aca="false">Sens!$D$2142/Sens!$D$2143</f>
        <v>7.1737323358271</v>
      </c>
      <c r="E2146" s="30" t="n">
        <f aca="false">Sens!$E$2142/Sens!$E$2143</f>
        <v>8.53212104513937</v>
      </c>
      <c r="G2146" s="30" t="n">
        <f aca="false">Sens!$G$2142/Sens!$G$2143</f>
        <v>12.7270449198879</v>
      </c>
      <c r="H2146" s="30" t="n">
        <f aca="false">Sens!$H$2142/Sens!$H$2143</f>
        <v>9.49109080050712</v>
      </c>
      <c r="I2146" s="30" t="n">
        <f aca="false">Sens!$I$2142/Sens!$I$2143</f>
        <v>10.989595799731</v>
      </c>
      <c r="J2146" s="30" t="n">
        <f aca="false">Sens!$J$2142/Sens!$J$2143</f>
        <v>12.4757859642069</v>
      </c>
      <c r="K2146" s="30" t="n">
        <f aca="false">Sens!$K$2142/Sens!$K$2143</f>
        <v>13.6535553333368</v>
      </c>
      <c r="L2146" s="30" t="n">
        <f aca="false">Sens!$L$2142/Sens!$L$2143</f>
        <v>14.9031795386811</v>
      </c>
      <c r="M2146" s="30" t="n">
        <f aca="false">Sens!$M$2142/Sens!$M$2143</f>
        <v>16.490054917192</v>
      </c>
    </row>
    <row r="2147" customFormat="false" ht="17.15" hidden="false" customHeight="false" outlineLevel="0" collapsed="false">
      <c r="A2147" s="0" t="s">
        <v>753</v>
      </c>
      <c r="B2147" s="0" t="s">
        <v>27</v>
      </c>
      <c r="C2147" s="30" t="n">
        <f aca="false">(Sens!$C$2142-Sens!$C$2139*(1-tax))/Sens!$C$2143</f>
        <v>5.33926775917445</v>
      </c>
      <c r="D2147" s="30" t="n">
        <f aca="false">(Sens!$D$2142-Sens!$D$2139*(1-tax))/Sens!$D$2143</f>
        <v>5.67691812755503</v>
      </c>
      <c r="E2147" s="30" t="n">
        <f aca="false">(Sens!$E$2142-Sens!$E$2139*(1-tax))/Sens!$E$2143</f>
        <v>3.10602057006846</v>
      </c>
      <c r="G2147" s="30" t="n">
        <f aca="false">(Sens!$G$2142-Sens!$G$2139*(1-tax))/Sens!$G$2143</f>
        <v>7.31897680199088</v>
      </c>
      <c r="H2147" s="30" t="n">
        <f aca="false">(Sens!$H$2142-Sens!$H$2139*(1-tax))/Sens!$H$2143</f>
        <v>9.49109080050712</v>
      </c>
      <c r="I2147" s="30" t="n">
        <f aca="false">(Sens!$I$2142-Sens!$I$2139*(1-tax))/Sens!$I$2143</f>
        <v>10.989595799731</v>
      </c>
      <c r="J2147" s="30" t="n">
        <f aca="false">(Sens!$J$2142-Sens!$J$2139*(1-tax))/Sens!$J$2143</f>
        <v>12.4757859642069</v>
      </c>
      <c r="K2147" s="30" t="n">
        <f aca="false">(Sens!$K$2142-Sens!$K$2139*(1-tax))/Sens!$K$2143</f>
        <v>13.6535553333368</v>
      </c>
      <c r="L2147" s="30" t="n">
        <f aca="false">(Sens!$L$2142-Sens!$L$2139*(1-tax))/Sens!$L$2143</f>
        <v>14.9031795386811</v>
      </c>
      <c r="M2147" s="30" t="n">
        <f aca="false">(Sens!$M$2142-Sens!$M$2139*(1-tax))/Sens!$M$2143</f>
        <v>16.490054917192</v>
      </c>
      <c r="P2147" s="5" t="s">
        <v>754</v>
      </c>
    </row>
    <row r="2148" customFormat="false" ht="17.15" hidden="false" customHeight="false" outlineLevel="0" collapsed="false">
      <c r="A2148" s="0" t="s">
        <v>755</v>
      </c>
      <c r="B2148" s="0" t="s">
        <v>52</v>
      </c>
      <c r="H2148" s="13" t="n">
        <f aca="false">Sens!$H$2145/Sens!$G$2145-1</f>
        <v>-0.183155305179365</v>
      </c>
      <c r="I2148" s="13" t="n">
        <f aca="false">Sens!$I$2145/Sens!$H$2145-1</f>
        <v>0.213106272333503</v>
      </c>
      <c r="J2148" s="13" t="n">
        <f aca="false">Sens!$J$2145/Sens!$I$2145-1</f>
        <v>0.174031052065948</v>
      </c>
      <c r="K2148" s="13" t="n">
        <f aca="false">Sens!$K$2145/Sens!$J$2145-1</f>
        <v>0.119617418758714</v>
      </c>
      <c r="L2148" s="13" t="n">
        <f aca="false">Sens!$L$2145/Sens!$K$2145-1</f>
        <v>0.0973493000094594</v>
      </c>
      <c r="M2148" s="13" t="n">
        <f aca="false">Sens!$M$2145/Sens!$L$2145-1</f>
        <v>0.094598020390386</v>
      </c>
    </row>
    <row r="2151" customFormat="false" ht="19.4" hidden="false" customHeight="false" outlineLevel="0" collapsed="false">
      <c r="A2151" s="31" t="s">
        <v>1170</v>
      </c>
    </row>
    <row r="2152" customFormat="false" ht="17.15" hidden="false" customHeight="false" outlineLevel="0" collapsed="false">
      <c r="A2152" s="6" t="s">
        <v>16</v>
      </c>
      <c r="B2152" s="6" t="s">
        <v>17</v>
      </c>
      <c r="C2152" s="20" t="s">
        <v>494</v>
      </c>
      <c r="D2152" s="20" t="s">
        <v>495</v>
      </c>
      <c r="E2152" s="20" t="s">
        <v>577</v>
      </c>
      <c r="F2152" s="20" t="s">
        <v>578</v>
      </c>
      <c r="G2152" s="20" t="s">
        <v>579</v>
      </c>
      <c r="H2152" s="20" t="s">
        <v>580</v>
      </c>
      <c r="I2152" s="20" t="s">
        <v>581</v>
      </c>
      <c r="J2152" s="20" t="s">
        <v>582</v>
      </c>
      <c r="K2152" s="20" t="s">
        <v>583</v>
      </c>
      <c r="L2152" s="20" t="s">
        <v>584</v>
      </c>
      <c r="M2152" s="20" t="s">
        <v>585</v>
      </c>
      <c r="N2152" s="20" t="s">
        <v>586</v>
      </c>
      <c r="O2152" s="20" t="s">
        <v>587</v>
      </c>
      <c r="P2152" s="6" t="s">
        <v>23</v>
      </c>
      <c r="R2152" s="20" t="n">
        <v>2023</v>
      </c>
      <c r="S2152" s="20" t="n">
        <v>2024</v>
      </c>
      <c r="T2152" s="20" t="n">
        <v>2025</v>
      </c>
      <c r="U2152" s="20" t="n">
        <v>2026</v>
      </c>
      <c r="V2152" s="20" t="n">
        <v>2027</v>
      </c>
      <c r="W2152" s="20" t="n">
        <v>2028</v>
      </c>
      <c r="X2152" s="20" t="n">
        <v>2029</v>
      </c>
      <c r="Y2152" s="20" t="n">
        <v>2030</v>
      </c>
      <c r="Z2152" s="20" t="n">
        <v>2031</v>
      </c>
      <c r="AA2152" s="20" t="n">
        <v>2032</v>
      </c>
    </row>
    <row r="2153" customFormat="false" ht="15" hidden="false" customHeight="false" outlineLevel="0" collapsed="false">
      <c r="A2153" s="5" t="s">
        <v>546</v>
      </c>
      <c r="B2153" s="0" t="s">
        <v>86</v>
      </c>
      <c r="C2153" s="38" t="n">
        <f aca="false">Sens!$C$2142</f>
        <v>59.248</v>
      </c>
      <c r="D2153" s="38" t="n">
        <f aca="false">Sens!$D$2142</f>
        <v>77.67</v>
      </c>
      <c r="E2153" s="38" t="n">
        <f aca="false">Sens!$E$2142</f>
        <v>92.902</v>
      </c>
      <c r="F2153" s="38" t="n">
        <f aca="false">Sens!$F$2142</f>
        <v>46.1384967030604</v>
      </c>
      <c r="G2153" s="38" t="n">
        <f aca="false">Sens!$G$2142</f>
        <v>139.04049670306</v>
      </c>
      <c r="H2153" s="38" t="n">
        <f aca="false">Sens!$H$2142</f>
        <v>104.517832329716</v>
      </c>
      <c r="I2153" s="38" t="n">
        <f aca="false">Sens!$I$2142</f>
        <v>121.9878331535</v>
      </c>
      <c r="J2153" s="38" t="n">
        <f aca="false">Sens!$J$2142</f>
        <v>139.592872876296</v>
      </c>
      <c r="K2153" s="38" t="n">
        <f aca="false">Sens!$K$2142</f>
        <v>153.993225884085</v>
      </c>
      <c r="L2153" s="38" t="n">
        <f aca="false">Sens!$L$2142</f>
        <v>169.431957183167</v>
      </c>
      <c r="M2153" s="38" t="n">
        <f aca="false">Sens!$M$2142</f>
        <v>188.972682614304</v>
      </c>
    </row>
    <row r="2154" customFormat="false" ht="17.15" hidden="false" customHeight="false" outlineLevel="0" collapsed="false">
      <c r="A2154" s="5" t="s">
        <v>778</v>
      </c>
      <c r="B2154" s="0" t="s">
        <v>86</v>
      </c>
      <c r="C2154" s="38" t="n">
        <f aca="false">Sens!$C$2130</f>
        <v>32.067</v>
      </c>
      <c r="D2154" s="38" t="n">
        <f aca="false">Sens!$D$2130</f>
        <v>41.86</v>
      </c>
      <c r="E2154" s="38" t="n">
        <f aca="false">Sens!$E$2130</f>
        <v>26.703</v>
      </c>
      <c r="F2154" s="38" t="n">
        <f aca="false">Sens!$F$2130</f>
        <v>28.7313360489034</v>
      </c>
      <c r="G2154" s="38" t="n">
        <f aca="false">Sens!$G$2130</f>
        <v>55.4343360489034</v>
      </c>
      <c r="H2154" s="38" t="n">
        <f aca="false">Sens!$H$2130</f>
        <v>80.34811873759</v>
      </c>
      <c r="I2154" s="38" t="n">
        <f aca="false">Sens!$I$2130</f>
        <v>109.506404765426</v>
      </c>
      <c r="J2154" s="38" t="n">
        <f aca="false">Sens!$J$2130</f>
        <v>139.251589115378</v>
      </c>
      <c r="K2154" s="38" t="n">
        <f aca="false">Sens!$K$2130</f>
        <v>168.532331825281</v>
      </c>
      <c r="L2154" s="38" t="n">
        <f aca="false">Sens!$L$2130</f>
        <v>191.427734786999</v>
      </c>
      <c r="M2154" s="38" t="n">
        <f aca="false">Sens!$M$2130</f>
        <v>205.638541749181</v>
      </c>
    </row>
    <row r="2155" customFormat="false" ht="15" hidden="false" customHeight="false" outlineLevel="0" collapsed="false">
      <c r="A2155" s="5" t="s">
        <v>779</v>
      </c>
      <c r="B2155" s="0" t="s">
        <v>86</v>
      </c>
      <c r="C2155" s="38" t="n">
        <f aca="false">Q!$D$48</f>
        <v>22.011</v>
      </c>
      <c r="D2155" s="38" t="n">
        <f aca="false">Q!$E$48</f>
        <v>19.467</v>
      </c>
      <c r="E2155" s="38" t="n">
        <f aca="false">Q!$P$48</f>
        <v>10.07</v>
      </c>
      <c r="F2155" s="38" t="n">
        <f aca="false">sbc_r*Sens!$F$2072</f>
        <v>10.8507035798037</v>
      </c>
      <c r="G2155" s="38" t="n">
        <f aca="false">Sens!$E$2155+Sens!$F$2155</f>
        <v>20.9207035798037</v>
      </c>
      <c r="H2155" s="38" t="n">
        <f aca="false">sbc_r*Sens!$H$2072</f>
        <v>23.46224366345</v>
      </c>
      <c r="I2155" s="38" t="n">
        <f aca="false">sbc_r*Sens!$I$2072</f>
        <v>26.6125957111676</v>
      </c>
      <c r="J2155" s="38" t="n">
        <f aca="false">sbc_r*Sens!$J$2072</f>
        <v>29.6280801413323</v>
      </c>
      <c r="K2155" s="38" t="n">
        <f aca="false">sbc_r*Sens!$K$2072</f>
        <v>32.2712258901105</v>
      </c>
      <c r="L2155" s="38" t="n">
        <f aca="false">sbc_r*Sens!$L$2072</f>
        <v>34.7390505016737</v>
      </c>
      <c r="M2155" s="38" t="n">
        <f aca="false">sbc_r*Sens!$M$2072</f>
        <v>37.0405146906692</v>
      </c>
    </row>
    <row r="2156" customFormat="false" ht="17.15" hidden="false" customHeight="false" outlineLevel="0" collapsed="false">
      <c r="A2156" s="5" t="s">
        <v>780</v>
      </c>
      <c r="B2156" s="0" t="s">
        <v>86</v>
      </c>
      <c r="C2156" s="38" t="n">
        <f aca="false">Q!$D$44-Sens!$C$2153-Sens!$C$2154-Sens!$C$2155</f>
        <v>2.551</v>
      </c>
      <c r="D2156" s="38" t="n">
        <f aca="false">Q!$E$44-Sens!$D$2153-Sens!$D$2154-Sens!$D$2155</f>
        <v>0.51700000000001</v>
      </c>
      <c r="E2156" s="38" t="n">
        <f aca="false">Q!$P$44-Sens!$E$2153-Sens!$E$2154-Sens!$E$2155</f>
        <v>-58.256</v>
      </c>
      <c r="F2156" s="38" t="n">
        <f aca="false">oth_r*Sens!$F$2072</f>
        <v>5.22265251035878</v>
      </c>
      <c r="G2156" s="38" t="n">
        <f aca="false">Sens!$E$2156+Sens!$F$2156</f>
        <v>-53.0333474896412</v>
      </c>
      <c r="H2156" s="38" t="n">
        <f aca="false">oth_r*Sens!$H$2072</f>
        <v>11.2928295263397</v>
      </c>
      <c r="I2156" s="38" t="n">
        <f aca="false">oth_r*Sens!$I$2072</f>
        <v>12.8091546115766</v>
      </c>
      <c r="J2156" s="38" t="n">
        <f aca="false">oth_r*Sens!$J$2072</f>
        <v>14.2605653162668</v>
      </c>
      <c r="K2156" s="38" t="n">
        <f aca="false">oth_r*Sens!$K$2072</f>
        <v>15.5327622460396</v>
      </c>
      <c r="L2156" s="38" t="n">
        <f aca="false">oth_r*Sens!$L$2072</f>
        <v>16.720573737517</v>
      </c>
      <c r="M2156" s="38" t="n">
        <f aca="false">oth_r*Sens!$M$2072</f>
        <v>17.8283127551536</v>
      </c>
      <c r="P2156" s="8" t="s">
        <v>781</v>
      </c>
    </row>
    <row r="2157" customFormat="false" ht="15" hidden="false" customHeight="false" outlineLevel="0" collapsed="false">
      <c r="A2157" s="3" t="s">
        <v>552</v>
      </c>
      <c r="B2157" s="8" t="s">
        <v>86</v>
      </c>
      <c r="C2157" s="38" t="n">
        <f aca="false">Q!$D$44</f>
        <v>115.877</v>
      </c>
      <c r="D2157" s="38" t="n">
        <f aca="false">Q!$E$44</f>
        <v>139.514</v>
      </c>
      <c r="E2157" s="38" t="n">
        <f aca="false">Q!$P$44</f>
        <v>71.419</v>
      </c>
      <c r="F2157" s="38" t="n">
        <f aca="false">Sens!$F$2153+Sens!$F$2154+Sens!$F$2155+Sens!$F$2156</f>
        <v>90.9431888421263</v>
      </c>
      <c r="G2157" s="38" t="n">
        <f aca="false">Sens!$E$2157+Sens!$F$2157</f>
        <v>162.362188842126</v>
      </c>
      <c r="H2157" s="38" t="n">
        <f aca="false">Sens!$H$2153+Sens!$H$2154+Sens!$H$2155+Sens!$H$2156</f>
        <v>219.621024257096</v>
      </c>
      <c r="I2157" s="38" t="n">
        <f aca="false">Sens!$I$2153+Sens!$I$2154+Sens!$I$2155+Sens!$I$2156</f>
        <v>270.91598824167</v>
      </c>
      <c r="J2157" s="38" t="n">
        <f aca="false">Sens!$J$2153+Sens!$J$2154+Sens!$J$2155+Sens!$J$2156</f>
        <v>322.733107449273</v>
      </c>
      <c r="K2157" s="38" t="n">
        <f aca="false">Sens!$K$2153+Sens!$K$2154+Sens!$K$2155+Sens!$K$2156</f>
        <v>370.329545845516</v>
      </c>
      <c r="L2157" s="38" t="n">
        <f aca="false">Sens!$L$2153+Sens!$L$2154+Sens!$L$2155+Sens!$L$2156</f>
        <v>412.319316209357</v>
      </c>
      <c r="M2157" s="38" t="n">
        <f aca="false">Sens!$M$2153+Sens!$M$2154+Sens!$M$2155+Sens!$M$2156</f>
        <v>449.480051809308</v>
      </c>
    </row>
    <row r="2158" customFormat="false" ht="17.15" hidden="false" customHeight="false" outlineLevel="0" collapsed="false">
      <c r="A2158" s="5" t="s">
        <v>782</v>
      </c>
      <c r="B2158" s="0" t="s">
        <v>86</v>
      </c>
      <c r="C2158" s="38" t="n">
        <f aca="false">Sens!$C$2041</f>
        <v>25.2781053077374</v>
      </c>
      <c r="D2158" s="38" t="n">
        <f aca="false">Sens!$D$2041</f>
        <v>69.5686316310026</v>
      </c>
      <c r="E2158" s="38" t="n">
        <f aca="false">Sens!$E$2041</f>
        <v>64.1899206485108</v>
      </c>
      <c r="F2158" s="38" t="n">
        <f aca="false">Sens!$F$2041</f>
        <v>96.2481299895</v>
      </c>
      <c r="G2158" s="38" t="n">
        <f aca="false">Sens!$G$2041</f>
        <v>160.438050638011</v>
      </c>
      <c r="H2158" s="38" t="n">
        <f aca="false">Sens!$H$2041</f>
        <v>198.57136494475</v>
      </c>
      <c r="I2158" s="38" t="n">
        <f aca="false">Sens!$I$2041</f>
        <v>204.6464699105</v>
      </c>
      <c r="J2158" s="38" t="n">
        <f aca="false">Sens!$J$2041</f>
        <v>204.6464699105</v>
      </c>
      <c r="K2158" s="38" t="n">
        <f aca="false">Sens!$K$2041</f>
        <v>150.001617075201</v>
      </c>
      <c r="L2158" s="38" t="n">
        <f aca="false">Sens!$L$2041</f>
        <v>95.3567642399017</v>
      </c>
      <c r="M2158" s="38" t="n">
        <f aca="false">Sens!$M$2041</f>
        <v>72.1325206046024</v>
      </c>
    </row>
    <row r="2159" customFormat="false" ht="17.15" hidden="false" customHeight="false" outlineLevel="0" collapsed="false">
      <c r="A2159" s="5" t="s">
        <v>783</v>
      </c>
      <c r="B2159" s="0" t="s">
        <v>86</v>
      </c>
      <c r="C2159" s="38" t="n">
        <f aca="false">cx_awso*Sens!$C$2070</f>
        <v>21.0469989286053</v>
      </c>
      <c r="D2159" s="38" t="n">
        <f aca="false">cx_awso*Sens!$D$2070</f>
        <v>24.0042459822698</v>
      </c>
      <c r="E2159" s="38" t="n">
        <f aca="false">cx_awso*Sens!$E$2070</f>
        <v>14.261729404886</v>
      </c>
      <c r="F2159" s="38" t="n">
        <f aca="false">cx_awso*Sens!$F$2070</f>
        <v>14.3538599588493</v>
      </c>
      <c r="G2159" s="38" t="n">
        <f aca="false">Sens!$E$2159+Sens!$F$2159</f>
        <v>28.6155893637353</v>
      </c>
      <c r="H2159" s="38" t="n">
        <f aca="false">cx_awso*Sens!$H$2070</f>
        <v>32.2034154158406</v>
      </c>
      <c r="I2159" s="38" t="n">
        <f aca="false">cx_awso*Sens!$I$2070</f>
        <v>35.7539519042915</v>
      </c>
      <c r="J2159" s="38" t="n">
        <f aca="false">cx_awso*Sens!$J$2070</f>
        <v>39.1551076091815</v>
      </c>
      <c r="K2159" s="38" t="n">
        <f aca="false">cx_awso*Sens!$K$2070</f>
        <v>42.287516217916</v>
      </c>
      <c r="L2159" s="38" t="n">
        <f aca="false">cx_awso*Sens!$L$2070</f>
        <v>45.6705175153492</v>
      </c>
      <c r="M2159" s="38" t="n">
        <f aca="false">cx_awso*Sens!$M$2070</f>
        <v>49.3241589165772</v>
      </c>
    </row>
    <row r="2160" customFormat="false" ht="17.15" hidden="false" customHeight="false" outlineLevel="0" collapsed="false">
      <c r="A2160" s="5" t="s">
        <v>784</v>
      </c>
      <c r="B2160" s="0" t="s">
        <v>86</v>
      </c>
      <c r="C2160" s="38" t="n">
        <f aca="false">Q!$D$46-Sens!$C$2158-Sens!$C$2159</f>
        <v>31.3328957636573</v>
      </c>
      <c r="D2160" s="38" t="n">
        <f aca="false">Q!$E$46-Sens!$D$2158-Sens!$D$2159</f>
        <v>34.7471223867276</v>
      </c>
      <c r="E2160" s="38" t="n">
        <f aca="false">Q!$P$46-Sens!$E$2158-Sens!$E$2159</f>
        <v>17.8583499466032</v>
      </c>
      <c r="F2160" s="38" t="n">
        <f aca="false">cx_rt*Sens!$F$2004</f>
        <v>20.6195895799373</v>
      </c>
      <c r="G2160" s="38" t="n">
        <f aca="false">Sens!$E$2160+Sens!$F$2160</f>
        <v>38.4779395265405</v>
      </c>
      <c r="H2160" s="38" t="n">
        <f aca="false">cx_rt*Sens!$H$2004</f>
        <v>42.5978994743075</v>
      </c>
      <c r="I2160" s="38" t="n">
        <f aca="false">cx_rt*Sens!$I$2004</f>
        <v>46.5813904136335</v>
      </c>
      <c r="J2160" s="38" t="n">
        <f aca="false">cx_rt*Sens!$J$2004</f>
        <v>50.2781676586844</v>
      </c>
      <c r="K2160" s="38" t="n">
        <f aca="false">cx_rt*Sens!$K$2004</f>
        <v>53.5312440191755</v>
      </c>
      <c r="L2160" s="38" t="n">
        <f aca="false">cx_rt*Sens!$L$2004</f>
        <v>57.0116717051447</v>
      </c>
      <c r="M2160" s="38" t="n">
        <f aca="false">cx_rt*Sens!$M$2004</f>
        <v>60.7365554669226</v>
      </c>
    </row>
    <row r="2161" customFormat="false" ht="15" hidden="false" customHeight="false" outlineLevel="0" collapsed="false">
      <c r="A2161" s="3" t="s">
        <v>785</v>
      </c>
      <c r="B2161" s="8" t="s">
        <v>86</v>
      </c>
      <c r="C2161" s="38" t="n">
        <f aca="false">Q!$D$46</f>
        <v>77.658</v>
      </c>
      <c r="D2161" s="38" t="n">
        <f aca="false">Q!$E$46</f>
        <v>128.32</v>
      </c>
      <c r="E2161" s="38" t="n">
        <f aca="false">Q!$P$46</f>
        <v>96.31</v>
      </c>
      <c r="F2161" s="38" t="n">
        <f aca="false">Sens!$F$2158+Sens!$F$2159+Sens!$F$2160</f>
        <v>131.221579528287</v>
      </c>
      <c r="G2161" s="38" t="n">
        <f aca="false">Sens!$E$2161+Sens!$F$2161</f>
        <v>227.531579528287</v>
      </c>
      <c r="H2161" s="38" t="n">
        <f aca="false">Sens!$H$2158+Sens!$H$2159+Sens!$H$2160</f>
        <v>273.372679834898</v>
      </c>
      <c r="I2161" s="38" t="n">
        <f aca="false">Sens!$I$2158+Sens!$I$2159+Sens!$I$2160</f>
        <v>286.981812228425</v>
      </c>
      <c r="J2161" s="38" t="n">
        <f aca="false">Sens!$J$2158+Sens!$J$2159+Sens!$J$2160</f>
        <v>294.079745178366</v>
      </c>
      <c r="K2161" s="38" t="n">
        <f aca="false">Sens!$K$2158+Sens!$K$2159+Sens!$K$2160</f>
        <v>245.820377312292</v>
      </c>
      <c r="L2161" s="38" t="n">
        <f aca="false">Sens!$L$2158+Sens!$L$2159+Sens!$L$2160</f>
        <v>198.038953460396</v>
      </c>
      <c r="M2161" s="38" t="n">
        <f aca="false">Sens!$M$2158+Sens!$M$2159+Sens!$M$2160</f>
        <v>182.193234988102</v>
      </c>
    </row>
    <row r="2162" customFormat="false" ht="17.15" hidden="false" customHeight="false" outlineLevel="0" collapsed="false">
      <c r="A2162" s="5" t="s">
        <v>560</v>
      </c>
      <c r="B2162" s="0" t="s">
        <v>86</v>
      </c>
      <c r="C2162" s="38" t="n">
        <f aca="false">Q!$D$50</f>
        <v>2.043</v>
      </c>
      <c r="D2162" s="38" t="n">
        <f aca="false">Q!$E$50</f>
        <v>1.557</v>
      </c>
      <c r="E2162" s="38" t="n">
        <f aca="false">lease_pr/2</f>
        <v>0.8</v>
      </c>
      <c r="F2162" s="38" t="n">
        <f aca="false">lease_pr/2</f>
        <v>0.8</v>
      </c>
      <c r="G2162" s="38" t="n">
        <f aca="false">Sens!$E$2162+Sens!$F$2162</f>
        <v>1.6</v>
      </c>
      <c r="H2162" s="38" t="n">
        <f aca="false">lease_pr</f>
        <v>1.6</v>
      </c>
      <c r="I2162" s="38" t="n">
        <f aca="false">lease_pr</f>
        <v>1.6</v>
      </c>
      <c r="J2162" s="38" t="n">
        <f aca="false">lease_pr</f>
        <v>1.6</v>
      </c>
      <c r="K2162" s="38" t="n">
        <f aca="false">lease_pr</f>
        <v>1.6</v>
      </c>
      <c r="L2162" s="38" t="n">
        <f aca="false">lease_pr</f>
        <v>1.6</v>
      </c>
      <c r="M2162" s="38" t="n">
        <f aca="false">lease_pr</f>
        <v>1.6</v>
      </c>
      <c r="P2162" s="8" t="s">
        <v>786</v>
      </c>
    </row>
    <row r="2163" customFormat="false" ht="15" hidden="false" customHeight="false" outlineLevel="0" collapsed="false">
      <c r="A2163" s="47" t="s">
        <v>787</v>
      </c>
      <c r="B2163" s="14" t="s">
        <v>86</v>
      </c>
      <c r="C2163" s="48" t="n">
        <f aca="false">Sens!$C$2157-Sens!$C$2161-Sens!$C$2162</f>
        <v>36.176</v>
      </c>
      <c r="D2163" s="48" t="n">
        <f aca="false">Sens!$D$2157-Sens!$D$2161-Sens!$D$2162</f>
        <v>9.63700000000002</v>
      </c>
      <c r="E2163" s="48" t="n">
        <f aca="false">Sens!$E$2157-Sens!$E$2161-Sens!$E$2162</f>
        <v>-25.691</v>
      </c>
      <c r="F2163" s="48" t="n">
        <f aca="false">Sens!$F$2157-Sens!$F$2161-Sens!$F$2162</f>
        <v>-41.0783906861604</v>
      </c>
      <c r="G2163" s="48" t="n">
        <f aca="false">Sens!$G$2157-Sens!$G$2161-Sens!$G$2162</f>
        <v>-66.7693906861604</v>
      </c>
      <c r="H2163" s="48" t="n">
        <f aca="false">Sens!$H$2157-Sens!$H$2161-Sens!$H$2162</f>
        <v>-55.3516555778021</v>
      </c>
      <c r="I2163" s="48" t="n">
        <f aca="false">Sens!$I$2157-Sens!$I$2161-Sens!$I$2162</f>
        <v>-17.6658239867549</v>
      </c>
      <c r="J2163" s="48" t="n">
        <f aca="false">Sens!$J$2157-Sens!$J$2161-Sens!$J$2162</f>
        <v>27.0533622709073</v>
      </c>
      <c r="K2163" s="48" t="n">
        <f aca="false">Sens!$K$2157-Sens!$K$2161-Sens!$K$2162</f>
        <v>122.909168533223</v>
      </c>
      <c r="L2163" s="48" t="n">
        <f aca="false">Sens!$L$2157-Sens!$L$2161-Sens!$L$2162</f>
        <v>212.680362748961</v>
      </c>
      <c r="M2163" s="48" t="n">
        <f aca="false">Sens!$M$2157-Sens!$M$2161-Sens!$M$2162</f>
        <v>265.686816821206</v>
      </c>
      <c r="N2163" s="14"/>
      <c r="O2163" s="14"/>
    </row>
    <row r="2164" customFormat="false" ht="17.15" hidden="false" customHeight="false" outlineLevel="0" collapsed="false">
      <c r="A2164" s="5" t="s">
        <v>788</v>
      </c>
      <c r="B2164" s="0" t="s">
        <v>86</v>
      </c>
      <c r="C2164" s="38" t="n">
        <f aca="false">dps*Sens!$C$2143</f>
        <v>0</v>
      </c>
      <c r="D2164" s="38" t="n">
        <f aca="false">dps*Sens!$D$2143</f>
        <v>0</v>
      </c>
      <c r="E2164" s="38" t="n">
        <f aca="false">dps*Sens!$E$2143</f>
        <v>0</v>
      </c>
      <c r="F2164" s="38" t="n">
        <f aca="false">0</f>
        <v>0</v>
      </c>
      <c r="G2164" s="38" t="n">
        <f aca="false">dps*Sens!$G$2143</f>
        <v>0</v>
      </c>
      <c r="H2164" s="38" t="n">
        <f aca="false">dps*Sens!$H$2143</f>
        <v>0</v>
      </c>
      <c r="I2164" s="38" t="n">
        <f aca="false">dps*Sens!$I$2143</f>
        <v>0</v>
      </c>
      <c r="J2164" s="38" t="n">
        <f aca="false">dps*Sens!$J$2143</f>
        <v>0</v>
      </c>
      <c r="K2164" s="38" t="n">
        <f aca="false">dps*Sens!$K$2143</f>
        <v>0</v>
      </c>
      <c r="L2164" s="38" t="n">
        <f aca="false">dps*Sens!$L$2143</f>
        <v>0</v>
      </c>
      <c r="M2164" s="38" t="n">
        <f aca="false">dps*Sens!$M$2143</f>
        <v>0</v>
      </c>
      <c r="P2164" s="8" t="s">
        <v>789</v>
      </c>
    </row>
    <row r="2165" customFormat="false" ht="17.15" hidden="false" customHeight="false" outlineLevel="0" collapsed="false">
      <c r="A2165" s="5" t="s">
        <v>790</v>
      </c>
      <c r="B2165" s="0" t="s">
        <v>86</v>
      </c>
      <c r="C2165" s="38" t="n">
        <f aca="false">0</f>
        <v>0</v>
      </c>
      <c r="D2165" s="38" t="n">
        <f aca="false">0</f>
        <v>0</v>
      </c>
      <c r="E2165" s="38" t="n">
        <f aca="false">0</f>
        <v>0</v>
      </c>
      <c r="F2165" s="38" t="n">
        <f aca="false">0</f>
        <v>0</v>
      </c>
      <c r="G2165" s="38" t="n">
        <f aca="false">0</f>
        <v>0</v>
      </c>
      <c r="H2165" s="38" t="n">
        <f aca="false">0</f>
        <v>0</v>
      </c>
      <c r="I2165" s="38" t="n">
        <f aca="false">0</f>
        <v>0</v>
      </c>
      <c r="J2165" s="38" t="n">
        <f aca="false">0</f>
        <v>0</v>
      </c>
      <c r="K2165" s="38" t="n">
        <f aca="false">0</f>
        <v>0</v>
      </c>
      <c r="L2165" s="38" t="n">
        <f aca="false">0</f>
        <v>0</v>
      </c>
      <c r="M2165" s="38" t="n">
        <f aca="false">0</f>
        <v>0</v>
      </c>
      <c r="P2165" s="8" t="s">
        <v>791</v>
      </c>
    </row>
    <row r="2166" customFormat="false" ht="15" hidden="false" customHeight="false" outlineLevel="0" collapsed="false">
      <c r="A2166" s="3" t="s">
        <v>792</v>
      </c>
      <c r="B2166" s="8" t="s">
        <v>86</v>
      </c>
      <c r="C2166" s="38" t="n">
        <f aca="false">Sens!$C$2163-Sens!$C$2164</f>
        <v>36.176</v>
      </c>
      <c r="D2166" s="38" t="n">
        <f aca="false">Sens!$D$2163-Sens!$D$2164</f>
        <v>9.63700000000002</v>
      </c>
      <c r="E2166" s="38" t="n">
        <f aca="false">Sens!$E$2163-Sens!$E$2164</f>
        <v>-25.691</v>
      </c>
      <c r="F2166" s="38" t="n">
        <f aca="false">Sens!$F$2163-Sens!$F$2164</f>
        <v>-41.0783906861604</v>
      </c>
      <c r="G2166" s="38" t="n">
        <f aca="false">Sens!$G$2163-Sens!$G$2164</f>
        <v>-66.7693906861604</v>
      </c>
      <c r="H2166" s="38" t="n">
        <f aca="false">Sens!$H$2163-Sens!$H$2164</f>
        <v>-55.3516555778021</v>
      </c>
      <c r="I2166" s="38" t="n">
        <f aca="false">Sens!$I$2163-Sens!$I$2164</f>
        <v>-17.6658239867549</v>
      </c>
      <c r="J2166" s="38" t="n">
        <f aca="false">Sens!$J$2163-Sens!$J$2164</f>
        <v>27.0533622709073</v>
      </c>
      <c r="K2166" s="38" t="n">
        <f aca="false">Sens!$K$2163-Sens!$K$2164</f>
        <v>122.909168533223</v>
      </c>
      <c r="L2166" s="38" t="n">
        <f aca="false">Sens!$L$2163-Sens!$L$2164</f>
        <v>212.680362748961</v>
      </c>
      <c r="M2166" s="38" t="n">
        <f aca="false">Sens!$M$2163-Sens!$M$2164</f>
        <v>265.686816821206</v>
      </c>
    </row>
    <row r="2167" customFormat="false" ht="17.15" hidden="false" customHeight="false" outlineLevel="0" collapsed="false">
      <c r="A2167" s="5" t="s">
        <v>793</v>
      </c>
      <c r="B2167" s="0" t="s">
        <v>86</v>
      </c>
      <c r="E2167" s="38" t="n">
        <f aca="false">Q!$P$53</f>
        <v>39.767</v>
      </c>
      <c r="F2167" s="38" t="n">
        <f aca="false">inv_2h26</f>
        <v>21.3</v>
      </c>
      <c r="G2167" s="38" t="n">
        <f aca="false">Sens!$E$2167+Sens!$F$2167</f>
        <v>61.067</v>
      </c>
      <c r="H2167" s="39" t="n">
        <v>0</v>
      </c>
      <c r="I2167" s="39" t="n">
        <v>0</v>
      </c>
      <c r="J2167" s="39" t="n">
        <v>0</v>
      </c>
      <c r="K2167" s="39" t="n">
        <v>0</v>
      </c>
      <c r="L2167" s="39" t="n">
        <v>0</v>
      </c>
      <c r="M2167" s="39" t="n">
        <v>0</v>
      </c>
    </row>
    <row r="2168" customFormat="false" ht="17.15" hidden="false" customHeight="false" outlineLevel="0" collapsed="false">
      <c r="A2168" s="5" t="s">
        <v>794</v>
      </c>
      <c r="B2168" s="0" t="s">
        <v>86</v>
      </c>
      <c r="F2168" s="38" t="n">
        <f aca="false">iss_2h26</f>
        <v>29.249999</v>
      </c>
      <c r="G2168" s="38" t="n">
        <f aca="false">Sens!$F$2168</f>
        <v>29.249999</v>
      </c>
      <c r="H2168" s="39" t="n">
        <v>0</v>
      </c>
      <c r="I2168" s="39" t="n">
        <v>0</v>
      </c>
      <c r="J2168" s="39" t="n">
        <v>0</v>
      </c>
      <c r="K2168" s="39" t="n">
        <v>0</v>
      </c>
      <c r="L2168" s="39" t="n">
        <v>0</v>
      </c>
      <c r="M2168" s="39" t="n">
        <v>0</v>
      </c>
    </row>
    <row r="2169" customFormat="false" ht="17.15" hidden="false" customHeight="false" outlineLevel="0" collapsed="false">
      <c r="A2169" s="5" t="s">
        <v>795</v>
      </c>
      <c r="B2169" s="0" t="s">
        <v>86</v>
      </c>
      <c r="F2169" s="38" t="n">
        <f aca="false">cash_q2</f>
        <v>122.988</v>
      </c>
      <c r="G2169" s="38" t="n">
        <f aca="false">cash_q2</f>
        <v>122.988</v>
      </c>
      <c r="H2169" s="38" t="n">
        <f aca="false">Sens!$G$2172</f>
        <v>89.8596083138396</v>
      </c>
      <c r="I2169" s="38" t="n">
        <f aca="false">Sens!$H$2172</f>
        <v>50</v>
      </c>
      <c r="J2169" s="38" t="n">
        <f aca="false">Sens!$I$2172</f>
        <v>50</v>
      </c>
      <c r="K2169" s="38" t="n">
        <f aca="false">Sens!$J$2172</f>
        <v>77.0533622709073</v>
      </c>
      <c r="L2169" s="38" t="n">
        <f aca="false">Sens!$K$2172</f>
        <v>199.962530804131</v>
      </c>
      <c r="M2169" s="38" t="n">
        <f aca="false">Sens!$L$2172</f>
        <v>412.642893553092</v>
      </c>
    </row>
    <row r="2170" customFormat="false" ht="15" hidden="false" customHeight="false" outlineLevel="0" collapsed="false">
      <c r="A2170" s="5" t="s">
        <v>796</v>
      </c>
      <c r="B2170" s="0" t="s">
        <v>86</v>
      </c>
      <c r="F2170" s="38" t="n">
        <f aca="false">Sens!$F$2169+Sens!$F$2166-Sens!$F$2165-Sens!$F$2167+Sens!$F$2168</f>
        <v>89.8596083138396</v>
      </c>
      <c r="H2170" s="38" t="n">
        <f aca="false">Sens!$H$2169+Sens!$H$2166-Sens!$H$2165-Sens!$H$2167+Sens!$H$2168</f>
        <v>34.5079527360375</v>
      </c>
      <c r="I2170" s="38" t="n">
        <f aca="false">Sens!$I$2169+Sens!$I$2166-Sens!$I$2165-Sens!$I$2167+Sens!$I$2168</f>
        <v>32.3341760132451</v>
      </c>
      <c r="J2170" s="38" t="n">
        <f aca="false">Sens!$J$2169+Sens!$J$2166-Sens!$J$2165-Sens!$J$2167+Sens!$J$2168</f>
        <v>77.0533622709073</v>
      </c>
      <c r="K2170" s="38" t="n">
        <f aca="false">Sens!$K$2169+Sens!$K$2166-Sens!$K$2165-Sens!$K$2167+Sens!$K$2168</f>
        <v>199.962530804131</v>
      </c>
      <c r="L2170" s="38" t="n">
        <f aca="false">Sens!$L$2169+Sens!$L$2166-Sens!$L$2165-Sens!$L$2167+Sens!$L$2168</f>
        <v>412.642893553092</v>
      </c>
      <c r="M2170" s="38" t="n">
        <f aca="false">Sens!$M$2169+Sens!$M$2166-Sens!$M$2165-Sens!$M$2167+Sens!$M$2168</f>
        <v>678.329710374297</v>
      </c>
    </row>
    <row r="2171" customFormat="false" ht="17.15" hidden="false" customHeight="false" outlineLevel="0" collapsed="false">
      <c r="A2171" s="5" t="s">
        <v>797</v>
      </c>
      <c r="B2171" s="0" t="s">
        <v>86</v>
      </c>
      <c r="F2171" s="38" t="n">
        <f aca="false">MAX(0,min_cash-Sens!$F$2170)</f>
        <v>0</v>
      </c>
      <c r="G2171" s="38" t="n">
        <f aca="false">Sens!$F$2171</f>
        <v>0</v>
      </c>
      <c r="H2171" s="38" t="n">
        <f aca="false">MAX(0,min_cash-Sens!$H$2170)</f>
        <v>15.4920472639625</v>
      </c>
      <c r="I2171" s="38" t="n">
        <f aca="false">MAX(0,min_cash-Sens!$I$2170)</f>
        <v>17.6658239867549</v>
      </c>
      <c r="J2171" s="38" t="n">
        <f aca="false">MAX(0,min_cash-Sens!$J$2170)</f>
        <v>0</v>
      </c>
      <c r="K2171" s="38" t="n">
        <f aca="false">MAX(0,min_cash-Sens!$K$2170)</f>
        <v>0</v>
      </c>
      <c r="L2171" s="38" t="n">
        <f aca="false">MAX(0,min_cash-Sens!$L$2170)</f>
        <v>0</v>
      </c>
      <c r="M2171" s="38" t="n">
        <f aca="false">MAX(0,min_cash-Sens!$M$2170)</f>
        <v>0</v>
      </c>
      <c r="P2171" s="5" t="s">
        <v>798</v>
      </c>
    </row>
    <row r="2172" customFormat="false" ht="15" hidden="false" customHeight="false" outlineLevel="0" collapsed="false">
      <c r="A2172" s="5" t="s">
        <v>799</v>
      </c>
      <c r="B2172" s="0" t="s">
        <v>86</v>
      </c>
      <c r="D2172" s="38" t="n">
        <f aca="false">Q!$E$61</f>
        <v>123.029</v>
      </c>
      <c r="E2172" s="38" t="n">
        <f aca="false">Q!$M$61</f>
        <v>122.988</v>
      </c>
      <c r="F2172" s="38" t="n">
        <f aca="false">Sens!$F$2170+Sens!$F$2171</f>
        <v>89.8596083138396</v>
      </c>
      <c r="G2172" s="38" t="n">
        <f aca="false">Sens!$F$2172</f>
        <v>89.8596083138396</v>
      </c>
      <c r="H2172" s="38" t="n">
        <f aca="false">Sens!$H$2170+Sens!$H$2171</f>
        <v>50</v>
      </c>
      <c r="I2172" s="38" t="n">
        <f aca="false">Sens!$I$2170+Sens!$I$2171</f>
        <v>50</v>
      </c>
      <c r="J2172" s="38" t="n">
        <f aca="false">Sens!$J$2170+Sens!$J$2171</f>
        <v>77.0533622709073</v>
      </c>
      <c r="K2172" s="38" t="n">
        <f aca="false">Sens!$K$2170+Sens!$K$2171</f>
        <v>199.962530804131</v>
      </c>
      <c r="L2172" s="38" t="n">
        <f aca="false">Sens!$L$2170+Sens!$L$2171</f>
        <v>412.642893553092</v>
      </c>
      <c r="M2172" s="38" t="n">
        <f aca="false">Sens!$M$2170+Sens!$M$2171</f>
        <v>678.329710374297</v>
      </c>
    </row>
    <row r="2173" customFormat="false" ht="15" hidden="false" customHeight="false" outlineLevel="0" collapsed="false">
      <c r="A2173" s="5" t="s">
        <v>800</v>
      </c>
      <c r="B2173" s="0" t="s">
        <v>86</v>
      </c>
      <c r="D2173" s="38" t="n">
        <f aca="false">Q!$E$62</f>
        <v>68.836</v>
      </c>
      <c r="E2173" s="38" t="n">
        <f aca="false">Q!$M$62</f>
        <v>132.995</v>
      </c>
      <c r="F2173" s="38" t="n">
        <f aca="false">debt_q2+Sens!$F$2168+Sens!$F$2171</f>
        <v>162.244999</v>
      </c>
      <c r="G2173" s="38" t="n">
        <f aca="false">Sens!$F$2173</f>
        <v>162.244999</v>
      </c>
      <c r="H2173" s="38" t="n">
        <f aca="false">Sens!$G$2173+Sens!$H$2171</f>
        <v>177.737046263963</v>
      </c>
      <c r="I2173" s="38" t="n">
        <f aca="false">Sens!$H$2173+Sens!$I$2171</f>
        <v>195.402870250717</v>
      </c>
      <c r="J2173" s="38" t="n">
        <f aca="false">Sens!$I$2173+Sens!$J$2171</f>
        <v>195.402870250717</v>
      </c>
      <c r="K2173" s="38" t="n">
        <f aca="false">Sens!$J$2173+Sens!$K$2171</f>
        <v>195.402870250717</v>
      </c>
      <c r="L2173" s="38" t="n">
        <f aca="false">Sens!$K$2173+Sens!$L$2171</f>
        <v>195.402870250717</v>
      </c>
      <c r="M2173" s="38" t="n">
        <f aca="false">Sens!$L$2173+Sens!$M$2171</f>
        <v>195.402870250717</v>
      </c>
    </row>
    <row r="2174" customFormat="false" ht="15" hidden="false" customHeight="false" outlineLevel="0" collapsed="false">
      <c r="A2174" s="5" t="s">
        <v>801</v>
      </c>
      <c r="B2174" s="0" t="s">
        <v>86</v>
      </c>
      <c r="D2174" s="38" t="n">
        <f aca="false">Sens!$D$2173-Sens!$D$2172</f>
        <v>-54.193</v>
      </c>
      <c r="E2174" s="38" t="n">
        <f aca="false">Sens!$E$2173-Sens!$E$2172</f>
        <v>10.007</v>
      </c>
      <c r="F2174" s="38" t="n">
        <f aca="false">Sens!$F$2173-Sens!$F$2172</f>
        <v>72.3853906861604</v>
      </c>
      <c r="G2174" s="38" t="n">
        <f aca="false">Sens!$G$2173-Sens!$G$2172</f>
        <v>72.3853906861604</v>
      </c>
      <c r="H2174" s="38" t="n">
        <f aca="false">Sens!$H$2173-Sens!$H$2172</f>
        <v>127.737046263963</v>
      </c>
      <c r="I2174" s="38" t="n">
        <f aca="false">Sens!$I$2173-Sens!$I$2172</f>
        <v>145.402870250717</v>
      </c>
      <c r="J2174" s="38" t="n">
        <f aca="false">Sens!$J$2173-Sens!$J$2172</f>
        <v>118.34950797981</v>
      </c>
      <c r="K2174" s="38" t="n">
        <f aca="false">Sens!$K$2173-Sens!$K$2172</f>
        <v>-4.55966055341338</v>
      </c>
      <c r="L2174" s="38" t="n">
        <f aca="false">Sens!$L$2173-Sens!$L$2172</f>
        <v>-217.240023302374</v>
      </c>
      <c r="M2174" s="38" t="n">
        <f aca="false">Sens!$M$2173-Sens!$M$2172</f>
        <v>-482.92684012358</v>
      </c>
    </row>
    <row r="2175" customFormat="false" ht="17.15" hidden="false" customHeight="false" outlineLevel="0" collapsed="false">
      <c r="A2175" s="5" t="s">
        <v>802</v>
      </c>
      <c r="B2175" s="0" t="s">
        <v>86</v>
      </c>
      <c r="F2175" s="38" t="n">
        <f aca="false">debt_q2*kd_book*0.5+iss_2h26*kd_new*iss_t</f>
        <v>3.24888962733561</v>
      </c>
      <c r="H2175" s="38" t="n">
        <f aca="false">debt_q2*kd_book+(Sens!$G$2173-debt_q2)*kd_new</f>
        <v>7.42354172302123</v>
      </c>
      <c r="I2175" s="38" t="n">
        <f aca="false">debt_q2*kd_book+(Sens!$H$2173-debt_q2)*kd_new</f>
        <v>8.40418831483006</v>
      </c>
      <c r="J2175" s="38" t="n">
        <f aca="false">debt_q2*kd_book+(Sens!$I$2173-debt_q2)*kd_new</f>
        <v>9.52243497319164</v>
      </c>
      <c r="K2175" s="38" t="n">
        <f aca="false">debt_q2*kd_book+(Sens!$J$2173-debt_q2)*kd_new</f>
        <v>9.52243497319164</v>
      </c>
      <c r="L2175" s="38" t="n">
        <f aca="false">debt_q2*kd_book+(Sens!$K$2173-debt_q2)*kd_new</f>
        <v>9.52243497319164</v>
      </c>
      <c r="M2175" s="38" t="n">
        <f aca="false">debt_q2*kd_book+(Sens!$L$2173-debt_q2)*kd_new</f>
        <v>9.52243497319164</v>
      </c>
    </row>
    <row r="2176" customFormat="false" ht="17.15" hidden="false" customHeight="false" outlineLevel="0" collapsed="false">
      <c r="A2176" s="5" t="s">
        <v>803</v>
      </c>
      <c r="B2176" s="0" t="s">
        <v>86</v>
      </c>
      <c r="F2176" s="38" t="n">
        <f aca="false">cash_q2*y_cash*0.5</f>
        <v>2.59</v>
      </c>
      <c r="H2176" s="38" t="n">
        <f aca="false">Sens!$G$2172*y_cash</f>
        <v>3.78470071117255</v>
      </c>
      <c r="I2176" s="38" t="n">
        <f aca="false">Sens!$H$2172*y_cash</f>
        <v>2.10589651022864</v>
      </c>
      <c r="J2176" s="38" t="n">
        <f aca="false">Sens!$I$2172*y_cash</f>
        <v>2.10589651022864</v>
      </c>
      <c r="K2176" s="38" t="n">
        <f aca="false">Sens!$J$2172*y_cash</f>
        <v>3.24532813415374</v>
      </c>
      <c r="L2176" s="38" t="n">
        <f aca="false">Sens!$K$2172*y_cash</f>
        <v>8.42200791593812</v>
      </c>
      <c r="M2176" s="38" t="n">
        <f aca="false">Sens!$L$2172*y_cash</f>
        <v>17.3796645900821</v>
      </c>
    </row>
    <row r="2177" customFormat="false" ht="17.15" hidden="false" customHeight="false" outlineLevel="0" collapsed="false">
      <c r="A2177" s="47" t="s">
        <v>804</v>
      </c>
      <c r="B2177" s="14" t="s">
        <v>86</v>
      </c>
      <c r="C2177" s="14"/>
      <c r="D2177" s="14"/>
      <c r="E2177" s="14"/>
      <c r="F2177" s="14"/>
      <c r="G2177" s="48" t="n">
        <f aca="false">SUM(Sens!$G$2166:$K$2166)</f>
        <v>10.1756605534134</v>
      </c>
      <c r="H2177" s="14"/>
      <c r="I2177" s="14"/>
      <c r="J2177" s="14"/>
      <c r="K2177" s="14"/>
      <c r="L2177" s="14"/>
      <c r="M2177" s="14"/>
      <c r="N2177" s="14"/>
      <c r="O2177" s="14"/>
    </row>
    <row r="2178" customFormat="false" ht="17.15" hidden="false" customHeight="false" outlineLevel="0" collapsed="false">
      <c r="A2178" s="0" t="s">
        <v>770</v>
      </c>
      <c r="B2178" s="0" t="s">
        <v>86</v>
      </c>
      <c r="G2178" s="38" t="n">
        <f aca="false">SUM(Sens!$G$2171:$K$2171)</f>
        <v>33.1578712507174</v>
      </c>
    </row>
    <row r="2179" customFormat="false" ht="17.15" hidden="false" customHeight="false" outlineLevel="0" collapsed="false">
      <c r="A2179" s="24" t="s">
        <v>807</v>
      </c>
      <c r="B2179" s="25" t="s">
        <v>86</v>
      </c>
      <c r="C2179" s="25"/>
      <c r="D2179" s="25"/>
      <c r="E2179" s="25"/>
      <c r="F2179" s="25"/>
      <c r="G2179" s="41" t="n">
        <f aca="false">Sens!$G$2177-(Sens!$G$2166+Sens!$H$2166+Sens!$I$2166+Sens!$J$2166+Sens!$K$2166)</f>
        <v>0</v>
      </c>
      <c r="H2179" s="25"/>
      <c r="I2179" s="25"/>
      <c r="J2179" s="25"/>
      <c r="K2179" s="25"/>
      <c r="L2179" s="25"/>
      <c r="M2179" s="25"/>
      <c r="N2179" s="25"/>
      <c r="O2179" s="25"/>
    </row>
    <row r="2182" customFormat="false" ht="19.4" hidden="false" customHeight="false" outlineLevel="0" collapsed="false">
      <c r="A2182" s="31" t="s">
        <v>1171</v>
      </c>
    </row>
    <row r="2183" customFormat="false" ht="17.15" hidden="false" customHeight="false" outlineLevel="0" collapsed="false">
      <c r="A2183" s="6" t="s">
        <v>16</v>
      </c>
      <c r="B2183" s="6" t="s">
        <v>17</v>
      </c>
      <c r="C2183" s="20" t="s">
        <v>494</v>
      </c>
      <c r="D2183" s="20" t="s">
        <v>495</v>
      </c>
      <c r="E2183" s="20" t="s">
        <v>577</v>
      </c>
      <c r="F2183" s="20" t="s">
        <v>578</v>
      </c>
      <c r="G2183" s="20" t="s">
        <v>579</v>
      </c>
      <c r="H2183" s="20" t="s">
        <v>580</v>
      </c>
      <c r="I2183" s="20" t="s">
        <v>581</v>
      </c>
      <c r="J2183" s="20" t="s">
        <v>582</v>
      </c>
      <c r="K2183" s="20" t="s">
        <v>583</v>
      </c>
      <c r="L2183" s="20" t="s">
        <v>584</v>
      </c>
      <c r="M2183" s="20" t="s">
        <v>585</v>
      </c>
      <c r="N2183" s="20" t="s">
        <v>586</v>
      </c>
      <c r="O2183" s="20" t="s">
        <v>587</v>
      </c>
      <c r="P2183" s="6" t="s">
        <v>23</v>
      </c>
      <c r="R2183" s="20" t="n">
        <v>2023</v>
      </c>
      <c r="S2183" s="20" t="n">
        <v>2024</v>
      </c>
      <c r="T2183" s="20" t="n">
        <v>2025</v>
      </c>
      <c r="U2183" s="20" t="n">
        <v>2026</v>
      </c>
      <c r="V2183" s="20" t="n">
        <v>2027</v>
      </c>
      <c r="W2183" s="20" t="n">
        <v>2028</v>
      </c>
      <c r="X2183" s="20" t="n">
        <v>2029</v>
      </c>
      <c r="Y2183" s="20" t="n">
        <v>2030</v>
      </c>
      <c r="Z2183" s="20" t="n">
        <v>2031</v>
      </c>
      <c r="AA2183" s="20" t="n">
        <v>2032</v>
      </c>
    </row>
    <row r="2184" customFormat="false" ht="17.15" hidden="false" customHeight="false" outlineLevel="0" collapsed="false">
      <c r="A2184" s="1" t="s">
        <v>909</v>
      </c>
    </row>
    <row r="2185" customFormat="false" ht="17.15" hidden="false" customHeight="false" outlineLevel="0" collapsed="false">
      <c r="A2185" s="0" t="s">
        <v>910</v>
      </c>
      <c r="B2185" s="0" t="s">
        <v>86</v>
      </c>
      <c r="H2185" s="38" t="n">
        <f aca="false">Sens!$H$2119*(1-tax)</f>
        <v>120.056422802419</v>
      </c>
      <c r="I2185" s="38" t="n">
        <f aca="false">Sens!$I$2119*(1-tax)</f>
        <v>148.334104031618</v>
      </c>
      <c r="J2185" s="38" t="n">
        <f aca="false">Sens!$J$2119*(1-tax)</f>
        <v>175.511451965283</v>
      </c>
      <c r="K2185" s="38" t="n">
        <f aca="false">Sens!$K$2119*(1-tax)</f>
        <v>196.348029800578</v>
      </c>
      <c r="L2185" s="38" t="n">
        <f aca="false">Sens!$L$2119*(1-tax)</f>
        <v>212.357444471161</v>
      </c>
      <c r="M2185" s="38" t="n">
        <f aca="false">Sens!$M$2119*(1-tax)</f>
        <v>226.808868671855</v>
      </c>
    </row>
    <row r="2186" customFormat="false" ht="15" hidden="false" customHeight="false" outlineLevel="0" collapsed="false">
      <c r="A2186" s="5" t="s">
        <v>911</v>
      </c>
      <c r="B2186" s="0" t="s">
        <v>86</v>
      </c>
      <c r="H2186" s="38" t="n">
        <f aca="false">Sens!$H$2130</f>
        <v>80.34811873759</v>
      </c>
      <c r="I2186" s="38" t="n">
        <f aca="false">Sens!$I$2130</f>
        <v>109.506404765426</v>
      </c>
      <c r="J2186" s="38" t="n">
        <f aca="false">Sens!$J$2130</f>
        <v>139.251589115378</v>
      </c>
      <c r="K2186" s="38" t="n">
        <f aca="false">Sens!$K$2130</f>
        <v>168.532331825281</v>
      </c>
      <c r="L2186" s="38" t="n">
        <f aca="false">Sens!$L$2130</f>
        <v>191.427734786999</v>
      </c>
      <c r="M2186" s="38" t="n">
        <f aca="false">Sens!$M$2130</f>
        <v>205.638541749181</v>
      </c>
    </row>
    <row r="2187" customFormat="false" ht="15" hidden="false" customHeight="false" outlineLevel="0" collapsed="false">
      <c r="A2187" s="5" t="s">
        <v>912</v>
      </c>
      <c r="B2187" s="0" t="s">
        <v>86</v>
      </c>
      <c r="H2187" s="38" t="n">
        <f aca="false">Sens!$H$2161</f>
        <v>273.372679834898</v>
      </c>
      <c r="I2187" s="38" t="n">
        <f aca="false">Sens!$I$2161</f>
        <v>286.981812228425</v>
      </c>
      <c r="J2187" s="38" t="n">
        <f aca="false">Sens!$J$2161</f>
        <v>294.079745178366</v>
      </c>
      <c r="K2187" s="38" t="n">
        <f aca="false">Sens!$K$2161</f>
        <v>245.820377312292</v>
      </c>
      <c r="L2187" s="38" t="n">
        <f aca="false">Sens!$L$2161</f>
        <v>198.038953460396</v>
      </c>
      <c r="M2187" s="38" t="n">
        <f aca="false">Sens!$M$2161</f>
        <v>182.193234988102</v>
      </c>
    </row>
    <row r="2188" customFormat="false" ht="15" hidden="false" customHeight="false" outlineLevel="0" collapsed="false">
      <c r="A2188" s="5" t="s">
        <v>913</v>
      </c>
      <c r="B2188" s="0" t="s">
        <v>86</v>
      </c>
      <c r="H2188" s="38" t="n">
        <f aca="false">Sens!$H$2162</f>
        <v>1.6</v>
      </c>
      <c r="I2188" s="38" t="n">
        <f aca="false">Sens!$I$2162</f>
        <v>1.6</v>
      </c>
      <c r="J2188" s="38" t="n">
        <f aca="false">Sens!$J$2162</f>
        <v>1.6</v>
      </c>
      <c r="K2188" s="38" t="n">
        <f aca="false">Sens!$K$2162</f>
        <v>1.6</v>
      </c>
      <c r="L2188" s="38" t="n">
        <f aca="false">Sens!$L$2162</f>
        <v>1.6</v>
      </c>
      <c r="M2188" s="38" t="n">
        <f aca="false">Sens!$M$2162</f>
        <v>1.6</v>
      </c>
    </row>
    <row r="2189" customFormat="false" ht="15" hidden="false" customHeight="false" outlineLevel="0" collapsed="false">
      <c r="A2189" s="5" t="s">
        <v>914</v>
      </c>
      <c r="B2189" s="0" t="s">
        <v>86</v>
      </c>
      <c r="H2189" s="38" t="n">
        <f aca="false">Sens!$H$2156</f>
        <v>11.2928295263397</v>
      </c>
      <c r="I2189" s="38" t="n">
        <f aca="false">Sens!$I$2156</f>
        <v>12.8091546115766</v>
      </c>
      <c r="J2189" s="38" t="n">
        <f aca="false">Sens!$J$2156</f>
        <v>14.2605653162668</v>
      </c>
      <c r="K2189" s="38" t="n">
        <f aca="false">Sens!$K$2156</f>
        <v>15.5327622460396</v>
      </c>
      <c r="L2189" s="38" t="n">
        <f aca="false">Sens!$L$2156</f>
        <v>16.720573737517</v>
      </c>
      <c r="M2189" s="38" t="n">
        <f aca="false">Sens!$M$2156</f>
        <v>17.8283127551536</v>
      </c>
    </row>
    <row r="2190" customFormat="false" ht="17.15" hidden="false" customHeight="false" outlineLevel="0" collapsed="false">
      <c r="A2190" s="1" t="s">
        <v>915</v>
      </c>
      <c r="B2190" s="8" t="s">
        <v>86</v>
      </c>
      <c r="H2190" s="38" t="n">
        <f aca="false">Sens!$H$2185+Sens!$H$2186-Sens!$H$2187-Sens!$H$2188+Sens!$H$2189</f>
        <v>-63.2753087685496</v>
      </c>
      <c r="I2190" s="38" t="n">
        <f aca="false">Sens!$I$2185+Sens!$I$2186-Sens!$I$2187-Sens!$I$2188+Sens!$I$2189</f>
        <v>-17.9321488198046</v>
      </c>
      <c r="J2190" s="38" t="n">
        <f aca="false">Sens!$J$2185+Sens!$J$2186-Sens!$J$2187-Sens!$J$2188+Sens!$J$2189</f>
        <v>33.3438612185616</v>
      </c>
      <c r="K2190" s="38" t="n">
        <f aca="false">Sens!$K$2185+Sens!$K$2186-Sens!$K$2187-Sens!$K$2188+Sens!$K$2189</f>
        <v>132.992746559606</v>
      </c>
      <c r="L2190" s="38" t="n">
        <f aca="false">Sens!$L$2185+Sens!$L$2186-Sens!$L$2187-Sens!$L$2188+Sens!$L$2189</f>
        <v>220.866799535282</v>
      </c>
      <c r="M2190" s="38" t="n">
        <f aca="false">Sens!$M$2185+Sens!$M$2186-Sens!$M$2187-Sens!$M$2188+Sens!$M$2189</f>
        <v>266.482488188087</v>
      </c>
    </row>
    <row r="2191" customFormat="false" ht="15" hidden="false" customHeight="false" outlineLevel="0" collapsed="false">
      <c r="A2191" s="5" t="s">
        <v>916</v>
      </c>
      <c r="B2191" s="0" t="s">
        <v>57</v>
      </c>
      <c r="H2191" s="40" t="n">
        <f aca="false">1/(1+wacc)^(2027-2026-0.5)</f>
        <v>0.947751320380232</v>
      </c>
      <c r="I2191" s="40" t="n">
        <f aca="false">1/(1+wacc)^(2028-2026-0.5)</f>
        <v>0.851301099754987</v>
      </c>
      <c r="J2191" s="40" t="n">
        <f aca="false">1/(1+wacc)^(2029-2026-0.5)</f>
        <v>0.764666370660713</v>
      </c>
      <c r="K2191" s="40" t="n">
        <f aca="false">1/(1+wacc)^(2030-2026-0.5)</f>
        <v>0.686848235703811</v>
      </c>
      <c r="L2191" s="40" t="n">
        <f aca="false">1/(1+wacc)^(2031-2026-0.5)</f>
        <v>0.616949452715975</v>
      </c>
      <c r="M2191" s="40" t="n">
        <f aca="false">1/(1+wacc)^(2032-2026-0.5)</f>
        <v>0.554164089562688</v>
      </c>
    </row>
    <row r="2192" customFormat="false" ht="15" hidden="false" customHeight="false" outlineLevel="0" collapsed="false">
      <c r="A2192" s="5" t="s">
        <v>917</v>
      </c>
      <c r="B2192" s="0" t="s">
        <v>86</v>
      </c>
      <c r="H2192" s="38" t="n">
        <f aca="false">Sens!$H$2190*Sens!$H$2191</f>
        <v>-59.9692574328598</v>
      </c>
      <c r="I2192" s="38" t="n">
        <f aca="false">Sens!$I$2190*Sens!$I$2191</f>
        <v>-15.2656580112697</v>
      </c>
      <c r="J2192" s="38" t="n">
        <f aca="false">Sens!$J$2190*Sens!$J$2191</f>
        <v>25.496929341812</v>
      </c>
      <c r="K2192" s="38" t="n">
        <f aca="false">Sens!$K$2190*Sens!$K$2191</f>
        <v>91.3458333358693</v>
      </c>
      <c r="L2192" s="38" t="n">
        <f aca="false">Sens!$L$2190*Sens!$L$2191</f>
        <v>136.263651096421</v>
      </c>
      <c r="M2192" s="38" t="n">
        <f aca="false">Sens!$M$2190*Sens!$M$2191</f>
        <v>147.675025451151</v>
      </c>
    </row>
    <row r="2193" customFormat="false" ht="15" hidden="false" customHeight="false" outlineLevel="0" collapsed="false">
      <c r="A2193" s="5" t="s">
        <v>918</v>
      </c>
      <c r="B2193" s="0" t="s">
        <v>86</v>
      </c>
      <c r="C2193" s="38" t="n">
        <f aca="false">SUM(Sens!$H$2192:$M$2192)</f>
        <v>325.546523781124</v>
      </c>
    </row>
    <row r="2194" customFormat="false" ht="17.15" hidden="false" customHeight="false" outlineLevel="0" collapsed="false">
      <c r="A2194" s="5" t="s">
        <v>919</v>
      </c>
      <c r="B2194" s="0" t="s">
        <v>86</v>
      </c>
      <c r="C2194" s="38" t="n">
        <f aca="false">Sens!$M$2185*(1+tg)*(1-tg/ronic)/(wacc-tg)</f>
        <v>2061.94570862928</v>
      </c>
    </row>
    <row r="2195" customFormat="false" ht="15" hidden="false" customHeight="false" outlineLevel="0" collapsed="false">
      <c r="A2195" s="5" t="s">
        <v>920</v>
      </c>
      <c r="B2195" s="0" t="s">
        <v>86</v>
      </c>
      <c r="C2195" s="38" t="n">
        <f aca="false">Sens!$C$2194/(1+wacc)^6</f>
        <v>1082.95398517418</v>
      </c>
    </row>
    <row r="2196" customFormat="false" ht="17.15" hidden="false" customHeight="false" outlineLevel="0" collapsed="false">
      <c r="A2196" s="5" t="s">
        <v>921</v>
      </c>
      <c r="B2196" s="0" t="s">
        <v>86</v>
      </c>
      <c r="C2196" s="38" t="n">
        <f aca="false">Sens!$C$2193+Sens!$C$2195</f>
        <v>1408.50050895531</v>
      </c>
    </row>
    <row r="2197" customFormat="false" ht="17.15" hidden="false" customHeight="false" outlineLevel="0" collapsed="false">
      <c r="A2197" s="5" t="s">
        <v>922</v>
      </c>
      <c r="B2197" s="0" t="s">
        <v>52</v>
      </c>
      <c r="C2197" s="13" t="n">
        <f aca="false">Sens!$C$2195/Sens!$C$2196</f>
        <v>0.768870141181146</v>
      </c>
    </row>
    <row r="2198" customFormat="false" ht="17.15" hidden="false" customHeight="false" outlineLevel="0" collapsed="false">
      <c r="A2198" s="5" t="s">
        <v>923</v>
      </c>
      <c r="B2198" s="0" t="s">
        <v>86</v>
      </c>
      <c r="C2198" s="38" t="n">
        <f aca="false">Sens!$G$2174+fin_debt</f>
        <v>96.9063906861604</v>
      </c>
    </row>
    <row r="2199" customFormat="false" ht="17.15" hidden="false" customHeight="false" outlineLevel="0" collapsed="false">
      <c r="A2199" s="5" t="s">
        <v>924</v>
      </c>
      <c r="B2199" s="0" t="s">
        <v>86</v>
      </c>
      <c r="C2199" s="38" t="n">
        <f aca="false">(ant_val*ant_sh+oai_val*oai_sh)*(1-liq_disc)</f>
        <v>178.944</v>
      </c>
    </row>
    <row r="2200" customFormat="false" ht="15" hidden="false" customHeight="false" outlineLevel="0" collapsed="false">
      <c r="A2200" s="5" t="s">
        <v>925</v>
      </c>
      <c r="B2200" s="0" t="s">
        <v>86</v>
      </c>
      <c r="C2200" s="38" t="n">
        <f aca="false">Sens!$C$2196-Sens!$C$2198+Sens!$C$2199</f>
        <v>1490.53811826915</v>
      </c>
    </row>
    <row r="2201" customFormat="false" ht="17.15" hidden="false" customHeight="false" outlineLevel="0" collapsed="false">
      <c r="A2201" s="5" t="s">
        <v>926</v>
      </c>
      <c r="B2201" s="0" t="s">
        <v>27</v>
      </c>
      <c r="C2201" s="30" t="n">
        <f aca="false">Sens!$C$2200/sh_out</f>
        <v>138.187903510796</v>
      </c>
    </row>
    <row r="2202" customFormat="false" ht="17.15" hidden="false" customHeight="false" outlineLevel="0" collapsed="false">
      <c r="A2202" s="1" t="s">
        <v>927</v>
      </c>
      <c r="B2202" s="8" t="s">
        <v>27</v>
      </c>
      <c r="C2202" s="30" t="n">
        <f aca="false">Sens!$C$2201*(1+ke)^tp_yf-dps*tp_yf</f>
        <v>151.366724465369</v>
      </c>
    </row>
    <row r="2203" customFormat="false" ht="17.15" hidden="false" customHeight="false" outlineLevel="0" collapsed="false">
      <c r="A2203" s="3" t="s">
        <v>928</v>
      </c>
    </row>
    <row r="2204" customFormat="false" ht="17.15" hidden="false" customHeight="false" outlineLevel="0" collapsed="false">
      <c r="A2204" s="5" t="s">
        <v>929</v>
      </c>
      <c r="B2204" s="0" t="s">
        <v>86</v>
      </c>
      <c r="C2204" s="38" t="n">
        <f aca="false">(1-tp_yf)*(Sens!$H$2131+Sens!$H$2155*Sens!$H$1997/Sens!$H$2072)+tp_yf*(Sens!$I$2131+Sens!$I$2155*Sens!$I$1997/Sens!$I$2072)</f>
        <v>59.634664536349</v>
      </c>
    </row>
    <row r="2205" customFormat="false" ht="15" hidden="false" customHeight="false" outlineLevel="0" collapsed="false">
      <c r="A2205" s="5" t="s">
        <v>930</v>
      </c>
      <c r="B2205" s="0" t="s">
        <v>57</v>
      </c>
      <c r="C2205" s="30" t="n">
        <f aca="false">m_ads*m_x</f>
        <v>9.11</v>
      </c>
    </row>
    <row r="2206" customFormat="false" ht="17.15" hidden="false" customHeight="false" outlineLevel="0" collapsed="false">
      <c r="A2206" s="5" t="s">
        <v>931</v>
      </c>
      <c r="B2206" s="0" t="s">
        <v>86</v>
      </c>
      <c r="C2206" s="38" t="n">
        <f aca="false">Sens!$C$2204*Sens!$C$2205</f>
        <v>543.271793926139</v>
      </c>
    </row>
    <row r="2207" customFormat="false" ht="17.15" hidden="false" customHeight="false" outlineLevel="0" collapsed="false">
      <c r="A2207" s="5" t="s">
        <v>932</v>
      </c>
      <c r="B2207" s="0" t="s">
        <v>86</v>
      </c>
      <c r="C2207" s="38" t="n">
        <f aca="false">(1-tp_yf)*(Sens!$H$2132+Sens!$H$2155*(Sens!$H$2004-Sens!$H$1997)/Sens!$H$2072+IF(internal_ai_reading=2,1,0)*(1-ext_sh)*Sens!$H$2034)+tp_yf*(Sens!$I$2132+Sens!$I$2155*(Sens!$I$2004-Sens!$I$1997)/Sens!$I$2072+IF(internal_ai_reading=2,1,0)*(1-ext_sh)*Sens!$I$2034)</f>
        <v>51.494051601914</v>
      </c>
    </row>
    <row r="2208" customFormat="false" ht="17.15" hidden="false" customHeight="false" outlineLevel="0" collapsed="false">
      <c r="A2208" s="5" t="s">
        <v>933</v>
      </c>
      <c r="B2208" s="0" t="s">
        <v>57</v>
      </c>
      <c r="C2208" s="30" t="n">
        <f aca="false">m_retail*m_x</f>
        <v>17.72</v>
      </c>
    </row>
    <row r="2209" customFormat="false" ht="17.15" hidden="false" customHeight="false" outlineLevel="0" collapsed="false">
      <c r="A2209" s="5" t="s">
        <v>934</v>
      </c>
      <c r="B2209" s="0" t="s">
        <v>86</v>
      </c>
      <c r="C2209" s="38" t="n">
        <f aca="false">Sens!$C$2207*Sens!$C$2208</f>
        <v>912.474594385916</v>
      </c>
    </row>
    <row r="2210" customFormat="false" ht="17.15" hidden="false" customHeight="false" outlineLevel="0" collapsed="false">
      <c r="A2210" s="0" t="s">
        <v>935</v>
      </c>
      <c r="B2210" s="0" t="s">
        <v>86</v>
      </c>
      <c r="C2210" s="38" t="n">
        <f aca="false">(1-tp_yf)*(Sens!$H$2133+Sens!$H$2155*Sens!$H$2070/Sens!$H$2072)+tp_yf*(Sens!$I$2133+Sens!$I$2155*Sens!$I$2070/Sens!$I$2072)</f>
        <v>96.7606714379586</v>
      </c>
    </row>
    <row r="2211" customFormat="false" ht="17.15" hidden="false" customHeight="false" outlineLevel="0" collapsed="false">
      <c r="A2211" s="0" t="s">
        <v>936</v>
      </c>
      <c r="B2211" s="0" t="s">
        <v>57</v>
      </c>
      <c r="C2211" s="30" t="n">
        <f aca="false">m_cloud*m_x</f>
        <v>13.82</v>
      </c>
    </row>
    <row r="2212" customFormat="false" ht="17.15" hidden="false" customHeight="false" outlineLevel="0" collapsed="false">
      <c r="A2212" s="0" t="s">
        <v>937</v>
      </c>
      <c r="B2212" s="0" t="s">
        <v>86</v>
      </c>
      <c r="C2212" s="38" t="n">
        <f aca="false">Sens!$C$2210*Sens!$C$2211</f>
        <v>1337.23247927259</v>
      </c>
    </row>
    <row r="2213" customFormat="false" ht="17.15" hidden="false" customHeight="false" outlineLevel="0" collapsed="false">
      <c r="A2213" s="0" t="s">
        <v>938</v>
      </c>
      <c r="B2213" s="0" t="s">
        <v>86</v>
      </c>
      <c r="H2213" s="38" t="n">
        <f aca="false">Sens!$H$2051-tax*Sens!$H$2052-ext_sh*Sens!$H$2041</f>
        <v>-115.323319364087</v>
      </c>
      <c r="I2213" s="38" t="n">
        <f aca="false">Sens!$I$2051-tax*Sens!$I$2052-ext_sh*Sens!$I$2041</f>
        <v>-89.5357425206556</v>
      </c>
      <c r="J2213" s="38" t="n">
        <f aca="false">Sens!$J$2051-tax*Sens!$J$2052-ext_sh*Sens!$J$2041</f>
        <v>-58.6282692007031</v>
      </c>
      <c r="K2213" s="38" t="n">
        <f aca="false">Sens!$K$2051-tax*Sens!$K$2052-ext_sh*Sens!$K$2041</f>
        <v>11.961969865992</v>
      </c>
      <c r="L2213" s="38" t="n">
        <f aca="false">Sens!$L$2051-tax*Sens!$L$2052-ext_sh*Sens!$L$2041</f>
        <v>73.5957067072676</v>
      </c>
      <c r="M2213" s="38" t="n">
        <f aca="false">Sens!$M$2051-tax*Sens!$M$2052-ext_sh*Sens!$M$2041</f>
        <v>100.790959714158</v>
      </c>
    </row>
    <row r="2214" customFormat="false" ht="17.15" hidden="false" customHeight="false" outlineLevel="0" collapsed="false">
      <c r="A2214" s="5" t="s">
        <v>939</v>
      </c>
      <c r="B2214" s="0" t="s">
        <v>86</v>
      </c>
      <c r="H2214" s="38" t="n">
        <f aca="false">Sens!$H$2213*Sens!$H$2191</f>
        <v>-109.297828197945</v>
      </c>
      <c r="I2214" s="38" t="n">
        <f aca="false">Sens!$I$2213*Sens!$I$2191</f>
        <v>-76.2218760752135</v>
      </c>
      <c r="J2214" s="38" t="n">
        <f aca="false">Sens!$J$2213*Sens!$J$2191</f>
        <v>-44.8310658278209</v>
      </c>
      <c r="K2214" s="38" t="n">
        <f aca="false">Sens!$K$2213*Sens!$K$2191</f>
        <v>8.21605789799876</v>
      </c>
      <c r="L2214" s="38" t="n">
        <f aca="false">Sens!$L$2213*Sens!$L$2191</f>
        <v>45.4048309752941</v>
      </c>
      <c r="M2214" s="38" t="n">
        <f aca="false">Sens!$M$2213*Sens!$M$2191</f>
        <v>55.8547304261461</v>
      </c>
    </row>
    <row r="2215" customFormat="false" ht="17.15" hidden="false" customHeight="false" outlineLevel="0" collapsed="false">
      <c r="A2215" s="5" t="s">
        <v>940</v>
      </c>
      <c r="B2215" s="0" t="s">
        <v>86</v>
      </c>
      <c r="C2215" s="38" t="n">
        <f aca="false">Sens!$M$2052*(1-tax)*(1+tg)*(1-tg/ronic)/(wacc-tg)</f>
        <v>479.58889101167</v>
      </c>
    </row>
    <row r="2216" customFormat="false" ht="17.15" hidden="false" customHeight="false" outlineLevel="0" collapsed="false">
      <c r="A2216" s="0" t="s">
        <v>941</v>
      </c>
      <c r="B2216" s="0" t="s">
        <v>86</v>
      </c>
      <c r="C2216" s="38" t="n">
        <f aca="false">(SUM(Sens!$H$2214:$M$2214)+Sens!$C$2215/(1+wacc)^6)*(1+wacc)^tp_yf</f>
        <v>143.09146524577</v>
      </c>
    </row>
    <row r="2217" customFormat="false" ht="17.15" hidden="false" customHeight="false" outlineLevel="0" collapsed="false">
      <c r="A2217" s="5" t="s">
        <v>942</v>
      </c>
      <c r="B2217" s="0" t="s">
        <v>86</v>
      </c>
      <c r="C2217" s="38" t="n">
        <f aca="false">(1-tp_yf)*(Sens!$H$2134)+tp_yf*(Sens!$I$2134)</f>
        <v>74.6707041238437</v>
      </c>
    </row>
    <row r="2218" customFormat="false" ht="17.15" hidden="false" customHeight="false" outlineLevel="0" collapsed="false">
      <c r="A2218" s="5" t="s">
        <v>943</v>
      </c>
      <c r="B2218" s="0" t="s">
        <v>86</v>
      </c>
      <c r="C2218" s="38" t="n">
        <f aca="false">Sens!$C$2217*m_ai</f>
        <v>448.024224743062</v>
      </c>
    </row>
    <row r="2219" customFormat="false" ht="17.15" hidden="false" customHeight="false" outlineLevel="0" collapsed="false">
      <c r="A2219" s="0" t="s">
        <v>944</v>
      </c>
      <c r="B2219" s="0" t="s">
        <v>86</v>
      </c>
      <c r="C2219" s="38" t="n">
        <f aca="false">IF(ai_leg=1,Sens!$C$2216,Sens!$C$2218)</f>
        <v>143.09146524577</v>
      </c>
    </row>
    <row r="2220" customFormat="false" ht="17.15" hidden="false" customHeight="false" outlineLevel="0" collapsed="false">
      <c r="A2220" s="5" t="s">
        <v>945</v>
      </c>
      <c r="B2220" s="0" t="s">
        <v>86</v>
      </c>
      <c r="C2220" s="38" t="n">
        <f aca="false">Sens!$C$2206+Sens!$C$2209+Sens!$C$2212+Sens!$C$2219</f>
        <v>2936.07033283041</v>
      </c>
    </row>
    <row r="2221" customFormat="false" ht="17.15" hidden="false" customHeight="false" outlineLevel="0" collapsed="false">
      <c r="A2221" s="5" t="s">
        <v>946</v>
      </c>
      <c r="B2221" s="0" t="s">
        <v>86</v>
      </c>
      <c r="C2221" s="38" t="n">
        <f aca="false">Sens!$H$2174+fin_debt</f>
        <v>152.258046263963</v>
      </c>
    </row>
    <row r="2222" customFormat="false" ht="15" hidden="false" customHeight="false" outlineLevel="0" collapsed="false">
      <c r="A2222" s="5" t="s">
        <v>947</v>
      </c>
      <c r="B2222" s="0" t="s">
        <v>86</v>
      </c>
      <c r="C2222" s="38" t="n">
        <f aca="false">Sens!$C$2220-Sens!$C$2221+Sens!$C$2199</f>
        <v>2962.75628656645</v>
      </c>
    </row>
    <row r="2223" customFormat="false" ht="15" hidden="false" customHeight="false" outlineLevel="0" collapsed="false">
      <c r="A2223" s="3" t="s">
        <v>948</v>
      </c>
      <c r="B2223" s="8" t="s">
        <v>27</v>
      </c>
      <c r="C2223" s="30" t="n">
        <f aca="false">Sens!$C$2222/sh_val</f>
        <v>268.601264348998</v>
      </c>
    </row>
    <row r="2224" customFormat="false" ht="17.15" hidden="false" customHeight="false" outlineLevel="0" collapsed="false">
      <c r="A2224" s="47" t="s">
        <v>949</v>
      </c>
      <c r="B2224" s="14" t="s">
        <v>27</v>
      </c>
      <c r="C2224" s="44" t="n">
        <f aca="false">w_dcf*Sens!$C$2202+(1-w_dcf)*Sens!$C$2223</f>
        <v>209.983994407183</v>
      </c>
      <c r="D2224" s="14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</row>
    <row r="2225" customFormat="false" ht="17.15" hidden="false" customHeight="false" outlineLevel="0" collapsed="false">
      <c r="A2225" s="5" t="s">
        <v>950</v>
      </c>
      <c r="B2225" s="0" t="s">
        <v>27</v>
      </c>
      <c r="C2225" s="30" t="n">
        <f aca="false">v022_wdcf*Sens!$C$2202+(1-v022_wdcf)*Sens!$C$2223</f>
        <v>215.845721401365</v>
      </c>
    </row>
    <row r="2226" customFormat="false" ht="17.15" hidden="false" customHeight="false" outlineLevel="0" collapsed="false">
      <c r="A2226" s="5" t="s">
        <v>951</v>
      </c>
      <c r="B2226" s="0" t="s">
        <v>27</v>
      </c>
      <c r="C2226" s="30" t="n">
        <f aca="false">(Sens!$C$2222-Sens!$C$2219+Sens!$C$2218)/sh_val</f>
        <v>296.246239777376</v>
      </c>
    </row>
    <row r="2229" customFormat="false" ht="19.4" hidden="false" customHeight="false" outlineLevel="0" collapsed="false">
      <c r="A2229" s="31" t="s">
        <v>1172</v>
      </c>
    </row>
    <row r="2230" customFormat="false" ht="17.15" hidden="false" customHeight="false" outlineLevel="0" collapsed="false">
      <c r="A2230" s="6" t="s">
        <v>16</v>
      </c>
      <c r="B2230" s="6" t="s">
        <v>17</v>
      </c>
      <c r="C2230" s="20" t="s">
        <v>494</v>
      </c>
      <c r="D2230" s="20" t="s">
        <v>495</v>
      </c>
      <c r="E2230" s="20" t="s">
        <v>577</v>
      </c>
      <c r="F2230" s="20" t="s">
        <v>578</v>
      </c>
      <c r="G2230" s="20" t="s">
        <v>579</v>
      </c>
      <c r="H2230" s="20" t="s">
        <v>580</v>
      </c>
      <c r="I2230" s="20" t="s">
        <v>581</v>
      </c>
      <c r="J2230" s="20" t="s">
        <v>582</v>
      </c>
      <c r="K2230" s="20" t="s">
        <v>583</v>
      </c>
      <c r="L2230" s="20" t="s">
        <v>584</v>
      </c>
      <c r="M2230" s="20" t="s">
        <v>585</v>
      </c>
      <c r="N2230" s="20" t="s">
        <v>586</v>
      </c>
      <c r="O2230" s="20" t="s">
        <v>587</v>
      </c>
      <c r="P2230" s="6" t="s">
        <v>23</v>
      </c>
      <c r="R2230" s="20" t="n">
        <v>2023</v>
      </c>
      <c r="S2230" s="20" t="n">
        <v>2024</v>
      </c>
      <c r="T2230" s="20" t="n">
        <v>2025</v>
      </c>
      <c r="U2230" s="20" t="n">
        <v>2026</v>
      </c>
      <c r="V2230" s="20" t="n">
        <v>2027</v>
      </c>
      <c r="W2230" s="20" t="n">
        <v>2028</v>
      </c>
      <c r="X2230" s="20" t="n">
        <v>2029</v>
      </c>
      <c r="Y2230" s="20" t="n">
        <v>2030</v>
      </c>
      <c r="Z2230" s="20" t="n">
        <v>2031</v>
      </c>
      <c r="AA2230" s="20" t="n">
        <v>2032</v>
      </c>
    </row>
    <row r="2231" customFormat="false" ht="17.15" hidden="false" customHeight="false" outlineLevel="0" collapsed="false">
      <c r="A2231" s="1" t="s">
        <v>660</v>
      </c>
    </row>
    <row r="2232" customFormat="false" ht="17.15" hidden="false" customHeight="false" outlineLevel="0" collapsed="false">
      <c r="A2232" s="0" t="s">
        <v>516</v>
      </c>
      <c r="B2232" s="0" t="s">
        <v>86</v>
      </c>
      <c r="C2232" s="38" t="n">
        <f aca="false">Q!$D$10</f>
        <v>247.029</v>
      </c>
      <c r="D2232" s="38" t="n">
        <f aca="false">Q!$E$10</f>
        <v>269.287</v>
      </c>
      <c r="E2232" s="38" t="n">
        <f aca="false">Q!$P$10</f>
        <v>134.686</v>
      </c>
      <c r="F2232" s="38" t="n">
        <f aca="false">Sens!$O$2232*(1+Sens!$F$2233)*Sens!$F$2244</f>
        <v>158.627591094334</v>
      </c>
      <c r="G2232" s="38" t="n">
        <f aca="false">Sens!$E$2232+Sens!$F$2232</f>
        <v>293.313591094334</v>
      </c>
      <c r="H2232" s="38" t="n">
        <f aca="false">Sens!$G$2232*(1+Sens!$H$2233)</f>
        <v>318.546966351175</v>
      </c>
      <c r="I2232" s="38" t="n">
        <f aca="false">Sens!$H$2232*(1+Sens!$I$2233)</f>
        <v>342.125528271837</v>
      </c>
      <c r="J2232" s="38" t="n">
        <f aca="false">Sens!$I$2232*(1+Sens!$J$2233)</f>
        <v>363.340579485369</v>
      </c>
      <c r="K2232" s="38" t="n">
        <f aca="false">Sens!$J$2232*(1+Sens!$K$2233)</f>
        <v>381.507608459638</v>
      </c>
      <c r="L2232" s="38" t="n">
        <f aca="false">Sens!$K$2232*(1+Sens!$L$2233)</f>
        <v>400.58298888262</v>
      </c>
      <c r="M2232" s="38" t="n">
        <f aca="false">Sens!$L$2232*(1+Sens!$M$2233)</f>
        <v>420.612138326751</v>
      </c>
      <c r="N2232" s="38" t="n">
        <f aca="false">Q!$N$10</f>
        <v>118.892</v>
      </c>
      <c r="O2232" s="38" t="n">
        <f aca="false">Q!$O$10</f>
        <v>150.395</v>
      </c>
      <c r="P2232" s="8" t="s">
        <v>661</v>
      </c>
    </row>
    <row r="2233" customFormat="false" ht="17.15" hidden="false" customHeight="false" outlineLevel="0" collapsed="false">
      <c r="A2233" s="0" t="s">
        <v>662</v>
      </c>
      <c r="B2233" s="0" t="s">
        <v>52</v>
      </c>
      <c r="E2233" s="13" t="n">
        <f aca="false">Sens!$E$2232/Sens!$N$2232-1</f>
        <v>0.132843252699929</v>
      </c>
      <c r="F2233" s="13" t="n">
        <f aca="false">Sens!$O$2232/(Q!$F$10+Q!$G$10)-1</f>
        <v>0.0980382135842941</v>
      </c>
      <c r="G2233" s="13" t="n">
        <f aca="false">Sens!$G$2232/Sens!$D$2232-1</f>
        <v>0.0892229892060652</v>
      </c>
      <c r="H2233" s="13" t="n">
        <f aca="false">Sens!$F$2233+(g_os-Sens!$F$2233)*1/4</f>
        <v>0.0860286601882206</v>
      </c>
      <c r="I2233" s="13" t="n">
        <f aca="false">Sens!$F$2233+(g_os-Sens!$F$2233)*2/4</f>
        <v>0.074019106792147</v>
      </c>
      <c r="J2233" s="13" t="n">
        <f aca="false">Sens!$F$2233+(g_os-Sens!$F$2233)*3/4</f>
        <v>0.0620095533960735</v>
      </c>
      <c r="K2233" s="13" t="n">
        <f aca="false">Sens!$F$2233+(g_os-Sens!$F$2233)*4/4</f>
        <v>0.05</v>
      </c>
      <c r="L2233" s="13" t="n">
        <f aca="false">g_os</f>
        <v>0.05</v>
      </c>
      <c r="M2233" s="13" t="n">
        <f aca="false">g_os</f>
        <v>0.05</v>
      </c>
      <c r="P2233" s="8" t="s">
        <v>663</v>
      </c>
    </row>
    <row r="2234" customFormat="false" ht="17.15" hidden="false" customHeight="false" outlineLevel="0" collapsed="false">
      <c r="A2234" s="0" t="s">
        <v>517</v>
      </c>
      <c r="B2234" s="0" t="s">
        <v>86</v>
      </c>
      <c r="C2234" s="38" t="n">
        <f aca="false">Q!$D$11</f>
        <v>21.215</v>
      </c>
      <c r="D2234" s="38" t="n">
        <f aca="false">Q!$E$11</f>
        <v>22.561</v>
      </c>
      <c r="E2234" s="38" t="n">
        <f aca="false">Q!$P$11</f>
        <v>11.579</v>
      </c>
      <c r="F2234" s="38" t="n">
        <f aca="false">Sens!$O$2234*(1+Sens!$F$2235)*Sens!$F$2244</f>
        <v>11.6183145985709</v>
      </c>
      <c r="G2234" s="38" t="n">
        <f aca="false">Sens!$E$2234+Sens!$F$2234</f>
        <v>23.1973145985709</v>
      </c>
      <c r="H2234" s="38" t="n">
        <f aca="false">Sens!$G$2234*(1+Sens!$H$2235)</f>
        <v>24.3790800788642</v>
      </c>
      <c r="I2234" s="38" t="n">
        <f aca="false">Sens!$H$2234*(1+Sens!$I$2235)</f>
        <v>25.4508504907147</v>
      </c>
      <c r="J2234" s="38" t="n">
        <f aca="false">Sens!$I$2234*(1+Sens!$J$2235)</f>
        <v>26.3920574195565</v>
      </c>
      <c r="K2234" s="38" t="n">
        <f aca="false">Sens!$J$2234*(1+Sens!$K$2235)</f>
        <v>27.1838191421432</v>
      </c>
      <c r="L2234" s="38" t="n">
        <f aca="false">Sens!$K$2234*(1+Sens!$L$2235)</f>
        <v>27.9993337164075</v>
      </c>
      <c r="M2234" s="38" t="n">
        <f aca="false">Sens!$L$2234*(1+Sens!$M$2235)</f>
        <v>28.8393137278997</v>
      </c>
      <c r="N2234" s="38" t="n">
        <f aca="false">Q!$N$11</f>
        <v>11.128</v>
      </c>
      <c r="O2234" s="38" t="n">
        <f aca="false">Q!$O$11</f>
        <v>11.433</v>
      </c>
      <c r="P2234" s="8" t="s">
        <v>661</v>
      </c>
    </row>
    <row r="2235" customFormat="false" ht="17.15" hidden="false" customHeight="false" outlineLevel="0" collapsed="false">
      <c r="A2235" s="0" t="s">
        <v>664</v>
      </c>
      <c r="B2235" s="0" t="s">
        <v>52</v>
      </c>
      <c r="E2235" s="13" t="n">
        <f aca="false">Sens!$E$2234/Sens!$N$2234-1</f>
        <v>0.0405283968368082</v>
      </c>
      <c r="F2235" s="13" t="n">
        <f aca="false">Sens!$O$2234/(Q!$F$11+Q!$G$11)-1</f>
        <v>0.0579254187100955</v>
      </c>
      <c r="G2235" s="13" t="n">
        <f aca="false">Sens!$G$2234/Sens!$D$2234-1</f>
        <v>0.0282041841483476</v>
      </c>
      <c r="H2235" s="13" t="n">
        <f aca="false">Sens!$F$2235+(g_ps-Sens!$F$2235)*1/4</f>
        <v>0.0509440640325716</v>
      </c>
      <c r="I2235" s="13" t="n">
        <f aca="false">Sens!$F$2235+(g_ps-Sens!$F$2235)*2/4</f>
        <v>0.0439627093550477</v>
      </c>
      <c r="J2235" s="13" t="n">
        <f aca="false">Sens!$F$2235+(g_ps-Sens!$F$2235)*3/4</f>
        <v>0.0369813546775239</v>
      </c>
      <c r="K2235" s="13" t="n">
        <f aca="false">Sens!$F$2235+(g_ps-Sens!$F$2235)*4/4</f>
        <v>0.03</v>
      </c>
      <c r="L2235" s="13" t="n">
        <f aca="false">g_ps</f>
        <v>0.03</v>
      </c>
      <c r="M2235" s="13" t="n">
        <f aca="false">g_ps</f>
        <v>0.03</v>
      </c>
      <c r="P2235" s="8" t="s">
        <v>665</v>
      </c>
    </row>
    <row r="2236" customFormat="false" ht="17.15" hidden="false" customHeight="false" outlineLevel="0" collapsed="false">
      <c r="A2236" s="0" t="s">
        <v>518</v>
      </c>
      <c r="B2236" s="0" t="s">
        <v>86</v>
      </c>
      <c r="C2236" s="38" t="n">
        <f aca="false">Q!$D$12</f>
        <v>156.146</v>
      </c>
      <c r="D2236" s="38" t="n">
        <f aca="false">Q!$E$12</f>
        <v>172.162</v>
      </c>
      <c r="E2236" s="38" t="n">
        <f aca="false">Q!$P$12</f>
        <v>88.358</v>
      </c>
      <c r="F2236" s="38" t="n">
        <f aca="false">Sens!$O$2236*(1+Sens!$F$2237)*Sens!$F$2244</f>
        <v>102.219433345043</v>
      </c>
      <c r="G2236" s="38" t="n">
        <f aca="false">Sens!$E$2236+Sens!$F$2236</f>
        <v>190.577433345043</v>
      </c>
      <c r="H2236" s="38" t="n">
        <f aca="false">Sens!$G$2236*(1+Sens!$H$2237)</f>
        <v>210.580723123919</v>
      </c>
      <c r="I2236" s="38" t="n">
        <f aca="false">Sens!$H$2236*(1+Sens!$I$2237)</f>
        <v>230.229516471853</v>
      </c>
      <c r="J2236" s="38" t="n">
        <f aca="false">Sens!$I$2236*(1+Sens!$J$2237)</f>
        <v>249.028637632409</v>
      </c>
      <c r="K2236" s="38" t="n">
        <f aca="false">Sens!$J$2236*(1+Sens!$K$2237)</f>
        <v>266.460642266678</v>
      </c>
      <c r="L2236" s="38" t="n">
        <f aca="false">Sens!$K$2236*(1+Sens!$L$2237)</f>
        <v>285.112887225345</v>
      </c>
      <c r="M2236" s="38" t="n">
        <f aca="false">Sens!$L$2236*(1+Sens!$M$2237)</f>
        <v>305.070789331119</v>
      </c>
      <c r="N2236" s="38" t="n">
        <f aca="false">Q!$N$12</f>
        <v>76.86</v>
      </c>
      <c r="O2236" s="38" t="n">
        <f aca="false">Q!$O$12</f>
        <v>95.302</v>
      </c>
      <c r="P2236" s="8" t="s">
        <v>661</v>
      </c>
    </row>
    <row r="2237" customFormat="false" ht="17.15" hidden="false" customHeight="false" outlineLevel="0" collapsed="false">
      <c r="A2237" s="0" t="s">
        <v>666</v>
      </c>
      <c r="B2237" s="0" t="s">
        <v>52</v>
      </c>
      <c r="E2237" s="13" t="n">
        <f aca="false">Sens!$E$2236/Sens!$N$2236-1</f>
        <v>0.1495966692688</v>
      </c>
      <c r="F2237" s="13" t="n">
        <f aca="false">Sens!$O$2236/(Q!$F$12+Q!$G$12)-1</f>
        <v>0.11661530890813</v>
      </c>
      <c r="G2237" s="13" t="n">
        <f aca="false">Sens!$G$2236/Sens!$D$2236-1</f>
        <v>0.106965726147715</v>
      </c>
      <c r="H2237" s="13" t="n">
        <f aca="false">Sens!$F$2237+(g_sp-Sens!$F$2237)*1/4</f>
        <v>0.104961481681098</v>
      </c>
      <c r="I2237" s="13" t="n">
        <f aca="false">Sens!$F$2237+(g_sp-Sens!$F$2237)*2/4</f>
        <v>0.0933076544540651</v>
      </c>
      <c r="J2237" s="13" t="n">
        <f aca="false">Sens!$F$2237+(g_sp-Sens!$F$2237)*3/4</f>
        <v>0.0816538272270325</v>
      </c>
      <c r="K2237" s="13" t="n">
        <f aca="false">Sens!$F$2237+(g_sp-Sens!$F$2237)*4/4</f>
        <v>0.07</v>
      </c>
      <c r="L2237" s="13" t="n">
        <f aca="false">g_sp</f>
        <v>0.07</v>
      </c>
      <c r="M2237" s="13" t="n">
        <f aca="false">g_sp</f>
        <v>0.07</v>
      </c>
      <c r="P2237" s="8" t="s">
        <v>667</v>
      </c>
    </row>
    <row r="2238" customFormat="false" ht="17.15" hidden="false" customHeight="false" outlineLevel="0" collapsed="false">
      <c r="A2238" s="0" t="s">
        <v>519</v>
      </c>
      <c r="B2238" s="0" t="s">
        <v>86</v>
      </c>
      <c r="C2238" s="38" t="n">
        <f aca="false">Q!$D$13</f>
        <v>56.214</v>
      </c>
      <c r="D2238" s="38" t="n">
        <f aca="false">Q!$E$13</f>
        <v>68.635</v>
      </c>
      <c r="E2238" s="38" t="n">
        <f aca="false">Q!$P$13</f>
        <v>37.052</v>
      </c>
      <c r="F2238" s="38" t="n">
        <f aca="false">Sens!$O$2238*(1+Sens!$F$2239)*Sens!$F$2244</f>
        <v>46.2545303934995</v>
      </c>
      <c r="G2238" s="38" t="n">
        <f aca="false">Sens!$E$2238+Sens!$F$2238</f>
        <v>83.3065303934995</v>
      </c>
      <c r="H2238" s="38" t="n">
        <f aca="false">Sens!$G$2238*(1+Sens!$H$2239)</f>
        <v>100.013746092747</v>
      </c>
      <c r="I2238" s="38" t="n">
        <f aca="false">Sens!$H$2238*(1+Sens!$I$2239)</f>
        <v>116.719448338281</v>
      </c>
      <c r="J2238" s="38" t="n">
        <f aca="false">Sens!$I$2238*(1+Sens!$J$2239)</f>
        <v>132.303482528595</v>
      </c>
      <c r="K2238" s="38" t="n">
        <f aca="false">Sens!$J$2238*(1+Sens!$K$2239)</f>
        <v>145.533830781454</v>
      </c>
      <c r="L2238" s="38" t="n">
        <f aca="false">Sens!$K$2238*(1+Sens!$L$2239)</f>
        <v>160.0872138596</v>
      </c>
      <c r="M2238" s="38" t="n">
        <f aca="false">Sens!$L$2238*(1+Sens!$M$2239)</f>
        <v>176.09593524556</v>
      </c>
      <c r="N2238" s="38" t="n">
        <f aca="false">Q!$N$13</f>
        <v>29.615</v>
      </c>
      <c r="O2238" s="38" t="n">
        <f aca="false">Q!$O$13</f>
        <v>39.02</v>
      </c>
      <c r="P2238" s="8" t="s">
        <v>661</v>
      </c>
    </row>
    <row r="2239" customFormat="false" ht="17.15" hidden="false" customHeight="false" outlineLevel="0" collapsed="false">
      <c r="A2239" s="0" t="s">
        <v>668</v>
      </c>
      <c r="B2239" s="0" t="s">
        <v>52</v>
      </c>
      <c r="E2239" s="13" t="n">
        <f aca="false">Sens!$E$2238/Sens!$N$2238-1</f>
        <v>0.25112274185379</v>
      </c>
      <c r="F2239" s="13" t="n">
        <f aca="false">Sens!$O$2238/(Q!$F$13+Q!$G$13)-1</f>
        <v>0.234068123596572</v>
      </c>
      <c r="G2239" s="13" t="n">
        <f aca="false">Sens!$G$2238/Sens!$D$2238-1</f>
        <v>0.213761643381649</v>
      </c>
      <c r="H2239" s="13" t="n">
        <f aca="false">Sens!$F$2239+(g_ad-Sens!$F$2239)*1/4</f>
        <v>0.200551092697429</v>
      </c>
      <c r="I2239" s="13" t="n">
        <f aca="false">Sens!$F$2239+(g_ad-Sens!$F$2239)*2/4</f>
        <v>0.167034061798286</v>
      </c>
      <c r="J2239" s="13" t="n">
        <f aca="false">Sens!$F$2239+(g_ad-Sens!$F$2239)*3/4</f>
        <v>0.133517030899143</v>
      </c>
      <c r="K2239" s="13" t="n">
        <f aca="false">Sens!$F$2239+(g_ad-Sens!$F$2239)*4/4</f>
        <v>0.1</v>
      </c>
      <c r="L2239" s="13" t="n">
        <f aca="false">g_ad</f>
        <v>0.1</v>
      </c>
      <c r="M2239" s="13" t="n">
        <f aca="false">g_ad</f>
        <v>0.1</v>
      </c>
      <c r="P2239" s="8" t="s">
        <v>669</v>
      </c>
    </row>
    <row r="2240" customFormat="false" ht="17.15" hidden="false" customHeight="false" outlineLevel="0" collapsed="false">
      <c r="A2240" s="0" t="s">
        <v>520</v>
      </c>
      <c r="B2240" s="0" t="s">
        <v>86</v>
      </c>
      <c r="C2240" s="38" t="n">
        <f aca="false">Q!$D$14</f>
        <v>44.374</v>
      </c>
      <c r="D2240" s="38" t="n">
        <f aca="false">Q!$E$14</f>
        <v>49.619</v>
      </c>
      <c r="E2240" s="38" t="n">
        <f aca="false">Q!$P$14</f>
        <v>27.157</v>
      </c>
      <c r="F2240" s="38" t="n">
        <f aca="false">Sens!$O$2240*(1+Sens!$F$2241)*Sens!$F$2244</f>
        <v>27.8349746860389</v>
      </c>
      <c r="G2240" s="38" t="n">
        <f aca="false">Sens!$E$2240+Sens!$F$2240</f>
        <v>54.9919746860389</v>
      </c>
      <c r="H2240" s="38" t="n">
        <f aca="false">Sens!$G$2240*(1+Sens!$H$2241)</f>
        <v>61.2216029498066</v>
      </c>
      <c r="I2240" s="38" t="n">
        <f aca="false">Sens!$H$2240*(1+Sens!$I$2241)</f>
        <v>67.2736644288055</v>
      </c>
      <c r="J2240" s="38" t="n">
        <f aca="false">Sens!$I$2240*(1+Sens!$J$2241)</f>
        <v>72.9534116880823</v>
      </c>
      <c r="K2240" s="38" t="n">
        <f aca="false">Sens!$J$2240*(1+Sens!$K$2241)</f>
        <v>78.0601505062481</v>
      </c>
      <c r="L2240" s="38" t="n">
        <f aca="false">Sens!$K$2240*(1+Sens!$L$2241)</f>
        <v>83.5243610416854</v>
      </c>
      <c r="M2240" s="38" t="n">
        <f aca="false">Sens!$L$2240*(1+Sens!$M$2241)</f>
        <v>89.3710663146034</v>
      </c>
      <c r="N2240" s="38" t="n">
        <f aca="false">Q!$N$14</f>
        <v>23.923</v>
      </c>
      <c r="O2240" s="38" t="n">
        <f aca="false">Q!$O$14</f>
        <v>25.696</v>
      </c>
      <c r="P2240" s="8" t="s">
        <v>661</v>
      </c>
    </row>
    <row r="2241" customFormat="false" ht="17.15" hidden="false" customHeight="false" outlineLevel="0" collapsed="false">
      <c r="A2241" s="0" t="s">
        <v>670</v>
      </c>
      <c r="B2241" s="0" t="s">
        <v>52</v>
      </c>
      <c r="E2241" s="13" t="n">
        <f aca="false">Sens!$E$2240/Sens!$N$2240-1</f>
        <v>0.135183714417088</v>
      </c>
      <c r="F2241" s="13" t="n">
        <f aca="false">Sens!$O$2240/(Q!$F$14+Q!$G$14)-1</f>
        <v>0.127709997366804</v>
      </c>
      <c r="G2241" s="13" t="n">
        <f aca="false">Sens!$G$2240/Sens!$D$2240-1</f>
        <v>0.108284622544568</v>
      </c>
      <c r="H2241" s="13" t="n">
        <f aca="false">Sens!$F$2241+(g_sub-Sens!$F$2241)*1/4</f>
        <v>0.113282498025103</v>
      </c>
      <c r="I2241" s="13" t="n">
        <f aca="false">Sens!$F$2241+(g_sub-Sens!$F$2241)*2/4</f>
        <v>0.0988549986834021</v>
      </c>
      <c r="J2241" s="13" t="n">
        <f aca="false">Sens!$F$2241+(g_sub-Sens!$F$2241)*3/4</f>
        <v>0.084427499341701</v>
      </c>
      <c r="K2241" s="13" t="n">
        <f aca="false">Sens!$F$2241+(g_sub-Sens!$F$2241)*4/4</f>
        <v>0.07</v>
      </c>
      <c r="L2241" s="13" t="n">
        <f aca="false">g_sub</f>
        <v>0.07</v>
      </c>
      <c r="M2241" s="13" t="n">
        <f aca="false">g_sub</f>
        <v>0.07</v>
      </c>
      <c r="P2241" s="8" t="s">
        <v>671</v>
      </c>
    </row>
    <row r="2242" customFormat="false" ht="17.15" hidden="false" customHeight="false" outlineLevel="0" collapsed="false">
      <c r="A2242" s="0" t="s">
        <v>521</v>
      </c>
      <c r="B2242" s="0" t="s">
        <v>86</v>
      </c>
      <c r="C2242" s="38" t="n">
        <f aca="false">Q!$D$15</f>
        <v>5.425</v>
      </c>
      <c r="D2242" s="38" t="n">
        <f aca="false">Q!$E$15</f>
        <v>5.935</v>
      </c>
      <c r="E2242" s="38" t="n">
        <f aca="false">Q!$P$15</f>
        <v>3.474</v>
      </c>
      <c r="F2242" s="38" t="n">
        <f aca="false">Sens!$O$2242*(1+Sens!$F$2243)*Sens!$F$2244</f>
        <v>3.22925909272667</v>
      </c>
      <c r="G2242" s="38" t="n">
        <f aca="false">Sens!$E$2242+Sens!$F$2242</f>
        <v>6.70325909272667</v>
      </c>
      <c r="H2242" s="38" t="n">
        <f aca="false">Sens!$G$2242*(1+Sens!$H$2243)</f>
        <v>7.16977983297702</v>
      </c>
      <c r="I2242" s="38" t="n">
        <f aca="false">Sens!$H$2242*(1+Sens!$I$2243)</f>
        <v>7.62193534207873</v>
      </c>
      <c r="J2242" s="38" t="n">
        <f aca="false">Sens!$I$2242*(1+Sens!$J$2243)</f>
        <v>8.05281886389303</v>
      </c>
      <c r="K2242" s="38" t="n">
        <f aca="false">Sens!$J$2242*(1+Sens!$K$2243)</f>
        <v>8.45545980708768</v>
      </c>
      <c r="L2242" s="38" t="n">
        <f aca="false">Sens!$K$2242*(1+Sens!$L$2243)</f>
        <v>8.87823279744206</v>
      </c>
      <c r="M2242" s="38" t="n">
        <f aca="false">Sens!$L$2242*(1+Sens!$M$2243)</f>
        <v>9.32214443731416</v>
      </c>
      <c r="N2242" s="38" t="n">
        <f aca="false">Q!$N$15</f>
        <v>2.811</v>
      </c>
      <c r="O2242" s="38" t="n">
        <f aca="false">Q!$O$15</f>
        <v>3.124</v>
      </c>
      <c r="P2242" s="8" t="s">
        <v>661</v>
      </c>
    </row>
    <row r="2243" customFormat="false" ht="17.15" hidden="false" customHeight="false" outlineLevel="0" collapsed="false">
      <c r="A2243" s="0" t="s">
        <v>672</v>
      </c>
      <c r="B2243" s="0" t="s">
        <v>52</v>
      </c>
      <c r="E2243" s="13" t="n">
        <f aca="false">Sens!$E$2242/Sens!$N$2242-1</f>
        <v>0.235859124866596</v>
      </c>
      <c r="F2243" s="13" t="n">
        <f aca="false">Sens!$O$2242/(Q!$F$15+Q!$G$15)-1</f>
        <v>0.0761281433000345</v>
      </c>
      <c r="G2243" s="13" t="n">
        <f aca="false">Sens!$G$2242/Sens!$D$2242-1</f>
        <v>0.129445508462792</v>
      </c>
      <c r="H2243" s="13" t="n">
        <f aca="false">Sens!$F$2243+(g_ot-Sens!$F$2243)*1/4</f>
        <v>0.0695961074750259</v>
      </c>
      <c r="I2243" s="13" t="n">
        <f aca="false">Sens!$F$2243+(g_ot-Sens!$F$2243)*2/4</f>
        <v>0.0630640716500172</v>
      </c>
      <c r="J2243" s="13" t="n">
        <f aca="false">Sens!$F$2243+(g_ot-Sens!$F$2243)*3/4</f>
        <v>0.0565320358250086</v>
      </c>
      <c r="K2243" s="13" t="n">
        <f aca="false">Sens!$F$2243+(g_ot-Sens!$F$2243)*4/4</f>
        <v>0.05</v>
      </c>
      <c r="L2243" s="13" t="n">
        <f aca="false">g_ot</f>
        <v>0.05</v>
      </c>
      <c r="M2243" s="13" t="n">
        <f aca="false">g_ot</f>
        <v>0.05</v>
      </c>
      <c r="P2243" s="8" t="s">
        <v>673</v>
      </c>
    </row>
    <row r="2244" customFormat="false" ht="17.15" hidden="false" customHeight="false" outlineLevel="0" collapsed="false">
      <c r="A2244" s="0" t="s">
        <v>674</v>
      </c>
      <c r="B2244" s="0" t="s">
        <v>57</v>
      </c>
      <c r="F2244" s="40" t="n">
        <f aca="false">(g26q3_mid*Q!$O$8/Q!$J$8-Sens!$F$2273-Sens!$F$2277)/(Sens!$O$2232*(1+Sens!$F$2233)+Sens!$O$2234*(1+Sens!$F$2235)+Sens!$O$2236*(1+Sens!$F$2237)+Sens!$O$2238*(1+Sens!$F$2239)+Sens!$O$2240*(1+Sens!$F$2241)+Sens!$O$2242*(1+Sens!$F$2243))</f>
        <v>0.960567473390259</v>
      </c>
      <c r="P2244" s="8" t="s">
        <v>675</v>
      </c>
    </row>
    <row r="2245" customFormat="false" ht="17.15" hidden="false" customHeight="false" outlineLevel="0" collapsed="false">
      <c r="A2245" s="3" t="s">
        <v>676</v>
      </c>
      <c r="B2245" s="8" t="s">
        <v>86</v>
      </c>
      <c r="C2245" s="38" t="n">
        <f aca="false">Sens!$C$2232+Sens!$C$2234+Sens!$C$2236+Sens!$C$2238+Sens!$C$2240+Sens!$C$2242</f>
        <v>530.403</v>
      </c>
      <c r="D2245" s="38" t="n">
        <f aca="false">Sens!$D$2232+Sens!$D$2234+Sens!$D$2236+Sens!$D$2238+Sens!$D$2240+Sens!$D$2242</f>
        <v>588.199</v>
      </c>
      <c r="E2245" s="38" t="n">
        <f aca="false">Sens!$E$2232+Sens!$E$2234+Sens!$E$2236+Sens!$E$2238+Sens!$E$2240+Sens!$E$2242</f>
        <v>302.306</v>
      </c>
      <c r="F2245" s="38" t="n">
        <f aca="false">Sens!$F$2232+Sens!$F$2234+Sens!$F$2236+Sens!$F$2238+Sens!$F$2240+Sens!$F$2242</f>
        <v>349.784103210212</v>
      </c>
      <c r="G2245" s="38" t="n">
        <f aca="false">Sens!$G$2232+Sens!$G$2234+Sens!$G$2236+Sens!$G$2238+Sens!$G$2240+Sens!$G$2242</f>
        <v>652.090103210212</v>
      </c>
      <c r="H2245" s="38" t="n">
        <f aca="false">Sens!$H$2232+Sens!$H$2234+Sens!$H$2236+Sens!$H$2238+Sens!$H$2240+Sens!$H$2242</f>
        <v>721.911898429489</v>
      </c>
      <c r="I2245" s="38" t="n">
        <f aca="false">Sens!$I$2232+Sens!$I$2234+Sens!$I$2236+Sens!$I$2238+Sens!$I$2240+Sens!$I$2242</f>
        <v>789.42094334357</v>
      </c>
      <c r="J2245" s="38" t="n">
        <f aca="false">Sens!$J$2232+Sens!$J$2234+Sens!$J$2236+Sens!$J$2238+Sens!$J$2240+Sens!$J$2242</f>
        <v>852.070987617904</v>
      </c>
      <c r="K2245" s="38" t="n">
        <f aca="false">Sens!$K$2232+Sens!$K$2234+Sens!$K$2236+Sens!$K$2238+Sens!$K$2240+Sens!$K$2242</f>
        <v>907.201510963248</v>
      </c>
      <c r="L2245" s="38" t="n">
        <f aca="false">Sens!$L$2232+Sens!$L$2234+Sens!$L$2236+Sens!$L$2238+Sens!$L$2240+Sens!$L$2242</f>
        <v>966.185017523099</v>
      </c>
      <c r="M2245" s="38" t="n">
        <f aca="false">Sens!$M$2232+Sens!$M$2234+Sens!$M$2236+Sens!$M$2238+Sens!$M$2240+Sens!$M$2242</f>
        <v>1029.31138738325</v>
      </c>
      <c r="N2245" s="38" t="n">
        <f aca="false">Sens!$N$2232+Sens!$N$2234+Sens!$N$2236+Sens!$N$2238+Sens!$N$2240+Sens!$N$2242</f>
        <v>263.229</v>
      </c>
      <c r="O2245" s="38" t="n">
        <f aca="false">Sens!$O$2232+Sens!$O$2234+Sens!$O$2236+Sens!$O$2238+Sens!$O$2240+Sens!$O$2242</f>
        <v>324.97</v>
      </c>
    </row>
    <row r="2246" customFormat="false" ht="17.15" hidden="false" customHeight="false" outlineLevel="0" collapsed="false">
      <c r="A2246" s="5" t="s">
        <v>677</v>
      </c>
      <c r="B2246" s="0" t="s">
        <v>52</v>
      </c>
      <c r="C2246" s="13" t="n">
        <f aca="false">Q!$D$5/(Q!$D$5+Q!$D$6)</f>
        <v>0.730570905519011</v>
      </c>
      <c r="D2246" s="13" t="n">
        <f aca="false">Q!$E$5/(Q!$E$5+Q!$E$6)</f>
        <v>0.724763217890544</v>
      </c>
      <c r="E2246" s="13" t="n">
        <f aca="false">Q!$P$5/(Q!$P$5+Q!$P$6)</f>
        <v>0.728797972914861</v>
      </c>
      <c r="F2246" s="13" t="n">
        <f aca="false">Sens!$O$2246</f>
        <v>0.718066283041511</v>
      </c>
      <c r="G2246" s="13" t="n">
        <f aca="false">Sens!$G$2247/Sens!$G$2245</f>
        <v>0.723041445557982</v>
      </c>
      <c r="H2246" s="13" t="n">
        <f aca="false">Sens!$G$2246</f>
        <v>0.723041445557982</v>
      </c>
      <c r="I2246" s="13" t="n">
        <f aca="false">Sens!$G$2246</f>
        <v>0.723041445557982</v>
      </c>
      <c r="J2246" s="13" t="n">
        <f aca="false">Sens!$G$2246</f>
        <v>0.723041445557982</v>
      </c>
      <c r="K2246" s="13" t="n">
        <f aca="false">Sens!$G$2246</f>
        <v>0.723041445557982</v>
      </c>
      <c r="L2246" s="13" t="n">
        <f aca="false">Sens!$G$2246</f>
        <v>0.723041445557982</v>
      </c>
      <c r="M2246" s="13" t="n">
        <f aca="false">Sens!$G$2246</f>
        <v>0.723041445557982</v>
      </c>
      <c r="N2246" s="13" t="n">
        <f aca="false">Q!$N$5/(Q!$N$5+Q!$N$6)</f>
        <v>0.733030935041352</v>
      </c>
      <c r="O2246" s="13" t="n">
        <f aca="false">Q!$O$5/(Q!$O$5+Q!$O$6)</f>
        <v>0.718066283041511</v>
      </c>
      <c r="P2246" s="8" t="s">
        <v>678</v>
      </c>
    </row>
    <row r="2247" customFormat="false" ht="17.15" hidden="false" customHeight="false" outlineLevel="0" collapsed="false">
      <c r="A2247" s="1" t="s">
        <v>509</v>
      </c>
      <c r="B2247" s="8" t="s">
        <v>86</v>
      </c>
      <c r="C2247" s="38" t="n">
        <f aca="false">Q!$D$5</f>
        <v>387.497</v>
      </c>
      <c r="D2247" s="38" t="n">
        <f aca="false">Q!$E$5</f>
        <v>426.305</v>
      </c>
      <c r="E2247" s="38" t="n">
        <f aca="false">Q!$P$5</f>
        <v>220.32</v>
      </c>
      <c r="F2247" s="38" t="n">
        <f aca="false">Sens!$F$2245*Sens!$F$2246</f>
        <v>251.168170859166</v>
      </c>
      <c r="G2247" s="38" t="n">
        <f aca="false">Sens!$E$2247+Sens!$F$2247</f>
        <v>471.488170859166</v>
      </c>
      <c r="H2247" s="38" t="n">
        <f aca="false">Sens!$H$2245*Sens!$H$2246</f>
        <v>521.972222605965</v>
      </c>
      <c r="I2247" s="38" t="n">
        <f aca="false">Sens!$I$2245*Sens!$I$2246</f>
        <v>570.784060028881</v>
      </c>
      <c r="J2247" s="38" t="n">
        <f aca="false">Sens!$J$2245*Sens!$J$2246</f>
        <v>616.082638605267</v>
      </c>
      <c r="K2247" s="38" t="n">
        <f aca="false">Sens!$K$2245*Sens!$K$2246</f>
        <v>655.944291899252</v>
      </c>
      <c r="L2247" s="38" t="n">
        <f aca="false">Sens!$L$2245*Sens!$L$2246</f>
        <v>698.591811746366</v>
      </c>
      <c r="M2247" s="38" t="n">
        <f aca="false">Sens!$M$2245*Sens!$M$2246</f>
        <v>744.234793462874</v>
      </c>
      <c r="N2247" s="38" t="n">
        <f aca="false">Q!$N$5</f>
        <v>192.955</v>
      </c>
      <c r="O2247" s="38" t="n">
        <f aca="false">Q!$O$5</f>
        <v>233.35</v>
      </c>
      <c r="P2247" s="5" t="s">
        <v>679</v>
      </c>
    </row>
    <row r="2248" customFormat="false" ht="17.15" hidden="false" customHeight="false" outlineLevel="0" collapsed="false">
      <c r="A2248" s="1" t="s">
        <v>512</v>
      </c>
      <c r="B2248" s="8" t="s">
        <v>86</v>
      </c>
      <c r="C2248" s="38" t="n">
        <f aca="false">Q!$D$6</f>
        <v>142.906</v>
      </c>
      <c r="D2248" s="38" t="n">
        <f aca="false">Q!$E$6</f>
        <v>161.894</v>
      </c>
      <c r="E2248" s="38" t="n">
        <f aca="false">Q!$P$6</f>
        <v>81.986</v>
      </c>
      <c r="F2248" s="38" t="n">
        <f aca="false">Sens!$F$2245*(1-Sens!$F$2246)</f>
        <v>98.6159323510468</v>
      </c>
      <c r="G2248" s="38" t="n">
        <f aca="false">Sens!$E$2248+Sens!$F$2248</f>
        <v>180.601932351047</v>
      </c>
      <c r="H2248" s="38" t="n">
        <f aca="false">Sens!$H$2245*(1-Sens!$H$2246)</f>
        <v>199.939675823524</v>
      </c>
      <c r="I2248" s="38" t="n">
        <f aca="false">Sens!$I$2245*(1-Sens!$I$2246)</f>
        <v>218.636883314689</v>
      </c>
      <c r="J2248" s="38" t="n">
        <f aca="false">Sens!$J$2245*(1-Sens!$J$2246)</f>
        <v>235.988349012638</v>
      </c>
      <c r="K2248" s="38" t="n">
        <f aca="false">Sens!$K$2245*(1-Sens!$K$2246)</f>
        <v>251.257219063996</v>
      </c>
      <c r="L2248" s="38" t="n">
        <f aca="false">Sens!$L$2245*(1-Sens!$L$2246)</f>
        <v>267.593205776733</v>
      </c>
      <c r="M2248" s="38" t="n">
        <f aca="false">Sens!$M$2245*(1-Sens!$M$2246)</f>
        <v>285.076593920372</v>
      </c>
      <c r="N2248" s="38" t="n">
        <f aca="false">Q!$N$6</f>
        <v>70.274</v>
      </c>
      <c r="O2248" s="38" t="n">
        <f aca="false">Q!$O$6</f>
        <v>91.62</v>
      </c>
      <c r="P2248" s="5" t="s">
        <v>680</v>
      </c>
    </row>
    <row r="2249" customFormat="false" ht="17.15" hidden="false" customHeight="false" outlineLevel="0" collapsed="false">
      <c r="A2249" s="5" t="s">
        <v>681</v>
      </c>
      <c r="B2249" s="0" t="s">
        <v>86</v>
      </c>
      <c r="C2249" s="38" t="n">
        <f aca="false">Sens!$C$2238*Sens!$C$2246</f>
        <v>41.0683128828457</v>
      </c>
      <c r="D2249" s="38" t="n">
        <f aca="false">Sens!$D$2238*Sens!$D$2246</f>
        <v>49.7441234599175</v>
      </c>
      <c r="E2249" s="38" t="n">
        <f aca="false">Sens!$E$2238*Sens!$E$2246</f>
        <v>27.0034224924414</v>
      </c>
      <c r="F2249" s="38" t="n">
        <f aca="false">Sens!$F$2238*Sens!$F$2246</f>
        <v>33.2138187134908</v>
      </c>
      <c r="G2249" s="38" t="n">
        <f aca="false">Sens!$G$2238*Sens!$G$2246</f>
        <v>60.2340741601358</v>
      </c>
      <c r="H2249" s="38" t="n">
        <f aca="false">Sens!$H$2238*Sens!$H$2246</f>
        <v>72.314083550569</v>
      </c>
      <c r="I2249" s="38" t="n">
        <f aca="false">Sens!$I$2238*Sens!$I$2246</f>
        <v>84.3929986512412</v>
      </c>
      <c r="J2249" s="38" t="n">
        <f aca="false">Sens!$J$2238*Sens!$J$2246</f>
        <v>95.6609012598303</v>
      </c>
      <c r="K2249" s="38" t="n">
        <f aca="false">Sens!$K$2238*Sens!$K$2246</f>
        <v>105.226991385813</v>
      </c>
      <c r="L2249" s="38" t="n">
        <f aca="false">Sens!$L$2238*Sens!$L$2246</f>
        <v>115.749690524395</v>
      </c>
      <c r="M2249" s="38" t="n">
        <f aca="false">Sens!$M$2238*Sens!$M$2246</f>
        <v>127.324659576834</v>
      </c>
      <c r="N2249" s="38" t="n">
        <f aca="false">Sens!$N$2238*Sens!$N$2246</f>
        <v>21.7087111412496</v>
      </c>
      <c r="O2249" s="38" t="n">
        <f aca="false">Sens!$O$2238*Sens!$O$2246</f>
        <v>28.0189463642798</v>
      </c>
      <c r="P2249" s="5" t="s">
        <v>682</v>
      </c>
    </row>
    <row r="2250" customFormat="false" ht="15" hidden="false" customHeight="false" outlineLevel="0" collapsed="false">
      <c r="A2250" s="5" t="s">
        <v>683</v>
      </c>
      <c r="B2250" s="0" t="s">
        <v>86</v>
      </c>
      <c r="C2250" s="38" t="n">
        <f aca="false">Sens!$C$2238-Sens!$C$2249</f>
        <v>15.1456871171543</v>
      </c>
      <c r="D2250" s="38" t="n">
        <f aca="false">Sens!$D$2238-Sens!$D$2249</f>
        <v>18.8908765400825</v>
      </c>
      <c r="E2250" s="38" t="n">
        <f aca="false">Sens!$E$2238-Sens!$E$2249</f>
        <v>10.0485775075586</v>
      </c>
      <c r="F2250" s="38" t="n">
        <f aca="false">Sens!$F$2238-Sens!$F$2249</f>
        <v>13.0407116800087</v>
      </c>
      <c r="G2250" s="38" t="n">
        <f aca="false">Sens!$G$2238-Sens!$G$2249</f>
        <v>23.0724562333637</v>
      </c>
      <c r="H2250" s="38" t="n">
        <f aca="false">Sens!$H$2238-Sens!$H$2249</f>
        <v>27.6996625421784</v>
      </c>
      <c r="I2250" s="38" t="n">
        <f aca="false">Sens!$I$2238-Sens!$I$2249</f>
        <v>32.3264496870402</v>
      </c>
      <c r="J2250" s="38" t="n">
        <f aca="false">Sens!$J$2238-Sens!$J$2249</f>
        <v>36.6425812687644</v>
      </c>
      <c r="K2250" s="38" t="n">
        <f aca="false">Sens!$K$2238-Sens!$K$2249</f>
        <v>40.3068393956408</v>
      </c>
      <c r="L2250" s="38" t="n">
        <f aca="false">Sens!$L$2238-Sens!$L$2249</f>
        <v>44.3375233352049</v>
      </c>
      <c r="M2250" s="38" t="n">
        <f aca="false">Sens!$M$2238-Sens!$M$2249</f>
        <v>48.7712756687254</v>
      </c>
      <c r="N2250" s="38" t="n">
        <f aca="false">Sens!$N$2238-Sens!$N$2249</f>
        <v>7.90628885875037</v>
      </c>
      <c r="O2250" s="38" t="n">
        <f aca="false">Sens!$O$2238-Sens!$O$2249</f>
        <v>11.0010536357202</v>
      </c>
    </row>
    <row r="2251" customFormat="false" ht="19.4" hidden="false" customHeight="false" outlineLevel="0" collapsed="false">
      <c r="A2251" s="31" t="s">
        <v>1173</v>
      </c>
    </row>
    <row r="2252" customFormat="false" ht="17.15" hidden="false" customHeight="false" outlineLevel="0" collapsed="false">
      <c r="A2252" s="6" t="s">
        <v>16</v>
      </c>
      <c r="B2252" s="6" t="s">
        <v>17</v>
      </c>
      <c r="C2252" s="20" t="s">
        <v>494</v>
      </c>
      <c r="D2252" s="20" t="s">
        <v>495</v>
      </c>
      <c r="E2252" s="20" t="s">
        <v>577</v>
      </c>
      <c r="F2252" s="20" t="s">
        <v>578</v>
      </c>
      <c r="G2252" s="20" t="s">
        <v>579</v>
      </c>
      <c r="H2252" s="20" t="s">
        <v>580</v>
      </c>
      <c r="I2252" s="20" t="s">
        <v>581</v>
      </c>
      <c r="J2252" s="20" t="s">
        <v>582</v>
      </c>
      <c r="K2252" s="20" t="s">
        <v>583</v>
      </c>
      <c r="L2252" s="20" t="s">
        <v>584</v>
      </c>
      <c r="M2252" s="20" t="s">
        <v>585</v>
      </c>
      <c r="N2252" s="20" t="s">
        <v>586</v>
      </c>
      <c r="O2252" s="20" t="s">
        <v>587</v>
      </c>
      <c r="P2252" s="6" t="s">
        <v>23</v>
      </c>
      <c r="R2252" s="20" t="n">
        <v>2023</v>
      </c>
      <c r="S2252" s="20" t="n">
        <v>2024</v>
      </c>
      <c r="T2252" s="20" t="n">
        <v>2025</v>
      </c>
      <c r="U2252" s="20" t="n">
        <v>2026</v>
      </c>
      <c r="V2252" s="20" t="n">
        <v>2027</v>
      </c>
      <c r="W2252" s="20" t="n">
        <v>2028</v>
      </c>
      <c r="X2252" s="20" t="n">
        <v>2029</v>
      </c>
      <c r="Y2252" s="20" t="n">
        <v>2030</v>
      </c>
      <c r="Z2252" s="20" t="n">
        <v>2031</v>
      </c>
      <c r="AA2252" s="20" t="n">
        <v>2032</v>
      </c>
    </row>
    <row r="2253" customFormat="false" ht="17.15" hidden="false" customHeight="false" outlineLevel="0" collapsed="false">
      <c r="A2253" s="1" t="s">
        <v>588</v>
      </c>
    </row>
    <row r="2254" customFormat="false" ht="17.15" hidden="false" customHeight="false" outlineLevel="0" collapsed="false">
      <c r="A2254" s="5" t="s">
        <v>589</v>
      </c>
      <c r="B2254" s="0" t="s">
        <v>144</v>
      </c>
      <c r="H2254" s="32" t="n">
        <f aca="false">pace_B</f>
        <v>3634.3</v>
      </c>
      <c r="I2254" s="32" t="n">
        <f aca="false">pace_B</f>
        <v>3634.3</v>
      </c>
      <c r="J2254" s="32" t="n">
        <f aca="false">pace_B</f>
        <v>3634.3</v>
      </c>
      <c r="K2254" s="32" t="n">
        <f aca="false">pace_B+(Sens!$J$2255*tg-pace_B)*1/3</f>
        <v>2570.86716666667</v>
      </c>
      <c r="L2254" s="32" t="n">
        <f aca="false">pace_B+(Sens!$J$2255*tg-pace_B)*2/3</f>
        <v>1507.43433333333</v>
      </c>
      <c r="M2254" s="32" t="n">
        <f aca="false">pace_B+(Sens!$J$2255*tg-pace_B)*3/3</f>
        <v>444.0015</v>
      </c>
      <c r="P2254" s="5" t="s">
        <v>590</v>
      </c>
    </row>
    <row r="2255" customFormat="false" ht="17.15" hidden="false" customHeight="false" outlineLevel="0" collapsed="false">
      <c r="A2255" s="15" t="s">
        <v>591</v>
      </c>
      <c r="B2255" s="14" t="s">
        <v>129</v>
      </c>
      <c r="C2255" s="33" t="n">
        <f aca="false">mw_ye24</f>
        <v>360</v>
      </c>
      <c r="D2255" s="33" t="n">
        <f aca="false">mw_ye25</f>
        <v>1440</v>
      </c>
      <c r="E2255" s="33" t="n">
        <f aca="false">mw_open</f>
        <v>2080</v>
      </c>
      <c r="F2255" s="33" t="n">
        <f aca="false">Sens!$E$2255+pace_B*0.5</f>
        <v>3897.15</v>
      </c>
      <c r="G2255" s="33" t="n">
        <f aca="false">Sens!$F$2255</f>
        <v>3897.15</v>
      </c>
      <c r="H2255" s="33" t="n">
        <f aca="false">Sens!$G$2255+Sens!$H$2254</f>
        <v>7531.45</v>
      </c>
      <c r="I2255" s="33" t="n">
        <f aca="false">Sens!$H$2255+Sens!$I$2254</f>
        <v>11165.75</v>
      </c>
      <c r="J2255" s="33" t="n">
        <f aca="false">Sens!$I$2255+Sens!$J$2254</f>
        <v>14800.05</v>
      </c>
      <c r="K2255" s="33" t="n">
        <f aca="false">Sens!$J$2255+Sens!$K$2254</f>
        <v>17370.9171666667</v>
      </c>
      <c r="L2255" s="33" t="n">
        <f aca="false">Sens!$K$2255+Sens!$L$2254</f>
        <v>18878.3515</v>
      </c>
      <c r="M2255" s="33" t="n">
        <f aca="false">Sens!$L$2255+Sens!$M$2254</f>
        <v>19322.353</v>
      </c>
      <c r="N2255" s="33" t="n">
        <f aca="false">(mw_ye24+mw_ye25)/2</f>
        <v>900</v>
      </c>
      <c r="O2255" s="33" t="n">
        <f aca="false">mw_ye25</f>
        <v>1440</v>
      </c>
      <c r="P2255" s="5" t="s">
        <v>592</v>
      </c>
    </row>
    <row r="2256" customFormat="false" ht="17.15" hidden="false" customHeight="false" outlineLevel="0" collapsed="false">
      <c r="A2256" s="5" t="s">
        <v>593</v>
      </c>
      <c r="B2256" s="0" t="s">
        <v>129</v>
      </c>
      <c r="C2256" s="32" t="n">
        <f aca="false">(mw_ye23+mw_ye24)/2</f>
        <v>240</v>
      </c>
      <c r="D2256" s="32" t="n">
        <f aca="false">(Sens!$C$2255+Sens!$D$2255)/2</f>
        <v>900</v>
      </c>
      <c r="E2256" s="32" t="n">
        <f aca="false">(Sens!$D$2255+Sens!$E$2255)/2</f>
        <v>1760</v>
      </c>
      <c r="F2256" s="32" t="n">
        <f aca="false">(Sens!$E$2255+Sens!$F$2255)/2</f>
        <v>2988.575</v>
      </c>
      <c r="G2256" s="32" t="n">
        <f aca="false">(Sens!$E$2256+Sens!$F$2256)/2</f>
        <v>2374.2875</v>
      </c>
      <c r="H2256" s="32" t="n">
        <f aca="false">(Sens!$G$2255+Sens!$H$2255)/2</f>
        <v>5714.3</v>
      </c>
      <c r="I2256" s="32" t="n">
        <f aca="false">(Sens!$H$2255+Sens!$I$2255)/2</f>
        <v>9348.6</v>
      </c>
      <c r="J2256" s="32" t="n">
        <f aca="false">(Sens!$I$2255+Sens!$J$2255)/2</f>
        <v>12982.9</v>
      </c>
      <c r="K2256" s="32" t="n">
        <f aca="false">(Sens!$J$2255+Sens!$K$2255)/2</f>
        <v>16085.4835833333</v>
      </c>
      <c r="L2256" s="32" t="n">
        <f aca="false">(Sens!$K$2255+Sens!$L$2255)/2</f>
        <v>18124.6343333333</v>
      </c>
      <c r="M2256" s="32" t="n">
        <f aca="false">(Sens!$L$2255+Sens!$M$2255)/2</f>
        <v>19100.35225</v>
      </c>
      <c r="N2256" s="32" t="n">
        <f aca="false">(Sens!$C$2255+Sens!$N$2255)/2</f>
        <v>630</v>
      </c>
      <c r="O2256" s="32" t="n">
        <f aca="false">(Sens!$N$2255+Sens!$O$2255)/2</f>
        <v>1170</v>
      </c>
    </row>
    <row r="2257" customFormat="false" ht="15" hidden="false" customHeight="false" outlineLevel="0" collapsed="false">
      <c r="A2257" s="5" t="s">
        <v>594</v>
      </c>
      <c r="B2257" s="5" t="s">
        <v>123</v>
      </c>
      <c r="C2257" s="34" t="n">
        <v>1</v>
      </c>
      <c r="D2257" s="34" t="n">
        <v>1</v>
      </c>
      <c r="E2257" s="34" t="n">
        <v>0.5</v>
      </c>
      <c r="F2257" s="34" t="n">
        <v>0.5</v>
      </c>
      <c r="G2257" s="34" t="n">
        <v>1</v>
      </c>
      <c r="H2257" s="34" t="n">
        <v>1</v>
      </c>
      <c r="I2257" s="34" t="n">
        <v>1</v>
      </c>
      <c r="J2257" s="34" t="n">
        <v>1</v>
      </c>
      <c r="K2257" s="34" t="n">
        <v>1</v>
      </c>
      <c r="L2257" s="34" t="n">
        <v>1</v>
      </c>
      <c r="M2257" s="34" t="n">
        <v>1</v>
      </c>
      <c r="N2257" s="34" t="n">
        <v>0.5</v>
      </c>
      <c r="O2257" s="34" t="n">
        <v>0.5</v>
      </c>
    </row>
    <row r="2258" customFormat="false" ht="17.15" hidden="false" customHeight="false" outlineLevel="0" collapsed="false">
      <c r="A2258" s="5" t="s">
        <v>595</v>
      </c>
      <c r="B2258" s="0" t="s">
        <v>129</v>
      </c>
      <c r="C2258" s="32" t="n">
        <f aca="false">Sens!$C$2255-mw_ye23</f>
        <v>240</v>
      </c>
      <c r="D2258" s="32" t="n">
        <f aca="false">Sens!$D$2255-Sens!$C$2255</f>
        <v>1080</v>
      </c>
      <c r="E2258" s="32" t="n">
        <f aca="false">Sens!$E$2255-Sens!$D$2255</f>
        <v>640</v>
      </c>
      <c r="F2258" s="32" t="n">
        <f aca="false">Sens!$F$2255-Sens!$E$2255</f>
        <v>1817.15</v>
      </c>
      <c r="G2258" s="32" t="n">
        <f aca="false">Sens!$E$2258+Sens!$F$2258</f>
        <v>2457.15</v>
      </c>
      <c r="H2258" s="32" t="n">
        <f aca="false">Sens!$H$2255-Sens!$G$2255</f>
        <v>3634.3</v>
      </c>
      <c r="I2258" s="32" t="n">
        <f aca="false">Sens!$I$2255-Sens!$H$2255</f>
        <v>3634.3</v>
      </c>
      <c r="J2258" s="32" t="n">
        <f aca="false">Sens!$J$2255-Sens!$I$2255</f>
        <v>3634.3</v>
      </c>
      <c r="K2258" s="32" t="n">
        <f aca="false">Sens!$K$2255-Sens!$J$2255</f>
        <v>2570.86716666667</v>
      </c>
      <c r="L2258" s="32" t="n">
        <f aca="false">Sens!$L$2255-Sens!$K$2255</f>
        <v>1507.43433333333</v>
      </c>
      <c r="M2258" s="32" t="n">
        <f aca="false">Sens!$M$2255-Sens!$L$2255</f>
        <v>444.001499999999</v>
      </c>
      <c r="N2258" s="32" t="n">
        <f aca="false">Sens!$N$2255-Sens!$C$2255</f>
        <v>540</v>
      </c>
      <c r="O2258" s="32" t="n">
        <f aca="false">Sens!$O$2255-Sens!$N$2255</f>
        <v>540</v>
      </c>
    </row>
    <row r="2259" customFormat="false" ht="17.15" hidden="false" customHeight="false" outlineLevel="0" collapsed="false">
      <c r="A2259" s="5" t="s">
        <v>596</v>
      </c>
      <c r="B2259" s="0" t="s">
        <v>129</v>
      </c>
      <c r="C2259" s="32" t="n">
        <f aca="false">Sens!$C$2258/ext_sh</f>
        <v>300</v>
      </c>
      <c r="D2259" s="32" t="n">
        <f aca="false">Sens!$D$2258/ext_sh</f>
        <v>1350</v>
      </c>
      <c r="E2259" s="32" t="n">
        <f aca="false">Sens!$E$2258/ext_sh</f>
        <v>800</v>
      </c>
      <c r="F2259" s="32" t="n">
        <f aca="false">Sens!$F$2258/ext_sh</f>
        <v>2271.4375</v>
      </c>
      <c r="G2259" s="32" t="n">
        <f aca="false">Sens!$G$2258/ext_sh</f>
        <v>3071.4375</v>
      </c>
      <c r="H2259" s="32" t="n">
        <f aca="false">Sens!$H$2258/ext_sh</f>
        <v>4542.875</v>
      </c>
      <c r="I2259" s="32" t="n">
        <f aca="false">Sens!$I$2258/ext_sh</f>
        <v>4542.875</v>
      </c>
      <c r="J2259" s="32" t="n">
        <f aca="false">Sens!$J$2258/ext_sh</f>
        <v>4542.875</v>
      </c>
      <c r="K2259" s="32" t="n">
        <f aca="false">Sens!$K$2258/ext_sh</f>
        <v>3213.58395833333</v>
      </c>
      <c r="L2259" s="32" t="n">
        <f aca="false">Sens!$L$2258/ext_sh</f>
        <v>1884.29291666667</v>
      </c>
      <c r="M2259" s="32" t="n">
        <f aca="false">Sens!$M$2258/ext_sh</f>
        <v>555.001874999998</v>
      </c>
      <c r="N2259" s="32" t="n">
        <f aca="false">Sens!$N$2258/ext_sh</f>
        <v>675</v>
      </c>
      <c r="O2259" s="32" t="n">
        <f aca="false">Sens!$O$2258/ext_sh</f>
        <v>675</v>
      </c>
      <c r="P2259" s="8" t="s">
        <v>597</v>
      </c>
      <c r="R2259" s="32" t="n">
        <f aca="false">mw_ye23/ext_sh</f>
        <v>150</v>
      </c>
      <c r="S2259" s="32" t="n">
        <f aca="false">Sens!$C$2259</f>
        <v>300</v>
      </c>
      <c r="T2259" s="32" t="n">
        <f aca="false">Sens!$D$2259</f>
        <v>1350</v>
      </c>
      <c r="U2259" s="32" t="n">
        <f aca="false">Sens!$G$2259</f>
        <v>3071.4375</v>
      </c>
      <c r="V2259" s="32" t="n">
        <f aca="false">Sens!$H$2259</f>
        <v>4542.875</v>
      </c>
      <c r="W2259" s="32" t="n">
        <f aca="false">Sens!$I$2259</f>
        <v>4542.875</v>
      </c>
      <c r="X2259" s="32" t="n">
        <f aca="false">Sens!$J$2259</f>
        <v>4542.875</v>
      </c>
      <c r="Y2259" s="32" t="n">
        <f aca="false">Sens!$K$2259</f>
        <v>3213.58395833333</v>
      </c>
      <c r="Z2259" s="32" t="n">
        <f aca="false">Sens!$L$2259</f>
        <v>1884.29291666667</v>
      </c>
      <c r="AA2259" s="32" t="n">
        <f aca="false">Sens!$M$2259</f>
        <v>555.001874999998</v>
      </c>
    </row>
    <row r="2260" customFormat="false" ht="17.15" hidden="false" customHeight="false" outlineLevel="0" collapsed="false">
      <c r="A2260" s="1" t="s">
        <v>598</v>
      </c>
    </row>
    <row r="2261" customFormat="false" ht="17.15" hidden="false" customHeight="false" outlineLevel="0" collapsed="false">
      <c r="A2261" s="0" t="s">
        <v>599</v>
      </c>
      <c r="B2261" s="0" t="s">
        <v>52</v>
      </c>
      <c r="F2261" s="35" t="n">
        <f aca="false">na_vr26</f>
        <v>0</v>
      </c>
      <c r="G2261" s="35" t="n">
        <f aca="false">na_vr26</f>
        <v>0</v>
      </c>
      <c r="H2261" s="35" t="n">
        <f aca="false">na_vr27</f>
        <v>0.5</v>
      </c>
      <c r="I2261" s="35" t="n">
        <f aca="false">na_vr28</f>
        <v>1</v>
      </c>
      <c r="J2261" s="35" t="n">
        <f aca="false">na_vr28</f>
        <v>1</v>
      </c>
      <c r="K2261" s="35" t="n">
        <f aca="false">na_vr28</f>
        <v>1</v>
      </c>
      <c r="L2261" s="35" t="n">
        <f aca="false">na_vr28</f>
        <v>1</v>
      </c>
      <c r="M2261" s="35" t="n">
        <f aca="false">na_vr28</f>
        <v>1</v>
      </c>
    </row>
    <row r="2262" customFormat="false" ht="17.15" hidden="false" customHeight="false" outlineLevel="0" collapsed="false">
      <c r="A2262" s="5" t="s">
        <v>600</v>
      </c>
      <c r="B2262" s="0" t="s">
        <v>173</v>
      </c>
      <c r="F2262" s="36" t="n">
        <f aca="false">cust_sh*tk_he_gb300*cf_chip_lo+(1-cust_sh)*((1-Sens!$F$2261)*tk_he_gb300+Sens!$F$2261*tk_he_vr200)</f>
        <v>9.25344935179358</v>
      </c>
      <c r="G2262" s="36" t="n">
        <f aca="false">cust_sh*tk_he_gb300*cf_chip_lo+(1-cust_sh)*((1-Sens!$G$2261)*tk_he_gb300+Sens!$G$2261*tk_he_vr200)</f>
        <v>9.25344935179358</v>
      </c>
      <c r="H2262" s="36" t="n">
        <f aca="false">cust_sh*tk_he_gb300*cf_chip_lo+(1-cust_sh)*((1-Sens!$H$2261)*tk_he_gb300+Sens!$H$2261*tk_he_vr200)</f>
        <v>9.58821435241208</v>
      </c>
      <c r="I2262" s="36" t="n">
        <f aca="false">cust_sh*tk_he_gb300*cf_chip_lo+(1-cust_sh)*((1-Sens!$I$2261)*tk_he_gb300+Sens!$I$2261*tk_he_vr200)</f>
        <v>9.92297935303058</v>
      </c>
      <c r="J2262" s="36" t="n">
        <f aca="false">cust_sh*tk_he_gb300*cf_chip_lo+(1-cust_sh)*((1-Sens!$J$2261)*tk_he_gb300+Sens!$J$2261*tk_he_vr200)</f>
        <v>9.92297935303058</v>
      </c>
      <c r="K2262" s="36" t="n">
        <f aca="false">cust_sh*tk_he_gb300*cf_chip_lo+(1-cust_sh)*((1-Sens!$K$2261)*tk_he_gb300+Sens!$K$2261*tk_he_vr200)</f>
        <v>9.92297935303058</v>
      </c>
      <c r="L2262" s="36" t="n">
        <f aca="false">cust_sh*tk_he_gb300*cf_chip_lo+(1-cust_sh)*((1-Sens!$L$2261)*tk_he_gb300+Sens!$L$2261*tk_he_vr200)</f>
        <v>9.92297935303058</v>
      </c>
      <c r="M2262" s="36" t="n">
        <f aca="false">cust_sh*tk_he_gb300*cf_chip_lo+(1-cust_sh)*((1-Sens!$M$2261)*tk_he_gb300+Sens!$M$2261*tk_he_vr200)</f>
        <v>9.92297935303058</v>
      </c>
    </row>
    <row r="2263" customFormat="false" ht="17.15" hidden="false" customHeight="false" outlineLevel="0" collapsed="false">
      <c r="A2263" s="5" t="s">
        <v>601</v>
      </c>
      <c r="B2263" s="0" t="s">
        <v>173</v>
      </c>
      <c r="F2263" s="36" t="n">
        <f aca="false">cust_sh*tk_ox_gb300+(1-cust_sh)*((1-Sens!$F$2261)*tk_ox_gb300+Sens!$F$2261*tk_ox_vr200)</f>
        <v>1.98263481314457</v>
      </c>
      <c r="G2263" s="36" t="n">
        <f aca="false">cust_sh*tk_ox_gb300+(1-cust_sh)*((1-Sens!$G$2261)*tk_ox_gb300+Sens!$G$2261*tk_ox_vr200)</f>
        <v>1.98263481314457</v>
      </c>
      <c r="H2263" s="36" t="n">
        <f aca="false">cust_sh*tk_ox_gb300+(1-cust_sh)*((1-Sens!$H$2261)*tk_ox_gb300+Sens!$H$2261*tk_ox_vr200)</f>
        <v>2.01034999693694</v>
      </c>
      <c r="I2263" s="36" t="n">
        <f aca="false">cust_sh*tk_ox_gb300+(1-cust_sh)*((1-Sens!$I$2261)*tk_ox_gb300+Sens!$I$2261*tk_ox_vr200)</f>
        <v>2.0380651807293</v>
      </c>
      <c r="J2263" s="36" t="n">
        <f aca="false">cust_sh*tk_ox_gb300+(1-cust_sh)*((1-Sens!$J$2261)*tk_ox_gb300+Sens!$J$2261*tk_ox_vr200)</f>
        <v>2.0380651807293</v>
      </c>
      <c r="K2263" s="36" t="n">
        <f aca="false">cust_sh*tk_ox_gb300+(1-cust_sh)*((1-Sens!$K$2261)*tk_ox_gb300+Sens!$K$2261*tk_ox_vr200)</f>
        <v>2.0380651807293</v>
      </c>
      <c r="L2263" s="36" t="n">
        <f aca="false">cust_sh*tk_ox_gb300+(1-cust_sh)*((1-Sens!$L$2261)*tk_ox_gb300+Sens!$L$2261*tk_ox_vr200)</f>
        <v>2.0380651807293</v>
      </c>
      <c r="M2263" s="36" t="n">
        <f aca="false">cust_sh*tk_ox_gb300+(1-cust_sh)*((1-Sens!$M$2261)*tk_ox_gb300+Sens!$M$2261*tk_ox_vr200)</f>
        <v>2.0380651807293</v>
      </c>
    </row>
    <row r="2264" customFormat="false" ht="17.15" hidden="false" customHeight="false" outlineLevel="0" collapsed="false">
      <c r="A2264" s="5" t="s">
        <v>602</v>
      </c>
      <c r="B2264" s="0" t="s">
        <v>192</v>
      </c>
      <c r="F2264" s="36" t="n">
        <f aca="false">cust_sh*tk_cx_gb300*cf_cx_lo+(1-cust_sh)*((1-Sens!$F$2261)*tk_cx_gb300+Sens!$F$2261*tk_cx_vr200)</f>
        <v>27.4016404</v>
      </c>
      <c r="G2264" s="36" t="n">
        <f aca="false">cust_sh*tk_cx_gb300*cf_cx_lo+(1-cust_sh)*((1-Sens!$G$2261)*tk_cx_gb300+Sens!$G$2261*tk_cx_vr200)</f>
        <v>27.4016404</v>
      </c>
      <c r="H2264" s="36" t="n">
        <f aca="false">cust_sh*tk_cx_gb300*cf_cx_lo+(1-cust_sh)*((1-Sens!$H$2261)*tk_cx_gb300+Sens!$H$2261*tk_cx_vr200)</f>
        <v>28.7389224</v>
      </c>
      <c r="I2264" s="36" t="n">
        <f aca="false">cust_sh*tk_cx_gb300*cf_cx_lo+(1-cust_sh)*((1-Sens!$I$2261)*tk_cx_gb300+Sens!$I$2261*tk_cx_vr200)</f>
        <v>30.0762044</v>
      </c>
      <c r="J2264" s="36" t="n">
        <f aca="false">cust_sh*tk_cx_gb300*cf_cx_lo+(1-cust_sh)*((1-Sens!$J$2261)*tk_cx_gb300+Sens!$J$2261*tk_cx_vr200)</f>
        <v>30.0762044</v>
      </c>
      <c r="K2264" s="36" t="n">
        <f aca="false">cust_sh*tk_cx_gb300*cf_cx_lo+(1-cust_sh)*((1-Sens!$K$2261)*tk_cx_gb300+Sens!$K$2261*tk_cx_vr200)</f>
        <v>30.0762044</v>
      </c>
      <c r="L2264" s="36" t="n">
        <f aca="false">cust_sh*tk_cx_gb300*cf_cx_lo+(1-cust_sh)*((1-Sens!$L$2261)*tk_cx_gb300+Sens!$L$2261*tk_cx_vr200)</f>
        <v>30.0762044</v>
      </c>
      <c r="M2264" s="36" t="n">
        <f aca="false">cust_sh*tk_cx_gb300*cf_cx_lo+(1-cust_sh)*((1-Sens!$M$2261)*tk_cx_gb300+Sens!$M$2261*tk_cx_vr200)</f>
        <v>30.0762044</v>
      </c>
    </row>
    <row r="2265" customFormat="false" ht="17.15" hidden="false" customHeight="false" outlineLevel="0" collapsed="false">
      <c r="A2265" s="5" t="s">
        <v>603</v>
      </c>
      <c r="B2265" s="0" t="s">
        <v>129</v>
      </c>
      <c r="F2265" s="32" t="n">
        <f aca="false">Sens!$F$2255-mw_open</f>
        <v>1817.15</v>
      </c>
      <c r="G2265" s="32" t="n">
        <f aca="false">Sens!$F$2265</f>
        <v>1817.15</v>
      </c>
      <c r="H2265" s="32" t="n">
        <f aca="false">Sens!$H$2255-mw_open</f>
        <v>5451.45</v>
      </c>
      <c r="I2265" s="32" t="n">
        <f aca="false">Sens!$I$2255-mw_open</f>
        <v>9085.75</v>
      </c>
      <c r="J2265" s="32" t="n">
        <f aca="false">Sens!$J$2255-mw_open</f>
        <v>12720.05</v>
      </c>
      <c r="K2265" s="32" t="n">
        <f aca="false">Sens!$K$2255-mw_open</f>
        <v>15290.9171666667</v>
      </c>
      <c r="L2265" s="32" t="n">
        <f aca="false">Sens!$L$2255-mw_open</f>
        <v>16798.3515</v>
      </c>
      <c r="M2265" s="32" t="n">
        <f aca="false">Sens!$M$2255-mw_open</f>
        <v>17242.353</v>
      </c>
    </row>
    <row r="2266" customFormat="false" ht="17.15" hidden="false" customHeight="false" outlineLevel="0" collapsed="false">
      <c r="A2266" s="0" t="s">
        <v>604</v>
      </c>
      <c r="B2266" s="0" t="s">
        <v>605</v>
      </c>
      <c r="F2266" s="32" t="n">
        <f aca="false">Sens!$F$2258*Sens!$F$2262</f>
        <v>16814.9054896117</v>
      </c>
      <c r="G2266" s="32" t="n">
        <f aca="false">Sens!$F$2266</f>
        <v>16814.9054896117</v>
      </c>
      <c r="H2266" s="32" t="n">
        <f aca="false">Sens!$G$2266+Sens!$H$2258*Sens!$H$2262</f>
        <v>51661.352910583</v>
      </c>
      <c r="I2266" s="32" t="n">
        <f aca="false">Sens!$H$2266+Sens!$I$2258*Sens!$I$2262</f>
        <v>87724.436773302</v>
      </c>
      <c r="J2266" s="32" t="n">
        <f aca="false">Sens!$I$2266+Sens!$J$2258*Sens!$J$2262</f>
        <v>123787.520636021</v>
      </c>
      <c r="K2266" s="32" t="n">
        <f aca="false">Sens!$J$2266+Sens!$K$2258*Sens!$K$2262</f>
        <v>149298.182450239</v>
      </c>
      <c r="L2266" s="32" t="n">
        <f aca="false">Sens!$K$2266+Sens!$L$2258*Sens!$L$2262</f>
        <v>164256.422215955</v>
      </c>
      <c r="M2266" s="32" t="n">
        <f aca="false">Sens!$L$2266+Sens!$M$2258*Sens!$M$2262</f>
        <v>168662.239933169</v>
      </c>
    </row>
    <row r="2267" customFormat="false" ht="17.15" hidden="false" customHeight="false" outlineLevel="0" collapsed="false">
      <c r="A2267" s="0" t="s">
        <v>606</v>
      </c>
      <c r="B2267" s="0" t="s">
        <v>605</v>
      </c>
      <c r="F2267" s="32" t="n">
        <f aca="false">Sens!$F$2258*Sens!$F$2263</f>
        <v>3602.74485070566</v>
      </c>
      <c r="G2267" s="32" t="n">
        <f aca="false">Sens!$F$2267</f>
        <v>3602.74485070566</v>
      </c>
      <c r="H2267" s="32" t="n">
        <f aca="false">Sens!$G$2267+Sens!$H$2258*Sens!$H$2263</f>
        <v>10908.9598445736</v>
      </c>
      <c r="I2267" s="32" t="n">
        <f aca="false">Sens!$H$2267+Sens!$I$2258*Sens!$I$2263</f>
        <v>18315.9001308981</v>
      </c>
      <c r="J2267" s="32" t="n">
        <f aca="false">Sens!$I$2267+Sens!$J$2258*Sens!$J$2263</f>
        <v>25722.8404172225</v>
      </c>
      <c r="K2267" s="32" t="n">
        <f aca="false">Sens!$J$2267+Sens!$K$2258*Sens!$K$2263</f>
        <v>30962.4352738861</v>
      </c>
      <c r="L2267" s="32" t="n">
        <f aca="false">Sens!$K$2267+Sens!$L$2258*Sens!$L$2263</f>
        <v>34034.6847008886</v>
      </c>
      <c r="M2267" s="32" t="n">
        <f aca="false">Sens!$L$2267+Sens!$M$2258*Sens!$M$2263</f>
        <v>34939.5886982302</v>
      </c>
    </row>
    <row r="2268" customFormat="false" ht="17.15" hidden="false" customHeight="false" outlineLevel="0" collapsed="false">
      <c r="A2268" s="5" t="s">
        <v>607</v>
      </c>
      <c r="B2268" s="0" t="s">
        <v>173</v>
      </c>
      <c r="F2268" s="36" t="n">
        <f aca="false">IF(Sens!$F$2265&gt;0,Sens!$F$2266/Sens!$F$2265,Sens!$F$2262)</f>
        <v>9.25344935179358</v>
      </c>
      <c r="G2268" s="36" t="n">
        <f aca="false">IF(Sens!$G$2265&gt;0,Sens!$G$2266/Sens!$G$2265,Sens!$G$2262)</f>
        <v>9.25344935179358</v>
      </c>
      <c r="H2268" s="36" t="n">
        <f aca="false">IF(Sens!$H$2265&gt;0,Sens!$H$2266/Sens!$H$2265,Sens!$H$2262)</f>
        <v>9.47662601887258</v>
      </c>
      <c r="I2268" s="36" t="n">
        <f aca="false">IF(Sens!$I$2265&gt;0,Sens!$I$2266/Sens!$I$2265,Sens!$I$2262)</f>
        <v>9.65516735253578</v>
      </c>
      <c r="J2268" s="36" t="n">
        <f aca="false">IF(Sens!$J$2265&gt;0,Sens!$J$2266/Sens!$J$2265,Sens!$J$2262)</f>
        <v>9.73168506696287</v>
      </c>
      <c r="K2268" s="36" t="n">
        <f aca="false">IF(Sens!$K$2265&gt;0,Sens!$K$2266/Sens!$K$2265,Sens!$K$2262)</f>
        <v>9.7638474411267</v>
      </c>
      <c r="L2268" s="36" t="n">
        <f aca="false">IF(Sens!$L$2265&gt;0,Sens!$L$2266/Sens!$L$2265,Sens!$L$2262)</f>
        <v>9.7781274678027</v>
      </c>
      <c r="M2268" s="36" t="n">
        <f aca="false">IF(Sens!$M$2265&gt;0,Sens!$M$2266/Sens!$M$2265,Sens!$M$2262)</f>
        <v>9.78185749550362</v>
      </c>
    </row>
    <row r="2269" customFormat="false" ht="17.15" hidden="false" customHeight="false" outlineLevel="0" collapsed="false">
      <c r="A2269" s="5" t="s">
        <v>608</v>
      </c>
      <c r="B2269" s="0" t="s">
        <v>173</v>
      </c>
      <c r="F2269" s="36" t="n">
        <f aca="false">IF(Sens!$F$2265&gt;0,Sens!$F$2267/Sens!$F$2265,Sens!$F$2263)</f>
        <v>1.98263481314457</v>
      </c>
      <c r="G2269" s="36" t="n">
        <f aca="false">IF(Sens!$G$2265&gt;0,Sens!$G$2267/Sens!$G$2265,Sens!$G$2263)</f>
        <v>1.98263481314457</v>
      </c>
      <c r="H2269" s="36" t="n">
        <f aca="false">IF(Sens!$H$2265&gt;0,Sens!$H$2267/Sens!$H$2265,Sens!$H$2263)</f>
        <v>2.00111160233948</v>
      </c>
      <c r="I2269" s="36" t="n">
        <f aca="false">IF(Sens!$I$2265&gt;0,Sens!$I$2267/Sens!$I$2265,Sens!$I$2263)</f>
        <v>2.01589303369541</v>
      </c>
      <c r="J2269" s="36" t="n">
        <f aca="false">IF(Sens!$J$2265&gt;0,Sens!$J$2267/Sens!$J$2265,Sens!$J$2263)</f>
        <v>2.02222793284795</v>
      </c>
      <c r="K2269" s="36" t="n">
        <f aca="false">IF(Sens!$K$2265&gt;0,Sens!$K$2267/Sens!$K$2265,Sens!$K$2263)</f>
        <v>2.02489065478573</v>
      </c>
      <c r="L2269" s="36" t="n">
        <f aca="false">IF(Sens!$L$2265&gt;0,Sens!$L$2267/Sens!$L$2265,Sens!$L$2263)</f>
        <v>2.0260728977417</v>
      </c>
      <c r="M2269" s="36" t="n">
        <f aca="false">IF(Sens!$M$2265&gt;0,Sens!$M$2267/Sens!$M$2265,Sens!$M$2263)</f>
        <v>2.02638170661685</v>
      </c>
    </row>
    <row r="2270" customFormat="false" ht="17.15" hidden="false" customHeight="false" outlineLevel="0" collapsed="false">
      <c r="A2270" s="15" t="s">
        <v>609</v>
      </c>
      <c r="B2270" s="14" t="s">
        <v>173</v>
      </c>
      <c r="C2270" s="14"/>
      <c r="D2270" s="14"/>
      <c r="E2270" s="14"/>
      <c r="F2270" s="37" t="n">
        <f aca="false">Sens!$F$2268*k_B</f>
        <v>9.17894989368216</v>
      </c>
      <c r="G2270" s="37" t="n">
        <f aca="false">Sens!$G$2268*k_B</f>
        <v>9.17894989368216</v>
      </c>
      <c r="H2270" s="37" t="n">
        <f aca="false">Sens!$H$2268*k_B</f>
        <v>9.40032976692478</v>
      </c>
      <c r="I2270" s="37" t="n">
        <f aca="false">Sens!$I$2268*k_B</f>
        <v>9.57743366551888</v>
      </c>
      <c r="J2270" s="37" t="n">
        <f aca="false">Sens!$J$2268*k_B</f>
        <v>9.65333533634493</v>
      </c>
      <c r="K2270" s="37" t="n">
        <f aca="false">Sens!$K$2268*k_B</f>
        <v>9.68523877145201</v>
      </c>
      <c r="L2270" s="37" t="n">
        <f aca="false">Sens!$L$2268*k_B</f>
        <v>9.69940382972988</v>
      </c>
      <c r="M2270" s="37" t="n">
        <f aca="false">Sens!$M$2268*k_B</f>
        <v>9.70310382700302</v>
      </c>
      <c r="N2270" s="14"/>
      <c r="O2270" s="14"/>
      <c r="P2270" s="5" t="s">
        <v>610</v>
      </c>
    </row>
    <row r="2271" customFormat="false" ht="17.15" hidden="false" customHeight="false" outlineLevel="0" collapsed="false">
      <c r="A2271" s="5" t="s">
        <v>611</v>
      </c>
      <c r="B2271" s="0" t="s">
        <v>129</v>
      </c>
      <c r="F2271" s="32" t="n">
        <f aca="false">Sens!$F$2265/2</f>
        <v>908.575</v>
      </c>
      <c r="H2271" s="32" t="n">
        <f aca="false">(Sens!$G$2265+Sens!$H$2265)/2</f>
        <v>3634.3</v>
      </c>
      <c r="I2271" s="32" t="n">
        <f aca="false">(Sens!$H$2265+Sens!$I$2265)/2</f>
        <v>7268.6</v>
      </c>
      <c r="J2271" s="32" t="n">
        <f aca="false">(Sens!$I$2265+Sens!$J$2265)/2</f>
        <v>10902.9</v>
      </c>
      <c r="K2271" s="32" t="n">
        <f aca="false">(Sens!$J$2265+Sens!$K$2265)/2</f>
        <v>14005.4835833333</v>
      </c>
      <c r="L2271" s="32" t="n">
        <f aca="false">(Sens!$K$2265+Sens!$L$2265)/2</f>
        <v>16044.6343333333</v>
      </c>
      <c r="M2271" s="32" t="n">
        <f aca="false">(Sens!$L$2265+Sens!$M$2265)/2</f>
        <v>17020.35225</v>
      </c>
    </row>
    <row r="2272" customFormat="false" ht="17.15" hidden="false" customHeight="false" outlineLevel="0" collapsed="false">
      <c r="A2272" s="1" t="s">
        <v>612</v>
      </c>
    </row>
    <row r="2273" customFormat="false" ht="17.15" hidden="false" customHeight="false" outlineLevel="0" collapsed="false">
      <c r="A2273" s="1" t="s">
        <v>613</v>
      </c>
      <c r="B2273" s="8" t="s">
        <v>86</v>
      </c>
      <c r="C2273" s="38" t="n">
        <f aca="false">Sens!$C$2256*rpm_open*Sens!$C$2257/1000</f>
        <v>2.32100535697364</v>
      </c>
      <c r="D2273" s="38" t="n">
        <f aca="false">Sens!$D$2256*rpm_open*Sens!$D$2257/1000</f>
        <v>8.70377008865116</v>
      </c>
      <c r="E2273" s="38" t="n">
        <f aca="false">Sens!$E$2256*rpm_open*Sens!$E$2257/1000</f>
        <v>8.51035297557002</v>
      </c>
      <c r="F2273" s="38" t="n">
        <f aca="false">(mw_open*rpm_open+Sens!$F$2271*Sens!$F$2270)*Sens!$F$2257/1000</f>
        <v>14.2275720800453</v>
      </c>
      <c r="G2273" s="38" t="n">
        <f aca="false">Sens!$E$2273+Sens!$F$2273</f>
        <v>22.7379250556153</v>
      </c>
      <c r="H2273" s="38" t="n">
        <f aca="false">(mw_open*rpm_open+Sens!$H$2271*Sens!$H$2270)/1000</f>
        <v>54.278998232373</v>
      </c>
      <c r="I2273" s="38" t="n">
        <f aca="false">(mw_open*rpm_open+Sens!$I$2271*Sens!$I$2270)/1000</f>
        <v>89.7299141016288</v>
      </c>
      <c r="J2273" s="38" t="n">
        <f aca="false">(mw_open*rpm_open+Sens!$J$2271*Sens!$J$2270)/1000</f>
        <v>125.364729599073</v>
      </c>
      <c r="K2273" s="38" t="n">
        <f aca="false">(mw_open*rpm_open+Sens!$K$2271*Sens!$K$2270)/1000</f>
        <v>155.761832374673</v>
      </c>
      <c r="L2273" s="38" t="n">
        <f aca="false">(mw_open*rpm_open+Sens!$L$2271*Sens!$L$2270)/1000</f>
        <v>175.738767459787</v>
      </c>
      <c r="M2273" s="38" t="n">
        <f aca="false">(mw_open*rpm_open+Sens!$M$2271*Sens!$M$2270)/1000</f>
        <v>185.265624814353</v>
      </c>
      <c r="N2273" s="38" t="n">
        <f aca="false">Sens!$N$2256*rpm_open*Sens!$N$2257/1000</f>
        <v>3.04631953102791</v>
      </c>
      <c r="O2273" s="38" t="n">
        <f aca="false">Sens!$O$2256*rpm_open*Sens!$O$2257/1000</f>
        <v>5.65745055762326</v>
      </c>
      <c r="P2273" s="5" t="s">
        <v>614</v>
      </c>
    </row>
    <row r="2274" customFormat="false" ht="17.15" hidden="false" customHeight="false" outlineLevel="0" collapsed="false">
      <c r="A2274" s="5" t="s">
        <v>615</v>
      </c>
      <c r="B2274" s="0" t="s">
        <v>173</v>
      </c>
      <c r="C2274" s="36" t="n">
        <f aca="false">Sens!$C$2273*1000/(Sens!$C$2256*Sens!$C$2257)</f>
        <v>9.67085565405685</v>
      </c>
      <c r="D2274" s="36" t="n">
        <f aca="false">Sens!$D$2273*1000/(Sens!$D$2256*Sens!$D$2257)</f>
        <v>9.67085565405685</v>
      </c>
      <c r="E2274" s="36" t="n">
        <f aca="false">Sens!$E$2273*1000/(Sens!$E$2256*Sens!$E$2257)</f>
        <v>9.67085565405685</v>
      </c>
      <c r="F2274" s="36" t="n">
        <f aca="false">Sens!$F$2273*1000/(Sens!$F$2256*Sens!$F$2257)</f>
        <v>9.52130836940365</v>
      </c>
      <c r="G2274" s="36" t="n">
        <f aca="false">Sens!$G$2273*1000/(Sens!$G$2256*Sens!$G$2257)</f>
        <v>9.57673620217235</v>
      </c>
      <c r="H2274" s="36" t="n">
        <f aca="false">Sens!$H$2273*1000/(Sens!$H$2256*Sens!$H$2257)</f>
        <v>9.49880094366291</v>
      </c>
      <c r="I2274" s="36" t="n">
        <f aca="false">Sens!$I$2273*1000/(Sens!$I$2256*Sens!$I$2257)</f>
        <v>9.59821942340338</v>
      </c>
      <c r="J2274" s="36" t="n">
        <f aca="false">Sens!$J$2273*1000/(Sens!$J$2256*Sens!$J$2257)</f>
        <v>9.65614227938853</v>
      </c>
      <c r="K2274" s="36" t="n">
        <f aca="false">Sens!$K$2273*1000/(Sens!$K$2256*Sens!$K$2257)</f>
        <v>9.68337890295462</v>
      </c>
      <c r="L2274" s="36" t="n">
        <f aca="false">Sens!$L$2273*1000/(Sens!$L$2256*Sens!$L$2257)</f>
        <v>9.69612761436973</v>
      </c>
      <c r="M2274" s="36" t="n">
        <f aca="false">Sens!$M$2273*1000/(Sens!$M$2256*Sens!$M$2257)</f>
        <v>9.69959204885097</v>
      </c>
      <c r="N2274" s="36" t="n">
        <f aca="false">Sens!$N$2273*1000/(Sens!$N$2256*Sens!$N$2257)</f>
        <v>9.67085565405685</v>
      </c>
      <c r="O2274" s="36" t="n">
        <f aca="false">Sens!$O$2273*1000/(Sens!$O$2256*Sens!$O$2257)</f>
        <v>9.67085565405685</v>
      </c>
    </row>
    <row r="2275" customFormat="false" ht="17.15" hidden="false" customHeight="false" outlineLevel="0" collapsed="false">
      <c r="A2275" s="0" t="s">
        <v>616</v>
      </c>
      <c r="B2275" s="0" t="s">
        <v>86</v>
      </c>
      <c r="C2275" s="38" t="n">
        <f aca="false">Sens!$C$2256/ext_sh*(ox_open+rent_mw)*Sens!$C$2257/1000</f>
        <v>0.642569210675032</v>
      </c>
      <c r="D2275" s="38" t="n">
        <f aca="false">Sens!$D$2256/ext_sh*(ox_open+rent_mw)*Sens!$D$2257/1000</f>
        <v>2.40963454003137</v>
      </c>
      <c r="E2275" s="38" t="n">
        <f aca="false">Sens!$E$2256/ext_sh*(ox_open+rent_mw)*Sens!$E$2257/1000</f>
        <v>2.35608710580845</v>
      </c>
      <c r="F2275" s="38" t="n">
        <f aca="false">((mw_open*ox_open+Sens!$F$2271*Sens!$F$2269)/ext_sh+Sens!$F$2256/ext_sh*rent_mw)*Sens!$F$2257/1000</f>
        <v>4.05421991106232</v>
      </c>
      <c r="G2275" s="38" t="n">
        <f aca="false">Sens!$E$2275+Sens!$F$2275</f>
        <v>6.41030701687077</v>
      </c>
      <c r="H2275" s="38" t="n">
        <f aca="false">((mw_open*ox_open+Sens!$H$2271*Sens!$H$2269)/ext_sh+Sens!$H$2256/ext_sh*rent_mw)*Sens!$H$2257/1000</f>
        <v>15.8108975546616</v>
      </c>
      <c r="I2275" s="38" t="n">
        <f aca="false">((mw_open*ox_open+Sens!$I$2271*Sens!$I$2269)/ext_sh+Sens!$I$2256/ext_sh*rent_mw)*Sens!$I$2257/1000</f>
        <v>26.1871623400817</v>
      </c>
      <c r="J2275" s="38" t="n">
        <f aca="false">((mw_open*ox_open+Sens!$J$2271*Sens!$J$2269)/ext_sh+Sens!$J$2256/ext_sh*rent_mw)*Sens!$J$2257/1000</f>
        <v>36.5826128954935</v>
      </c>
      <c r="K2275" s="38" t="n">
        <f aca="false">((mw_open*ox_open+Sens!$K$2271*Sens!$K$2269)/ext_sh+Sens!$K$2256/ext_sh*rent_mw)*Sens!$K$2257/1000</f>
        <v>45.4546361137628</v>
      </c>
      <c r="L2275" s="38" t="n">
        <f aca="false">((mw_open*ox_open+Sens!$L$2271*Sens!$L$2269)/ext_sh+Sens!$L$2256/ext_sh*rent_mw)*Sens!$L$2257/1000</f>
        <v>51.2855695554452</v>
      </c>
      <c r="M2275" s="38" t="n">
        <f aca="false">((mw_open*ox_open+Sens!$M$2271*Sens!$M$2269)/ext_sh+Sens!$M$2256/ext_sh*rent_mw)*Sens!$M$2257/1000</f>
        <v>54.0722927838398</v>
      </c>
      <c r="N2275" s="38" t="n">
        <f aca="false">Sens!$N$2256/ext_sh*(ox_open+rent_mw)*Sens!$N$2257/1000</f>
        <v>0.84337208901098</v>
      </c>
      <c r="O2275" s="38" t="n">
        <f aca="false">Sens!$O$2256/ext_sh*(ox_open+rent_mw)*Sens!$O$2257/1000</f>
        <v>1.56626245102039</v>
      </c>
    </row>
    <row r="2276" customFormat="false" ht="17.15" hidden="false" customHeight="false" outlineLevel="0" collapsed="false">
      <c r="A2276" s="0" t="s">
        <v>617</v>
      </c>
      <c r="B2276" s="0" t="s">
        <v>86</v>
      </c>
      <c r="C2276" s="38" t="n">
        <f aca="false">Q!$D$7</f>
        <v>107.556</v>
      </c>
      <c r="D2276" s="38" t="n">
        <f aca="false">Q!$E$7</f>
        <v>128.725</v>
      </c>
      <c r="E2276" s="38" t="n">
        <f aca="false">Q!$P$7</f>
        <v>79.819</v>
      </c>
      <c r="N2276" s="38" t="n">
        <f aca="false">Q!$N$7</f>
        <v>60.14</v>
      </c>
      <c r="O2276" s="38" t="n">
        <f aca="false">Q!$O$7</f>
        <v>68.585</v>
      </c>
    </row>
    <row r="2277" customFormat="false" ht="17.15" hidden="false" customHeight="false" outlineLevel="0" collapsed="false">
      <c r="A2277" s="1" t="s">
        <v>618</v>
      </c>
      <c r="B2277" s="8" t="s">
        <v>86</v>
      </c>
      <c r="C2277" s="38" t="n">
        <f aca="false">Sens!$C$2276-Sens!$C$2273</f>
        <v>105.234994643026</v>
      </c>
      <c r="D2277" s="38" t="n">
        <f aca="false">Sens!$D$2276-Sens!$D$2273</f>
        <v>120.021229911349</v>
      </c>
      <c r="E2277" s="38" t="n">
        <f aca="false">Sens!$E$2276-Sens!$E$2273</f>
        <v>71.30864702443</v>
      </c>
      <c r="F2277" s="38" t="n">
        <f aca="false">Sens!$O$2277*(1+Sens!$F$2278)</f>
        <v>71.7692997942464</v>
      </c>
      <c r="G2277" s="38" t="n">
        <f aca="false">Sens!$E$2277+Sens!$F$2277</f>
        <v>143.077946818676</v>
      </c>
      <c r="H2277" s="38" t="n">
        <f aca="false">Sens!$G$2277*(1+Sens!$H$2278)</f>
        <v>161.017077079203</v>
      </c>
      <c r="I2277" s="38" t="n">
        <f aca="false">Sens!$H$2277*(1+Sens!$I$2278)</f>
        <v>178.769759521457</v>
      </c>
      <c r="J2277" s="38" t="n">
        <f aca="false">Sens!$I$2277*(1+Sens!$J$2278)</f>
        <v>195.775538045907</v>
      </c>
      <c r="K2277" s="38" t="n">
        <f aca="false">Sens!$J$2277*(1+Sens!$K$2278)</f>
        <v>211.43758108958</v>
      </c>
      <c r="L2277" s="38" t="n">
        <f aca="false">Sens!$K$2277*(1+Sens!$L$2278)</f>
        <v>228.352587576746</v>
      </c>
      <c r="M2277" s="38" t="n">
        <f aca="false">Sens!$L$2277*(1+Sens!$M$2278)</f>
        <v>246.620794582886</v>
      </c>
      <c r="N2277" s="38" t="n">
        <f aca="false">Sens!$N$2276-Sens!$N$2273</f>
        <v>57.0936804689721</v>
      </c>
      <c r="O2277" s="38" t="n">
        <f aca="false">Sens!$O$2276-Sens!$O$2273</f>
        <v>62.9275494423768</v>
      </c>
      <c r="P2277" s="5" t="s">
        <v>619</v>
      </c>
    </row>
    <row r="2278" customFormat="false" ht="17.15" hidden="false" customHeight="false" outlineLevel="0" collapsed="false">
      <c r="A2278" s="0" t="s">
        <v>620</v>
      </c>
      <c r="B2278" s="0" t="s">
        <v>52</v>
      </c>
      <c r="D2278" s="13" t="n">
        <f aca="false">Sens!$D$2277/Sens!$C$2277-1</f>
        <v>0.140506827776062</v>
      </c>
      <c r="E2278" s="13" t="n">
        <f aca="false">Sens!$E$2277/Sens!$N$2277-1</f>
        <v>0.248976181579029</v>
      </c>
      <c r="F2278" s="13" t="n">
        <f aca="false">Sens!$D$2278</f>
        <v>0.140506827776062</v>
      </c>
      <c r="G2278" s="13" t="n">
        <f aca="false">Sens!$G$2277/Sens!$D$2277-1</f>
        <v>0.19210532106993</v>
      </c>
      <c r="H2278" s="13" t="n">
        <f aca="false">Sens!$F$2278+(g_awso_lt-Sens!$F$2278)*1/4</f>
        <v>0.125380120832046</v>
      </c>
      <c r="I2278" s="13" t="n">
        <f aca="false">Sens!$F$2278+(g_awso_lt-Sens!$F$2278)*2/4</f>
        <v>0.110253413888031</v>
      </c>
      <c r="J2278" s="13" t="n">
        <f aca="false">Sens!$F$2278+(g_awso_lt-Sens!$F$2278)*3/4</f>
        <v>0.0951267069440154</v>
      </c>
      <c r="K2278" s="13" t="n">
        <f aca="false">Sens!$F$2278+(g_awso_lt-Sens!$F$2278)*4/4</f>
        <v>0.08</v>
      </c>
      <c r="L2278" s="13" t="n">
        <f aca="false">g_awso_lt</f>
        <v>0.08</v>
      </c>
      <c r="M2278" s="13" t="n">
        <f aca="false">g_awso_lt</f>
        <v>0.08</v>
      </c>
      <c r="P2278" s="5" t="s">
        <v>621</v>
      </c>
    </row>
    <row r="2279" customFormat="false" ht="17.15" hidden="false" customHeight="false" outlineLevel="0" collapsed="false">
      <c r="A2279" s="1" t="s">
        <v>622</v>
      </c>
    </row>
    <row r="2280" customFormat="false" ht="17.15" hidden="false" customHeight="false" outlineLevel="0" collapsed="false">
      <c r="A2280" s="0" t="s">
        <v>623</v>
      </c>
      <c r="B2280" s="0" t="s">
        <v>86</v>
      </c>
      <c r="F2280" s="38" t="n">
        <f aca="false">cx_rt*Sens!$F$2245+cx_awso*Sens!$F$2277</f>
        <v>35.0169196430327</v>
      </c>
    </row>
    <row r="2281" customFormat="false" ht="17.15" hidden="false" customHeight="false" outlineLevel="0" collapsed="false">
      <c r="A2281" s="0" t="s">
        <v>624</v>
      </c>
      <c r="B2281" s="0" t="s">
        <v>52</v>
      </c>
      <c r="C2281" s="13" t="n">
        <f aca="false">tk_cx_h100/(tk_cx_h100+tk_fac*(1-colo_sh))</f>
        <v>0.730756458006641</v>
      </c>
      <c r="D2281" s="13" t="n">
        <f aca="false">tk_cx_h100/(tk_cx_h100+tk_fac*(1-colo_sh))</f>
        <v>0.730756458006641</v>
      </c>
      <c r="E2281" s="13" t="n">
        <f aca="false">Sens!$F$2281</f>
        <v>0.729977699930228</v>
      </c>
      <c r="F2281" s="13" t="n">
        <f aca="false">Sens!$F$2264/(Sens!$F$2264+tk_fac*(1-colo_sh))</f>
        <v>0.729977699930228</v>
      </c>
      <c r="G2281" s="13" t="n">
        <f aca="false">Sens!$G$2264/(Sens!$G$2264+tk_fac*(1-colo_sh))</f>
        <v>0.729977699930228</v>
      </c>
      <c r="H2281" s="13" t="n">
        <f aca="false">Sens!$H$2264/(Sens!$H$2264+tk_fac*(1-colo_sh))</f>
        <v>0.739266360567706</v>
      </c>
      <c r="I2281" s="13" t="n">
        <f aca="false">Sens!$I$2264/(Sens!$I$2264+tk_fac*(1-colo_sh))</f>
        <v>0.747937220770717</v>
      </c>
      <c r="J2281" s="13" t="n">
        <f aca="false">Sens!$J$2264/(Sens!$J$2264+tk_fac*(1-colo_sh))</f>
        <v>0.747937220770717</v>
      </c>
      <c r="K2281" s="13" t="n">
        <f aca="false">Sens!$K$2264/(Sens!$K$2264+tk_fac*(1-colo_sh))</f>
        <v>0.747937220770717</v>
      </c>
      <c r="L2281" s="13" t="n">
        <f aca="false">Sens!$L$2264/(Sens!$L$2264+tk_fac*(1-colo_sh))</f>
        <v>0.747937220770717</v>
      </c>
      <c r="M2281" s="13" t="n">
        <f aca="false">Sens!$M$2264/(Sens!$M$2264+tk_fac*(1-colo_sh))</f>
        <v>0.747937220770717</v>
      </c>
    </row>
    <row r="2282" customFormat="false" ht="17.15" hidden="false" customHeight="false" outlineLevel="0" collapsed="false">
      <c r="A2282" s="1" t="s">
        <v>625</v>
      </c>
      <c r="B2282" s="8" t="s">
        <v>86</v>
      </c>
      <c r="C2282" s="38" t="n">
        <f aca="false">Q!$D$46-cx_rt*Q!$D$16-cx_awso*Sens!$C$2277</f>
        <v>25.2781053077374</v>
      </c>
      <c r="D2282" s="38" t="n">
        <f aca="false">Q!$E$46-cx_rt*Q!$E$16-cx_awso*Sens!$D$2277</f>
        <v>69.5686316310026</v>
      </c>
      <c r="E2282" s="38" t="n">
        <f aca="false">Q!$P$46-cx_rt*Q!$P$16-cx_awso*Sens!$E$2277</f>
        <v>64.1899206485108</v>
      </c>
      <c r="F2282" s="38" t="n">
        <f aca="false">MAX(Sens!$F$2259*(Sens!$F$2264+tk_fac*(1-colo_sh))/1000,capex_g26-Q!$P$46-Sens!$F$2280)</f>
        <v>88.6730803569673</v>
      </c>
      <c r="G2282" s="38" t="n">
        <f aca="false">Sens!$E$2282+Sens!$F$2282</f>
        <v>152.863001005478</v>
      </c>
      <c r="H2282" s="38" t="n">
        <f aca="false">Sens!$H$2259*(Sens!$H$2264+tk_fac*(1-colo_sh))/1000+Sens!$H$2283</f>
        <v>176.6039130979</v>
      </c>
      <c r="I2282" s="38" t="n">
        <f aca="false">Sens!$I$2259*(Sens!$I$2264+tk_fac*(1-colo_sh))/1000+Sens!$I$2283</f>
        <v>182.67901806365</v>
      </c>
      <c r="J2282" s="38" t="n">
        <f aca="false">Sens!$J$2259*(Sens!$J$2264+tk_fac*(1-colo_sh))/1000+Sens!$J$2283</f>
        <v>187.19044872365</v>
      </c>
      <c r="K2282" s="38" t="n">
        <f aca="false">Sens!$K$2259*(Sens!$K$2264+tk_fac*(1-colo_sh))/1000+Sens!$K$2283</f>
        <v>138.248156309061</v>
      </c>
      <c r="L2282" s="38" t="n">
        <f aca="false">Sens!$L$2259*(Sens!$L$2264+tk_fac*(1-colo_sh))/1000+Sens!$L$2283</f>
        <v>116.374447854472</v>
      </c>
      <c r="M2282" s="38" t="n">
        <f aca="false">Sens!$M$2259*(Sens!$M$2264+tk_fac*(1-colo_sh))/1000+Sens!$M$2283</f>
        <v>114.695030891708</v>
      </c>
      <c r="P2282" s="5" t="s">
        <v>626</v>
      </c>
      <c r="R2282" s="38" t="n">
        <f aca="false">Q!$C$46-cx_rt*Q!$C$16-cx_awso*(Q!$C$7-mw_ye23/2*rpm_open/1000)</f>
        <v>1.50429979529945</v>
      </c>
      <c r="S2282" s="38" t="n">
        <f aca="false">Sens!$C$2282</f>
        <v>25.2781053077374</v>
      </c>
      <c r="T2282" s="38" t="n">
        <f aca="false">Sens!$D$2282</f>
        <v>69.5686316310026</v>
      </c>
      <c r="U2282" s="38" t="n">
        <f aca="false">Sens!$G$2282</f>
        <v>152.863001005478</v>
      </c>
      <c r="V2282" s="38" t="n">
        <f aca="false">Sens!$H$2282</f>
        <v>176.6039130979</v>
      </c>
      <c r="W2282" s="38" t="n">
        <f aca="false">Sens!$I$2282</f>
        <v>182.67901806365</v>
      </c>
      <c r="X2282" s="38" t="n">
        <f aca="false">Sens!$J$2282</f>
        <v>187.19044872365</v>
      </c>
      <c r="Y2282" s="38" t="n">
        <f aca="false">Sens!$K$2282</f>
        <v>138.248156309061</v>
      </c>
      <c r="Z2282" s="38" t="n">
        <f aca="false">Sens!$L$2282</f>
        <v>116.374447854472</v>
      </c>
      <c r="AA2282" s="38" t="n">
        <f aca="false">Sens!$M$2282</f>
        <v>114.695030891708</v>
      </c>
    </row>
    <row r="2283" customFormat="false" ht="17.15" hidden="false" customHeight="false" outlineLevel="0" collapsed="false">
      <c r="A2283" s="0" t="s">
        <v>627</v>
      </c>
      <c r="B2283" s="0" t="s">
        <v>86</v>
      </c>
      <c r="H2283" s="38" t="n">
        <f aca="false">SUMPRODUCT(--(Sens!$R$2252:$AA$2252=2027-tk_life),Sens!$R$2259:$AA$2259)*Sens!$H$2264/1000</f>
        <v>0</v>
      </c>
      <c r="I2283" s="38" t="n">
        <f aca="false">SUMPRODUCT(--(Sens!$R$2252:$AA$2252=2028-tk_life),Sens!$R$2259:$AA$2259)*Sens!$I$2264/1000</f>
        <v>0</v>
      </c>
      <c r="J2283" s="38" t="n">
        <f aca="false">SUMPRODUCT(--(Sens!$R$2252:$AA$2252=2029-tk_life),Sens!$R$2259:$AA$2259)*Sens!$J$2264/1000</f>
        <v>4.51143066</v>
      </c>
      <c r="K2283" s="38" t="n">
        <f aca="false">SUMPRODUCT(--(Sens!$R$2252:$AA$2252=2030-tk_life),Sens!$R$2259:$AA$2259)*Sens!$K$2264/1000</f>
        <v>9.02286132</v>
      </c>
      <c r="L2283" s="38" t="n">
        <f aca="false">SUMPRODUCT(--(Sens!$R$2252:$AA$2252=2031-tk_life),Sens!$R$2259:$AA$2259)*Sens!$L$2264/1000</f>
        <v>40.60287594</v>
      </c>
      <c r="M2283" s="38" t="n">
        <f aca="false">SUMPRODUCT(--(Sens!$R$2252:$AA$2252=2032-tk_life),Sens!$R$2259:$AA$2259)*Sens!$M$2264/1000</f>
        <v>92.377182051825</v>
      </c>
    </row>
    <row r="2284" customFormat="false" ht="17.15" hidden="false" customHeight="false" outlineLevel="0" collapsed="false">
      <c r="A2284" s="5" t="s">
        <v>628</v>
      </c>
      <c r="B2284" s="0" t="s">
        <v>86</v>
      </c>
      <c r="C2284" s="38" t="n">
        <f aca="false">Sens!$C$2282*Sens!$C$2281</f>
        <v>18.472138699801</v>
      </c>
      <c r="D2284" s="38" t="n">
        <f aca="false">Sens!$D$2282*Sens!$D$2281</f>
        <v>50.8377268390402</v>
      </c>
      <c r="E2284" s="38" t="n">
        <f aca="false">Sens!$E$2282*Sens!$E$2281</f>
        <v>46.8572106337037</v>
      </c>
      <c r="F2284" s="38" t="n">
        <f aca="false">Sens!$F$2282*Sens!$F$2281</f>
        <v>64.7293712447073</v>
      </c>
      <c r="G2284" s="38" t="n">
        <f aca="false">Sens!$E$2284+Sens!$F$2284</f>
        <v>111.586581878411</v>
      </c>
      <c r="H2284" s="38" t="n">
        <f aca="false">(Sens!$H$2282-Sens!$H$2283)*Sens!$H$2281+Sens!$H$2283</f>
        <v>130.5573320979</v>
      </c>
      <c r="I2284" s="38" t="n">
        <f aca="false">(Sens!$I$2282-Sens!$I$2283)*Sens!$I$2281+Sens!$I$2283</f>
        <v>136.63243706365</v>
      </c>
      <c r="J2284" s="38" t="n">
        <f aca="false">(Sens!$J$2282-Sens!$J$2283)*Sens!$J$2281+Sens!$J$2283</f>
        <v>141.14386772365</v>
      </c>
      <c r="K2284" s="38" t="n">
        <f aca="false">(Sens!$K$2282-Sens!$K$2283)*Sens!$K$2281+Sens!$K$2283</f>
        <v>105.675269307394</v>
      </c>
      <c r="L2284" s="38" t="n">
        <f aca="false">(Sens!$L$2282-Sens!$L$2283)*Sens!$L$2281+Sens!$L$2283</f>
        <v>97.2752548511389</v>
      </c>
      <c r="M2284" s="38" t="n">
        <f aca="false">(Sens!$M$2282-Sens!$M$2283)*Sens!$M$2281+Sens!$M$2283</f>
        <v>109.069531886708</v>
      </c>
      <c r="R2284" s="38" t="n">
        <f aca="false">Sens!$R$2282*Sens!$C$2281</f>
        <v>1.09927679019314</v>
      </c>
      <c r="S2284" s="38" t="n">
        <f aca="false">Sens!$C$2284</f>
        <v>18.472138699801</v>
      </c>
      <c r="T2284" s="38" t="n">
        <f aca="false">Sens!$D$2284</f>
        <v>50.8377268390402</v>
      </c>
      <c r="U2284" s="38" t="n">
        <f aca="false">Sens!$G$2284</f>
        <v>111.586581878411</v>
      </c>
      <c r="V2284" s="38" t="n">
        <f aca="false">Sens!$H$2284</f>
        <v>130.5573320979</v>
      </c>
      <c r="W2284" s="38" t="n">
        <f aca="false">Sens!$I$2284</f>
        <v>136.63243706365</v>
      </c>
      <c r="X2284" s="38" t="n">
        <f aca="false">Sens!$J$2284</f>
        <v>141.14386772365</v>
      </c>
      <c r="Y2284" s="38" t="n">
        <f aca="false">Sens!$K$2284</f>
        <v>105.675269307394</v>
      </c>
      <c r="Z2284" s="38" t="n">
        <f aca="false">Sens!$L$2284</f>
        <v>97.2752548511389</v>
      </c>
      <c r="AA2284" s="38" t="n">
        <f aca="false">Sens!$M$2284</f>
        <v>109.069531886708</v>
      </c>
    </row>
    <row r="2285" customFormat="false" ht="15" hidden="false" customHeight="false" outlineLevel="0" collapsed="false">
      <c r="A2285" s="5" t="s">
        <v>629</v>
      </c>
      <c r="B2285" s="0" t="s">
        <v>86</v>
      </c>
      <c r="C2285" s="38" t="n">
        <f aca="false">Sens!$C$2282-Sens!$C$2284</f>
        <v>6.80596660793636</v>
      </c>
      <c r="D2285" s="38" t="n">
        <f aca="false">Sens!$D$2282-Sens!$D$2284</f>
        <v>18.7309047919624</v>
      </c>
      <c r="E2285" s="38" t="n">
        <f aca="false">Sens!$E$2282-Sens!$E$2284</f>
        <v>17.332710014807</v>
      </c>
      <c r="F2285" s="38" t="n">
        <f aca="false">Sens!$F$2282-Sens!$F$2284</f>
        <v>23.94370911226</v>
      </c>
      <c r="G2285" s="38" t="n">
        <f aca="false">Sens!$G$2282-Sens!$G$2284</f>
        <v>41.2764191270671</v>
      </c>
      <c r="H2285" s="38" t="n">
        <f aca="false">Sens!$H$2282-Sens!$H$2284</f>
        <v>46.046581</v>
      </c>
      <c r="I2285" s="38" t="n">
        <f aca="false">Sens!$I$2282-Sens!$I$2284</f>
        <v>46.046581</v>
      </c>
      <c r="J2285" s="38" t="n">
        <f aca="false">Sens!$J$2282-Sens!$J$2284</f>
        <v>46.046581</v>
      </c>
      <c r="K2285" s="38" t="n">
        <f aca="false">Sens!$K$2282-Sens!$K$2284</f>
        <v>32.5728870016667</v>
      </c>
      <c r="L2285" s="38" t="n">
        <f aca="false">Sens!$L$2282-Sens!$L$2284</f>
        <v>19.0991930033333</v>
      </c>
      <c r="M2285" s="38" t="n">
        <f aca="false">Sens!$M$2282-Sens!$M$2284</f>
        <v>5.62549900499998</v>
      </c>
      <c r="R2285" s="38" t="n">
        <f aca="false">Sens!$R$2282-Sens!$R$2284</f>
        <v>0.405023005106309</v>
      </c>
      <c r="S2285" s="38" t="n">
        <f aca="false">Sens!$S$2282-Sens!$S$2284</f>
        <v>6.80596660793636</v>
      </c>
      <c r="T2285" s="38" t="n">
        <f aca="false">Sens!$T$2282-Sens!$T$2284</f>
        <v>18.7309047919624</v>
      </c>
      <c r="U2285" s="38" t="n">
        <f aca="false">Sens!$U$2282-Sens!$U$2284</f>
        <v>41.2764191270671</v>
      </c>
      <c r="V2285" s="38" t="n">
        <f aca="false">Sens!$V$2282-Sens!$V$2284</f>
        <v>46.046581</v>
      </c>
      <c r="W2285" s="38" t="n">
        <f aca="false">Sens!$W$2282-Sens!$W$2284</f>
        <v>46.046581</v>
      </c>
      <c r="X2285" s="38" t="n">
        <f aca="false">Sens!$X$2282-Sens!$X$2284</f>
        <v>46.046581</v>
      </c>
      <c r="Y2285" s="38" t="n">
        <f aca="false">Sens!$Y$2282-Sens!$Y$2284</f>
        <v>32.5728870016667</v>
      </c>
      <c r="Z2285" s="38" t="n">
        <f aca="false">Sens!$Z$2282-Sens!$Z$2284</f>
        <v>19.0991930033333</v>
      </c>
      <c r="AA2285" s="38" t="n">
        <f aca="false">Sens!$AA$2282-Sens!$AA$2284</f>
        <v>5.62549900499998</v>
      </c>
    </row>
    <row r="2286" customFormat="false" ht="17.15" hidden="false" customHeight="false" outlineLevel="0" collapsed="false">
      <c r="A2286" s="0" t="s">
        <v>630</v>
      </c>
      <c r="B2286" s="0" t="s">
        <v>52</v>
      </c>
      <c r="C2286" s="13" t="n">
        <f aca="false">Sens!$C$2282/Sens!$C$2402</f>
        <v>0.325505489553393</v>
      </c>
      <c r="D2286" s="13" t="n">
        <f aca="false">Sens!$D$2282/Sens!$D$2402</f>
        <v>0.54214956071542</v>
      </c>
      <c r="E2286" s="13" t="n">
        <f aca="false">Sens!$E$2282/Sens!$E$2402</f>
        <v>0.666492790452817</v>
      </c>
      <c r="F2286" s="13" t="n">
        <f aca="false">Sens!$F$2282/Sens!$F$2402</f>
        <v>0.71689773107743</v>
      </c>
      <c r="G2286" s="13" t="n">
        <f aca="false">Sens!$G$2282/Sens!$G$2402</f>
        <v>0.694831822752173</v>
      </c>
      <c r="H2286" s="13" t="n">
        <f aca="false">Sens!$H$2282/Sens!$H$2402</f>
        <v>0.702332645426135</v>
      </c>
      <c r="I2286" s="13" t="n">
        <f aca="false">Sens!$I$2282/Sens!$I$2402</f>
        <v>0.689180467439284</v>
      </c>
      <c r="J2286" s="13" t="n">
        <f aca="false">Sens!$J$2282/Sens!$J$2402</f>
        <v>0.676557941921082</v>
      </c>
      <c r="K2286" s="13" t="n">
        <f aca="false">Sens!$K$2282/Sens!$K$2402</f>
        <v>0.590482424207056</v>
      </c>
      <c r="L2286" s="13" t="n">
        <f aca="false">Sens!$L$2282/Sens!$L$2402</f>
        <v>0.531096395647337</v>
      </c>
      <c r="M2286" s="13" t="n">
        <f aca="false">Sens!$M$2282/Sens!$M$2402</f>
        <v>0.5101536662848</v>
      </c>
    </row>
    <row r="2287" customFormat="false" ht="17.15" hidden="false" customHeight="false" outlineLevel="0" collapsed="false">
      <c r="A2287" s="0" t="s">
        <v>631</v>
      </c>
      <c r="B2287" s="0" t="s">
        <v>86</v>
      </c>
      <c r="C2287" s="38" t="n">
        <f aca="false">Sens!$S$2287</f>
        <v>0.183212798365523</v>
      </c>
      <c r="D2287" s="38" t="n">
        <f aca="false">Sens!$T$2287</f>
        <v>3.2619025816657</v>
      </c>
      <c r="E2287" s="38" t="n">
        <f aca="false">Sens!$G$2287/2</f>
        <v>5.86742852741953</v>
      </c>
      <c r="F2287" s="38" t="n">
        <f aca="false">Sens!$G$2287/2</f>
        <v>5.86742852741953</v>
      </c>
      <c r="G2287" s="38" t="n">
        <f aca="false">Sens!$U$2287</f>
        <v>11.7348570548391</v>
      </c>
      <c r="H2287" s="38" t="n">
        <f aca="false">Sens!$V$2287</f>
        <v>30.3326207012409</v>
      </c>
      <c r="I2287" s="38" t="n">
        <f aca="false">Sens!$W$2287</f>
        <v>52.0921760508909</v>
      </c>
      <c r="J2287" s="38" t="n">
        <f aca="false">Sens!$X$2287</f>
        <v>74.8642488948326</v>
      </c>
      <c r="K2287" s="38" t="n">
        <f aca="false">Sens!$Y$2287</f>
        <v>98.2050140504087</v>
      </c>
      <c r="L2287" s="38" t="n">
        <f aca="false">Sens!$Z$2287</f>
        <v>112.738869151674</v>
      </c>
      <c r="M2287" s="38" t="n">
        <f aca="false">Sens!$AA$2287</f>
        <v>120.478457153691</v>
      </c>
      <c r="N2287" s="38" t="n">
        <f aca="false">Sens!$D$2287/2</f>
        <v>1.63095129083285</v>
      </c>
      <c r="O2287" s="38" t="n">
        <f aca="false">Sens!$D$2287/2</f>
        <v>1.63095129083285</v>
      </c>
      <c r="R2287" s="38" t="n">
        <f aca="false">SUMPRODUCT(--(Sens!$R$2252:$AA$2252&lt;Sens!R$2252),--(Sens!$R$2252:$AA$2252&gt;=Sens!R$2252-tk_life),Sens!$R$2284:$AA$2284)/tk_life</f>
        <v>0</v>
      </c>
      <c r="S2287" s="38" t="n">
        <f aca="false">SUMPRODUCT(--(Sens!$R$2252:$AA$2252&lt;Sens!S$2252),--(Sens!$R$2252:$AA$2252&gt;=Sens!S$2252-tk_life),Sens!$R$2284:$AA$2284)/tk_life</f>
        <v>0.183212798365523</v>
      </c>
      <c r="T2287" s="38" t="n">
        <f aca="false">SUMPRODUCT(--(Sens!$R$2252:$AA$2252&lt;Sens!T$2252),--(Sens!$R$2252:$AA$2252&gt;=Sens!T$2252-tk_life),Sens!$R$2284:$AA$2284)/tk_life</f>
        <v>3.2619025816657</v>
      </c>
      <c r="U2287" s="38" t="n">
        <f aca="false">SUMPRODUCT(--(Sens!$R$2252:$AA$2252&lt;Sens!U$2252),--(Sens!$R$2252:$AA$2252&gt;=Sens!U$2252-tk_life),Sens!$R$2284:$AA$2284)/tk_life</f>
        <v>11.7348570548391</v>
      </c>
      <c r="V2287" s="38" t="n">
        <f aca="false">SUMPRODUCT(--(Sens!$R$2252:$AA$2252&lt;Sens!V$2252),--(Sens!$R$2252:$AA$2252&gt;=Sens!V$2252-tk_life),Sens!$R$2284:$AA$2284)/tk_life</f>
        <v>30.3326207012409</v>
      </c>
      <c r="W2287" s="38" t="n">
        <f aca="false">SUMPRODUCT(--(Sens!$R$2252:$AA$2252&lt;Sens!W$2252),--(Sens!$R$2252:$AA$2252&gt;=Sens!W$2252-tk_life),Sens!$R$2284:$AA$2284)/tk_life</f>
        <v>52.0921760508909</v>
      </c>
      <c r="X2287" s="38" t="n">
        <f aca="false">SUMPRODUCT(--(Sens!$R$2252:$AA$2252&lt;Sens!X$2252),--(Sens!$R$2252:$AA$2252&gt;=Sens!X$2252-tk_life),Sens!$R$2284:$AA$2284)/tk_life</f>
        <v>74.8642488948326</v>
      </c>
      <c r="Y2287" s="38" t="n">
        <f aca="false">SUMPRODUCT(--(Sens!$R$2252:$AA$2252&lt;Sens!Y$2252),--(Sens!$R$2252:$AA$2252&gt;=Sens!Y$2252-tk_life),Sens!$R$2284:$AA$2284)/tk_life</f>
        <v>98.2050140504087</v>
      </c>
      <c r="Z2287" s="38" t="n">
        <f aca="false">SUMPRODUCT(--(Sens!$R$2252:$AA$2252&lt;Sens!Z$2252),--(Sens!$R$2252:$AA$2252&gt;=Sens!Z$2252-tk_life),Sens!$R$2284:$AA$2284)/tk_life</f>
        <v>112.738869151674</v>
      </c>
      <c r="AA2287" s="38" t="n">
        <f aca="false">SUMPRODUCT(--(Sens!$R$2252:$AA$2252&lt;Sens!AA$2252),--(Sens!$R$2252:$AA$2252&gt;=Sens!AA$2252-tk_life),Sens!$R$2284:$AA$2284)/tk_life</f>
        <v>120.478457153691</v>
      </c>
    </row>
    <row r="2288" customFormat="false" ht="17.15" hidden="false" customHeight="false" outlineLevel="0" collapsed="false">
      <c r="A2288" s="0" t="s">
        <v>632</v>
      </c>
      <c r="B2288" s="0" t="s">
        <v>86</v>
      </c>
      <c r="C2288" s="38" t="n">
        <f aca="false">Sens!$S$2288</f>
        <v>0.0202511502553155</v>
      </c>
      <c r="D2288" s="38" t="n">
        <f aca="false">Sens!$T$2288</f>
        <v>0.360549480652134</v>
      </c>
      <c r="E2288" s="38" t="n">
        <f aca="false">Sens!$G$2288/2</f>
        <v>0.648547360125127</v>
      </c>
      <c r="F2288" s="38" t="n">
        <f aca="false">Sens!$G$2288/2</f>
        <v>0.648547360125127</v>
      </c>
      <c r="G2288" s="38" t="n">
        <f aca="false">Sens!$U$2288</f>
        <v>1.29709472025025</v>
      </c>
      <c r="H2288" s="38" t="n">
        <f aca="false">Sens!$V$2288</f>
        <v>3.36091567660361</v>
      </c>
      <c r="I2288" s="38" t="n">
        <f aca="false">Sens!$W$2288</f>
        <v>5.66324472660361</v>
      </c>
      <c r="J2288" s="38" t="n">
        <f aca="false">Sens!$X$2288</f>
        <v>7.96557377660361</v>
      </c>
      <c r="K2288" s="38" t="n">
        <f aca="false">Sens!$Y$2288</f>
        <v>10.2679028266036</v>
      </c>
      <c r="L2288" s="38" t="n">
        <f aca="false">Sens!$Z$2288</f>
        <v>11.8965471766869</v>
      </c>
      <c r="M2288" s="38" t="n">
        <f aca="false">Sens!$AA$2288</f>
        <v>12.8515068268536</v>
      </c>
      <c r="N2288" s="38" t="n">
        <f aca="false">Sens!$D$2288/2</f>
        <v>0.180274740326067</v>
      </c>
      <c r="O2288" s="38" t="n">
        <f aca="false">Sens!$D$2288/2</f>
        <v>0.180274740326067</v>
      </c>
      <c r="R2288" s="38" t="n">
        <f aca="false">SUMPRODUCT(--(Sens!$R$2252:$AA$2252&lt;Sens!R$2252),Sens!$R$2285:$AA$2285)/fac_life</f>
        <v>0</v>
      </c>
      <c r="S2288" s="38" t="n">
        <f aca="false">SUMPRODUCT(--(Sens!$R$2252:$AA$2252&lt;Sens!S$2252),Sens!$R$2285:$AA$2285)/fac_life</f>
        <v>0.0202511502553155</v>
      </c>
      <c r="T2288" s="38" t="n">
        <f aca="false">SUMPRODUCT(--(Sens!$R$2252:$AA$2252&lt;Sens!T$2252),Sens!$R$2285:$AA$2285)/fac_life</f>
        <v>0.360549480652134</v>
      </c>
      <c r="U2288" s="38" t="n">
        <f aca="false">SUMPRODUCT(--(Sens!$R$2252:$AA$2252&lt;Sens!U$2252),Sens!$R$2285:$AA$2285)/fac_life</f>
        <v>1.29709472025025</v>
      </c>
      <c r="V2288" s="38" t="n">
        <f aca="false">SUMPRODUCT(--(Sens!$R$2252:$AA$2252&lt;Sens!V$2252),Sens!$R$2285:$AA$2285)/fac_life</f>
        <v>3.36091567660361</v>
      </c>
      <c r="W2288" s="38" t="n">
        <f aca="false">SUMPRODUCT(--(Sens!$R$2252:$AA$2252&lt;Sens!W$2252),Sens!$R$2285:$AA$2285)/fac_life</f>
        <v>5.66324472660361</v>
      </c>
      <c r="X2288" s="38" t="n">
        <f aca="false">SUMPRODUCT(--(Sens!$R$2252:$AA$2252&lt;Sens!X$2252),Sens!$R$2285:$AA$2285)/fac_life</f>
        <v>7.96557377660361</v>
      </c>
      <c r="Y2288" s="38" t="n">
        <f aca="false">SUMPRODUCT(--(Sens!$R$2252:$AA$2252&lt;Sens!Y$2252),Sens!$R$2285:$AA$2285)/fac_life</f>
        <v>10.2679028266036</v>
      </c>
      <c r="Z2288" s="38" t="n">
        <f aca="false">SUMPRODUCT(--(Sens!$R$2252:$AA$2252&lt;Sens!Z$2252),Sens!$R$2285:$AA$2285)/fac_life</f>
        <v>11.8965471766869</v>
      </c>
      <c r="AA2288" s="38" t="n">
        <f aca="false">SUMPRODUCT(--(Sens!$R$2252:$AA$2252&lt;Sens!AA$2252),Sens!$R$2285:$AA$2285)/fac_life</f>
        <v>12.8515068268536</v>
      </c>
    </row>
    <row r="2289" customFormat="false" ht="17.15" hidden="false" customHeight="false" outlineLevel="0" collapsed="false">
      <c r="A2289" s="1" t="s">
        <v>633</v>
      </c>
      <c r="B2289" s="8" t="s">
        <v>86</v>
      </c>
      <c r="C2289" s="38" t="n">
        <f aca="false">Sens!$C$2287+Sens!$C$2288</f>
        <v>0.203463948620839</v>
      </c>
      <c r="D2289" s="38" t="n">
        <f aca="false">Sens!$D$2287+Sens!$D$2288</f>
        <v>3.62245206231783</v>
      </c>
      <c r="E2289" s="38" t="n">
        <f aca="false">Sens!$E$2287+Sens!$E$2288</f>
        <v>6.51597588754466</v>
      </c>
      <c r="F2289" s="38" t="n">
        <f aca="false">Sens!$F$2287+Sens!$F$2288</f>
        <v>6.51597588754466</v>
      </c>
      <c r="G2289" s="38" t="n">
        <f aca="false">Sens!$G$2287+Sens!$G$2288</f>
        <v>13.0319517750893</v>
      </c>
      <c r="H2289" s="38" t="n">
        <f aca="false">Sens!$H$2287+Sens!$H$2288</f>
        <v>33.6935363778445</v>
      </c>
      <c r="I2289" s="38" t="n">
        <f aca="false">Sens!$I$2287+Sens!$I$2288</f>
        <v>57.7554207774945</v>
      </c>
      <c r="J2289" s="38" t="n">
        <f aca="false">Sens!$J$2287+Sens!$J$2288</f>
        <v>82.8298226714362</v>
      </c>
      <c r="K2289" s="38" t="n">
        <f aca="false">Sens!$K$2287+Sens!$K$2288</f>
        <v>108.472916877012</v>
      </c>
      <c r="L2289" s="38" t="n">
        <f aca="false">Sens!$L$2287+Sens!$L$2288</f>
        <v>124.635416328361</v>
      </c>
      <c r="M2289" s="38" t="n">
        <f aca="false">Sens!$M$2287+Sens!$M$2288</f>
        <v>133.329963980544</v>
      </c>
      <c r="N2289" s="38" t="n">
        <f aca="false">Sens!$N$2287+Sens!$N$2288</f>
        <v>1.81122603115892</v>
      </c>
      <c r="O2289" s="38" t="n">
        <f aca="false">Sens!$O$2287+Sens!$O$2288</f>
        <v>1.81122603115892</v>
      </c>
      <c r="R2289" s="38" t="n">
        <f aca="false">Sens!$R$2287+Sens!$R$2288</f>
        <v>0</v>
      </c>
      <c r="S2289" s="38" t="n">
        <f aca="false">Sens!$S$2287+Sens!$S$2288</f>
        <v>0.203463948620839</v>
      </c>
      <c r="T2289" s="38" t="n">
        <f aca="false">Sens!$T$2287+Sens!$T$2288</f>
        <v>3.62245206231783</v>
      </c>
      <c r="U2289" s="38" t="n">
        <f aca="false">Sens!$U$2287+Sens!$U$2288</f>
        <v>13.0319517750893</v>
      </c>
      <c r="V2289" s="38" t="n">
        <f aca="false">Sens!$V$2287+Sens!$V$2288</f>
        <v>33.6935363778445</v>
      </c>
      <c r="W2289" s="38" t="n">
        <f aca="false">Sens!$W$2287+Sens!$W$2288</f>
        <v>57.7554207774945</v>
      </c>
      <c r="X2289" s="38" t="n">
        <f aca="false">Sens!$X$2287+Sens!$X$2288</f>
        <v>82.8298226714362</v>
      </c>
      <c r="Y2289" s="38" t="n">
        <f aca="false">Sens!$Y$2287+Sens!$Y$2288</f>
        <v>108.472916877012</v>
      </c>
      <c r="Z2289" s="38" t="n">
        <f aca="false">Sens!$Z$2287+Sens!$Z$2288</f>
        <v>124.635416328361</v>
      </c>
      <c r="AA2289" s="38" t="n">
        <f aca="false">Sens!$AA$2287+Sens!$AA$2288</f>
        <v>133.329963980544</v>
      </c>
    </row>
    <row r="2290" customFormat="false" ht="17.15" hidden="false" customHeight="false" outlineLevel="0" collapsed="false">
      <c r="A2290" s="0" t="s">
        <v>634</v>
      </c>
      <c r="B2290" s="0" t="s">
        <v>86</v>
      </c>
      <c r="C2290" s="38" t="n">
        <f aca="false">Sens!$S$2290</f>
        <v>26.578941154416</v>
      </c>
      <c r="D2290" s="38" t="n">
        <f aca="false">Sens!$T$2290</f>
        <v>92.5251207231008</v>
      </c>
      <c r="G2290" s="38" t="n">
        <f aca="false">Sens!$U$2290</f>
        <v>232.35616995349</v>
      </c>
      <c r="H2290" s="38" t="n">
        <f aca="false">Sens!$V$2290</f>
        <v>375.266546673545</v>
      </c>
      <c r="I2290" s="38" t="n">
        <f aca="false">Sens!$W$2290</f>
        <v>500.1901439597</v>
      </c>
      <c r="J2290" s="38" t="n">
        <f aca="false">Sens!$X$2290</f>
        <v>604.550770011914</v>
      </c>
      <c r="K2290" s="38" t="n">
        <f aca="false">Sens!$Y$2290</f>
        <v>634.326009443963</v>
      </c>
      <c r="L2290" s="38" t="n">
        <f aca="false">Sens!$Z$2290</f>
        <v>626.065040970074</v>
      </c>
      <c r="M2290" s="38" t="n">
        <f aca="false">Sens!$AA$2290</f>
        <v>607.430107881238</v>
      </c>
      <c r="R2290" s="38" t="n">
        <f aca="false">SUM(Sens!$R$2282:$R$2282)-SUM(Sens!$R$2289:$R$2289)</f>
        <v>1.50429979529945</v>
      </c>
      <c r="S2290" s="38" t="n">
        <f aca="false">SUM(Sens!$R$2282:$S$2282)-SUM(Sens!$R$2289:$S$2289)</f>
        <v>26.578941154416</v>
      </c>
      <c r="T2290" s="38" t="n">
        <f aca="false">SUM(Sens!$R$2282:$T$2282)-SUM(Sens!$R$2289:$T$2289)</f>
        <v>92.5251207231008</v>
      </c>
      <c r="U2290" s="38" t="n">
        <f aca="false">SUM(Sens!$R$2282:$U$2282)-SUM(Sens!$R$2289:$U$2289)</f>
        <v>232.35616995349</v>
      </c>
      <c r="V2290" s="38" t="n">
        <f aca="false">SUM(Sens!$R$2282:$V$2282)-SUM(Sens!$R$2289:$V$2289)</f>
        <v>375.266546673545</v>
      </c>
      <c r="W2290" s="38" t="n">
        <f aca="false">SUM(Sens!$R$2282:$W$2282)-SUM(Sens!$R$2289:$W$2289)</f>
        <v>500.1901439597</v>
      </c>
      <c r="X2290" s="38" t="n">
        <f aca="false">SUM(Sens!$R$2282:$X$2282)-SUM(Sens!$R$2289:$X$2289)</f>
        <v>604.550770011914</v>
      </c>
      <c r="Y2290" s="38" t="n">
        <f aca="false">SUM(Sens!$R$2282:$Y$2282)-SUM(Sens!$R$2289:$Y$2289)</f>
        <v>634.326009443963</v>
      </c>
      <c r="Z2290" s="38" t="n">
        <f aca="false">SUM(Sens!$R$2282:$Z$2282)-SUM(Sens!$R$2289:$Z$2289)</f>
        <v>626.065040970074</v>
      </c>
      <c r="AA2290" s="38" t="n">
        <f aca="false">SUM(Sens!$R$2282:$AA$2282)-SUM(Sens!$R$2289:$AA$2289)</f>
        <v>607.430107881238</v>
      </c>
    </row>
    <row r="2291" customFormat="false" ht="17.15" hidden="false" customHeight="false" outlineLevel="0" collapsed="false">
      <c r="A2291" s="1" t="s">
        <v>635</v>
      </c>
    </row>
    <row r="2292" customFormat="false" ht="17.15" hidden="false" customHeight="false" outlineLevel="0" collapsed="false">
      <c r="A2292" s="0" t="s">
        <v>636</v>
      </c>
      <c r="B2292" s="0" t="s">
        <v>86</v>
      </c>
      <c r="C2292" s="38" t="n">
        <f aca="false">Sens!$C$2273-ext_sh*Sens!$C$2275</f>
        <v>1.80694998843362</v>
      </c>
      <c r="D2292" s="38" t="n">
        <f aca="false">Sens!$D$2273-ext_sh*Sens!$D$2275</f>
        <v>6.77606245662607</v>
      </c>
      <c r="E2292" s="38" t="n">
        <f aca="false">Sens!$E$2273-ext_sh*Sens!$E$2275</f>
        <v>6.62548329092326</v>
      </c>
      <c r="F2292" s="38" t="n">
        <f aca="false">Sens!$F$2273-ext_sh*Sens!$F$2275</f>
        <v>10.9841961511954</v>
      </c>
      <c r="G2292" s="38" t="n">
        <f aca="false">Sens!$G$2273-ext_sh*Sens!$G$2275</f>
        <v>17.6096794421187</v>
      </c>
      <c r="H2292" s="38" t="n">
        <f aca="false">Sens!$H$2273-ext_sh*Sens!$H$2275</f>
        <v>41.6302801886437</v>
      </c>
      <c r="I2292" s="38" t="n">
        <f aca="false">Sens!$I$2273-ext_sh*Sens!$I$2275</f>
        <v>68.7801842295635</v>
      </c>
      <c r="J2292" s="38" t="n">
        <f aca="false">Sens!$J$2273-ext_sh*Sens!$J$2275</f>
        <v>96.0986392826786</v>
      </c>
      <c r="K2292" s="38" t="n">
        <f aca="false">Sens!$K$2273-ext_sh*Sens!$K$2275</f>
        <v>119.398123483663</v>
      </c>
      <c r="L2292" s="38" t="n">
        <f aca="false">Sens!$L$2273-ext_sh*Sens!$L$2275</f>
        <v>134.710311815431</v>
      </c>
      <c r="M2292" s="38" t="n">
        <f aca="false">Sens!$M$2273-ext_sh*Sens!$M$2275</f>
        <v>142.007790587281</v>
      </c>
      <c r="N2292" s="38" t="n">
        <f aca="false">Sens!$N$2273-ext_sh*Sens!$N$2275</f>
        <v>2.37162185981912</v>
      </c>
      <c r="O2292" s="38" t="n">
        <f aca="false">Sens!$O$2273-ext_sh*Sens!$O$2275</f>
        <v>4.40444059680694</v>
      </c>
    </row>
    <row r="2293" customFormat="false" ht="17.15" hidden="false" customHeight="false" outlineLevel="0" collapsed="false">
      <c r="A2293" s="1" t="s">
        <v>637</v>
      </c>
      <c r="B2293" s="8" t="s">
        <v>86</v>
      </c>
      <c r="C2293" s="38" t="n">
        <f aca="false">Sens!$C$2292-ext_sh*Sens!$C$2289</f>
        <v>1.64417882953695</v>
      </c>
      <c r="D2293" s="38" t="n">
        <f aca="false">Sens!$D$2292-ext_sh*Sens!$D$2289</f>
        <v>3.8781008067718</v>
      </c>
      <c r="E2293" s="38" t="n">
        <f aca="false">Sens!$E$2292-ext_sh*Sens!$E$2289</f>
        <v>1.41270258088753</v>
      </c>
      <c r="F2293" s="38" t="n">
        <f aca="false">Sens!$F$2292-ext_sh*Sens!$F$2289</f>
        <v>5.77141544115966</v>
      </c>
      <c r="G2293" s="38" t="n">
        <f aca="false">Sens!$G$2292-ext_sh*Sens!$G$2289</f>
        <v>7.1841180220472</v>
      </c>
      <c r="H2293" s="38" t="n">
        <f aca="false">Sens!$H$2292-ext_sh*Sens!$H$2289</f>
        <v>14.6754510863681</v>
      </c>
      <c r="I2293" s="38" t="n">
        <f aca="false">Sens!$I$2292-ext_sh*Sens!$I$2289</f>
        <v>22.5758476075679</v>
      </c>
      <c r="J2293" s="38" t="n">
        <f aca="false">Sens!$J$2292-ext_sh*Sens!$J$2289</f>
        <v>29.8347811455296</v>
      </c>
      <c r="K2293" s="38" t="n">
        <f aca="false">Sens!$K$2292-ext_sh*Sens!$K$2289</f>
        <v>32.6197899820528</v>
      </c>
      <c r="L2293" s="38" t="n">
        <f aca="false">Sens!$L$2292-ext_sh*Sens!$L$2289</f>
        <v>35.001978752742</v>
      </c>
      <c r="M2293" s="38" t="n">
        <f aca="false">Sens!$M$2292-ext_sh*Sens!$M$2289</f>
        <v>35.3438194028454</v>
      </c>
      <c r="N2293" s="38" t="n">
        <f aca="false">Sens!$N$2292-ext_sh*Sens!$N$2289</f>
        <v>0.92264103489199</v>
      </c>
      <c r="O2293" s="38" t="n">
        <f aca="false">Sens!$O$2292-ext_sh*Sens!$O$2289</f>
        <v>2.95545977187981</v>
      </c>
    </row>
    <row r="2294" customFormat="false" ht="17.15" hidden="false" customHeight="false" outlineLevel="0" collapsed="false">
      <c r="A2294" s="0" t="s">
        <v>638</v>
      </c>
      <c r="B2294" s="0" t="s">
        <v>52</v>
      </c>
      <c r="C2294" s="13" t="n">
        <f aca="false">Sens!$C$2293/Sens!$C$2273</f>
        <v>0.708390794789371</v>
      </c>
      <c r="D2294" s="13" t="n">
        <f aca="false">Sens!$D$2293/Sens!$D$2273</f>
        <v>0.445565630441968</v>
      </c>
      <c r="E2294" s="13" t="n">
        <f aca="false">Sens!$E$2293/Sens!$E$2273</f>
        <v>0.165998118402711</v>
      </c>
      <c r="F2294" s="13" t="n">
        <f aca="false">Sens!$F$2293/Sens!$F$2273</f>
        <v>0.405650058118792</v>
      </c>
      <c r="G2294" s="13" t="n">
        <f aca="false">Sens!$G$2293/Sens!$G$2273</f>
        <v>0.315953104976614</v>
      </c>
      <c r="H2294" s="13" t="n">
        <f aca="false">Sens!$H$2293/Sens!$H$2273</f>
        <v>0.27037070624519</v>
      </c>
      <c r="I2294" s="13" t="n">
        <f aca="false">Sens!$I$2293/Sens!$I$2273</f>
        <v>0.251597784680795</v>
      </c>
      <c r="J2294" s="13" t="n">
        <f aca="false">Sens!$J$2293/Sens!$J$2273</f>
        <v>0.237983851127376</v>
      </c>
      <c r="K2294" s="13" t="n">
        <f aca="false">Sens!$K$2293/Sens!$K$2273</f>
        <v>0.209420944044806</v>
      </c>
      <c r="L2294" s="13" t="n">
        <f aca="false">Sens!$L$2293/Sens!$L$2273</f>
        <v>0.199170503234303</v>
      </c>
      <c r="M2294" s="13" t="n">
        <f aca="false">Sens!$M$2293/Sens!$M$2273</f>
        <v>0.190773757615651</v>
      </c>
      <c r="N2294" s="13" t="n">
        <f aca="false">Sens!$N$2293/Sens!$N$2273</f>
        <v>0.302870734830849</v>
      </c>
      <c r="O2294" s="13" t="n">
        <f aca="false">Sens!$O$2293/Sens!$O$2273</f>
        <v>0.52240134346334</v>
      </c>
    </row>
    <row r="2295" customFormat="false" ht="17.15" hidden="false" customHeight="false" outlineLevel="0" collapsed="false">
      <c r="A2295" s="5" t="s">
        <v>639</v>
      </c>
      <c r="B2295" s="0" t="s">
        <v>86</v>
      </c>
      <c r="C2295" s="39" t="n">
        <v>0</v>
      </c>
      <c r="D2295" s="39" t="n">
        <v>0</v>
      </c>
      <c r="E2295" s="39" t="n">
        <v>0</v>
      </c>
      <c r="F2295" s="38" t="n">
        <f aca="false">IF(internal_ai_reading=2,1,0)*(1-ext_sh)/ext_sh*(mw_open*he_open+Sens!$F$2271*Sens!$F$2268)*Sens!$F$2257/1000</f>
        <v>3.58576196532864</v>
      </c>
      <c r="G2295" s="38" t="n">
        <f aca="false">Sens!$E$2295+Sens!$F$2295</f>
        <v>3.58576196532864</v>
      </c>
      <c r="H2295" s="38" t="n">
        <f aca="false">IF(internal_ai_reading=2,1,0)*(1-ext_sh)/ext_sh*(mw_open*he_open+Sens!$H$2271*Sens!$H$2268)*Sens!$H$2257/1000</f>
        <v>13.679886229553</v>
      </c>
      <c r="I2295" s="38" t="n">
        <f aca="false">IF(internal_ai_reading=2,1,0)*(1-ext_sh)/ext_sh*(mw_open*he_open+Sens!$I$2271*Sens!$I$2268)*Sens!$I$2257/1000</f>
        <v>22.6145480991162</v>
      </c>
      <c r="J2295" s="38" t="n">
        <f aca="false">IF(internal_ai_reading=2,1,0)*(1-ext_sh)/ext_sh*(mw_open*he_open+Sens!$J$2271*Sens!$J$2268)*Sens!$J$2257/1000</f>
        <v>31.5955580236032</v>
      </c>
      <c r="K2295" s="38" t="n">
        <f aca="false">IF(internal_ai_reading=2,1,0)*(1-ext_sh)/ext_sh*(mw_open*he_open+Sens!$K$2271*Sens!$K$2268)*Sens!$K$2257/1000</f>
        <v>39.2565120061736</v>
      </c>
      <c r="L2295" s="38" t="n">
        <f aca="false">IF(internal_ai_reading=2,1,0)*(1-ext_sh)/ext_sh*(mw_open*he_open+Sens!$L$2271*Sens!$L$2268)*Sens!$L$2257/1000</f>
        <v>44.29128066586</v>
      </c>
      <c r="M2295" s="38" t="n">
        <f aca="false">IF(internal_ai_reading=2,1,0)*(1-ext_sh)/ext_sh*(mw_open*he_open+Sens!$M$2271*Sens!$M$2268)*Sens!$M$2257/1000</f>
        <v>46.6923258026494</v>
      </c>
      <c r="N2295" s="39" t="n">
        <v>0</v>
      </c>
      <c r="O2295" s="39" t="n">
        <v>0</v>
      </c>
      <c r="P2295" s="8" t="s">
        <v>640</v>
      </c>
    </row>
    <row r="2296" customFormat="false" ht="17.15" hidden="false" customHeight="false" outlineLevel="0" collapsed="false">
      <c r="A2296" s="5" t="s">
        <v>641</v>
      </c>
      <c r="B2296" s="0" t="s">
        <v>86</v>
      </c>
      <c r="C2296" s="38" t="n">
        <f aca="false">(1-ext_sh)*(Sens!$C$2275+Sens!$C$2289)</f>
        <v>0.169206631859174</v>
      </c>
      <c r="D2296" s="38" t="n">
        <f aca="false">(1-ext_sh)*(Sens!$D$2275+Sens!$D$2289)</f>
        <v>1.20641732046984</v>
      </c>
      <c r="E2296" s="38" t="n">
        <f aca="false">(1-ext_sh)*(Sens!$E$2275+Sens!$E$2289)</f>
        <v>1.77441259867062</v>
      </c>
      <c r="F2296" s="38" t="n">
        <f aca="false">(1-ext_sh)*(Sens!$F$2275+Sens!$F$2289)</f>
        <v>2.1140391597214</v>
      </c>
      <c r="G2296" s="38" t="n">
        <f aca="false">(1-ext_sh)*(Sens!$G$2275+Sens!$G$2289)</f>
        <v>3.88845175839202</v>
      </c>
      <c r="H2296" s="38" t="n">
        <f aca="false">(1-ext_sh)*(Sens!$H$2275+Sens!$H$2289)</f>
        <v>9.90088678650122</v>
      </c>
      <c r="I2296" s="38" t="n">
        <f aca="false">(1-ext_sh)*(Sens!$I$2275+Sens!$I$2289)</f>
        <v>16.7885166235152</v>
      </c>
      <c r="J2296" s="38" t="n">
        <f aca="false">(1-ext_sh)*(Sens!$J$2275+Sens!$J$2289)</f>
        <v>23.8824871133859</v>
      </c>
      <c r="K2296" s="38" t="n">
        <f aca="false">(1-ext_sh)*(Sens!$K$2275+Sens!$K$2289)</f>
        <v>30.785510598155</v>
      </c>
      <c r="L2296" s="38" t="n">
        <f aca="false">(1-ext_sh)*(Sens!$L$2275+Sens!$L$2289)</f>
        <v>35.1841971767613</v>
      </c>
      <c r="M2296" s="38" t="n">
        <f aca="false">(1-ext_sh)*(Sens!$M$2275+Sens!$M$2289)</f>
        <v>37.4804513528768</v>
      </c>
      <c r="N2296" s="38" t="n">
        <f aca="false">(1-ext_sh)*(Sens!$N$2275+Sens!$N$2289)</f>
        <v>0.530919624033979</v>
      </c>
      <c r="O2296" s="38" t="n">
        <f aca="false">(1-ext_sh)*(Sens!$O$2275+Sens!$O$2289)</f>
        <v>0.675497696435861</v>
      </c>
    </row>
    <row r="2297" customFormat="false" ht="17.15" hidden="false" customHeight="false" outlineLevel="0" collapsed="false">
      <c r="A2297" s="0" t="s">
        <v>642</v>
      </c>
      <c r="B2297" s="0" t="s">
        <v>86</v>
      </c>
      <c r="C2297" s="38" t="n">
        <f aca="false">Q!$D$24</f>
        <v>39.834</v>
      </c>
      <c r="D2297" s="38" t="n">
        <f aca="false">Q!$E$24</f>
        <v>45.606</v>
      </c>
      <c r="E2297" s="38" t="n">
        <f aca="false">Q!$P$24</f>
        <v>30.782</v>
      </c>
      <c r="N2297" s="38" t="n">
        <f aca="false">Q!$N$24</f>
        <v>21.707</v>
      </c>
      <c r="O2297" s="38" t="n">
        <f aca="false">Q!$O$24</f>
        <v>23.899</v>
      </c>
    </row>
    <row r="2298" customFormat="false" ht="17.15" hidden="false" customHeight="false" outlineLevel="0" collapsed="false">
      <c r="A2298" s="0" t="s">
        <v>643</v>
      </c>
      <c r="B2298" s="0" t="s">
        <v>86</v>
      </c>
      <c r="C2298" s="38" t="n">
        <f aca="false">Sens!$C$2297-Sens!$C$2293</f>
        <v>38.1898211704631</v>
      </c>
      <c r="D2298" s="38" t="n">
        <f aca="false">Sens!$D$2297-Sens!$D$2293</f>
        <v>41.7278991932282</v>
      </c>
      <c r="E2298" s="38" t="n">
        <f aca="false">Sens!$E$2297-Sens!$E$2293</f>
        <v>29.3692974191125</v>
      </c>
      <c r="F2298" s="38" t="n">
        <f aca="false">Sens!$F$2277*Sens!$F$2299</f>
        <v>26.8997276714137</v>
      </c>
      <c r="G2298" s="38" t="n">
        <f aca="false">Sens!$E$2298+Sens!$F$2298</f>
        <v>56.2690250905262</v>
      </c>
      <c r="H2298" s="38" t="n">
        <f aca="false">Sens!$H$2277*Sens!$H$2299</f>
        <v>60.3505333937343</v>
      </c>
      <c r="I2298" s="38" t="n">
        <f aca="false">Sens!$I$2277*Sens!$I$2299</f>
        <v>67.0043857303571</v>
      </c>
      <c r="J2298" s="38" t="n">
        <f aca="false">Sens!$J$2277*Sens!$J$2299</f>
        <v>73.3782922956925</v>
      </c>
      <c r="K2298" s="38" t="n">
        <f aca="false">Sens!$K$2277*Sens!$K$2299</f>
        <v>79.2485556793479</v>
      </c>
      <c r="L2298" s="38" t="n">
        <f aca="false">Sens!$L$2277*Sens!$L$2299</f>
        <v>85.5884401336958</v>
      </c>
      <c r="M2298" s="38" t="n">
        <f aca="false">Sens!$M$2277*Sens!$M$2299</f>
        <v>92.4355153443914</v>
      </c>
      <c r="N2298" s="38" t="n">
        <f aca="false">Sens!$N$2297-Sens!$N$2293</f>
        <v>20.784358965108</v>
      </c>
      <c r="O2298" s="38" t="n">
        <f aca="false">Sens!$O$2297-Sens!$O$2293</f>
        <v>20.9435402281202</v>
      </c>
      <c r="P2298" s="5" t="s">
        <v>644</v>
      </c>
    </row>
    <row r="2299" customFormat="false" ht="17.15" hidden="false" customHeight="false" outlineLevel="0" collapsed="false">
      <c r="A2299" s="0" t="s">
        <v>645</v>
      </c>
      <c r="B2299" s="0" t="s">
        <v>52</v>
      </c>
      <c r="C2299" s="13" t="n">
        <f aca="false">Sens!$C$2298/Sens!$C$2277</f>
        <v>0.362900395443635</v>
      </c>
      <c r="D2299" s="13" t="n">
        <f aca="false">Sens!$D$2298/Sens!$D$2277</f>
        <v>0.34767098474203</v>
      </c>
      <c r="E2299" s="13" t="n">
        <f aca="false">Sens!$E$2298/Sens!$E$2277</f>
        <v>0.411861655558416</v>
      </c>
      <c r="F2299" s="13" t="n">
        <f aca="false">(Sens!$O$2298+Sens!$E$2298)/(Sens!$O$2277+Sens!$E$2277)</f>
        <v>0.37480827803158</v>
      </c>
      <c r="G2299" s="13" t="n">
        <f aca="false">Sens!$G$2298/Sens!$G$2277</f>
        <v>0.393275318395757</v>
      </c>
      <c r="H2299" s="13" t="n">
        <f aca="false">Sens!$F$2299</f>
        <v>0.37480827803158</v>
      </c>
      <c r="I2299" s="13" t="n">
        <f aca="false">Sens!$F$2299</f>
        <v>0.37480827803158</v>
      </c>
      <c r="J2299" s="13" t="n">
        <f aca="false">Sens!$F$2299</f>
        <v>0.37480827803158</v>
      </c>
      <c r="K2299" s="13" t="n">
        <f aca="false">Sens!$F$2299</f>
        <v>0.37480827803158</v>
      </c>
      <c r="L2299" s="13" t="n">
        <f aca="false">Sens!$F$2299</f>
        <v>0.37480827803158</v>
      </c>
      <c r="M2299" s="13" t="n">
        <f aca="false">Sens!$F$2299</f>
        <v>0.37480827803158</v>
      </c>
      <c r="N2299" s="13" t="n">
        <f aca="false">Sens!$N$2298/Sens!$N$2277</f>
        <v>0.364039571356823</v>
      </c>
      <c r="O2299" s="13" t="n">
        <f aca="false">Sens!$O$2298/Sens!$O$2277</f>
        <v>0.332819892300086</v>
      </c>
      <c r="P2299" s="8" t="s">
        <v>646</v>
      </c>
    </row>
    <row r="2300" customFormat="false" ht="17.15" hidden="false" customHeight="false" outlineLevel="0" collapsed="false">
      <c r="A2300" s="0" t="s">
        <v>647</v>
      </c>
      <c r="B2300" s="0" t="s">
        <v>52</v>
      </c>
      <c r="D2300" s="13" t="n">
        <f aca="false">(Q!$E$31-ext_sh*Sens!$D$2289)/Sens!$D$2277</f>
        <v>0.154572973163571</v>
      </c>
    </row>
    <row r="2301" customFormat="false" ht="17.15" hidden="false" customHeight="false" outlineLevel="0" collapsed="false">
      <c r="A2301" s="0" t="s">
        <v>648</v>
      </c>
      <c r="B2301" s="0" t="s">
        <v>86</v>
      </c>
      <c r="C2301" s="38" t="n">
        <f aca="false">Q!$D$31</f>
        <v>13.32</v>
      </c>
      <c r="D2301" s="38" t="n">
        <f aca="false">Q!$E$31</f>
        <v>21.45</v>
      </c>
      <c r="E2301" s="38" t="n">
        <f aca="false">Q!$P$31</f>
        <v>15.353</v>
      </c>
      <c r="F2301" s="38" t="n">
        <f aca="false">ext_sh*Sens!$F$2289+Sens!$D$2300*Sens!$F$2277</f>
        <v>16.3063747611001</v>
      </c>
      <c r="G2301" s="38" t="n">
        <f aca="false">Sens!$E$2301+Sens!$F$2301</f>
        <v>31.6593747611001</v>
      </c>
      <c r="H2301" s="38" t="n">
        <f aca="false">ext_sh*Sens!$H$2289+Sens!$D$2300*Sens!$H$2277</f>
        <v>51.843717436516</v>
      </c>
      <c r="I2301" s="38" t="n">
        <f aca="false">ext_sh*Sens!$I$2289+Sens!$D$2300*Sens!$I$2277</f>
        <v>73.8373098629639</v>
      </c>
      <c r="J2301" s="38" t="n">
        <f aca="false">ext_sh*Sens!$J$2289+Sens!$D$2300*Sens!$J$2277</f>
        <v>96.5254651256027</v>
      </c>
      <c r="K2301" s="38" t="n">
        <f aca="false">ext_sh*Sens!$K$2289+Sens!$D$2300*Sens!$K$2277</f>
        <v>119.46086904914</v>
      </c>
      <c r="L2301" s="38" t="n">
        <f aca="false">ext_sh*Sens!$L$2289+Sens!$D$2300*Sens!$L$2277</f>
        <v>135.005471454021</v>
      </c>
      <c r="M2301" s="38" t="n">
        <f aca="false">ext_sh*Sens!$M$2289+Sens!$D$2300*Sens!$M$2277</f>
        <v>144.784880647075</v>
      </c>
      <c r="N2301" s="38" t="n">
        <f aca="false">Q!$N$31</f>
        <v>9.234</v>
      </c>
      <c r="O2301" s="38" t="n">
        <f aca="false">Q!$O$31</f>
        <v>12.216</v>
      </c>
    </row>
    <row r="2302" customFormat="false" ht="17.15" hidden="false" customHeight="false" outlineLevel="0" collapsed="false">
      <c r="A2302" s="1" t="s">
        <v>649</v>
      </c>
    </row>
    <row r="2303" customFormat="false" ht="17.15" hidden="false" customHeight="false" outlineLevel="0" collapsed="false">
      <c r="A2303" s="15" t="s">
        <v>650</v>
      </c>
      <c r="B2303" s="14" t="s">
        <v>52</v>
      </c>
      <c r="C2303" s="14"/>
      <c r="D2303" s="14"/>
      <c r="E2303" s="14"/>
      <c r="F2303" s="14"/>
      <c r="G2303" s="17" t="n">
        <f aca="false">Sens!$G$2293*(1-tax)/(ext_sh*(Sens!$D$2290+Sens!$G$2290)/2)</f>
        <v>0.0456864281383837</v>
      </c>
      <c r="H2303" s="17" t="n">
        <f aca="false">Sens!$H$2293*(1-tax)/(ext_sh*(Sens!$G$2290+Sens!$H$2290)/2)</f>
        <v>0.0498994669089832</v>
      </c>
      <c r="I2303" s="17" t="n">
        <f aca="false">Sens!$I$2293*(1-tax)/(ext_sh*(Sens!$H$2290+Sens!$I$2290)/2)</f>
        <v>0.0532779918959913</v>
      </c>
      <c r="J2303" s="17" t="n">
        <f aca="false">Sens!$J$2293*(1-tax)/(ext_sh*(Sens!$I$2290+Sens!$J$2290)/2)</f>
        <v>0.0557957175110437</v>
      </c>
      <c r="K2303" s="17" t="n">
        <f aca="false">Sens!$K$2293*(1-tax)/(ext_sh*(Sens!$J$2290+Sens!$K$2290)/2)</f>
        <v>0.0543990726652024</v>
      </c>
      <c r="L2303" s="17" t="n">
        <f aca="false">Sens!$L$2293*(1-tax)/(ext_sh*(Sens!$K$2290+Sens!$L$2290)/2)</f>
        <v>0.0573754011317476</v>
      </c>
      <c r="M2303" s="17" t="n">
        <f aca="false">Sens!$M$2293*(1-tax)/(ext_sh*(Sens!$L$2290+Sens!$M$2290)/2)</f>
        <v>0.0591990152333066</v>
      </c>
      <c r="N2303" s="14"/>
      <c r="O2303" s="14"/>
      <c r="P2303" s="8" t="s">
        <v>651</v>
      </c>
    </row>
    <row r="2304" customFormat="false" ht="17.15" hidden="false" customHeight="false" outlineLevel="0" collapsed="false">
      <c r="A2304" s="5" t="s">
        <v>652</v>
      </c>
      <c r="B2304" s="0" t="s">
        <v>57</v>
      </c>
      <c r="H2304" s="36" t="n">
        <f aca="false">Sens!$H$2273*1000/(mw_open*he_open+Sens!$H$2271*Sens!$H$2268)</f>
        <v>0.991949006767192</v>
      </c>
      <c r="I2304" s="36" t="n">
        <f aca="false">Sens!$I$2273*1000/(mw_open*he_open+Sens!$I$2271*Sens!$I$2268)</f>
        <v>0.991949006767191</v>
      </c>
      <c r="J2304" s="36" t="n">
        <f aca="false">Sens!$J$2273*1000/(mw_open*he_open+Sens!$J$2271*Sens!$J$2268)</f>
        <v>0.991949006767191</v>
      </c>
      <c r="K2304" s="36" t="n">
        <f aca="false">Sens!$K$2273*1000/(mw_open*he_open+Sens!$K$2271*Sens!$K$2268)</f>
        <v>0.991949006767191</v>
      </c>
      <c r="L2304" s="36" t="n">
        <f aca="false">Sens!$L$2273*1000/(mw_open*he_open+Sens!$L$2271*Sens!$L$2268)</f>
        <v>0.991949006767191</v>
      </c>
      <c r="M2304" s="36" t="n">
        <f aca="false">Sens!$M$2273*1000/(mw_open*he_open+Sens!$M$2271*Sens!$M$2268)</f>
        <v>0.991949006767191</v>
      </c>
    </row>
    <row r="2305" customFormat="false" ht="17.15" hidden="false" customHeight="false" outlineLevel="0" collapsed="false">
      <c r="A2305" s="5" t="s">
        <v>653</v>
      </c>
      <c r="B2305" s="0" t="s">
        <v>57</v>
      </c>
      <c r="H2305" s="36" t="n">
        <f aca="false">Sens!$H$2304*(Sens!$H$2273+wacc*ext_sh*(Sens!$G$2290+Sens!$H$2290)/2/(1-tax)-Sens!$H$2293)/Sens!$H$2273</f>
        <v>1.33269309658366</v>
      </c>
      <c r="I2305" s="36" t="n">
        <f aca="false">Sens!$I$2304*(Sens!$I$2273+wacc*ext_sh*(Sens!$H$2290+Sens!$I$2290)/2/(1-tax)-Sens!$I$2293)/Sens!$I$2273</f>
        <v>1.27310036468987</v>
      </c>
      <c r="J2305" s="36" t="n">
        <f aca="false">Sens!$J$2304*(Sens!$J$2273+wacc*ext_sh*(Sens!$I$2290+Sens!$J$2290)/2/(1-tax)-Sens!$J$2293)/Sens!$J$2273</f>
        <v>1.23523476849994</v>
      </c>
      <c r="K2305" s="36" t="n">
        <f aca="false">Sens!$K$2304*(Sens!$K$2273+wacc*ext_sh*(Sens!$J$2290+Sens!$K$2290)/2/(1-tax)-Sens!$K$2293)/Sens!$K$2273</f>
        <v>1.21686539089564</v>
      </c>
      <c r="L2305" s="36" t="n">
        <f aca="false">Sens!$L$2304*(Sens!$L$2273+wacc*ext_sh*(Sens!$K$2290+Sens!$L$2290)/2/(1-tax)-Sens!$L$2293)/Sens!$L$2273</f>
        <v>1.18451140942838</v>
      </c>
      <c r="M2305" s="36" t="n">
        <f aca="false">Sens!$M$2304*(Sens!$M$2273+wacc*ext_sh*(Sens!$L$2290+Sens!$M$2290)/2/(1-tax)-Sens!$M$2293)/Sens!$M$2273</f>
        <v>1.16488204831948</v>
      </c>
    </row>
    <row r="2306" customFormat="false" ht="17.15" hidden="false" customHeight="false" outlineLevel="0" collapsed="false">
      <c r="A2306" s="5" t="s">
        <v>654</v>
      </c>
      <c r="B2306" s="0" t="s">
        <v>52</v>
      </c>
      <c r="C2306" s="13" t="n">
        <f aca="false">Sens!$C$2274/tk_pq</f>
        <v>0.195316432429398</v>
      </c>
      <c r="D2306" s="13" t="n">
        <f aca="false">Sens!$D$2274/tk_pq</f>
        <v>0.195316432429398</v>
      </c>
      <c r="E2306" s="13" t="n">
        <f aca="false">Sens!$E$2274/tk_pq</f>
        <v>0.195316432429398</v>
      </c>
      <c r="F2306" s="13" t="n">
        <f aca="false">Sens!$F$2274/tk_pq</f>
        <v>0.19229611621718</v>
      </c>
      <c r="G2306" s="13" t="n">
        <f aca="false">Sens!$G$2274/tk_pq</f>
        <v>0.193415558688553</v>
      </c>
      <c r="H2306" s="13" t="n">
        <f aca="false">Sens!$H$2274/tk_pq</f>
        <v>0.191841547329368</v>
      </c>
      <c r="I2306" s="13" t="n">
        <f aca="false">Sens!$I$2274/tk_pq</f>
        <v>0.193849442336292</v>
      </c>
      <c r="J2306" s="13" t="n">
        <f aca="false">Sens!$J$2274/tk_pq</f>
        <v>0.195019275285086</v>
      </c>
      <c r="K2306" s="13" t="n">
        <f aca="false">Sens!$K$2274/tk_pq</f>
        <v>0.195569356925909</v>
      </c>
      <c r="L2306" s="13" t="n">
        <f aca="false">Sens!$L$2274/tk_pq</f>
        <v>0.19582683495275</v>
      </c>
      <c r="M2306" s="13" t="n">
        <f aca="false">Sens!$M$2274/tk_pq</f>
        <v>0.195896804044159</v>
      </c>
      <c r="N2306" s="13" t="n">
        <f aca="false">Sens!$N$2274/tk_pq</f>
        <v>0.195316432429398</v>
      </c>
      <c r="O2306" s="13" t="n">
        <f aca="false">Sens!$O$2274/tk_pq</f>
        <v>0.195316432429398</v>
      </c>
      <c r="P2306" s="5" t="s">
        <v>655</v>
      </c>
    </row>
    <row r="2309" customFormat="false" ht="17.15" hidden="false" customHeight="false" outlineLevel="0" collapsed="false">
      <c r="A2309" s="1" t="s">
        <v>684</v>
      </c>
    </row>
    <row r="2310" customFormat="false" ht="17.15" hidden="false" customHeight="false" outlineLevel="0" collapsed="false">
      <c r="A2310" s="0" t="s">
        <v>685</v>
      </c>
      <c r="B2310" s="0" t="s">
        <v>86</v>
      </c>
      <c r="C2310" s="38" t="n">
        <f aca="false">Sens!$C$2273</f>
        <v>2.32100535697364</v>
      </c>
      <c r="D2310" s="38" t="n">
        <f aca="false">Sens!$D$2273</f>
        <v>8.70377008865116</v>
      </c>
      <c r="E2310" s="38" t="n">
        <f aca="false">Sens!$E$2273</f>
        <v>8.51035297557002</v>
      </c>
      <c r="F2310" s="38" t="n">
        <f aca="false">Sens!$F$2273</f>
        <v>14.2275720800453</v>
      </c>
      <c r="G2310" s="38" t="n">
        <f aca="false">Sens!$G$2273</f>
        <v>22.7379250556153</v>
      </c>
      <c r="H2310" s="38" t="n">
        <f aca="false">Sens!$H$2273</f>
        <v>54.278998232373</v>
      </c>
      <c r="I2310" s="38" t="n">
        <f aca="false">Sens!$I$2273</f>
        <v>89.7299141016288</v>
      </c>
      <c r="J2310" s="38" t="n">
        <f aca="false">Sens!$J$2273</f>
        <v>125.364729599073</v>
      </c>
      <c r="K2310" s="38" t="n">
        <f aca="false">Sens!$K$2273</f>
        <v>155.761832374673</v>
      </c>
      <c r="L2310" s="38" t="n">
        <f aca="false">Sens!$L$2273</f>
        <v>175.738767459787</v>
      </c>
      <c r="M2310" s="38" t="n">
        <f aca="false">Sens!$M$2273</f>
        <v>185.265624814353</v>
      </c>
      <c r="N2310" s="38" t="n">
        <f aca="false">Sens!$N$2273</f>
        <v>3.04631953102791</v>
      </c>
      <c r="O2310" s="38" t="n">
        <f aca="false">Sens!$O$2273</f>
        <v>5.65745055762326</v>
      </c>
      <c r="P2310" s="8" t="s">
        <v>686</v>
      </c>
    </row>
    <row r="2311" customFormat="false" ht="17.15" hidden="false" customHeight="false" outlineLevel="0" collapsed="false">
      <c r="A2311" s="0" t="s">
        <v>687</v>
      </c>
      <c r="B2311" s="0" t="s">
        <v>86</v>
      </c>
      <c r="C2311" s="38" t="n">
        <f aca="false">Sens!$C$2277</f>
        <v>105.234994643026</v>
      </c>
      <c r="D2311" s="38" t="n">
        <f aca="false">Sens!$D$2277</f>
        <v>120.021229911349</v>
      </c>
      <c r="E2311" s="38" t="n">
        <f aca="false">Sens!$E$2277</f>
        <v>71.30864702443</v>
      </c>
      <c r="F2311" s="38" t="n">
        <f aca="false">Sens!$F$2277</f>
        <v>71.7692997942464</v>
      </c>
      <c r="G2311" s="38" t="n">
        <f aca="false">Sens!$G$2277</f>
        <v>143.077946818676</v>
      </c>
      <c r="H2311" s="38" t="n">
        <f aca="false">Sens!$H$2277</f>
        <v>161.017077079203</v>
      </c>
      <c r="I2311" s="38" t="n">
        <f aca="false">Sens!$I$2277</f>
        <v>178.769759521457</v>
      </c>
      <c r="J2311" s="38" t="n">
        <f aca="false">Sens!$J$2277</f>
        <v>195.775538045907</v>
      </c>
      <c r="K2311" s="38" t="n">
        <f aca="false">Sens!$K$2277</f>
        <v>211.43758108958</v>
      </c>
      <c r="L2311" s="38" t="n">
        <f aca="false">Sens!$L$2277</f>
        <v>228.352587576746</v>
      </c>
      <c r="M2311" s="38" t="n">
        <f aca="false">Sens!$M$2277</f>
        <v>246.620794582886</v>
      </c>
      <c r="N2311" s="38" t="n">
        <f aca="false">Sens!$N$2277</f>
        <v>57.0936804689721</v>
      </c>
      <c r="O2311" s="38" t="n">
        <f aca="false">Sens!$O$2277</f>
        <v>62.9275494423768</v>
      </c>
      <c r="P2311" s="8" t="s">
        <v>686</v>
      </c>
    </row>
    <row r="2312" customFormat="false" ht="17.15" hidden="false" customHeight="false" outlineLevel="0" collapsed="false">
      <c r="A2312" s="1" t="s">
        <v>513</v>
      </c>
      <c r="B2312" s="8" t="s">
        <v>86</v>
      </c>
      <c r="C2312" s="38" t="n">
        <f aca="false">Q!$D$7</f>
        <v>107.556</v>
      </c>
      <c r="D2312" s="38" t="n">
        <f aca="false">Q!$E$7</f>
        <v>128.725</v>
      </c>
      <c r="E2312" s="38" t="n">
        <f aca="false">Q!$P$7</f>
        <v>79.819</v>
      </c>
      <c r="F2312" s="38" t="n">
        <f aca="false">Sens!$F$2310+Sens!$F$2311</f>
        <v>85.9968718742916</v>
      </c>
      <c r="G2312" s="38" t="n">
        <f aca="false">Sens!$G$2310+Sens!$G$2311</f>
        <v>165.815871874292</v>
      </c>
      <c r="H2312" s="38" t="n">
        <f aca="false">Sens!$H$2310+Sens!$H$2311</f>
        <v>215.296075311576</v>
      </c>
      <c r="I2312" s="38" t="n">
        <f aca="false">Sens!$I$2310+Sens!$I$2311</f>
        <v>268.499673623086</v>
      </c>
      <c r="J2312" s="38" t="n">
        <f aca="false">Sens!$J$2310+Sens!$J$2311</f>
        <v>321.140267644981</v>
      </c>
      <c r="K2312" s="38" t="n">
        <f aca="false">Sens!$K$2310+Sens!$K$2311</f>
        <v>367.199413464253</v>
      </c>
      <c r="L2312" s="38" t="n">
        <f aca="false">Sens!$L$2310+Sens!$L$2311</f>
        <v>404.091355036533</v>
      </c>
      <c r="M2312" s="38" t="n">
        <f aca="false">Sens!$M$2310+Sens!$M$2311</f>
        <v>431.886419397239</v>
      </c>
      <c r="N2312" s="38" t="n">
        <f aca="false">Q!$N$7</f>
        <v>60.14</v>
      </c>
      <c r="O2312" s="38" t="n">
        <f aca="false">Q!$O$7</f>
        <v>68.585</v>
      </c>
      <c r="P2312" s="5" t="s">
        <v>688</v>
      </c>
    </row>
    <row r="2313" customFormat="false" ht="15" hidden="false" customHeight="false" outlineLevel="0" collapsed="false">
      <c r="A2313" s="3" t="s">
        <v>689</v>
      </c>
      <c r="B2313" s="8" t="s">
        <v>86</v>
      </c>
      <c r="C2313" s="38" t="n">
        <f aca="false">Q!$D$8</f>
        <v>637.959</v>
      </c>
      <c r="D2313" s="38" t="n">
        <f aca="false">Q!$E$8</f>
        <v>716.924</v>
      </c>
      <c r="E2313" s="38" t="n">
        <f aca="false">Q!$P$8</f>
        <v>382.125</v>
      </c>
      <c r="F2313" s="38" t="n">
        <f aca="false">Sens!$F$2245+Sens!$F$2312</f>
        <v>435.780975084504</v>
      </c>
      <c r="G2313" s="38" t="n">
        <f aca="false">Sens!$G$2245+Sens!$G$2312</f>
        <v>817.905975084504</v>
      </c>
      <c r="H2313" s="38" t="n">
        <f aca="false">Sens!$H$2245+Sens!$H$2312</f>
        <v>937.207973741065</v>
      </c>
      <c r="I2313" s="38" t="n">
        <f aca="false">Sens!$I$2245+Sens!$I$2312</f>
        <v>1057.92061696666</v>
      </c>
      <c r="J2313" s="38" t="n">
        <f aca="false">Sens!$J$2245+Sens!$J$2312</f>
        <v>1173.21125526289</v>
      </c>
      <c r="K2313" s="38" t="n">
        <f aca="false">Sens!$K$2245+Sens!$K$2312</f>
        <v>1274.4009244275</v>
      </c>
      <c r="L2313" s="38" t="n">
        <f aca="false">Sens!$L$2245+Sens!$L$2312</f>
        <v>1370.27637255963</v>
      </c>
      <c r="M2313" s="38" t="n">
        <f aca="false">Sens!$M$2245+Sens!$M$2312</f>
        <v>1461.19780678049</v>
      </c>
      <c r="N2313" s="38" t="n">
        <f aca="false">Q!$N$8</f>
        <v>323.369</v>
      </c>
      <c r="O2313" s="38" t="n">
        <f aca="false">Q!$O$8</f>
        <v>393.555</v>
      </c>
    </row>
    <row r="2314" customFormat="false" ht="17.15" hidden="false" customHeight="false" outlineLevel="0" collapsed="false">
      <c r="A2314" s="24" t="s">
        <v>697</v>
      </c>
      <c r="B2314" s="25" t="s">
        <v>86</v>
      </c>
      <c r="C2314" s="41" t="n">
        <f aca="false">Sens!$C$2245-(Sens!$C$2247+Sens!$C$2248)</f>
        <v>0</v>
      </c>
      <c r="D2314" s="41" t="n">
        <f aca="false">Sens!$D$2245-(Sens!$D$2247+Sens!$D$2248)</f>
        <v>0</v>
      </c>
      <c r="E2314" s="41" t="n">
        <f aca="false">Sens!$E$2245-(Sens!$E$2247+Sens!$E$2248)</f>
        <v>0</v>
      </c>
      <c r="F2314" s="41" t="n">
        <f aca="false">Sens!$F$2245-(Sens!$F$2247+Sens!$F$2248)</f>
        <v>0</v>
      </c>
      <c r="G2314" s="41" t="n">
        <f aca="false">Sens!$G$2245-(Sens!$G$2247+Sens!$G$2248)</f>
        <v>0</v>
      </c>
      <c r="H2314" s="41" t="n">
        <f aca="false">Sens!$H$2245-(Sens!$H$2247+Sens!$H$2248)</f>
        <v>0</v>
      </c>
      <c r="I2314" s="41" t="n">
        <f aca="false">Sens!$I$2245-(Sens!$I$2247+Sens!$I$2248)</f>
        <v>0</v>
      </c>
      <c r="J2314" s="41" t="n">
        <f aca="false">Sens!$J$2245-(Sens!$J$2247+Sens!$J$2248)</f>
        <v>0</v>
      </c>
      <c r="K2314" s="41" t="n">
        <f aca="false">Sens!$K$2245-(Sens!$K$2247+Sens!$K$2248)</f>
        <v>0</v>
      </c>
      <c r="L2314" s="41" t="n">
        <f aca="false">Sens!$L$2245-(Sens!$L$2247+Sens!$L$2248)</f>
        <v>0</v>
      </c>
      <c r="M2314" s="41" t="n">
        <f aca="false">Sens!$M$2245-(Sens!$M$2247+Sens!$M$2248)</f>
        <v>0</v>
      </c>
      <c r="N2314" s="41" t="n">
        <f aca="false">Sens!$N$2245-(Sens!$N$2247+Sens!$N$2248)</f>
        <v>0</v>
      </c>
      <c r="O2314" s="41" t="n">
        <f aca="false">Sens!$O$2245-(Sens!$O$2247+Sens!$O$2248)</f>
        <v>0</v>
      </c>
    </row>
    <row r="2315" customFormat="false" ht="17.15" hidden="false" customHeight="false" outlineLevel="0" collapsed="false">
      <c r="A2315" s="24" t="s">
        <v>698</v>
      </c>
      <c r="B2315" s="25" t="s">
        <v>86</v>
      </c>
      <c r="C2315" s="41" t="n">
        <f aca="false">Sens!$C$2310+Sens!$C$2311-Sens!$C$2312</f>
        <v>0</v>
      </c>
      <c r="D2315" s="41" t="n">
        <f aca="false">Sens!$D$2310+Sens!$D$2311-Sens!$D$2312</f>
        <v>0</v>
      </c>
      <c r="E2315" s="41" t="n">
        <f aca="false">Sens!$E$2310+Sens!$E$2311-Sens!$E$2312</f>
        <v>0</v>
      </c>
      <c r="F2315" s="41" t="n">
        <f aca="false">Sens!$F$2310+Sens!$F$2311-Sens!$F$2312</f>
        <v>0</v>
      </c>
      <c r="G2315" s="41" t="n">
        <f aca="false">Sens!$G$2310+Sens!$G$2311-Sens!$G$2312</f>
        <v>0</v>
      </c>
      <c r="H2315" s="41" t="n">
        <f aca="false">Sens!$H$2310+Sens!$H$2311-Sens!$H$2312</f>
        <v>0</v>
      </c>
      <c r="I2315" s="41" t="n">
        <f aca="false">Sens!$I$2310+Sens!$I$2311-Sens!$I$2312</f>
        <v>0</v>
      </c>
      <c r="J2315" s="41" t="n">
        <f aca="false">Sens!$J$2310+Sens!$J$2311-Sens!$J$2312</f>
        <v>0</v>
      </c>
      <c r="K2315" s="41" t="n">
        <f aca="false">Sens!$K$2310+Sens!$K$2311-Sens!$K$2312</f>
        <v>0</v>
      </c>
      <c r="L2315" s="41" t="n">
        <f aca="false">Sens!$L$2310+Sens!$L$2311-Sens!$L$2312</f>
        <v>0</v>
      </c>
      <c r="M2315" s="41" t="n">
        <f aca="false">Sens!$M$2310+Sens!$M$2311-Sens!$M$2312</f>
        <v>0</v>
      </c>
      <c r="N2315" s="41" t="n">
        <f aca="false">Sens!$N$2310+Sens!$N$2311-Sens!$N$2312</f>
        <v>0</v>
      </c>
      <c r="O2315" s="41" t="n">
        <f aca="false">Sens!$O$2310+Sens!$O$2311-Sens!$O$2312</f>
        <v>0</v>
      </c>
    </row>
    <row r="2316" customFormat="false" ht="17.15" hidden="false" customHeight="false" outlineLevel="0" collapsed="false">
      <c r="A2316" s="24" t="s">
        <v>699</v>
      </c>
      <c r="B2316" s="25" t="s">
        <v>86</v>
      </c>
      <c r="C2316" s="41" t="n">
        <f aca="false">Sens!$C$2247+Sens!$C$2248+Sens!$C$2312-Sens!$C$2313</f>
        <v>0</v>
      </c>
      <c r="D2316" s="41" t="n">
        <f aca="false">Sens!$D$2247+Sens!$D$2248+Sens!$D$2312-Sens!$D$2313</f>
        <v>0</v>
      </c>
      <c r="E2316" s="41" t="n">
        <f aca="false">Sens!$E$2247+Sens!$E$2248+Sens!$E$2312-Sens!$E$2313</f>
        <v>0</v>
      </c>
      <c r="F2316" s="41" t="n">
        <f aca="false">Sens!$F$2247+Sens!$F$2248+Sens!$F$2312-Sens!$F$2313</f>
        <v>0</v>
      </c>
      <c r="G2316" s="41" t="n">
        <f aca="false">Sens!$G$2247+Sens!$G$2248+Sens!$G$2312-Sens!$G$2313</f>
        <v>0</v>
      </c>
      <c r="H2316" s="41" t="n">
        <f aca="false">Sens!$H$2247+Sens!$H$2248+Sens!$H$2312-Sens!$H$2313</f>
        <v>0</v>
      </c>
      <c r="I2316" s="41" t="n">
        <f aca="false">Sens!$I$2247+Sens!$I$2248+Sens!$I$2312-Sens!$I$2313</f>
        <v>0</v>
      </c>
      <c r="J2316" s="41" t="n">
        <f aca="false">Sens!$J$2247+Sens!$J$2248+Sens!$J$2312-Sens!$J$2313</f>
        <v>0</v>
      </c>
      <c r="K2316" s="41" t="n">
        <f aca="false">Sens!$K$2247+Sens!$K$2248+Sens!$K$2312-Sens!$K$2313</f>
        <v>0</v>
      </c>
      <c r="L2316" s="41" t="n">
        <f aca="false">Sens!$L$2247+Sens!$L$2248+Sens!$L$2312-Sens!$L$2313</f>
        <v>0</v>
      </c>
      <c r="M2316" s="41" t="n">
        <f aca="false">Sens!$M$2247+Sens!$M$2248+Sens!$M$2312-Sens!$M$2313</f>
        <v>0</v>
      </c>
      <c r="N2316" s="41" t="n">
        <f aca="false">Sens!$N$2247+Sens!$N$2248+Sens!$N$2312-Sens!$N$2313</f>
        <v>0</v>
      </c>
      <c r="O2316" s="41" t="n">
        <f aca="false">Sens!$O$2247+Sens!$O$2248+Sens!$O$2312-Sens!$O$2313</f>
        <v>0</v>
      </c>
    </row>
    <row r="2317" customFormat="false" ht="15" hidden="false" customHeight="false" outlineLevel="0" collapsed="false">
      <c r="A2317" s="5" t="s">
        <v>693</v>
      </c>
      <c r="B2317" s="0" t="s">
        <v>52</v>
      </c>
      <c r="G2317" s="13" t="n">
        <f aca="false">Sens!$G$2313/Sens!$D$2313-1</f>
        <v>0.140854504918937</v>
      </c>
      <c r="H2317" s="13" t="n">
        <f aca="false">Sens!$H$2313/Sens!$G$2313-1</f>
        <v>0.145862730302508</v>
      </c>
      <c r="I2317" s="13" t="n">
        <f aca="false">Sens!$I$2313/Sens!$H$2313-1</f>
        <v>0.128800273373412</v>
      </c>
      <c r="J2317" s="13" t="n">
        <f aca="false">Sens!$J$2313/Sens!$I$2313-1</f>
        <v>0.108978534350525</v>
      </c>
      <c r="K2317" s="13" t="n">
        <f aca="false">Sens!$K$2313/Sens!$J$2313-1</f>
        <v>0.0862501691069626</v>
      </c>
      <c r="L2317" s="13" t="n">
        <f aca="false">Sens!$L$2313/Sens!$K$2313-1</f>
        <v>0.0752317785513235</v>
      </c>
      <c r="M2317" s="13" t="n">
        <f aca="false">Sens!$M$2313/Sens!$L$2313-1</f>
        <v>0.066352624946028</v>
      </c>
    </row>
    <row r="2318" customFormat="false" ht="17.15" hidden="false" customHeight="false" outlineLevel="0" collapsed="false">
      <c r="A2318" s="0" t="s">
        <v>694</v>
      </c>
      <c r="B2318" s="0" t="s">
        <v>52</v>
      </c>
      <c r="C2318" s="13" t="n">
        <f aca="false">Sens!$C$2312/Sens!$C$2313</f>
        <v>0.168593906504964</v>
      </c>
      <c r="D2318" s="13" t="n">
        <f aca="false">Sens!$D$2312/Sens!$D$2313</f>
        <v>0.179551807444025</v>
      </c>
      <c r="E2318" s="13" t="n">
        <f aca="false">Sens!$E$2312/Sens!$E$2313</f>
        <v>0.208881910369643</v>
      </c>
      <c r="F2318" s="13" t="n">
        <f aca="false">Sens!$F$2312/Sens!$F$2313</f>
        <v>0.197339665545555</v>
      </c>
      <c r="G2318" s="13" t="n">
        <f aca="false">Sens!$G$2312/Sens!$G$2313</f>
        <v>0.202732192850358</v>
      </c>
      <c r="H2318" s="13" t="n">
        <f aca="false">Sens!$H$2312/Sens!$H$2313</f>
        <v>0.229720703775253</v>
      </c>
      <c r="I2318" s="13" t="n">
        <f aca="false">Sens!$I$2312/Sens!$I$2313</f>
        <v>0.253799452734882</v>
      </c>
      <c r="J2318" s="13" t="n">
        <f aca="false">Sens!$J$2312/Sens!$J$2313</f>
        <v>0.273727571402323</v>
      </c>
      <c r="K2318" s="13" t="n">
        <f aca="false">Sens!$K$2312/Sens!$K$2313</f>
        <v>0.288134923967675</v>
      </c>
      <c r="L2318" s="13" t="n">
        <f aca="false">Sens!$L$2312/Sens!$L$2313</f>
        <v>0.294897703214209</v>
      </c>
      <c r="M2318" s="13" t="n">
        <f aca="false">Sens!$M$2312/Sens!$M$2313</f>
        <v>0.295570125682594</v>
      </c>
      <c r="N2318" s="13" t="n">
        <f aca="false">Sens!$N$2312/Sens!$N$2313</f>
        <v>0.185979484737251</v>
      </c>
      <c r="O2318" s="13" t="n">
        <f aca="false">Sens!$O$2312/Sens!$O$2313</f>
        <v>0.174270432341096</v>
      </c>
    </row>
    <row r="2319" customFormat="false" ht="17.15" hidden="false" customHeight="false" outlineLevel="0" collapsed="false">
      <c r="A2319" s="0" t="s">
        <v>695</v>
      </c>
      <c r="B2319" s="0" t="s">
        <v>52</v>
      </c>
      <c r="C2319" s="13" t="n">
        <f aca="false">Sens!$C$2310/Sens!$C$2312</f>
        <v>0.0215795060896058</v>
      </c>
      <c r="D2319" s="13" t="n">
        <f aca="false">Sens!$D$2310/Sens!$D$2312</f>
        <v>0.0676152269462122</v>
      </c>
      <c r="E2319" s="13" t="n">
        <f aca="false">Sens!$E$2310/Sens!$E$2312</f>
        <v>0.106620641395783</v>
      </c>
      <c r="F2319" s="13" t="n">
        <f aca="false">Sens!$F$2310/Sens!$F$2312</f>
        <v>0.165442902398157</v>
      </c>
      <c r="G2319" s="13" t="n">
        <f aca="false">Sens!$G$2310/Sens!$G$2312</f>
        <v>0.137127554790734</v>
      </c>
      <c r="H2319" s="13" t="n">
        <f aca="false">Sens!$H$2310/Sens!$H$2312</f>
        <v>0.252113273099942</v>
      </c>
      <c r="I2319" s="13" t="n">
        <f aca="false">Sens!$I$2310/Sens!$I$2312</f>
        <v>0.334190030441488</v>
      </c>
      <c r="J2319" s="13" t="n">
        <f aca="false">Sens!$J$2310/Sens!$J$2312</f>
        <v>0.390373747018433</v>
      </c>
      <c r="K2319" s="13" t="n">
        <f aca="false">Sens!$K$2310/Sens!$K$2312</f>
        <v>0.424188674227925</v>
      </c>
      <c r="L2319" s="13" t="n">
        <f aca="false">Sens!$L$2310/Sens!$L$2312</f>
        <v>0.434898607132783</v>
      </c>
      <c r="M2319" s="13" t="n">
        <f aca="false">Sens!$M$2310/Sens!$M$2312</f>
        <v>0.428968396535641</v>
      </c>
      <c r="N2319" s="13" t="n">
        <f aca="false">Sens!$N$2310/Sens!$N$2312</f>
        <v>0.0506537999838362</v>
      </c>
      <c r="O2319" s="13" t="n">
        <f aca="false">Sens!$O$2310/Sens!$O$2312</f>
        <v>0.0824881615167056</v>
      </c>
    </row>
    <row r="2322" customFormat="false" ht="19.4" hidden="false" customHeight="false" outlineLevel="0" collapsed="false">
      <c r="A2322" s="31" t="s">
        <v>1174</v>
      </c>
    </row>
    <row r="2323" customFormat="false" ht="17.15" hidden="false" customHeight="false" outlineLevel="0" collapsed="false">
      <c r="A2323" s="6" t="s">
        <v>16</v>
      </c>
      <c r="B2323" s="6" t="s">
        <v>17</v>
      </c>
      <c r="C2323" s="20" t="s">
        <v>494</v>
      </c>
      <c r="D2323" s="20" t="s">
        <v>495</v>
      </c>
      <c r="E2323" s="20" t="s">
        <v>577</v>
      </c>
      <c r="F2323" s="20" t="s">
        <v>578</v>
      </c>
      <c r="G2323" s="20" t="s">
        <v>579</v>
      </c>
      <c r="H2323" s="20" t="s">
        <v>580</v>
      </c>
      <c r="I2323" s="20" t="s">
        <v>581</v>
      </c>
      <c r="J2323" s="20" t="s">
        <v>582</v>
      </c>
      <c r="K2323" s="20" t="s">
        <v>583</v>
      </c>
      <c r="L2323" s="20" t="s">
        <v>584</v>
      </c>
      <c r="M2323" s="20" t="s">
        <v>585</v>
      </c>
      <c r="N2323" s="20" t="s">
        <v>586</v>
      </c>
      <c r="O2323" s="20" t="s">
        <v>587</v>
      </c>
      <c r="P2323" s="6" t="s">
        <v>23</v>
      </c>
      <c r="R2323" s="20" t="n">
        <v>2023</v>
      </c>
      <c r="S2323" s="20" t="n">
        <v>2024</v>
      </c>
      <c r="T2323" s="20" t="n">
        <v>2025</v>
      </c>
      <c r="U2323" s="20" t="n">
        <v>2026</v>
      </c>
      <c r="V2323" s="20" t="n">
        <v>2027</v>
      </c>
      <c r="W2323" s="20" t="n">
        <v>2028</v>
      </c>
      <c r="X2323" s="20" t="n">
        <v>2029</v>
      </c>
      <c r="Y2323" s="20" t="n">
        <v>2030</v>
      </c>
      <c r="Z2323" s="20" t="n">
        <v>2031</v>
      </c>
      <c r="AA2323" s="20" t="n">
        <v>2032</v>
      </c>
    </row>
    <row r="2324" customFormat="false" ht="17.15" hidden="false" customHeight="false" outlineLevel="0" collapsed="false">
      <c r="A2324" s="1" t="s">
        <v>710</v>
      </c>
    </row>
    <row r="2325" customFormat="false" ht="15" hidden="false" customHeight="false" outlineLevel="0" collapsed="false">
      <c r="A2325" s="0" t="s">
        <v>516</v>
      </c>
      <c r="B2325" s="0" t="s">
        <v>86</v>
      </c>
      <c r="C2325" s="38" t="n">
        <f aca="false">Sens!$C$2232</f>
        <v>247.029</v>
      </c>
      <c r="D2325" s="38" t="n">
        <f aca="false">Sens!$D$2232</f>
        <v>269.287</v>
      </c>
      <c r="E2325" s="38" t="n">
        <f aca="false">Sens!$E$2232</f>
        <v>134.686</v>
      </c>
      <c r="F2325" s="38" t="n">
        <f aca="false">Sens!$F$2232</f>
        <v>158.627591094334</v>
      </c>
      <c r="G2325" s="38" t="n">
        <f aca="false">Sens!$G$2232</f>
        <v>293.313591094334</v>
      </c>
      <c r="H2325" s="38" t="n">
        <f aca="false">Sens!$H$2232</f>
        <v>318.546966351175</v>
      </c>
      <c r="I2325" s="38" t="n">
        <f aca="false">Sens!$I$2232</f>
        <v>342.125528271837</v>
      </c>
      <c r="J2325" s="38" t="n">
        <f aca="false">Sens!$J$2232</f>
        <v>363.340579485369</v>
      </c>
      <c r="K2325" s="38" t="n">
        <f aca="false">Sens!$K$2232</f>
        <v>381.507608459638</v>
      </c>
      <c r="L2325" s="38" t="n">
        <f aca="false">Sens!$L$2232</f>
        <v>400.58298888262</v>
      </c>
      <c r="M2325" s="38" t="n">
        <f aca="false">Sens!$M$2232</f>
        <v>420.612138326751</v>
      </c>
      <c r="N2325" s="38" t="n">
        <f aca="false">Sens!$N$2232</f>
        <v>118.892</v>
      </c>
      <c r="O2325" s="38" t="n">
        <f aca="false">Sens!$O$2232</f>
        <v>150.395</v>
      </c>
    </row>
    <row r="2326" customFormat="false" ht="15" hidden="false" customHeight="false" outlineLevel="0" collapsed="false">
      <c r="A2326" s="0" t="s">
        <v>517</v>
      </c>
      <c r="B2326" s="0" t="s">
        <v>86</v>
      </c>
      <c r="C2326" s="38" t="n">
        <f aca="false">Sens!$C$2234</f>
        <v>21.215</v>
      </c>
      <c r="D2326" s="38" t="n">
        <f aca="false">Sens!$D$2234</f>
        <v>22.561</v>
      </c>
      <c r="E2326" s="38" t="n">
        <f aca="false">Sens!$E$2234</f>
        <v>11.579</v>
      </c>
      <c r="F2326" s="38" t="n">
        <f aca="false">Sens!$F$2234</f>
        <v>11.6183145985709</v>
      </c>
      <c r="G2326" s="38" t="n">
        <f aca="false">Sens!$G$2234</f>
        <v>23.1973145985709</v>
      </c>
      <c r="H2326" s="38" t="n">
        <f aca="false">Sens!$H$2234</f>
        <v>24.3790800788642</v>
      </c>
      <c r="I2326" s="38" t="n">
        <f aca="false">Sens!$I$2234</f>
        <v>25.4508504907147</v>
      </c>
      <c r="J2326" s="38" t="n">
        <f aca="false">Sens!$J$2234</f>
        <v>26.3920574195565</v>
      </c>
      <c r="K2326" s="38" t="n">
        <f aca="false">Sens!$K$2234</f>
        <v>27.1838191421432</v>
      </c>
      <c r="L2326" s="38" t="n">
        <f aca="false">Sens!$L$2234</f>
        <v>27.9993337164075</v>
      </c>
      <c r="M2326" s="38" t="n">
        <f aca="false">Sens!$M$2234</f>
        <v>28.8393137278997</v>
      </c>
      <c r="N2326" s="38" t="n">
        <f aca="false">Sens!$N$2234</f>
        <v>11.128</v>
      </c>
      <c r="O2326" s="38" t="n">
        <f aca="false">Sens!$O$2234</f>
        <v>11.433</v>
      </c>
    </row>
    <row r="2327" customFormat="false" ht="15" hidden="false" customHeight="false" outlineLevel="0" collapsed="false">
      <c r="A2327" s="0" t="s">
        <v>518</v>
      </c>
      <c r="B2327" s="0" t="s">
        <v>86</v>
      </c>
      <c r="C2327" s="38" t="n">
        <f aca="false">Sens!$C$2236</f>
        <v>156.146</v>
      </c>
      <c r="D2327" s="38" t="n">
        <f aca="false">Sens!$D$2236</f>
        <v>172.162</v>
      </c>
      <c r="E2327" s="38" t="n">
        <f aca="false">Sens!$E$2236</f>
        <v>88.358</v>
      </c>
      <c r="F2327" s="38" t="n">
        <f aca="false">Sens!$F$2236</f>
        <v>102.219433345043</v>
      </c>
      <c r="G2327" s="38" t="n">
        <f aca="false">Sens!$G$2236</f>
        <v>190.577433345043</v>
      </c>
      <c r="H2327" s="38" t="n">
        <f aca="false">Sens!$H$2236</f>
        <v>210.580723123919</v>
      </c>
      <c r="I2327" s="38" t="n">
        <f aca="false">Sens!$I$2236</f>
        <v>230.229516471853</v>
      </c>
      <c r="J2327" s="38" t="n">
        <f aca="false">Sens!$J$2236</f>
        <v>249.028637632409</v>
      </c>
      <c r="K2327" s="38" t="n">
        <f aca="false">Sens!$K$2236</f>
        <v>266.460642266678</v>
      </c>
      <c r="L2327" s="38" t="n">
        <f aca="false">Sens!$L$2236</f>
        <v>285.112887225345</v>
      </c>
      <c r="M2327" s="38" t="n">
        <f aca="false">Sens!$M$2236</f>
        <v>305.070789331119</v>
      </c>
      <c r="N2327" s="38" t="n">
        <f aca="false">Sens!$N$2236</f>
        <v>76.86</v>
      </c>
      <c r="O2327" s="38" t="n">
        <f aca="false">Sens!$O$2236</f>
        <v>95.302</v>
      </c>
    </row>
    <row r="2328" customFormat="false" ht="15" hidden="false" customHeight="false" outlineLevel="0" collapsed="false">
      <c r="A2328" s="0" t="s">
        <v>519</v>
      </c>
      <c r="B2328" s="0" t="s">
        <v>86</v>
      </c>
      <c r="C2328" s="38" t="n">
        <f aca="false">Sens!$C$2238</f>
        <v>56.214</v>
      </c>
      <c r="D2328" s="38" t="n">
        <f aca="false">Sens!$D$2238</f>
        <v>68.635</v>
      </c>
      <c r="E2328" s="38" t="n">
        <f aca="false">Sens!$E$2238</f>
        <v>37.052</v>
      </c>
      <c r="F2328" s="38" t="n">
        <f aca="false">Sens!$F$2238</f>
        <v>46.2545303934995</v>
      </c>
      <c r="G2328" s="38" t="n">
        <f aca="false">Sens!$G$2238</f>
        <v>83.3065303934995</v>
      </c>
      <c r="H2328" s="38" t="n">
        <f aca="false">Sens!$H$2238</f>
        <v>100.013746092747</v>
      </c>
      <c r="I2328" s="38" t="n">
        <f aca="false">Sens!$I$2238</f>
        <v>116.719448338281</v>
      </c>
      <c r="J2328" s="38" t="n">
        <f aca="false">Sens!$J$2238</f>
        <v>132.303482528595</v>
      </c>
      <c r="K2328" s="38" t="n">
        <f aca="false">Sens!$K$2238</f>
        <v>145.533830781454</v>
      </c>
      <c r="L2328" s="38" t="n">
        <f aca="false">Sens!$L$2238</f>
        <v>160.0872138596</v>
      </c>
      <c r="M2328" s="38" t="n">
        <f aca="false">Sens!$M$2238</f>
        <v>176.09593524556</v>
      </c>
      <c r="N2328" s="38" t="n">
        <f aca="false">Sens!$N$2238</f>
        <v>29.615</v>
      </c>
      <c r="O2328" s="38" t="n">
        <f aca="false">Sens!$O$2238</f>
        <v>39.02</v>
      </c>
    </row>
    <row r="2329" customFormat="false" ht="15" hidden="false" customHeight="false" outlineLevel="0" collapsed="false">
      <c r="A2329" s="0" t="s">
        <v>520</v>
      </c>
      <c r="B2329" s="0" t="s">
        <v>86</v>
      </c>
      <c r="C2329" s="38" t="n">
        <f aca="false">Sens!$C$2240</f>
        <v>44.374</v>
      </c>
      <c r="D2329" s="38" t="n">
        <f aca="false">Sens!$D$2240</f>
        <v>49.619</v>
      </c>
      <c r="E2329" s="38" t="n">
        <f aca="false">Sens!$E$2240</f>
        <v>27.157</v>
      </c>
      <c r="F2329" s="38" t="n">
        <f aca="false">Sens!$F$2240</f>
        <v>27.8349746860389</v>
      </c>
      <c r="G2329" s="38" t="n">
        <f aca="false">Sens!$G$2240</f>
        <v>54.9919746860389</v>
      </c>
      <c r="H2329" s="38" t="n">
        <f aca="false">Sens!$H$2240</f>
        <v>61.2216029498066</v>
      </c>
      <c r="I2329" s="38" t="n">
        <f aca="false">Sens!$I$2240</f>
        <v>67.2736644288055</v>
      </c>
      <c r="J2329" s="38" t="n">
        <f aca="false">Sens!$J$2240</f>
        <v>72.9534116880823</v>
      </c>
      <c r="K2329" s="38" t="n">
        <f aca="false">Sens!$K$2240</f>
        <v>78.0601505062481</v>
      </c>
      <c r="L2329" s="38" t="n">
        <f aca="false">Sens!$L$2240</f>
        <v>83.5243610416854</v>
      </c>
      <c r="M2329" s="38" t="n">
        <f aca="false">Sens!$M$2240</f>
        <v>89.3710663146034</v>
      </c>
      <c r="N2329" s="38" t="n">
        <f aca="false">Sens!$N$2240</f>
        <v>23.923</v>
      </c>
      <c r="O2329" s="38" t="n">
        <f aca="false">Sens!$O$2240</f>
        <v>25.696</v>
      </c>
    </row>
    <row r="2330" customFormat="false" ht="15" hidden="false" customHeight="false" outlineLevel="0" collapsed="false">
      <c r="A2330" s="0" t="s">
        <v>521</v>
      </c>
      <c r="B2330" s="0" t="s">
        <v>86</v>
      </c>
      <c r="C2330" s="38" t="n">
        <f aca="false">Sens!$C$2242</f>
        <v>5.425</v>
      </c>
      <c r="D2330" s="38" t="n">
        <f aca="false">Sens!$D$2242</f>
        <v>5.935</v>
      </c>
      <c r="E2330" s="38" t="n">
        <f aca="false">Sens!$E$2242</f>
        <v>3.474</v>
      </c>
      <c r="F2330" s="38" t="n">
        <f aca="false">Sens!$F$2242</f>
        <v>3.22925909272667</v>
      </c>
      <c r="G2330" s="38" t="n">
        <f aca="false">Sens!$G$2242</f>
        <v>6.70325909272667</v>
      </c>
      <c r="H2330" s="38" t="n">
        <f aca="false">Sens!$H$2242</f>
        <v>7.16977983297702</v>
      </c>
      <c r="I2330" s="38" t="n">
        <f aca="false">Sens!$I$2242</f>
        <v>7.62193534207873</v>
      </c>
      <c r="J2330" s="38" t="n">
        <f aca="false">Sens!$J$2242</f>
        <v>8.05281886389303</v>
      </c>
      <c r="K2330" s="38" t="n">
        <f aca="false">Sens!$K$2242</f>
        <v>8.45545980708768</v>
      </c>
      <c r="L2330" s="38" t="n">
        <f aca="false">Sens!$L$2242</f>
        <v>8.87823279744206</v>
      </c>
      <c r="M2330" s="38" t="n">
        <f aca="false">Sens!$M$2242</f>
        <v>9.32214443731416</v>
      </c>
      <c r="N2330" s="38" t="n">
        <f aca="false">Sens!$N$2242</f>
        <v>2.811</v>
      </c>
      <c r="O2330" s="38" t="n">
        <f aca="false">Sens!$O$2242</f>
        <v>3.124</v>
      </c>
    </row>
    <row r="2331" customFormat="false" ht="17.15" hidden="false" customHeight="false" outlineLevel="0" collapsed="false">
      <c r="A2331" s="0" t="s">
        <v>711</v>
      </c>
      <c r="B2331" s="0" t="s">
        <v>86</v>
      </c>
      <c r="C2331" s="38" t="n">
        <f aca="false">Sens!$C$2312</f>
        <v>107.556</v>
      </c>
      <c r="D2331" s="38" t="n">
        <f aca="false">Sens!$D$2312</f>
        <v>128.725</v>
      </c>
      <c r="E2331" s="38" t="n">
        <f aca="false">Sens!$E$2312</f>
        <v>79.819</v>
      </c>
      <c r="F2331" s="38" t="n">
        <f aca="false">Sens!$F$2312</f>
        <v>85.9968718742916</v>
      </c>
      <c r="G2331" s="38" t="n">
        <f aca="false">Sens!$G$2312</f>
        <v>165.815871874292</v>
      </c>
      <c r="H2331" s="38" t="n">
        <f aca="false">Sens!$H$2312</f>
        <v>215.296075311576</v>
      </c>
      <c r="I2331" s="38" t="n">
        <f aca="false">Sens!$I$2312</f>
        <v>268.499673623086</v>
      </c>
      <c r="J2331" s="38" t="n">
        <f aca="false">Sens!$J$2312</f>
        <v>321.140267644981</v>
      </c>
      <c r="K2331" s="38" t="n">
        <f aca="false">Sens!$K$2312</f>
        <v>367.199413464253</v>
      </c>
      <c r="L2331" s="38" t="n">
        <f aca="false">Sens!$L$2312</f>
        <v>404.091355036533</v>
      </c>
      <c r="M2331" s="38" t="n">
        <f aca="false">Sens!$M$2312</f>
        <v>431.886419397239</v>
      </c>
      <c r="N2331" s="38" t="n">
        <f aca="false">Sens!$N$2312</f>
        <v>60.14</v>
      </c>
      <c r="O2331" s="38" t="n">
        <f aca="false">Sens!$O$2312</f>
        <v>68.585</v>
      </c>
    </row>
    <row r="2332" customFormat="false" ht="15" hidden="false" customHeight="false" outlineLevel="0" collapsed="false">
      <c r="A2332" s="1" t="s">
        <v>509</v>
      </c>
      <c r="B2332" s="8" t="s">
        <v>86</v>
      </c>
      <c r="C2332" s="38" t="n">
        <f aca="false">Sens!$C$2247</f>
        <v>387.497</v>
      </c>
      <c r="D2332" s="38" t="n">
        <f aca="false">Sens!$D$2247</f>
        <v>426.305</v>
      </c>
      <c r="E2332" s="38" t="n">
        <f aca="false">Sens!$E$2247</f>
        <v>220.32</v>
      </c>
      <c r="F2332" s="38" t="n">
        <f aca="false">Sens!$F$2247</f>
        <v>251.168170859166</v>
      </c>
      <c r="G2332" s="38" t="n">
        <f aca="false">Sens!$G$2247</f>
        <v>471.488170859166</v>
      </c>
      <c r="H2332" s="38" t="n">
        <f aca="false">Sens!$H$2247</f>
        <v>521.972222605965</v>
      </c>
      <c r="I2332" s="38" t="n">
        <f aca="false">Sens!$I$2247</f>
        <v>570.784060028881</v>
      </c>
      <c r="J2332" s="38" t="n">
        <f aca="false">Sens!$J$2247</f>
        <v>616.082638605267</v>
      </c>
      <c r="K2332" s="38" t="n">
        <f aca="false">Sens!$K$2247</f>
        <v>655.944291899252</v>
      </c>
      <c r="L2332" s="38" t="n">
        <f aca="false">Sens!$L$2247</f>
        <v>698.591811746366</v>
      </c>
      <c r="M2332" s="38" t="n">
        <f aca="false">Sens!$M$2247</f>
        <v>744.234793462874</v>
      </c>
      <c r="N2332" s="38" t="n">
        <f aca="false">Sens!$N$2247</f>
        <v>192.955</v>
      </c>
      <c r="O2332" s="38" t="n">
        <f aca="false">Sens!$O$2247</f>
        <v>233.35</v>
      </c>
    </row>
    <row r="2333" customFormat="false" ht="15" hidden="false" customHeight="false" outlineLevel="0" collapsed="false">
      <c r="A2333" s="1" t="s">
        <v>512</v>
      </c>
      <c r="B2333" s="8" t="s">
        <v>86</v>
      </c>
      <c r="C2333" s="38" t="n">
        <f aca="false">Sens!$C$2248</f>
        <v>142.906</v>
      </c>
      <c r="D2333" s="38" t="n">
        <f aca="false">Sens!$D$2248</f>
        <v>161.894</v>
      </c>
      <c r="E2333" s="38" t="n">
        <f aca="false">Sens!$E$2248</f>
        <v>81.986</v>
      </c>
      <c r="F2333" s="38" t="n">
        <f aca="false">Sens!$F$2248</f>
        <v>98.6159323510468</v>
      </c>
      <c r="G2333" s="38" t="n">
        <f aca="false">Sens!$G$2248</f>
        <v>180.601932351047</v>
      </c>
      <c r="H2333" s="38" t="n">
        <f aca="false">Sens!$H$2248</f>
        <v>199.939675823524</v>
      </c>
      <c r="I2333" s="38" t="n">
        <f aca="false">Sens!$I$2248</f>
        <v>218.636883314689</v>
      </c>
      <c r="J2333" s="38" t="n">
        <f aca="false">Sens!$J$2248</f>
        <v>235.988349012638</v>
      </c>
      <c r="K2333" s="38" t="n">
        <f aca="false">Sens!$K$2248</f>
        <v>251.257219063996</v>
      </c>
      <c r="L2333" s="38" t="n">
        <f aca="false">Sens!$L$2248</f>
        <v>267.593205776733</v>
      </c>
      <c r="M2333" s="38" t="n">
        <f aca="false">Sens!$M$2248</f>
        <v>285.076593920372</v>
      </c>
      <c r="N2333" s="38" t="n">
        <f aca="false">Sens!$N$2248</f>
        <v>70.274</v>
      </c>
      <c r="O2333" s="38" t="n">
        <f aca="false">Sens!$O$2248</f>
        <v>91.62</v>
      </c>
    </row>
    <row r="2334" customFormat="false" ht="15" hidden="false" customHeight="false" outlineLevel="0" collapsed="false">
      <c r="A2334" s="1" t="s">
        <v>513</v>
      </c>
      <c r="B2334" s="8" t="s">
        <v>86</v>
      </c>
      <c r="C2334" s="38" t="n">
        <f aca="false">Sens!$C$2312</f>
        <v>107.556</v>
      </c>
      <c r="D2334" s="38" t="n">
        <f aca="false">Sens!$D$2312</f>
        <v>128.725</v>
      </c>
      <c r="E2334" s="38" t="n">
        <f aca="false">Sens!$E$2312</f>
        <v>79.819</v>
      </c>
      <c r="F2334" s="38" t="n">
        <f aca="false">Sens!$F$2312</f>
        <v>85.9968718742916</v>
      </c>
      <c r="G2334" s="38" t="n">
        <f aca="false">Sens!$G$2312</f>
        <v>165.815871874292</v>
      </c>
      <c r="H2334" s="38" t="n">
        <f aca="false">Sens!$H$2312</f>
        <v>215.296075311576</v>
      </c>
      <c r="I2334" s="38" t="n">
        <f aca="false">Sens!$I$2312</f>
        <v>268.499673623086</v>
      </c>
      <c r="J2334" s="38" t="n">
        <f aca="false">Sens!$J$2312</f>
        <v>321.140267644981</v>
      </c>
      <c r="K2334" s="38" t="n">
        <f aca="false">Sens!$K$2312</f>
        <v>367.199413464253</v>
      </c>
      <c r="L2334" s="38" t="n">
        <f aca="false">Sens!$L$2312</f>
        <v>404.091355036533</v>
      </c>
      <c r="M2334" s="38" t="n">
        <f aca="false">Sens!$M$2312</f>
        <v>431.886419397239</v>
      </c>
      <c r="N2334" s="38" t="n">
        <f aca="false">Sens!$N$2312</f>
        <v>60.14</v>
      </c>
      <c r="O2334" s="38" t="n">
        <f aca="false">Sens!$O$2312</f>
        <v>68.585</v>
      </c>
    </row>
    <row r="2335" customFormat="false" ht="17.15" hidden="false" customHeight="false" outlineLevel="0" collapsed="false">
      <c r="A2335" s="0" t="s">
        <v>685</v>
      </c>
      <c r="B2335" s="0" t="s">
        <v>86</v>
      </c>
      <c r="C2335" s="38" t="n">
        <f aca="false">Sens!$C$2310</f>
        <v>2.32100535697364</v>
      </c>
      <c r="D2335" s="38" t="n">
        <f aca="false">Sens!$D$2310</f>
        <v>8.70377008865116</v>
      </c>
      <c r="E2335" s="38" t="n">
        <f aca="false">Sens!$E$2310</f>
        <v>8.51035297557002</v>
      </c>
      <c r="F2335" s="38" t="n">
        <f aca="false">Sens!$F$2310</f>
        <v>14.2275720800453</v>
      </c>
      <c r="G2335" s="38" t="n">
        <f aca="false">Sens!$G$2310</f>
        <v>22.7379250556153</v>
      </c>
      <c r="H2335" s="38" t="n">
        <f aca="false">Sens!$H$2310</f>
        <v>54.278998232373</v>
      </c>
      <c r="I2335" s="38" t="n">
        <f aca="false">Sens!$I$2310</f>
        <v>89.7299141016288</v>
      </c>
      <c r="J2335" s="38" t="n">
        <f aca="false">Sens!$J$2310</f>
        <v>125.364729599073</v>
      </c>
      <c r="K2335" s="38" t="n">
        <f aca="false">Sens!$K$2310</f>
        <v>155.761832374673</v>
      </c>
      <c r="L2335" s="38" t="n">
        <f aca="false">Sens!$L$2310</f>
        <v>175.738767459787</v>
      </c>
      <c r="M2335" s="38" t="n">
        <f aca="false">Sens!$M$2310</f>
        <v>185.265624814353</v>
      </c>
      <c r="N2335" s="38" t="n">
        <f aca="false">Sens!$N$2310</f>
        <v>3.04631953102791</v>
      </c>
      <c r="O2335" s="38" t="n">
        <f aca="false">Sens!$O$2310</f>
        <v>5.65745055762326</v>
      </c>
    </row>
    <row r="2336" customFormat="false" ht="17.15" hidden="false" customHeight="false" outlineLevel="0" collapsed="false">
      <c r="A2336" s="0" t="s">
        <v>687</v>
      </c>
      <c r="B2336" s="0" t="s">
        <v>86</v>
      </c>
      <c r="C2336" s="38" t="n">
        <f aca="false">Sens!$C$2311</f>
        <v>105.234994643026</v>
      </c>
      <c r="D2336" s="38" t="n">
        <f aca="false">Sens!$D$2311</f>
        <v>120.021229911349</v>
      </c>
      <c r="E2336" s="38" t="n">
        <f aca="false">Sens!$E$2311</f>
        <v>71.30864702443</v>
      </c>
      <c r="F2336" s="38" t="n">
        <f aca="false">Sens!$F$2311</f>
        <v>71.7692997942464</v>
      </c>
      <c r="G2336" s="38" t="n">
        <f aca="false">Sens!$G$2311</f>
        <v>143.077946818676</v>
      </c>
      <c r="H2336" s="38" t="n">
        <f aca="false">Sens!$H$2311</f>
        <v>161.017077079203</v>
      </c>
      <c r="I2336" s="38" t="n">
        <f aca="false">Sens!$I$2311</f>
        <v>178.769759521457</v>
      </c>
      <c r="J2336" s="38" t="n">
        <f aca="false">Sens!$J$2311</f>
        <v>195.775538045907</v>
      </c>
      <c r="K2336" s="38" t="n">
        <f aca="false">Sens!$K$2311</f>
        <v>211.43758108958</v>
      </c>
      <c r="L2336" s="38" t="n">
        <f aca="false">Sens!$L$2311</f>
        <v>228.352587576746</v>
      </c>
      <c r="M2336" s="38" t="n">
        <f aca="false">Sens!$M$2311</f>
        <v>246.620794582886</v>
      </c>
      <c r="N2336" s="38" t="n">
        <f aca="false">Sens!$N$2311</f>
        <v>57.0936804689721</v>
      </c>
      <c r="O2336" s="38" t="n">
        <f aca="false">Sens!$O$2311</f>
        <v>62.9275494423768</v>
      </c>
    </row>
    <row r="2337" customFormat="false" ht="15" hidden="false" customHeight="false" outlineLevel="0" collapsed="false">
      <c r="A2337" s="3" t="s">
        <v>514</v>
      </c>
      <c r="B2337" s="8" t="s">
        <v>86</v>
      </c>
      <c r="C2337" s="38" t="n">
        <f aca="false">Sens!$C$2313</f>
        <v>637.959</v>
      </c>
      <c r="D2337" s="38" t="n">
        <f aca="false">Sens!$D$2313</f>
        <v>716.924</v>
      </c>
      <c r="E2337" s="38" t="n">
        <f aca="false">Sens!$E$2313</f>
        <v>382.125</v>
      </c>
      <c r="F2337" s="38" t="n">
        <f aca="false">Sens!$F$2313</f>
        <v>435.780975084504</v>
      </c>
      <c r="G2337" s="38" t="n">
        <f aca="false">Sens!$G$2313</f>
        <v>817.905975084504</v>
      </c>
      <c r="H2337" s="38" t="n">
        <f aca="false">Sens!$H$2313</f>
        <v>937.207973741065</v>
      </c>
      <c r="I2337" s="38" t="n">
        <f aca="false">Sens!$I$2313</f>
        <v>1057.92061696666</v>
      </c>
      <c r="J2337" s="38" t="n">
        <f aca="false">Sens!$J$2313</f>
        <v>1173.21125526289</v>
      </c>
      <c r="K2337" s="38" t="n">
        <f aca="false">Sens!$K$2313</f>
        <v>1274.4009244275</v>
      </c>
      <c r="L2337" s="38" t="n">
        <f aca="false">Sens!$L$2313</f>
        <v>1370.27637255963</v>
      </c>
      <c r="M2337" s="38" t="n">
        <f aca="false">Sens!$M$2313</f>
        <v>1461.19780678049</v>
      </c>
      <c r="N2337" s="38" t="n">
        <f aca="false">Sens!$N$2313</f>
        <v>323.369</v>
      </c>
      <c r="O2337" s="38" t="n">
        <f aca="false">Sens!$O$2313</f>
        <v>393.555</v>
      </c>
    </row>
    <row r="2338" customFormat="false" ht="17.15" hidden="false" customHeight="false" outlineLevel="0" collapsed="false">
      <c r="A2338" s="24" t="s">
        <v>697</v>
      </c>
      <c r="B2338" s="25" t="s">
        <v>86</v>
      </c>
      <c r="C2338" s="41" t="n">
        <f aca="false">Sens!$C$2325+Sens!$C$2326+Sens!$C$2327+Sens!$C$2328+Sens!$C$2329+Sens!$C$2330-(Sens!$C$2332+Sens!$C$2333)</f>
        <v>0</v>
      </c>
      <c r="D2338" s="41" t="n">
        <f aca="false">Sens!$D$2325+Sens!$D$2326+Sens!$D$2327+Sens!$D$2328+Sens!$D$2329+Sens!$D$2330-(Sens!$D$2332+Sens!$D$2333)</f>
        <v>0</v>
      </c>
      <c r="E2338" s="41" t="n">
        <f aca="false">Sens!$E$2325+Sens!$E$2326+Sens!$E$2327+Sens!$E$2328+Sens!$E$2329+Sens!$E$2330-(Sens!$E$2332+Sens!$E$2333)</f>
        <v>0</v>
      </c>
      <c r="F2338" s="41" t="n">
        <f aca="false">Sens!$F$2325+Sens!$F$2326+Sens!$F$2327+Sens!$F$2328+Sens!$F$2329+Sens!$F$2330-(Sens!$F$2332+Sens!$F$2333)</f>
        <v>0</v>
      </c>
      <c r="G2338" s="41" t="n">
        <f aca="false">Sens!$G$2325+Sens!$G$2326+Sens!$G$2327+Sens!$G$2328+Sens!$G$2329+Sens!$G$2330-(Sens!$G$2332+Sens!$G$2333)</f>
        <v>0</v>
      </c>
      <c r="H2338" s="41" t="n">
        <f aca="false">Sens!$H$2325+Sens!$H$2326+Sens!$H$2327+Sens!$H$2328+Sens!$H$2329+Sens!$H$2330-(Sens!$H$2332+Sens!$H$2333)</f>
        <v>0</v>
      </c>
      <c r="I2338" s="41" t="n">
        <f aca="false">Sens!$I$2325+Sens!$I$2326+Sens!$I$2327+Sens!$I$2328+Sens!$I$2329+Sens!$I$2330-(Sens!$I$2332+Sens!$I$2333)</f>
        <v>0</v>
      </c>
      <c r="J2338" s="41" t="n">
        <f aca="false">Sens!$J$2325+Sens!$J$2326+Sens!$J$2327+Sens!$J$2328+Sens!$J$2329+Sens!$J$2330-(Sens!$J$2332+Sens!$J$2333)</f>
        <v>0</v>
      </c>
      <c r="K2338" s="41" t="n">
        <f aca="false">Sens!$K$2325+Sens!$K$2326+Sens!$K$2327+Sens!$K$2328+Sens!$K$2329+Sens!$K$2330-(Sens!$K$2332+Sens!$K$2333)</f>
        <v>0</v>
      </c>
      <c r="L2338" s="41" t="n">
        <f aca="false">Sens!$L$2325+Sens!$L$2326+Sens!$L$2327+Sens!$L$2328+Sens!$L$2329+Sens!$L$2330-(Sens!$L$2332+Sens!$L$2333)</f>
        <v>0</v>
      </c>
      <c r="M2338" s="41" t="n">
        <f aca="false">Sens!$M$2325+Sens!$M$2326+Sens!$M$2327+Sens!$M$2328+Sens!$M$2329+Sens!$M$2330-(Sens!$M$2332+Sens!$M$2333)</f>
        <v>0</v>
      </c>
      <c r="N2338" s="41" t="n">
        <f aca="false">Sens!$N$2325+Sens!$N$2326+Sens!$N$2327+Sens!$N$2328+Sens!$N$2329+Sens!$N$2330-(Sens!$N$2332+Sens!$N$2333)</f>
        <v>0</v>
      </c>
      <c r="O2338" s="41" t="n">
        <f aca="false">Sens!$O$2325+Sens!$O$2326+Sens!$O$2327+Sens!$O$2328+Sens!$O$2329+Sens!$O$2330-(Sens!$O$2332+Sens!$O$2333)</f>
        <v>0</v>
      </c>
    </row>
    <row r="2339" customFormat="false" ht="17.15" hidden="false" customHeight="false" outlineLevel="0" collapsed="false">
      <c r="A2339" s="24" t="s">
        <v>698</v>
      </c>
      <c r="B2339" s="25" t="s">
        <v>86</v>
      </c>
      <c r="C2339" s="41" t="n">
        <f aca="false">Sens!$C$2335+Sens!$C$2336-Sens!$C$2334</f>
        <v>0</v>
      </c>
      <c r="D2339" s="41" t="n">
        <f aca="false">Sens!$D$2335+Sens!$D$2336-Sens!$D$2334</f>
        <v>0</v>
      </c>
      <c r="E2339" s="41" t="n">
        <f aca="false">Sens!$E$2335+Sens!$E$2336-Sens!$E$2334</f>
        <v>0</v>
      </c>
      <c r="F2339" s="41" t="n">
        <f aca="false">Sens!$F$2335+Sens!$F$2336-Sens!$F$2334</f>
        <v>0</v>
      </c>
      <c r="G2339" s="41" t="n">
        <f aca="false">Sens!$G$2335+Sens!$G$2336-Sens!$G$2334</f>
        <v>0</v>
      </c>
      <c r="H2339" s="41" t="n">
        <f aca="false">Sens!$H$2335+Sens!$H$2336-Sens!$H$2334</f>
        <v>0</v>
      </c>
      <c r="I2339" s="41" t="n">
        <f aca="false">Sens!$I$2335+Sens!$I$2336-Sens!$I$2334</f>
        <v>0</v>
      </c>
      <c r="J2339" s="41" t="n">
        <f aca="false">Sens!$J$2335+Sens!$J$2336-Sens!$J$2334</f>
        <v>0</v>
      </c>
      <c r="K2339" s="41" t="n">
        <f aca="false">Sens!$K$2335+Sens!$K$2336-Sens!$K$2334</f>
        <v>0</v>
      </c>
      <c r="L2339" s="41" t="n">
        <f aca="false">Sens!$L$2335+Sens!$L$2336-Sens!$L$2334</f>
        <v>0</v>
      </c>
      <c r="M2339" s="41" t="n">
        <f aca="false">Sens!$M$2335+Sens!$M$2336-Sens!$M$2334</f>
        <v>0</v>
      </c>
      <c r="N2339" s="41" t="n">
        <f aca="false">Sens!$N$2335+Sens!$N$2336-Sens!$N$2334</f>
        <v>0</v>
      </c>
      <c r="O2339" s="41" t="n">
        <f aca="false">Sens!$O$2335+Sens!$O$2336-Sens!$O$2334</f>
        <v>0</v>
      </c>
    </row>
    <row r="2340" customFormat="false" ht="17.15" hidden="false" customHeight="false" outlineLevel="0" collapsed="false">
      <c r="A2340" s="24" t="s">
        <v>757</v>
      </c>
      <c r="B2340" s="25" t="s">
        <v>86</v>
      </c>
      <c r="C2340" s="41" t="n">
        <f aca="false">Sens!$C$2325+Sens!$C$2326+Sens!$C$2327+Sens!$C$2328+Sens!$C$2329+Sens!$C$2330+Sens!$C$2331-Sens!$C$2337</f>
        <v>0</v>
      </c>
      <c r="D2340" s="41" t="n">
        <f aca="false">Sens!$D$2325+Sens!$D$2326+Sens!$D$2327+Sens!$D$2328+Sens!$D$2329+Sens!$D$2330+Sens!$D$2331-Sens!$D$2337</f>
        <v>0</v>
      </c>
      <c r="E2340" s="41" t="n">
        <f aca="false">Sens!$E$2325+Sens!$E$2326+Sens!$E$2327+Sens!$E$2328+Sens!$E$2329+Sens!$E$2330+Sens!$E$2331-Sens!$E$2337</f>
        <v>0</v>
      </c>
      <c r="F2340" s="41" t="n">
        <f aca="false">Sens!$F$2325+Sens!$F$2326+Sens!$F$2327+Sens!$F$2328+Sens!$F$2329+Sens!$F$2330+Sens!$F$2331-Sens!$F$2337</f>
        <v>0</v>
      </c>
      <c r="G2340" s="41" t="n">
        <f aca="false">Sens!$G$2325+Sens!$G$2326+Sens!$G$2327+Sens!$G$2328+Sens!$G$2329+Sens!$G$2330+Sens!$G$2331-Sens!$G$2337</f>
        <v>0</v>
      </c>
      <c r="H2340" s="41" t="n">
        <f aca="false">Sens!$H$2325+Sens!$H$2326+Sens!$H$2327+Sens!$H$2328+Sens!$H$2329+Sens!$H$2330+Sens!$H$2331-Sens!$H$2337</f>
        <v>0</v>
      </c>
      <c r="I2340" s="41" t="n">
        <f aca="false">Sens!$I$2325+Sens!$I$2326+Sens!$I$2327+Sens!$I$2328+Sens!$I$2329+Sens!$I$2330+Sens!$I$2331-Sens!$I$2337</f>
        <v>0</v>
      </c>
      <c r="J2340" s="41" t="n">
        <f aca="false">Sens!$J$2325+Sens!$J$2326+Sens!$J$2327+Sens!$J$2328+Sens!$J$2329+Sens!$J$2330+Sens!$J$2331-Sens!$J$2337</f>
        <v>0</v>
      </c>
      <c r="K2340" s="41" t="n">
        <f aca="false">Sens!$K$2325+Sens!$K$2326+Sens!$K$2327+Sens!$K$2328+Sens!$K$2329+Sens!$K$2330+Sens!$K$2331-Sens!$K$2337</f>
        <v>0</v>
      </c>
      <c r="L2340" s="41" t="n">
        <f aca="false">Sens!$L$2325+Sens!$L$2326+Sens!$L$2327+Sens!$L$2328+Sens!$L$2329+Sens!$L$2330+Sens!$L$2331-Sens!$L$2337</f>
        <v>0</v>
      </c>
      <c r="M2340" s="41" t="n">
        <f aca="false">Sens!$M$2325+Sens!$M$2326+Sens!$M$2327+Sens!$M$2328+Sens!$M$2329+Sens!$M$2330+Sens!$M$2331-Sens!$M$2337</f>
        <v>0</v>
      </c>
      <c r="N2340" s="41" t="n">
        <f aca="false">Sens!$N$2325+Sens!$N$2326+Sens!$N$2327+Sens!$N$2328+Sens!$N$2329+Sens!$N$2330+Sens!$N$2331-Sens!$N$2337</f>
        <v>0</v>
      </c>
      <c r="O2340" s="41" t="n">
        <f aca="false">Sens!$O$2325+Sens!$O$2326+Sens!$O$2327+Sens!$O$2328+Sens!$O$2329+Sens!$O$2330+Sens!$O$2331-Sens!$O$2337</f>
        <v>0</v>
      </c>
    </row>
    <row r="2341" customFormat="false" ht="17.15" hidden="false" customHeight="false" outlineLevel="0" collapsed="false">
      <c r="A2341" s="24" t="s">
        <v>699</v>
      </c>
      <c r="B2341" s="25" t="s">
        <v>86</v>
      </c>
      <c r="C2341" s="41" t="n">
        <f aca="false">Sens!$C$2332+Sens!$C$2333+Sens!$C$2334-Sens!$C$2337</f>
        <v>0</v>
      </c>
      <c r="D2341" s="41" t="n">
        <f aca="false">Sens!$D$2332+Sens!$D$2333+Sens!$D$2334-Sens!$D$2337</f>
        <v>0</v>
      </c>
      <c r="E2341" s="41" t="n">
        <f aca="false">Sens!$E$2332+Sens!$E$2333+Sens!$E$2334-Sens!$E$2337</f>
        <v>0</v>
      </c>
      <c r="F2341" s="41" t="n">
        <f aca="false">Sens!$F$2332+Sens!$F$2333+Sens!$F$2334-Sens!$F$2337</f>
        <v>0</v>
      </c>
      <c r="G2341" s="41" t="n">
        <f aca="false">Sens!$G$2332+Sens!$G$2333+Sens!$G$2334-Sens!$G$2337</f>
        <v>0</v>
      </c>
      <c r="H2341" s="41" t="n">
        <f aca="false">Sens!$H$2332+Sens!$H$2333+Sens!$H$2334-Sens!$H$2337</f>
        <v>0</v>
      </c>
      <c r="I2341" s="41" t="n">
        <f aca="false">Sens!$I$2332+Sens!$I$2333+Sens!$I$2334-Sens!$I$2337</f>
        <v>0</v>
      </c>
      <c r="J2341" s="41" t="n">
        <f aca="false">Sens!$J$2332+Sens!$J$2333+Sens!$J$2334-Sens!$J$2337</f>
        <v>0</v>
      </c>
      <c r="K2341" s="41" t="n">
        <f aca="false">Sens!$K$2332+Sens!$K$2333+Sens!$K$2334-Sens!$K$2337</f>
        <v>0</v>
      </c>
      <c r="L2341" s="41" t="n">
        <f aca="false">Sens!$L$2332+Sens!$L$2333+Sens!$L$2334-Sens!$L$2337</f>
        <v>0</v>
      </c>
      <c r="M2341" s="41" t="n">
        <f aca="false">Sens!$M$2332+Sens!$M$2333+Sens!$M$2334-Sens!$M$2337</f>
        <v>0</v>
      </c>
      <c r="N2341" s="41" t="n">
        <f aca="false">Sens!$N$2332+Sens!$N$2333+Sens!$N$2334-Sens!$N$2337</f>
        <v>0</v>
      </c>
      <c r="O2341" s="41" t="n">
        <f aca="false">Sens!$O$2332+Sens!$O$2333+Sens!$O$2334-Sens!$O$2337</f>
        <v>0</v>
      </c>
    </row>
    <row r="2342" customFormat="false" ht="17.15" hidden="false" customHeight="false" outlineLevel="0" collapsed="false">
      <c r="A2342" s="1" t="s">
        <v>713</v>
      </c>
    </row>
    <row r="2343" customFormat="false" ht="17.15" hidden="false" customHeight="false" outlineLevel="0" collapsed="false">
      <c r="A2343" s="0" t="s">
        <v>714</v>
      </c>
      <c r="B2343" s="0" t="s">
        <v>86</v>
      </c>
      <c r="C2343" s="38" t="n">
        <f aca="false">Sens!$C$2249*m_ad</f>
        <v>20.5341564414228</v>
      </c>
      <c r="D2343" s="38" t="n">
        <f aca="false">Sens!$D$2249*m_ad</f>
        <v>24.8720617299587</v>
      </c>
      <c r="E2343" s="38" t="n">
        <f aca="false">Sens!$E$2249*m_ad</f>
        <v>13.5017112462207</v>
      </c>
      <c r="F2343" s="38" t="n">
        <f aca="false">Sens!$F$2249*m_ad</f>
        <v>16.6069093567454</v>
      </c>
      <c r="G2343" s="38" t="n">
        <f aca="false">Sens!$G$2249*m_ad</f>
        <v>30.1170370800679</v>
      </c>
      <c r="H2343" s="38" t="n">
        <f aca="false">Sens!$H$2249*m_ad</f>
        <v>36.1570417752845</v>
      </c>
      <c r="I2343" s="38" t="n">
        <f aca="false">Sens!$I$2249*m_ad</f>
        <v>42.1964993256206</v>
      </c>
      <c r="J2343" s="38" t="n">
        <f aca="false">Sens!$J$2249*m_ad</f>
        <v>47.8304506299151</v>
      </c>
      <c r="K2343" s="38" t="n">
        <f aca="false">Sens!$K$2249*m_ad</f>
        <v>52.6134956929067</v>
      </c>
      <c r="L2343" s="38" t="n">
        <f aca="false">Sens!$L$2249*m_ad</f>
        <v>57.8748452621973</v>
      </c>
      <c r="M2343" s="38" t="n">
        <f aca="false">Sens!$M$2249*m_ad</f>
        <v>63.6623297884171</v>
      </c>
      <c r="N2343" s="38" t="n">
        <f aca="false">Sens!$N$2249*m_ad</f>
        <v>10.8543555706248</v>
      </c>
      <c r="O2343" s="38" t="n">
        <f aca="false">Sens!$O$2249*m_ad</f>
        <v>14.0094731821399</v>
      </c>
    </row>
    <row r="2344" customFormat="false" ht="17.15" hidden="false" customHeight="false" outlineLevel="0" collapsed="false">
      <c r="A2344" s="0" t="s">
        <v>715</v>
      </c>
      <c r="B2344" s="0" t="s">
        <v>86</v>
      </c>
      <c r="C2344" s="38" t="n">
        <f aca="false">Sens!$C$2247-Sens!$C$2249</f>
        <v>346.428687117154</v>
      </c>
      <c r="D2344" s="38" t="n">
        <f aca="false">Sens!$D$2247-Sens!$D$2249</f>
        <v>376.560876540083</v>
      </c>
      <c r="E2344" s="38" t="n">
        <f aca="false">Sens!$E$2247-Sens!$E$2249</f>
        <v>193.316577507559</v>
      </c>
      <c r="F2344" s="38" t="n">
        <f aca="false">Sens!$F$2247-Sens!$F$2249</f>
        <v>217.954352145675</v>
      </c>
      <c r="G2344" s="38" t="n">
        <f aca="false">Sens!$G$2247-Sens!$G$2249</f>
        <v>411.25409669903</v>
      </c>
      <c r="H2344" s="38" t="n">
        <f aca="false">Sens!$H$2247-Sens!$H$2249</f>
        <v>449.658139055396</v>
      </c>
      <c r="I2344" s="38" t="n">
        <f aca="false">Sens!$I$2247-Sens!$I$2249</f>
        <v>486.391061377639</v>
      </c>
      <c r="J2344" s="38" t="n">
        <f aca="false">Sens!$J$2247-Sens!$J$2249</f>
        <v>520.421737345437</v>
      </c>
      <c r="K2344" s="38" t="n">
        <f aca="false">Sens!$K$2247-Sens!$K$2249</f>
        <v>550.717300513439</v>
      </c>
      <c r="L2344" s="38" t="n">
        <f aca="false">Sens!$L$2247-Sens!$L$2249</f>
        <v>582.842121221971</v>
      </c>
      <c r="M2344" s="38" t="n">
        <f aca="false">Sens!$M$2247-Sens!$M$2249</f>
        <v>616.91013388604</v>
      </c>
      <c r="N2344" s="38" t="n">
        <f aca="false">Sens!$N$2247-Sens!$N$2249</f>
        <v>171.24628885875</v>
      </c>
      <c r="O2344" s="38" t="n">
        <f aca="false">Sens!$O$2247-Sens!$O$2249</f>
        <v>205.33105363572</v>
      </c>
    </row>
    <row r="2345" customFormat="false" ht="17.15" hidden="false" customHeight="false" outlineLevel="0" collapsed="false">
      <c r="A2345" s="0" t="s">
        <v>716</v>
      </c>
      <c r="B2345" s="0" t="s">
        <v>86</v>
      </c>
      <c r="C2345" s="38" t="n">
        <f aca="false">Sens!$C$2296*Sens!$C$2246</f>
        <v>0.123617442257179</v>
      </c>
      <c r="D2345" s="38" t="n">
        <f aca="false">Sens!$D$2296*Sens!$D$2246</f>
        <v>0.874366899302609</v>
      </c>
      <c r="E2345" s="38" t="n">
        <f aca="false">Sens!$E$2296*Sens!$E$2246</f>
        <v>1.29318830502574</v>
      </c>
      <c r="F2345" s="38" t="n">
        <f aca="false">Sens!$F$2296*Sens!$F$2246</f>
        <v>1.51802024162534</v>
      </c>
      <c r="G2345" s="38" t="n">
        <f aca="false">Sens!$G$2296*Sens!$G$2246</f>
        <v>2.81151178037024</v>
      </c>
      <c r="H2345" s="38" t="n">
        <f aca="false">Sens!$H$2296*Sens!$H$2246</f>
        <v>7.15875149441776</v>
      </c>
      <c r="I2345" s="38" t="n">
        <f aca="false">Sens!$I$2296*Sens!$I$2246</f>
        <v>12.1387933282407</v>
      </c>
      <c r="J2345" s="38" t="n">
        <f aca="false">Sens!$J$2296*Sens!$J$2246</f>
        <v>17.2680280059824</v>
      </c>
      <c r="K2345" s="38" t="n">
        <f aca="false">Sens!$K$2296*Sens!$K$2246</f>
        <v>22.2592000851306</v>
      </c>
      <c r="L2345" s="38" t="n">
        <f aca="false">Sens!$L$2296*Sens!$L$2246</f>
        <v>25.4396327874825</v>
      </c>
      <c r="M2345" s="38" t="n">
        <f aca="false">Sens!$M$2296*Sens!$M$2246</f>
        <v>27.0999197263497</v>
      </c>
      <c r="N2345" s="38" t="n">
        <f aca="false">Sens!$N$2296*Sens!$N$2246</f>
        <v>0.389180508437431</v>
      </c>
      <c r="O2345" s="38" t="n">
        <f aca="false">Sens!$O$2296*Sens!$O$2246</f>
        <v>0.485052120082802</v>
      </c>
    </row>
    <row r="2346" customFormat="false" ht="17.15" hidden="false" customHeight="false" outlineLevel="0" collapsed="false">
      <c r="A2346" s="0" t="s">
        <v>717</v>
      </c>
      <c r="B2346" s="0" t="s">
        <v>52</v>
      </c>
      <c r="C2346" s="28" t="n">
        <f aca="false">(Sens!$C$2347-Sens!$C$2343+Sens!$C$2345)/Sens!$C$2344</f>
        <v>0.0131526665379575</v>
      </c>
      <c r="D2346" s="28" t="n">
        <f aca="false">(Sens!$D$2347-Sens!$D$2343+Sens!$D$2345)/Sens!$D$2344</f>
        <v>0.0149280116962589</v>
      </c>
      <c r="E2346" s="28" t="n">
        <f aca="false">(Sens!$E$2347-Sens!$E$2343+Sens!$E$2345)/Sens!$E$2344</f>
        <v>0.0268030663774938</v>
      </c>
      <c r="F2346" s="28" t="n">
        <f aca="false">Sens!$O$2346+(Sens!$E$2346-Sens!$N$2346)</f>
        <v>0.0232379346966962</v>
      </c>
      <c r="G2346" s="28" t="n">
        <f aca="false">(Sens!$G$2347-Sens!$G$2343+Sens!$G$2345)/Sens!$G$2344</f>
        <v>0.024895005057997</v>
      </c>
      <c r="H2346" s="28" t="n">
        <f aca="false">Sens!$G$2346+step_na</f>
        <v>0.027895005057997</v>
      </c>
      <c r="I2346" s="28" t="n">
        <f aca="false">Sens!$H$2346+step_na</f>
        <v>0.030895005057997</v>
      </c>
      <c r="J2346" s="28" t="n">
        <f aca="false">Sens!$I$2346+step_na</f>
        <v>0.033895005057997</v>
      </c>
      <c r="K2346" s="28" t="n">
        <f aca="false">Sens!$J$2346+step_na</f>
        <v>0.036895005057997</v>
      </c>
      <c r="L2346" s="28" t="n">
        <f aca="false">Sens!$K$2346</f>
        <v>0.036895005057997</v>
      </c>
      <c r="M2346" s="28" t="n">
        <f aca="false">Sens!$L$2346</f>
        <v>0.036895005057997</v>
      </c>
      <c r="N2346" s="28" t="n">
        <f aca="false">(Sens!$N$2347-Sens!$N$2343+Sens!$N$2345)/Sens!$N$2344</f>
        <v>0.0168927744775755</v>
      </c>
      <c r="O2346" s="28" t="n">
        <f aca="false">(Sens!$O$2347-Sens!$O$2343+Sens!$O$2345)/Sens!$O$2344</f>
        <v>0.0133276427967779</v>
      </c>
      <c r="P2346" s="8" t="s">
        <v>718</v>
      </c>
    </row>
    <row r="2347" customFormat="false" ht="17.15" hidden="false" customHeight="false" outlineLevel="0" collapsed="false">
      <c r="A2347" s="1" t="s">
        <v>719</v>
      </c>
      <c r="B2347" s="8" t="s">
        <v>86</v>
      </c>
      <c r="C2347" s="38" t="n">
        <f aca="false">Q!$D$22</f>
        <v>24.967</v>
      </c>
      <c r="D2347" s="38" t="n">
        <f aca="false">Q!$E$22</f>
        <v>29.619</v>
      </c>
      <c r="E2347" s="38" t="n">
        <f aca="false">Q!$P$22</f>
        <v>17.39</v>
      </c>
      <c r="F2347" s="38" t="n">
        <f aca="false">Sens!$F$2343+Sens!$F$2344*Sens!$F$2346-Sens!$F$2345</f>
        <v>20.153698117142</v>
      </c>
      <c r="G2347" s="38" t="n">
        <f aca="false">Sens!$E$2347+Sens!$F$2347</f>
        <v>37.543698117142</v>
      </c>
      <c r="H2347" s="38" t="n">
        <f aca="false">Sens!$H$2343+Sens!$H$2344*Sens!$H$2346-Sens!$H$2345</f>
        <v>41.5415063441865</v>
      </c>
      <c r="I2347" s="38" t="n">
        <f aca="false">Sens!$I$2343+Sens!$I$2344*Sens!$I$2346-Sens!$I$2345</f>
        <v>45.0847602988066</v>
      </c>
      <c r="J2347" s="38" t="n">
        <f aca="false">Sens!$J$2343+Sens!$J$2344*Sens!$J$2346-Sens!$J$2345</f>
        <v>48.2021200435479</v>
      </c>
      <c r="K2347" s="38" t="n">
        <f aca="false">Sens!$K$2343+Sens!$K$2344*Sens!$K$2346-Sens!$K$2345</f>
        <v>50.6730131957458</v>
      </c>
      <c r="L2347" s="38" t="n">
        <f aca="false">Sens!$L$2343+Sens!$L$2344*Sens!$L$2346-Sens!$L$2345</f>
        <v>53.9391754852131</v>
      </c>
      <c r="M2347" s="38" t="n">
        <f aca="false">Sens!$M$2343+Sens!$M$2344*Sens!$M$2346-Sens!$M$2345</f>
        <v>59.3233125721224</v>
      </c>
      <c r="N2347" s="38" t="n">
        <f aca="false">Q!$N$22</f>
        <v>13.358</v>
      </c>
      <c r="O2347" s="38" t="n">
        <f aca="false">Q!$O$22</f>
        <v>16.261</v>
      </c>
    </row>
    <row r="2348" customFormat="false" ht="17.15" hidden="false" customHeight="false" outlineLevel="0" collapsed="false">
      <c r="A2348" s="0" t="s">
        <v>720</v>
      </c>
      <c r="B2348" s="0" t="s">
        <v>86</v>
      </c>
      <c r="C2348" s="38" t="n">
        <f aca="false">Sens!$C$2250*m_ad</f>
        <v>7.57284355857716</v>
      </c>
      <c r="D2348" s="38" t="n">
        <f aca="false">Sens!$D$2250*m_ad</f>
        <v>9.44543827004127</v>
      </c>
      <c r="E2348" s="38" t="n">
        <f aca="false">Sens!$E$2250*m_ad</f>
        <v>5.02428875377928</v>
      </c>
      <c r="F2348" s="38" t="n">
        <f aca="false">Sens!$F$2250*m_ad</f>
        <v>6.52035584000435</v>
      </c>
      <c r="G2348" s="38" t="n">
        <f aca="false">Sens!$G$2250*m_ad</f>
        <v>11.5362281166818</v>
      </c>
      <c r="H2348" s="38" t="n">
        <f aca="false">Sens!$H$2250*m_ad</f>
        <v>13.8498312710892</v>
      </c>
      <c r="I2348" s="38" t="n">
        <f aca="false">Sens!$I$2250*m_ad</f>
        <v>16.1632248435201</v>
      </c>
      <c r="J2348" s="38" t="n">
        <f aca="false">Sens!$J$2250*m_ad</f>
        <v>18.3212906343822</v>
      </c>
      <c r="K2348" s="38" t="n">
        <f aca="false">Sens!$K$2250*m_ad</f>
        <v>20.1534196978204</v>
      </c>
      <c r="L2348" s="38" t="n">
        <f aca="false">Sens!$L$2250*m_ad</f>
        <v>22.1687616676025</v>
      </c>
      <c r="M2348" s="38" t="n">
        <f aca="false">Sens!$M$2250*m_ad</f>
        <v>24.3856378343627</v>
      </c>
      <c r="N2348" s="38" t="n">
        <f aca="false">Sens!$N$2250*m_ad</f>
        <v>3.95314442937518</v>
      </c>
      <c r="O2348" s="38" t="n">
        <f aca="false">Sens!$O$2250*m_ad</f>
        <v>5.50052681786011</v>
      </c>
    </row>
    <row r="2349" customFormat="false" ht="17.15" hidden="false" customHeight="false" outlineLevel="0" collapsed="false">
      <c r="A2349" s="0" t="s">
        <v>721</v>
      </c>
      <c r="B2349" s="0" t="s">
        <v>86</v>
      </c>
      <c r="C2349" s="38" t="n">
        <f aca="false">Sens!$C$2248-Sens!$C$2250</f>
        <v>127.760312882846</v>
      </c>
      <c r="D2349" s="38" t="n">
        <f aca="false">Sens!$D$2248-Sens!$D$2250</f>
        <v>143.003123459917</v>
      </c>
      <c r="E2349" s="38" t="n">
        <f aca="false">Sens!$E$2248-Sens!$E$2250</f>
        <v>71.9374224924414</v>
      </c>
      <c r="F2349" s="38" t="n">
        <f aca="false">Sens!$F$2248-Sens!$F$2250</f>
        <v>85.5752206710381</v>
      </c>
      <c r="G2349" s="38" t="n">
        <f aca="false">Sens!$G$2248-Sens!$G$2250</f>
        <v>157.529476117683</v>
      </c>
      <c r="H2349" s="38" t="n">
        <f aca="false">Sens!$H$2248-Sens!$H$2250</f>
        <v>172.240013281346</v>
      </c>
      <c r="I2349" s="38" t="n">
        <f aca="false">Sens!$I$2248-Sens!$I$2250</f>
        <v>186.310433627649</v>
      </c>
      <c r="J2349" s="38" t="n">
        <f aca="false">Sens!$J$2248-Sens!$J$2250</f>
        <v>199.345767743873</v>
      </c>
      <c r="K2349" s="38" t="n">
        <f aca="false">Sens!$K$2248-Sens!$K$2250</f>
        <v>210.950379668355</v>
      </c>
      <c r="L2349" s="38" t="n">
        <f aca="false">Sens!$L$2248-Sens!$L$2250</f>
        <v>223.255682441529</v>
      </c>
      <c r="M2349" s="38" t="n">
        <f aca="false">Sens!$M$2248-Sens!$M$2250</f>
        <v>236.305318251647</v>
      </c>
      <c r="N2349" s="38" t="n">
        <f aca="false">Sens!$N$2248-Sens!$N$2250</f>
        <v>62.3677111412496</v>
      </c>
      <c r="O2349" s="38" t="n">
        <f aca="false">Sens!$O$2248-Sens!$O$2250</f>
        <v>80.6189463642798</v>
      </c>
    </row>
    <row r="2350" customFormat="false" ht="17.15" hidden="false" customHeight="false" outlineLevel="0" collapsed="false">
      <c r="A2350" s="0" t="s">
        <v>722</v>
      </c>
      <c r="B2350" s="0" t="s">
        <v>86</v>
      </c>
      <c r="C2350" s="38" t="n">
        <f aca="false">Sens!$C$2296*(1-Sens!$C$2246)</f>
        <v>0.0455891896019953</v>
      </c>
      <c r="D2350" s="38" t="n">
        <f aca="false">Sens!$D$2296*(1-Sens!$D$2246)</f>
        <v>0.332050421167231</v>
      </c>
      <c r="E2350" s="38" t="n">
        <f aca="false">Sens!$E$2296*(1-Sens!$E$2246)</f>
        <v>0.481224293644882</v>
      </c>
      <c r="F2350" s="38" t="n">
        <f aca="false">Sens!$F$2296*(1-Sens!$F$2246)</f>
        <v>0.596018918096053</v>
      </c>
      <c r="G2350" s="38" t="n">
        <f aca="false">Sens!$G$2296*(1-Sens!$G$2246)</f>
        <v>1.07693997802178</v>
      </c>
      <c r="H2350" s="38" t="n">
        <f aca="false">Sens!$H$2296*(1-Sens!$H$2246)</f>
        <v>2.74213529208346</v>
      </c>
      <c r="I2350" s="38" t="n">
        <f aca="false">Sens!$I$2296*(1-Sens!$I$2246)</f>
        <v>4.64972329527457</v>
      </c>
      <c r="J2350" s="38" t="n">
        <f aca="false">Sens!$J$2296*(1-Sens!$J$2246)</f>
        <v>6.61445910740349</v>
      </c>
      <c r="K2350" s="38" t="n">
        <f aca="false">Sens!$K$2296*(1-Sens!$K$2246)</f>
        <v>8.52631051302444</v>
      </c>
      <c r="L2350" s="38" t="n">
        <f aca="false">Sens!$L$2296*(1-Sens!$L$2246)</f>
        <v>9.74456438927874</v>
      </c>
      <c r="M2350" s="38" t="n">
        <f aca="false">Sens!$M$2296*(1-Sens!$M$2246)</f>
        <v>10.3805316265271</v>
      </c>
      <c r="N2350" s="38" t="n">
        <f aca="false">Sens!$N$2296*(1-Sens!$N$2246)</f>
        <v>0.141739115596548</v>
      </c>
      <c r="O2350" s="38" t="n">
        <f aca="false">Sens!$O$2296*(1-Sens!$O$2246)</f>
        <v>0.190445576353059</v>
      </c>
    </row>
    <row r="2351" customFormat="false" ht="17.15" hidden="false" customHeight="false" outlineLevel="0" collapsed="false">
      <c r="A2351" s="0" t="s">
        <v>723</v>
      </c>
      <c r="B2351" s="0" t="s">
        <v>52</v>
      </c>
      <c r="C2351" s="28" t="n">
        <f aca="false">(Sens!$C$2352-Sens!$C$2348+Sens!$C$2350)/Sens!$C$2349</f>
        <v>-0.0292364215826579</v>
      </c>
      <c r="D2351" s="28" t="n">
        <f aca="false">(Sens!$D$2352-Sens!$D$2348+Sens!$D$2350)/Sens!$D$2349</f>
        <v>-0.0305125352740778</v>
      </c>
      <c r="E2351" s="28" t="n">
        <f aca="false">(Sens!$E$2352-Sens!$E$2348+Sens!$E$2350)/Sens!$E$2349</f>
        <v>-0.019490056934994</v>
      </c>
      <c r="F2351" s="28" t="n">
        <f aca="false">Sens!$O$2351+(Sens!$E$2351-Sens!$N$2351)</f>
        <v>-0.0367332293992226</v>
      </c>
      <c r="G2351" s="28" t="n">
        <f aca="false">(Sens!$G$2352-Sens!$G$2348+Sens!$G$2350)/Sens!$G$2349</f>
        <v>-0.0288035327760527</v>
      </c>
      <c r="H2351" s="28" t="n">
        <f aca="false">Sens!$G$2351+step_in</f>
        <v>-0.0288035327760527</v>
      </c>
      <c r="I2351" s="28" t="n">
        <f aca="false">Sens!$H$2351+step_in</f>
        <v>-0.0288035327760527</v>
      </c>
      <c r="J2351" s="28" t="n">
        <f aca="false">Sens!$I$2351+step_in</f>
        <v>-0.0288035327760527</v>
      </c>
      <c r="K2351" s="28" t="n">
        <f aca="false">Sens!$J$2351+step_in</f>
        <v>-0.0288035327760527</v>
      </c>
      <c r="L2351" s="28" t="n">
        <f aca="false">Sens!$K$2351</f>
        <v>-0.0288035327760527</v>
      </c>
      <c r="M2351" s="28" t="n">
        <f aca="false">Sens!$L$2351</f>
        <v>-0.0288035327760527</v>
      </c>
      <c r="N2351" s="28" t="n">
        <f aca="false">(Sens!$N$2352-Sens!$N$2348+Sens!$N$2350)/Sens!$N$2349</f>
        <v>-0.02085061789158</v>
      </c>
      <c r="O2351" s="28" t="n">
        <f aca="false">(Sens!$O$2352-Sens!$O$2348+Sens!$O$2350)/Sens!$O$2349</f>
        <v>-0.0380937903558086</v>
      </c>
      <c r="P2351" s="8" t="s">
        <v>718</v>
      </c>
    </row>
    <row r="2352" customFormat="false" ht="17.15" hidden="false" customHeight="false" outlineLevel="0" collapsed="false">
      <c r="A2352" s="1" t="s">
        <v>724</v>
      </c>
      <c r="B2352" s="8" t="s">
        <v>86</v>
      </c>
      <c r="C2352" s="38" t="n">
        <f aca="false">Q!$D$23</f>
        <v>3.792</v>
      </c>
      <c r="D2352" s="38" t="n">
        <f aca="false">Q!$E$23</f>
        <v>4.75</v>
      </c>
      <c r="E2352" s="38" t="n">
        <f aca="false">Q!$P$23</f>
        <v>3.141</v>
      </c>
      <c r="F2352" s="38" t="n">
        <f aca="false">Sens!$F$2348+Sens!$F$2349*Sens!$F$2351-Sens!$F$2350</f>
        <v>2.78088271010996</v>
      </c>
      <c r="G2352" s="38" t="n">
        <f aca="false">Sens!$E$2352+Sens!$F$2352</f>
        <v>5.92188271010996</v>
      </c>
      <c r="H2352" s="38" t="n">
        <f aca="false">Sens!$H$2348+Sens!$H$2349*Sens!$H$2351-Sens!$H$2350</f>
        <v>6.14657511110872</v>
      </c>
      <c r="I2352" s="38" t="n">
        <f aca="false">Sens!$I$2348+Sens!$I$2349*Sens!$I$2351-Sens!$I$2350</f>
        <v>6.14710286673096</v>
      </c>
      <c r="J2352" s="38" t="n">
        <f aca="false">Sens!$J$2348+Sens!$J$2349*Sens!$J$2351-Sens!$J$2350</f>
        <v>5.96496917200065</v>
      </c>
      <c r="K2352" s="38" t="n">
        <f aca="false">Sens!$K$2348+Sens!$K$2349*Sens!$K$2351-Sens!$K$2350</f>
        <v>5.55099300989774</v>
      </c>
      <c r="L2352" s="38" t="n">
        <f aca="false">Sens!$L$2348+Sens!$L$2349*Sens!$L$2351-Sens!$L$2350</f>
        <v>5.99364491167913</v>
      </c>
      <c r="M2352" s="38" t="n">
        <f aca="false">Sens!$M$2348+Sens!$M$2349*Sens!$M$2351-Sens!$M$2350</f>
        <v>7.19867822841868</v>
      </c>
      <c r="N2352" s="38" t="n">
        <f aca="false">Q!$N$23</f>
        <v>2.511</v>
      </c>
      <c r="O2352" s="38" t="n">
        <f aca="false">Q!$O$23</f>
        <v>2.239</v>
      </c>
    </row>
    <row r="2353" customFormat="false" ht="17.15" hidden="false" customHeight="false" outlineLevel="0" collapsed="false">
      <c r="A2353" s="0" t="s">
        <v>725</v>
      </c>
      <c r="B2353" s="0" t="s">
        <v>86</v>
      </c>
      <c r="C2353" s="38" t="n">
        <f aca="false">Sens!$C$2293</f>
        <v>1.64417882953695</v>
      </c>
      <c r="D2353" s="38" t="n">
        <f aca="false">Sens!$D$2293</f>
        <v>3.8781008067718</v>
      </c>
      <c r="E2353" s="38" t="n">
        <f aca="false">Sens!$E$2293</f>
        <v>1.41270258088753</v>
      </c>
      <c r="F2353" s="38" t="n">
        <f aca="false">Sens!$F$2293</f>
        <v>5.77141544115966</v>
      </c>
      <c r="G2353" s="38" t="n">
        <f aca="false">Sens!$G$2293</f>
        <v>7.1841180220472</v>
      </c>
      <c r="H2353" s="38" t="n">
        <f aca="false">Sens!$H$2293</f>
        <v>14.6754510863681</v>
      </c>
      <c r="I2353" s="38" t="n">
        <f aca="false">Sens!$I$2293</f>
        <v>22.5758476075679</v>
      </c>
      <c r="J2353" s="38" t="n">
        <f aca="false">Sens!$J$2293</f>
        <v>29.8347811455296</v>
      </c>
      <c r="K2353" s="38" t="n">
        <f aca="false">Sens!$K$2293</f>
        <v>32.6197899820528</v>
      </c>
      <c r="L2353" s="38" t="n">
        <f aca="false">Sens!$L$2293</f>
        <v>35.001978752742</v>
      </c>
      <c r="M2353" s="38" t="n">
        <f aca="false">Sens!$M$2293</f>
        <v>35.3438194028454</v>
      </c>
      <c r="N2353" s="38" t="n">
        <f aca="false">Sens!$N$2293</f>
        <v>0.92264103489199</v>
      </c>
      <c r="O2353" s="38" t="n">
        <f aca="false">Sens!$O$2293</f>
        <v>2.95545977187981</v>
      </c>
    </row>
    <row r="2354" customFormat="false" ht="17.15" hidden="false" customHeight="false" outlineLevel="0" collapsed="false">
      <c r="A2354" s="0" t="s">
        <v>643</v>
      </c>
      <c r="B2354" s="0" t="s">
        <v>86</v>
      </c>
      <c r="C2354" s="38" t="n">
        <f aca="false">Sens!$C$2298</f>
        <v>38.1898211704631</v>
      </c>
      <c r="D2354" s="38" t="n">
        <f aca="false">Sens!$D$2298</f>
        <v>41.7278991932282</v>
      </c>
      <c r="E2354" s="38" t="n">
        <f aca="false">Sens!$E$2298</f>
        <v>29.3692974191125</v>
      </c>
      <c r="F2354" s="38" t="n">
        <f aca="false">Sens!$F$2298</f>
        <v>26.8997276714137</v>
      </c>
      <c r="G2354" s="38" t="n">
        <f aca="false">Sens!$G$2298</f>
        <v>56.2690250905262</v>
      </c>
      <c r="H2354" s="38" t="n">
        <f aca="false">Sens!$H$2298</f>
        <v>60.3505333937343</v>
      </c>
      <c r="I2354" s="38" t="n">
        <f aca="false">Sens!$I$2298</f>
        <v>67.0043857303571</v>
      </c>
      <c r="J2354" s="38" t="n">
        <f aca="false">Sens!$J$2298</f>
        <v>73.3782922956925</v>
      </c>
      <c r="K2354" s="38" t="n">
        <f aca="false">Sens!$K$2298</f>
        <v>79.2485556793479</v>
      </c>
      <c r="L2354" s="38" t="n">
        <f aca="false">Sens!$L$2298</f>
        <v>85.5884401336958</v>
      </c>
      <c r="M2354" s="38" t="n">
        <f aca="false">Sens!$M$2298</f>
        <v>92.4355153443914</v>
      </c>
      <c r="N2354" s="38" t="n">
        <f aca="false">Sens!$N$2298</f>
        <v>20.784358965108</v>
      </c>
      <c r="O2354" s="38" t="n">
        <f aca="false">Sens!$O$2298</f>
        <v>20.9435402281202</v>
      </c>
    </row>
    <row r="2355" customFormat="false" ht="17.15" hidden="false" customHeight="false" outlineLevel="0" collapsed="false">
      <c r="A2355" s="1" t="s">
        <v>726</v>
      </c>
      <c r="B2355" s="8" t="s">
        <v>86</v>
      </c>
      <c r="C2355" s="38" t="n">
        <f aca="false">Q!$D$24</f>
        <v>39.834</v>
      </c>
      <c r="D2355" s="38" t="n">
        <f aca="false">Q!$E$24</f>
        <v>45.606</v>
      </c>
      <c r="E2355" s="38" t="n">
        <f aca="false">Q!$P$24</f>
        <v>30.782</v>
      </c>
      <c r="F2355" s="38" t="n">
        <f aca="false">Sens!$F$2353+Sens!$F$2354</f>
        <v>32.6711431125734</v>
      </c>
      <c r="G2355" s="38" t="n">
        <f aca="false">Sens!$G$2353+Sens!$G$2354</f>
        <v>63.4531431125734</v>
      </c>
      <c r="H2355" s="38" t="n">
        <f aca="false">Sens!$H$2353+Sens!$H$2354</f>
        <v>75.0259844801024</v>
      </c>
      <c r="I2355" s="38" t="n">
        <f aca="false">Sens!$I$2353+Sens!$I$2354</f>
        <v>89.5802333379249</v>
      </c>
      <c r="J2355" s="38" t="n">
        <f aca="false">Sens!$J$2353+Sens!$J$2354</f>
        <v>103.213073441222</v>
      </c>
      <c r="K2355" s="38" t="n">
        <f aca="false">Sens!$K$2353+Sens!$K$2354</f>
        <v>111.868345661401</v>
      </c>
      <c r="L2355" s="38" t="n">
        <f aca="false">Sens!$L$2353+Sens!$L$2354</f>
        <v>120.590418886438</v>
      </c>
      <c r="M2355" s="38" t="n">
        <f aca="false">Sens!$M$2353+Sens!$M$2354</f>
        <v>127.779334747237</v>
      </c>
      <c r="N2355" s="38" t="n">
        <f aca="false">Q!$N$24</f>
        <v>21.707</v>
      </c>
      <c r="O2355" s="38" t="n">
        <f aca="false">Q!$O$24</f>
        <v>23.899</v>
      </c>
    </row>
    <row r="2356" customFormat="false" ht="17.15" hidden="false" customHeight="false" outlineLevel="0" collapsed="false">
      <c r="A2356" s="5" t="s">
        <v>727</v>
      </c>
      <c r="B2356" s="0" t="s">
        <v>86</v>
      </c>
      <c r="C2356" s="38" t="n">
        <f aca="false">Q!$D$26</f>
        <v>0</v>
      </c>
      <c r="D2356" s="38" t="n">
        <f aca="false">Q!$E$26</f>
        <v>0</v>
      </c>
      <c r="E2356" s="38" t="n">
        <f aca="false">Q!$P$26</f>
        <v>0</v>
      </c>
      <c r="F2356" s="39" t="n">
        <v>0</v>
      </c>
      <c r="G2356" s="38" t="n">
        <f aca="false">Sens!$E$2356+Sens!$F$2356</f>
        <v>0</v>
      </c>
      <c r="H2356" s="39" t="n">
        <v>0</v>
      </c>
      <c r="I2356" s="39" t="n">
        <v>0</v>
      </c>
      <c r="J2356" s="39" t="n">
        <v>0</v>
      </c>
      <c r="K2356" s="39" t="n">
        <v>0</v>
      </c>
      <c r="L2356" s="39" t="n">
        <v>0</v>
      </c>
      <c r="M2356" s="39" t="n">
        <v>0</v>
      </c>
      <c r="N2356" s="38" t="n">
        <f aca="false">Q!$N$26</f>
        <v>0</v>
      </c>
      <c r="O2356" s="38" t="n">
        <f aca="false">Q!$O$26</f>
        <v>0</v>
      </c>
    </row>
    <row r="2357" customFormat="false" ht="15" hidden="false" customHeight="false" outlineLevel="0" collapsed="false">
      <c r="A2357" s="3" t="s">
        <v>531</v>
      </c>
      <c r="B2357" s="8" t="s">
        <v>86</v>
      </c>
      <c r="C2357" s="38" t="n">
        <f aca="false">Q!$D$25</f>
        <v>68.593</v>
      </c>
      <c r="D2357" s="38" t="n">
        <f aca="false">Q!$E$25</f>
        <v>79.975</v>
      </c>
      <c r="E2357" s="38" t="n">
        <f aca="false">Q!$P$25</f>
        <v>51.313</v>
      </c>
      <c r="F2357" s="38" t="n">
        <f aca="false">Sens!$F$2347+Sens!$F$2352+Sens!$F$2355+Sens!$F$2356</f>
        <v>55.6057239398253</v>
      </c>
      <c r="G2357" s="38" t="n">
        <f aca="false">Sens!$G$2347+Sens!$G$2352+Sens!$G$2355+Sens!$G$2356</f>
        <v>106.918723939825</v>
      </c>
      <c r="H2357" s="38" t="n">
        <f aca="false">Sens!$H$2347+Sens!$H$2352+Sens!$H$2355+Sens!$H$2356</f>
        <v>122.714065935398</v>
      </c>
      <c r="I2357" s="38" t="n">
        <f aca="false">Sens!$I$2347+Sens!$I$2352+Sens!$I$2355+Sens!$I$2356</f>
        <v>140.812096503463</v>
      </c>
      <c r="J2357" s="38" t="n">
        <f aca="false">Sens!$J$2347+Sens!$J$2352+Sens!$J$2355+Sens!$J$2356</f>
        <v>157.380162656771</v>
      </c>
      <c r="K2357" s="38" t="n">
        <f aca="false">Sens!$K$2347+Sens!$K$2352+Sens!$K$2355+Sens!$K$2356</f>
        <v>168.092351867044</v>
      </c>
      <c r="L2357" s="38" t="n">
        <f aca="false">Sens!$L$2347+Sens!$L$2352+Sens!$L$2355+Sens!$L$2356</f>
        <v>180.52323928333</v>
      </c>
      <c r="M2357" s="38" t="n">
        <f aca="false">Sens!$M$2347+Sens!$M$2352+Sens!$M$2355+Sens!$M$2356</f>
        <v>194.301325547778</v>
      </c>
      <c r="N2357" s="38" t="n">
        <f aca="false">Q!$N$25</f>
        <v>37.576</v>
      </c>
      <c r="O2357" s="38" t="n">
        <f aca="false">Q!$O$25</f>
        <v>42.399</v>
      </c>
    </row>
    <row r="2358" customFormat="false" ht="17.15" hidden="false" customHeight="false" outlineLevel="0" collapsed="false">
      <c r="A2358" s="24" t="s">
        <v>758</v>
      </c>
      <c r="B2358" s="25" t="s">
        <v>86</v>
      </c>
      <c r="C2358" s="41" t="n">
        <f aca="false">Sens!$C$2347+Sens!$C$2352+Sens!$C$2355+Sens!$C$2356-Sens!$C$2357</f>
        <v>0</v>
      </c>
      <c r="D2358" s="41" t="n">
        <f aca="false">Sens!$D$2347+Sens!$D$2352+Sens!$D$2355+Sens!$D$2356-Sens!$D$2357</f>
        <v>0</v>
      </c>
      <c r="E2358" s="41" t="n">
        <f aca="false">Sens!$E$2347+Sens!$E$2352+Sens!$E$2355+Sens!$E$2356-Sens!$E$2357</f>
        <v>0</v>
      </c>
      <c r="F2358" s="41" t="n">
        <f aca="false">Sens!$F$2347+Sens!$F$2352+Sens!$F$2355+Sens!$F$2356-Sens!$F$2357</f>
        <v>0</v>
      </c>
      <c r="G2358" s="41" t="n">
        <f aca="false">Sens!$G$2347+Sens!$G$2352+Sens!$G$2355+Sens!$G$2356-Sens!$G$2357</f>
        <v>0</v>
      </c>
      <c r="H2358" s="41" t="n">
        <f aca="false">Sens!$H$2347+Sens!$H$2352+Sens!$H$2355+Sens!$H$2356-Sens!$H$2357</f>
        <v>0</v>
      </c>
      <c r="I2358" s="41" t="n">
        <f aca="false">Sens!$I$2347+Sens!$I$2352+Sens!$I$2355+Sens!$I$2356-Sens!$I$2357</f>
        <v>0</v>
      </c>
      <c r="J2358" s="41" t="n">
        <f aca="false">Sens!$J$2347+Sens!$J$2352+Sens!$J$2355+Sens!$J$2356-Sens!$J$2357</f>
        <v>0</v>
      </c>
      <c r="K2358" s="41" t="n">
        <f aca="false">Sens!$K$2347+Sens!$K$2352+Sens!$K$2355+Sens!$K$2356-Sens!$K$2357</f>
        <v>0</v>
      </c>
      <c r="L2358" s="41" t="n">
        <f aca="false">Sens!$L$2347+Sens!$L$2352+Sens!$L$2355+Sens!$L$2356-Sens!$L$2357</f>
        <v>0</v>
      </c>
      <c r="M2358" s="41" t="n">
        <f aca="false">Sens!$M$2347+Sens!$M$2352+Sens!$M$2355+Sens!$M$2356-Sens!$M$2357</f>
        <v>0</v>
      </c>
      <c r="N2358" s="41" t="n">
        <f aca="false">Sens!$N$2347+Sens!$N$2352+Sens!$N$2355+Sens!$N$2356-Sens!$N$2357</f>
        <v>0</v>
      </c>
      <c r="O2358" s="41" t="n">
        <f aca="false">Sens!$O$2347+Sens!$O$2352+Sens!$O$2355+Sens!$O$2356-Sens!$O$2357</f>
        <v>0</v>
      </c>
    </row>
    <row r="2359" customFormat="false" ht="17.15" hidden="false" customHeight="false" outlineLevel="0" collapsed="false">
      <c r="A2359" s="5" t="s">
        <v>729</v>
      </c>
      <c r="B2359" s="0" t="s">
        <v>86</v>
      </c>
      <c r="C2359" s="38" t="n">
        <f aca="false">Sens!$C$2295</f>
        <v>0</v>
      </c>
      <c r="D2359" s="38" t="n">
        <f aca="false">Sens!$D$2295</f>
        <v>0</v>
      </c>
      <c r="E2359" s="38" t="n">
        <f aca="false">Sens!$E$2295</f>
        <v>0</v>
      </c>
      <c r="F2359" s="38" t="n">
        <f aca="false">Sens!$F$2295</f>
        <v>3.58576196532864</v>
      </c>
      <c r="G2359" s="38" t="n">
        <f aca="false">Sens!$G$2295</f>
        <v>3.58576196532864</v>
      </c>
      <c r="H2359" s="38" t="n">
        <f aca="false">Sens!$H$2295</f>
        <v>13.679886229553</v>
      </c>
      <c r="I2359" s="38" t="n">
        <f aca="false">Sens!$I$2295</f>
        <v>22.6145480991162</v>
      </c>
      <c r="J2359" s="38" t="n">
        <f aca="false">Sens!$J$2295</f>
        <v>31.5955580236032</v>
      </c>
      <c r="K2359" s="38" t="n">
        <f aca="false">Sens!$K$2295</f>
        <v>39.2565120061736</v>
      </c>
      <c r="L2359" s="38" t="n">
        <f aca="false">Sens!$L$2295</f>
        <v>44.29128066586</v>
      </c>
      <c r="M2359" s="38" t="n">
        <f aca="false">Sens!$M$2295</f>
        <v>46.6923258026494</v>
      </c>
      <c r="N2359" s="38" t="n">
        <f aca="false">Sens!$N$2295</f>
        <v>0</v>
      </c>
      <c r="O2359" s="38" t="n">
        <f aca="false">Sens!$O$2295</f>
        <v>0</v>
      </c>
      <c r="P2359" s="5" t="s">
        <v>730</v>
      </c>
    </row>
    <row r="2360" customFormat="false" ht="17.15" hidden="false" customHeight="false" outlineLevel="0" collapsed="false">
      <c r="A2360" s="5" t="s">
        <v>731</v>
      </c>
      <c r="B2360" s="0" t="s">
        <v>86</v>
      </c>
      <c r="C2360" s="38" t="n">
        <f aca="false">Sens!$C$2357+Sens!$C$2359</f>
        <v>68.593</v>
      </c>
      <c r="D2360" s="38" t="n">
        <f aca="false">Sens!$D$2357+Sens!$D$2359</f>
        <v>79.975</v>
      </c>
      <c r="E2360" s="38" t="n">
        <f aca="false">Sens!$E$2357+Sens!$E$2359</f>
        <v>51.313</v>
      </c>
      <c r="F2360" s="38" t="n">
        <f aca="false">Sens!$F$2357+Sens!$F$2359</f>
        <v>59.191485905154</v>
      </c>
      <c r="G2360" s="38" t="n">
        <f aca="false">Sens!$G$2357+Sens!$G$2359</f>
        <v>110.504485905154</v>
      </c>
      <c r="H2360" s="38" t="n">
        <f aca="false">Sens!$H$2357+Sens!$H$2359</f>
        <v>136.393952164951</v>
      </c>
      <c r="I2360" s="38" t="n">
        <f aca="false">Sens!$I$2357+Sens!$I$2359</f>
        <v>163.426644602579</v>
      </c>
      <c r="J2360" s="38" t="n">
        <f aca="false">Sens!$J$2357+Sens!$J$2359</f>
        <v>188.975720680374</v>
      </c>
      <c r="K2360" s="38" t="n">
        <f aca="false">Sens!$K$2357+Sens!$K$2359</f>
        <v>207.348863873218</v>
      </c>
      <c r="L2360" s="38" t="n">
        <f aca="false">Sens!$L$2357+Sens!$L$2359</f>
        <v>224.81451994919</v>
      </c>
      <c r="M2360" s="38" t="n">
        <f aca="false">Sens!$M$2357+Sens!$M$2359</f>
        <v>240.993651350427</v>
      </c>
      <c r="N2360" s="38" t="n">
        <f aca="false">Sens!$N$2357+Sens!$N$2359</f>
        <v>37.576</v>
      </c>
      <c r="O2360" s="38" t="n">
        <f aca="false">Sens!$O$2357+Sens!$O$2359</f>
        <v>42.399</v>
      </c>
    </row>
    <row r="2361" customFormat="false" ht="17.15" hidden="false" customHeight="false" outlineLevel="0" collapsed="false">
      <c r="A2361" s="0" t="s">
        <v>732</v>
      </c>
      <c r="B2361" s="0" t="s">
        <v>52</v>
      </c>
      <c r="C2361" s="13" t="n">
        <f aca="false">Sens!$C$2347/Sens!$C$2332</f>
        <v>0.0644314665661928</v>
      </c>
      <c r="D2361" s="13" t="n">
        <f aca="false">Sens!$D$2347/Sens!$D$2332</f>
        <v>0.0694784250712518</v>
      </c>
      <c r="E2361" s="13" t="n">
        <f aca="false">Sens!$E$2347/Sens!$E$2332</f>
        <v>0.0789306463326071</v>
      </c>
      <c r="F2361" s="13" t="n">
        <f aca="false">Sens!$F$2347/Sens!$F$2332</f>
        <v>0.0802398570177211</v>
      </c>
      <c r="G2361" s="13" t="n">
        <f aca="false">Sens!$G$2347/Sens!$G$2332</f>
        <v>0.0796280806976096</v>
      </c>
      <c r="H2361" s="13" t="n">
        <f aca="false">Sens!$H$2347/Sens!$H$2332</f>
        <v>0.0795856648018339</v>
      </c>
      <c r="I2361" s="13" t="n">
        <f aca="false">Sens!$I$2347/Sens!$I$2332</f>
        <v>0.0789874200350399</v>
      </c>
      <c r="J2361" s="13" t="n">
        <f aca="false">Sens!$J$2347/Sens!$J$2332</f>
        <v>0.0782396987402069</v>
      </c>
      <c r="K2361" s="13" t="n">
        <f aca="false">Sens!$K$2347/Sens!$K$2332</f>
        <v>0.0772520072535806</v>
      </c>
      <c r="L2361" s="13" t="n">
        <f aca="false">Sens!$L$2347/Sens!$L$2332</f>
        <v>0.0772112907398298</v>
      </c>
      <c r="M2361" s="13" t="n">
        <f aca="false">Sens!$M$2347/Sens!$M$2332</f>
        <v>0.0797104799361705</v>
      </c>
      <c r="N2361" s="13" t="n">
        <f aca="false">Sens!$N$2347/Sens!$N$2332</f>
        <v>0.069228576611127</v>
      </c>
      <c r="O2361" s="13" t="n">
        <f aca="false">Sens!$O$2347/Sens!$O$2332</f>
        <v>0.069685022498393</v>
      </c>
    </row>
    <row r="2362" customFormat="false" ht="17.15" hidden="false" customHeight="false" outlineLevel="0" collapsed="false">
      <c r="A2362" s="0" t="s">
        <v>733</v>
      </c>
      <c r="B2362" s="0" t="s">
        <v>52</v>
      </c>
      <c r="C2362" s="13" t="n">
        <f aca="false">Sens!$C$2352/Sens!$C$2333</f>
        <v>0.026534925055631</v>
      </c>
      <c r="D2362" s="13" t="n">
        <f aca="false">Sens!$D$2352/Sens!$D$2333</f>
        <v>0.0293401855535103</v>
      </c>
      <c r="E2362" s="13" t="n">
        <f aca="false">Sens!$E$2352/Sens!$E$2333</f>
        <v>0.03831141902276</v>
      </c>
      <c r="F2362" s="13" t="n">
        <f aca="false">Sens!$F$2352/Sens!$F$2333</f>
        <v>0.0281991220263552</v>
      </c>
      <c r="G2362" s="13" t="n">
        <f aca="false">Sens!$G$2352/Sens!$G$2333</f>
        <v>0.0327896973914944</v>
      </c>
      <c r="H2362" s="13" t="n">
        <f aca="false">Sens!$H$2352/Sens!$H$2333</f>
        <v>0.0307421480293584</v>
      </c>
      <c r="I2362" s="13" t="n">
        <f aca="false">Sens!$I$2352/Sens!$I$2333</f>
        <v>0.0281155803793786</v>
      </c>
      <c r="J2362" s="13" t="n">
        <f aca="false">Sens!$J$2352/Sens!$J$2333</f>
        <v>0.0252765409688985</v>
      </c>
      <c r="K2362" s="13" t="n">
        <f aca="false">Sens!$K$2352/Sens!$K$2333</f>
        <v>0.0220928697315713</v>
      </c>
      <c r="L2362" s="13" t="n">
        <f aca="false">Sens!$L$2352/Sens!$L$2333</f>
        <v>0.0223983448842865</v>
      </c>
      <c r="M2362" s="13" t="n">
        <f aca="false">Sens!$M$2352/Sens!$M$2333</f>
        <v>0.0252517336811924</v>
      </c>
      <c r="N2362" s="13" t="n">
        <f aca="false">Sens!$N$2352/Sens!$N$2333</f>
        <v>0.0357315650169337</v>
      </c>
      <c r="O2362" s="13" t="n">
        <f aca="false">Sens!$O$2352/Sens!$O$2333</f>
        <v>0.0244378956559703</v>
      </c>
    </row>
    <row r="2363" customFormat="false" ht="17.15" hidden="false" customHeight="false" outlineLevel="0" collapsed="false">
      <c r="A2363" s="14" t="s">
        <v>734</v>
      </c>
      <c r="B2363" s="14" t="s">
        <v>52</v>
      </c>
      <c r="C2363" s="17" t="n">
        <f aca="false">Sens!$C$2355/Sens!$C$2334</f>
        <v>0.370355907620217</v>
      </c>
      <c r="D2363" s="17" t="n">
        <f aca="false">Sens!$D$2355/Sens!$D$2334</f>
        <v>0.35429015342785</v>
      </c>
      <c r="E2363" s="17" t="n">
        <f aca="false">Sens!$E$2355/Sens!$E$2334</f>
        <v>0.385647527531039</v>
      </c>
      <c r="F2363" s="17" t="n">
        <f aca="false">Sens!$F$2355/Sens!$F$2334</f>
        <v>0.379910831644334</v>
      </c>
      <c r="G2363" s="17" t="n">
        <f aca="false">Sens!$G$2355/Sens!$G$2334</f>
        <v>0.382672312338583</v>
      </c>
      <c r="H2363" s="17" t="n">
        <f aca="false">Sens!$H$2355/Sens!$H$2334</f>
        <v>0.348478179973903</v>
      </c>
      <c r="I2363" s="17" t="n">
        <f aca="false">Sens!$I$2355/Sens!$I$2334</f>
        <v>0.33363255950797</v>
      </c>
      <c r="J2363" s="17" t="n">
        <f aca="false">Sens!$J$2355/Sens!$J$2334</f>
        <v>0.321395613817336</v>
      </c>
      <c r="K2363" s="17" t="n">
        <f aca="false">Sens!$K$2355/Sens!$K$2334</f>
        <v>0.304652844093639</v>
      </c>
      <c r="L2363" s="17" t="n">
        <f aca="false">Sens!$L$2355/Sens!$L$2334</f>
        <v>0.298423654412343</v>
      </c>
      <c r="M2363" s="17" t="n">
        <f aca="false">Sens!$M$2355/Sens!$M$2334</f>
        <v>0.295863284901553</v>
      </c>
      <c r="N2363" s="17" t="n">
        <f aca="false">Sens!$N$2355/Sens!$N$2334</f>
        <v>0.360941137346192</v>
      </c>
      <c r="O2363" s="17" t="n">
        <f aca="false">Sens!$O$2355/Sens!$O$2334</f>
        <v>0.348458117664212</v>
      </c>
    </row>
    <row r="2364" customFormat="false" ht="17.15" hidden="false" customHeight="false" outlineLevel="0" collapsed="false">
      <c r="A2364" s="0" t="s">
        <v>735</v>
      </c>
      <c r="B2364" s="0" t="s">
        <v>52</v>
      </c>
      <c r="C2364" s="13" t="n">
        <f aca="false">Sens!$C$2353/Sens!$C$2335</f>
        <v>0.708390794789371</v>
      </c>
      <c r="D2364" s="13" t="n">
        <f aca="false">Sens!$D$2353/Sens!$D$2335</f>
        <v>0.445565630441968</v>
      </c>
      <c r="E2364" s="13" t="n">
        <f aca="false">Sens!$E$2353/Sens!$E$2335</f>
        <v>0.165998118402711</v>
      </c>
      <c r="F2364" s="13" t="n">
        <f aca="false">Sens!$F$2353/Sens!$F$2335</f>
        <v>0.405650058118792</v>
      </c>
      <c r="G2364" s="13" t="n">
        <f aca="false">Sens!$G$2353/Sens!$G$2335</f>
        <v>0.315953104976614</v>
      </c>
      <c r="H2364" s="13" t="n">
        <f aca="false">Sens!$H$2353/Sens!$H$2335</f>
        <v>0.27037070624519</v>
      </c>
      <c r="I2364" s="13" t="n">
        <f aca="false">Sens!$I$2353/Sens!$I$2335</f>
        <v>0.251597784680795</v>
      </c>
      <c r="J2364" s="13" t="n">
        <f aca="false">Sens!$J$2353/Sens!$J$2335</f>
        <v>0.237983851127376</v>
      </c>
      <c r="K2364" s="13" t="n">
        <f aca="false">Sens!$K$2353/Sens!$K$2335</f>
        <v>0.209420944044806</v>
      </c>
      <c r="L2364" s="13" t="n">
        <f aca="false">Sens!$L$2353/Sens!$L$2335</f>
        <v>0.199170503234303</v>
      </c>
      <c r="M2364" s="13" t="n">
        <f aca="false">Sens!$M$2353/Sens!$M$2335</f>
        <v>0.190773757615651</v>
      </c>
      <c r="N2364" s="13" t="n">
        <f aca="false">Sens!$N$2353/Sens!$N$2335</f>
        <v>0.302870734830849</v>
      </c>
      <c r="O2364" s="13" t="n">
        <f aca="false">Sens!$O$2353/Sens!$O$2335</f>
        <v>0.52240134346334</v>
      </c>
    </row>
    <row r="2365" customFormat="false" ht="15" hidden="false" customHeight="false" outlineLevel="0" collapsed="false">
      <c r="A2365" s="5" t="s">
        <v>736</v>
      </c>
      <c r="B2365" s="0" t="s">
        <v>52</v>
      </c>
      <c r="C2365" s="13" t="n">
        <f aca="false">Sens!$C$2357/Sens!$C$2337</f>
        <v>0.107519448742004</v>
      </c>
      <c r="D2365" s="13" t="n">
        <f aca="false">Sens!$D$2357/Sens!$D$2337</f>
        <v>0.111552967957552</v>
      </c>
      <c r="E2365" s="13" t="n">
        <f aca="false">Sens!$E$2357/Sens!$E$2337</f>
        <v>0.13428328426562</v>
      </c>
      <c r="F2365" s="13" t="n">
        <f aca="false">Sens!$F$2357/Sens!$F$2337</f>
        <v>0.127600164116946</v>
      </c>
      <c r="G2365" s="13" t="n">
        <f aca="false">Sens!$G$2357/Sens!$G$2337</f>
        <v>0.130722512363085</v>
      </c>
      <c r="H2365" s="13" t="n">
        <f aca="false">Sens!$H$2357/Sens!$H$2337</f>
        <v>0.130935789465766</v>
      </c>
      <c r="I2365" s="13" t="n">
        <f aca="false">Sens!$I$2357/Sens!$I$2337</f>
        <v>0.133102705671063</v>
      </c>
      <c r="J2365" s="13" t="n">
        <f aca="false">Sens!$J$2357/Sens!$J$2337</f>
        <v>0.134144777379847</v>
      </c>
      <c r="K2365" s="13" t="n">
        <f aca="false">Sens!$K$2357/Sens!$K$2337</f>
        <v>0.131899113257907</v>
      </c>
      <c r="L2365" s="13" t="n">
        <f aca="false">Sens!$L$2357/Sens!$L$2337</f>
        <v>0.131742211205261</v>
      </c>
      <c r="M2365" s="13" t="n">
        <f aca="false">Sens!$M$2357/Sens!$M$2337</f>
        <v>0.132974005741146</v>
      </c>
      <c r="N2365" s="13" t="n">
        <f aca="false">Sens!$N$2357/Sens!$N$2337</f>
        <v>0.116201614873411</v>
      </c>
      <c r="O2365" s="13" t="n">
        <f aca="false">Sens!$O$2357/Sens!$O$2337</f>
        <v>0.107733353660861</v>
      </c>
    </row>
    <row r="2366" customFormat="false" ht="17.15" hidden="false" customHeight="false" outlineLevel="0" collapsed="false">
      <c r="A2366" s="1" t="s">
        <v>737</v>
      </c>
    </row>
    <row r="2367" customFormat="false" ht="17.15" hidden="false" customHeight="false" outlineLevel="0" collapsed="false">
      <c r="A2367" s="5" t="s">
        <v>738</v>
      </c>
      <c r="B2367" s="0" t="s">
        <v>52</v>
      </c>
      <c r="D2367" s="28" t="n">
        <f aca="false">(Q!$E$29+Q!$E$30-(1-ext_sh)*Sens!$D$2289)/Sens!$D$2245</f>
        <v>0.0334674312393194</v>
      </c>
    </row>
    <row r="2368" customFormat="false" ht="17.15" hidden="false" customHeight="false" outlineLevel="0" collapsed="false">
      <c r="A2368" s="0" t="s">
        <v>535</v>
      </c>
      <c r="B2368" s="0" t="s">
        <v>86</v>
      </c>
      <c r="C2368" s="38" t="n">
        <f aca="false">Q!$D$29</f>
        <v>14.285</v>
      </c>
      <c r="D2368" s="38" t="n">
        <f aca="false">Q!$E$29</f>
        <v>15.503</v>
      </c>
      <c r="E2368" s="38" t="n">
        <f aca="false">Q!$P$29</f>
        <v>8.78</v>
      </c>
      <c r="F2368" s="38" t="n">
        <f aca="false">(Sens!$D$2367*Sens!$F$2245+(1-ext_sh)*Sens!$F$2289)*Sens!$F$2246</f>
        <v>9.34173400492622</v>
      </c>
      <c r="G2368" s="38" t="n">
        <f aca="false">Sens!$E$2368+Sens!$F$2368</f>
        <v>18.1217340049262</v>
      </c>
      <c r="H2368" s="38" t="n">
        <f aca="false">(Sens!$D$2367*Sens!$H$2245+(1-ext_sh)*Sens!$H$2289)*Sens!$H$2246</f>
        <v>22.3414341186193</v>
      </c>
      <c r="I2368" s="38" t="n">
        <f aca="false">(Sens!$D$2367*Sens!$I$2245+(1-ext_sh)*Sens!$I$2289)*Sens!$I$2246</f>
        <v>27.4545888670699</v>
      </c>
      <c r="J2368" s="38" t="n">
        <f aca="false">(Sens!$D$2367*Sens!$J$2245+(1-ext_sh)*Sens!$J$2289)*Sens!$J$2246</f>
        <v>32.5965822891935</v>
      </c>
      <c r="K2368" s="38" t="n">
        <f aca="false">(Sens!$D$2367*Sens!$K$2245+(1-ext_sh)*Sens!$K$2289)*Sens!$K$2246</f>
        <v>37.6388534104914</v>
      </c>
      <c r="L2368" s="38" t="n">
        <f aca="false">(Sens!$D$2367*Sens!$L$2245+(1-ext_sh)*Sens!$L$2289)*Sens!$L$2246</f>
        <v>41.4033877419289</v>
      </c>
      <c r="M2368" s="38" t="n">
        <f aca="false">(Sens!$D$2367*Sens!$M$2245+(1-ext_sh)*Sens!$M$2289)*Sens!$M$2246</f>
        <v>44.1882447546651</v>
      </c>
      <c r="N2368" s="38" t="n">
        <f aca="false">Q!$N$29</f>
        <v>7.272</v>
      </c>
      <c r="O2368" s="38" t="n">
        <f aca="false">Q!$O$29</f>
        <v>8.231</v>
      </c>
    </row>
    <row r="2369" customFormat="false" ht="17.15" hidden="false" customHeight="false" outlineLevel="0" collapsed="false">
      <c r="A2369" s="0" t="s">
        <v>537</v>
      </c>
      <c r="B2369" s="0" t="s">
        <v>86</v>
      </c>
      <c r="C2369" s="38" t="n">
        <f aca="false">Q!$D$30</f>
        <v>4.462</v>
      </c>
      <c r="D2369" s="38" t="n">
        <f aca="false">Q!$E$30</f>
        <v>4.907</v>
      </c>
      <c r="E2369" s="38" t="n">
        <f aca="false">Q!$P$30</f>
        <v>2.57</v>
      </c>
      <c r="F2369" s="38" t="n">
        <f aca="false">(Sens!$D$2367*Sens!$F$2245+(1-ext_sh)*Sens!$F$2289)*(1-Sens!$F$2246)</f>
        <v>3.6678365953775</v>
      </c>
      <c r="G2369" s="38" t="n">
        <f aca="false">Sens!$E$2369+Sens!$F$2369</f>
        <v>6.2378365953775</v>
      </c>
      <c r="H2369" s="38" t="n">
        <f aca="false">(Sens!$D$2367*Sens!$H$2245+(1-ext_sh)*Sens!$H$2289)*(1-Sens!$H$2246)</f>
        <v>8.55780997848509</v>
      </c>
      <c r="I2369" s="38" t="n">
        <f aca="false">(Sens!$D$2367*Sens!$I$2245+(1-ext_sh)*Sens!$I$2289)*(1-Sens!$I$2246)</f>
        <v>10.5163864286585</v>
      </c>
      <c r="J2369" s="38" t="n">
        <f aca="false">(Sens!$D$2367*Sens!$J$2245+(1-ext_sh)*Sens!$J$2289)*(1-Sens!$J$2246)</f>
        <v>12.4860094342149</v>
      </c>
      <c r="K2369" s="38" t="n">
        <f aca="false">(Sens!$D$2367*Sens!$K$2245+(1-ext_sh)*Sens!$K$2289)*(1-Sens!$K$2246)</f>
        <v>14.4174341532802</v>
      </c>
      <c r="L2369" s="38" t="n">
        <f aca="false">(Sens!$D$2367*Sens!$L$2245+(1-ext_sh)*Sens!$L$2289)*(1-Sens!$L$2246)</f>
        <v>15.8594261621583</v>
      </c>
      <c r="M2369" s="38" t="n">
        <f aca="false">(Sens!$D$2367*Sens!$M$2245+(1-ext_sh)*Sens!$M$2289)*(1-Sens!$M$2246)</f>
        <v>16.926156122541</v>
      </c>
      <c r="N2369" s="38" t="n">
        <f aca="false">Q!$N$30</f>
        <v>2.316</v>
      </c>
      <c r="O2369" s="38" t="n">
        <f aca="false">Q!$O$30</f>
        <v>2.591</v>
      </c>
    </row>
    <row r="2370" customFormat="false" ht="17.15" hidden="false" customHeight="false" outlineLevel="0" collapsed="false">
      <c r="A2370" s="0" t="s">
        <v>538</v>
      </c>
      <c r="B2370" s="0" t="s">
        <v>86</v>
      </c>
      <c r="C2370" s="38" t="n">
        <f aca="false">Sens!$C$2301</f>
        <v>13.32</v>
      </c>
      <c r="D2370" s="38" t="n">
        <f aca="false">Sens!$D$2301</f>
        <v>21.45</v>
      </c>
      <c r="E2370" s="38" t="n">
        <f aca="false">Sens!$E$2301</f>
        <v>15.353</v>
      </c>
      <c r="F2370" s="38" t="n">
        <f aca="false">Sens!$F$2301</f>
        <v>16.3063747611001</v>
      </c>
      <c r="G2370" s="38" t="n">
        <f aca="false">Sens!$G$2301</f>
        <v>31.6593747611001</v>
      </c>
      <c r="H2370" s="38" t="n">
        <f aca="false">Sens!$H$2301</f>
        <v>51.843717436516</v>
      </c>
      <c r="I2370" s="38" t="n">
        <f aca="false">Sens!$I$2301</f>
        <v>73.8373098629639</v>
      </c>
      <c r="J2370" s="38" t="n">
        <f aca="false">Sens!$J$2301</f>
        <v>96.5254651256027</v>
      </c>
      <c r="K2370" s="38" t="n">
        <f aca="false">Sens!$K$2301</f>
        <v>119.46086904914</v>
      </c>
      <c r="L2370" s="38" t="n">
        <f aca="false">Sens!$L$2301</f>
        <v>135.005471454021</v>
      </c>
      <c r="M2370" s="38" t="n">
        <f aca="false">Sens!$M$2301</f>
        <v>144.784880647075</v>
      </c>
      <c r="N2370" s="38" t="n">
        <f aca="false">Sens!$N$2301</f>
        <v>9.234</v>
      </c>
      <c r="O2370" s="38" t="n">
        <f aca="false">Sens!$O$2301</f>
        <v>12.216</v>
      </c>
    </row>
    <row r="2371" customFormat="false" ht="17.15" hidden="false" customHeight="false" outlineLevel="0" collapsed="false">
      <c r="A2371" s="5" t="s">
        <v>739</v>
      </c>
      <c r="B2371" s="0" t="s">
        <v>86</v>
      </c>
      <c r="C2371" s="38" t="n">
        <f aca="false">Sens!$C$2368+Sens!$C$2369+Sens!$C$2370</f>
        <v>32.067</v>
      </c>
      <c r="D2371" s="38" t="n">
        <f aca="false">Sens!$D$2368+Sens!$D$2369+Sens!$D$2370</f>
        <v>41.86</v>
      </c>
      <c r="E2371" s="38" t="n">
        <f aca="false">Sens!$E$2368+Sens!$E$2369+Sens!$E$2370</f>
        <v>26.703</v>
      </c>
      <c r="F2371" s="38" t="n">
        <f aca="false">Sens!$F$2368+Sens!$F$2369+Sens!$F$2370</f>
        <v>29.3159453614038</v>
      </c>
      <c r="G2371" s="38" t="n">
        <f aca="false">Sens!$G$2368+Sens!$G$2369+Sens!$G$2370</f>
        <v>56.0189453614038</v>
      </c>
      <c r="H2371" s="38" t="n">
        <f aca="false">Sens!$H$2368+Sens!$H$2369+Sens!$H$2370</f>
        <v>82.7429615336203</v>
      </c>
      <c r="I2371" s="38" t="n">
        <f aca="false">Sens!$I$2368+Sens!$I$2369+Sens!$I$2370</f>
        <v>111.808285158692</v>
      </c>
      <c r="J2371" s="38" t="n">
        <f aca="false">Sens!$J$2368+Sens!$J$2369+Sens!$J$2370</f>
        <v>141.608056849011</v>
      </c>
      <c r="K2371" s="38" t="n">
        <f aca="false">Sens!$K$2368+Sens!$K$2369+Sens!$K$2370</f>
        <v>171.517156612912</v>
      </c>
      <c r="L2371" s="38" t="n">
        <f aca="false">Sens!$L$2368+Sens!$L$2369+Sens!$L$2370</f>
        <v>192.268285358109</v>
      </c>
      <c r="M2371" s="38" t="n">
        <f aca="false">Sens!$M$2368+Sens!$M$2369+Sens!$M$2370</f>
        <v>205.899281524281</v>
      </c>
      <c r="N2371" s="38" t="n">
        <f aca="false">Sens!$N$2368+Sens!$N$2369+Sens!$N$2370</f>
        <v>18.822</v>
      </c>
      <c r="O2371" s="38" t="n">
        <f aca="false">Sens!$O$2368+Sens!$O$2369+Sens!$O$2370</f>
        <v>23.038</v>
      </c>
    </row>
    <row r="2372" customFormat="false" ht="17.15" hidden="false" customHeight="false" outlineLevel="0" collapsed="false">
      <c r="A2372" s="0" t="s">
        <v>740</v>
      </c>
      <c r="B2372" s="0" t="s">
        <v>86</v>
      </c>
      <c r="C2372" s="38" t="n">
        <f aca="false">Sens!$C$2343+Sens!$C$2348</f>
        <v>28.107</v>
      </c>
      <c r="D2372" s="38" t="n">
        <f aca="false">Sens!$D$2343+Sens!$D$2348</f>
        <v>34.3175</v>
      </c>
      <c r="E2372" s="38" t="n">
        <f aca="false">Sens!$E$2343+Sens!$E$2348</f>
        <v>18.526</v>
      </c>
      <c r="F2372" s="38" t="n">
        <f aca="false">Sens!$F$2343+Sens!$F$2348</f>
        <v>23.1272651967498</v>
      </c>
      <c r="G2372" s="38" t="n">
        <f aca="false">Sens!$G$2343+Sens!$G$2348</f>
        <v>41.6532651967498</v>
      </c>
      <c r="H2372" s="38" t="n">
        <f aca="false">Sens!$H$2343+Sens!$H$2348</f>
        <v>50.0068730463737</v>
      </c>
      <c r="I2372" s="38" t="n">
        <f aca="false">Sens!$I$2343+Sens!$I$2348</f>
        <v>58.3597241691407</v>
      </c>
      <c r="J2372" s="38" t="n">
        <f aca="false">Sens!$J$2343+Sens!$J$2348</f>
        <v>66.1517412642973</v>
      </c>
      <c r="K2372" s="38" t="n">
        <f aca="false">Sens!$K$2343+Sens!$K$2348</f>
        <v>72.7669153907271</v>
      </c>
      <c r="L2372" s="38" t="n">
        <f aca="false">Sens!$L$2343+Sens!$L$2348</f>
        <v>80.0436069297998</v>
      </c>
      <c r="M2372" s="38" t="n">
        <f aca="false">Sens!$M$2343+Sens!$M$2348</f>
        <v>88.0479676227798</v>
      </c>
      <c r="N2372" s="38" t="n">
        <f aca="false">Sens!$N$2343+Sens!$N$2348</f>
        <v>14.8075</v>
      </c>
      <c r="O2372" s="38" t="n">
        <f aca="false">Sens!$O$2343+Sens!$O$2348</f>
        <v>19.51</v>
      </c>
    </row>
    <row r="2373" customFormat="false" ht="17.15" hidden="false" customHeight="false" outlineLevel="0" collapsed="false">
      <c r="A2373" s="0" t="s">
        <v>741</v>
      </c>
      <c r="B2373" s="0" t="s">
        <v>86</v>
      </c>
      <c r="C2373" s="38" t="n">
        <f aca="false">Sens!$C$2347+Sens!$C$2352+Sens!$C$2368+Sens!$C$2369-Sens!$C$2372</f>
        <v>19.399</v>
      </c>
      <c r="D2373" s="38" t="n">
        <f aca="false">Sens!$D$2347+Sens!$D$2352+Sens!$D$2368+Sens!$D$2369-Sens!$D$2372</f>
        <v>20.4615</v>
      </c>
      <c r="E2373" s="38" t="n">
        <f aca="false">Sens!$E$2347+Sens!$E$2352+Sens!$E$2368+Sens!$E$2369-Sens!$E$2372</f>
        <v>13.355</v>
      </c>
      <c r="F2373" s="38" t="n">
        <f aca="false">Sens!$F$2347+Sens!$F$2352+Sens!$F$2368+Sens!$F$2369-Sens!$F$2372</f>
        <v>12.8168862308059</v>
      </c>
      <c r="G2373" s="38" t="n">
        <f aca="false">Sens!$G$2347+Sens!$G$2352+Sens!$G$2368+Sens!$G$2369-Sens!$G$2372</f>
        <v>26.1718862308059</v>
      </c>
      <c r="H2373" s="38" t="n">
        <f aca="false">Sens!$H$2347+Sens!$H$2352+Sens!$H$2368+Sens!$H$2369-Sens!$H$2372</f>
        <v>28.5804525060259</v>
      </c>
      <c r="I2373" s="38" t="n">
        <f aca="false">Sens!$I$2347+Sens!$I$2352+Sens!$I$2368+Sens!$I$2369-Sens!$I$2372</f>
        <v>30.8431142921253</v>
      </c>
      <c r="J2373" s="38" t="n">
        <f aca="false">Sens!$J$2347+Sens!$J$2352+Sens!$J$2368+Sens!$J$2369-Sens!$J$2372</f>
        <v>33.0979396746596</v>
      </c>
      <c r="K2373" s="38" t="n">
        <f aca="false">Sens!$K$2347+Sens!$K$2352+Sens!$K$2368+Sens!$K$2369-Sens!$K$2372</f>
        <v>35.5133783786881</v>
      </c>
      <c r="L2373" s="38" t="n">
        <f aca="false">Sens!$L$2347+Sens!$L$2352+Sens!$L$2368+Sens!$L$2369-Sens!$L$2372</f>
        <v>37.1520273711796</v>
      </c>
      <c r="M2373" s="38" t="n">
        <f aca="false">Sens!$M$2347+Sens!$M$2352+Sens!$M$2368+Sens!$M$2369-Sens!$M$2372</f>
        <v>39.5884240549675</v>
      </c>
      <c r="N2373" s="38" t="n">
        <f aca="false">Sens!$N$2347+Sens!$N$2352+Sens!$N$2368+Sens!$N$2369-Sens!$N$2372</f>
        <v>10.6495</v>
      </c>
      <c r="O2373" s="38" t="n">
        <f aca="false">Sens!$O$2347+Sens!$O$2352+Sens!$O$2368+Sens!$O$2369-Sens!$O$2372</f>
        <v>9.81200000000001</v>
      </c>
    </row>
    <row r="2374" customFormat="false" ht="17.15" hidden="false" customHeight="false" outlineLevel="0" collapsed="false">
      <c r="A2374" s="0" t="s">
        <v>742</v>
      </c>
      <c r="B2374" s="0" t="s">
        <v>86</v>
      </c>
      <c r="C2374" s="38" t="n">
        <f aca="false">Sens!$C$2354+Sens!$C$2370-ext_sh*Sens!$C$2289</f>
        <v>51.3470500115664</v>
      </c>
      <c r="D2374" s="38" t="n">
        <f aca="false">Sens!$D$2354+Sens!$D$2370-ext_sh*Sens!$D$2289</f>
        <v>60.2799375433739</v>
      </c>
      <c r="E2374" s="38" t="n">
        <f aca="false">Sens!$E$2354+Sens!$E$2370-ext_sh*Sens!$E$2289</f>
        <v>39.5095167090767</v>
      </c>
      <c r="F2374" s="38" t="n">
        <f aca="false">Sens!$F$2354+Sens!$F$2370-ext_sh*Sens!$F$2289</f>
        <v>37.993321722478</v>
      </c>
      <c r="G2374" s="38" t="n">
        <f aca="false">Sens!$G$2354+Sens!$G$2370-ext_sh*Sens!$G$2289</f>
        <v>77.5028384315548</v>
      </c>
      <c r="H2374" s="38" t="n">
        <f aca="false">Sens!$H$2354+Sens!$H$2370-ext_sh*Sens!$H$2289</f>
        <v>85.2394217279746</v>
      </c>
      <c r="I2374" s="38" t="n">
        <f aca="false">Sens!$I$2354+Sens!$I$2370-ext_sh*Sens!$I$2289</f>
        <v>94.6373589713254</v>
      </c>
      <c r="J2374" s="38" t="n">
        <f aca="false">Sens!$J$2354+Sens!$J$2370-ext_sh*Sens!$J$2289</f>
        <v>103.639899284146</v>
      </c>
      <c r="K2374" s="38" t="n">
        <f aca="false">Sens!$K$2354+Sens!$K$2370-ext_sh*Sens!$K$2289</f>
        <v>111.931091226878</v>
      </c>
      <c r="L2374" s="38" t="n">
        <f aca="false">Sens!$L$2354+Sens!$L$2370-ext_sh*Sens!$L$2289</f>
        <v>120.885578525028</v>
      </c>
      <c r="M2374" s="38" t="n">
        <f aca="false">Sens!$M$2354+Sens!$M$2370-ext_sh*Sens!$M$2289</f>
        <v>130.55642480703</v>
      </c>
      <c r="N2374" s="38" t="n">
        <f aca="false">Sens!$N$2354+Sens!$N$2370-ext_sh*Sens!$N$2289</f>
        <v>28.5693781401809</v>
      </c>
      <c r="O2374" s="38" t="n">
        <f aca="false">Sens!$O$2354+Sens!$O$2370-ext_sh*Sens!$O$2289</f>
        <v>31.7105594031931</v>
      </c>
    </row>
    <row r="2375" customFormat="false" ht="17.15" hidden="false" customHeight="false" outlineLevel="0" collapsed="false">
      <c r="A2375" s="0" t="s">
        <v>743</v>
      </c>
      <c r="B2375" s="0" t="s">
        <v>86</v>
      </c>
      <c r="C2375" s="38" t="n">
        <f aca="false">Sens!$C$2292</f>
        <v>1.80694998843362</v>
      </c>
      <c r="D2375" s="38" t="n">
        <f aca="false">Sens!$D$2292</f>
        <v>6.77606245662607</v>
      </c>
      <c r="E2375" s="38" t="n">
        <f aca="false">Sens!$E$2292</f>
        <v>6.62548329092326</v>
      </c>
      <c r="F2375" s="38" t="n">
        <f aca="false">Sens!$F$2292</f>
        <v>10.9841961511954</v>
      </c>
      <c r="G2375" s="38" t="n">
        <f aca="false">Sens!$G$2292</f>
        <v>17.6096794421187</v>
      </c>
      <c r="H2375" s="38" t="n">
        <f aca="false">Sens!$H$2292</f>
        <v>41.6302801886437</v>
      </c>
      <c r="I2375" s="38" t="n">
        <f aca="false">Sens!$I$2292</f>
        <v>68.7801842295635</v>
      </c>
      <c r="J2375" s="38" t="n">
        <f aca="false">Sens!$J$2292</f>
        <v>96.0986392826786</v>
      </c>
      <c r="K2375" s="38" t="n">
        <f aca="false">Sens!$K$2292</f>
        <v>119.398123483663</v>
      </c>
      <c r="L2375" s="38" t="n">
        <f aca="false">Sens!$L$2292</f>
        <v>134.710311815431</v>
      </c>
      <c r="M2375" s="38" t="n">
        <f aca="false">Sens!$M$2292</f>
        <v>142.007790587281</v>
      </c>
      <c r="N2375" s="38" t="n">
        <f aca="false">Sens!$N$2292</f>
        <v>2.37162185981912</v>
      </c>
      <c r="O2375" s="38" t="n">
        <f aca="false">Sens!$O$2292</f>
        <v>4.40444059680694</v>
      </c>
    </row>
    <row r="2376" customFormat="false" ht="17.15" hidden="false" customHeight="false" outlineLevel="0" collapsed="false">
      <c r="A2376" s="0" t="s">
        <v>744</v>
      </c>
      <c r="B2376" s="0" t="s">
        <v>86</v>
      </c>
      <c r="C2376" s="38" t="n">
        <f aca="false">Sens!$C$2357+Sens!$C$2371</f>
        <v>100.66</v>
      </c>
      <c r="D2376" s="38" t="n">
        <f aca="false">Sens!$D$2357+Sens!$D$2371</f>
        <v>121.835</v>
      </c>
      <c r="E2376" s="38" t="n">
        <f aca="false">Sens!$E$2357+Sens!$E$2371</f>
        <v>78.016</v>
      </c>
      <c r="F2376" s="38" t="n">
        <f aca="false">Sens!$F$2357+Sens!$F$2371</f>
        <v>84.9216693012291</v>
      </c>
      <c r="G2376" s="38" t="n">
        <f aca="false">Sens!$G$2357+Sens!$G$2371</f>
        <v>162.937669301229</v>
      </c>
      <c r="H2376" s="38" t="n">
        <f aca="false">Sens!$H$2357+Sens!$H$2371</f>
        <v>205.457027469018</v>
      </c>
      <c r="I2376" s="38" t="n">
        <f aca="false">Sens!$I$2357+Sens!$I$2371</f>
        <v>252.620381662155</v>
      </c>
      <c r="J2376" s="38" t="n">
        <f aca="false">Sens!$J$2357+Sens!$J$2371</f>
        <v>298.988219505782</v>
      </c>
      <c r="K2376" s="38" t="n">
        <f aca="false">Sens!$K$2357+Sens!$K$2371</f>
        <v>339.609508479956</v>
      </c>
      <c r="L2376" s="38" t="n">
        <f aca="false">Sens!$L$2357+Sens!$L$2371</f>
        <v>372.791524641439</v>
      </c>
      <c r="M2376" s="38" t="n">
        <f aca="false">Sens!$M$2357+Sens!$M$2371</f>
        <v>400.200607072059</v>
      </c>
      <c r="N2376" s="38" t="n">
        <f aca="false">Sens!$N$2357+Sens!$N$2371</f>
        <v>56.398</v>
      </c>
      <c r="O2376" s="38" t="n">
        <f aca="false">Sens!$O$2357+Sens!$O$2371</f>
        <v>65.437</v>
      </c>
    </row>
    <row r="2377" customFormat="false" ht="17.15" hidden="false" customHeight="false" outlineLevel="0" collapsed="false">
      <c r="A2377" s="1" t="s">
        <v>745</v>
      </c>
    </row>
    <row r="2378" customFormat="false" ht="15" hidden="false" customHeight="false" outlineLevel="0" collapsed="false">
      <c r="A2378" s="5" t="s">
        <v>541</v>
      </c>
      <c r="B2378" s="0" t="s">
        <v>86</v>
      </c>
      <c r="C2378" s="38" t="n">
        <f aca="false">Q!$D$34</f>
        <v>2.406</v>
      </c>
      <c r="D2378" s="38" t="n">
        <f aca="false">Q!$E$34</f>
        <v>2.274</v>
      </c>
      <c r="E2378" s="38" t="n">
        <f aca="false">Q!$P$34</f>
        <v>2.114</v>
      </c>
      <c r="F2378" s="38" t="n">
        <f aca="false">Sens!$F$2416</f>
        <v>3.24888962733561</v>
      </c>
      <c r="G2378" s="38" t="n">
        <f aca="false">Sens!$E$2378+Sens!$F$2378</f>
        <v>5.36288962733561</v>
      </c>
      <c r="H2378" s="38" t="n">
        <f aca="false">Sens!$H$2416</f>
        <v>7.42354172302123</v>
      </c>
      <c r="I2378" s="38" t="n">
        <f aca="false">Sens!$I$2416</f>
        <v>7.42354172302123</v>
      </c>
      <c r="J2378" s="38" t="n">
        <f aca="false">Sens!$J$2416</f>
        <v>7.42354172302123</v>
      </c>
      <c r="K2378" s="38" t="n">
        <f aca="false">Sens!$K$2416</f>
        <v>7.42354172302123</v>
      </c>
      <c r="L2378" s="38" t="n">
        <f aca="false">Sens!$L$2416</f>
        <v>7.42354172302123</v>
      </c>
      <c r="M2378" s="38" t="n">
        <f aca="false">Sens!$M$2416</f>
        <v>7.42354172302123</v>
      </c>
      <c r="N2378" s="38" t="n">
        <f aca="false">Q!$N$34</f>
        <v>1.057</v>
      </c>
      <c r="O2378" s="38" t="n">
        <f aca="false">Q!$O$34</f>
        <v>1.217</v>
      </c>
    </row>
    <row r="2379" customFormat="false" ht="15" hidden="false" customHeight="false" outlineLevel="0" collapsed="false">
      <c r="A2379" s="5" t="s">
        <v>746</v>
      </c>
      <c r="B2379" s="0" t="s">
        <v>86</v>
      </c>
      <c r="F2379" s="38" t="n">
        <f aca="false">Sens!$F$2417</f>
        <v>2.59</v>
      </c>
      <c r="H2379" s="38" t="n">
        <f aca="false">Sens!$H$2417</f>
        <v>4.09580927667984</v>
      </c>
      <c r="I2379" s="38" t="n">
        <f aca="false">Sens!$I$2417</f>
        <v>2.53408918336814</v>
      </c>
      <c r="J2379" s="38" t="n">
        <f aca="false">Sens!$J$2417</f>
        <v>2.38626381426349</v>
      </c>
      <c r="K2379" s="38" t="n">
        <f aca="false">Sens!$K$2417</f>
        <v>3.75504344526199</v>
      </c>
      <c r="L2379" s="38" t="n">
        <f aca="false">Sens!$L$2417</f>
        <v>8.75347884773284</v>
      </c>
      <c r="M2379" s="38" t="n">
        <f aca="false">Sens!$M$2417</f>
        <v>16.0135457344502</v>
      </c>
    </row>
    <row r="2380" customFormat="false" ht="17.15" hidden="false" customHeight="false" outlineLevel="0" collapsed="false">
      <c r="A2380" s="5" t="s">
        <v>747</v>
      </c>
      <c r="B2380" s="0" t="s">
        <v>86</v>
      </c>
      <c r="C2380" s="38" t="n">
        <f aca="false">Q!$D$39</f>
        <v>2.427</v>
      </c>
      <c r="D2380" s="38" t="n">
        <f aca="false">Q!$E$39</f>
        <v>19.61</v>
      </c>
      <c r="E2380" s="38" t="n">
        <f aca="false">Q!$P$39</f>
        <v>71.492</v>
      </c>
      <c r="F2380" s="39" t="n">
        <v>0</v>
      </c>
      <c r="G2380" s="38" t="n">
        <f aca="false">Sens!$E$2380+Sens!$F$2380</f>
        <v>71.492</v>
      </c>
      <c r="H2380" s="39" t="n">
        <v>0</v>
      </c>
      <c r="I2380" s="39" t="n">
        <v>0</v>
      </c>
      <c r="J2380" s="39" t="n">
        <v>0</v>
      </c>
      <c r="K2380" s="39" t="n">
        <v>0</v>
      </c>
      <c r="L2380" s="39" t="n">
        <v>0</v>
      </c>
      <c r="M2380" s="39" t="n">
        <v>0</v>
      </c>
      <c r="N2380" s="38" t="n">
        <f aca="false">Q!$N$39</f>
        <v>6.017</v>
      </c>
      <c r="O2380" s="38" t="n">
        <f aca="false">Q!$O$39</f>
        <v>13.593</v>
      </c>
      <c r="P2380" s="5" t="s">
        <v>748</v>
      </c>
    </row>
    <row r="2381" customFormat="false" ht="15" hidden="false" customHeight="false" outlineLevel="0" collapsed="false">
      <c r="A2381" s="5" t="s">
        <v>544</v>
      </c>
      <c r="B2381" s="0" t="s">
        <v>86</v>
      </c>
      <c r="C2381" s="38" t="n">
        <f aca="false">Q!$D$36</f>
        <v>68.614</v>
      </c>
      <c r="D2381" s="38" t="n">
        <f aca="false">Q!$E$36</f>
        <v>97.311</v>
      </c>
      <c r="E2381" s="38" t="n">
        <f aca="false">Q!$P$36</f>
        <v>120.691</v>
      </c>
      <c r="F2381" s="38" t="n">
        <f aca="false">Sens!$F$2357-Sens!$F$2378+Sens!$F$2379+Sens!$F$2380</f>
        <v>54.9468343124897</v>
      </c>
      <c r="G2381" s="38" t="n">
        <f aca="false">Sens!$E$2381+Sens!$F$2381</f>
        <v>175.63783431249</v>
      </c>
      <c r="H2381" s="38" t="n">
        <f aca="false">Sens!$H$2357-Sens!$H$2378+Sens!$H$2379+Sens!$H$2380</f>
        <v>119.386333489056</v>
      </c>
      <c r="I2381" s="38" t="n">
        <f aca="false">Sens!$I$2357-Sens!$I$2378+Sens!$I$2379+Sens!$I$2380</f>
        <v>135.922643963809</v>
      </c>
      <c r="J2381" s="38" t="n">
        <f aca="false">Sens!$J$2357-Sens!$J$2378+Sens!$J$2379+Sens!$J$2380</f>
        <v>152.342884748013</v>
      </c>
      <c r="K2381" s="38" t="n">
        <f aca="false">Sens!$K$2357-Sens!$K$2378+Sens!$K$2379+Sens!$K$2380</f>
        <v>164.423853589285</v>
      </c>
      <c r="L2381" s="38" t="n">
        <f aca="false">Sens!$L$2357-Sens!$L$2378+Sens!$L$2379+Sens!$L$2380</f>
        <v>181.853176408042</v>
      </c>
      <c r="M2381" s="38" t="n">
        <f aca="false">Sens!$M$2357-Sens!$M$2378+Sens!$M$2379+Sens!$M$2380</f>
        <v>202.891329559207</v>
      </c>
      <c r="N2381" s="38" t="n">
        <f aca="false">Q!$N$36</f>
        <v>42.536</v>
      </c>
      <c r="O2381" s="38" t="n">
        <f aca="false">Q!$O$36</f>
        <v>54.775</v>
      </c>
    </row>
    <row r="2382" customFormat="false" ht="15" hidden="false" customHeight="false" outlineLevel="0" collapsed="false">
      <c r="A2382" s="5" t="s">
        <v>545</v>
      </c>
      <c r="B2382" s="0" t="s">
        <v>86</v>
      </c>
      <c r="C2382" s="38" t="n">
        <f aca="false">Q!$D$37</f>
        <v>9.265</v>
      </c>
      <c r="D2382" s="38" t="n">
        <f aca="false">Q!$E$37</f>
        <v>19.087</v>
      </c>
      <c r="E2382" s="38" t="n">
        <f aca="false">Q!$P$37</f>
        <v>27.759</v>
      </c>
      <c r="F2382" s="38" t="n">
        <f aca="false">Sens!$F$2381*tax</f>
        <v>9.53792022345746</v>
      </c>
      <c r="G2382" s="38" t="n">
        <f aca="false">Sens!$E$2382+Sens!$F$2382</f>
        <v>37.2969202234575</v>
      </c>
      <c r="H2382" s="38" t="n">
        <f aca="false">Sens!$H$2381*tax</f>
        <v>20.7236201837177</v>
      </c>
      <c r="I2382" s="38" t="n">
        <f aca="false">Sens!$I$2381*tax</f>
        <v>23.5940678095361</v>
      </c>
      <c r="J2382" s="38" t="n">
        <f aca="false">Sens!$J$2381*tax</f>
        <v>26.4443675330653</v>
      </c>
      <c r="K2382" s="38" t="n">
        <f aca="false">Sens!$K$2381*tax</f>
        <v>28.5414367905009</v>
      </c>
      <c r="L2382" s="38" t="n">
        <f aca="false">Sens!$L$2381*tax</f>
        <v>31.5668975413198</v>
      </c>
      <c r="M2382" s="38" t="n">
        <f aca="false">Sens!$M$2381*tax</f>
        <v>35.2187953970455</v>
      </c>
      <c r="N2382" s="38" t="n">
        <f aca="false">Q!$N$37</f>
        <v>7.231</v>
      </c>
      <c r="O2382" s="38" t="n">
        <f aca="false">Q!$O$37</f>
        <v>11.856</v>
      </c>
    </row>
    <row r="2383" customFormat="false" ht="15" hidden="false" customHeight="false" outlineLevel="0" collapsed="false">
      <c r="A2383" s="3" t="s">
        <v>546</v>
      </c>
      <c r="B2383" s="8" t="s">
        <v>86</v>
      </c>
      <c r="C2383" s="38" t="n">
        <f aca="false">Q!$D$38</f>
        <v>59.248</v>
      </c>
      <c r="D2383" s="38" t="n">
        <f aca="false">Q!$E$38</f>
        <v>77.67</v>
      </c>
      <c r="E2383" s="38" t="n">
        <f aca="false">Q!$P$38</f>
        <v>92.902</v>
      </c>
      <c r="F2383" s="38" t="n">
        <f aca="false">Sens!$F$2381-Sens!$F$2382</f>
        <v>45.4089140890322</v>
      </c>
      <c r="G2383" s="38" t="n">
        <f aca="false">Sens!$E$2383+Sens!$F$2383</f>
        <v>138.310914089032</v>
      </c>
      <c r="H2383" s="38" t="n">
        <f aca="false">Sens!$H$2381-Sens!$H$2382</f>
        <v>98.6627133053385</v>
      </c>
      <c r="I2383" s="38" t="n">
        <f aca="false">Sens!$I$2381-Sens!$I$2382</f>
        <v>112.328576154273</v>
      </c>
      <c r="J2383" s="38" t="n">
        <f aca="false">Sens!$J$2381-Sens!$J$2382</f>
        <v>125.898517214948</v>
      </c>
      <c r="K2383" s="38" t="n">
        <f aca="false">Sens!$K$2381-Sens!$K$2382</f>
        <v>135.882416798784</v>
      </c>
      <c r="L2383" s="38" t="n">
        <f aca="false">Sens!$L$2381-Sens!$L$2382</f>
        <v>150.286278866722</v>
      </c>
      <c r="M2383" s="38" t="n">
        <f aca="false">Sens!$M$2381-Sens!$M$2382</f>
        <v>167.672534162161</v>
      </c>
      <c r="N2383" s="38" t="n">
        <f aca="false">Q!$N$38</f>
        <v>35.291</v>
      </c>
      <c r="O2383" s="38" t="n">
        <f aca="false">Q!$O$38</f>
        <v>42.379</v>
      </c>
    </row>
    <row r="2384" customFormat="false" ht="17.15" hidden="false" customHeight="false" outlineLevel="0" collapsed="false">
      <c r="A2384" s="5" t="s">
        <v>549</v>
      </c>
      <c r="B2384" s="5" t="s">
        <v>33</v>
      </c>
      <c r="C2384" s="22" t="n">
        <f aca="false">Q!$D$41</f>
        <v>10.721</v>
      </c>
      <c r="D2384" s="22" t="n">
        <f aca="false">Q!$E$41</f>
        <v>10.827</v>
      </c>
      <c r="E2384" s="22" t="n">
        <f aca="false">(Q!$L$41+Q!$M$41)/2</f>
        <v>10.8885</v>
      </c>
      <c r="F2384" s="22" t="n">
        <f aca="false">Sens!$G$2384</f>
        <v>10.924806</v>
      </c>
      <c r="G2384" s="22" t="n">
        <f aca="false">Q!$M$41*(1+sh_g*0.25)</f>
        <v>10.924806</v>
      </c>
      <c r="H2384" s="22" t="n">
        <f aca="false">Sens!$G$2384*(1+sh_g)</f>
        <v>11.012204448</v>
      </c>
      <c r="I2384" s="22" t="n">
        <f aca="false">Sens!$H$2384*(1+sh_g)</f>
        <v>11.100302083584</v>
      </c>
      <c r="J2384" s="22" t="n">
        <f aca="false">Sens!$I$2384*(1+sh_g)</f>
        <v>11.1891045002527</v>
      </c>
      <c r="K2384" s="22" t="n">
        <f aca="false">Sens!$J$2384*(1+sh_g)</f>
        <v>11.2786173362547</v>
      </c>
      <c r="L2384" s="22" t="n">
        <f aca="false">Sens!$K$2384*(1+sh_g)</f>
        <v>11.3688462749447</v>
      </c>
      <c r="M2384" s="22" t="n">
        <f aca="false">Sens!$L$2384*(1+sh_g)</f>
        <v>11.4597970451443</v>
      </c>
      <c r="P2384" s="5" t="s">
        <v>749</v>
      </c>
    </row>
    <row r="2385" customFormat="false" ht="17.15" hidden="false" customHeight="false" outlineLevel="0" collapsed="false">
      <c r="A2385" s="5" t="s">
        <v>750</v>
      </c>
      <c r="B2385" s="0" t="s">
        <v>86</v>
      </c>
      <c r="C2385" s="38" t="n">
        <f aca="false">Sens!$C$2383+Sens!$C$2359*(1-tax)</f>
        <v>59.248</v>
      </c>
      <c r="D2385" s="38" t="n">
        <f aca="false">Sens!$D$2383+Sens!$D$2359*(1-tax)</f>
        <v>77.67</v>
      </c>
      <c r="E2385" s="38" t="n">
        <f aca="false">Sens!$E$2383+Sens!$E$2359*(1-tax)</f>
        <v>92.902</v>
      </c>
      <c r="F2385" s="38" t="n">
        <f aca="false">Sens!$F$2383+Sens!$F$2359*(1-tax)</f>
        <v>48.3722432610336</v>
      </c>
      <c r="G2385" s="38" t="n">
        <f aca="false">Sens!$G$2383+Sens!$G$2359*(1-tax)</f>
        <v>141.274243261034</v>
      </c>
      <c r="H2385" s="38" t="n">
        <f aca="false">Sens!$H$2383+Sens!$H$2359*(1-tax)</f>
        <v>109.967982959505</v>
      </c>
      <c r="I2385" s="38" t="n">
        <f aca="false">Sens!$I$2383+Sens!$I$2359*(1-tax)</f>
        <v>131.017588626856</v>
      </c>
      <c r="J2385" s="38" t="n">
        <f aca="false">Sens!$J$2383+Sens!$J$2359*(1-tax)</f>
        <v>152.009575255696</v>
      </c>
      <c r="K2385" s="38" t="n">
        <f aca="false">Sens!$K$2383+Sens!$K$2359*(1-tax)</f>
        <v>168.324605751573</v>
      </c>
      <c r="L2385" s="38" t="n">
        <f aca="false">Sens!$L$2383+Sens!$L$2359*(1-tax)</f>
        <v>186.889278544759</v>
      </c>
      <c r="M2385" s="38" t="n">
        <f aca="false">Sens!$M$2383+Sens!$M$2359*(1-tax)</f>
        <v>206.259794693523</v>
      </c>
      <c r="N2385" s="38" t="n">
        <f aca="false">Sens!$N$2383+Sens!$N$2359*(1-tax)</f>
        <v>35.291</v>
      </c>
      <c r="O2385" s="38" t="n">
        <f aca="false">Sens!$O$2383+Sens!$O$2359*(1-tax)</f>
        <v>42.379</v>
      </c>
    </row>
    <row r="2386" customFormat="false" ht="17.15" hidden="false" customHeight="false" outlineLevel="0" collapsed="false">
      <c r="A2386" s="43" t="s">
        <v>751</v>
      </c>
      <c r="B2386" s="14" t="s">
        <v>27</v>
      </c>
      <c r="C2386" s="44" t="n">
        <f aca="false">Sens!$C$2385/Sens!$C$2384</f>
        <v>5.52635015390355</v>
      </c>
      <c r="D2386" s="44" t="n">
        <f aca="false">Sens!$D$2385/Sens!$D$2384</f>
        <v>7.1737323358271</v>
      </c>
      <c r="E2386" s="44" t="n">
        <f aca="false">Sens!$E$2385/Sens!$E$2384</f>
        <v>8.53212104513937</v>
      </c>
      <c r="F2386" s="14"/>
      <c r="G2386" s="44" t="n">
        <f aca="false">Sens!$G$2385/Sens!$G$2384</f>
        <v>12.9315104781754</v>
      </c>
      <c r="H2386" s="44" t="n">
        <f aca="false">Sens!$H$2385/Sens!$H$2384</f>
        <v>9.9860099291452</v>
      </c>
      <c r="I2386" s="44" t="n">
        <f aca="false">Sens!$I$2385/Sens!$I$2384</f>
        <v>11.8030651454626</v>
      </c>
      <c r="J2386" s="44" t="n">
        <f aca="false">Sens!$J$2385/Sens!$J$2384</f>
        <v>13.5854996485433</v>
      </c>
      <c r="K2386" s="44" t="n">
        <f aca="false">Sens!$K$2385/Sens!$K$2384</f>
        <v>14.9242234870847</v>
      </c>
      <c r="L2386" s="44" t="n">
        <f aca="false">Sens!$L$2385/Sens!$L$2384</f>
        <v>16.4387198159796</v>
      </c>
      <c r="M2386" s="44" t="n">
        <f aca="false">Sens!$M$2385/Sens!$M$2384</f>
        <v>17.9985556359324</v>
      </c>
      <c r="N2386" s="14"/>
      <c r="O2386" s="14"/>
    </row>
    <row r="2387" customFormat="false" ht="17.15" hidden="false" customHeight="false" outlineLevel="0" collapsed="false">
      <c r="A2387" s="0" t="s">
        <v>752</v>
      </c>
      <c r="B2387" s="0" t="s">
        <v>27</v>
      </c>
      <c r="C2387" s="30" t="n">
        <f aca="false">Sens!$C$2383/Sens!$C$2384</f>
        <v>5.52635015390355</v>
      </c>
      <c r="D2387" s="30" t="n">
        <f aca="false">Sens!$D$2383/Sens!$D$2384</f>
        <v>7.1737323358271</v>
      </c>
      <c r="E2387" s="30" t="n">
        <f aca="false">Sens!$E$2383/Sens!$E$2384</f>
        <v>8.53212104513937</v>
      </c>
      <c r="G2387" s="30" t="n">
        <f aca="false">Sens!$G$2383/Sens!$G$2384</f>
        <v>12.6602627167047</v>
      </c>
      <c r="H2387" s="30" t="n">
        <f aca="false">Sens!$H$2383/Sens!$H$2384</f>
        <v>8.95939716441219</v>
      </c>
      <c r="I2387" s="30" t="n">
        <f aca="false">Sens!$I$2383/Sens!$I$2384</f>
        <v>10.119416148178</v>
      </c>
      <c r="J2387" s="30" t="n">
        <f aca="false">Sens!$J$2383/Sens!$J$2384</f>
        <v>11.2518850111825</v>
      </c>
      <c r="K2387" s="30" t="n">
        <f aca="false">Sens!$K$2383/Sens!$K$2384</f>
        <v>12.0477903228435</v>
      </c>
      <c r="L2387" s="30" t="n">
        <f aca="false">Sens!$L$2383/Sens!$L$2384</f>
        <v>13.2191319358351</v>
      </c>
      <c r="M2387" s="30" t="n">
        <f aca="false">Sens!$M$2383/Sens!$M$2384</f>
        <v>14.6313703027757</v>
      </c>
    </row>
    <row r="2388" customFormat="false" ht="17.15" hidden="false" customHeight="false" outlineLevel="0" collapsed="false">
      <c r="A2388" s="0" t="s">
        <v>753</v>
      </c>
      <c r="B2388" s="0" t="s">
        <v>27</v>
      </c>
      <c r="C2388" s="30" t="n">
        <f aca="false">(Sens!$C$2383-Sens!$C$2380*(1-tax))/Sens!$C$2384</f>
        <v>5.33926775917445</v>
      </c>
      <c r="D2388" s="30" t="n">
        <f aca="false">(Sens!$D$2383-Sens!$D$2380*(1-tax))/Sens!$D$2384</f>
        <v>5.67691812755503</v>
      </c>
      <c r="E2388" s="30" t="n">
        <f aca="false">(Sens!$E$2383-Sens!$E$2380*(1-tax))/Sens!$E$2384</f>
        <v>3.10602057006846</v>
      </c>
      <c r="G2388" s="30" t="n">
        <f aca="false">(Sens!$G$2383-Sens!$G$2380*(1-tax))/Sens!$G$2384</f>
        <v>7.25219459880776</v>
      </c>
      <c r="H2388" s="30" t="n">
        <f aca="false">(Sens!$H$2383-Sens!$H$2380*(1-tax))/Sens!$H$2384</f>
        <v>8.95939716441219</v>
      </c>
      <c r="I2388" s="30" t="n">
        <f aca="false">(Sens!$I$2383-Sens!$I$2380*(1-tax))/Sens!$I$2384</f>
        <v>10.119416148178</v>
      </c>
      <c r="J2388" s="30" t="n">
        <f aca="false">(Sens!$J$2383-Sens!$J$2380*(1-tax))/Sens!$J$2384</f>
        <v>11.2518850111825</v>
      </c>
      <c r="K2388" s="30" t="n">
        <f aca="false">(Sens!$K$2383-Sens!$K$2380*(1-tax))/Sens!$K$2384</f>
        <v>12.0477903228435</v>
      </c>
      <c r="L2388" s="30" t="n">
        <f aca="false">(Sens!$L$2383-Sens!$L$2380*(1-tax))/Sens!$L$2384</f>
        <v>13.2191319358351</v>
      </c>
      <c r="M2388" s="30" t="n">
        <f aca="false">(Sens!$M$2383-Sens!$M$2380*(1-tax))/Sens!$M$2384</f>
        <v>14.6313703027757</v>
      </c>
      <c r="P2388" s="5" t="s">
        <v>754</v>
      </c>
    </row>
    <row r="2389" customFormat="false" ht="17.15" hidden="false" customHeight="false" outlineLevel="0" collapsed="false">
      <c r="A2389" s="0" t="s">
        <v>755</v>
      </c>
      <c r="B2389" s="0" t="s">
        <v>52</v>
      </c>
      <c r="H2389" s="13" t="n">
        <f aca="false">Sens!$H$2386/Sens!$G$2386-1</f>
        <v>-0.227776991249502</v>
      </c>
      <c r="I2389" s="13" t="n">
        <f aca="false">Sens!$I$2386/Sens!$H$2386-1</f>
        <v>0.181960085080039</v>
      </c>
      <c r="J2389" s="13" t="n">
        <f aca="false">Sens!$J$2386/Sens!$I$2386-1</f>
        <v>0.151014544197944</v>
      </c>
      <c r="K2389" s="13" t="n">
        <f aca="false">Sens!$K$2386/Sens!$J$2386-1</f>
        <v>0.0985406406223002</v>
      </c>
      <c r="L2389" s="13" t="n">
        <f aca="false">Sens!$L$2386/Sens!$K$2386-1</f>
        <v>0.101479070599918</v>
      </c>
      <c r="M2389" s="13" t="n">
        <f aca="false">Sens!$M$2386/Sens!$L$2386-1</f>
        <v>0.0948879132568805</v>
      </c>
    </row>
    <row r="2392" customFormat="false" ht="19.4" hidden="false" customHeight="false" outlineLevel="0" collapsed="false">
      <c r="A2392" s="31" t="s">
        <v>1175</v>
      </c>
    </row>
    <row r="2393" customFormat="false" ht="17.15" hidden="false" customHeight="false" outlineLevel="0" collapsed="false">
      <c r="A2393" s="6" t="s">
        <v>16</v>
      </c>
      <c r="B2393" s="6" t="s">
        <v>17</v>
      </c>
      <c r="C2393" s="20" t="s">
        <v>494</v>
      </c>
      <c r="D2393" s="20" t="s">
        <v>495</v>
      </c>
      <c r="E2393" s="20" t="s">
        <v>577</v>
      </c>
      <c r="F2393" s="20" t="s">
        <v>578</v>
      </c>
      <c r="G2393" s="20" t="s">
        <v>579</v>
      </c>
      <c r="H2393" s="20" t="s">
        <v>580</v>
      </c>
      <c r="I2393" s="20" t="s">
        <v>581</v>
      </c>
      <c r="J2393" s="20" t="s">
        <v>582</v>
      </c>
      <c r="K2393" s="20" t="s">
        <v>583</v>
      </c>
      <c r="L2393" s="20" t="s">
        <v>584</v>
      </c>
      <c r="M2393" s="20" t="s">
        <v>585</v>
      </c>
      <c r="N2393" s="20" t="s">
        <v>586</v>
      </c>
      <c r="O2393" s="20" t="s">
        <v>587</v>
      </c>
      <c r="P2393" s="6" t="s">
        <v>23</v>
      </c>
      <c r="R2393" s="20" t="n">
        <v>2023</v>
      </c>
      <c r="S2393" s="20" t="n">
        <v>2024</v>
      </c>
      <c r="T2393" s="20" t="n">
        <v>2025</v>
      </c>
      <c r="U2393" s="20" t="n">
        <v>2026</v>
      </c>
      <c r="V2393" s="20" t="n">
        <v>2027</v>
      </c>
      <c r="W2393" s="20" t="n">
        <v>2028</v>
      </c>
      <c r="X2393" s="20" t="n">
        <v>2029</v>
      </c>
      <c r="Y2393" s="20" t="n">
        <v>2030</v>
      </c>
      <c r="Z2393" s="20" t="n">
        <v>2031</v>
      </c>
      <c r="AA2393" s="20" t="n">
        <v>2032</v>
      </c>
    </row>
    <row r="2394" customFormat="false" ht="15" hidden="false" customHeight="false" outlineLevel="0" collapsed="false">
      <c r="A2394" s="5" t="s">
        <v>546</v>
      </c>
      <c r="B2394" s="0" t="s">
        <v>86</v>
      </c>
      <c r="C2394" s="38" t="n">
        <f aca="false">Sens!$C$2383</f>
        <v>59.248</v>
      </c>
      <c r="D2394" s="38" t="n">
        <f aca="false">Sens!$D$2383</f>
        <v>77.67</v>
      </c>
      <c r="E2394" s="38" t="n">
        <f aca="false">Sens!$E$2383</f>
        <v>92.902</v>
      </c>
      <c r="F2394" s="38" t="n">
        <f aca="false">Sens!$F$2383</f>
        <v>45.4089140890322</v>
      </c>
      <c r="G2394" s="38" t="n">
        <f aca="false">Sens!$G$2383</f>
        <v>138.310914089032</v>
      </c>
      <c r="H2394" s="38" t="n">
        <f aca="false">Sens!$H$2383</f>
        <v>98.6627133053385</v>
      </c>
      <c r="I2394" s="38" t="n">
        <f aca="false">Sens!$I$2383</f>
        <v>112.328576154273</v>
      </c>
      <c r="J2394" s="38" t="n">
        <f aca="false">Sens!$J$2383</f>
        <v>125.898517214948</v>
      </c>
      <c r="K2394" s="38" t="n">
        <f aca="false">Sens!$K$2383</f>
        <v>135.882416798784</v>
      </c>
      <c r="L2394" s="38" t="n">
        <f aca="false">Sens!$L$2383</f>
        <v>150.286278866722</v>
      </c>
      <c r="M2394" s="38" t="n">
        <f aca="false">Sens!$M$2383</f>
        <v>167.672534162161</v>
      </c>
    </row>
    <row r="2395" customFormat="false" ht="17.15" hidden="false" customHeight="false" outlineLevel="0" collapsed="false">
      <c r="A2395" s="5" t="s">
        <v>778</v>
      </c>
      <c r="B2395" s="0" t="s">
        <v>86</v>
      </c>
      <c r="C2395" s="38" t="n">
        <f aca="false">Sens!$C$2371</f>
        <v>32.067</v>
      </c>
      <c r="D2395" s="38" t="n">
        <f aca="false">Sens!$D$2371</f>
        <v>41.86</v>
      </c>
      <c r="E2395" s="38" t="n">
        <f aca="false">Sens!$E$2371</f>
        <v>26.703</v>
      </c>
      <c r="F2395" s="38" t="n">
        <f aca="false">Sens!$F$2371</f>
        <v>29.3159453614038</v>
      </c>
      <c r="G2395" s="38" t="n">
        <f aca="false">Sens!$G$2371</f>
        <v>56.0189453614038</v>
      </c>
      <c r="H2395" s="38" t="n">
        <f aca="false">Sens!$H$2371</f>
        <v>82.7429615336203</v>
      </c>
      <c r="I2395" s="38" t="n">
        <f aca="false">Sens!$I$2371</f>
        <v>111.808285158692</v>
      </c>
      <c r="J2395" s="38" t="n">
        <f aca="false">Sens!$J$2371</f>
        <v>141.608056849011</v>
      </c>
      <c r="K2395" s="38" t="n">
        <f aca="false">Sens!$K$2371</f>
        <v>171.517156612912</v>
      </c>
      <c r="L2395" s="38" t="n">
        <f aca="false">Sens!$L$2371</f>
        <v>192.268285358109</v>
      </c>
      <c r="M2395" s="38" t="n">
        <f aca="false">Sens!$M$2371</f>
        <v>205.899281524281</v>
      </c>
    </row>
    <row r="2396" customFormat="false" ht="15" hidden="false" customHeight="false" outlineLevel="0" collapsed="false">
      <c r="A2396" s="5" t="s">
        <v>779</v>
      </c>
      <c r="B2396" s="0" t="s">
        <v>86</v>
      </c>
      <c r="C2396" s="38" t="n">
        <f aca="false">Q!$D$48</f>
        <v>22.011</v>
      </c>
      <c r="D2396" s="38" t="n">
        <f aca="false">Q!$E$48</f>
        <v>19.467</v>
      </c>
      <c r="E2396" s="38" t="n">
        <f aca="false">Q!$P$48</f>
        <v>10.07</v>
      </c>
      <c r="F2396" s="38" t="n">
        <f aca="false">sbc_r*Sens!$F$2313</f>
        <v>10.8507035798037</v>
      </c>
      <c r="G2396" s="38" t="n">
        <f aca="false">Sens!$E$2396+Sens!$F$2396</f>
        <v>20.9207035798037</v>
      </c>
      <c r="H2396" s="38" t="n">
        <f aca="false">sbc_r*Sens!$H$2313</f>
        <v>23.3359565862662</v>
      </c>
      <c r="I2396" s="38" t="n">
        <f aca="false">sbc_r*Sens!$I$2313</f>
        <v>26.3416341740073</v>
      </c>
      <c r="J2396" s="38" t="n">
        <f aca="false">sbc_r*Sens!$J$2313</f>
        <v>29.2123068586883</v>
      </c>
      <c r="K2396" s="38" t="n">
        <f aca="false">sbc_r*Sens!$K$2313</f>
        <v>31.7318732652547</v>
      </c>
      <c r="L2396" s="38" t="n">
        <f aca="false">sbc_r*Sens!$L$2313</f>
        <v>34.119118527765</v>
      </c>
      <c r="M2396" s="38" t="n">
        <f aca="false">sbc_r*Sens!$M$2313</f>
        <v>36.3830116029268</v>
      </c>
    </row>
    <row r="2397" customFormat="false" ht="17.15" hidden="false" customHeight="false" outlineLevel="0" collapsed="false">
      <c r="A2397" s="5" t="s">
        <v>780</v>
      </c>
      <c r="B2397" s="0" t="s">
        <v>86</v>
      </c>
      <c r="C2397" s="38" t="n">
        <f aca="false">Q!$D$44-Sens!$C$2394-Sens!$C$2395-Sens!$C$2396</f>
        <v>2.551</v>
      </c>
      <c r="D2397" s="38" t="n">
        <f aca="false">Q!$E$44-Sens!$D$2394-Sens!$D$2395-Sens!$D$2396</f>
        <v>0.51700000000001</v>
      </c>
      <c r="E2397" s="38" t="n">
        <f aca="false">Q!$P$44-Sens!$E$2394-Sens!$E$2395-Sens!$E$2396</f>
        <v>-58.256</v>
      </c>
      <c r="F2397" s="38" t="n">
        <f aca="false">oth_r*Sens!$F$2313</f>
        <v>5.22265251035878</v>
      </c>
      <c r="G2397" s="38" t="n">
        <f aca="false">Sens!$E$2397+Sens!$F$2397</f>
        <v>-53.0333474896412</v>
      </c>
      <c r="H2397" s="38" t="n">
        <f aca="false">oth_r*Sens!$H$2313</f>
        <v>11.2320451250491</v>
      </c>
      <c r="I2397" s="38" t="n">
        <f aca="false">oth_r*Sens!$I$2313</f>
        <v>12.6787356076979</v>
      </c>
      <c r="J2397" s="38" t="n">
        <f aca="false">oth_r*Sens!$J$2313</f>
        <v>14.0604456316426</v>
      </c>
      <c r="K2397" s="38" t="n">
        <f aca="false">oth_r*Sens!$K$2313</f>
        <v>15.2731614450911</v>
      </c>
      <c r="L2397" s="38" t="n">
        <f aca="false">oth_r*Sens!$L$2313</f>
        <v>16.4221885447068</v>
      </c>
      <c r="M2397" s="38" t="n">
        <f aca="false">oth_r*Sens!$M$2313</f>
        <v>17.5118438620067</v>
      </c>
      <c r="P2397" s="8" t="s">
        <v>781</v>
      </c>
    </row>
    <row r="2398" customFormat="false" ht="15" hidden="false" customHeight="false" outlineLevel="0" collapsed="false">
      <c r="A2398" s="3" t="s">
        <v>552</v>
      </c>
      <c r="B2398" s="8" t="s">
        <v>86</v>
      </c>
      <c r="C2398" s="38" t="n">
        <f aca="false">Q!$D$44</f>
        <v>115.877</v>
      </c>
      <c r="D2398" s="38" t="n">
        <f aca="false">Q!$E$44</f>
        <v>139.514</v>
      </c>
      <c r="E2398" s="38" t="n">
        <f aca="false">Q!$P$44</f>
        <v>71.419</v>
      </c>
      <c r="F2398" s="38" t="n">
        <f aca="false">Sens!$F$2394+Sens!$F$2395+Sens!$F$2396+Sens!$F$2397</f>
        <v>90.7982155405985</v>
      </c>
      <c r="G2398" s="38" t="n">
        <f aca="false">Sens!$E$2398+Sens!$F$2398</f>
        <v>162.217215540599</v>
      </c>
      <c r="H2398" s="38" t="n">
        <f aca="false">Sens!$H$2394+Sens!$H$2395+Sens!$H$2396+Sens!$H$2397</f>
        <v>215.973676550274</v>
      </c>
      <c r="I2398" s="38" t="n">
        <f aca="false">Sens!$I$2394+Sens!$I$2395+Sens!$I$2396+Sens!$I$2397</f>
        <v>263.157231094671</v>
      </c>
      <c r="J2398" s="38" t="n">
        <f aca="false">Sens!$J$2394+Sens!$J$2395+Sens!$J$2396+Sens!$J$2397</f>
        <v>310.77932655429</v>
      </c>
      <c r="K2398" s="38" t="n">
        <f aca="false">Sens!$K$2394+Sens!$K$2395+Sens!$K$2396+Sens!$K$2397</f>
        <v>354.404608122041</v>
      </c>
      <c r="L2398" s="38" t="n">
        <f aca="false">Sens!$L$2394+Sens!$L$2395+Sens!$L$2396+Sens!$L$2397</f>
        <v>393.095871297302</v>
      </c>
      <c r="M2398" s="38" t="n">
        <f aca="false">Sens!$M$2394+Sens!$M$2395+Sens!$M$2396+Sens!$M$2397</f>
        <v>427.466671151376</v>
      </c>
    </row>
    <row r="2399" customFormat="false" ht="17.15" hidden="false" customHeight="false" outlineLevel="0" collapsed="false">
      <c r="A2399" s="5" t="s">
        <v>782</v>
      </c>
      <c r="B2399" s="0" t="s">
        <v>86</v>
      </c>
      <c r="C2399" s="38" t="n">
        <f aca="false">Sens!$C$2282</f>
        <v>25.2781053077374</v>
      </c>
      <c r="D2399" s="38" t="n">
        <f aca="false">Sens!$D$2282</f>
        <v>69.5686316310026</v>
      </c>
      <c r="E2399" s="38" t="n">
        <f aca="false">Sens!$E$2282</f>
        <v>64.1899206485108</v>
      </c>
      <c r="F2399" s="38" t="n">
        <f aca="false">Sens!$F$2282</f>
        <v>88.6730803569673</v>
      </c>
      <c r="G2399" s="38" t="n">
        <f aca="false">Sens!$G$2282</f>
        <v>152.863001005478</v>
      </c>
      <c r="H2399" s="38" t="n">
        <f aca="false">Sens!$H$2282</f>
        <v>176.6039130979</v>
      </c>
      <c r="I2399" s="38" t="n">
        <f aca="false">Sens!$I$2282</f>
        <v>182.67901806365</v>
      </c>
      <c r="J2399" s="38" t="n">
        <f aca="false">Sens!$J$2282</f>
        <v>187.19044872365</v>
      </c>
      <c r="K2399" s="38" t="n">
        <f aca="false">Sens!$K$2282</f>
        <v>138.248156309061</v>
      </c>
      <c r="L2399" s="38" t="n">
        <f aca="false">Sens!$L$2282</f>
        <v>116.374447854472</v>
      </c>
      <c r="M2399" s="38" t="n">
        <f aca="false">Sens!$M$2282</f>
        <v>114.695030891708</v>
      </c>
    </row>
    <row r="2400" customFormat="false" ht="17.15" hidden="false" customHeight="false" outlineLevel="0" collapsed="false">
      <c r="A2400" s="5" t="s">
        <v>783</v>
      </c>
      <c r="B2400" s="0" t="s">
        <v>86</v>
      </c>
      <c r="C2400" s="38" t="n">
        <f aca="false">cx_awso*Sens!$C$2311</f>
        <v>21.0469989286053</v>
      </c>
      <c r="D2400" s="38" t="n">
        <f aca="false">cx_awso*Sens!$D$2311</f>
        <v>24.0042459822698</v>
      </c>
      <c r="E2400" s="38" t="n">
        <f aca="false">cx_awso*Sens!$E$2311</f>
        <v>14.261729404886</v>
      </c>
      <c r="F2400" s="38" t="n">
        <f aca="false">cx_awso*Sens!$F$2311</f>
        <v>14.3538599588493</v>
      </c>
      <c r="G2400" s="38" t="n">
        <f aca="false">Sens!$E$2400+Sens!$F$2400</f>
        <v>28.6155893637353</v>
      </c>
      <c r="H2400" s="38" t="n">
        <f aca="false">cx_awso*Sens!$H$2311</f>
        <v>32.2034154158406</v>
      </c>
      <c r="I2400" s="38" t="n">
        <f aca="false">cx_awso*Sens!$I$2311</f>
        <v>35.7539519042915</v>
      </c>
      <c r="J2400" s="38" t="n">
        <f aca="false">cx_awso*Sens!$J$2311</f>
        <v>39.1551076091815</v>
      </c>
      <c r="K2400" s="38" t="n">
        <f aca="false">cx_awso*Sens!$K$2311</f>
        <v>42.287516217916</v>
      </c>
      <c r="L2400" s="38" t="n">
        <f aca="false">cx_awso*Sens!$L$2311</f>
        <v>45.6705175153492</v>
      </c>
      <c r="M2400" s="38" t="n">
        <f aca="false">cx_awso*Sens!$M$2311</f>
        <v>49.3241589165772</v>
      </c>
    </row>
    <row r="2401" customFormat="false" ht="17.15" hidden="false" customHeight="false" outlineLevel="0" collapsed="false">
      <c r="A2401" s="5" t="s">
        <v>784</v>
      </c>
      <c r="B2401" s="0" t="s">
        <v>86</v>
      </c>
      <c r="C2401" s="38" t="n">
        <f aca="false">Q!$D$46-Sens!$C$2399-Sens!$C$2400</f>
        <v>31.3328957636573</v>
      </c>
      <c r="D2401" s="38" t="n">
        <f aca="false">Q!$E$46-Sens!$D$2399-Sens!$D$2400</f>
        <v>34.7471223867276</v>
      </c>
      <c r="E2401" s="38" t="n">
        <f aca="false">Q!$P$46-Sens!$E$2399-Sens!$E$2400</f>
        <v>17.8583499466032</v>
      </c>
      <c r="F2401" s="38" t="n">
        <f aca="false">cx_rt*Sens!$F$2245</f>
        <v>20.6630596841834</v>
      </c>
      <c r="G2401" s="38" t="n">
        <f aca="false">Sens!$E$2401+Sens!$F$2401</f>
        <v>38.5214096307867</v>
      </c>
      <c r="H2401" s="38" t="n">
        <f aca="false">cx_rt*Sens!$H$2245</f>
        <v>42.6460451091626</v>
      </c>
      <c r="I2401" s="38" t="n">
        <f aca="false">cx_rt*Sens!$I$2245</f>
        <v>46.6340577474715</v>
      </c>
      <c r="J2401" s="38" t="n">
        <f aca="false">cx_rt*Sens!$J$2245</f>
        <v>50.3350309826082</v>
      </c>
      <c r="K2401" s="38" t="n">
        <f aca="false">cx_rt*Sens!$K$2245</f>
        <v>53.5917978963993</v>
      </c>
      <c r="L2401" s="38" t="n">
        <f aca="false">cx_rt*Sens!$L$2245</f>
        <v>57.0761749885628</v>
      </c>
      <c r="M2401" s="38" t="n">
        <f aca="false">cx_rt*Sens!$M$2245</f>
        <v>60.8052865636596</v>
      </c>
    </row>
    <row r="2402" customFormat="false" ht="15" hidden="false" customHeight="false" outlineLevel="0" collapsed="false">
      <c r="A2402" s="3" t="s">
        <v>785</v>
      </c>
      <c r="B2402" s="8" t="s">
        <v>86</v>
      </c>
      <c r="C2402" s="38" t="n">
        <f aca="false">Q!$D$46</f>
        <v>77.658</v>
      </c>
      <c r="D2402" s="38" t="n">
        <f aca="false">Q!$E$46</f>
        <v>128.32</v>
      </c>
      <c r="E2402" s="38" t="n">
        <f aca="false">Q!$P$46</f>
        <v>96.31</v>
      </c>
      <c r="F2402" s="38" t="n">
        <f aca="false">Sens!$F$2399+Sens!$F$2400+Sens!$F$2401</f>
        <v>123.69</v>
      </c>
      <c r="G2402" s="38" t="n">
        <f aca="false">Sens!$E$2402+Sens!$F$2402</f>
        <v>220</v>
      </c>
      <c r="H2402" s="38" t="n">
        <f aca="false">Sens!$H$2399+Sens!$H$2400+Sens!$H$2401</f>
        <v>251.453373622903</v>
      </c>
      <c r="I2402" s="38" t="n">
        <f aca="false">Sens!$I$2399+Sens!$I$2400+Sens!$I$2401</f>
        <v>265.067027715413</v>
      </c>
      <c r="J2402" s="38" t="n">
        <f aca="false">Sens!$J$2399+Sens!$J$2400+Sens!$J$2401</f>
        <v>276.68058731544</v>
      </c>
      <c r="K2402" s="38" t="n">
        <f aca="false">Sens!$K$2399+Sens!$K$2400+Sens!$K$2401</f>
        <v>234.127470423376</v>
      </c>
      <c r="L2402" s="38" t="n">
        <f aca="false">Sens!$L$2399+Sens!$L$2400+Sens!$L$2401</f>
        <v>219.121140358384</v>
      </c>
      <c r="M2402" s="38" t="n">
        <f aca="false">Sens!$M$2399+Sens!$M$2400+Sens!$M$2401</f>
        <v>224.824476371945</v>
      </c>
    </row>
    <row r="2403" customFormat="false" ht="17.15" hidden="false" customHeight="false" outlineLevel="0" collapsed="false">
      <c r="A2403" s="5" t="s">
        <v>560</v>
      </c>
      <c r="B2403" s="0" t="s">
        <v>86</v>
      </c>
      <c r="C2403" s="38" t="n">
        <f aca="false">Q!$D$50</f>
        <v>2.043</v>
      </c>
      <c r="D2403" s="38" t="n">
        <f aca="false">Q!$E$50</f>
        <v>1.557</v>
      </c>
      <c r="E2403" s="38" t="n">
        <f aca="false">lease_pr/2</f>
        <v>0.8</v>
      </c>
      <c r="F2403" s="38" t="n">
        <f aca="false">lease_pr/2</f>
        <v>0.8</v>
      </c>
      <c r="G2403" s="38" t="n">
        <f aca="false">Sens!$E$2403+Sens!$F$2403</f>
        <v>1.6</v>
      </c>
      <c r="H2403" s="38" t="n">
        <f aca="false">lease_pr</f>
        <v>1.6</v>
      </c>
      <c r="I2403" s="38" t="n">
        <f aca="false">lease_pr</f>
        <v>1.6</v>
      </c>
      <c r="J2403" s="38" t="n">
        <f aca="false">lease_pr</f>
        <v>1.6</v>
      </c>
      <c r="K2403" s="38" t="n">
        <f aca="false">lease_pr</f>
        <v>1.6</v>
      </c>
      <c r="L2403" s="38" t="n">
        <f aca="false">lease_pr</f>
        <v>1.6</v>
      </c>
      <c r="M2403" s="38" t="n">
        <f aca="false">lease_pr</f>
        <v>1.6</v>
      </c>
      <c r="P2403" s="8" t="s">
        <v>786</v>
      </c>
    </row>
    <row r="2404" customFormat="false" ht="15" hidden="false" customHeight="false" outlineLevel="0" collapsed="false">
      <c r="A2404" s="47" t="s">
        <v>787</v>
      </c>
      <c r="B2404" s="14" t="s">
        <v>86</v>
      </c>
      <c r="C2404" s="48" t="n">
        <f aca="false">Sens!$C$2398-Sens!$C$2402-Sens!$C$2403</f>
        <v>36.176</v>
      </c>
      <c r="D2404" s="48" t="n">
        <f aca="false">Sens!$D$2398-Sens!$D$2402-Sens!$D$2403</f>
        <v>9.63700000000002</v>
      </c>
      <c r="E2404" s="48" t="n">
        <f aca="false">Sens!$E$2398-Sens!$E$2402-Sens!$E$2403</f>
        <v>-25.691</v>
      </c>
      <c r="F2404" s="48" t="n">
        <f aca="false">Sens!$F$2398-Sens!$F$2402-Sens!$F$2403</f>
        <v>-33.6917844594015</v>
      </c>
      <c r="G2404" s="48" t="n">
        <f aca="false">Sens!$G$2398-Sens!$G$2402-Sens!$G$2403</f>
        <v>-59.3827844594015</v>
      </c>
      <c r="H2404" s="48" t="n">
        <f aca="false">Sens!$H$2398-Sens!$H$2402-Sens!$H$2403</f>
        <v>-37.0796970726292</v>
      </c>
      <c r="I2404" s="48" t="n">
        <f aca="false">Sens!$I$2398-Sens!$I$2402-Sens!$I$2403</f>
        <v>-3.50979662074193</v>
      </c>
      <c r="J2404" s="48" t="n">
        <f aca="false">Sens!$J$2398-Sens!$J$2402-Sens!$J$2403</f>
        <v>32.4987392388501</v>
      </c>
      <c r="K2404" s="48" t="n">
        <f aca="false">Sens!$K$2398-Sens!$K$2402-Sens!$K$2403</f>
        <v>118.677137698665</v>
      </c>
      <c r="L2404" s="48" t="n">
        <f aca="false">Sens!$L$2398-Sens!$L$2402-Sens!$L$2403</f>
        <v>172.374730938918</v>
      </c>
      <c r="M2404" s="48" t="n">
        <f aca="false">Sens!$M$2398-Sens!$M$2402-Sens!$M$2403</f>
        <v>201.042194779431</v>
      </c>
      <c r="N2404" s="14"/>
      <c r="O2404" s="14"/>
    </row>
    <row r="2405" customFormat="false" ht="17.15" hidden="false" customHeight="false" outlineLevel="0" collapsed="false">
      <c r="A2405" s="5" t="s">
        <v>788</v>
      </c>
      <c r="B2405" s="0" t="s">
        <v>86</v>
      </c>
      <c r="C2405" s="38" t="n">
        <f aca="false">dps*Sens!$C$2384</f>
        <v>0</v>
      </c>
      <c r="D2405" s="38" t="n">
        <f aca="false">dps*Sens!$D$2384</f>
        <v>0</v>
      </c>
      <c r="E2405" s="38" t="n">
        <f aca="false">dps*Sens!$E$2384</f>
        <v>0</v>
      </c>
      <c r="F2405" s="38" t="n">
        <f aca="false">0</f>
        <v>0</v>
      </c>
      <c r="G2405" s="38" t="n">
        <f aca="false">dps*Sens!$G$2384</f>
        <v>0</v>
      </c>
      <c r="H2405" s="38" t="n">
        <f aca="false">dps*Sens!$H$2384</f>
        <v>0</v>
      </c>
      <c r="I2405" s="38" t="n">
        <f aca="false">dps*Sens!$I$2384</f>
        <v>0</v>
      </c>
      <c r="J2405" s="38" t="n">
        <f aca="false">dps*Sens!$J$2384</f>
        <v>0</v>
      </c>
      <c r="K2405" s="38" t="n">
        <f aca="false">dps*Sens!$K$2384</f>
        <v>0</v>
      </c>
      <c r="L2405" s="38" t="n">
        <f aca="false">dps*Sens!$L$2384</f>
        <v>0</v>
      </c>
      <c r="M2405" s="38" t="n">
        <f aca="false">dps*Sens!$M$2384</f>
        <v>0</v>
      </c>
      <c r="P2405" s="8" t="s">
        <v>789</v>
      </c>
    </row>
    <row r="2406" customFormat="false" ht="17.15" hidden="false" customHeight="false" outlineLevel="0" collapsed="false">
      <c r="A2406" s="5" t="s">
        <v>790</v>
      </c>
      <c r="B2406" s="0" t="s">
        <v>86</v>
      </c>
      <c r="C2406" s="38" t="n">
        <f aca="false">0</f>
        <v>0</v>
      </c>
      <c r="D2406" s="38" t="n">
        <f aca="false">0</f>
        <v>0</v>
      </c>
      <c r="E2406" s="38" t="n">
        <f aca="false">0</f>
        <v>0</v>
      </c>
      <c r="F2406" s="38" t="n">
        <f aca="false">0</f>
        <v>0</v>
      </c>
      <c r="G2406" s="38" t="n">
        <f aca="false">0</f>
        <v>0</v>
      </c>
      <c r="H2406" s="38" t="n">
        <f aca="false">0</f>
        <v>0</v>
      </c>
      <c r="I2406" s="38" t="n">
        <f aca="false">0</f>
        <v>0</v>
      </c>
      <c r="J2406" s="38" t="n">
        <f aca="false">0</f>
        <v>0</v>
      </c>
      <c r="K2406" s="38" t="n">
        <f aca="false">0</f>
        <v>0</v>
      </c>
      <c r="L2406" s="38" t="n">
        <f aca="false">0</f>
        <v>0</v>
      </c>
      <c r="M2406" s="38" t="n">
        <f aca="false">0</f>
        <v>0</v>
      </c>
      <c r="P2406" s="8" t="s">
        <v>791</v>
      </c>
    </row>
    <row r="2407" customFormat="false" ht="15" hidden="false" customHeight="false" outlineLevel="0" collapsed="false">
      <c r="A2407" s="3" t="s">
        <v>792</v>
      </c>
      <c r="B2407" s="8" t="s">
        <v>86</v>
      </c>
      <c r="C2407" s="38" t="n">
        <f aca="false">Sens!$C$2404-Sens!$C$2405</f>
        <v>36.176</v>
      </c>
      <c r="D2407" s="38" t="n">
        <f aca="false">Sens!$D$2404-Sens!$D$2405</f>
        <v>9.63700000000002</v>
      </c>
      <c r="E2407" s="38" t="n">
        <f aca="false">Sens!$E$2404-Sens!$E$2405</f>
        <v>-25.691</v>
      </c>
      <c r="F2407" s="38" t="n">
        <f aca="false">Sens!$F$2404-Sens!$F$2405</f>
        <v>-33.6917844594015</v>
      </c>
      <c r="G2407" s="38" t="n">
        <f aca="false">Sens!$G$2404-Sens!$G$2405</f>
        <v>-59.3827844594015</v>
      </c>
      <c r="H2407" s="38" t="n">
        <f aca="false">Sens!$H$2404-Sens!$H$2405</f>
        <v>-37.0796970726292</v>
      </c>
      <c r="I2407" s="38" t="n">
        <f aca="false">Sens!$I$2404-Sens!$I$2405</f>
        <v>-3.50979662074193</v>
      </c>
      <c r="J2407" s="38" t="n">
        <f aca="false">Sens!$J$2404-Sens!$J$2405</f>
        <v>32.4987392388501</v>
      </c>
      <c r="K2407" s="38" t="n">
        <f aca="false">Sens!$K$2404-Sens!$K$2405</f>
        <v>118.677137698665</v>
      </c>
      <c r="L2407" s="38" t="n">
        <f aca="false">Sens!$L$2404-Sens!$L$2405</f>
        <v>172.374730938918</v>
      </c>
      <c r="M2407" s="38" t="n">
        <f aca="false">Sens!$M$2404-Sens!$M$2405</f>
        <v>201.042194779431</v>
      </c>
    </row>
    <row r="2408" customFormat="false" ht="17.15" hidden="false" customHeight="false" outlineLevel="0" collapsed="false">
      <c r="A2408" s="5" t="s">
        <v>793</v>
      </c>
      <c r="B2408" s="0" t="s">
        <v>86</v>
      </c>
      <c r="E2408" s="38" t="n">
        <f aca="false">Q!$P$53</f>
        <v>39.767</v>
      </c>
      <c r="F2408" s="38" t="n">
        <f aca="false">inv_2h26</f>
        <v>21.3</v>
      </c>
      <c r="G2408" s="38" t="n">
        <f aca="false">Sens!$E$2408+Sens!$F$2408</f>
        <v>61.067</v>
      </c>
      <c r="H2408" s="39" t="n">
        <v>0</v>
      </c>
      <c r="I2408" s="39" t="n">
        <v>0</v>
      </c>
      <c r="J2408" s="39" t="n">
        <v>0</v>
      </c>
      <c r="K2408" s="39" t="n">
        <v>0</v>
      </c>
      <c r="L2408" s="39" t="n">
        <v>0</v>
      </c>
      <c r="M2408" s="39" t="n">
        <v>0</v>
      </c>
    </row>
    <row r="2409" customFormat="false" ht="17.15" hidden="false" customHeight="false" outlineLevel="0" collapsed="false">
      <c r="A2409" s="5" t="s">
        <v>794</v>
      </c>
      <c r="B2409" s="0" t="s">
        <v>86</v>
      </c>
      <c r="F2409" s="38" t="n">
        <f aca="false">iss_2h26</f>
        <v>29.249999</v>
      </c>
      <c r="G2409" s="38" t="n">
        <f aca="false">Sens!$F$2409</f>
        <v>29.249999</v>
      </c>
      <c r="H2409" s="39" t="n">
        <v>0</v>
      </c>
      <c r="I2409" s="39" t="n">
        <v>0</v>
      </c>
      <c r="J2409" s="39" t="n">
        <v>0</v>
      </c>
      <c r="K2409" s="39" t="n">
        <v>0</v>
      </c>
      <c r="L2409" s="39" t="n">
        <v>0</v>
      </c>
      <c r="M2409" s="39" t="n">
        <v>0</v>
      </c>
    </row>
    <row r="2410" customFormat="false" ht="17.15" hidden="false" customHeight="false" outlineLevel="0" collapsed="false">
      <c r="A2410" s="5" t="s">
        <v>795</v>
      </c>
      <c r="B2410" s="0" t="s">
        <v>86</v>
      </c>
      <c r="F2410" s="38" t="n">
        <f aca="false">cash_q2</f>
        <v>122.988</v>
      </c>
      <c r="G2410" s="38" t="n">
        <f aca="false">cash_q2</f>
        <v>122.988</v>
      </c>
      <c r="H2410" s="38" t="n">
        <f aca="false">Sens!$G$2413</f>
        <v>97.2462145405985</v>
      </c>
      <c r="I2410" s="38" t="n">
        <f aca="false">Sens!$H$2413</f>
        <v>60.1665174679693</v>
      </c>
      <c r="J2410" s="38" t="n">
        <f aca="false">Sens!$I$2413</f>
        <v>56.6567208472274</v>
      </c>
      <c r="K2410" s="38" t="n">
        <f aca="false">Sens!$J$2413</f>
        <v>89.1554600860775</v>
      </c>
      <c r="L2410" s="38" t="n">
        <f aca="false">Sens!$K$2413</f>
        <v>207.832597784743</v>
      </c>
      <c r="M2410" s="38" t="n">
        <f aca="false">Sens!$L$2413</f>
        <v>380.20732872366</v>
      </c>
    </row>
    <row r="2411" customFormat="false" ht="15" hidden="false" customHeight="false" outlineLevel="0" collapsed="false">
      <c r="A2411" s="5" t="s">
        <v>796</v>
      </c>
      <c r="B2411" s="0" t="s">
        <v>86</v>
      </c>
      <c r="F2411" s="38" t="n">
        <f aca="false">Sens!$F$2410+Sens!$F$2407-Sens!$F$2406-Sens!$F$2408+Sens!$F$2409</f>
        <v>97.2462145405985</v>
      </c>
      <c r="H2411" s="38" t="n">
        <f aca="false">Sens!$H$2410+Sens!$H$2407-Sens!$H$2406-Sens!$H$2408+Sens!$H$2409</f>
        <v>60.1665174679693</v>
      </c>
      <c r="I2411" s="38" t="n">
        <f aca="false">Sens!$I$2410+Sens!$I$2407-Sens!$I$2406-Sens!$I$2408+Sens!$I$2409</f>
        <v>56.6567208472274</v>
      </c>
      <c r="J2411" s="38" t="n">
        <f aca="false">Sens!$J$2410+Sens!$J$2407-Sens!$J$2406-Sens!$J$2408+Sens!$J$2409</f>
        <v>89.1554600860775</v>
      </c>
      <c r="K2411" s="38" t="n">
        <f aca="false">Sens!$K$2410+Sens!$K$2407-Sens!$K$2406-Sens!$K$2408+Sens!$K$2409</f>
        <v>207.832597784743</v>
      </c>
      <c r="L2411" s="38" t="n">
        <f aca="false">Sens!$L$2410+Sens!$L$2407-Sens!$L$2406-Sens!$L$2408+Sens!$L$2409</f>
        <v>380.20732872366</v>
      </c>
      <c r="M2411" s="38" t="n">
        <f aca="false">Sens!$M$2410+Sens!$M$2407-Sens!$M$2406-Sens!$M$2408+Sens!$M$2409</f>
        <v>581.249523503091</v>
      </c>
    </row>
    <row r="2412" customFormat="false" ht="17.15" hidden="false" customHeight="false" outlineLevel="0" collapsed="false">
      <c r="A2412" s="5" t="s">
        <v>797</v>
      </c>
      <c r="B2412" s="0" t="s">
        <v>86</v>
      </c>
      <c r="F2412" s="38" t="n">
        <f aca="false">MAX(0,min_cash-Sens!$F$2411)</f>
        <v>0</v>
      </c>
      <c r="G2412" s="38" t="n">
        <f aca="false">Sens!$F$2412</f>
        <v>0</v>
      </c>
      <c r="H2412" s="38" t="n">
        <f aca="false">MAX(0,min_cash-Sens!$H$2411)</f>
        <v>0</v>
      </c>
      <c r="I2412" s="38" t="n">
        <f aca="false">MAX(0,min_cash-Sens!$I$2411)</f>
        <v>0</v>
      </c>
      <c r="J2412" s="38" t="n">
        <f aca="false">MAX(0,min_cash-Sens!$J$2411)</f>
        <v>0</v>
      </c>
      <c r="K2412" s="38" t="n">
        <f aca="false">MAX(0,min_cash-Sens!$K$2411)</f>
        <v>0</v>
      </c>
      <c r="L2412" s="38" t="n">
        <f aca="false">MAX(0,min_cash-Sens!$L$2411)</f>
        <v>0</v>
      </c>
      <c r="M2412" s="38" t="n">
        <f aca="false">MAX(0,min_cash-Sens!$M$2411)</f>
        <v>0</v>
      </c>
      <c r="P2412" s="5" t="s">
        <v>798</v>
      </c>
    </row>
    <row r="2413" customFormat="false" ht="15" hidden="false" customHeight="false" outlineLevel="0" collapsed="false">
      <c r="A2413" s="5" t="s">
        <v>799</v>
      </c>
      <c r="B2413" s="0" t="s">
        <v>86</v>
      </c>
      <c r="D2413" s="38" t="n">
        <f aca="false">Q!$E$61</f>
        <v>123.029</v>
      </c>
      <c r="E2413" s="38" t="n">
        <f aca="false">Q!$M$61</f>
        <v>122.988</v>
      </c>
      <c r="F2413" s="38" t="n">
        <f aca="false">Sens!$F$2411+Sens!$F$2412</f>
        <v>97.2462145405985</v>
      </c>
      <c r="G2413" s="38" t="n">
        <f aca="false">Sens!$F$2413</f>
        <v>97.2462145405985</v>
      </c>
      <c r="H2413" s="38" t="n">
        <f aca="false">Sens!$H$2411+Sens!$H$2412</f>
        <v>60.1665174679693</v>
      </c>
      <c r="I2413" s="38" t="n">
        <f aca="false">Sens!$I$2411+Sens!$I$2412</f>
        <v>56.6567208472274</v>
      </c>
      <c r="J2413" s="38" t="n">
        <f aca="false">Sens!$J$2411+Sens!$J$2412</f>
        <v>89.1554600860775</v>
      </c>
      <c r="K2413" s="38" t="n">
        <f aca="false">Sens!$K$2411+Sens!$K$2412</f>
        <v>207.832597784743</v>
      </c>
      <c r="L2413" s="38" t="n">
        <f aca="false">Sens!$L$2411+Sens!$L$2412</f>
        <v>380.20732872366</v>
      </c>
      <c r="M2413" s="38" t="n">
        <f aca="false">Sens!$M$2411+Sens!$M$2412</f>
        <v>581.249523503091</v>
      </c>
    </row>
    <row r="2414" customFormat="false" ht="15" hidden="false" customHeight="false" outlineLevel="0" collapsed="false">
      <c r="A2414" s="5" t="s">
        <v>800</v>
      </c>
      <c r="B2414" s="0" t="s">
        <v>86</v>
      </c>
      <c r="D2414" s="38" t="n">
        <f aca="false">Q!$E$62</f>
        <v>68.836</v>
      </c>
      <c r="E2414" s="38" t="n">
        <f aca="false">Q!$M$62</f>
        <v>132.995</v>
      </c>
      <c r="F2414" s="38" t="n">
        <f aca="false">debt_q2+Sens!$F$2409+Sens!$F$2412</f>
        <v>162.244999</v>
      </c>
      <c r="G2414" s="38" t="n">
        <f aca="false">Sens!$F$2414</f>
        <v>162.244999</v>
      </c>
      <c r="H2414" s="38" t="n">
        <f aca="false">Sens!$G$2414+Sens!$H$2412</f>
        <v>162.244999</v>
      </c>
      <c r="I2414" s="38" t="n">
        <f aca="false">Sens!$H$2414+Sens!$I$2412</f>
        <v>162.244999</v>
      </c>
      <c r="J2414" s="38" t="n">
        <f aca="false">Sens!$I$2414+Sens!$J$2412</f>
        <v>162.244999</v>
      </c>
      <c r="K2414" s="38" t="n">
        <f aca="false">Sens!$J$2414+Sens!$K$2412</f>
        <v>162.244999</v>
      </c>
      <c r="L2414" s="38" t="n">
        <f aca="false">Sens!$K$2414+Sens!$L$2412</f>
        <v>162.244999</v>
      </c>
      <c r="M2414" s="38" t="n">
        <f aca="false">Sens!$L$2414+Sens!$M$2412</f>
        <v>162.244999</v>
      </c>
    </row>
    <row r="2415" customFormat="false" ht="15" hidden="false" customHeight="false" outlineLevel="0" collapsed="false">
      <c r="A2415" s="5" t="s">
        <v>801</v>
      </c>
      <c r="B2415" s="0" t="s">
        <v>86</v>
      </c>
      <c r="D2415" s="38" t="n">
        <f aca="false">Sens!$D$2414-Sens!$D$2413</f>
        <v>-54.193</v>
      </c>
      <c r="E2415" s="38" t="n">
        <f aca="false">Sens!$E$2414-Sens!$E$2413</f>
        <v>10.007</v>
      </c>
      <c r="F2415" s="38" t="n">
        <f aca="false">Sens!$F$2414-Sens!$F$2413</f>
        <v>64.9987844594015</v>
      </c>
      <c r="G2415" s="38" t="n">
        <f aca="false">Sens!$G$2414-Sens!$G$2413</f>
        <v>64.9987844594015</v>
      </c>
      <c r="H2415" s="38" t="n">
        <f aca="false">Sens!$H$2414-Sens!$H$2413</f>
        <v>102.078481532031</v>
      </c>
      <c r="I2415" s="38" t="n">
        <f aca="false">Sens!$I$2414-Sens!$I$2413</f>
        <v>105.588278152773</v>
      </c>
      <c r="J2415" s="38" t="n">
        <f aca="false">Sens!$J$2414-Sens!$J$2413</f>
        <v>73.0895389139226</v>
      </c>
      <c r="K2415" s="38" t="n">
        <f aca="false">Sens!$K$2414-Sens!$K$2413</f>
        <v>-45.5875987847425</v>
      </c>
      <c r="L2415" s="38" t="n">
        <f aca="false">Sens!$L$2414-Sens!$L$2413</f>
        <v>-217.96232972366</v>
      </c>
      <c r="M2415" s="38" t="n">
        <f aca="false">Sens!$M$2414-Sens!$M$2413</f>
        <v>-419.004524503091</v>
      </c>
    </row>
    <row r="2416" customFormat="false" ht="17.15" hidden="false" customHeight="false" outlineLevel="0" collapsed="false">
      <c r="A2416" s="5" t="s">
        <v>802</v>
      </c>
      <c r="B2416" s="0" t="s">
        <v>86</v>
      </c>
      <c r="F2416" s="38" t="n">
        <f aca="false">debt_q2*kd_book*0.5+iss_2h26*kd_new*iss_t</f>
        <v>3.24888962733561</v>
      </c>
      <c r="H2416" s="38" t="n">
        <f aca="false">debt_q2*kd_book+(Sens!$G$2414-debt_q2)*kd_new</f>
        <v>7.42354172302123</v>
      </c>
      <c r="I2416" s="38" t="n">
        <f aca="false">debt_q2*kd_book+(Sens!$H$2414-debt_q2)*kd_new</f>
        <v>7.42354172302123</v>
      </c>
      <c r="J2416" s="38" t="n">
        <f aca="false">debt_q2*kd_book+(Sens!$I$2414-debt_q2)*kd_new</f>
        <v>7.42354172302123</v>
      </c>
      <c r="K2416" s="38" t="n">
        <f aca="false">debt_q2*kd_book+(Sens!$J$2414-debt_q2)*kd_new</f>
        <v>7.42354172302123</v>
      </c>
      <c r="L2416" s="38" t="n">
        <f aca="false">debt_q2*kd_book+(Sens!$K$2414-debt_q2)*kd_new</f>
        <v>7.42354172302123</v>
      </c>
      <c r="M2416" s="38" t="n">
        <f aca="false">debt_q2*kd_book+(Sens!$L$2414-debt_q2)*kd_new</f>
        <v>7.42354172302123</v>
      </c>
    </row>
    <row r="2417" customFormat="false" ht="17.15" hidden="false" customHeight="false" outlineLevel="0" collapsed="false">
      <c r="A2417" s="5" t="s">
        <v>803</v>
      </c>
      <c r="B2417" s="0" t="s">
        <v>86</v>
      </c>
      <c r="F2417" s="38" t="n">
        <f aca="false">cash_q2*y_cash*0.5</f>
        <v>2.59</v>
      </c>
      <c r="H2417" s="38" t="n">
        <f aca="false">Sens!$G$2413*y_cash</f>
        <v>4.09580927667984</v>
      </c>
      <c r="I2417" s="38" t="n">
        <f aca="false">Sens!$H$2413*y_cash</f>
        <v>2.53408918336814</v>
      </c>
      <c r="J2417" s="38" t="n">
        <f aca="false">Sens!$I$2413*y_cash</f>
        <v>2.38626381426349</v>
      </c>
      <c r="K2417" s="38" t="n">
        <f aca="false">Sens!$J$2413*y_cash</f>
        <v>3.75504344526199</v>
      </c>
      <c r="L2417" s="38" t="n">
        <f aca="false">Sens!$K$2413*y_cash</f>
        <v>8.75347884773284</v>
      </c>
      <c r="M2417" s="38" t="n">
        <f aca="false">Sens!$L$2413*y_cash</f>
        <v>16.0135457344502</v>
      </c>
    </row>
    <row r="2418" customFormat="false" ht="17.15" hidden="false" customHeight="false" outlineLevel="0" collapsed="false">
      <c r="A2418" s="47" t="s">
        <v>804</v>
      </c>
      <c r="B2418" s="14" t="s">
        <v>86</v>
      </c>
      <c r="C2418" s="14"/>
      <c r="D2418" s="14"/>
      <c r="E2418" s="14"/>
      <c r="F2418" s="14"/>
      <c r="G2418" s="48" t="n">
        <f aca="false">SUM(Sens!$G$2407:$K$2407)</f>
        <v>51.2035987847425</v>
      </c>
      <c r="H2418" s="14"/>
      <c r="I2418" s="14"/>
      <c r="J2418" s="14"/>
      <c r="K2418" s="14"/>
      <c r="L2418" s="14"/>
      <c r="M2418" s="14"/>
      <c r="N2418" s="14"/>
      <c r="O2418" s="14"/>
    </row>
    <row r="2419" customFormat="false" ht="17.15" hidden="false" customHeight="false" outlineLevel="0" collapsed="false">
      <c r="A2419" s="0" t="s">
        <v>770</v>
      </c>
      <c r="B2419" s="0" t="s">
        <v>86</v>
      </c>
      <c r="G2419" s="38" t="n">
        <f aca="false">SUM(Sens!$G$2412:$K$2412)</f>
        <v>0</v>
      </c>
    </row>
    <row r="2420" customFormat="false" ht="17.15" hidden="false" customHeight="false" outlineLevel="0" collapsed="false">
      <c r="A2420" s="24" t="s">
        <v>807</v>
      </c>
      <c r="B2420" s="25" t="s">
        <v>86</v>
      </c>
      <c r="C2420" s="25"/>
      <c r="D2420" s="25"/>
      <c r="E2420" s="25"/>
      <c r="F2420" s="25"/>
      <c r="G2420" s="41" t="n">
        <f aca="false">Sens!$G$2418-(Sens!$G$2407+Sens!$H$2407+Sens!$I$2407+Sens!$J$2407+Sens!$K$2407)</f>
        <v>0</v>
      </c>
      <c r="H2420" s="25"/>
      <c r="I2420" s="25"/>
      <c r="J2420" s="25"/>
      <c r="K2420" s="25"/>
      <c r="L2420" s="25"/>
      <c r="M2420" s="25"/>
      <c r="N2420" s="25"/>
      <c r="O2420" s="25"/>
    </row>
    <row r="2423" customFormat="false" ht="19.4" hidden="false" customHeight="false" outlineLevel="0" collapsed="false">
      <c r="A2423" s="31" t="s">
        <v>1176</v>
      </c>
    </row>
    <row r="2424" customFormat="false" ht="17.15" hidden="false" customHeight="false" outlineLevel="0" collapsed="false">
      <c r="A2424" s="6" t="s">
        <v>16</v>
      </c>
      <c r="B2424" s="6" t="s">
        <v>17</v>
      </c>
      <c r="C2424" s="20" t="s">
        <v>494</v>
      </c>
      <c r="D2424" s="20" t="s">
        <v>495</v>
      </c>
      <c r="E2424" s="20" t="s">
        <v>577</v>
      </c>
      <c r="F2424" s="20" t="s">
        <v>578</v>
      </c>
      <c r="G2424" s="20" t="s">
        <v>579</v>
      </c>
      <c r="H2424" s="20" t="s">
        <v>580</v>
      </c>
      <c r="I2424" s="20" t="s">
        <v>581</v>
      </c>
      <c r="J2424" s="20" t="s">
        <v>582</v>
      </c>
      <c r="K2424" s="20" t="s">
        <v>583</v>
      </c>
      <c r="L2424" s="20" t="s">
        <v>584</v>
      </c>
      <c r="M2424" s="20" t="s">
        <v>585</v>
      </c>
      <c r="N2424" s="20" t="s">
        <v>586</v>
      </c>
      <c r="O2424" s="20" t="s">
        <v>587</v>
      </c>
      <c r="P2424" s="6" t="s">
        <v>23</v>
      </c>
      <c r="R2424" s="20" t="n">
        <v>2023</v>
      </c>
      <c r="S2424" s="20" t="n">
        <v>2024</v>
      </c>
      <c r="T2424" s="20" t="n">
        <v>2025</v>
      </c>
      <c r="U2424" s="20" t="n">
        <v>2026</v>
      </c>
      <c r="V2424" s="20" t="n">
        <v>2027</v>
      </c>
      <c r="W2424" s="20" t="n">
        <v>2028</v>
      </c>
      <c r="X2424" s="20" t="n">
        <v>2029</v>
      </c>
      <c r="Y2424" s="20" t="n">
        <v>2030</v>
      </c>
      <c r="Z2424" s="20" t="n">
        <v>2031</v>
      </c>
      <c r="AA2424" s="20" t="n">
        <v>2032</v>
      </c>
    </row>
    <row r="2425" customFormat="false" ht="17.15" hidden="false" customHeight="false" outlineLevel="0" collapsed="false">
      <c r="A2425" s="1" t="s">
        <v>909</v>
      </c>
    </row>
    <row r="2426" customFormat="false" ht="17.15" hidden="false" customHeight="false" outlineLevel="0" collapsed="false">
      <c r="A2426" s="0" t="s">
        <v>910</v>
      </c>
      <c r="B2426" s="0" t="s">
        <v>86</v>
      </c>
      <c r="H2426" s="38" t="n">
        <f aca="false">Sens!$H$2360*(1-tax)</f>
        <v>112.718072544427</v>
      </c>
      <c r="I2426" s="38" t="n">
        <f aca="false">Sens!$I$2360*(1-tax)</f>
        <v>135.058307861977</v>
      </c>
      <c r="J2426" s="38" t="n">
        <f aca="false">Sens!$J$2360*(1-tax)</f>
        <v>156.172459663204</v>
      </c>
      <c r="K2426" s="38" t="n">
        <f aca="false">Sens!$K$2360*(1-tax)</f>
        <v>171.356309492378</v>
      </c>
      <c r="L2426" s="38" t="n">
        <f aca="false">Sens!$L$2360*(1-tax)</f>
        <v>185.790197926277</v>
      </c>
      <c r="M2426" s="38" t="n">
        <f aca="false">Sens!$M$2360*(1-tax)</f>
        <v>199.160882462091</v>
      </c>
    </row>
    <row r="2427" customFormat="false" ht="15" hidden="false" customHeight="false" outlineLevel="0" collapsed="false">
      <c r="A2427" s="5" t="s">
        <v>911</v>
      </c>
      <c r="B2427" s="0" t="s">
        <v>86</v>
      </c>
      <c r="H2427" s="38" t="n">
        <f aca="false">Sens!$H$2371</f>
        <v>82.7429615336203</v>
      </c>
      <c r="I2427" s="38" t="n">
        <f aca="false">Sens!$I$2371</f>
        <v>111.808285158692</v>
      </c>
      <c r="J2427" s="38" t="n">
        <f aca="false">Sens!$J$2371</f>
        <v>141.608056849011</v>
      </c>
      <c r="K2427" s="38" t="n">
        <f aca="false">Sens!$K$2371</f>
        <v>171.517156612912</v>
      </c>
      <c r="L2427" s="38" t="n">
        <f aca="false">Sens!$L$2371</f>
        <v>192.268285358109</v>
      </c>
      <c r="M2427" s="38" t="n">
        <f aca="false">Sens!$M$2371</f>
        <v>205.899281524281</v>
      </c>
    </row>
    <row r="2428" customFormat="false" ht="15" hidden="false" customHeight="false" outlineLevel="0" collapsed="false">
      <c r="A2428" s="5" t="s">
        <v>912</v>
      </c>
      <c r="B2428" s="0" t="s">
        <v>86</v>
      </c>
      <c r="H2428" s="38" t="n">
        <f aca="false">Sens!$H$2402</f>
        <v>251.453373622903</v>
      </c>
      <c r="I2428" s="38" t="n">
        <f aca="false">Sens!$I$2402</f>
        <v>265.067027715413</v>
      </c>
      <c r="J2428" s="38" t="n">
        <f aca="false">Sens!$J$2402</f>
        <v>276.68058731544</v>
      </c>
      <c r="K2428" s="38" t="n">
        <f aca="false">Sens!$K$2402</f>
        <v>234.127470423376</v>
      </c>
      <c r="L2428" s="38" t="n">
        <f aca="false">Sens!$L$2402</f>
        <v>219.121140358384</v>
      </c>
      <c r="M2428" s="38" t="n">
        <f aca="false">Sens!$M$2402</f>
        <v>224.824476371945</v>
      </c>
    </row>
    <row r="2429" customFormat="false" ht="15" hidden="false" customHeight="false" outlineLevel="0" collapsed="false">
      <c r="A2429" s="5" t="s">
        <v>913</v>
      </c>
      <c r="B2429" s="0" t="s">
        <v>86</v>
      </c>
      <c r="H2429" s="38" t="n">
        <f aca="false">Sens!$H$2403</f>
        <v>1.6</v>
      </c>
      <c r="I2429" s="38" t="n">
        <f aca="false">Sens!$I$2403</f>
        <v>1.6</v>
      </c>
      <c r="J2429" s="38" t="n">
        <f aca="false">Sens!$J$2403</f>
        <v>1.6</v>
      </c>
      <c r="K2429" s="38" t="n">
        <f aca="false">Sens!$K$2403</f>
        <v>1.6</v>
      </c>
      <c r="L2429" s="38" t="n">
        <f aca="false">Sens!$L$2403</f>
        <v>1.6</v>
      </c>
      <c r="M2429" s="38" t="n">
        <f aca="false">Sens!$M$2403</f>
        <v>1.6</v>
      </c>
    </row>
    <row r="2430" customFormat="false" ht="15" hidden="false" customHeight="false" outlineLevel="0" collapsed="false">
      <c r="A2430" s="5" t="s">
        <v>914</v>
      </c>
      <c r="B2430" s="0" t="s">
        <v>86</v>
      </c>
      <c r="H2430" s="38" t="n">
        <f aca="false">Sens!$H$2397</f>
        <v>11.2320451250491</v>
      </c>
      <c r="I2430" s="38" t="n">
        <f aca="false">Sens!$I$2397</f>
        <v>12.6787356076979</v>
      </c>
      <c r="J2430" s="38" t="n">
        <f aca="false">Sens!$J$2397</f>
        <v>14.0604456316426</v>
      </c>
      <c r="K2430" s="38" t="n">
        <f aca="false">Sens!$K$2397</f>
        <v>15.2731614450911</v>
      </c>
      <c r="L2430" s="38" t="n">
        <f aca="false">Sens!$L$2397</f>
        <v>16.4221885447068</v>
      </c>
      <c r="M2430" s="38" t="n">
        <f aca="false">Sens!$M$2397</f>
        <v>17.5118438620067</v>
      </c>
    </row>
    <row r="2431" customFormat="false" ht="17.15" hidden="false" customHeight="false" outlineLevel="0" collapsed="false">
      <c r="A2431" s="1" t="s">
        <v>915</v>
      </c>
      <c r="B2431" s="8" t="s">
        <v>86</v>
      </c>
      <c r="H2431" s="38" t="n">
        <f aca="false">Sens!$H$2426+Sens!$H$2427-Sens!$H$2428-Sens!$H$2429+Sens!$H$2430</f>
        <v>-46.3602944198071</v>
      </c>
      <c r="I2431" s="38" t="n">
        <f aca="false">Sens!$I$2426+Sens!$I$2427-Sens!$I$2428-Sens!$I$2429+Sens!$I$2430</f>
        <v>-7.12169908704511</v>
      </c>
      <c r="J2431" s="38" t="n">
        <f aca="false">Sens!$J$2426+Sens!$J$2427-Sens!$J$2428-Sens!$J$2429+Sens!$J$2430</f>
        <v>33.5603748284181</v>
      </c>
      <c r="K2431" s="38" t="n">
        <f aca="false">Sens!$K$2426+Sens!$K$2427-Sens!$K$2428-Sens!$K$2429+Sens!$K$2430</f>
        <v>122.419157127004</v>
      </c>
      <c r="L2431" s="38" t="n">
        <f aca="false">Sens!$L$2426+Sens!$L$2427-Sens!$L$2428-Sens!$L$2429+Sens!$L$2430</f>
        <v>173.759531470708</v>
      </c>
      <c r="M2431" s="38" t="n">
        <f aca="false">Sens!$M$2426+Sens!$M$2427-Sens!$M$2428-Sens!$M$2429+Sens!$M$2430</f>
        <v>196.147531476433</v>
      </c>
    </row>
    <row r="2432" customFormat="false" ht="15" hidden="false" customHeight="false" outlineLevel="0" collapsed="false">
      <c r="A2432" s="5" t="s">
        <v>916</v>
      </c>
      <c r="B2432" s="0" t="s">
        <v>57</v>
      </c>
      <c r="H2432" s="40" t="n">
        <f aca="false">1/(1+wacc)^(2027-2026-0.5)</f>
        <v>0.947751320380232</v>
      </c>
      <c r="I2432" s="40" t="n">
        <f aca="false">1/(1+wacc)^(2028-2026-0.5)</f>
        <v>0.851301099754987</v>
      </c>
      <c r="J2432" s="40" t="n">
        <f aca="false">1/(1+wacc)^(2029-2026-0.5)</f>
        <v>0.764666370660713</v>
      </c>
      <c r="K2432" s="40" t="n">
        <f aca="false">1/(1+wacc)^(2030-2026-0.5)</f>
        <v>0.686848235703811</v>
      </c>
      <c r="L2432" s="40" t="n">
        <f aca="false">1/(1+wacc)^(2031-2026-0.5)</f>
        <v>0.616949452715975</v>
      </c>
      <c r="M2432" s="40" t="n">
        <f aca="false">1/(1+wacc)^(2032-2026-0.5)</f>
        <v>0.554164089562688</v>
      </c>
    </row>
    <row r="2433" customFormat="false" ht="15" hidden="false" customHeight="false" outlineLevel="0" collapsed="false">
      <c r="A2433" s="5" t="s">
        <v>917</v>
      </c>
      <c r="B2433" s="0" t="s">
        <v>86</v>
      </c>
      <c r="H2433" s="38" t="n">
        <f aca="false">Sens!$H$2431*Sens!$H$2432</f>
        <v>-43.9380302495884</v>
      </c>
      <c r="I2433" s="38" t="n">
        <f aca="false">Sens!$I$2431*Sens!$I$2432</f>
        <v>-6.06271026492559</v>
      </c>
      <c r="J2433" s="38" t="n">
        <f aca="false">Sens!$J$2431*Sens!$J$2432</f>
        <v>25.6624900180596</v>
      </c>
      <c r="K2433" s="38" t="n">
        <f aca="false">Sens!$K$2431*Sens!$K$2432</f>
        <v>84.0833820890304</v>
      </c>
      <c r="L2433" s="38" t="n">
        <f aca="false">Sens!$L$2431*Sens!$L$2432</f>
        <v>107.200847845037</v>
      </c>
      <c r="M2433" s="38" t="n">
        <f aca="false">Sens!$M$2431*Sens!$M$2432</f>
        <v>108.697918200606</v>
      </c>
    </row>
    <row r="2434" customFormat="false" ht="15" hidden="false" customHeight="false" outlineLevel="0" collapsed="false">
      <c r="A2434" s="5" t="s">
        <v>918</v>
      </c>
      <c r="B2434" s="0" t="s">
        <v>86</v>
      </c>
      <c r="C2434" s="38" t="n">
        <f aca="false">SUM(Sens!$H$2433:$M$2433)</f>
        <v>275.64389763822</v>
      </c>
    </row>
    <row r="2435" customFormat="false" ht="17.15" hidden="false" customHeight="false" outlineLevel="0" collapsed="false">
      <c r="A2435" s="5" t="s">
        <v>919</v>
      </c>
      <c r="B2435" s="0" t="s">
        <v>86</v>
      </c>
      <c r="C2435" s="38" t="n">
        <f aca="false">Sens!$M$2426*(1+tg)*(1-tg/ronic)/(wacc-tg)</f>
        <v>1810.59466203531</v>
      </c>
    </row>
    <row r="2436" customFormat="false" ht="15" hidden="false" customHeight="false" outlineLevel="0" collapsed="false">
      <c r="A2436" s="5" t="s">
        <v>920</v>
      </c>
      <c r="B2436" s="0" t="s">
        <v>86</v>
      </c>
      <c r="C2436" s="38" t="n">
        <f aca="false">Sens!$C$2435/(1+wacc)^6</f>
        <v>950.941965435993</v>
      </c>
    </row>
    <row r="2437" customFormat="false" ht="17.15" hidden="false" customHeight="false" outlineLevel="0" collapsed="false">
      <c r="A2437" s="5" t="s">
        <v>921</v>
      </c>
      <c r="B2437" s="0" t="s">
        <v>86</v>
      </c>
      <c r="C2437" s="38" t="n">
        <f aca="false">Sens!$C$2434+Sens!$C$2436</f>
        <v>1226.58586307421</v>
      </c>
    </row>
    <row r="2438" customFormat="false" ht="17.15" hidden="false" customHeight="false" outlineLevel="0" collapsed="false">
      <c r="A2438" s="5" t="s">
        <v>922</v>
      </c>
      <c r="B2438" s="0" t="s">
        <v>52</v>
      </c>
      <c r="C2438" s="13" t="n">
        <f aca="false">Sens!$C$2436/Sens!$C$2437</f>
        <v>0.775275497675011</v>
      </c>
    </row>
    <row r="2439" customFormat="false" ht="17.15" hidden="false" customHeight="false" outlineLevel="0" collapsed="false">
      <c r="A2439" s="5" t="s">
        <v>923</v>
      </c>
      <c r="B2439" s="0" t="s">
        <v>86</v>
      </c>
      <c r="C2439" s="38" t="n">
        <f aca="false">Sens!$G$2415+fin_debt</f>
        <v>89.5197844594015</v>
      </c>
    </row>
    <row r="2440" customFormat="false" ht="17.15" hidden="false" customHeight="false" outlineLevel="0" collapsed="false">
      <c r="A2440" s="5" t="s">
        <v>924</v>
      </c>
      <c r="B2440" s="0" t="s">
        <v>86</v>
      </c>
      <c r="C2440" s="38" t="n">
        <f aca="false">(ant_val*ant_sh+oai_val*oai_sh)*(1-liq_disc)</f>
        <v>178.944</v>
      </c>
    </row>
    <row r="2441" customFormat="false" ht="15" hidden="false" customHeight="false" outlineLevel="0" collapsed="false">
      <c r="A2441" s="5" t="s">
        <v>925</v>
      </c>
      <c r="B2441" s="0" t="s">
        <v>86</v>
      </c>
      <c r="C2441" s="38" t="n">
        <f aca="false">Sens!$C$2437-Sens!$C$2439+Sens!$C$2440</f>
        <v>1316.01007861481</v>
      </c>
    </row>
    <row r="2442" customFormat="false" ht="17.15" hidden="false" customHeight="false" outlineLevel="0" collapsed="false">
      <c r="A2442" s="5" t="s">
        <v>926</v>
      </c>
      <c r="B2442" s="0" t="s">
        <v>27</v>
      </c>
      <c r="C2442" s="30" t="n">
        <f aca="false">Sens!$C$2441/sh_out</f>
        <v>122.007395539831</v>
      </c>
    </row>
    <row r="2443" customFormat="false" ht="17.15" hidden="false" customHeight="false" outlineLevel="0" collapsed="false">
      <c r="A2443" s="1" t="s">
        <v>927</v>
      </c>
      <c r="B2443" s="8" t="s">
        <v>27</v>
      </c>
      <c r="C2443" s="30" t="n">
        <f aca="false">Sens!$C$2442*(1+ke)^tp_yf-dps*tp_yf</f>
        <v>133.643100113839</v>
      </c>
    </row>
    <row r="2444" customFormat="false" ht="17.15" hidden="false" customHeight="false" outlineLevel="0" collapsed="false">
      <c r="A2444" s="3" t="s">
        <v>928</v>
      </c>
    </row>
    <row r="2445" customFormat="false" ht="17.15" hidden="false" customHeight="false" outlineLevel="0" collapsed="false">
      <c r="A2445" s="5" t="s">
        <v>929</v>
      </c>
      <c r="B2445" s="0" t="s">
        <v>86</v>
      </c>
      <c r="C2445" s="38" t="n">
        <f aca="false">(1-tp_yf)*(Sens!$H$2372+Sens!$H$2396*Sens!$H$2238/Sens!$H$2313)+tp_yf*(Sens!$I$2372+Sens!$I$2396*Sens!$I$2238/Sens!$I$2313)</f>
        <v>59.7044038464506</v>
      </c>
    </row>
    <row r="2446" customFormat="false" ht="15" hidden="false" customHeight="false" outlineLevel="0" collapsed="false">
      <c r="A2446" s="5" t="s">
        <v>930</v>
      </c>
      <c r="B2446" s="0" t="s">
        <v>57</v>
      </c>
      <c r="C2446" s="30" t="n">
        <f aca="false">m_ads*m_x</f>
        <v>9.11</v>
      </c>
    </row>
    <row r="2447" customFormat="false" ht="17.15" hidden="false" customHeight="false" outlineLevel="0" collapsed="false">
      <c r="A2447" s="5" t="s">
        <v>931</v>
      </c>
      <c r="B2447" s="0" t="s">
        <v>86</v>
      </c>
      <c r="C2447" s="38" t="n">
        <f aca="false">Sens!$C$2445*Sens!$C$2446</f>
        <v>543.907119041165</v>
      </c>
    </row>
    <row r="2448" customFormat="false" ht="17.15" hidden="false" customHeight="false" outlineLevel="0" collapsed="false">
      <c r="A2448" s="5" t="s">
        <v>932</v>
      </c>
      <c r="B2448" s="0" t="s">
        <v>86</v>
      </c>
      <c r="C2448" s="38" t="n">
        <f aca="false">(1-tp_yf)*(Sens!$H$2373+Sens!$H$2396*(Sens!$H$2245-Sens!$H$2238)/Sens!$H$2313+IF(internal_ai_reading=2,1,0)*(1-ext_sh)*Sens!$H$2275)+tp_yf*(Sens!$I$2373+Sens!$I$2396*(Sens!$I$2245-Sens!$I$2238)/Sens!$I$2313+IF(internal_ai_reading=2,1,0)*(1-ext_sh)*Sens!$I$2275)</f>
        <v>51.8326644628421</v>
      </c>
    </row>
    <row r="2449" customFormat="false" ht="17.15" hidden="false" customHeight="false" outlineLevel="0" collapsed="false">
      <c r="A2449" s="5" t="s">
        <v>933</v>
      </c>
      <c r="B2449" s="0" t="s">
        <v>57</v>
      </c>
      <c r="C2449" s="30" t="n">
        <f aca="false">m_retail*m_x</f>
        <v>17.72</v>
      </c>
    </row>
    <row r="2450" customFormat="false" ht="17.15" hidden="false" customHeight="false" outlineLevel="0" collapsed="false">
      <c r="A2450" s="5" t="s">
        <v>934</v>
      </c>
      <c r="B2450" s="0" t="s">
        <v>86</v>
      </c>
      <c r="C2450" s="38" t="n">
        <f aca="false">Sens!$C$2448*Sens!$C$2449</f>
        <v>918.474814281562</v>
      </c>
    </row>
    <row r="2451" customFormat="false" ht="17.15" hidden="false" customHeight="false" outlineLevel="0" collapsed="false">
      <c r="A2451" s="0" t="s">
        <v>935</v>
      </c>
      <c r="B2451" s="0" t="s">
        <v>86</v>
      </c>
      <c r="C2451" s="38" t="n">
        <f aca="false">(1-tp_yf)*(Sens!$H$2374+Sens!$H$2396*Sens!$H$2311/Sens!$H$2313)+tp_yf*(Sens!$I$2374+Sens!$I$2396*Sens!$I$2311/Sens!$I$2313)</f>
        <v>97.3363031479074</v>
      </c>
    </row>
    <row r="2452" customFormat="false" ht="17.15" hidden="false" customHeight="false" outlineLevel="0" collapsed="false">
      <c r="A2452" s="0" t="s">
        <v>936</v>
      </c>
      <c r="B2452" s="0" t="s">
        <v>57</v>
      </c>
      <c r="C2452" s="30" t="n">
        <f aca="false">m_cloud*m_x</f>
        <v>13.82</v>
      </c>
    </row>
    <row r="2453" customFormat="false" ht="17.15" hidden="false" customHeight="false" outlineLevel="0" collapsed="false">
      <c r="A2453" s="0" t="s">
        <v>937</v>
      </c>
      <c r="B2453" s="0" t="s">
        <v>86</v>
      </c>
      <c r="C2453" s="38" t="n">
        <f aca="false">Sens!$C$2451*Sens!$C$2452</f>
        <v>1345.18770950408</v>
      </c>
    </row>
    <row r="2454" customFormat="false" ht="17.15" hidden="false" customHeight="false" outlineLevel="0" collapsed="false">
      <c r="A2454" s="0" t="s">
        <v>938</v>
      </c>
      <c r="B2454" s="0" t="s">
        <v>86</v>
      </c>
      <c r="H2454" s="38" t="n">
        <f aca="false">Sens!$H$2292-tax*Sens!$H$2293-ext_sh*Sens!$H$2282</f>
        <v>-102.200281519454</v>
      </c>
      <c r="I2454" s="38" t="n">
        <f aca="false">Sens!$I$2292-tax*Sens!$I$2293-ext_sh*Sens!$I$2282</f>
        <v>-81.2818480413846</v>
      </c>
      <c r="J2454" s="38" t="n">
        <f aca="false">Sens!$J$2292-tax*Sens!$J$2293-ext_sh*Sens!$J$2282</f>
        <v>-58.8325760582301</v>
      </c>
      <c r="K2454" s="38" t="n">
        <f aca="false">Sens!$K$2292-tax*Sens!$K$2293-ext_sh*Sens!$K$2282</f>
        <v>3.13730763390186</v>
      </c>
      <c r="L2454" s="38" t="n">
        <f aca="false">Sens!$L$2292-tax*Sens!$L$2293-ext_sh*Sens!$L$2282</f>
        <v>35.5349516192592</v>
      </c>
      <c r="M2454" s="38" t="n">
        <f aca="false">Sens!$M$2292-tax*Sens!$M$2293-ext_sh*Sens!$M$2282</f>
        <v>44.1166257138924</v>
      </c>
    </row>
    <row r="2455" customFormat="false" ht="17.15" hidden="false" customHeight="false" outlineLevel="0" collapsed="false">
      <c r="A2455" s="5" t="s">
        <v>939</v>
      </c>
      <c r="B2455" s="0" t="s">
        <v>86</v>
      </c>
      <c r="H2455" s="38" t="n">
        <f aca="false">Sens!$H$2454*Sens!$H$2432</f>
        <v>-96.8604517532935</v>
      </c>
      <c r="I2455" s="38" t="n">
        <f aca="false">Sens!$I$2454*Sens!$I$2432</f>
        <v>-69.1953266277484</v>
      </c>
      <c r="J2455" s="38" t="n">
        <f aca="false">Sens!$J$2454*Sens!$J$2432</f>
        <v>-44.9872924110671</v>
      </c>
      <c r="K2455" s="38" t="n">
        <f aca="false">Sens!$K$2454*Sens!$K$2432</f>
        <v>2.15485421320559</v>
      </c>
      <c r="L2455" s="38" t="n">
        <f aca="false">Sens!$L$2454*Sens!$L$2432</f>
        <v>21.9232689537906</v>
      </c>
      <c r="M2455" s="38" t="n">
        <f aca="false">Sens!$M$2454*Sens!$M$2432</f>
        <v>24.4478497233171</v>
      </c>
    </row>
    <row r="2456" customFormat="false" ht="17.15" hidden="false" customHeight="false" outlineLevel="0" collapsed="false">
      <c r="A2456" s="5" t="s">
        <v>940</v>
      </c>
      <c r="B2456" s="0" t="s">
        <v>86</v>
      </c>
      <c r="C2456" s="38" t="n">
        <f aca="false">Sens!$M$2293*(1-tax)*(1+tg)*(1-tg/ronic)/(wacc-tg)</f>
        <v>265.539487816961</v>
      </c>
    </row>
    <row r="2457" customFormat="false" ht="17.15" hidden="false" customHeight="false" outlineLevel="0" collapsed="false">
      <c r="A2457" s="0" t="s">
        <v>941</v>
      </c>
      <c r="B2457" s="0" t="s">
        <v>86</v>
      </c>
      <c r="C2457" s="38" t="n">
        <f aca="false">(SUM(Sens!$H$2455:$M$2455)+Sens!$C$2456/(1+wacc)^6)*(1+wacc)^tp_yf</f>
        <v>-25.1791602154296</v>
      </c>
    </row>
    <row r="2458" customFormat="false" ht="17.15" hidden="false" customHeight="false" outlineLevel="0" collapsed="false">
      <c r="A2458" s="5" t="s">
        <v>942</v>
      </c>
      <c r="B2458" s="0" t="s">
        <v>86</v>
      </c>
      <c r="C2458" s="38" t="n">
        <f aca="false">(1-tp_yf)*(Sens!$H$2375)+tp_yf*(Sens!$I$2375)</f>
        <v>63.9452698113175</v>
      </c>
    </row>
    <row r="2459" customFormat="false" ht="17.15" hidden="false" customHeight="false" outlineLevel="0" collapsed="false">
      <c r="A2459" s="5" t="s">
        <v>943</v>
      </c>
      <c r="B2459" s="0" t="s">
        <v>86</v>
      </c>
      <c r="C2459" s="38" t="n">
        <f aca="false">Sens!$C$2458*m_ai</f>
        <v>383.671618867905</v>
      </c>
    </row>
    <row r="2460" customFormat="false" ht="17.15" hidden="false" customHeight="false" outlineLevel="0" collapsed="false">
      <c r="A2460" s="0" t="s">
        <v>944</v>
      </c>
      <c r="B2460" s="0" t="s">
        <v>86</v>
      </c>
      <c r="C2460" s="38" t="n">
        <f aca="false">IF(ai_leg=1,Sens!$C$2457,Sens!$C$2459)</f>
        <v>-25.1791602154296</v>
      </c>
    </row>
    <row r="2461" customFormat="false" ht="17.15" hidden="false" customHeight="false" outlineLevel="0" collapsed="false">
      <c r="A2461" s="5" t="s">
        <v>945</v>
      </c>
      <c r="B2461" s="0" t="s">
        <v>86</v>
      </c>
      <c r="C2461" s="38" t="n">
        <f aca="false">Sens!$C$2447+Sens!$C$2450+Sens!$C$2453+Sens!$C$2460</f>
        <v>2782.39048261138</v>
      </c>
    </row>
    <row r="2462" customFormat="false" ht="17.15" hidden="false" customHeight="false" outlineLevel="0" collapsed="false">
      <c r="A2462" s="5" t="s">
        <v>946</v>
      </c>
      <c r="B2462" s="0" t="s">
        <v>86</v>
      </c>
      <c r="C2462" s="38" t="n">
        <f aca="false">Sens!$H$2415+fin_debt</f>
        <v>126.599481532031</v>
      </c>
    </row>
    <row r="2463" customFormat="false" ht="15" hidden="false" customHeight="false" outlineLevel="0" collapsed="false">
      <c r="A2463" s="5" t="s">
        <v>947</v>
      </c>
      <c r="B2463" s="0" t="s">
        <v>86</v>
      </c>
      <c r="C2463" s="38" t="n">
        <f aca="false">Sens!$C$2461-Sens!$C$2462+Sens!$C$2440</f>
        <v>2834.73500107935</v>
      </c>
    </row>
    <row r="2464" customFormat="false" ht="15" hidden="false" customHeight="false" outlineLevel="0" collapsed="false">
      <c r="A2464" s="3" t="s">
        <v>948</v>
      </c>
      <c r="B2464" s="8" t="s">
        <v>27</v>
      </c>
      <c r="C2464" s="30" t="n">
        <f aca="false">Sens!$C$2463/sh_val</f>
        <v>256.994950558919</v>
      </c>
    </row>
    <row r="2465" customFormat="false" ht="17.15" hidden="false" customHeight="false" outlineLevel="0" collapsed="false">
      <c r="A2465" s="47" t="s">
        <v>949</v>
      </c>
      <c r="B2465" s="14" t="s">
        <v>27</v>
      </c>
      <c r="C2465" s="44" t="n">
        <f aca="false">w_dcf*Sens!$C$2443+(1-w_dcf)*Sens!$C$2464</f>
        <v>195.319025336379</v>
      </c>
      <c r="D2465" s="14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</row>
    <row r="2466" customFormat="false" ht="17.15" hidden="false" customHeight="false" outlineLevel="0" collapsed="false">
      <c r="A2466" s="5" t="s">
        <v>950</v>
      </c>
      <c r="B2466" s="0" t="s">
        <v>27</v>
      </c>
      <c r="C2466" s="30" t="n">
        <f aca="false">v022_wdcf*Sens!$C$2443+(1-v022_wdcf)*Sens!$C$2464</f>
        <v>201.486617858633</v>
      </c>
    </row>
    <row r="2467" customFormat="false" ht="17.15" hidden="false" customHeight="false" outlineLevel="0" collapsed="false">
      <c r="A2467" s="5" t="s">
        <v>951</v>
      </c>
      <c r="B2467" s="0" t="s">
        <v>27</v>
      </c>
      <c r="C2467" s="30" t="n">
        <f aca="false">(Sens!$C$2463-Sens!$C$2460+Sens!$C$2459)/sh_val</f>
        <v>294.061055756226</v>
      </c>
    </row>
    <row r="2470" customFormat="false" ht="19.4" hidden="false" customHeight="false" outlineLevel="0" collapsed="false">
      <c r="A2470" s="31" t="s">
        <v>1177</v>
      </c>
    </row>
    <row r="2471" customFormat="false" ht="17.15" hidden="false" customHeight="false" outlineLevel="0" collapsed="false">
      <c r="A2471" s="6" t="s">
        <v>16</v>
      </c>
      <c r="B2471" s="6" t="s">
        <v>17</v>
      </c>
      <c r="C2471" s="20" t="s">
        <v>494</v>
      </c>
      <c r="D2471" s="20" t="s">
        <v>495</v>
      </c>
      <c r="E2471" s="20" t="s">
        <v>577</v>
      </c>
      <c r="F2471" s="20" t="s">
        <v>578</v>
      </c>
      <c r="G2471" s="20" t="s">
        <v>579</v>
      </c>
      <c r="H2471" s="20" t="s">
        <v>580</v>
      </c>
      <c r="I2471" s="20" t="s">
        <v>581</v>
      </c>
      <c r="J2471" s="20" t="s">
        <v>582</v>
      </c>
      <c r="K2471" s="20" t="s">
        <v>583</v>
      </c>
      <c r="L2471" s="20" t="s">
        <v>584</v>
      </c>
      <c r="M2471" s="20" t="s">
        <v>585</v>
      </c>
      <c r="N2471" s="20" t="s">
        <v>586</v>
      </c>
      <c r="O2471" s="20" t="s">
        <v>587</v>
      </c>
      <c r="P2471" s="6" t="s">
        <v>23</v>
      </c>
      <c r="R2471" s="20" t="n">
        <v>2023</v>
      </c>
      <c r="S2471" s="20" t="n">
        <v>2024</v>
      </c>
      <c r="T2471" s="20" t="n">
        <v>2025</v>
      </c>
      <c r="U2471" s="20" t="n">
        <v>2026</v>
      </c>
      <c r="V2471" s="20" t="n">
        <v>2027</v>
      </c>
      <c r="W2471" s="20" t="n">
        <v>2028</v>
      </c>
      <c r="X2471" s="20" t="n">
        <v>2029</v>
      </c>
      <c r="Y2471" s="20" t="n">
        <v>2030</v>
      </c>
      <c r="Z2471" s="20" t="n">
        <v>2031</v>
      </c>
      <c r="AA2471" s="20" t="n">
        <v>2032</v>
      </c>
    </row>
    <row r="2472" customFormat="false" ht="17.15" hidden="false" customHeight="false" outlineLevel="0" collapsed="false">
      <c r="A2472" s="1" t="s">
        <v>660</v>
      </c>
    </row>
    <row r="2473" customFormat="false" ht="17.15" hidden="false" customHeight="false" outlineLevel="0" collapsed="false">
      <c r="A2473" s="0" t="s">
        <v>516</v>
      </c>
      <c r="B2473" s="0" t="s">
        <v>86</v>
      </c>
      <c r="C2473" s="38" t="n">
        <f aca="false">Q!$D$10</f>
        <v>247.029</v>
      </c>
      <c r="D2473" s="38" t="n">
        <f aca="false">Q!$E$10</f>
        <v>269.287</v>
      </c>
      <c r="E2473" s="38" t="n">
        <f aca="false">Q!$P$10</f>
        <v>134.686</v>
      </c>
      <c r="F2473" s="38" t="n">
        <f aca="false">Sens!$O$2473*(1+Sens!$F$2474)*Sens!$F$2485</f>
        <v>158.293876822267</v>
      </c>
      <c r="G2473" s="38" t="n">
        <f aca="false">Sens!$E$2473+Sens!$F$2473</f>
        <v>292.979876822267</v>
      </c>
      <c r="H2473" s="38" t="n">
        <f aca="false">Sens!$G$2473*(1+Sens!$H$2474)</f>
        <v>318.184543087396</v>
      </c>
      <c r="I2473" s="38" t="n">
        <f aca="false">Sens!$H$2473*(1+Sens!$I$2474)</f>
        <v>341.736278761793</v>
      </c>
      <c r="J2473" s="38" t="n">
        <f aca="false">Sens!$I$2473*(1+Sens!$J$2474)</f>
        <v>362.927192787048</v>
      </c>
      <c r="K2473" s="38" t="n">
        <f aca="false">Sens!$J$2473*(1+Sens!$K$2474)</f>
        <v>381.0735524264</v>
      </c>
      <c r="L2473" s="38" t="n">
        <f aca="false">Sens!$K$2473*(1+Sens!$L$2474)</f>
        <v>400.12723004772</v>
      </c>
      <c r="M2473" s="38" t="n">
        <f aca="false">Sens!$L$2473*(1+Sens!$M$2474)</f>
        <v>420.133591550106</v>
      </c>
      <c r="N2473" s="38" t="n">
        <f aca="false">Q!$N$10</f>
        <v>118.892</v>
      </c>
      <c r="O2473" s="38" t="n">
        <f aca="false">Q!$O$10</f>
        <v>150.395</v>
      </c>
      <c r="P2473" s="8" t="s">
        <v>661</v>
      </c>
    </row>
    <row r="2474" customFormat="false" ht="17.15" hidden="false" customHeight="false" outlineLevel="0" collapsed="false">
      <c r="A2474" s="0" t="s">
        <v>662</v>
      </c>
      <c r="B2474" s="0" t="s">
        <v>52</v>
      </c>
      <c r="E2474" s="13" t="n">
        <f aca="false">Sens!$E$2473/Sens!$N$2473-1</f>
        <v>0.132843252699929</v>
      </c>
      <c r="F2474" s="13" t="n">
        <f aca="false">Sens!$O$2473/(Q!$F$10+Q!$G$10)-1</f>
        <v>0.0980382135842941</v>
      </c>
      <c r="G2474" s="13" t="n">
        <f aca="false">Sens!$G$2473/Sens!$D$2473-1</f>
        <v>0.0879837378791657</v>
      </c>
      <c r="H2474" s="13" t="n">
        <f aca="false">Sens!$F$2474+(g_os-Sens!$F$2474)*1/4</f>
        <v>0.0860286601882206</v>
      </c>
      <c r="I2474" s="13" t="n">
        <f aca="false">Sens!$F$2474+(g_os-Sens!$F$2474)*2/4</f>
        <v>0.074019106792147</v>
      </c>
      <c r="J2474" s="13" t="n">
        <f aca="false">Sens!$F$2474+(g_os-Sens!$F$2474)*3/4</f>
        <v>0.0620095533960735</v>
      </c>
      <c r="K2474" s="13" t="n">
        <f aca="false">Sens!$F$2474+(g_os-Sens!$F$2474)*4/4</f>
        <v>0.05</v>
      </c>
      <c r="L2474" s="13" t="n">
        <f aca="false">g_os</f>
        <v>0.05</v>
      </c>
      <c r="M2474" s="13" t="n">
        <f aca="false">g_os</f>
        <v>0.05</v>
      </c>
      <c r="P2474" s="8" t="s">
        <v>663</v>
      </c>
    </row>
    <row r="2475" customFormat="false" ht="17.15" hidden="false" customHeight="false" outlineLevel="0" collapsed="false">
      <c r="A2475" s="0" t="s">
        <v>517</v>
      </c>
      <c r="B2475" s="0" t="s">
        <v>86</v>
      </c>
      <c r="C2475" s="38" t="n">
        <f aca="false">Q!$D$11</f>
        <v>21.215</v>
      </c>
      <c r="D2475" s="38" t="n">
        <f aca="false">Q!$E$11</f>
        <v>22.561</v>
      </c>
      <c r="E2475" s="38" t="n">
        <f aca="false">Q!$P$11</f>
        <v>11.579</v>
      </c>
      <c r="F2475" s="38" t="n">
        <f aca="false">Sens!$O$2475*(1+Sens!$F$2476)*Sens!$F$2485</f>
        <v>11.5938724610325</v>
      </c>
      <c r="G2475" s="38" t="n">
        <f aca="false">Sens!$E$2475+Sens!$F$2475</f>
        <v>23.1728724610325</v>
      </c>
      <c r="H2475" s="38" t="n">
        <f aca="false">Sens!$G$2475*(1+Sens!$H$2476)</f>
        <v>24.353392759506</v>
      </c>
      <c r="I2475" s="38" t="n">
        <f aca="false">Sens!$H$2475*(1+Sens!$I$2476)</f>
        <v>25.4240338872015</v>
      </c>
      <c r="J2475" s="38" t="n">
        <f aca="false">Sens!$I$2475*(1+Sens!$J$2476)</f>
        <v>26.3642491017174</v>
      </c>
      <c r="K2475" s="38" t="n">
        <f aca="false">Sens!$J$2475*(1+Sens!$K$2476)</f>
        <v>27.155176574769</v>
      </c>
      <c r="L2475" s="38" t="n">
        <f aca="false">Sens!$K$2475*(1+Sens!$L$2476)</f>
        <v>27.969831872012</v>
      </c>
      <c r="M2475" s="38" t="n">
        <f aca="false">Sens!$L$2475*(1+Sens!$M$2476)</f>
        <v>28.8089268281724</v>
      </c>
      <c r="N2475" s="38" t="n">
        <f aca="false">Q!$N$11</f>
        <v>11.128</v>
      </c>
      <c r="O2475" s="38" t="n">
        <f aca="false">Q!$O$11</f>
        <v>11.433</v>
      </c>
      <c r="P2475" s="8" t="s">
        <v>661</v>
      </c>
    </row>
    <row r="2476" customFormat="false" ht="17.15" hidden="false" customHeight="false" outlineLevel="0" collapsed="false">
      <c r="A2476" s="0" t="s">
        <v>664</v>
      </c>
      <c r="B2476" s="0" t="s">
        <v>52</v>
      </c>
      <c r="E2476" s="13" t="n">
        <f aca="false">Sens!$E$2475/Sens!$N$2475-1</f>
        <v>0.0405283968368082</v>
      </c>
      <c r="F2476" s="13" t="n">
        <f aca="false">Sens!$O$2475/(Q!$F$11+Q!$G$11)-1</f>
        <v>0.0579254187100955</v>
      </c>
      <c r="G2476" s="13" t="n">
        <f aca="false">Sens!$G$2475/Sens!$D$2475-1</f>
        <v>0.0271208040881397</v>
      </c>
      <c r="H2476" s="13" t="n">
        <f aca="false">Sens!$F$2476+(g_ps-Sens!$F$2476)*1/4</f>
        <v>0.0509440640325716</v>
      </c>
      <c r="I2476" s="13" t="n">
        <f aca="false">Sens!$F$2476+(g_ps-Sens!$F$2476)*2/4</f>
        <v>0.0439627093550477</v>
      </c>
      <c r="J2476" s="13" t="n">
        <f aca="false">Sens!$F$2476+(g_ps-Sens!$F$2476)*3/4</f>
        <v>0.0369813546775239</v>
      </c>
      <c r="K2476" s="13" t="n">
        <f aca="false">Sens!$F$2476+(g_ps-Sens!$F$2476)*4/4</f>
        <v>0.03</v>
      </c>
      <c r="L2476" s="13" t="n">
        <f aca="false">g_ps</f>
        <v>0.03</v>
      </c>
      <c r="M2476" s="13" t="n">
        <f aca="false">g_ps</f>
        <v>0.03</v>
      </c>
      <c r="P2476" s="8" t="s">
        <v>665</v>
      </c>
    </row>
    <row r="2477" customFormat="false" ht="17.15" hidden="false" customHeight="false" outlineLevel="0" collapsed="false">
      <c r="A2477" s="0" t="s">
        <v>518</v>
      </c>
      <c r="B2477" s="0" t="s">
        <v>86</v>
      </c>
      <c r="C2477" s="38" t="n">
        <f aca="false">Q!$D$12</f>
        <v>156.146</v>
      </c>
      <c r="D2477" s="38" t="n">
        <f aca="false">Q!$E$12</f>
        <v>172.162</v>
      </c>
      <c r="E2477" s="38" t="n">
        <f aca="false">Q!$P$12</f>
        <v>88.358</v>
      </c>
      <c r="F2477" s="38" t="n">
        <f aca="false">Sens!$O$2477*(1+Sens!$F$2478)*Sens!$F$2485</f>
        <v>102.004388260171</v>
      </c>
      <c r="G2477" s="38" t="n">
        <f aca="false">Sens!$E$2477+Sens!$F$2477</f>
        <v>190.362388260171</v>
      </c>
      <c r="H2477" s="38" t="n">
        <f aca="false">Sens!$G$2477*(1+Sens!$H$2478)</f>
        <v>210.343106588311</v>
      </c>
      <c r="I2477" s="38" t="n">
        <f aca="false">Sens!$H$2477*(1+Sens!$I$2478)</f>
        <v>229.969728494648</v>
      </c>
      <c r="J2477" s="38" t="n">
        <f aca="false">Sens!$I$2477*(1+Sens!$J$2478)</f>
        <v>248.747636972598</v>
      </c>
      <c r="K2477" s="38" t="n">
        <f aca="false">Sens!$J$2477*(1+Sens!$K$2478)</f>
        <v>266.15997156068</v>
      </c>
      <c r="L2477" s="38" t="n">
        <f aca="false">Sens!$K$2477*(1+Sens!$L$2478)</f>
        <v>284.791169569927</v>
      </c>
      <c r="M2477" s="38" t="n">
        <f aca="false">Sens!$L$2477*(1+Sens!$M$2478)</f>
        <v>304.726551439822</v>
      </c>
      <c r="N2477" s="38" t="n">
        <f aca="false">Q!$N$12</f>
        <v>76.86</v>
      </c>
      <c r="O2477" s="38" t="n">
        <f aca="false">Q!$O$12</f>
        <v>95.302</v>
      </c>
      <c r="P2477" s="8" t="s">
        <v>661</v>
      </c>
    </row>
    <row r="2478" customFormat="false" ht="17.15" hidden="false" customHeight="false" outlineLevel="0" collapsed="false">
      <c r="A2478" s="0" t="s">
        <v>666</v>
      </c>
      <c r="B2478" s="0" t="s">
        <v>52</v>
      </c>
      <c r="E2478" s="13" t="n">
        <f aca="false">Sens!$E$2477/Sens!$N$2477-1</f>
        <v>0.1495966692688</v>
      </c>
      <c r="F2478" s="13" t="n">
        <f aca="false">Sens!$O$2477/(Q!$F$12+Q!$G$12)-1</f>
        <v>0.11661530890813</v>
      </c>
      <c r="G2478" s="13" t="n">
        <f aca="false">Sens!$G$2477/Sens!$D$2477-1</f>
        <v>0.105716640490767</v>
      </c>
      <c r="H2478" s="13" t="n">
        <f aca="false">Sens!$F$2478+(g_sp-Sens!$F$2478)*1/4</f>
        <v>0.104961481681098</v>
      </c>
      <c r="I2478" s="13" t="n">
        <f aca="false">Sens!$F$2478+(g_sp-Sens!$F$2478)*2/4</f>
        <v>0.0933076544540651</v>
      </c>
      <c r="J2478" s="13" t="n">
        <f aca="false">Sens!$F$2478+(g_sp-Sens!$F$2478)*3/4</f>
        <v>0.0816538272270325</v>
      </c>
      <c r="K2478" s="13" t="n">
        <f aca="false">Sens!$F$2478+(g_sp-Sens!$F$2478)*4/4</f>
        <v>0.07</v>
      </c>
      <c r="L2478" s="13" t="n">
        <f aca="false">g_sp</f>
        <v>0.07</v>
      </c>
      <c r="M2478" s="13" t="n">
        <f aca="false">g_sp</f>
        <v>0.07</v>
      </c>
      <c r="P2478" s="8" t="s">
        <v>667</v>
      </c>
    </row>
    <row r="2479" customFormat="false" ht="17.15" hidden="false" customHeight="false" outlineLevel="0" collapsed="false">
      <c r="A2479" s="0" t="s">
        <v>519</v>
      </c>
      <c r="B2479" s="0" t="s">
        <v>86</v>
      </c>
      <c r="C2479" s="38" t="n">
        <f aca="false">Q!$D$13</f>
        <v>56.214</v>
      </c>
      <c r="D2479" s="38" t="n">
        <f aca="false">Q!$E$13</f>
        <v>68.635</v>
      </c>
      <c r="E2479" s="38" t="n">
        <f aca="false">Q!$P$13</f>
        <v>37.052</v>
      </c>
      <c r="F2479" s="38" t="n">
        <f aca="false">Sens!$O$2479*(1+Sens!$F$2480)*Sens!$F$2485</f>
        <v>46.1572219944148</v>
      </c>
      <c r="G2479" s="38" t="n">
        <f aca="false">Sens!$E$2479+Sens!$F$2479</f>
        <v>83.2092219944148</v>
      </c>
      <c r="H2479" s="38" t="n">
        <f aca="false">Sens!$G$2479*(1+Sens!$H$2480)</f>
        <v>99.8969223878976</v>
      </c>
      <c r="I2479" s="38" t="n">
        <f aca="false">Sens!$H$2479*(1+Sens!$I$2480)</f>
        <v>116.583111095496</v>
      </c>
      <c r="J2479" s="38" t="n">
        <f aca="false">Sens!$I$2479*(1+Sens!$J$2480)</f>
        <v>132.148941941952</v>
      </c>
      <c r="K2479" s="38" t="n">
        <f aca="false">Sens!$J$2479*(1+Sens!$K$2480)</f>
        <v>145.363836136147</v>
      </c>
      <c r="L2479" s="38" t="n">
        <f aca="false">Sens!$K$2479*(1+Sens!$L$2480)</f>
        <v>159.900219749762</v>
      </c>
      <c r="M2479" s="38" t="n">
        <f aca="false">Sens!$L$2479*(1+Sens!$M$2480)</f>
        <v>175.890241724738</v>
      </c>
      <c r="N2479" s="38" t="n">
        <f aca="false">Q!$N$13</f>
        <v>29.615</v>
      </c>
      <c r="O2479" s="38" t="n">
        <f aca="false">Q!$O$13</f>
        <v>39.02</v>
      </c>
      <c r="P2479" s="8" t="s">
        <v>661</v>
      </c>
    </row>
    <row r="2480" customFormat="false" ht="17.15" hidden="false" customHeight="false" outlineLevel="0" collapsed="false">
      <c r="A2480" s="0" t="s">
        <v>668</v>
      </c>
      <c r="B2480" s="0" t="s">
        <v>52</v>
      </c>
      <c r="E2480" s="13" t="n">
        <f aca="false">Sens!$E$2479/Sens!$N$2479-1</f>
        <v>0.25112274185379</v>
      </c>
      <c r="F2480" s="13" t="n">
        <f aca="false">Sens!$O$2479/(Q!$F$13+Q!$G$13)-1</f>
        <v>0.234068123596572</v>
      </c>
      <c r="G2480" s="13" t="n">
        <f aca="false">Sens!$G$2479/Sens!$D$2479-1</f>
        <v>0.212343876949294</v>
      </c>
      <c r="H2480" s="13" t="n">
        <f aca="false">Sens!$F$2480+(g_ad-Sens!$F$2480)*1/4</f>
        <v>0.200551092697429</v>
      </c>
      <c r="I2480" s="13" t="n">
        <f aca="false">Sens!$F$2480+(g_ad-Sens!$F$2480)*2/4</f>
        <v>0.167034061798286</v>
      </c>
      <c r="J2480" s="13" t="n">
        <f aca="false">Sens!$F$2480+(g_ad-Sens!$F$2480)*3/4</f>
        <v>0.133517030899143</v>
      </c>
      <c r="K2480" s="13" t="n">
        <f aca="false">Sens!$F$2480+(g_ad-Sens!$F$2480)*4/4</f>
        <v>0.1</v>
      </c>
      <c r="L2480" s="13" t="n">
        <f aca="false">g_ad</f>
        <v>0.1</v>
      </c>
      <c r="M2480" s="13" t="n">
        <f aca="false">g_ad</f>
        <v>0.1</v>
      </c>
      <c r="P2480" s="8" t="s">
        <v>669</v>
      </c>
    </row>
    <row r="2481" customFormat="false" ht="17.15" hidden="false" customHeight="false" outlineLevel="0" collapsed="false">
      <c r="A2481" s="0" t="s">
        <v>520</v>
      </c>
      <c r="B2481" s="0" t="s">
        <v>86</v>
      </c>
      <c r="C2481" s="38" t="n">
        <f aca="false">Q!$D$14</f>
        <v>44.374</v>
      </c>
      <c r="D2481" s="38" t="n">
        <f aca="false">Q!$E$14</f>
        <v>49.619</v>
      </c>
      <c r="E2481" s="38" t="n">
        <f aca="false">Q!$P$14</f>
        <v>27.157</v>
      </c>
      <c r="F2481" s="38" t="n">
        <f aca="false">Sens!$O$2481*(1+Sens!$F$2482)*Sens!$F$2485</f>
        <v>27.7764165988154</v>
      </c>
      <c r="G2481" s="38" t="n">
        <f aca="false">Sens!$E$2481+Sens!$F$2481</f>
        <v>54.9334165988154</v>
      </c>
      <c r="H2481" s="38" t="n">
        <f aca="false">Sens!$G$2481*(1+Sens!$H$2482)</f>
        <v>61.1564112561829</v>
      </c>
      <c r="I2481" s="38" t="n">
        <f aca="false">Sens!$H$2481*(1+Sens!$I$2482)</f>
        <v>67.2020282103945</v>
      </c>
      <c r="J2481" s="38" t="n">
        <f aca="false">Sens!$I$2481*(1+Sens!$J$2482)</f>
        <v>72.8757274028885</v>
      </c>
      <c r="K2481" s="38" t="n">
        <f aca="false">Sens!$J$2481*(1+Sens!$K$2482)</f>
        <v>77.9770283210907</v>
      </c>
      <c r="L2481" s="38" t="n">
        <f aca="false">Sens!$K$2481*(1+Sens!$L$2482)</f>
        <v>83.4354203035671</v>
      </c>
      <c r="M2481" s="38" t="n">
        <f aca="false">Sens!$L$2481*(1+Sens!$M$2482)</f>
        <v>89.2758997248168</v>
      </c>
      <c r="N2481" s="38" t="n">
        <f aca="false">Q!$N$14</f>
        <v>23.923</v>
      </c>
      <c r="O2481" s="38" t="n">
        <f aca="false">Q!$O$14</f>
        <v>25.696</v>
      </c>
      <c r="P2481" s="8" t="s">
        <v>661</v>
      </c>
    </row>
    <row r="2482" customFormat="false" ht="17.15" hidden="false" customHeight="false" outlineLevel="0" collapsed="false">
      <c r="A2482" s="0" t="s">
        <v>670</v>
      </c>
      <c r="B2482" s="0" t="s">
        <v>52</v>
      </c>
      <c r="E2482" s="13" t="n">
        <f aca="false">Sens!$E$2481/Sens!$N$2481-1</f>
        <v>0.135183714417088</v>
      </c>
      <c r="F2482" s="13" t="n">
        <f aca="false">Sens!$O$2481/(Q!$F$14+Q!$G$14)-1</f>
        <v>0.127709997366804</v>
      </c>
      <c r="G2482" s="13" t="n">
        <f aca="false">Sens!$G$2481/Sens!$D$2481-1</f>
        <v>0.107104468022641</v>
      </c>
      <c r="H2482" s="13" t="n">
        <f aca="false">Sens!$F$2482+(g_sub-Sens!$F$2482)*1/4</f>
        <v>0.113282498025103</v>
      </c>
      <c r="I2482" s="13" t="n">
        <f aca="false">Sens!$F$2482+(g_sub-Sens!$F$2482)*2/4</f>
        <v>0.0988549986834021</v>
      </c>
      <c r="J2482" s="13" t="n">
        <f aca="false">Sens!$F$2482+(g_sub-Sens!$F$2482)*3/4</f>
        <v>0.084427499341701</v>
      </c>
      <c r="K2482" s="13" t="n">
        <f aca="false">Sens!$F$2482+(g_sub-Sens!$F$2482)*4/4</f>
        <v>0.07</v>
      </c>
      <c r="L2482" s="13" t="n">
        <f aca="false">g_sub</f>
        <v>0.07</v>
      </c>
      <c r="M2482" s="13" t="n">
        <f aca="false">g_sub</f>
        <v>0.07</v>
      </c>
      <c r="P2482" s="8" t="s">
        <v>671</v>
      </c>
    </row>
    <row r="2483" customFormat="false" ht="17.15" hidden="false" customHeight="false" outlineLevel="0" collapsed="false">
      <c r="A2483" s="0" t="s">
        <v>521</v>
      </c>
      <c r="B2483" s="0" t="s">
        <v>86</v>
      </c>
      <c r="C2483" s="38" t="n">
        <f aca="false">Q!$D$15</f>
        <v>5.425</v>
      </c>
      <c r="D2483" s="38" t="n">
        <f aca="false">Q!$E$15</f>
        <v>5.935</v>
      </c>
      <c r="E2483" s="38" t="n">
        <f aca="false">Q!$P$15</f>
        <v>3.474</v>
      </c>
      <c r="F2483" s="38" t="n">
        <f aca="false">Sens!$O$2483*(1+Sens!$F$2484)*Sens!$F$2485</f>
        <v>3.22246550883619</v>
      </c>
      <c r="G2483" s="38" t="n">
        <f aca="false">Sens!$E$2483+Sens!$F$2483</f>
        <v>6.69646550883619</v>
      </c>
      <c r="H2483" s="38" t="n">
        <f aca="false">Sens!$G$2483*(1+Sens!$H$2484)</f>
        <v>7.16251344209196</v>
      </c>
      <c r="I2483" s="38" t="n">
        <f aca="false">Sens!$H$2483*(1+Sens!$I$2484)</f>
        <v>7.61421070299826</v>
      </c>
      <c r="J2483" s="38" t="n">
        <f aca="false">Sens!$I$2483*(1+Sens!$J$2484)</f>
        <v>8.04465753523932</v>
      </c>
      <c r="K2483" s="38" t="n">
        <f aca="false">Sens!$J$2483*(1+Sens!$K$2484)</f>
        <v>8.44689041200128</v>
      </c>
      <c r="L2483" s="38" t="n">
        <f aca="false">Sens!$K$2483*(1+Sens!$L$2484)</f>
        <v>8.86923493260135</v>
      </c>
      <c r="M2483" s="38" t="n">
        <f aca="false">Sens!$L$2483*(1+Sens!$M$2484)</f>
        <v>9.31269667923142</v>
      </c>
      <c r="N2483" s="38" t="n">
        <f aca="false">Q!$N$15</f>
        <v>2.811</v>
      </c>
      <c r="O2483" s="38" t="n">
        <f aca="false">Q!$O$15</f>
        <v>3.124</v>
      </c>
      <c r="P2483" s="8" t="s">
        <v>661</v>
      </c>
    </row>
    <row r="2484" customFormat="false" ht="17.15" hidden="false" customHeight="false" outlineLevel="0" collapsed="false">
      <c r="A2484" s="0" t="s">
        <v>672</v>
      </c>
      <c r="B2484" s="0" t="s">
        <v>52</v>
      </c>
      <c r="E2484" s="13" t="n">
        <f aca="false">Sens!$E$2483/Sens!$N$2483-1</f>
        <v>0.235859124866596</v>
      </c>
      <c r="F2484" s="13" t="n">
        <f aca="false">Sens!$O$2483/(Q!$F$15+Q!$G$15)-1</f>
        <v>0.0761281433000345</v>
      </c>
      <c r="G2484" s="13" t="n">
        <f aca="false">Sens!$G$2483/Sens!$D$2483-1</f>
        <v>0.128300843948811</v>
      </c>
      <c r="H2484" s="13" t="n">
        <f aca="false">Sens!$F$2484+(g_ot-Sens!$F$2484)*1/4</f>
        <v>0.0695961074750259</v>
      </c>
      <c r="I2484" s="13" t="n">
        <f aca="false">Sens!$F$2484+(g_ot-Sens!$F$2484)*2/4</f>
        <v>0.0630640716500172</v>
      </c>
      <c r="J2484" s="13" t="n">
        <f aca="false">Sens!$F$2484+(g_ot-Sens!$F$2484)*3/4</f>
        <v>0.0565320358250086</v>
      </c>
      <c r="K2484" s="13" t="n">
        <f aca="false">Sens!$F$2484+(g_ot-Sens!$F$2484)*4/4</f>
        <v>0.05</v>
      </c>
      <c r="L2484" s="13" t="n">
        <f aca="false">g_ot</f>
        <v>0.05</v>
      </c>
      <c r="M2484" s="13" t="n">
        <f aca="false">g_ot</f>
        <v>0.05</v>
      </c>
      <c r="P2484" s="8" t="s">
        <v>673</v>
      </c>
    </row>
    <row r="2485" customFormat="false" ht="17.15" hidden="false" customHeight="false" outlineLevel="0" collapsed="false">
      <c r="A2485" s="0" t="s">
        <v>674</v>
      </c>
      <c r="B2485" s="0" t="s">
        <v>57</v>
      </c>
      <c r="F2485" s="40" t="n">
        <f aca="false">(g26q3_mid*Q!$O$8/Q!$J$8-Sens!$F$2514-Sens!$F$2518)/(Sens!$O$2473*(1+Sens!$F$2474)+Sens!$O$2475*(1+Sens!$F$2476)+Sens!$O$2477*(1+Sens!$F$2478)+Sens!$O$2479*(1+Sens!$F$2480)+Sens!$O$2481*(1+Sens!$F$2482)+Sens!$O$2483*(1+Sens!$F$2484))</f>
        <v>0.958546670622329</v>
      </c>
      <c r="P2485" s="8" t="s">
        <v>675</v>
      </c>
    </row>
    <row r="2486" customFormat="false" ht="17.15" hidden="false" customHeight="false" outlineLevel="0" collapsed="false">
      <c r="A2486" s="3" t="s">
        <v>676</v>
      </c>
      <c r="B2486" s="8" t="s">
        <v>86</v>
      </c>
      <c r="C2486" s="38" t="n">
        <f aca="false">Sens!$C$2473+Sens!$C$2475+Sens!$C$2477+Sens!$C$2479+Sens!$C$2481+Sens!$C$2483</f>
        <v>530.403</v>
      </c>
      <c r="D2486" s="38" t="n">
        <f aca="false">Sens!$D$2473+Sens!$D$2475+Sens!$D$2477+Sens!$D$2479+Sens!$D$2481+Sens!$D$2483</f>
        <v>588.199</v>
      </c>
      <c r="E2486" s="38" t="n">
        <f aca="false">Sens!$E$2473+Sens!$E$2475+Sens!$E$2477+Sens!$E$2479+Sens!$E$2481+Sens!$E$2483</f>
        <v>302.306</v>
      </c>
      <c r="F2486" s="38" t="n">
        <f aca="false">Sens!$F$2473+Sens!$F$2475+Sens!$F$2477+Sens!$F$2479+Sens!$F$2481+Sens!$F$2483</f>
        <v>349.048241645537</v>
      </c>
      <c r="G2486" s="38" t="n">
        <f aca="false">Sens!$G$2473+Sens!$G$2475+Sens!$G$2477+Sens!$G$2479+Sens!$G$2481+Sens!$G$2483</f>
        <v>651.354241645537</v>
      </c>
      <c r="H2486" s="38" t="n">
        <f aca="false">Sens!$H$2473+Sens!$H$2475+Sens!$H$2477+Sens!$H$2479+Sens!$H$2481+Sens!$H$2483</f>
        <v>721.096889521386</v>
      </c>
      <c r="I2486" s="38" t="n">
        <f aca="false">Sens!$I$2473+Sens!$I$2475+Sens!$I$2477+Sens!$I$2479+Sens!$I$2481+Sens!$I$2483</f>
        <v>788.529391152531</v>
      </c>
      <c r="J2486" s="38" t="n">
        <f aca="false">Sens!$J$2473+Sens!$J$2475+Sens!$J$2477+Sens!$J$2479+Sens!$J$2481+Sens!$J$2483</f>
        <v>851.108405741443</v>
      </c>
      <c r="K2486" s="38" t="n">
        <f aca="false">Sens!$K$2473+Sens!$K$2475+Sens!$K$2477+Sens!$K$2479+Sens!$K$2481+Sens!$K$2483</f>
        <v>906.176455431088</v>
      </c>
      <c r="L2486" s="38" t="n">
        <f aca="false">Sens!$L$2473+Sens!$L$2475+Sens!$L$2477+Sens!$L$2479+Sens!$L$2481+Sens!$L$2483</f>
        <v>965.093106475589</v>
      </c>
      <c r="M2486" s="38" t="n">
        <f aca="false">Sens!$M$2473+Sens!$M$2475+Sens!$M$2477+Sens!$M$2479+Sens!$M$2481+Sens!$M$2483</f>
        <v>1028.14790794689</v>
      </c>
      <c r="N2486" s="38" t="n">
        <f aca="false">Sens!$N$2473+Sens!$N$2475+Sens!$N$2477+Sens!$N$2479+Sens!$N$2481+Sens!$N$2483</f>
        <v>263.229</v>
      </c>
      <c r="O2486" s="38" t="n">
        <f aca="false">Sens!$O$2473+Sens!$O$2475+Sens!$O$2477+Sens!$O$2479+Sens!$O$2481+Sens!$O$2483</f>
        <v>324.97</v>
      </c>
    </row>
    <row r="2487" customFormat="false" ht="17.15" hidden="false" customHeight="false" outlineLevel="0" collapsed="false">
      <c r="A2487" s="5" t="s">
        <v>677</v>
      </c>
      <c r="B2487" s="0" t="s">
        <v>52</v>
      </c>
      <c r="C2487" s="13" t="n">
        <f aca="false">Q!$D$5/(Q!$D$5+Q!$D$6)</f>
        <v>0.730570905519011</v>
      </c>
      <c r="D2487" s="13" t="n">
        <f aca="false">Q!$E$5/(Q!$E$5+Q!$E$6)</f>
        <v>0.724763217890544</v>
      </c>
      <c r="E2487" s="13" t="n">
        <f aca="false">Q!$P$5/(Q!$P$5+Q!$P$6)</f>
        <v>0.728797972914861</v>
      </c>
      <c r="F2487" s="13" t="n">
        <f aca="false">Sens!$O$2487</f>
        <v>0.718066283041511</v>
      </c>
      <c r="G2487" s="13" t="n">
        <f aca="false">Sens!$G$2488/Sens!$G$2486</f>
        <v>0.723047066202847</v>
      </c>
      <c r="H2487" s="13" t="n">
        <f aca="false">Sens!$G$2487</f>
        <v>0.723047066202847</v>
      </c>
      <c r="I2487" s="13" t="n">
        <f aca="false">Sens!$G$2487</f>
        <v>0.723047066202847</v>
      </c>
      <c r="J2487" s="13" t="n">
        <f aca="false">Sens!$G$2487</f>
        <v>0.723047066202847</v>
      </c>
      <c r="K2487" s="13" t="n">
        <f aca="false">Sens!$G$2487</f>
        <v>0.723047066202847</v>
      </c>
      <c r="L2487" s="13" t="n">
        <f aca="false">Sens!$G$2487</f>
        <v>0.723047066202847</v>
      </c>
      <c r="M2487" s="13" t="n">
        <f aca="false">Sens!$G$2487</f>
        <v>0.723047066202847</v>
      </c>
      <c r="N2487" s="13" t="n">
        <f aca="false">Q!$N$5/(Q!$N$5+Q!$N$6)</f>
        <v>0.733030935041352</v>
      </c>
      <c r="O2487" s="13" t="n">
        <f aca="false">Q!$O$5/(Q!$O$5+Q!$O$6)</f>
        <v>0.718066283041511</v>
      </c>
      <c r="P2487" s="8" t="s">
        <v>678</v>
      </c>
    </row>
    <row r="2488" customFormat="false" ht="17.15" hidden="false" customHeight="false" outlineLevel="0" collapsed="false">
      <c r="A2488" s="1" t="s">
        <v>509</v>
      </c>
      <c r="B2488" s="8" t="s">
        <v>86</v>
      </c>
      <c r="C2488" s="38" t="n">
        <f aca="false">Q!$D$5</f>
        <v>387.497</v>
      </c>
      <c r="D2488" s="38" t="n">
        <f aca="false">Q!$E$5</f>
        <v>426.305</v>
      </c>
      <c r="E2488" s="38" t="n">
        <f aca="false">Q!$P$5</f>
        <v>220.32</v>
      </c>
      <c r="F2488" s="38" t="n">
        <f aca="false">Sens!$F$2486*Sens!$F$2487</f>
        <v>250.639773480586</v>
      </c>
      <c r="G2488" s="38" t="n">
        <f aca="false">Sens!$E$2488+Sens!$F$2488</f>
        <v>470.959773480586</v>
      </c>
      <c r="H2488" s="38" t="n">
        <f aca="false">Sens!$H$2486*Sens!$H$2487</f>
        <v>521.386990416437</v>
      </c>
      <c r="I2488" s="38" t="n">
        <f aca="false">Sens!$I$2486*Sens!$I$2487</f>
        <v>570.143862887555</v>
      </c>
      <c r="J2488" s="38" t="n">
        <f aca="false">Sens!$J$2486*Sens!$J$2487</f>
        <v>615.391435791933</v>
      </c>
      <c r="K2488" s="38" t="n">
        <f aca="false">Sens!$K$2486*Sens!$K$2487</f>
        <v>655.208227561543</v>
      </c>
      <c r="L2488" s="38" t="n">
        <f aca="false">Sens!$L$2486*Sens!$L$2487</f>
        <v>697.807739249767</v>
      </c>
      <c r="M2488" s="38" t="n">
        <f aca="false">Sens!$M$2486*Sens!$M$2487</f>
        <v>743.399328463592</v>
      </c>
      <c r="N2488" s="38" t="n">
        <f aca="false">Q!$N$5</f>
        <v>192.955</v>
      </c>
      <c r="O2488" s="38" t="n">
        <f aca="false">Q!$O$5</f>
        <v>233.35</v>
      </c>
      <c r="P2488" s="5" t="s">
        <v>679</v>
      </c>
    </row>
    <row r="2489" customFormat="false" ht="17.15" hidden="false" customHeight="false" outlineLevel="0" collapsed="false">
      <c r="A2489" s="1" t="s">
        <v>512</v>
      </c>
      <c r="B2489" s="8" t="s">
        <v>86</v>
      </c>
      <c r="C2489" s="38" t="n">
        <f aca="false">Q!$D$6</f>
        <v>142.906</v>
      </c>
      <c r="D2489" s="38" t="n">
        <f aca="false">Q!$E$6</f>
        <v>161.894</v>
      </c>
      <c r="E2489" s="38" t="n">
        <f aca="false">Q!$P$6</f>
        <v>81.986</v>
      </c>
      <c r="F2489" s="38" t="n">
        <f aca="false">Sens!$F$2486*(1-Sens!$F$2487)</f>
        <v>98.408468164951</v>
      </c>
      <c r="G2489" s="38" t="n">
        <f aca="false">Sens!$E$2489+Sens!$F$2489</f>
        <v>180.394468164951</v>
      </c>
      <c r="H2489" s="38" t="n">
        <f aca="false">Sens!$H$2486*(1-Sens!$H$2487)</f>
        <v>199.709899104949</v>
      </c>
      <c r="I2489" s="38" t="n">
        <f aca="false">Sens!$I$2486*(1-Sens!$I$2487)</f>
        <v>218.385528264976</v>
      </c>
      <c r="J2489" s="38" t="n">
        <f aca="false">Sens!$J$2486*(1-Sens!$J$2487)</f>
        <v>235.71696994951</v>
      </c>
      <c r="K2489" s="38" t="n">
        <f aca="false">Sens!$K$2486*(1-Sens!$K$2487)</f>
        <v>250.968227869545</v>
      </c>
      <c r="L2489" s="38" t="n">
        <f aca="false">Sens!$L$2486*(1-Sens!$L$2487)</f>
        <v>267.285367225822</v>
      </c>
      <c r="M2489" s="38" t="n">
        <f aca="false">Sens!$M$2486*(1-Sens!$M$2487)</f>
        <v>284.748579483295</v>
      </c>
      <c r="N2489" s="38" t="n">
        <f aca="false">Q!$N$6</f>
        <v>70.274</v>
      </c>
      <c r="O2489" s="38" t="n">
        <f aca="false">Q!$O$6</f>
        <v>91.62</v>
      </c>
      <c r="P2489" s="5" t="s">
        <v>680</v>
      </c>
    </row>
    <row r="2490" customFormat="false" ht="17.15" hidden="false" customHeight="false" outlineLevel="0" collapsed="false">
      <c r="A2490" s="5" t="s">
        <v>681</v>
      </c>
      <c r="B2490" s="0" t="s">
        <v>86</v>
      </c>
      <c r="C2490" s="38" t="n">
        <f aca="false">Sens!$C$2479*Sens!$C$2487</f>
        <v>41.0683128828457</v>
      </c>
      <c r="D2490" s="38" t="n">
        <f aca="false">Sens!$D$2479*Sens!$D$2487</f>
        <v>49.7441234599175</v>
      </c>
      <c r="E2490" s="38" t="n">
        <f aca="false">Sens!$E$2479*Sens!$E$2487</f>
        <v>27.0034224924414</v>
      </c>
      <c r="F2490" s="38" t="n">
        <f aca="false">Sens!$F$2479*Sens!$F$2487</f>
        <v>33.1439448330513</v>
      </c>
      <c r="G2490" s="38" t="n">
        <f aca="false">Sens!$G$2479*Sens!$G$2487</f>
        <v>60.164183844083</v>
      </c>
      <c r="H2490" s="38" t="n">
        <f aca="false">Sens!$H$2479*Sens!$H$2487</f>
        <v>72.2301766552629</v>
      </c>
      <c r="I2490" s="38" t="n">
        <f aca="false">Sens!$I$2479*Sens!$I$2487</f>
        <v>84.2950764463991</v>
      </c>
      <c r="J2490" s="38" t="n">
        <f aca="false">Sens!$J$2479*Sens!$J$2487</f>
        <v>95.5499047729386</v>
      </c>
      <c r="K2490" s="38" t="n">
        <f aca="false">Sens!$K$2479*Sens!$K$2487</f>
        <v>105.104895250232</v>
      </c>
      <c r="L2490" s="38" t="n">
        <f aca="false">Sens!$L$2479*Sens!$L$2487</f>
        <v>115.615384775256</v>
      </c>
      <c r="M2490" s="38" t="n">
        <f aca="false">Sens!$M$2479*Sens!$M$2487</f>
        <v>127.176923252781</v>
      </c>
      <c r="N2490" s="38" t="n">
        <f aca="false">Sens!$N$2479*Sens!$N$2487</f>
        <v>21.7087111412496</v>
      </c>
      <c r="O2490" s="38" t="n">
        <f aca="false">Sens!$O$2479*Sens!$O$2487</f>
        <v>28.0189463642798</v>
      </c>
      <c r="P2490" s="5" t="s">
        <v>682</v>
      </c>
    </row>
    <row r="2491" customFormat="false" ht="15" hidden="false" customHeight="false" outlineLevel="0" collapsed="false">
      <c r="A2491" s="5" t="s">
        <v>683</v>
      </c>
      <c r="B2491" s="0" t="s">
        <v>86</v>
      </c>
      <c r="C2491" s="38" t="n">
        <f aca="false">Sens!$C$2479-Sens!$C$2490</f>
        <v>15.1456871171543</v>
      </c>
      <c r="D2491" s="38" t="n">
        <f aca="false">Sens!$D$2479-Sens!$D$2490</f>
        <v>18.8908765400825</v>
      </c>
      <c r="E2491" s="38" t="n">
        <f aca="false">Sens!$E$2479-Sens!$E$2490</f>
        <v>10.0485775075586</v>
      </c>
      <c r="F2491" s="38" t="n">
        <f aca="false">Sens!$F$2479-Sens!$F$2490</f>
        <v>13.0132771613635</v>
      </c>
      <c r="G2491" s="38" t="n">
        <f aca="false">Sens!$G$2479-Sens!$G$2490</f>
        <v>23.0450381503318</v>
      </c>
      <c r="H2491" s="38" t="n">
        <f aca="false">Sens!$H$2479-Sens!$H$2490</f>
        <v>27.6667457326347</v>
      </c>
      <c r="I2491" s="38" t="n">
        <f aca="false">Sens!$I$2479-Sens!$I$2490</f>
        <v>32.2880346490971</v>
      </c>
      <c r="J2491" s="38" t="n">
        <f aca="false">Sens!$J$2479-Sens!$J$2490</f>
        <v>36.5990371690132</v>
      </c>
      <c r="K2491" s="38" t="n">
        <f aca="false">Sens!$K$2479-Sens!$K$2490</f>
        <v>40.2589408859145</v>
      </c>
      <c r="L2491" s="38" t="n">
        <f aca="false">Sens!$L$2479-Sens!$L$2490</f>
        <v>44.2848349745059</v>
      </c>
      <c r="M2491" s="38" t="n">
        <f aca="false">Sens!$M$2479-Sens!$M$2490</f>
        <v>48.7133184719565</v>
      </c>
      <c r="N2491" s="38" t="n">
        <f aca="false">Sens!$N$2479-Sens!$N$2490</f>
        <v>7.90628885875037</v>
      </c>
      <c r="O2491" s="38" t="n">
        <f aca="false">Sens!$O$2479-Sens!$O$2490</f>
        <v>11.0010536357202</v>
      </c>
    </row>
    <row r="2492" customFormat="false" ht="19.4" hidden="false" customHeight="false" outlineLevel="0" collapsed="false">
      <c r="A2492" s="31" t="s">
        <v>1178</v>
      </c>
    </row>
    <row r="2493" customFormat="false" ht="17.15" hidden="false" customHeight="false" outlineLevel="0" collapsed="false">
      <c r="A2493" s="6" t="s">
        <v>16</v>
      </c>
      <c r="B2493" s="6" t="s">
        <v>17</v>
      </c>
      <c r="C2493" s="20" t="s">
        <v>494</v>
      </c>
      <c r="D2493" s="20" t="s">
        <v>495</v>
      </c>
      <c r="E2493" s="20" t="s">
        <v>577</v>
      </c>
      <c r="F2493" s="20" t="s">
        <v>578</v>
      </c>
      <c r="G2493" s="20" t="s">
        <v>579</v>
      </c>
      <c r="H2493" s="20" t="s">
        <v>580</v>
      </c>
      <c r="I2493" s="20" t="s">
        <v>581</v>
      </c>
      <c r="J2493" s="20" t="s">
        <v>582</v>
      </c>
      <c r="K2493" s="20" t="s">
        <v>583</v>
      </c>
      <c r="L2493" s="20" t="s">
        <v>584</v>
      </c>
      <c r="M2493" s="20" t="s">
        <v>585</v>
      </c>
      <c r="N2493" s="20" t="s">
        <v>586</v>
      </c>
      <c r="O2493" s="20" t="s">
        <v>587</v>
      </c>
      <c r="P2493" s="6" t="s">
        <v>23</v>
      </c>
      <c r="R2493" s="20" t="n">
        <v>2023</v>
      </c>
      <c r="S2493" s="20" t="n">
        <v>2024</v>
      </c>
      <c r="T2493" s="20" t="n">
        <v>2025</v>
      </c>
      <c r="U2493" s="20" t="n">
        <v>2026</v>
      </c>
      <c r="V2493" s="20" t="n">
        <v>2027</v>
      </c>
      <c r="W2493" s="20" t="n">
        <v>2028</v>
      </c>
      <c r="X2493" s="20" t="n">
        <v>2029</v>
      </c>
      <c r="Y2493" s="20" t="n">
        <v>2030</v>
      </c>
      <c r="Z2493" s="20" t="n">
        <v>2031</v>
      </c>
      <c r="AA2493" s="20" t="n">
        <v>2032</v>
      </c>
    </row>
    <row r="2494" customFormat="false" ht="17.15" hidden="false" customHeight="false" outlineLevel="0" collapsed="false">
      <c r="A2494" s="1" t="s">
        <v>588</v>
      </c>
    </row>
    <row r="2495" customFormat="false" ht="17.15" hidden="false" customHeight="false" outlineLevel="0" collapsed="false">
      <c r="A2495" s="5" t="s">
        <v>589</v>
      </c>
      <c r="B2495" s="0" t="s">
        <v>144</v>
      </c>
      <c r="H2495" s="32" t="n">
        <f aca="false">pace_B</f>
        <v>3634.3</v>
      </c>
      <c r="I2495" s="32" t="n">
        <f aca="false">pace_B</f>
        <v>3634.3</v>
      </c>
      <c r="J2495" s="32" t="n">
        <f aca="false">pace_B</f>
        <v>3634.3</v>
      </c>
      <c r="K2495" s="32" t="n">
        <f aca="false">pace_B+(Sens!$J$2496*tg-pace_B)*1/3</f>
        <v>2570.86716666667</v>
      </c>
      <c r="L2495" s="32" t="n">
        <f aca="false">pace_B+(Sens!$J$2496*tg-pace_B)*2/3</f>
        <v>1507.43433333333</v>
      </c>
      <c r="M2495" s="32" t="n">
        <f aca="false">pace_B+(Sens!$J$2496*tg-pace_B)*3/3</f>
        <v>444.0015</v>
      </c>
      <c r="P2495" s="5" t="s">
        <v>590</v>
      </c>
    </row>
    <row r="2496" customFormat="false" ht="17.15" hidden="false" customHeight="false" outlineLevel="0" collapsed="false">
      <c r="A2496" s="15" t="s">
        <v>591</v>
      </c>
      <c r="B2496" s="14" t="s">
        <v>129</v>
      </c>
      <c r="C2496" s="33" t="n">
        <f aca="false">mw_ye24</f>
        <v>360</v>
      </c>
      <c r="D2496" s="33" t="n">
        <f aca="false">mw_ye25</f>
        <v>1440</v>
      </c>
      <c r="E2496" s="33" t="n">
        <f aca="false">mw_open</f>
        <v>2080</v>
      </c>
      <c r="F2496" s="33" t="n">
        <f aca="false">Sens!$E$2496+pace_B*0.5</f>
        <v>3897.15</v>
      </c>
      <c r="G2496" s="33" t="n">
        <f aca="false">Sens!$F$2496</f>
        <v>3897.15</v>
      </c>
      <c r="H2496" s="33" t="n">
        <f aca="false">Sens!$G$2496+Sens!$H$2495</f>
        <v>7531.45</v>
      </c>
      <c r="I2496" s="33" t="n">
        <f aca="false">Sens!$H$2496+Sens!$I$2495</f>
        <v>11165.75</v>
      </c>
      <c r="J2496" s="33" t="n">
        <f aca="false">Sens!$I$2496+Sens!$J$2495</f>
        <v>14800.05</v>
      </c>
      <c r="K2496" s="33" t="n">
        <f aca="false">Sens!$J$2496+Sens!$K$2495</f>
        <v>17370.9171666667</v>
      </c>
      <c r="L2496" s="33" t="n">
        <f aca="false">Sens!$K$2496+Sens!$L$2495</f>
        <v>18878.3515</v>
      </c>
      <c r="M2496" s="33" t="n">
        <f aca="false">Sens!$L$2496+Sens!$M$2495</f>
        <v>19322.353</v>
      </c>
      <c r="N2496" s="33" t="n">
        <f aca="false">(mw_ye24+mw_ye25)/2</f>
        <v>900</v>
      </c>
      <c r="O2496" s="33" t="n">
        <f aca="false">mw_ye25</f>
        <v>1440</v>
      </c>
      <c r="P2496" s="5" t="s">
        <v>592</v>
      </c>
    </row>
    <row r="2497" customFormat="false" ht="17.15" hidden="false" customHeight="false" outlineLevel="0" collapsed="false">
      <c r="A2497" s="5" t="s">
        <v>593</v>
      </c>
      <c r="B2497" s="0" t="s">
        <v>129</v>
      </c>
      <c r="C2497" s="32" t="n">
        <f aca="false">(mw_ye23+mw_ye24)/2</f>
        <v>240</v>
      </c>
      <c r="D2497" s="32" t="n">
        <f aca="false">(Sens!$C$2496+Sens!$D$2496)/2</f>
        <v>900</v>
      </c>
      <c r="E2497" s="32" t="n">
        <f aca="false">(Sens!$D$2496+Sens!$E$2496)/2</f>
        <v>1760</v>
      </c>
      <c r="F2497" s="32" t="n">
        <f aca="false">(Sens!$E$2496+Sens!$F$2496)/2</f>
        <v>2988.575</v>
      </c>
      <c r="G2497" s="32" t="n">
        <f aca="false">(Sens!$E$2497+Sens!$F$2497)/2</f>
        <v>2374.2875</v>
      </c>
      <c r="H2497" s="32" t="n">
        <f aca="false">(Sens!$G$2496+Sens!$H$2496)/2</f>
        <v>5714.3</v>
      </c>
      <c r="I2497" s="32" t="n">
        <f aca="false">(Sens!$H$2496+Sens!$I$2496)/2</f>
        <v>9348.6</v>
      </c>
      <c r="J2497" s="32" t="n">
        <f aca="false">(Sens!$I$2496+Sens!$J$2496)/2</f>
        <v>12982.9</v>
      </c>
      <c r="K2497" s="32" t="n">
        <f aca="false">(Sens!$J$2496+Sens!$K$2496)/2</f>
        <v>16085.4835833333</v>
      </c>
      <c r="L2497" s="32" t="n">
        <f aca="false">(Sens!$K$2496+Sens!$L$2496)/2</f>
        <v>18124.6343333333</v>
      </c>
      <c r="M2497" s="32" t="n">
        <f aca="false">(Sens!$L$2496+Sens!$M$2496)/2</f>
        <v>19100.35225</v>
      </c>
      <c r="N2497" s="32" t="n">
        <f aca="false">(Sens!$C$2496+Sens!$N$2496)/2</f>
        <v>630</v>
      </c>
      <c r="O2497" s="32" t="n">
        <f aca="false">(Sens!$N$2496+Sens!$O$2496)/2</f>
        <v>1170</v>
      </c>
    </row>
    <row r="2498" customFormat="false" ht="15" hidden="false" customHeight="false" outlineLevel="0" collapsed="false">
      <c r="A2498" s="5" t="s">
        <v>594</v>
      </c>
      <c r="B2498" s="5" t="s">
        <v>123</v>
      </c>
      <c r="C2498" s="34" t="n">
        <v>1</v>
      </c>
      <c r="D2498" s="34" t="n">
        <v>1</v>
      </c>
      <c r="E2498" s="34" t="n">
        <v>0.5</v>
      </c>
      <c r="F2498" s="34" t="n">
        <v>0.5</v>
      </c>
      <c r="G2498" s="34" t="n">
        <v>1</v>
      </c>
      <c r="H2498" s="34" t="n">
        <v>1</v>
      </c>
      <c r="I2498" s="34" t="n">
        <v>1</v>
      </c>
      <c r="J2498" s="34" t="n">
        <v>1</v>
      </c>
      <c r="K2498" s="34" t="n">
        <v>1</v>
      </c>
      <c r="L2498" s="34" t="n">
        <v>1</v>
      </c>
      <c r="M2498" s="34" t="n">
        <v>1</v>
      </c>
      <c r="N2498" s="34" t="n">
        <v>0.5</v>
      </c>
      <c r="O2498" s="34" t="n">
        <v>0.5</v>
      </c>
    </row>
    <row r="2499" customFormat="false" ht="17.15" hidden="false" customHeight="false" outlineLevel="0" collapsed="false">
      <c r="A2499" s="5" t="s">
        <v>595</v>
      </c>
      <c r="B2499" s="0" t="s">
        <v>129</v>
      </c>
      <c r="C2499" s="32" t="n">
        <f aca="false">Sens!$C$2496-mw_ye23</f>
        <v>240</v>
      </c>
      <c r="D2499" s="32" t="n">
        <f aca="false">Sens!$D$2496-Sens!$C$2496</f>
        <v>1080</v>
      </c>
      <c r="E2499" s="32" t="n">
        <f aca="false">Sens!$E$2496-Sens!$D$2496</f>
        <v>640</v>
      </c>
      <c r="F2499" s="32" t="n">
        <f aca="false">Sens!$F$2496-Sens!$E$2496</f>
        <v>1817.15</v>
      </c>
      <c r="G2499" s="32" t="n">
        <f aca="false">Sens!$E$2499+Sens!$F$2499</f>
        <v>2457.15</v>
      </c>
      <c r="H2499" s="32" t="n">
        <f aca="false">Sens!$H$2496-Sens!$G$2496</f>
        <v>3634.3</v>
      </c>
      <c r="I2499" s="32" t="n">
        <f aca="false">Sens!$I$2496-Sens!$H$2496</f>
        <v>3634.3</v>
      </c>
      <c r="J2499" s="32" t="n">
        <f aca="false">Sens!$J$2496-Sens!$I$2496</f>
        <v>3634.3</v>
      </c>
      <c r="K2499" s="32" t="n">
        <f aca="false">Sens!$K$2496-Sens!$J$2496</f>
        <v>2570.86716666667</v>
      </c>
      <c r="L2499" s="32" t="n">
        <f aca="false">Sens!$L$2496-Sens!$K$2496</f>
        <v>1507.43433333333</v>
      </c>
      <c r="M2499" s="32" t="n">
        <f aca="false">Sens!$M$2496-Sens!$L$2496</f>
        <v>444.001499999999</v>
      </c>
      <c r="N2499" s="32" t="n">
        <f aca="false">Sens!$N$2496-Sens!$C$2496</f>
        <v>540</v>
      </c>
      <c r="O2499" s="32" t="n">
        <f aca="false">Sens!$O$2496-Sens!$N$2496</f>
        <v>540</v>
      </c>
    </row>
    <row r="2500" customFormat="false" ht="17.15" hidden="false" customHeight="false" outlineLevel="0" collapsed="false">
      <c r="A2500" s="5" t="s">
        <v>596</v>
      </c>
      <c r="B2500" s="0" t="s">
        <v>129</v>
      </c>
      <c r="C2500" s="32" t="n">
        <f aca="false">Sens!$C$2499/ext_sh</f>
        <v>300</v>
      </c>
      <c r="D2500" s="32" t="n">
        <f aca="false">Sens!$D$2499/ext_sh</f>
        <v>1350</v>
      </c>
      <c r="E2500" s="32" t="n">
        <f aca="false">Sens!$E$2499/ext_sh</f>
        <v>800</v>
      </c>
      <c r="F2500" s="32" t="n">
        <f aca="false">Sens!$F$2499/ext_sh</f>
        <v>2271.4375</v>
      </c>
      <c r="G2500" s="32" t="n">
        <f aca="false">Sens!$G$2499/ext_sh</f>
        <v>3071.4375</v>
      </c>
      <c r="H2500" s="32" t="n">
        <f aca="false">Sens!$H$2499/ext_sh</f>
        <v>4542.875</v>
      </c>
      <c r="I2500" s="32" t="n">
        <f aca="false">Sens!$I$2499/ext_sh</f>
        <v>4542.875</v>
      </c>
      <c r="J2500" s="32" t="n">
        <f aca="false">Sens!$J$2499/ext_sh</f>
        <v>4542.875</v>
      </c>
      <c r="K2500" s="32" t="n">
        <f aca="false">Sens!$K$2499/ext_sh</f>
        <v>3213.58395833333</v>
      </c>
      <c r="L2500" s="32" t="n">
        <f aca="false">Sens!$L$2499/ext_sh</f>
        <v>1884.29291666667</v>
      </c>
      <c r="M2500" s="32" t="n">
        <f aca="false">Sens!$M$2499/ext_sh</f>
        <v>555.001874999998</v>
      </c>
      <c r="N2500" s="32" t="n">
        <f aca="false">Sens!$N$2499/ext_sh</f>
        <v>675</v>
      </c>
      <c r="O2500" s="32" t="n">
        <f aca="false">Sens!$O$2499/ext_sh</f>
        <v>675</v>
      </c>
      <c r="P2500" s="8" t="s">
        <v>597</v>
      </c>
      <c r="R2500" s="32" t="n">
        <f aca="false">mw_ye23/ext_sh</f>
        <v>150</v>
      </c>
      <c r="S2500" s="32" t="n">
        <f aca="false">Sens!$C$2500</f>
        <v>300</v>
      </c>
      <c r="T2500" s="32" t="n">
        <f aca="false">Sens!$D$2500</f>
        <v>1350</v>
      </c>
      <c r="U2500" s="32" t="n">
        <f aca="false">Sens!$G$2500</f>
        <v>3071.4375</v>
      </c>
      <c r="V2500" s="32" t="n">
        <f aca="false">Sens!$H$2500</f>
        <v>4542.875</v>
      </c>
      <c r="W2500" s="32" t="n">
        <f aca="false">Sens!$I$2500</f>
        <v>4542.875</v>
      </c>
      <c r="X2500" s="32" t="n">
        <f aca="false">Sens!$J$2500</f>
        <v>4542.875</v>
      </c>
      <c r="Y2500" s="32" t="n">
        <f aca="false">Sens!$K$2500</f>
        <v>3213.58395833333</v>
      </c>
      <c r="Z2500" s="32" t="n">
        <f aca="false">Sens!$L$2500</f>
        <v>1884.29291666667</v>
      </c>
      <c r="AA2500" s="32" t="n">
        <f aca="false">Sens!$M$2500</f>
        <v>555.001874999998</v>
      </c>
    </row>
    <row r="2501" customFormat="false" ht="17.15" hidden="false" customHeight="false" outlineLevel="0" collapsed="false">
      <c r="A2501" s="1" t="s">
        <v>598</v>
      </c>
    </row>
    <row r="2502" customFormat="false" ht="17.15" hidden="false" customHeight="false" outlineLevel="0" collapsed="false">
      <c r="A2502" s="0" t="s">
        <v>599</v>
      </c>
      <c r="B2502" s="0" t="s">
        <v>52</v>
      </c>
      <c r="F2502" s="35" t="n">
        <f aca="false">na_vr26</f>
        <v>0</v>
      </c>
      <c r="G2502" s="35" t="n">
        <f aca="false">na_vr26</f>
        <v>0</v>
      </c>
      <c r="H2502" s="35" t="n">
        <f aca="false">na_vr27</f>
        <v>0.5</v>
      </c>
      <c r="I2502" s="35" t="n">
        <f aca="false">na_vr28</f>
        <v>1</v>
      </c>
      <c r="J2502" s="35" t="n">
        <f aca="false">na_vr28</f>
        <v>1</v>
      </c>
      <c r="K2502" s="35" t="n">
        <f aca="false">na_vr28</f>
        <v>1</v>
      </c>
      <c r="L2502" s="35" t="n">
        <f aca="false">na_vr28</f>
        <v>1</v>
      </c>
      <c r="M2502" s="35" t="n">
        <f aca="false">na_vr28</f>
        <v>1</v>
      </c>
    </row>
    <row r="2503" customFormat="false" ht="17.15" hidden="false" customHeight="false" outlineLevel="0" collapsed="false">
      <c r="A2503" s="5" t="s">
        <v>600</v>
      </c>
      <c r="B2503" s="0" t="s">
        <v>173</v>
      </c>
      <c r="F2503" s="36" t="n">
        <f aca="false">cust_sh*tk_he_gb300*cf_chip+(1-cust_sh)*((1-Sens!$F$2502)*tk_he_gb300+Sens!$F$2502*tk_he_vr200)</f>
        <v>10.8864110021101</v>
      </c>
      <c r="G2503" s="36" t="n">
        <f aca="false">cust_sh*tk_he_gb300*cf_chip+(1-cust_sh)*((1-Sens!$G$2502)*tk_he_gb300+Sens!$G$2502*tk_he_vr200)</f>
        <v>10.8864110021101</v>
      </c>
      <c r="H2503" s="36" t="n">
        <f aca="false">cust_sh*tk_he_gb300*cf_chip+(1-cust_sh)*((1-Sens!$H$2502)*tk_he_gb300+Sens!$H$2502*tk_he_vr200)</f>
        <v>11.2211760027286</v>
      </c>
      <c r="I2503" s="36" t="n">
        <f aca="false">cust_sh*tk_he_gb300*cf_chip+(1-cust_sh)*((1-Sens!$I$2502)*tk_he_gb300+Sens!$I$2502*tk_he_vr200)</f>
        <v>11.5559410033471</v>
      </c>
      <c r="J2503" s="36" t="n">
        <f aca="false">cust_sh*tk_he_gb300*cf_chip+(1-cust_sh)*((1-Sens!$J$2502)*tk_he_gb300+Sens!$J$2502*tk_he_vr200)</f>
        <v>11.5559410033471</v>
      </c>
      <c r="K2503" s="36" t="n">
        <f aca="false">cust_sh*tk_he_gb300*cf_chip+(1-cust_sh)*((1-Sens!$K$2502)*tk_he_gb300+Sens!$K$2502*tk_he_vr200)</f>
        <v>11.5559410033471</v>
      </c>
      <c r="L2503" s="36" t="n">
        <f aca="false">cust_sh*tk_he_gb300*cf_chip+(1-cust_sh)*((1-Sens!$L$2502)*tk_he_gb300+Sens!$L$2502*tk_he_vr200)</f>
        <v>11.5559410033471</v>
      </c>
      <c r="M2503" s="36" t="n">
        <f aca="false">cust_sh*tk_he_gb300*cf_chip+(1-cust_sh)*((1-Sens!$M$2502)*tk_he_gb300+Sens!$M$2502*tk_he_vr200)</f>
        <v>11.5559410033471</v>
      </c>
    </row>
    <row r="2504" customFormat="false" ht="17.15" hidden="false" customHeight="false" outlineLevel="0" collapsed="false">
      <c r="A2504" s="5" t="s">
        <v>601</v>
      </c>
      <c r="B2504" s="0" t="s">
        <v>173</v>
      </c>
      <c r="F2504" s="36" t="n">
        <f aca="false">cust_sh*tk_ox_gb300+(1-cust_sh)*((1-Sens!$F$2502)*tk_ox_gb300+Sens!$F$2502*tk_ox_vr200)</f>
        <v>1.98263481314457</v>
      </c>
      <c r="G2504" s="36" t="n">
        <f aca="false">cust_sh*tk_ox_gb300+(1-cust_sh)*((1-Sens!$G$2502)*tk_ox_gb300+Sens!$G$2502*tk_ox_vr200)</f>
        <v>1.98263481314457</v>
      </c>
      <c r="H2504" s="36" t="n">
        <f aca="false">cust_sh*tk_ox_gb300+(1-cust_sh)*((1-Sens!$H$2502)*tk_ox_gb300+Sens!$H$2502*tk_ox_vr200)</f>
        <v>2.01034999693694</v>
      </c>
      <c r="I2504" s="36" t="n">
        <f aca="false">cust_sh*tk_ox_gb300+(1-cust_sh)*((1-Sens!$I$2502)*tk_ox_gb300+Sens!$I$2502*tk_ox_vr200)</f>
        <v>2.0380651807293</v>
      </c>
      <c r="J2504" s="36" t="n">
        <f aca="false">cust_sh*tk_ox_gb300+(1-cust_sh)*((1-Sens!$J$2502)*tk_ox_gb300+Sens!$J$2502*tk_ox_vr200)</f>
        <v>2.0380651807293</v>
      </c>
      <c r="K2504" s="36" t="n">
        <f aca="false">cust_sh*tk_ox_gb300+(1-cust_sh)*((1-Sens!$K$2502)*tk_ox_gb300+Sens!$K$2502*tk_ox_vr200)</f>
        <v>2.0380651807293</v>
      </c>
      <c r="L2504" s="36" t="n">
        <f aca="false">cust_sh*tk_ox_gb300+(1-cust_sh)*((1-Sens!$L$2502)*tk_ox_gb300+Sens!$L$2502*tk_ox_vr200)</f>
        <v>2.0380651807293</v>
      </c>
      <c r="M2504" s="36" t="n">
        <f aca="false">cust_sh*tk_ox_gb300+(1-cust_sh)*((1-Sens!$M$2502)*tk_ox_gb300+Sens!$M$2502*tk_ox_vr200)</f>
        <v>2.0380651807293</v>
      </c>
    </row>
    <row r="2505" customFormat="false" ht="17.15" hidden="false" customHeight="false" outlineLevel="0" collapsed="false">
      <c r="A2505" s="5" t="s">
        <v>602</v>
      </c>
      <c r="B2505" s="0" t="s">
        <v>192</v>
      </c>
      <c r="F2505" s="36" t="n">
        <f aca="false">cust_sh*tk_cx_gb300*cf_cx+(1-cust_sh)*((1-Sens!$F$2502)*tk_cx_gb300+Sens!$F$2502*tk_cx_vr200)</f>
        <v>32.237224</v>
      </c>
      <c r="G2505" s="36" t="n">
        <f aca="false">cust_sh*tk_cx_gb300*cf_cx+(1-cust_sh)*((1-Sens!$G$2502)*tk_cx_gb300+Sens!$G$2502*tk_cx_vr200)</f>
        <v>32.237224</v>
      </c>
      <c r="H2505" s="36" t="n">
        <f aca="false">cust_sh*tk_cx_gb300*cf_cx+(1-cust_sh)*((1-Sens!$H$2502)*tk_cx_gb300+Sens!$H$2502*tk_cx_vr200)</f>
        <v>33.574506</v>
      </c>
      <c r="I2505" s="36" t="n">
        <f aca="false">cust_sh*tk_cx_gb300*cf_cx+(1-cust_sh)*((1-Sens!$I$2502)*tk_cx_gb300+Sens!$I$2502*tk_cx_vr200)</f>
        <v>34.911788</v>
      </c>
      <c r="J2505" s="36" t="n">
        <f aca="false">cust_sh*tk_cx_gb300*cf_cx+(1-cust_sh)*((1-Sens!$J$2502)*tk_cx_gb300+Sens!$J$2502*tk_cx_vr200)</f>
        <v>34.911788</v>
      </c>
      <c r="K2505" s="36" t="n">
        <f aca="false">cust_sh*tk_cx_gb300*cf_cx+(1-cust_sh)*((1-Sens!$K$2502)*tk_cx_gb300+Sens!$K$2502*tk_cx_vr200)</f>
        <v>34.911788</v>
      </c>
      <c r="L2505" s="36" t="n">
        <f aca="false">cust_sh*tk_cx_gb300*cf_cx+(1-cust_sh)*((1-Sens!$L$2502)*tk_cx_gb300+Sens!$L$2502*tk_cx_vr200)</f>
        <v>34.911788</v>
      </c>
      <c r="M2505" s="36" t="n">
        <f aca="false">cust_sh*tk_cx_gb300*cf_cx+(1-cust_sh)*((1-Sens!$M$2502)*tk_cx_gb300+Sens!$M$2502*tk_cx_vr200)</f>
        <v>34.911788</v>
      </c>
    </row>
    <row r="2506" customFormat="false" ht="17.15" hidden="false" customHeight="false" outlineLevel="0" collapsed="false">
      <c r="A2506" s="5" t="s">
        <v>603</v>
      </c>
      <c r="B2506" s="0" t="s">
        <v>129</v>
      </c>
      <c r="F2506" s="32" t="n">
        <f aca="false">Sens!$F$2496-mw_open</f>
        <v>1817.15</v>
      </c>
      <c r="G2506" s="32" t="n">
        <f aca="false">Sens!$F$2506</f>
        <v>1817.15</v>
      </c>
      <c r="H2506" s="32" t="n">
        <f aca="false">Sens!$H$2496-mw_open</f>
        <v>5451.45</v>
      </c>
      <c r="I2506" s="32" t="n">
        <f aca="false">Sens!$I$2496-mw_open</f>
        <v>9085.75</v>
      </c>
      <c r="J2506" s="32" t="n">
        <f aca="false">Sens!$J$2496-mw_open</f>
        <v>12720.05</v>
      </c>
      <c r="K2506" s="32" t="n">
        <f aca="false">Sens!$K$2496-mw_open</f>
        <v>15290.9171666667</v>
      </c>
      <c r="L2506" s="32" t="n">
        <f aca="false">Sens!$L$2496-mw_open</f>
        <v>16798.3515</v>
      </c>
      <c r="M2506" s="32" t="n">
        <f aca="false">Sens!$M$2496-mw_open</f>
        <v>17242.353</v>
      </c>
    </row>
    <row r="2507" customFormat="false" ht="17.15" hidden="false" customHeight="false" outlineLevel="0" collapsed="false">
      <c r="A2507" s="0" t="s">
        <v>604</v>
      </c>
      <c r="B2507" s="0" t="s">
        <v>605</v>
      </c>
      <c r="F2507" s="32" t="n">
        <f aca="false">Sens!$F$2499*Sens!$F$2503</f>
        <v>19782.2417524844</v>
      </c>
      <c r="G2507" s="32" t="n">
        <f aca="false">Sens!$F$2507</f>
        <v>19782.2417524844</v>
      </c>
      <c r="H2507" s="32" t="n">
        <f aca="false">Sens!$G$2507+Sens!$H$2499*Sens!$H$2503</f>
        <v>60563.3616992009</v>
      </c>
      <c r="I2507" s="32" t="n">
        <f aca="false">Sens!$H$2507+Sens!$I$2499*Sens!$I$2503</f>
        <v>102561.118087665</v>
      </c>
      <c r="J2507" s="32" t="n">
        <f aca="false">Sens!$I$2507+Sens!$J$2499*Sens!$J$2503</f>
        <v>144558.87447613</v>
      </c>
      <c r="K2507" s="32" t="n">
        <f aca="false">Sens!$J$2507+Sens!$K$2499*Sens!$K$2503</f>
        <v>174267.663781572</v>
      </c>
      <c r="L2507" s="32" t="n">
        <f aca="false">Sens!$K$2507+Sens!$L$2499*Sens!$L$2503</f>
        <v>191687.486003992</v>
      </c>
      <c r="M2507" s="32" t="n">
        <f aca="false">Sens!$L$2507+Sens!$M$2499*Sens!$M$2503</f>
        <v>196818.341143389</v>
      </c>
    </row>
    <row r="2508" customFormat="false" ht="17.15" hidden="false" customHeight="false" outlineLevel="0" collapsed="false">
      <c r="A2508" s="0" t="s">
        <v>606</v>
      </c>
      <c r="B2508" s="0" t="s">
        <v>605</v>
      </c>
      <c r="F2508" s="32" t="n">
        <f aca="false">Sens!$F$2499*Sens!$F$2504</f>
        <v>3602.74485070566</v>
      </c>
      <c r="G2508" s="32" t="n">
        <f aca="false">Sens!$F$2508</f>
        <v>3602.74485070566</v>
      </c>
      <c r="H2508" s="32" t="n">
        <f aca="false">Sens!$G$2508+Sens!$H$2499*Sens!$H$2504</f>
        <v>10908.9598445736</v>
      </c>
      <c r="I2508" s="32" t="n">
        <f aca="false">Sens!$H$2508+Sens!$I$2499*Sens!$I$2504</f>
        <v>18315.9001308981</v>
      </c>
      <c r="J2508" s="32" t="n">
        <f aca="false">Sens!$I$2508+Sens!$J$2499*Sens!$J$2504</f>
        <v>25722.8404172225</v>
      </c>
      <c r="K2508" s="32" t="n">
        <f aca="false">Sens!$J$2508+Sens!$K$2499*Sens!$K$2504</f>
        <v>30962.4352738861</v>
      </c>
      <c r="L2508" s="32" t="n">
        <f aca="false">Sens!$K$2508+Sens!$L$2499*Sens!$L$2504</f>
        <v>34034.6847008886</v>
      </c>
      <c r="M2508" s="32" t="n">
        <f aca="false">Sens!$L$2508+Sens!$M$2499*Sens!$M$2504</f>
        <v>34939.5886982302</v>
      </c>
    </row>
    <row r="2509" customFormat="false" ht="17.15" hidden="false" customHeight="false" outlineLevel="0" collapsed="false">
      <c r="A2509" s="5" t="s">
        <v>607</v>
      </c>
      <c r="B2509" s="0" t="s">
        <v>173</v>
      </c>
      <c r="F2509" s="36" t="n">
        <f aca="false">IF(Sens!$F$2506&gt;0,Sens!$F$2507/Sens!$F$2506,Sens!$F$2503)</f>
        <v>10.8864110021101</v>
      </c>
      <c r="G2509" s="36" t="n">
        <f aca="false">IF(Sens!$G$2506&gt;0,Sens!$G$2507/Sens!$G$2506,Sens!$G$2503)</f>
        <v>10.8864110021101</v>
      </c>
      <c r="H2509" s="36" t="n">
        <f aca="false">IF(Sens!$H$2506&gt;0,Sens!$H$2507/Sens!$H$2506,Sens!$H$2503)</f>
        <v>11.1095876691891</v>
      </c>
      <c r="I2509" s="36" t="n">
        <f aca="false">IF(Sens!$I$2506&gt;0,Sens!$I$2507/Sens!$I$2506,Sens!$I$2503)</f>
        <v>11.2881290028523</v>
      </c>
      <c r="J2509" s="36" t="n">
        <f aca="false">IF(Sens!$J$2506&gt;0,Sens!$J$2507/Sens!$J$2506,Sens!$J$2503)</f>
        <v>11.3646467172794</v>
      </c>
      <c r="K2509" s="36" t="n">
        <f aca="false">IF(Sens!$K$2506&gt;0,Sens!$K$2507/Sens!$K$2506,Sens!$K$2503)</f>
        <v>11.3968090914432</v>
      </c>
      <c r="L2509" s="36" t="n">
        <f aca="false">IF(Sens!$L$2506&gt;0,Sens!$L$2507/Sens!$L$2506,Sens!$L$2503)</f>
        <v>11.4110891181192</v>
      </c>
      <c r="M2509" s="36" t="n">
        <f aca="false">IF(Sens!$M$2506&gt;0,Sens!$M$2507/Sens!$M$2506,Sens!$M$2503)</f>
        <v>11.4148191458201</v>
      </c>
    </row>
    <row r="2510" customFormat="false" ht="17.15" hidden="false" customHeight="false" outlineLevel="0" collapsed="false">
      <c r="A2510" s="5" t="s">
        <v>608</v>
      </c>
      <c r="B2510" s="0" t="s">
        <v>173</v>
      </c>
      <c r="F2510" s="36" t="n">
        <f aca="false">IF(Sens!$F$2506&gt;0,Sens!$F$2508/Sens!$F$2506,Sens!$F$2504)</f>
        <v>1.98263481314457</v>
      </c>
      <c r="G2510" s="36" t="n">
        <f aca="false">IF(Sens!$G$2506&gt;0,Sens!$G$2508/Sens!$G$2506,Sens!$G$2504)</f>
        <v>1.98263481314457</v>
      </c>
      <c r="H2510" s="36" t="n">
        <f aca="false">IF(Sens!$H$2506&gt;0,Sens!$H$2508/Sens!$H$2506,Sens!$H$2504)</f>
        <v>2.00111160233948</v>
      </c>
      <c r="I2510" s="36" t="n">
        <f aca="false">IF(Sens!$I$2506&gt;0,Sens!$I$2508/Sens!$I$2506,Sens!$I$2504)</f>
        <v>2.01589303369541</v>
      </c>
      <c r="J2510" s="36" t="n">
        <f aca="false">IF(Sens!$J$2506&gt;0,Sens!$J$2508/Sens!$J$2506,Sens!$J$2504)</f>
        <v>2.02222793284795</v>
      </c>
      <c r="K2510" s="36" t="n">
        <f aca="false">IF(Sens!$K$2506&gt;0,Sens!$K$2508/Sens!$K$2506,Sens!$K$2504)</f>
        <v>2.02489065478573</v>
      </c>
      <c r="L2510" s="36" t="n">
        <f aca="false">IF(Sens!$L$2506&gt;0,Sens!$L$2508/Sens!$L$2506,Sens!$L$2504)</f>
        <v>2.0260728977417</v>
      </c>
      <c r="M2510" s="36" t="n">
        <f aca="false">IF(Sens!$M$2506&gt;0,Sens!$M$2508/Sens!$M$2506,Sens!$M$2504)</f>
        <v>2.02638170661685</v>
      </c>
    </row>
    <row r="2511" customFormat="false" ht="17.15" hidden="false" customHeight="false" outlineLevel="0" collapsed="false">
      <c r="A2511" s="15" t="s">
        <v>609</v>
      </c>
      <c r="B2511" s="14" t="s">
        <v>173</v>
      </c>
      <c r="C2511" s="14"/>
      <c r="D2511" s="14"/>
      <c r="E2511" s="14"/>
      <c r="F2511" s="37" t="n">
        <f aca="false">Sens!$F$2509*k_B</f>
        <v>10.7987645808025</v>
      </c>
      <c r="G2511" s="37" t="n">
        <f aca="false">Sens!$G$2509*k_B</f>
        <v>10.7987645808025</v>
      </c>
      <c r="H2511" s="37" t="n">
        <f aca="false">Sens!$H$2509*k_B</f>
        <v>11.0201444540452</v>
      </c>
      <c r="I2511" s="37" t="n">
        <f aca="false">Sens!$I$2509*k_B</f>
        <v>11.1972483526393</v>
      </c>
      <c r="J2511" s="37" t="n">
        <f aca="false">Sens!$J$2509*k_B</f>
        <v>11.2731500234653</v>
      </c>
      <c r="K2511" s="37" t="n">
        <f aca="false">Sens!$K$2509*k_B</f>
        <v>11.3050534585724</v>
      </c>
      <c r="L2511" s="37" t="n">
        <f aca="false">Sens!$L$2509*k_B</f>
        <v>11.3192185168503</v>
      </c>
      <c r="M2511" s="37" t="n">
        <f aca="false">Sens!$M$2509*k_B</f>
        <v>11.3229185141234</v>
      </c>
      <c r="N2511" s="14"/>
      <c r="O2511" s="14"/>
      <c r="P2511" s="5" t="s">
        <v>610</v>
      </c>
    </row>
    <row r="2512" customFormat="false" ht="17.15" hidden="false" customHeight="false" outlineLevel="0" collapsed="false">
      <c r="A2512" s="5" t="s">
        <v>611</v>
      </c>
      <c r="B2512" s="0" t="s">
        <v>129</v>
      </c>
      <c r="F2512" s="32" t="n">
        <f aca="false">Sens!$F$2506/2</f>
        <v>908.575</v>
      </c>
      <c r="H2512" s="32" t="n">
        <f aca="false">(Sens!$G$2506+Sens!$H$2506)/2</f>
        <v>3634.3</v>
      </c>
      <c r="I2512" s="32" t="n">
        <f aca="false">(Sens!$H$2506+Sens!$I$2506)/2</f>
        <v>7268.6</v>
      </c>
      <c r="J2512" s="32" t="n">
        <f aca="false">(Sens!$I$2506+Sens!$J$2506)/2</f>
        <v>10902.9</v>
      </c>
      <c r="K2512" s="32" t="n">
        <f aca="false">(Sens!$J$2506+Sens!$K$2506)/2</f>
        <v>14005.4835833333</v>
      </c>
      <c r="L2512" s="32" t="n">
        <f aca="false">(Sens!$K$2506+Sens!$L$2506)/2</f>
        <v>16044.6343333333</v>
      </c>
      <c r="M2512" s="32" t="n">
        <f aca="false">(Sens!$L$2506+Sens!$M$2506)/2</f>
        <v>17020.35225</v>
      </c>
    </row>
    <row r="2513" customFormat="false" ht="17.15" hidden="false" customHeight="false" outlineLevel="0" collapsed="false">
      <c r="A2513" s="1" t="s">
        <v>612</v>
      </c>
    </row>
    <row r="2514" customFormat="false" ht="17.15" hidden="false" customHeight="false" outlineLevel="0" collapsed="false">
      <c r="A2514" s="1" t="s">
        <v>613</v>
      </c>
      <c r="B2514" s="8" t="s">
        <v>86</v>
      </c>
      <c r="C2514" s="38" t="n">
        <f aca="false">Sens!$C$2497*rpm_open*Sens!$C$2498/1000</f>
        <v>2.32100535697364</v>
      </c>
      <c r="D2514" s="38" t="n">
        <f aca="false">Sens!$D$2497*rpm_open*Sens!$D$2498/1000</f>
        <v>8.70377008865116</v>
      </c>
      <c r="E2514" s="38" t="n">
        <f aca="false">Sens!$E$2497*rpm_open*Sens!$E$2498/1000</f>
        <v>8.51035297557002</v>
      </c>
      <c r="F2514" s="38" t="n">
        <f aca="false">(mw_open*rpm_open+Sens!$F$2512*Sens!$F$2511)*Sens!$F$2498/1000</f>
        <v>14.9634336447205</v>
      </c>
      <c r="G2514" s="38" t="n">
        <f aca="false">Sens!$E$2514+Sens!$F$2514</f>
        <v>23.4737866202905</v>
      </c>
      <c r="H2514" s="38" t="n">
        <f aca="false">(mw_open*rpm_open+Sens!$H$2512*Sens!$H$2511)/1000</f>
        <v>60.1658907497746</v>
      </c>
      <c r="I2514" s="38" t="n">
        <f aca="false">(mw_open*rpm_open+Sens!$I$2512*Sens!$I$2511)/1000</f>
        <v>101.503699136432</v>
      </c>
      <c r="J2514" s="38" t="n">
        <f aca="false">(mw_open*rpm_open+Sens!$J$2512*Sens!$J$2511)/1000</f>
        <v>143.025407151278</v>
      </c>
      <c r="K2514" s="38" t="n">
        <f aca="false">(mw_open*rpm_open+Sens!$K$2512*Sens!$K$2511)/1000</f>
        <v>178.44812038318</v>
      </c>
      <c r="L2514" s="38" t="n">
        <f aca="false">(mw_open*rpm_open+Sens!$L$2512*Sens!$L$2511)/1000</f>
        <v>201.728101802396</v>
      </c>
      <c r="M2514" s="38" t="n">
        <f aca="false">(mw_open*rpm_open+Sens!$M$2512*Sens!$M$2511)/1000</f>
        <v>212.835441368865</v>
      </c>
      <c r="N2514" s="38" t="n">
        <f aca="false">Sens!$N$2497*rpm_open*Sens!$N$2498/1000</f>
        <v>3.04631953102791</v>
      </c>
      <c r="O2514" s="38" t="n">
        <f aca="false">Sens!$O$2497*rpm_open*Sens!$O$2498/1000</f>
        <v>5.65745055762326</v>
      </c>
      <c r="P2514" s="5" t="s">
        <v>614</v>
      </c>
    </row>
    <row r="2515" customFormat="false" ht="17.15" hidden="false" customHeight="false" outlineLevel="0" collapsed="false">
      <c r="A2515" s="5" t="s">
        <v>615</v>
      </c>
      <c r="B2515" s="0" t="s">
        <v>173</v>
      </c>
      <c r="C2515" s="36" t="n">
        <f aca="false">Sens!$C$2514*1000/(Sens!$C$2497*Sens!$C$2498)</f>
        <v>9.67085565405685</v>
      </c>
      <c r="D2515" s="36" t="n">
        <f aca="false">Sens!$D$2514*1000/(Sens!$D$2497*Sens!$D$2498)</f>
        <v>9.67085565405685</v>
      </c>
      <c r="E2515" s="36" t="n">
        <f aca="false">Sens!$E$2514*1000/(Sens!$E$2497*Sens!$E$2498)</f>
        <v>9.67085565405685</v>
      </c>
      <c r="F2515" s="36" t="n">
        <f aca="false">Sens!$F$2514*1000/(Sens!$F$2497*Sens!$F$2498)</f>
        <v>10.0137581588017</v>
      </c>
      <c r="G2515" s="36" t="n">
        <f aca="false">Sens!$G$2514*1000/(Sens!$G$2497*Sens!$G$2498)</f>
        <v>9.88666562928478</v>
      </c>
      <c r="H2515" s="36" t="n">
        <f aca="false">Sens!$H$2514*1000/(Sens!$H$2497*Sens!$H$2498)</f>
        <v>10.5290045586992</v>
      </c>
      <c r="I2515" s="36" t="n">
        <f aca="false">Sens!$I$2514*1000/(Sens!$I$2497*Sens!$I$2498)</f>
        <v>10.8576363451674</v>
      </c>
      <c r="J2515" s="36" t="n">
        <f aca="false">Sens!$J$2514*1000/(Sens!$J$2497*Sens!$J$2498)</f>
        <v>11.0164452588619</v>
      </c>
      <c r="K2515" s="36" t="n">
        <f aca="false">Sens!$K$2514*1000/(Sens!$K$2497*Sens!$K$2498)</f>
        <v>11.0937367508227</v>
      </c>
      <c r="L2515" s="36" t="n">
        <f aca="false">Sens!$L$2514*1000/(Sens!$L$2497*Sens!$L$2498)</f>
        <v>11.1300508519168</v>
      </c>
      <c r="M2515" s="36" t="n">
        <f aca="false">Sens!$M$2514*1000/(Sens!$M$2497*Sens!$M$2498)</f>
        <v>11.1430113216297</v>
      </c>
      <c r="N2515" s="36" t="n">
        <f aca="false">Sens!$N$2514*1000/(Sens!$N$2497*Sens!$N$2498)</f>
        <v>9.67085565405685</v>
      </c>
      <c r="O2515" s="36" t="n">
        <f aca="false">Sens!$O$2514*1000/(Sens!$O$2497*Sens!$O$2498)</f>
        <v>9.67085565405685</v>
      </c>
    </row>
    <row r="2516" customFormat="false" ht="17.15" hidden="false" customHeight="false" outlineLevel="0" collapsed="false">
      <c r="A2516" s="0" t="s">
        <v>616</v>
      </c>
      <c r="B2516" s="0" t="s">
        <v>86</v>
      </c>
      <c r="C2516" s="38" t="n">
        <f aca="false">Sens!$C$2497/ext_sh*(ox_open+rent_mw)*Sens!$C$2498/1000</f>
        <v>0.642569210675032</v>
      </c>
      <c r="D2516" s="38" t="n">
        <f aca="false">Sens!$D$2497/ext_sh*(ox_open+rent_mw)*Sens!$D$2498/1000</f>
        <v>2.40963454003137</v>
      </c>
      <c r="E2516" s="38" t="n">
        <f aca="false">Sens!$E$2497/ext_sh*(ox_open+rent_mw)*Sens!$E$2498/1000</f>
        <v>2.35608710580845</v>
      </c>
      <c r="F2516" s="38" t="n">
        <f aca="false">((mw_open*ox_open+Sens!$F$2512*Sens!$F$2510)/ext_sh+Sens!$F$2497/ext_sh*rent_mw)*Sens!$F$2498/1000</f>
        <v>4.05421991106232</v>
      </c>
      <c r="G2516" s="38" t="n">
        <f aca="false">Sens!$E$2516+Sens!$F$2516</f>
        <v>6.41030701687077</v>
      </c>
      <c r="H2516" s="38" t="n">
        <f aca="false">((mw_open*ox_open+Sens!$H$2512*Sens!$H$2510)/ext_sh+Sens!$H$2497/ext_sh*rent_mw)*Sens!$H$2498/1000</f>
        <v>15.8108975546616</v>
      </c>
      <c r="I2516" s="38" t="n">
        <f aca="false">((mw_open*ox_open+Sens!$I$2512*Sens!$I$2510)/ext_sh+Sens!$I$2497/ext_sh*rent_mw)*Sens!$I$2498/1000</f>
        <v>26.1871623400817</v>
      </c>
      <c r="J2516" s="38" t="n">
        <f aca="false">((mw_open*ox_open+Sens!$J$2512*Sens!$J$2510)/ext_sh+Sens!$J$2497/ext_sh*rent_mw)*Sens!$J$2498/1000</f>
        <v>36.5826128954935</v>
      </c>
      <c r="K2516" s="38" t="n">
        <f aca="false">((mw_open*ox_open+Sens!$K$2512*Sens!$K$2510)/ext_sh+Sens!$K$2497/ext_sh*rent_mw)*Sens!$K$2498/1000</f>
        <v>45.4546361137628</v>
      </c>
      <c r="L2516" s="38" t="n">
        <f aca="false">((mw_open*ox_open+Sens!$L$2512*Sens!$L$2510)/ext_sh+Sens!$L$2497/ext_sh*rent_mw)*Sens!$L$2498/1000</f>
        <v>51.2855695554452</v>
      </c>
      <c r="M2516" s="38" t="n">
        <f aca="false">((mw_open*ox_open+Sens!$M$2512*Sens!$M$2510)/ext_sh+Sens!$M$2497/ext_sh*rent_mw)*Sens!$M$2498/1000</f>
        <v>54.0722927838398</v>
      </c>
      <c r="N2516" s="38" t="n">
        <f aca="false">Sens!$N$2497/ext_sh*(ox_open+rent_mw)*Sens!$N$2498/1000</f>
        <v>0.84337208901098</v>
      </c>
      <c r="O2516" s="38" t="n">
        <f aca="false">Sens!$O$2497/ext_sh*(ox_open+rent_mw)*Sens!$O$2498/1000</f>
        <v>1.56626245102039</v>
      </c>
    </row>
    <row r="2517" customFormat="false" ht="17.15" hidden="false" customHeight="false" outlineLevel="0" collapsed="false">
      <c r="A2517" s="0" t="s">
        <v>617</v>
      </c>
      <c r="B2517" s="0" t="s">
        <v>86</v>
      </c>
      <c r="C2517" s="38" t="n">
        <f aca="false">Q!$D$7</f>
        <v>107.556</v>
      </c>
      <c r="D2517" s="38" t="n">
        <f aca="false">Q!$E$7</f>
        <v>128.725</v>
      </c>
      <c r="E2517" s="38" t="n">
        <f aca="false">Q!$P$7</f>
        <v>79.819</v>
      </c>
      <c r="N2517" s="38" t="n">
        <f aca="false">Q!$N$7</f>
        <v>60.14</v>
      </c>
      <c r="O2517" s="38" t="n">
        <f aca="false">Q!$O$7</f>
        <v>68.585</v>
      </c>
    </row>
    <row r="2518" customFormat="false" ht="17.15" hidden="false" customHeight="false" outlineLevel="0" collapsed="false">
      <c r="A2518" s="1" t="s">
        <v>618</v>
      </c>
      <c r="B2518" s="8" t="s">
        <v>86</v>
      </c>
      <c r="C2518" s="38" t="n">
        <f aca="false">Sens!$C$2517-Sens!$C$2514</f>
        <v>105.234994643026</v>
      </c>
      <c r="D2518" s="38" t="n">
        <f aca="false">Sens!$D$2517-Sens!$D$2514</f>
        <v>120.021229911349</v>
      </c>
      <c r="E2518" s="38" t="n">
        <f aca="false">Sens!$E$2517-Sens!$E$2514</f>
        <v>71.30864702443</v>
      </c>
      <c r="F2518" s="38" t="n">
        <f aca="false">Sens!$O$2518*(1+Sens!$F$2519)</f>
        <v>71.7692997942464</v>
      </c>
      <c r="G2518" s="38" t="n">
        <f aca="false">Sens!$E$2518+Sens!$F$2518</f>
        <v>143.077946818676</v>
      </c>
      <c r="H2518" s="38" t="n">
        <f aca="false">Sens!$G$2518*(1+Sens!$H$2519)</f>
        <v>161.017077079203</v>
      </c>
      <c r="I2518" s="38" t="n">
        <f aca="false">Sens!$H$2518*(1+Sens!$I$2519)</f>
        <v>178.769759521457</v>
      </c>
      <c r="J2518" s="38" t="n">
        <f aca="false">Sens!$I$2518*(1+Sens!$J$2519)</f>
        <v>195.775538045907</v>
      </c>
      <c r="K2518" s="38" t="n">
        <f aca="false">Sens!$J$2518*(1+Sens!$K$2519)</f>
        <v>211.43758108958</v>
      </c>
      <c r="L2518" s="38" t="n">
        <f aca="false">Sens!$K$2518*(1+Sens!$L$2519)</f>
        <v>228.352587576746</v>
      </c>
      <c r="M2518" s="38" t="n">
        <f aca="false">Sens!$L$2518*(1+Sens!$M$2519)</f>
        <v>246.620794582886</v>
      </c>
      <c r="N2518" s="38" t="n">
        <f aca="false">Sens!$N$2517-Sens!$N$2514</f>
        <v>57.0936804689721</v>
      </c>
      <c r="O2518" s="38" t="n">
        <f aca="false">Sens!$O$2517-Sens!$O$2514</f>
        <v>62.9275494423768</v>
      </c>
      <c r="P2518" s="5" t="s">
        <v>619</v>
      </c>
    </row>
    <row r="2519" customFormat="false" ht="17.15" hidden="false" customHeight="false" outlineLevel="0" collapsed="false">
      <c r="A2519" s="0" t="s">
        <v>620</v>
      </c>
      <c r="B2519" s="0" t="s">
        <v>52</v>
      </c>
      <c r="D2519" s="13" t="n">
        <f aca="false">Sens!$D$2518/Sens!$C$2518-1</f>
        <v>0.140506827776062</v>
      </c>
      <c r="E2519" s="13" t="n">
        <f aca="false">Sens!$E$2518/Sens!$N$2518-1</f>
        <v>0.248976181579029</v>
      </c>
      <c r="F2519" s="13" t="n">
        <f aca="false">Sens!$D$2519</f>
        <v>0.140506827776062</v>
      </c>
      <c r="G2519" s="13" t="n">
        <f aca="false">Sens!$G$2518/Sens!$D$2518-1</f>
        <v>0.19210532106993</v>
      </c>
      <c r="H2519" s="13" t="n">
        <f aca="false">Sens!$F$2519+(g_awso_lt-Sens!$F$2519)*1/4</f>
        <v>0.125380120832046</v>
      </c>
      <c r="I2519" s="13" t="n">
        <f aca="false">Sens!$F$2519+(g_awso_lt-Sens!$F$2519)*2/4</f>
        <v>0.110253413888031</v>
      </c>
      <c r="J2519" s="13" t="n">
        <f aca="false">Sens!$F$2519+(g_awso_lt-Sens!$F$2519)*3/4</f>
        <v>0.0951267069440154</v>
      </c>
      <c r="K2519" s="13" t="n">
        <f aca="false">Sens!$F$2519+(g_awso_lt-Sens!$F$2519)*4/4</f>
        <v>0.08</v>
      </c>
      <c r="L2519" s="13" t="n">
        <f aca="false">g_awso_lt</f>
        <v>0.08</v>
      </c>
      <c r="M2519" s="13" t="n">
        <f aca="false">g_awso_lt</f>
        <v>0.08</v>
      </c>
      <c r="P2519" s="5" t="s">
        <v>621</v>
      </c>
    </row>
    <row r="2520" customFormat="false" ht="17.15" hidden="false" customHeight="false" outlineLevel="0" collapsed="false">
      <c r="A2520" s="1" t="s">
        <v>622</v>
      </c>
    </row>
    <row r="2521" customFormat="false" ht="17.15" hidden="false" customHeight="false" outlineLevel="0" collapsed="false">
      <c r="A2521" s="0" t="s">
        <v>623</v>
      </c>
      <c r="B2521" s="0" t="s">
        <v>86</v>
      </c>
      <c r="F2521" s="38" t="n">
        <f aca="false">cx_rt*Sens!$F$2486+cx_awso*Sens!$F$2518</f>
        <v>34.9734495387866</v>
      </c>
    </row>
    <row r="2522" customFormat="false" ht="17.15" hidden="false" customHeight="false" outlineLevel="0" collapsed="false">
      <c r="A2522" s="0" t="s">
        <v>624</v>
      </c>
      <c r="B2522" s="0" t="s">
        <v>52</v>
      </c>
      <c r="C2522" s="13" t="n">
        <f aca="false">tk_cx_h100/(tk_cx_h100+tk_fac*(1-colo_sh))</f>
        <v>0.730756458006641</v>
      </c>
      <c r="D2522" s="13" t="n">
        <f aca="false">tk_cx_h100/(tk_cx_h100+tk_fac*(1-colo_sh))</f>
        <v>0.730756458006641</v>
      </c>
      <c r="E2522" s="13" t="n">
        <f aca="false">Sens!$F$2522</f>
        <v>0.760792334328868</v>
      </c>
      <c r="F2522" s="13" t="n">
        <f aca="false">Sens!$F$2505/(Sens!$F$2505+tk_fac*(1-colo_sh))</f>
        <v>0.760792334328868</v>
      </c>
      <c r="G2522" s="13" t="n">
        <f aca="false">Sens!$G$2505/(Sens!$G$2505+tk_fac*(1-colo_sh))</f>
        <v>0.760792334328868</v>
      </c>
      <c r="H2522" s="13" t="n">
        <f aca="false">Sens!$H$2505/(Sens!$H$2505+tk_fac*(1-colo_sh))</f>
        <v>0.768110668862996</v>
      </c>
      <c r="I2522" s="13" t="n">
        <f aca="false">Sens!$I$2505/(Sens!$I$2505+tk_fac*(1-colo_sh))</f>
        <v>0.77499450139483</v>
      </c>
      <c r="J2522" s="13" t="n">
        <f aca="false">Sens!$J$2505/(Sens!$J$2505+tk_fac*(1-colo_sh))</f>
        <v>0.77499450139483</v>
      </c>
      <c r="K2522" s="13" t="n">
        <f aca="false">Sens!$K$2505/(Sens!$K$2505+tk_fac*(1-colo_sh))</f>
        <v>0.77499450139483</v>
      </c>
      <c r="L2522" s="13" t="n">
        <f aca="false">Sens!$L$2505/(Sens!$L$2505+tk_fac*(1-colo_sh))</f>
        <v>0.77499450139483</v>
      </c>
      <c r="M2522" s="13" t="n">
        <f aca="false">Sens!$M$2505/(Sens!$M$2505+tk_fac*(1-colo_sh))</f>
        <v>0.77499450139483</v>
      </c>
    </row>
    <row r="2523" customFormat="false" ht="17.15" hidden="false" customHeight="false" outlineLevel="0" collapsed="false">
      <c r="A2523" s="1" t="s">
        <v>625</v>
      </c>
      <c r="B2523" s="8" t="s">
        <v>86</v>
      </c>
      <c r="C2523" s="38" t="n">
        <f aca="false">Q!$D$46-cx_rt*Q!$D$16-cx_awso*Sens!$C$2518</f>
        <v>25.2781053077374</v>
      </c>
      <c r="D2523" s="38" t="n">
        <f aca="false">Q!$E$46-cx_rt*Q!$E$16-cx_awso*Sens!$D$2518</f>
        <v>69.5686316310026</v>
      </c>
      <c r="E2523" s="38" t="n">
        <f aca="false">Q!$P$46-cx_rt*Q!$P$16-cx_awso*Sens!$E$2518</f>
        <v>64.1899206485108</v>
      </c>
      <c r="F2523" s="38" t="n">
        <f aca="false">MAX(Sens!$F$2500*(Sens!$F$2505+tk_fac*(1-colo_sh))/1000,capex_g26-Q!$P$46-Sens!$F$2521)</f>
        <v>96.2481299895</v>
      </c>
      <c r="G2523" s="38" t="n">
        <f aca="false">Sens!$E$2523+Sens!$F$2523</f>
        <v>160.438050638011</v>
      </c>
      <c r="H2523" s="38" t="n">
        <f aca="false">Sens!$H$2500*(Sens!$H$2505+tk_fac*(1-colo_sh))/1000+Sens!$H$2524</f>
        <v>198.57136494475</v>
      </c>
      <c r="I2523" s="38" t="n">
        <f aca="false">Sens!$I$2500*(Sens!$I$2505+tk_fac*(1-colo_sh))/1000+Sens!$I$2524</f>
        <v>204.6464699105</v>
      </c>
      <c r="J2523" s="38" t="n">
        <f aca="false">Sens!$J$2500*(Sens!$J$2505+tk_fac*(1-colo_sh))/1000+Sens!$J$2524</f>
        <v>209.8832381105</v>
      </c>
      <c r="K2523" s="38" t="n">
        <f aca="false">Sens!$K$2500*(Sens!$K$2505+tk_fac*(1-colo_sh))/1000+Sens!$K$2524</f>
        <v>155.238385275201</v>
      </c>
      <c r="L2523" s="38" t="n">
        <f aca="false">Sens!$L$2500*(Sens!$L$2505+tk_fac*(1-colo_sh))/1000+Sens!$L$2524</f>
        <v>132.014141639902</v>
      </c>
      <c r="M2523" s="38" t="n">
        <f aca="false">Sens!$M$2500*(Sens!$M$2505+tk_fac*(1-colo_sh))/1000+Sens!$M$2524</f>
        <v>132.230981659852</v>
      </c>
      <c r="P2523" s="5" t="s">
        <v>626</v>
      </c>
      <c r="R2523" s="38" t="n">
        <f aca="false">Q!$C$46-cx_rt*Q!$C$16-cx_awso*(Q!$C$7-mw_ye23/2*rpm_open/1000)</f>
        <v>1.50429979529945</v>
      </c>
      <c r="S2523" s="38" t="n">
        <f aca="false">Sens!$C$2523</f>
        <v>25.2781053077374</v>
      </c>
      <c r="T2523" s="38" t="n">
        <f aca="false">Sens!$D$2523</f>
        <v>69.5686316310026</v>
      </c>
      <c r="U2523" s="38" t="n">
        <f aca="false">Sens!$G$2523</f>
        <v>160.438050638011</v>
      </c>
      <c r="V2523" s="38" t="n">
        <f aca="false">Sens!$H$2523</f>
        <v>198.57136494475</v>
      </c>
      <c r="W2523" s="38" t="n">
        <f aca="false">Sens!$I$2523</f>
        <v>204.6464699105</v>
      </c>
      <c r="X2523" s="38" t="n">
        <f aca="false">Sens!$J$2523</f>
        <v>209.8832381105</v>
      </c>
      <c r="Y2523" s="38" t="n">
        <f aca="false">Sens!$K$2523</f>
        <v>155.238385275201</v>
      </c>
      <c r="Z2523" s="38" t="n">
        <f aca="false">Sens!$L$2523</f>
        <v>132.014141639902</v>
      </c>
      <c r="AA2523" s="38" t="n">
        <f aca="false">Sens!$M$2523</f>
        <v>132.230981659852</v>
      </c>
    </row>
    <row r="2524" customFormat="false" ht="17.15" hidden="false" customHeight="false" outlineLevel="0" collapsed="false">
      <c r="A2524" s="0" t="s">
        <v>627</v>
      </c>
      <c r="B2524" s="0" t="s">
        <v>86</v>
      </c>
      <c r="H2524" s="38" t="n">
        <f aca="false">SUMPRODUCT(--(Sens!$R$2493:$AA$2493=2027-tk_life),Sens!$R$2500:$AA$2500)*Sens!$H$2505/1000</f>
        <v>0</v>
      </c>
      <c r="I2524" s="38" t="n">
        <f aca="false">SUMPRODUCT(--(Sens!$R$2493:$AA$2493=2028-tk_life),Sens!$R$2500:$AA$2500)*Sens!$I$2505/1000</f>
        <v>0</v>
      </c>
      <c r="J2524" s="38" t="n">
        <f aca="false">SUMPRODUCT(--(Sens!$R$2493:$AA$2493=2029-tk_life),Sens!$R$2500:$AA$2500)*Sens!$J$2505/1000</f>
        <v>5.2367682</v>
      </c>
      <c r="K2524" s="38" t="n">
        <f aca="false">SUMPRODUCT(--(Sens!$R$2493:$AA$2493=2030-tk_life),Sens!$R$2500:$AA$2500)*Sens!$K$2505/1000</f>
        <v>10.4735364</v>
      </c>
      <c r="L2524" s="38" t="n">
        <f aca="false">SUMPRODUCT(--(Sens!$R$2493:$AA$2493=2031-tk_life),Sens!$R$2500:$AA$2500)*Sens!$L$2505/1000</f>
        <v>47.1309138</v>
      </c>
      <c r="M2524" s="38" t="n">
        <f aca="false">SUMPRODUCT(--(Sens!$R$2493:$AA$2493=2032-tk_life),Sens!$R$2500:$AA$2500)*Sens!$M$2505/1000</f>
        <v>107.22937485525</v>
      </c>
    </row>
    <row r="2525" customFormat="false" ht="17.15" hidden="false" customHeight="false" outlineLevel="0" collapsed="false">
      <c r="A2525" s="5" t="s">
        <v>628</v>
      </c>
      <c r="B2525" s="0" t="s">
        <v>86</v>
      </c>
      <c r="C2525" s="38" t="n">
        <f aca="false">Sens!$C$2523*Sens!$C$2522</f>
        <v>18.472138699801</v>
      </c>
      <c r="D2525" s="38" t="n">
        <f aca="false">Sens!$D$2523*Sens!$D$2522</f>
        <v>50.8377268390402</v>
      </c>
      <c r="E2525" s="38" t="n">
        <f aca="false">Sens!$E$2523*Sens!$E$2522</f>
        <v>48.8351995705653</v>
      </c>
      <c r="F2525" s="38" t="n">
        <f aca="false">Sens!$F$2523*Sens!$F$2522</f>
        <v>73.2248394895</v>
      </c>
      <c r="G2525" s="38" t="n">
        <f aca="false">Sens!$E$2525+Sens!$F$2525</f>
        <v>122.060039060065</v>
      </c>
      <c r="H2525" s="38" t="n">
        <f aca="false">(Sens!$H$2523-Sens!$H$2524)*Sens!$H$2522+Sens!$H$2524</f>
        <v>152.52478394475</v>
      </c>
      <c r="I2525" s="38" t="n">
        <f aca="false">(Sens!$I$2523-Sens!$I$2524)*Sens!$I$2522+Sens!$I$2524</f>
        <v>158.5998889105</v>
      </c>
      <c r="J2525" s="38" t="n">
        <f aca="false">(Sens!$J$2523-Sens!$J$2524)*Sens!$J$2522+Sens!$J$2524</f>
        <v>163.8366571105</v>
      </c>
      <c r="K2525" s="38" t="n">
        <f aca="false">(Sens!$K$2523-Sens!$K$2524)*Sens!$K$2522+Sens!$K$2524</f>
        <v>122.665498273534</v>
      </c>
      <c r="L2525" s="38" t="n">
        <f aca="false">(Sens!$L$2523-Sens!$L$2524)*Sens!$L$2522+Sens!$L$2524</f>
        <v>112.914948636568</v>
      </c>
      <c r="M2525" s="38" t="n">
        <f aca="false">(Sens!$M$2523-Sens!$M$2524)*Sens!$M$2522+Sens!$M$2524</f>
        <v>126.605482654852</v>
      </c>
      <c r="R2525" s="38" t="n">
        <f aca="false">Sens!$R$2523*Sens!$C$2522</f>
        <v>1.09927679019314</v>
      </c>
      <c r="S2525" s="38" t="n">
        <f aca="false">Sens!$C$2525</f>
        <v>18.472138699801</v>
      </c>
      <c r="T2525" s="38" t="n">
        <f aca="false">Sens!$D$2525</f>
        <v>50.8377268390402</v>
      </c>
      <c r="U2525" s="38" t="n">
        <f aca="false">Sens!$G$2525</f>
        <v>122.060039060065</v>
      </c>
      <c r="V2525" s="38" t="n">
        <f aca="false">Sens!$H$2525</f>
        <v>152.52478394475</v>
      </c>
      <c r="W2525" s="38" t="n">
        <f aca="false">Sens!$I$2525</f>
        <v>158.5998889105</v>
      </c>
      <c r="X2525" s="38" t="n">
        <f aca="false">Sens!$J$2525</f>
        <v>163.8366571105</v>
      </c>
      <c r="Y2525" s="38" t="n">
        <f aca="false">Sens!$K$2525</f>
        <v>122.665498273534</v>
      </c>
      <c r="Z2525" s="38" t="n">
        <f aca="false">Sens!$L$2525</f>
        <v>112.914948636568</v>
      </c>
      <c r="AA2525" s="38" t="n">
        <f aca="false">Sens!$M$2525</f>
        <v>126.605482654852</v>
      </c>
    </row>
    <row r="2526" customFormat="false" ht="15" hidden="false" customHeight="false" outlineLevel="0" collapsed="false">
      <c r="A2526" s="5" t="s">
        <v>629</v>
      </c>
      <c r="B2526" s="0" t="s">
        <v>86</v>
      </c>
      <c r="C2526" s="38" t="n">
        <f aca="false">Sens!$C$2523-Sens!$C$2525</f>
        <v>6.80596660793636</v>
      </c>
      <c r="D2526" s="38" t="n">
        <f aca="false">Sens!$D$2523-Sens!$D$2525</f>
        <v>18.7309047919624</v>
      </c>
      <c r="E2526" s="38" t="n">
        <f aca="false">Sens!$E$2523-Sens!$E$2525</f>
        <v>15.3547210779455</v>
      </c>
      <c r="F2526" s="38" t="n">
        <f aca="false">Sens!$F$2523-Sens!$F$2525</f>
        <v>23.0232905</v>
      </c>
      <c r="G2526" s="38" t="n">
        <f aca="false">Sens!$G$2523-Sens!$G$2525</f>
        <v>38.3780115779455</v>
      </c>
      <c r="H2526" s="38" t="n">
        <f aca="false">Sens!$H$2523-Sens!$H$2525</f>
        <v>46.046581</v>
      </c>
      <c r="I2526" s="38" t="n">
        <f aca="false">Sens!$I$2523-Sens!$I$2525</f>
        <v>46.046581</v>
      </c>
      <c r="J2526" s="38" t="n">
        <f aca="false">Sens!$J$2523-Sens!$J$2525</f>
        <v>46.046581</v>
      </c>
      <c r="K2526" s="38" t="n">
        <f aca="false">Sens!$K$2523-Sens!$K$2525</f>
        <v>32.5728870016667</v>
      </c>
      <c r="L2526" s="38" t="n">
        <f aca="false">Sens!$L$2523-Sens!$L$2525</f>
        <v>19.0991930033334</v>
      </c>
      <c r="M2526" s="38" t="n">
        <f aca="false">Sens!$M$2523-Sens!$M$2525</f>
        <v>5.62549900499998</v>
      </c>
      <c r="R2526" s="38" t="n">
        <f aca="false">Sens!$R$2523-Sens!$R$2525</f>
        <v>0.405023005106309</v>
      </c>
      <c r="S2526" s="38" t="n">
        <f aca="false">Sens!$S$2523-Sens!$S$2525</f>
        <v>6.80596660793636</v>
      </c>
      <c r="T2526" s="38" t="n">
        <f aca="false">Sens!$T$2523-Sens!$T$2525</f>
        <v>18.7309047919624</v>
      </c>
      <c r="U2526" s="38" t="n">
        <f aca="false">Sens!$U$2523-Sens!$U$2525</f>
        <v>38.3780115779455</v>
      </c>
      <c r="V2526" s="38" t="n">
        <f aca="false">Sens!$V$2523-Sens!$V$2525</f>
        <v>46.046581</v>
      </c>
      <c r="W2526" s="38" t="n">
        <f aca="false">Sens!$W$2523-Sens!$W$2525</f>
        <v>46.046581</v>
      </c>
      <c r="X2526" s="38" t="n">
        <f aca="false">Sens!$X$2523-Sens!$X$2525</f>
        <v>46.046581</v>
      </c>
      <c r="Y2526" s="38" t="n">
        <f aca="false">Sens!$Y$2523-Sens!$Y$2525</f>
        <v>32.5728870016667</v>
      </c>
      <c r="Z2526" s="38" t="n">
        <f aca="false">Sens!$Z$2523-Sens!$Z$2525</f>
        <v>19.0991930033334</v>
      </c>
      <c r="AA2526" s="38" t="n">
        <f aca="false">Sens!$AA$2523-Sens!$AA$2525</f>
        <v>5.62549900499998</v>
      </c>
    </row>
    <row r="2527" customFormat="false" ht="17.15" hidden="false" customHeight="false" outlineLevel="0" collapsed="false">
      <c r="A2527" s="0" t="s">
        <v>630</v>
      </c>
      <c r="B2527" s="0" t="s">
        <v>52</v>
      </c>
      <c r="C2527" s="13" t="n">
        <f aca="false">Sens!$C$2523/Sens!$C$2643</f>
        <v>0.325505489553393</v>
      </c>
      <c r="D2527" s="13" t="n">
        <f aca="false">Sens!$D$2523/Sens!$D$2643</f>
        <v>0.54214956071542</v>
      </c>
      <c r="E2527" s="13" t="n">
        <f aca="false">Sens!$E$2523/Sens!$E$2643</f>
        <v>0.666492790452817</v>
      </c>
      <c r="F2527" s="13" t="n">
        <f aca="false">Sens!$F$2523/Sens!$F$2643</f>
        <v>0.733477910687338</v>
      </c>
      <c r="G2527" s="13" t="n">
        <f aca="false">Sens!$G$2523/Sens!$G$2643</f>
        <v>0.705124321514523</v>
      </c>
      <c r="H2527" s="13" t="n">
        <f aca="false">Sens!$H$2523/Sens!$H$2643</f>
        <v>0.726376041178204</v>
      </c>
      <c r="I2527" s="13" t="n">
        <f aca="false">Sens!$I$2523/Sens!$I$2643</f>
        <v>0.713099092661699</v>
      </c>
      <c r="J2527" s="13" t="n">
        <f aca="false">Sens!$J$2523/Sens!$J$2643</f>
        <v>0.701208348786245</v>
      </c>
      <c r="K2527" s="13" t="n">
        <f aca="false">Sens!$K$2523/Sens!$K$2643</f>
        <v>0.618338844562383</v>
      </c>
      <c r="L2527" s="13" t="n">
        <f aca="false">Sens!$L$2523/Sens!$L$2643</f>
        <v>0.562489158462506</v>
      </c>
      <c r="M2527" s="13" t="n">
        <f aca="false">Sens!$M$2523/Sens!$M$2643</f>
        <v>0.545751190895923</v>
      </c>
    </row>
    <row r="2528" customFormat="false" ht="17.15" hidden="false" customHeight="false" outlineLevel="0" collapsed="false">
      <c r="A2528" s="0" t="s">
        <v>631</v>
      </c>
      <c r="B2528" s="0" t="s">
        <v>86</v>
      </c>
      <c r="C2528" s="38" t="n">
        <f aca="false">Sens!$S$2528</f>
        <v>0.183212798365523</v>
      </c>
      <c r="D2528" s="38" t="n">
        <f aca="false">Sens!$T$2528</f>
        <v>3.2619025816657</v>
      </c>
      <c r="E2528" s="38" t="n">
        <f aca="false">Sens!$G$2528/2</f>
        <v>5.86742852741953</v>
      </c>
      <c r="F2528" s="38" t="n">
        <f aca="false">Sens!$G$2528/2</f>
        <v>5.86742852741953</v>
      </c>
      <c r="G2528" s="38" t="n">
        <f aca="false">Sens!$U$2528</f>
        <v>11.7348570548391</v>
      </c>
      <c r="H2528" s="38" t="n">
        <f aca="false">Sens!$V$2528</f>
        <v>32.0781968981833</v>
      </c>
      <c r="I2528" s="38" t="n">
        <f aca="false">Sens!$W$2528</f>
        <v>57.4989942223083</v>
      </c>
      <c r="J2528" s="38" t="n">
        <f aca="false">Sens!$X$2528</f>
        <v>83.932309040725</v>
      </c>
      <c r="K2528" s="38" t="n">
        <f aca="false">Sens!$Y$2528</f>
        <v>111.055205760776</v>
      </c>
      <c r="L2528" s="38" t="n">
        <f aca="false">Sens!$Z$2528</f>
        <v>128.420765689732</v>
      </c>
      <c r="M2528" s="38" t="n">
        <f aca="false">Sens!$AA$2528</f>
        <v>138.766969322653</v>
      </c>
      <c r="N2528" s="38" t="n">
        <f aca="false">Sens!$D$2528/2</f>
        <v>1.63095129083285</v>
      </c>
      <c r="O2528" s="38" t="n">
        <f aca="false">Sens!$D$2528/2</f>
        <v>1.63095129083285</v>
      </c>
      <c r="R2528" s="38" t="n">
        <f aca="false">SUMPRODUCT(--(Sens!$R$2493:$AA$2493&lt;Sens!R$2493),--(Sens!$R$2493:$AA$2493&gt;=Sens!R$2493-tk_life),Sens!$R$2525:$AA$2525)/tk_life</f>
        <v>0</v>
      </c>
      <c r="S2528" s="38" t="n">
        <f aca="false">SUMPRODUCT(--(Sens!$R$2493:$AA$2493&lt;Sens!S$2493),--(Sens!$R$2493:$AA$2493&gt;=Sens!S$2493-tk_life),Sens!$R$2525:$AA$2525)/tk_life</f>
        <v>0.183212798365523</v>
      </c>
      <c r="T2528" s="38" t="n">
        <f aca="false">SUMPRODUCT(--(Sens!$R$2493:$AA$2493&lt;Sens!T$2493),--(Sens!$R$2493:$AA$2493&gt;=Sens!T$2493-tk_life),Sens!$R$2525:$AA$2525)/tk_life</f>
        <v>3.2619025816657</v>
      </c>
      <c r="U2528" s="38" t="n">
        <f aca="false">SUMPRODUCT(--(Sens!$R$2493:$AA$2493&lt;Sens!U$2493),--(Sens!$R$2493:$AA$2493&gt;=Sens!U$2493-tk_life),Sens!$R$2525:$AA$2525)/tk_life</f>
        <v>11.7348570548391</v>
      </c>
      <c r="V2528" s="38" t="n">
        <f aca="false">SUMPRODUCT(--(Sens!$R$2493:$AA$2493&lt;Sens!V$2493),--(Sens!$R$2493:$AA$2493&gt;=Sens!V$2493-tk_life),Sens!$R$2525:$AA$2525)/tk_life</f>
        <v>32.0781968981833</v>
      </c>
      <c r="W2528" s="38" t="n">
        <f aca="false">SUMPRODUCT(--(Sens!$R$2493:$AA$2493&lt;Sens!W$2493),--(Sens!$R$2493:$AA$2493&gt;=Sens!W$2493-tk_life),Sens!$R$2525:$AA$2525)/tk_life</f>
        <v>57.4989942223083</v>
      </c>
      <c r="X2528" s="38" t="n">
        <f aca="false">SUMPRODUCT(--(Sens!$R$2493:$AA$2493&lt;Sens!X$2493),--(Sens!$R$2493:$AA$2493&gt;=Sens!X$2493-tk_life),Sens!$R$2525:$AA$2525)/tk_life</f>
        <v>83.932309040725</v>
      </c>
      <c r="Y2528" s="38" t="n">
        <f aca="false">SUMPRODUCT(--(Sens!$R$2493:$AA$2493&lt;Sens!Y$2493),--(Sens!$R$2493:$AA$2493&gt;=Sens!Y$2493-tk_life),Sens!$R$2525:$AA$2525)/tk_life</f>
        <v>111.055205760776</v>
      </c>
      <c r="Z2528" s="38" t="n">
        <f aca="false">SUMPRODUCT(--(Sens!$R$2493:$AA$2493&lt;Sens!Z$2493),--(Sens!$R$2493:$AA$2493&gt;=Sens!Z$2493-tk_life),Sens!$R$2525:$AA$2525)/tk_life</f>
        <v>128.420765689732</v>
      </c>
      <c r="AA2528" s="38" t="n">
        <f aca="false">SUMPRODUCT(--(Sens!$R$2493:$AA$2493&lt;Sens!AA$2493),--(Sens!$R$2493:$AA$2493&gt;=Sens!AA$2493-tk_life),Sens!$R$2525:$AA$2525)/tk_life</f>
        <v>138.766969322653</v>
      </c>
    </row>
    <row r="2529" customFormat="false" ht="17.15" hidden="false" customHeight="false" outlineLevel="0" collapsed="false">
      <c r="A2529" s="0" t="s">
        <v>632</v>
      </c>
      <c r="B2529" s="0" t="s">
        <v>86</v>
      </c>
      <c r="C2529" s="38" t="n">
        <f aca="false">Sens!$S$2529</f>
        <v>0.0202511502553155</v>
      </c>
      <c r="D2529" s="38" t="n">
        <f aca="false">Sens!$T$2529</f>
        <v>0.360549480652134</v>
      </c>
      <c r="E2529" s="38" t="n">
        <f aca="false">Sens!$G$2529/2</f>
        <v>0.648547360125127</v>
      </c>
      <c r="F2529" s="38" t="n">
        <f aca="false">Sens!$G$2529/2</f>
        <v>0.648547360125127</v>
      </c>
      <c r="G2529" s="38" t="n">
        <f aca="false">Sens!$U$2529</f>
        <v>1.29709472025025</v>
      </c>
      <c r="H2529" s="38" t="n">
        <f aca="false">Sens!$V$2529</f>
        <v>3.21599529914753</v>
      </c>
      <c r="I2529" s="38" t="n">
        <f aca="false">Sens!$W$2529</f>
        <v>5.51832434914753</v>
      </c>
      <c r="J2529" s="38" t="n">
        <f aca="false">Sens!$X$2529</f>
        <v>7.82065339914753</v>
      </c>
      <c r="K2529" s="38" t="n">
        <f aca="false">Sens!$Y$2529</f>
        <v>10.1229824491475</v>
      </c>
      <c r="L2529" s="38" t="n">
        <f aca="false">Sens!$Z$2529</f>
        <v>11.7516267992309</v>
      </c>
      <c r="M2529" s="38" t="n">
        <f aca="false">Sens!$AA$2529</f>
        <v>12.7065864493975</v>
      </c>
      <c r="N2529" s="38" t="n">
        <f aca="false">Sens!$D$2529/2</f>
        <v>0.180274740326067</v>
      </c>
      <c r="O2529" s="38" t="n">
        <f aca="false">Sens!$D$2529/2</f>
        <v>0.180274740326067</v>
      </c>
      <c r="R2529" s="38" t="n">
        <f aca="false">SUMPRODUCT(--(Sens!$R$2493:$AA$2493&lt;Sens!R$2493),Sens!$R$2526:$AA$2526)/fac_life</f>
        <v>0</v>
      </c>
      <c r="S2529" s="38" t="n">
        <f aca="false">SUMPRODUCT(--(Sens!$R$2493:$AA$2493&lt;Sens!S$2493),Sens!$R$2526:$AA$2526)/fac_life</f>
        <v>0.0202511502553155</v>
      </c>
      <c r="T2529" s="38" t="n">
        <f aca="false">SUMPRODUCT(--(Sens!$R$2493:$AA$2493&lt;Sens!T$2493),Sens!$R$2526:$AA$2526)/fac_life</f>
        <v>0.360549480652134</v>
      </c>
      <c r="U2529" s="38" t="n">
        <f aca="false">SUMPRODUCT(--(Sens!$R$2493:$AA$2493&lt;Sens!U$2493),Sens!$R$2526:$AA$2526)/fac_life</f>
        <v>1.29709472025025</v>
      </c>
      <c r="V2529" s="38" t="n">
        <f aca="false">SUMPRODUCT(--(Sens!$R$2493:$AA$2493&lt;Sens!V$2493),Sens!$R$2526:$AA$2526)/fac_life</f>
        <v>3.21599529914753</v>
      </c>
      <c r="W2529" s="38" t="n">
        <f aca="false">SUMPRODUCT(--(Sens!$R$2493:$AA$2493&lt;Sens!W$2493),Sens!$R$2526:$AA$2526)/fac_life</f>
        <v>5.51832434914753</v>
      </c>
      <c r="X2529" s="38" t="n">
        <f aca="false">SUMPRODUCT(--(Sens!$R$2493:$AA$2493&lt;Sens!X$2493),Sens!$R$2526:$AA$2526)/fac_life</f>
        <v>7.82065339914753</v>
      </c>
      <c r="Y2529" s="38" t="n">
        <f aca="false">SUMPRODUCT(--(Sens!$R$2493:$AA$2493&lt;Sens!Y$2493),Sens!$R$2526:$AA$2526)/fac_life</f>
        <v>10.1229824491475</v>
      </c>
      <c r="Z2529" s="38" t="n">
        <f aca="false">SUMPRODUCT(--(Sens!$R$2493:$AA$2493&lt;Sens!Z$2493),Sens!$R$2526:$AA$2526)/fac_life</f>
        <v>11.7516267992309</v>
      </c>
      <c r="AA2529" s="38" t="n">
        <f aca="false">SUMPRODUCT(--(Sens!$R$2493:$AA$2493&lt;Sens!AA$2493),Sens!$R$2526:$AA$2526)/fac_life</f>
        <v>12.7065864493975</v>
      </c>
    </row>
    <row r="2530" customFormat="false" ht="17.15" hidden="false" customHeight="false" outlineLevel="0" collapsed="false">
      <c r="A2530" s="1" t="s">
        <v>633</v>
      </c>
      <c r="B2530" s="8" t="s">
        <v>86</v>
      </c>
      <c r="C2530" s="38" t="n">
        <f aca="false">Sens!$C$2528+Sens!$C$2529</f>
        <v>0.203463948620839</v>
      </c>
      <c r="D2530" s="38" t="n">
        <f aca="false">Sens!$D$2528+Sens!$D$2529</f>
        <v>3.62245206231783</v>
      </c>
      <c r="E2530" s="38" t="n">
        <f aca="false">Sens!$E$2528+Sens!$E$2529</f>
        <v>6.51597588754466</v>
      </c>
      <c r="F2530" s="38" t="n">
        <f aca="false">Sens!$F$2528+Sens!$F$2529</f>
        <v>6.51597588754466</v>
      </c>
      <c r="G2530" s="38" t="n">
        <f aca="false">Sens!$G$2528+Sens!$G$2529</f>
        <v>13.0319517750893</v>
      </c>
      <c r="H2530" s="38" t="n">
        <f aca="false">Sens!$H$2528+Sens!$H$2529</f>
        <v>35.2941921973308</v>
      </c>
      <c r="I2530" s="38" t="n">
        <f aca="false">Sens!$I$2528+Sens!$I$2529</f>
        <v>63.0173185714558</v>
      </c>
      <c r="J2530" s="38" t="n">
        <f aca="false">Sens!$J$2528+Sens!$J$2529</f>
        <v>91.7529624398725</v>
      </c>
      <c r="K2530" s="38" t="n">
        <f aca="false">Sens!$K$2528+Sens!$K$2529</f>
        <v>121.178188209924</v>
      </c>
      <c r="L2530" s="38" t="n">
        <f aca="false">Sens!$L$2528+Sens!$L$2529</f>
        <v>140.172392488963</v>
      </c>
      <c r="M2530" s="38" t="n">
        <f aca="false">Sens!$M$2528+Sens!$M$2529</f>
        <v>151.473555772051</v>
      </c>
      <c r="N2530" s="38" t="n">
        <f aca="false">Sens!$N$2528+Sens!$N$2529</f>
        <v>1.81122603115892</v>
      </c>
      <c r="O2530" s="38" t="n">
        <f aca="false">Sens!$O$2528+Sens!$O$2529</f>
        <v>1.81122603115892</v>
      </c>
      <c r="R2530" s="38" t="n">
        <f aca="false">Sens!$R$2528+Sens!$R$2529</f>
        <v>0</v>
      </c>
      <c r="S2530" s="38" t="n">
        <f aca="false">Sens!$S$2528+Sens!$S$2529</f>
        <v>0.203463948620839</v>
      </c>
      <c r="T2530" s="38" t="n">
        <f aca="false">Sens!$T$2528+Sens!$T$2529</f>
        <v>3.62245206231783</v>
      </c>
      <c r="U2530" s="38" t="n">
        <f aca="false">Sens!$U$2528+Sens!$U$2529</f>
        <v>13.0319517750893</v>
      </c>
      <c r="V2530" s="38" t="n">
        <f aca="false">Sens!$V$2528+Sens!$V$2529</f>
        <v>35.2941921973308</v>
      </c>
      <c r="W2530" s="38" t="n">
        <f aca="false">Sens!$W$2528+Sens!$W$2529</f>
        <v>63.0173185714558</v>
      </c>
      <c r="X2530" s="38" t="n">
        <f aca="false">Sens!$X$2528+Sens!$X$2529</f>
        <v>91.7529624398725</v>
      </c>
      <c r="Y2530" s="38" t="n">
        <f aca="false">Sens!$Y$2528+Sens!$Y$2529</f>
        <v>121.178188209924</v>
      </c>
      <c r="Z2530" s="38" t="n">
        <f aca="false">Sens!$Z$2528+Sens!$Z$2529</f>
        <v>140.172392488963</v>
      </c>
      <c r="AA2530" s="38" t="n">
        <f aca="false">Sens!$AA$2528+Sens!$AA$2529</f>
        <v>151.473555772051</v>
      </c>
    </row>
    <row r="2531" customFormat="false" ht="17.15" hidden="false" customHeight="false" outlineLevel="0" collapsed="false">
      <c r="A2531" s="0" t="s">
        <v>634</v>
      </c>
      <c r="B2531" s="0" t="s">
        <v>86</v>
      </c>
      <c r="C2531" s="38" t="n">
        <f aca="false">Sens!$S$2531</f>
        <v>26.578941154416</v>
      </c>
      <c r="D2531" s="38" t="n">
        <f aca="false">Sens!$T$2531</f>
        <v>92.5251207231008</v>
      </c>
      <c r="G2531" s="38" t="n">
        <f aca="false">Sens!$U$2531</f>
        <v>239.931219586022</v>
      </c>
      <c r="H2531" s="38" t="n">
        <f aca="false">Sens!$V$2531</f>
        <v>403.208392333442</v>
      </c>
      <c r="I2531" s="38" t="n">
        <f aca="false">Sens!$W$2531</f>
        <v>544.837543672486</v>
      </c>
      <c r="J2531" s="38" t="n">
        <f aca="false">Sens!$X$2531</f>
        <v>662.967819343113</v>
      </c>
      <c r="K2531" s="38" t="n">
        <f aca="false">Sens!$Y$2531</f>
        <v>697.028016408391</v>
      </c>
      <c r="L2531" s="38" t="n">
        <f aca="false">Sens!$Z$2531</f>
        <v>688.86976555933</v>
      </c>
      <c r="M2531" s="38" t="n">
        <f aca="false">Sens!$AA$2531</f>
        <v>669.627191447132</v>
      </c>
      <c r="R2531" s="38" t="n">
        <f aca="false">SUM(Sens!$R$2523:$R$2523)-SUM(Sens!$R$2530:$R$2530)</f>
        <v>1.50429979529945</v>
      </c>
      <c r="S2531" s="38" t="n">
        <f aca="false">SUM(Sens!$R$2523:$S$2523)-SUM(Sens!$R$2530:$S$2530)</f>
        <v>26.578941154416</v>
      </c>
      <c r="T2531" s="38" t="n">
        <f aca="false">SUM(Sens!$R$2523:$T$2523)-SUM(Sens!$R$2530:$T$2530)</f>
        <v>92.5251207231008</v>
      </c>
      <c r="U2531" s="38" t="n">
        <f aca="false">SUM(Sens!$R$2523:$U$2523)-SUM(Sens!$R$2530:$U$2530)</f>
        <v>239.931219586022</v>
      </c>
      <c r="V2531" s="38" t="n">
        <f aca="false">SUM(Sens!$R$2523:$V$2523)-SUM(Sens!$R$2530:$V$2530)</f>
        <v>403.208392333442</v>
      </c>
      <c r="W2531" s="38" t="n">
        <f aca="false">SUM(Sens!$R$2523:$W$2523)-SUM(Sens!$R$2530:$W$2530)</f>
        <v>544.837543672486</v>
      </c>
      <c r="X2531" s="38" t="n">
        <f aca="false">SUM(Sens!$R$2523:$X$2523)-SUM(Sens!$R$2530:$X$2530)</f>
        <v>662.967819343113</v>
      </c>
      <c r="Y2531" s="38" t="n">
        <f aca="false">SUM(Sens!$R$2523:$Y$2523)-SUM(Sens!$R$2530:$Y$2530)</f>
        <v>697.028016408391</v>
      </c>
      <c r="Z2531" s="38" t="n">
        <f aca="false">SUM(Sens!$R$2523:$Z$2523)-SUM(Sens!$R$2530:$Z$2530)</f>
        <v>688.86976555933</v>
      </c>
      <c r="AA2531" s="38" t="n">
        <f aca="false">SUM(Sens!$R$2523:$AA$2523)-SUM(Sens!$R$2530:$AA$2530)</f>
        <v>669.627191447132</v>
      </c>
    </row>
    <row r="2532" customFormat="false" ht="17.15" hidden="false" customHeight="false" outlineLevel="0" collapsed="false">
      <c r="A2532" s="1" t="s">
        <v>635</v>
      </c>
    </row>
    <row r="2533" customFormat="false" ht="17.15" hidden="false" customHeight="false" outlineLevel="0" collapsed="false">
      <c r="A2533" s="0" t="s">
        <v>636</v>
      </c>
      <c r="B2533" s="0" t="s">
        <v>86</v>
      </c>
      <c r="C2533" s="38" t="n">
        <f aca="false">Sens!$C$2514-ext_sh*Sens!$C$2516</f>
        <v>1.80694998843362</v>
      </c>
      <c r="D2533" s="38" t="n">
        <f aca="false">Sens!$D$2514-ext_sh*Sens!$D$2516</f>
        <v>6.77606245662607</v>
      </c>
      <c r="E2533" s="38" t="n">
        <f aca="false">Sens!$E$2514-ext_sh*Sens!$E$2516</f>
        <v>6.62548329092326</v>
      </c>
      <c r="F2533" s="38" t="n">
        <f aca="false">Sens!$F$2514-ext_sh*Sens!$F$2516</f>
        <v>11.7200577158706</v>
      </c>
      <c r="G2533" s="38" t="n">
        <f aca="false">Sens!$G$2514-ext_sh*Sens!$G$2516</f>
        <v>18.3455410067939</v>
      </c>
      <c r="H2533" s="38" t="n">
        <f aca="false">Sens!$H$2514-ext_sh*Sens!$H$2516</f>
        <v>47.5171727060453</v>
      </c>
      <c r="I2533" s="38" t="n">
        <f aca="false">Sens!$I$2514-ext_sh*Sens!$I$2516</f>
        <v>80.5539692643667</v>
      </c>
      <c r="J2533" s="38" t="n">
        <f aca="false">Sens!$J$2514-ext_sh*Sens!$J$2516</f>
        <v>113.759316834883</v>
      </c>
      <c r="K2533" s="38" t="n">
        <f aca="false">Sens!$K$2514-ext_sh*Sens!$K$2516</f>
        <v>142.084411492169</v>
      </c>
      <c r="L2533" s="38" t="n">
        <f aca="false">Sens!$L$2514-ext_sh*Sens!$L$2516</f>
        <v>160.69964615804</v>
      </c>
      <c r="M2533" s="38" t="n">
        <f aca="false">Sens!$M$2514-ext_sh*Sens!$M$2516</f>
        <v>169.577607141793</v>
      </c>
      <c r="N2533" s="38" t="n">
        <f aca="false">Sens!$N$2514-ext_sh*Sens!$N$2516</f>
        <v>2.37162185981912</v>
      </c>
      <c r="O2533" s="38" t="n">
        <f aca="false">Sens!$O$2514-ext_sh*Sens!$O$2516</f>
        <v>4.40444059680694</v>
      </c>
    </row>
    <row r="2534" customFormat="false" ht="17.15" hidden="false" customHeight="false" outlineLevel="0" collapsed="false">
      <c r="A2534" s="1" t="s">
        <v>637</v>
      </c>
      <c r="B2534" s="8" t="s">
        <v>86</v>
      </c>
      <c r="C2534" s="38" t="n">
        <f aca="false">Sens!$C$2533-ext_sh*Sens!$C$2530</f>
        <v>1.64417882953695</v>
      </c>
      <c r="D2534" s="38" t="n">
        <f aca="false">Sens!$D$2533-ext_sh*Sens!$D$2530</f>
        <v>3.8781008067718</v>
      </c>
      <c r="E2534" s="38" t="n">
        <f aca="false">Sens!$E$2533-ext_sh*Sens!$E$2530</f>
        <v>1.41270258088753</v>
      </c>
      <c r="F2534" s="38" t="n">
        <f aca="false">Sens!$F$2533-ext_sh*Sens!$F$2530</f>
        <v>6.50727700583486</v>
      </c>
      <c r="G2534" s="38" t="n">
        <f aca="false">Sens!$G$2533-ext_sh*Sens!$G$2530</f>
        <v>7.9199795867224</v>
      </c>
      <c r="H2534" s="38" t="n">
        <f aca="false">Sens!$H$2533-ext_sh*Sens!$H$2530</f>
        <v>19.2818189481807</v>
      </c>
      <c r="I2534" s="38" t="n">
        <f aca="false">Sens!$I$2533-ext_sh*Sens!$I$2530</f>
        <v>30.140114407202</v>
      </c>
      <c r="J2534" s="38" t="n">
        <f aca="false">Sens!$J$2533-ext_sh*Sens!$J$2530</f>
        <v>40.3569468829854</v>
      </c>
      <c r="K2534" s="38" t="n">
        <f aca="false">Sens!$K$2533-ext_sh*Sens!$K$2530</f>
        <v>45.1418609242305</v>
      </c>
      <c r="L2534" s="38" t="n">
        <f aca="false">Sens!$L$2533-ext_sh*Sens!$L$2530</f>
        <v>48.5617321668703</v>
      </c>
      <c r="M2534" s="38" t="n">
        <f aca="false">Sens!$M$2533-ext_sh*Sens!$M$2530</f>
        <v>48.3987625241529</v>
      </c>
      <c r="N2534" s="38" t="n">
        <f aca="false">Sens!$N$2533-ext_sh*Sens!$N$2530</f>
        <v>0.92264103489199</v>
      </c>
      <c r="O2534" s="38" t="n">
        <f aca="false">Sens!$O$2533-ext_sh*Sens!$O$2530</f>
        <v>2.95545977187981</v>
      </c>
    </row>
    <row r="2535" customFormat="false" ht="17.15" hidden="false" customHeight="false" outlineLevel="0" collapsed="false">
      <c r="A2535" s="0" t="s">
        <v>638</v>
      </c>
      <c r="B2535" s="0" t="s">
        <v>52</v>
      </c>
      <c r="C2535" s="13" t="n">
        <f aca="false">Sens!$C$2534/Sens!$C$2514</f>
        <v>0.708390794789371</v>
      </c>
      <c r="D2535" s="13" t="n">
        <f aca="false">Sens!$D$2534/Sens!$D$2514</f>
        <v>0.445565630441968</v>
      </c>
      <c r="E2535" s="13" t="n">
        <f aca="false">Sens!$E$2534/Sens!$E$2514</f>
        <v>0.165998118402711</v>
      </c>
      <c r="F2535" s="13" t="n">
        <f aca="false">Sens!$F$2534/Sens!$F$2514</f>
        <v>0.434878595403858</v>
      </c>
      <c r="G2535" s="13" t="n">
        <f aca="false">Sens!$G$2534/Sens!$G$2514</f>
        <v>0.3373967615381</v>
      </c>
      <c r="H2535" s="13" t="n">
        <f aca="false">Sens!$H$2534/Sens!$H$2514</f>
        <v>0.320477578041224</v>
      </c>
      <c r="I2535" s="13" t="n">
        <f aca="false">Sens!$I$2534/Sens!$I$2514</f>
        <v>0.296936118226494</v>
      </c>
      <c r="J2535" s="13" t="n">
        <f aca="false">Sens!$J$2534/Sens!$J$2514</f>
        <v>0.282166278613001</v>
      </c>
      <c r="K2535" s="13" t="n">
        <f aca="false">Sens!$K$2534/Sens!$K$2514</f>
        <v>0.252969102881543</v>
      </c>
      <c r="L2535" s="13" t="n">
        <f aca="false">Sens!$L$2534/Sens!$L$2514</f>
        <v>0.240728642826566</v>
      </c>
      <c r="M2535" s="13" t="n">
        <f aca="false">Sens!$M$2534/Sens!$M$2514</f>
        <v>0.227399920863147</v>
      </c>
      <c r="N2535" s="13" t="n">
        <f aca="false">Sens!$N$2534/Sens!$N$2514</f>
        <v>0.302870734830849</v>
      </c>
      <c r="O2535" s="13" t="n">
        <f aca="false">Sens!$O$2534/Sens!$O$2514</f>
        <v>0.52240134346334</v>
      </c>
    </row>
    <row r="2536" customFormat="false" ht="17.15" hidden="false" customHeight="false" outlineLevel="0" collapsed="false">
      <c r="A2536" s="5" t="s">
        <v>639</v>
      </c>
      <c r="B2536" s="0" t="s">
        <v>86</v>
      </c>
      <c r="C2536" s="39" t="n">
        <v>0</v>
      </c>
      <c r="D2536" s="39" t="n">
        <v>0</v>
      </c>
      <c r="E2536" s="39" t="n">
        <v>0</v>
      </c>
      <c r="F2536" s="38" t="n">
        <f aca="false">IF(1=2,1,0)*(1-ext_sh)/ext_sh*(mw_open*he_open+Sens!$F$2512*Sens!$F$2509)*Sens!$F$2498/1000</f>
        <v>0</v>
      </c>
      <c r="G2536" s="38" t="n">
        <f aca="false">Sens!$E$2536+Sens!$F$2536</f>
        <v>0</v>
      </c>
      <c r="H2536" s="38" t="n">
        <f aca="false">IF(1=2,1,0)*(1-ext_sh)/ext_sh*(mw_open*he_open+Sens!$H$2512*Sens!$H$2509)*Sens!$H$2498/1000</f>
        <v>0</v>
      </c>
      <c r="I2536" s="38" t="n">
        <f aca="false">IF(1=2,1,0)*(1-ext_sh)/ext_sh*(mw_open*he_open+Sens!$I$2512*Sens!$I$2509)*Sens!$I$2498/1000</f>
        <v>0</v>
      </c>
      <c r="J2536" s="38" t="n">
        <f aca="false">IF(1=2,1,0)*(1-ext_sh)/ext_sh*(mw_open*he_open+Sens!$J$2512*Sens!$J$2509)*Sens!$J$2498/1000</f>
        <v>0</v>
      </c>
      <c r="K2536" s="38" t="n">
        <f aca="false">IF(1=2,1,0)*(1-ext_sh)/ext_sh*(mw_open*he_open+Sens!$K$2512*Sens!$K$2509)*Sens!$K$2498/1000</f>
        <v>0</v>
      </c>
      <c r="L2536" s="38" t="n">
        <f aca="false">IF(1=2,1,0)*(1-ext_sh)/ext_sh*(mw_open*he_open+Sens!$L$2512*Sens!$L$2509)*Sens!$L$2498/1000</f>
        <v>0</v>
      </c>
      <c r="M2536" s="38" t="n">
        <f aca="false">IF(1=2,1,0)*(1-ext_sh)/ext_sh*(mw_open*he_open+Sens!$M$2512*Sens!$M$2509)*Sens!$M$2498/1000</f>
        <v>0</v>
      </c>
      <c r="N2536" s="39" t="n">
        <v>0</v>
      </c>
      <c r="O2536" s="39" t="n">
        <v>0</v>
      </c>
      <c r="P2536" s="8" t="s">
        <v>640</v>
      </c>
    </row>
    <row r="2537" customFormat="false" ht="17.15" hidden="false" customHeight="false" outlineLevel="0" collapsed="false">
      <c r="A2537" s="5" t="s">
        <v>641</v>
      </c>
      <c r="B2537" s="0" t="s">
        <v>86</v>
      </c>
      <c r="C2537" s="38" t="n">
        <f aca="false">(1-ext_sh)*(Sens!$C$2516+Sens!$C$2530)</f>
        <v>0.169206631859174</v>
      </c>
      <c r="D2537" s="38" t="n">
        <f aca="false">(1-ext_sh)*(Sens!$D$2516+Sens!$D$2530)</f>
        <v>1.20641732046984</v>
      </c>
      <c r="E2537" s="38" t="n">
        <f aca="false">(1-ext_sh)*(Sens!$E$2516+Sens!$E$2530)</f>
        <v>1.77441259867062</v>
      </c>
      <c r="F2537" s="38" t="n">
        <f aca="false">(1-ext_sh)*(Sens!$F$2516+Sens!$F$2530)</f>
        <v>2.1140391597214</v>
      </c>
      <c r="G2537" s="38" t="n">
        <f aca="false">(1-ext_sh)*(Sens!$G$2516+Sens!$G$2530)</f>
        <v>3.88845175839202</v>
      </c>
      <c r="H2537" s="38" t="n">
        <f aca="false">(1-ext_sh)*(Sens!$H$2516+Sens!$H$2530)</f>
        <v>10.2210179503985</v>
      </c>
      <c r="I2537" s="38" t="n">
        <f aca="false">(1-ext_sh)*(Sens!$I$2516+Sens!$I$2530)</f>
        <v>17.8408961823075</v>
      </c>
      <c r="J2537" s="38" t="n">
        <f aca="false">(1-ext_sh)*(Sens!$J$2516+Sens!$J$2530)</f>
        <v>25.6671150670732</v>
      </c>
      <c r="K2537" s="38" t="n">
        <f aca="false">(1-ext_sh)*(Sens!$K$2516+Sens!$K$2530)</f>
        <v>33.3265648647373</v>
      </c>
      <c r="L2537" s="38" t="n">
        <f aca="false">(1-ext_sh)*(Sens!$L$2516+Sens!$L$2530)</f>
        <v>38.2915924088815</v>
      </c>
      <c r="M2537" s="38" t="n">
        <f aca="false">(1-ext_sh)*(Sens!$M$2516+Sens!$M$2530)</f>
        <v>41.1091697111781</v>
      </c>
      <c r="N2537" s="38" t="n">
        <f aca="false">(1-ext_sh)*(Sens!$N$2516+Sens!$N$2530)</f>
        <v>0.530919624033979</v>
      </c>
      <c r="O2537" s="38" t="n">
        <f aca="false">(1-ext_sh)*(Sens!$O$2516+Sens!$O$2530)</f>
        <v>0.675497696435861</v>
      </c>
    </row>
    <row r="2538" customFormat="false" ht="17.15" hidden="false" customHeight="false" outlineLevel="0" collapsed="false">
      <c r="A2538" s="0" t="s">
        <v>642</v>
      </c>
      <c r="B2538" s="0" t="s">
        <v>86</v>
      </c>
      <c r="C2538" s="38" t="n">
        <f aca="false">Q!$D$24</f>
        <v>39.834</v>
      </c>
      <c r="D2538" s="38" t="n">
        <f aca="false">Q!$E$24</f>
        <v>45.606</v>
      </c>
      <c r="E2538" s="38" t="n">
        <f aca="false">Q!$P$24</f>
        <v>30.782</v>
      </c>
      <c r="N2538" s="38" t="n">
        <f aca="false">Q!$N$24</f>
        <v>21.707</v>
      </c>
      <c r="O2538" s="38" t="n">
        <f aca="false">Q!$O$24</f>
        <v>23.899</v>
      </c>
    </row>
    <row r="2539" customFormat="false" ht="17.15" hidden="false" customHeight="false" outlineLevel="0" collapsed="false">
      <c r="A2539" s="0" t="s">
        <v>643</v>
      </c>
      <c r="B2539" s="0" t="s">
        <v>86</v>
      </c>
      <c r="C2539" s="38" t="n">
        <f aca="false">Sens!$C$2538-Sens!$C$2534</f>
        <v>38.1898211704631</v>
      </c>
      <c r="D2539" s="38" t="n">
        <f aca="false">Sens!$D$2538-Sens!$D$2534</f>
        <v>41.7278991932282</v>
      </c>
      <c r="E2539" s="38" t="n">
        <f aca="false">Sens!$E$2538-Sens!$E$2534</f>
        <v>29.3692974191125</v>
      </c>
      <c r="F2539" s="38" t="n">
        <f aca="false">Sens!$F$2518*Sens!$F$2540</f>
        <v>26.8997276714137</v>
      </c>
      <c r="G2539" s="38" t="n">
        <f aca="false">Sens!$E$2539+Sens!$F$2539</f>
        <v>56.2690250905262</v>
      </c>
      <c r="H2539" s="38" t="n">
        <f aca="false">Sens!$H$2518*Sens!$H$2540</f>
        <v>60.3505333937343</v>
      </c>
      <c r="I2539" s="38" t="n">
        <f aca="false">Sens!$I$2518*Sens!$I$2540</f>
        <v>67.0043857303571</v>
      </c>
      <c r="J2539" s="38" t="n">
        <f aca="false">Sens!$J$2518*Sens!$J$2540</f>
        <v>73.3782922956925</v>
      </c>
      <c r="K2539" s="38" t="n">
        <f aca="false">Sens!$K$2518*Sens!$K$2540</f>
        <v>79.2485556793479</v>
      </c>
      <c r="L2539" s="38" t="n">
        <f aca="false">Sens!$L$2518*Sens!$L$2540</f>
        <v>85.5884401336958</v>
      </c>
      <c r="M2539" s="38" t="n">
        <f aca="false">Sens!$M$2518*Sens!$M$2540</f>
        <v>92.4355153443914</v>
      </c>
      <c r="N2539" s="38" t="n">
        <f aca="false">Sens!$N$2538-Sens!$N$2534</f>
        <v>20.784358965108</v>
      </c>
      <c r="O2539" s="38" t="n">
        <f aca="false">Sens!$O$2538-Sens!$O$2534</f>
        <v>20.9435402281202</v>
      </c>
      <c r="P2539" s="5" t="s">
        <v>644</v>
      </c>
    </row>
    <row r="2540" customFormat="false" ht="17.15" hidden="false" customHeight="false" outlineLevel="0" collapsed="false">
      <c r="A2540" s="0" t="s">
        <v>645</v>
      </c>
      <c r="B2540" s="0" t="s">
        <v>52</v>
      </c>
      <c r="C2540" s="13" t="n">
        <f aca="false">Sens!$C$2539/Sens!$C$2518</f>
        <v>0.362900395443635</v>
      </c>
      <c r="D2540" s="13" t="n">
        <f aca="false">Sens!$D$2539/Sens!$D$2518</f>
        <v>0.34767098474203</v>
      </c>
      <c r="E2540" s="13" t="n">
        <f aca="false">Sens!$E$2539/Sens!$E$2518</f>
        <v>0.411861655558416</v>
      </c>
      <c r="F2540" s="13" t="n">
        <f aca="false">(Sens!$O$2539+Sens!$E$2539)/(Sens!$O$2518+Sens!$E$2518)</f>
        <v>0.37480827803158</v>
      </c>
      <c r="G2540" s="13" t="n">
        <f aca="false">Sens!$G$2539/Sens!$G$2518</f>
        <v>0.393275318395757</v>
      </c>
      <c r="H2540" s="13" t="n">
        <f aca="false">Sens!$F$2540</f>
        <v>0.37480827803158</v>
      </c>
      <c r="I2540" s="13" t="n">
        <f aca="false">Sens!$F$2540</f>
        <v>0.37480827803158</v>
      </c>
      <c r="J2540" s="13" t="n">
        <f aca="false">Sens!$F$2540</f>
        <v>0.37480827803158</v>
      </c>
      <c r="K2540" s="13" t="n">
        <f aca="false">Sens!$F$2540</f>
        <v>0.37480827803158</v>
      </c>
      <c r="L2540" s="13" t="n">
        <f aca="false">Sens!$F$2540</f>
        <v>0.37480827803158</v>
      </c>
      <c r="M2540" s="13" t="n">
        <f aca="false">Sens!$F$2540</f>
        <v>0.37480827803158</v>
      </c>
      <c r="N2540" s="13" t="n">
        <f aca="false">Sens!$N$2539/Sens!$N$2518</f>
        <v>0.364039571356823</v>
      </c>
      <c r="O2540" s="13" t="n">
        <f aca="false">Sens!$O$2539/Sens!$O$2518</f>
        <v>0.332819892300086</v>
      </c>
      <c r="P2540" s="8" t="s">
        <v>646</v>
      </c>
    </row>
    <row r="2541" customFormat="false" ht="17.15" hidden="false" customHeight="false" outlineLevel="0" collapsed="false">
      <c r="A2541" s="0" t="s">
        <v>647</v>
      </c>
      <c r="B2541" s="0" t="s">
        <v>52</v>
      </c>
      <c r="D2541" s="13" t="n">
        <f aca="false">(Q!$E$31-ext_sh*Sens!$D$2530)/Sens!$D$2518</f>
        <v>0.154572973163571</v>
      </c>
    </row>
    <row r="2542" customFormat="false" ht="17.15" hidden="false" customHeight="false" outlineLevel="0" collapsed="false">
      <c r="A2542" s="0" t="s">
        <v>648</v>
      </c>
      <c r="B2542" s="0" t="s">
        <v>86</v>
      </c>
      <c r="C2542" s="38" t="n">
        <f aca="false">Q!$D$31</f>
        <v>13.32</v>
      </c>
      <c r="D2542" s="38" t="n">
        <f aca="false">Q!$E$31</f>
        <v>21.45</v>
      </c>
      <c r="E2542" s="38" t="n">
        <f aca="false">Q!$P$31</f>
        <v>15.353</v>
      </c>
      <c r="F2542" s="38" t="n">
        <f aca="false">ext_sh*Sens!$F$2530+Sens!$D$2541*Sens!$F$2518</f>
        <v>16.3063747611001</v>
      </c>
      <c r="G2542" s="38" t="n">
        <f aca="false">Sens!$E$2542+Sens!$F$2542</f>
        <v>31.6593747611001</v>
      </c>
      <c r="H2542" s="38" t="n">
        <f aca="false">ext_sh*Sens!$H$2530+Sens!$D$2541*Sens!$H$2518</f>
        <v>53.124242092105</v>
      </c>
      <c r="I2542" s="38" t="n">
        <f aca="false">ext_sh*Sens!$I$2530+Sens!$D$2541*Sens!$I$2518</f>
        <v>78.046828098133</v>
      </c>
      <c r="J2542" s="38" t="n">
        <f aca="false">ext_sh*Sens!$J$2530+Sens!$D$2541*Sens!$J$2518</f>
        <v>103.663976940352</v>
      </c>
      <c r="K2542" s="38" t="n">
        <f aca="false">ext_sh*Sens!$K$2530+Sens!$D$2541*Sens!$K$2518</f>
        <v>129.625086115469</v>
      </c>
      <c r="L2542" s="38" t="n">
        <f aca="false">ext_sh*Sens!$L$2530+Sens!$D$2541*Sens!$L$2518</f>
        <v>147.435052382502</v>
      </c>
      <c r="M2542" s="38" t="n">
        <f aca="false">ext_sh*Sens!$M$2530+Sens!$D$2541*Sens!$M$2518</f>
        <v>159.299754080279</v>
      </c>
      <c r="N2542" s="38" t="n">
        <f aca="false">Q!$N$31</f>
        <v>9.234</v>
      </c>
      <c r="O2542" s="38" t="n">
        <f aca="false">Q!$O$31</f>
        <v>12.216</v>
      </c>
    </row>
    <row r="2543" customFormat="false" ht="17.15" hidden="false" customHeight="false" outlineLevel="0" collapsed="false">
      <c r="A2543" s="1" t="s">
        <v>649</v>
      </c>
    </row>
    <row r="2544" customFormat="false" ht="17.15" hidden="false" customHeight="false" outlineLevel="0" collapsed="false">
      <c r="A2544" s="15" t="s">
        <v>650</v>
      </c>
      <c r="B2544" s="14" t="s">
        <v>52</v>
      </c>
      <c r="C2544" s="14"/>
      <c r="D2544" s="14"/>
      <c r="E2544" s="14"/>
      <c r="F2544" s="14"/>
      <c r="G2544" s="17" t="n">
        <f aca="false">Sens!$G$2534*(1-tax)/(ext_sh*(Sens!$D$2531+Sens!$G$2531)/2)</f>
        <v>0.0492184452944045</v>
      </c>
      <c r="H2544" s="17" t="n">
        <f aca="false">Sens!$H$2534*(1-tax)/(ext_sh*(Sens!$G$2531+Sens!$H$2531)/2)</f>
        <v>0.0619414246858107</v>
      </c>
      <c r="I2544" s="17" t="n">
        <f aca="false">Sens!$I$2534*(1-tax)/(ext_sh*(Sens!$H$2531+Sens!$I$2531)/2)</f>
        <v>0.0656831488051666</v>
      </c>
      <c r="J2544" s="17" t="n">
        <f aca="false">Sens!$J$2534*(1-tax)/(ext_sh*(Sens!$I$2531+Sens!$J$2531)/2)</f>
        <v>0.0690334849962116</v>
      </c>
      <c r="K2544" s="17" t="n">
        <f aca="false">Sens!$K$2534*(1-tax)/(ext_sh*(Sens!$J$2531+Sens!$K$2531)/2)</f>
        <v>0.0685772915331967</v>
      </c>
      <c r="L2544" s="17" t="n">
        <f aca="false">Sens!$L$2534*(1-tax)/(ext_sh*(Sens!$K$2531+Sens!$L$2531)/2)</f>
        <v>0.0723938074635756</v>
      </c>
      <c r="M2544" s="17" t="n">
        <f aca="false">Sens!$M$2534*(1-tax)/(ext_sh*(Sens!$L$2531+Sens!$M$2531)/2)</f>
        <v>0.0736061388214139</v>
      </c>
      <c r="N2544" s="14"/>
      <c r="O2544" s="14"/>
      <c r="P2544" s="8" t="s">
        <v>651</v>
      </c>
    </row>
    <row r="2545" customFormat="false" ht="17.15" hidden="false" customHeight="false" outlineLevel="0" collapsed="false">
      <c r="A2545" s="5" t="s">
        <v>652</v>
      </c>
      <c r="B2545" s="0" t="s">
        <v>57</v>
      </c>
      <c r="H2545" s="36" t="n">
        <f aca="false">Sens!$H$2514*1000/(mw_open*he_open+Sens!$H$2512*Sens!$H$2509)</f>
        <v>0.991949006767191</v>
      </c>
      <c r="I2545" s="36" t="n">
        <f aca="false">Sens!$I$2514*1000/(mw_open*he_open+Sens!$I$2512*Sens!$I$2509)</f>
        <v>0.991949006767191</v>
      </c>
      <c r="J2545" s="36" t="n">
        <f aca="false">Sens!$J$2514*1000/(mw_open*he_open+Sens!$J$2512*Sens!$J$2509)</f>
        <v>0.991949006767191</v>
      </c>
      <c r="K2545" s="36" t="n">
        <f aca="false">Sens!$K$2514*1000/(mw_open*he_open+Sens!$K$2512*Sens!$K$2509)</f>
        <v>0.991949006767191</v>
      </c>
      <c r="L2545" s="36" t="n">
        <f aca="false">Sens!$L$2514*1000/(mw_open*he_open+Sens!$L$2512*Sens!$L$2509)</f>
        <v>0.991949006767191</v>
      </c>
      <c r="M2545" s="36" t="n">
        <f aca="false">Sens!$M$2514*1000/(mw_open*he_open+Sens!$M$2512*Sens!$M$2509)</f>
        <v>0.991949006767191</v>
      </c>
    </row>
    <row r="2546" customFormat="false" ht="17.15" hidden="false" customHeight="false" outlineLevel="0" collapsed="false">
      <c r="A2546" s="5" t="s">
        <v>653</v>
      </c>
      <c r="B2546" s="0" t="s">
        <v>57</v>
      </c>
      <c r="H2546" s="36" t="n">
        <f aca="false">Sens!$H$2545*(Sens!$H$2514+wacc*ext_sh*(Sens!$G$2531+Sens!$H$2531)/2/(1-tax)-Sens!$H$2534)/Sens!$H$2514</f>
        <v>1.25551961623259</v>
      </c>
      <c r="I2546" s="36" t="n">
        <f aca="false">Sens!$I$2545*(Sens!$I$2514+wacc*ext_sh*(Sens!$H$2531+Sens!$I$2531)/2/(1-tax)-Sens!$I$2534)/Sens!$I$2514</f>
        <v>1.2054675393263</v>
      </c>
      <c r="J2546" s="36" t="n">
        <f aca="false">Sens!$J$2545*(Sens!$J$2514+wacc*ext_sh*(Sens!$I$2531+Sens!$J$2531)/2/(1-tax)-Sens!$J$2534)/Sens!$J$2514</f>
        <v>1.17141604927023</v>
      </c>
      <c r="K2546" s="36" t="n">
        <f aca="false">Sens!$K$2545*(Sens!$K$2514+wacc*ext_sh*(Sens!$J$2531+Sens!$K$2531)/2/(1-tax)-Sens!$K$2534)/Sens!$K$2514</f>
        <v>1.15558527566281</v>
      </c>
      <c r="L2546" s="36" t="n">
        <f aca="false">Sens!$L$2545*(Sens!$L$2514+wacc*ext_sh*(Sens!$K$2531+Sens!$L$2531)/2/(1-tax)-Sens!$L$2534)/Sens!$L$2514</f>
        <v>1.12686933572495</v>
      </c>
      <c r="M2546" s="36" t="n">
        <f aca="false">Sens!$M$2545*(Sens!$M$2514+wacc*ext_sh*(Sens!$L$2531+Sens!$M$2531)/2/(1-tax)-Sens!$M$2534)/Sens!$M$2514</f>
        <v>1.11358462527531</v>
      </c>
    </row>
    <row r="2547" customFormat="false" ht="17.15" hidden="false" customHeight="false" outlineLevel="0" collapsed="false">
      <c r="A2547" s="5" t="s">
        <v>654</v>
      </c>
      <c r="B2547" s="0" t="s">
        <v>52</v>
      </c>
      <c r="C2547" s="13" t="n">
        <f aca="false">Sens!$C$2515/tk_pq</f>
        <v>0.195316432429398</v>
      </c>
      <c r="D2547" s="13" t="n">
        <f aca="false">Sens!$D$2515/tk_pq</f>
        <v>0.195316432429398</v>
      </c>
      <c r="E2547" s="13" t="n">
        <f aca="false">Sens!$E$2515/tk_pq</f>
        <v>0.195316432429398</v>
      </c>
      <c r="F2547" s="13" t="n">
        <f aca="false">Sens!$F$2515/tk_pq</f>
        <v>0.202241827274866</v>
      </c>
      <c r="G2547" s="13" t="n">
        <f aca="false">Sens!$G$2515/tk_pq</f>
        <v>0.199675016194063</v>
      </c>
      <c r="H2547" s="13" t="n">
        <f aca="false">Sens!$H$2515/tk_pq</f>
        <v>0.212647947710325</v>
      </c>
      <c r="I2547" s="13" t="n">
        <f aca="false">Sens!$I$2515/tk_pq</f>
        <v>0.219285125475351</v>
      </c>
      <c r="J2547" s="13" t="n">
        <f aca="false">Sens!$J$2515/tk_pq</f>
        <v>0.222492493217189</v>
      </c>
      <c r="K2547" s="13" t="n">
        <f aca="false">Sens!$K$2515/tk_pq</f>
        <v>0.224053502812094</v>
      </c>
      <c r="L2547" s="13" t="n">
        <f aca="false">Sens!$L$2515/tk_pq</f>
        <v>0.224786916785614</v>
      </c>
      <c r="M2547" s="13" t="n">
        <f aca="false">Sens!$M$2515/tk_pq</f>
        <v>0.225048671566937</v>
      </c>
      <c r="N2547" s="13" t="n">
        <f aca="false">Sens!$N$2515/tk_pq</f>
        <v>0.195316432429398</v>
      </c>
      <c r="O2547" s="13" t="n">
        <f aca="false">Sens!$O$2515/tk_pq</f>
        <v>0.195316432429398</v>
      </c>
      <c r="P2547" s="5" t="s">
        <v>655</v>
      </c>
    </row>
    <row r="2550" customFormat="false" ht="17.15" hidden="false" customHeight="false" outlineLevel="0" collapsed="false">
      <c r="A2550" s="1" t="s">
        <v>684</v>
      </c>
    </row>
    <row r="2551" customFormat="false" ht="17.15" hidden="false" customHeight="false" outlineLevel="0" collapsed="false">
      <c r="A2551" s="0" t="s">
        <v>685</v>
      </c>
      <c r="B2551" s="0" t="s">
        <v>86</v>
      </c>
      <c r="C2551" s="38" t="n">
        <f aca="false">Sens!$C$2514</f>
        <v>2.32100535697364</v>
      </c>
      <c r="D2551" s="38" t="n">
        <f aca="false">Sens!$D$2514</f>
        <v>8.70377008865116</v>
      </c>
      <c r="E2551" s="38" t="n">
        <f aca="false">Sens!$E$2514</f>
        <v>8.51035297557002</v>
      </c>
      <c r="F2551" s="38" t="n">
        <f aca="false">Sens!$F$2514</f>
        <v>14.9634336447205</v>
      </c>
      <c r="G2551" s="38" t="n">
        <f aca="false">Sens!$G$2514</f>
        <v>23.4737866202905</v>
      </c>
      <c r="H2551" s="38" t="n">
        <f aca="false">Sens!$H$2514</f>
        <v>60.1658907497746</v>
      </c>
      <c r="I2551" s="38" t="n">
        <f aca="false">Sens!$I$2514</f>
        <v>101.503699136432</v>
      </c>
      <c r="J2551" s="38" t="n">
        <f aca="false">Sens!$J$2514</f>
        <v>143.025407151278</v>
      </c>
      <c r="K2551" s="38" t="n">
        <f aca="false">Sens!$K$2514</f>
        <v>178.44812038318</v>
      </c>
      <c r="L2551" s="38" t="n">
        <f aca="false">Sens!$L$2514</f>
        <v>201.728101802396</v>
      </c>
      <c r="M2551" s="38" t="n">
        <f aca="false">Sens!$M$2514</f>
        <v>212.835441368865</v>
      </c>
      <c r="N2551" s="38" t="n">
        <f aca="false">Sens!$N$2514</f>
        <v>3.04631953102791</v>
      </c>
      <c r="O2551" s="38" t="n">
        <f aca="false">Sens!$O$2514</f>
        <v>5.65745055762326</v>
      </c>
      <c r="P2551" s="8" t="s">
        <v>686</v>
      </c>
    </row>
    <row r="2552" customFormat="false" ht="17.15" hidden="false" customHeight="false" outlineLevel="0" collapsed="false">
      <c r="A2552" s="0" t="s">
        <v>687</v>
      </c>
      <c r="B2552" s="0" t="s">
        <v>86</v>
      </c>
      <c r="C2552" s="38" t="n">
        <f aca="false">Sens!$C$2518</f>
        <v>105.234994643026</v>
      </c>
      <c r="D2552" s="38" t="n">
        <f aca="false">Sens!$D$2518</f>
        <v>120.021229911349</v>
      </c>
      <c r="E2552" s="38" t="n">
        <f aca="false">Sens!$E$2518</f>
        <v>71.30864702443</v>
      </c>
      <c r="F2552" s="38" t="n">
        <f aca="false">Sens!$F$2518</f>
        <v>71.7692997942464</v>
      </c>
      <c r="G2552" s="38" t="n">
        <f aca="false">Sens!$G$2518</f>
        <v>143.077946818676</v>
      </c>
      <c r="H2552" s="38" t="n">
        <f aca="false">Sens!$H$2518</f>
        <v>161.017077079203</v>
      </c>
      <c r="I2552" s="38" t="n">
        <f aca="false">Sens!$I$2518</f>
        <v>178.769759521457</v>
      </c>
      <c r="J2552" s="38" t="n">
        <f aca="false">Sens!$J$2518</f>
        <v>195.775538045907</v>
      </c>
      <c r="K2552" s="38" t="n">
        <f aca="false">Sens!$K$2518</f>
        <v>211.43758108958</v>
      </c>
      <c r="L2552" s="38" t="n">
        <f aca="false">Sens!$L$2518</f>
        <v>228.352587576746</v>
      </c>
      <c r="M2552" s="38" t="n">
        <f aca="false">Sens!$M$2518</f>
        <v>246.620794582886</v>
      </c>
      <c r="N2552" s="38" t="n">
        <f aca="false">Sens!$N$2518</f>
        <v>57.0936804689721</v>
      </c>
      <c r="O2552" s="38" t="n">
        <f aca="false">Sens!$O$2518</f>
        <v>62.9275494423768</v>
      </c>
      <c r="P2552" s="8" t="s">
        <v>686</v>
      </c>
    </row>
    <row r="2553" customFormat="false" ht="17.15" hidden="false" customHeight="false" outlineLevel="0" collapsed="false">
      <c r="A2553" s="1" t="s">
        <v>513</v>
      </c>
      <c r="B2553" s="8" t="s">
        <v>86</v>
      </c>
      <c r="C2553" s="38" t="n">
        <f aca="false">Q!$D$7</f>
        <v>107.556</v>
      </c>
      <c r="D2553" s="38" t="n">
        <f aca="false">Q!$E$7</f>
        <v>128.725</v>
      </c>
      <c r="E2553" s="38" t="n">
        <f aca="false">Q!$P$7</f>
        <v>79.819</v>
      </c>
      <c r="F2553" s="38" t="n">
        <f aca="false">Sens!$F$2551+Sens!$F$2552</f>
        <v>86.7327334389669</v>
      </c>
      <c r="G2553" s="38" t="n">
        <f aca="false">Sens!$G$2551+Sens!$G$2552</f>
        <v>166.551733438967</v>
      </c>
      <c r="H2553" s="38" t="n">
        <f aca="false">Sens!$H$2551+Sens!$H$2552</f>
        <v>221.182967828978</v>
      </c>
      <c r="I2553" s="38" t="n">
        <f aca="false">Sens!$I$2551+Sens!$I$2552</f>
        <v>280.27345865789</v>
      </c>
      <c r="J2553" s="38" t="n">
        <f aca="false">Sens!$J$2551+Sens!$J$2552</f>
        <v>338.800945197185</v>
      </c>
      <c r="K2553" s="38" t="n">
        <f aca="false">Sens!$K$2551+Sens!$K$2552</f>
        <v>389.88570147276</v>
      </c>
      <c r="L2553" s="38" t="n">
        <f aca="false">Sens!$L$2551+Sens!$L$2552</f>
        <v>430.080689379143</v>
      </c>
      <c r="M2553" s="38" t="n">
        <f aca="false">Sens!$M$2551+Sens!$M$2552</f>
        <v>459.456235951751</v>
      </c>
      <c r="N2553" s="38" t="n">
        <f aca="false">Q!$N$7</f>
        <v>60.14</v>
      </c>
      <c r="O2553" s="38" t="n">
        <f aca="false">Q!$O$7</f>
        <v>68.585</v>
      </c>
      <c r="P2553" s="5" t="s">
        <v>688</v>
      </c>
    </row>
    <row r="2554" customFormat="false" ht="15" hidden="false" customHeight="false" outlineLevel="0" collapsed="false">
      <c r="A2554" s="3" t="s">
        <v>689</v>
      </c>
      <c r="B2554" s="8" t="s">
        <v>86</v>
      </c>
      <c r="C2554" s="38" t="n">
        <f aca="false">Q!$D$8</f>
        <v>637.959</v>
      </c>
      <c r="D2554" s="38" t="n">
        <f aca="false">Q!$E$8</f>
        <v>716.924</v>
      </c>
      <c r="E2554" s="38" t="n">
        <f aca="false">Q!$P$8</f>
        <v>382.125</v>
      </c>
      <c r="F2554" s="38" t="n">
        <f aca="false">Sens!$F$2486+Sens!$F$2553</f>
        <v>435.780975084504</v>
      </c>
      <c r="G2554" s="38" t="n">
        <f aca="false">Sens!$G$2486+Sens!$G$2553</f>
        <v>817.905975084504</v>
      </c>
      <c r="H2554" s="38" t="n">
        <f aca="false">Sens!$H$2486+Sens!$H$2553</f>
        <v>942.279857350364</v>
      </c>
      <c r="I2554" s="38" t="n">
        <f aca="false">Sens!$I$2486+Sens!$I$2553</f>
        <v>1068.80284981042</v>
      </c>
      <c r="J2554" s="38" t="n">
        <f aca="false">Sens!$J$2486+Sens!$J$2553</f>
        <v>1189.90935093863</v>
      </c>
      <c r="K2554" s="38" t="n">
        <f aca="false">Sens!$K$2486+Sens!$K$2553</f>
        <v>1296.06215690385</v>
      </c>
      <c r="L2554" s="38" t="n">
        <f aca="false">Sens!$L$2486+Sens!$L$2553</f>
        <v>1395.17379585473</v>
      </c>
      <c r="M2554" s="38" t="n">
        <f aca="false">Sens!$M$2486+Sens!$M$2553</f>
        <v>1487.60414389864</v>
      </c>
      <c r="N2554" s="38" t="n">
        <f aca="false">Q!$N$8</f>
        <v>323.369</v>
      </c>
      <c r="O2554" s="38" t="n">
        <f aca="false">Q!$O$8</f>
        <v>393.555</v>
      </c>
    </row>
    <row r="2555" customFormat="false" ht="17.15" hidden="false" customHeight="false" outlineLevel="0" collapsed="false">
      <c r="A2555" s="24" t="s">
        <v>697</v>
      </c>
      <c r="B2555" s="25" t="s">
        <v>86</v>
      </c>
      <c r="C2555" s="41" t="n">
        <f aca="false">Sens!$C$2486-(Sens!$C$2488+Sens!$C$2489)</f>
        <v>0</v>
      </c>
      <c r="D2555" s="41" t="n">
        <f aca="false">Sens!$D$2486-(Sens!$D$2488+Sens!$D$2489)</f>
        <v>0</v>
      </c>
      <c r="E2555" s="41" t="n">
        <f aca="false">Sens!$E$2486-(Sens!$E$2488+Sens!$E$2489)</f>
        <v>0</v>
      </c>
      <c r="F2555" s="41" t="n">
        <f aca="false">Sens!$F$2486-(Sens!$F$2488+Sens!$F$2489)</f>
        <v>0</v>
      </c>
      <c r="G2555" s="41" t="n">
        <f aca="false">Sens!$G$2486-(Sens!$G$2488+Sens!$G$2489)</f>
        <v>0</v>
      </c>
      <c r="H2555" s="41" t="n">
        <f aca="false">Sens!$H$2486-(Sens!$H$2488+Sens!$H$2489)</f>
        <v>0</v>
      </c>
      <c r="I2555" s="41" t="n">
        <f aca="false">Sens!$I$2486-(Sens!$I$2488+Sens!$I$2489)</f>
        <v>0</v>
      </c>
      <c r="J2555" s="41" t="n">
        <f aca="false">Sens!$J$2486-(Sens!$J$2488+Sens!$J$2489)</f>
        <v>0</v>
      </c>
      <c r="K2555" s="41" t="n">
        <f aca="false">Sens!$K$2486-(Sens!$K$2488+Sens!$K$2489)</f>
        <v>0</v>
      </c>
      <c r="L2555" s="41" t="n">
        <f aca="false">Sens!$L$2486-(Sens!$L$2488+Sens!$L$2489)</f>
        <v>0</v>
      </c>
      <c r="M2555" s="41" t="n">
        <f aca="false">Sens!$M$2486-(Sens!$M$2488+Sens!$M$2489)</f>
        <v>0</v>
      </c>
      <c r="N2555" s="41" t="n">
        <f aca="false">Sens!$N$2486-(Sens!$N$2488+Sens!$N$2489)</f>
        <v>0</v>
      </c>
      <c r="O2555" s="41" t="n">
        <f aca="false">Sens!$O$2486-(Sens!$O$2488+Sens!$O$2489)</f>
        <v>0</v>
      </c>
    </row>
    <row r="2556" customFormat="false" ht="17.15" hidden="false" customHeight="false" outlineLevel="0" collapsed="false">
      <c r="A2556" s="24" t="s">
        <v>698</v>
      </c>
      <c r="B2556" s="25" t="s">
        <v>86</v>
      </c>
      <c r="C2556" s="41" t="n">
        <f aca="false">Sens!$C$2551+Sens!$C$2552-Sens!$C$2553</f>
        <v>0</v>
      </c>
      <c r="D2556" s="41" t="n">
        <f aca="false">Sens!$D$2551+Sens!$D$2552-Sens!$D$2553</f>
        <v>0</v>
      </c>
      <c r="E2556" s="41" t="n">
        <f aca="false">Sens!$E$2551+Sens!$E$2552-Sens!$E$2553</f>
        <v>0</v>
      </c>
      <c r="F2556" s="41" t="n">
        <f aca="false">Sens!$F$2551+Sens!$F$2552-Sens!$F$2553</f>
        <v>0</v>
      </c>
      <c r="G2556" s="41" t="n">
        <f aca="false">Sens!$G$2551+Sens!$G$2552-Sens!$G$2553</f>
        <v>0</v>
      </c>
      <c r="H2556" s="41" t="n">
        <f aca="false">Sens!$H$2551+Sens!$H$2552-Sens!$H$2553</f>
        <v>0</v>
      </c>
      <c r="I2556" s="41" t="n">
        <f aca="false">Sens!$I$2551+Sens!$I$2552-Sens!$I$2553</f>
        <v>0</v>
      </c>
      <c r="J2556" s="41" t="n">
        <f aca="false">Sens!$J$2551+Sens!$J$2552-Sens!$J$2553</f>
        <v>0</v>
      </c>
      <c r="K2556" s="41" t="n">
        <f aca="false">Sens!$K$2551+Sens!$K$2552-Sens!$K$2553</f>
        <v>0</v>
      </c>
      <c r="L2556" s="41" t="n">
        <f aca="false">Sens!$L$2551+Sens!$L$2552-Sens!$L$2553</f>
        <v>0</v>
      </c>
      <c r="M2556" s="41" t="n">
        <f aca="false">Sens!$M$2551+Sens!$M$2552-Sens!$M$2553</f>
        <v>0</v>
      </c>
      <c r="N2556" s="41" t="n">
        <f aca="false">Sens!$N$2551+Sens!$N$2552-Sens!$N$2553</f>
        <v>0</v>
      </c>
      <c r="O2556" s="41" t="n">
        <f aca="false">Sens!$O$2551+Sens!$O$2552-Sens!$O$2553</f>
        <v>0</v>
      </c>
    </row>
    <row r="2557" customFormat="false" ht="17.15" hidden="false" customHeight="false" outlineLevel="0" collapsed="false">
      <c r="A2557" s="24" t="s">
        <v>699</v>
      </c>
      <c r="B2557" s="25" t="s">
        <v>86</v>
      </c>
      <c r="C2557" s="41" t="n">
        <f aca="false">Sens!$C$2488+Sens!$C$2489+Sens!$C$2553-Sens!$C$2554</f>
        <v>0</v>
      </c>
      <c r="D2557" s="41" t="n">
        <f aca="false">Sens!$D$2488+Sens!$D$2489+Sens!$D$2553-Sens!$D$2554</f>
        <v>0</v>
      </c>
      <c r="E2557" s="41" t="n">
        <f aca="false">Sens!$E$2488+Sens!$E$2489+Sens!$E$2553-Sens!$E$2554</f>
        <v>0</v>
      </c>
      <c r="F2557" s="41" t="n">
        <f aca="false">Sens!$F$2488+Sens!$F$2489+Sens!$F$2553-Sens!$F$2554</f>
        <v>0</v>
      </c>
      <c r="G2557" s="41" t="n">
        <f aca="false">Sens!$G$2488+Sens!$G$2489+Sens!$G$2553-Sens!$G$2554</f>
        <v>0</v>
      </c>
      <c r="H2557" s="41" t="n">
        <f aca="false">Sens!$H$2488+Sens!$H$2489+Sens!$H$2553-Sens!$H$2554</f>
        <v>0</v>
      </c>
      <c r="I2557" s="41" t="n">
        <f aca="false">Sens!$I$2488+Sens!$I$2489+Sens!$I$2553-Sens!$I$2554</f>
        <v>0</v>
      </c>
      <c r="J2557" s="41" t="n">
        <f aca="false">Sens!$J$2488+Sens!$J$2489+Sens!$J$2553-Sens!$J$2554</f>
        <v>0</v>
      </c>
      <c r="K2557" s="41" t="n">
        <f aca="false">Sens!$K$2488+Sens!$K$2489+Sens!$K$2553-Sens!$K$2554</f>
        <v>0</v>
      </c>
      <c r="L2557" s="41" t="n">
        <f aca="false">Sens!$L$2488+Sens!$L$2489+Sens!$L$2553-Sens!$L$2554</f>
        <v>0</v>
      </c>
      <c r="M2557" s="41" t="n">
        <f aca="false">Sens!$M$2488+Sens!$M$2489+Sens!$M$2553-Sens!$M$2554</f>
        <v>0</v>
      </c>
      <c r="N2557" s="41" t="n">
        <f aca="false">Sens!$N$2488+Sens!$N$2489+Sens!$N$2553-Sens!$N$2554</f>
        <v>0</v>
      </c>
      <c r="O2557" s="41" t="n">
        <f aca="false">Sens!$O$2488+Sens!$O$2489+Sens!$O$2553-Sens!$O$2554</f>
        <v>0</v>
      </c>
    </row>
    <row r="2558" customFormat="false" ht="15" hidden="false" customHeight="false" outlineLevel="0" collapsed="false">
      <c r="A2558" s="5" t="s">
        <v>693</v>
      </c>
      <c r="B2558" s="0" t="s">
        <v>52</v>
      </c>
      <c r="G2558" s="13" t="n">
        <f aca="false">Sens!$G$2554/Sens!$D$2554-1</f>
        <v>0.140854504918937</v>
      </c>
      <c r="H2558" s="13" t="n">
        <f aca="false">Sens!$H$2554/Sens!$G$2554-1</f>
        <v>0.152063789793209</v>
      </c>
      <c r="I2558" s="13" t="n">
        <f aca="false">Sens!$I$2554/Sens!$H$2554-1</f>
        <v>0.134273264437417</v>
      </c>
      <c r="J2558" s="13" t="n">
        <f aca="false">Sens!$J$2554/Sens!$I$2554-1</f>
        <v>0.113310421234083</v>
      </c>
      <c r="K2558" s="13" t="n">
        <f aca="false">Sens!$K$2554/Sens!$J$2554-1</f>
        <v>0.0892108343223652</v>
      </c>
      <c r="L2558" s="13" t="n">
        <f aca="false">Sens!$L$2554/Sens!$K$2554-1</f>
        <v>0.076471362444261</v>
      </c>
      <c r="M2558" s="13" t="n">
        <f aca="false">Sens!$M$2554/Sens!$L$2554-1</f>
        <v>0.066250060256672</v>
      </c>
    </row>
    <row r="2559" customFormat="false" ht="17.15" hidden="false" customHeight="false" outlineLevel="0" collapsed="false">
      <c r="A2559" s="0" t="s">
        <v>694</v>
      </c>
      <c r="B2559" s="0" t="s">
        <v>52</v>
      </c>
      <c r="C2559" s="13" t="n">
        <f aca="false">Sens!$C$2553/Sens!$C$2554</f>
        <v>0.168593906504964</v>
      </c>
      <c r="D2559" s="13" t="n">
        <f aca="false">Sens!$D$2553/Sens!$D$2554</f>
        <v>0.179551807444025</v>
      </c>
      <c r="E2559" s="13" t="n">
        <f aca="false">Sens!$E$2553/Sens!$E$2554</f>
        <v>0.208881910369643</v>
      </c>
      <c r="F2559" s="13" t="n">
        <f aca="false">Sens!$F$2553/Sens!$F$2554</f>
        <v>0.199028269699356</v>
      </c>
      <c r="G2559" s="13" t="n">
        <f aca="false">Sens!$G$2553/Sens!$G$2554</f>
        <v>0.203631882529968</v>
      </c>
      <c r="H2559" s="13" t="n">
        <f aca="false">Sens!$H$2553/Sens!$H$2554</f>
        <v>0.234731715958496</v>
      </c>
      <c r="I2559" s="13" t="n">
        <f aca="false">Sens!$I$2553/Sens!$I$2554</f>
        <v>0.262231204480418</v>
      </c>
      <c r="J2559" s="13" t="n">
        <f aca="false">Sens!$J$2553/Sens!$J$2554</f>
        <v>0.284728366013706</v>
      </c>
      <c r="K2559" s="13" t="n">
        <f aca="false">Sens!$K$2553/Sens!$K$2554</f>
        <v>0.300823304959505</v>
      </c>
      <c r="L2559" s="13" t="n">
        <f aca="false">Sens!$L$2553/Sens!$L$2554</f>
        <v>0.308263164529735</v>
      </c>
      <c r="M2559" s="13" t="n">
        <f aca="false">Sens!$M$2553/Sens!$M$2554</f>
        <v>0.308856517936036</v>
      </c>
      <c r="N2559" s="13" t="n">
        <f aca="false">Sens!$N$2553/Sens!$N$2554</f>
        <v>0.185979484737251</v>
      </c>
      <c r="O2559" s="13" t="n">
        <f aca="false">Sens!$O$2553/Sens!$O$2554</f>
        <v>0.174270432341096</v>
      </c>
    </row>
    <row r="2560" customFormat="false" ht="17.15" hidden="false" customHeight="false" outlineLevel="0" collapsed="false">
      <c r="A2560" s="0" t="s">
        <v>695</v>
      </c>
      <c r="B2560" s="0" t="s">
        <v>52</v>
      </c>
      <c r="C2560" s="13" t="n">
        <f aca="false">Sens!$C$2551/Sens!$C$2553</f>
        <v>0.0215795060896058</v>
      </c>
      <c r="D2560" s="13" t="n">
        <f aca="false">Sens!$D$2551/Sens!$D$2553</f>
        <v>0.0676152269462122</v>
      </c>
      <c r="E2560" s="13" t="n">
        <f aca="false">Sens!$E$2551/Sens!$E$2553</f>
        <v>0.106620641395783</v>
      </c>
      <c r="F2560" s="13" t="n">
        <f aca="false">Sens!$F$2551/Sens!$F$2553</f>
        <v>0.172523487401099</v>
      </c>
      <c r="G2560" s="13" t="n">
        <f aca="false">Sens!$G$2551/Sens!$G$2553</f>
        <v>0.140939911795589</v>
      </c>
      <c r="H2560" s="13" t="n">
        <f aca="false">Sens!$H$2551/Sens!$H$2553</f>
        <v>0.272018642937714</v>
      </c>
      <c r="I2560" s="13" t="n">
        <f aca="false">Sens!$I$2551/Sens!$I$2553</f>
        <v>0.362159512436497</v>
      </c>
      <c r="J2560" s="13" t="n">
        <f aca="false">Sens!$J$2551/Sens!$J$2553</f>
        <v>0.422151735934609</v>
      </c>
      <c r="K2560" s="13" t="n">
        <f aca="false">Sens!$K$2551/Sens!$K$2553</f>
        <v>0.45769342068485</v>
      </c>
      <c r="L2560" s="13" t="n">
        <f aca="false">Sens!$L$2551/Sens!$L$2553</f>
        <v>0.469047103913472</v>
      </c>
      <c r="M2560" s="13" t="n">
        <f aca="false">Sens!$M$2551/Sens!$M$2553</f>
        <v>0.463233328258093</v>
      </c>
      <c r="N2560" s="13" t="n">
        <f aca="false">Sens!$N$2551/Sens!$N$2553</f>
        <v>0.0506537999838362</v>
      </c>
      <c r="O2560" s="13" t="n">
        <f aca="false">Sens!$O$2551/Sens!$O$2553</f>
        <v>0.0824881615167056</v>
      </c>
    </row>
    <row r="2563" customFormat="false" ht="19.4" hidden="false" customHeight="false" outlineLevel="0" collapsed="false">
      <c r="A2563" s="31" t="s">
        <v>1179</v>
      </c>
    </row>
    <row r="2564" customFormat="false" ht="17.15" hidden="false" customHeight="false" outlineLevel="0" collapsed="false">
      <c r="A2564" s="6" t="s">
        <v>16</v>
      </c>
      <c r="B2564" s="6" t="s">
        <v>17</v>
      </c>
      <c r="C2564" s="20" t="s">
        <v>494</v>
      </c>
      <c r="D2564" s="20" t="s">
        <v>495</v>
      </c>
      <c r="E2564" s="20" t="s">
        <v>577</v>
      </c>
      <c r="F2564" s="20" t="s">
        <v>578</v>
      </c>
      <c r="G2564" s="20" t="s">
        <v>579</v>
      </c>
      <c r="H2564" s="20" t="s">
        <v>580</v>
      </c>
      <c r="I2564" s="20" t="s">
        <v>581</v>
      </c>
      <c r="J2564" s="20" t="s">
        <v>582</v>
      </c>
      <c r="K2564" s="20" t="s">
        <v>583</v>
      </c>
      <c r="L2564" s="20" t="s">
        <v>584</v>
      </c>
      <c r="M2564" s="20" t="s">
        <v>585</v>
      </c>
      <c r="N2564" s="20" t="s">
        <v>586</v>
      </c>
      <c r="O2564" s="20" t="s">
        <v>587</v>
      </c>
      <c r="P2564" s="6" t="s">
        <v>23</v>
      </c>
      <c r="R2564" s="20" t="n">
        <v>2023</v>
      </c>
      <c r="S2564" s="20" t="n">
        <v>2024</v>
      </c>
      <c r="T2564" s="20" t="n">
        <v>2025</v>
      </c>
      <c r="U2564" s="20" t="n">
        <v>2026</v>
      </c>
      <c r="V2564" s="20" t="n">
        <v>2027</v>
      </c>
      <c r="W2564" s="20" t="n">
        <v>2028</v>
      </c>
      <c r="X2564" s="20" t="n">
        <v>2029</v>
      </c>
      <c r="Y2564" s="20" t="n">
        <v>2030</v>
      </c>
      <c r="Z2564" s="20" t="n">
        <v>2031</v>
      </c>
      <c r="AA2564" s="20" t="n">
        <v>2032</v>
      </c>
    </row>
    <row r="2565" customFormat="false" ht="17.15" hidden="false" customHeight="false" outlineLevel="0" collapsed="false">
      <c r="A2565" s="1" t="s">
        <v>710</v>
      </c>
    </row>
    <row r="2566" customFormat="false" ht="15" hidden="false" customHeight="false" outlineLevel="0" collapsed="false">
      <c r="A2566" s="0" t="s">
        <v>516</v>
      </c>
      <c r="B2566" s="0" t="s">
        <v>86</v>
      </c>
      <c r="C2566" s="38" t="n">
        <f aca="false">Sens!$C$2473</f>
        <v>247.029</v>
      </c>
      <c r="D2566" s="38" t="n">
        <f aca="false">Sens!$D$2473</f>
        <v>269.287</v>
      </c>
      <c r="E2566" s="38" t="n">
        <f aca="false">Sens!$E$2473</f>
        <v>134.686</v>
      </c>
      <c r="F2566" s="38" t="n">
        <f aca="false">Sens!$F$2473</f>
        <v>158.293876822267</v>
      </c>
      <c r="G2566" s="38" t="n">
        <f aca="false">Sens!$G$2473</f>
        <v>292.979876822267</v>
      </c>
      <c r="H2566" s="38" t="n">
        <f aca="false">Sens!$H$2473</f>
        <v>318.184543087396</v>
      </c>
      <c r="I2566" s="38" t="n">
        <f aca="false">Sens!$I$2473</f>
        <v>341.736278761793</v>
      </c>
      <c r="J2566" s="38" t="n">
        <f aca="false">Sens!$J$2473</f>
        <v>362.927192787048</v>
      </c>
      <c r="K2566" s="38" t="n">
        <f aca="false">Sens!$K$2473</f>
        <v>381.0735524264</v>
      </c>
      <c r="L2566" s="38" t="n">
        <f aca="false">Sens!$L$2473</f>
        <v>400.12723004772</v>
      </c>
      <c r="M2566" s="38" t="n">
        <f aca="false">Sens!$M$2473</f>
        <v>420.133591550106</v>
      </c>
      <c r="N2566" s="38" t="n">
        <f aca="false">Sens!$N$2473</f>
        <v>118.892</v>
      </c>
      <c r="O2566" s="38" t="n">
        <f aca="false">Sens!$O$2473</f>
        <v>150.395</v>
      </c>
    </row>
    <row r="2567" customFormat="false" ht="15" hidden="false" customHeight="false" outlineLevel="0" collapsed="false">
      <c r="A2567" s="0" t="s">
        <v>517</v>
      </c>
      <c r="B2567" s="0" t="s">
        <v>86</v>
      </c>
      <c r="C2567" s="38" t="n">
        <f aca="false">Sens!$C$2475</f>
        <v>21.215</v>
      </c>
      <c r="D2567" s="38" t="n">
        <f aca="false">Sens!$D$2475</f>
        <v>22.561</v>
      </c>
      <c r="E2567" s="38" t="n">
        <f aca="false">Sens!$E$2475</f>
        <v>11.579</v>
      </c>
      <c r="F2567" s="38" t="n">
        <f aca="false">Sens!$F$2475</f>
        <v>11.5938724610325</v>
      </c>
      <c r="G2567" s="38" t="n">
        <f aca="false">Sens!$G$2475</f>
        <v>23.1728724610325</v>
      </c>
      <c r="H2567" s="38" t="n">
        <f aca="false">Sens!$H$2475</f>
        <v>24.353392759506</v>
      </c>
      <c r="I2567" s="38" t="n">
        <f aca="false">Sens!$I$2475</f>
        <v>25.4240338872015</v>
      </c>
      <c r="J2567" s="38" t="n">
        <f aca="false">Sens!$J$2475</f>
        <v>26.3642491017174</v>
      </c>
      <c r="K2567" s="38" t="n">
        <f aca="false">Sens!$K$2475</f>
        <v>27.155176574769</v>
      </c>
      <c r="L2567" s="38" t="n">
        <f aca="false">Sens!$L$2475</f>
        <v>27.969831872012</v>
      </c>
      <c r="M2567" s="38" t="n">
        <f aca="false">Sens!$M$2475</f>
        <v>28.8089268281724</v>
      </c>
      <c r="N2567" s="38" t="n">
        <f aca="false">Sens!$N$2475</f>
        <v>11.128</v>
      </c>
      <c r="O2567" s="38" t="n">
        <f aca="false">Sens!$O$2475</f>
        <v>11.433</v>
      </c>
    </row>
    <row r="2568" customFormat="false" ht="15" hidden="false" customHeight="false" outlineLevel="0" collapsed="false">
      <c r="A2568" s="0" t="s">
        <v>518</v>
      </c>
      <c r="B2568" s="0" t="s">
        <v>86</v>
      </c>
      <c r="C2568" s="38" t="n">
        <f aca="false">Sens!$C$2477</f>
        <v>156.146</v>
      </c>
      <c r="D2568" s="38" t="n">
        <f aca="false">Sens!$D$2477</f>
        <v>172.162</v>
      </c>
      <c r="E2568" s="38" t="n">
        <f aca="false">Sens!$E$2477</f>
        <v>88.358</v>
      </c>
      <c r="F2568" s="38" t="n">
        <f aca="false">Sens!$F$2477</f>
        <v>102.004388260171</v>
      </c>
      <c r="G2568" s="38" t="n">
        <f aca="false">Sens!$G$2477</f>
        <v>190.362388260171</v>
      </c>
      <c r="H2568" s="38" t="n">
        <f aca="false">Sens!$H$2477</f>
        <v>210.343106588311</v>
      </c>
      <c r="I2568" s="38" t="n">
        <f aca="false">Sens!$I$2477</f>
        <v>229.969728494648</v>
      </c>
      <c r="J2568" s="38" t="n">
        <f aca="false">Sens!$J$2477</f>
        <v>248.747636972598</v>
      </c>
      <c r="K2568" s="38" t="n">
        <f aca="false">Sens!$K$2477</f>
        <v>266.15997156068</v>
      </c>
      <c r="L2568" s="38" t="n">
        <f aca="false">Sens!$L$2477</f>
        <v>284.791169569927</v>
      </c>
      <c r="M2568" s="38" t="n">
        <f aca="false">Sens!$M$2477</f>
        <v>304.726551439822</v>
      </c>
      <c r="N2568" s="38" t="n">
        <f aca="false">Sens!$N$2477</f>
        <v>76.86</v>
      </c>
      <c r="O2568" s="38" t="n">
        <f aca="false">Sens!$O$2477</f>
        <v>95.302</v>
      </c>
    </row>
    <row r="2569" customFormat="false" ht="15" hidden="false" customHeight="false" outlineLevel="0" collapsed="false">
      <c r="A2569" s="0" t="s">
        <v>519</v>
      </c>
      <c r="B2569" s="0" t="s">
        <v>86</v>
      </c>
      <c r="C2569" s="38" t="n">
        <f aca="false">Sens!$C$2479</f>
        <v>56.214</v>
      </c>
      <c r="D2569" s="38" t="n">
        <f aca="false">Sens!$D$2479</f>
        <v>68.635</v>
      </c>
      <c r="E2569" s="38" t="n">
        <f aca="false">Sens!$E$2479</f>
        <v>37.052</v>
      </c>
      <c r="F2569" s="38" t="n">
        <f aca="false">Sens!$F$2479</f>
        <v>46.1572219944148</v>
      </c>
      <c r="G2569" s="38" t="n">
        <f aca="false">Sens!$G$2479</f>
        <v>83.2092219944148</v>
      </c>
      <c r="H2569" s="38" t="n">
        <f aca="false">Sens!$H$2479</f>
        <v>99.8969223878976</v>
      </c>
      <c r="I2569" s="38" t="n">
        <f aca="false">Sens!$I$2479</f>
        <v>116.583111095496</v>
      </c>
      <c r="J2569" s="38" t="n">
        <f aca="false">Sens!$J$2479</f>
        <v>132.148941941952</v>
      </c>
      <c r="K2569" s="38" t="n">
        <f aca="false">Sens!$K$2479</f>
        <v>145.363836136147</v>
      </c>
      <c r="L2569" s="38" t="n">
        <f aca="false">Sens!$L$2479</f>
        <v>159.900219749762</v>
      </c>
      <c r="M2569" s="38" t="n">
        <f aca="false">Sens!$M$2479</f>
        <v>175.890241724738</v>
      </c>
      <c r="N2569" s="38" t="n">
        <f aca="false">Sens!$N$2479</f>
        <v>29.615</v>
      </c>
      <c r="O2569" s="38" t="n">
        <f aca="false">Sens!$O$2479</f>
        <v>39.02</v>
      </c>
    </row>
    <row r="2570" customFormat="false" ht="15" hidden="false" customHeight="false" outlineLevel="0" collapsed="false">
      <c r="A2570" s="0" t="s">
        <v>520</v>
      </c>
      <c r="B2570" s="0" t="s">
        <v>86</v>
      </c>
      <c r="C2570" s="38" t="n">
        <f aca="false">Sens!$C$2481</f>
        <v>44.374</v>
      </c>
      <c r="D2570" s="38" t="n">
        <f aca="false">Sens!$D$2481</f>
        <v>49.619</v>
      </c>
      <c r="E2570" s="38" t="n">
        <f aca="false">Sens!$E$2481</f>
        <v>27.157</v>
      </c>
      <c r="F2570" s="38" t="n">
        <f aca="false">Sens!$F$2481</f>
        <v>27.7764165988154</v>
      </c>
      <c r="G2570" s="38" t="n">
        <f aca="false">Sens!$G$2481</f>
        <v>54.9334165988154</v>
      </c>
      <c r="H2570" s="38" t="n">
        <f aca="false">Sens!$H$2481</f>
        <v>61.1564112561829</v>
      </c>
      <c r="I2570" s="38" t="n">
        <f aca="false">Sens!$I$2481</f>
        <v>67.2020282103945</v>
      </c>
      <c r="J2570" s="38" t="n">
        <f aca="false">Sens!$J$2481</f>
        <v>72.8757274028885</v>
      </c>
      <c r="K2570" s="38" t="n">
        <f aca="false">Sens!$K$2481</f>
        <v>77.9770283210907</v>
      </c>
      <c r="L2570" s="38" t="n">
        <f aca="false">Sens!$L$2481</f>
        <v>83.4354203035671</v>
      </c>
      <c r="M2570" s="38" t="n">
        <f aca="false">Sens!$M$2481</f>
        <v>89.2758997248168</v>
      </c>
      <c r="N2570" s="38" t="n">
        <f aca="false">Sens!$N$2481</f>
        <v>23.923</v>
      </c>
      <c r="O2570" s="38" t="n">
        <f aca="false">Sens!$O$2481</f>
        <v>25.696</v>
      </c>
    </row>
    <row r="2571" customFormat="false" ht="15" hidden="false" customHeight="false" outlineLevel="0" collapsed="false">
      <c r="A2571" s="0" t="s">
        <v>521</v>
      </c>
      <c r="B2571" s="0" t="s">
        <v>86</v>
      </c>
      <c r="C2571" s="38" t="n">
        <f aca="false">Sens!$C$2483</f>
        <v>5.425</v>
      </c>
      <c r="D2571" s="38" t="n">
        <f aca="false">Sens!$D$2483</f>
        <v>5.935</v>
      </c>
      <c r="E2571" s="38" t="n">
        <f aca="false">Sens!$E$2483</f>
        <v>3.474</v>
      </c>
      <c r="F2571" s="38" t="n">
        <f aca="false">Sens!$F$2483</f>
        <v>3.22246550883619</v>
      </c>
      <c r="G2571" s="38" t="n">
        <f aca="false">Sens!$G$2483</f>
        <v>6.69646550883619</v>
      </c>
      <c r="H2571" s="38" t="n">
        <f aca="false">Sens!$H$2483</f>
        <v>7.16251344209196</v>
      </c>
      <c r="I2571" s="38" t="n">
        <f aca="false">Sens!$I$2483</f>
        <v>7.61421070299826</v>
      </c>
      <c r="J2571" s="38" t="n">
        <f aca="false">Sens!$J$2483</f>
        <v>8.04465753523932</v>
      </c>
      <c r="K2571" s="38" t="n">
        <f aca="false">Sens!$K$2483</f>
        <v>8.44689041200128</v>
      </c>
      <c r="L2571" s="38" t="n">
        <f aca="false">Sens!$L$2483</f>
        <v>8.86923493260135</v>
      </c>
      <c r="M2571" s="38" t="n">
        <f aca="false">Sens!$M$2483</f>
        <v>9.31269667923142</v>
      </c>
      <c r="N2571" s="38" t="n">
        <f aca="false">Sens!$N$2483</f>
        <v>2.811</v>
      </c>
      <c r="O2571" s="38" t="n">
        <f aca="false">Sens!$O$2483</f>
        <v>3.124</v>
      </c>
    </row>
    <row r="2572" customFormat="false" ht="17.15" hidden="false" customHeight="false" outlineLevel="0" collapsed="false">
      <c r="A2572" s="0" t="s">
        <v>711</v>
      </c>
      <c r="B2572" s="0" t="s">
        <v>86</v>
      </c>
      <c r="C2572" s="38" t="n">
        <f aca="false">Sens!$C$2553</f>
        <v>107.556</v>
      </c>
      <c r="D2572" s="38" t="n">
        <f aca="false">Sens!$D$2553</f>
        <v>128.725</v>
      </c>
      <c r="E2572" s="38" t="n">
        <f aca="false">Sens!$E$2553</f>
        <v>79.819</v>
      </c>
      <c r="F2572" s="38" t="n">
        <f aca="false">Sens!$F$2553</f>
        <v>86.7327334389669</v>
      </c>
      <c r="G2572" s="38" t="n">
        <f aca="false">Sens!$G$2553</f>
        <v>166.551733438967</v>
      </c>
      <c r="H2572" s="38" t="n">
        <f aca="false">Sens!$H$2553</f>
        <v>221.182967828978</v>
      </c>
      <c r="I2572" s="38" t="n">
        <f aca="false">Sens!$I$2553</f>
        <v>280.27345865789</v>
      </c>
      <c r="J2572" s="38" t="n">
        <f aca="false">Sens!$J$2553</f>
        <v>338.800945197185</v>
      </c>
      <c r="K2572" s="38" t="n">
        <f aca="false">Sens!$K$2553</f>
        <v>389.88570147276</v>
      </c>
      <c r="L2572" s="38" t="n">
        <f aca="false">Sens!$L$2553</f>
        <v>430.080689379143</v>
      </c>
      <c r="M2572" s="38" t="n">
        <f aca="false">Sens!$M$2553</f>
        <v>459.456235951751</v>
      </c>
      <c r="N2572" s="38" t="n">
        <f aca="false">Sens!$N$2553</f>
        <v>60.14</v>
      </c>
      <c r="O2572" s="38" t="n">
        <f aca="false">Sens!$O$2553</f>
        <v>68.585</v>
      </c>
    </row>
    <row r="2573" customFormat="false" ht="15" hidden="false" customHeight="false" outlineLevel="0" collapsed="false">
      <c r="A2573" s="1" t="s">
        <v>509</v>
      </c>
      <c r="B2573" s="8" t="s">
        <v>86</v>
      </c>
      <c r="C2573" s="38" t="n">
        <f aca="false">Sens!$C$2488</f>
        <v>387.497</v>
      </c>
      <c r="D2573" s="38" t="n">
        <f aca="false">Sens!$D$2488</f>
        <v>426.305</v>
      </c>
      <c r="E2573" s="38" t="n">
        <f aca="false">Sens!$E$2488</f>
        <v>220.32</v>
      </c>
      <c r="F2573" s="38" t="n">
        <f aca="false">Sens!$F$2488</f>
        <v>250.639773480586</v>
      </c>
      <c r="G2573" s="38" t="n">
        <f aca="false">Sens!$G$2488</f>
        <v>470.959773480586</v>
      </c>
      <c r="H2573" s="38" t="n">
        <f aca="false">Sens!$H$2488</f>
        <v>521.386990416437</v>
      </c>
      <c r="I2573" s="38" t="n">
        <f aca="false">Sens!$I$2488</f>
        <v>570.143862887555</v>
      </c>
      <c r="J2573" s="38" t="n">
        <f aca="false">Sens!$J$2488</f>
        <v>615.391435791933</v>
      </c>
      <c r="K2573" s="38" t="n">
        <f aca="false">Sens!$K$2488</f>
        <v>655.208227561543</v>
      </c>
      <c r="L2573" s="38" t="n">
        <f aca="false">Sens!$L$2488</f>
        <v>697.807739249767</v>
      </c>
      <c r="M2573" s="38" t="n">
        <f aca="false">Sens!$M$2488</f>
        <v>743.399328463592</v>
      </c>
      <c r="N2573" s="38" t="n">
        <f aca="false">Sens!$N$2488</f>
        <v>192.955</v>
      </c>
      <c r="O2573" s="38" t="n">
        <f aca="false">Sens!$O$2488</f>
        <v>233.35</v>
      </c>
    </row>
    <row r="2574" customFormat="false" ht="15" hidden="false" customHeight="false" outlineLevel="0" collapsed="false">
      <c r="A2574" s="1" t="s">
        <v>512</v>
      </c>
      <c r="B2574" s="8" t="s">
        <v>86</v>
      </c>
      <c r="C2574" s="38" t="n">
        <f aca="false">Sens!$C$2489</f>
        <v>142.906</v>
      </c>
      <c r="D2574" s="38" t="n">
        <f aca="false">Sens!$D$2489</f>
        <v>161.894</v>
      </c>
      <c r="E2574" s="38" t="n">
        <f aca="false">Sens!$E$2489</f>
        <v>81.986</v>
      </c>
      <c r="F2574" s="38" t="n">
        <f aca="false">Sens!$F$2489</f>
        <v>98.408468164951</v>
      </c>
      <c r="G2574" s="38" t="n">
        <f aca="false">Sens!$G$2489</f>
        <v>180.394468164951</v>
      </c>
      <c r="H2574" s="38" t="n">
        <f aca="false">Sens!$H$2489</f>
        <v>199.709899104949</v>
      </c>
      <c r="I2574" s="38" t="n">
        <f aca="false">Sens!$I$2489</f>
        <v>218.385528264976</v>
      </c>
      <c r="J2574" s="38" t="n">
        <f aca="false">Sens!$J$2489</f>
        <v>235.71696994951</v>
      </c>
      <c r="K2574" s="38" t="n">
        <f aca="false">Sens!$K$2489</f>
        <v>250.968227869545</v>
      </c>
      <c r="L2574" s="38" t="n">
        <f aca="false">Sens!$L$2489</f>
        <v>267.285367225822</v>
      </c>
      <c r="M2574" s="38" t="n">
        <f aca="false">Sens!$M$2489</f>
        <v>284.748579483295</v>
      </c>
      <c r="N2574" s="38" t="n">
        <f aca="false">Sens!$N$2489</f>
        <v>70.274</v>
      </c>
      <c r="O2574" s="38" t="n">
        <f aca="false">Sens!$O$2489</f>
        <v>91.62</v>
      </c>
    </row>
    <row r="2575" customFormat="false" ht="15" hidden="false" customHeight="false" outlineLevel="0" collapsed="false">
      <c r="A2575" s="1" t="s">
        <v>513</v>
      </c>
      <c r="B2575" s="8" t="s">
        <v>86</v>
      </c>
      <c r="C2575" s="38" t="n">
        <f aca="false">Sens!$C$2553</f>
        <v>107.556</v>
      </c>
      <c r="D2575" s="38" t="n">
        <f aca="false">Sens!$D$2553</f>
        <v>128.725</v>
      </c>
      <c r="E2575" s="38" t="n">
        <f aca="false">Sens!$E$2553</f>
        <v>79.819</v>
      </c>
      <c r="F2575" s="38" t="n">
        <f aca="false">Sens!$F$2553</f>
        <v>86.7327334389669</v>
      </c>
      <c r="G2575" s="38" t="n">
        <f aca="false">Sens!$G$2553</f>
        <v>166.551733438967</v>
      </c>
      <c r="H2575" s="38" t="n">
        <f aca="false">Sens!$H$2553</f>
        <v>221.182967828978</v>
      </c>
      <c r="I2575" s="38" t="n">
        <f aca="false">Sens!$I$2553</f>
        <v>280.27345865789</v>
      </c>
      <c r="J2575" s="38" t="n">
        <f aca="false">Sens!$J$2553</f>
        <v>338.800945197185</v>
      </c>
      <c r="K2575" s="38" t="n">
        <f aca="false">Sens!$K$2553</f>
        <v>389.88570147276</v>
      </c>
      <c r="L2575" s="38" t="n">
        <f aca="false">Sens!$L$2553</f>
        <v>430.080689379143</v>
      </c>
      <c r="M2575" s="38" t="n">
        <f aca="false">Sens!$M$2553</f>
        <v>459.456235951751</v>
      </c>
      <c r="N2575" s="38" t="n">
        <f aca="false">Sens!$N$2553</f>
        <v>60.14</v>
      </c>
      <c r="O2575" s="38" t="n">
        <f aca="false">Sens!$O$2553</f>
        <v>68.585</v>
      </c>
    </row>
    <row r="2576" customFormat="false" ht="17.15" hidden="false" customHeight="false" outlineLevel="0" collapsed="false">
      <c r="A2576" s="0" t="s">
        <v>685</v>
      </c>
      <c r="B2576" s="0" t="s">
        <v>86</v>
      </c>
      <c r="C2576" s="38" t="n">
        <f aca="false">Sens!$C$2551</f>
        <v>2.32100535697364</v>
      </c>
      <c r="D2576" s="38" t="n">
        <f aca="false">Sens!$D$2551</f>
        <v>8.70377008865116</v>
      </c>
      <c r="E2576" s="38" t="n">
        <f aca="false">Sens!$E$2551</f>
        <v>8.51035297557002</v>
      </c>
      <c r="F2576" s="38" t="n">
        <f aca="false">Sens!$F$2551</f>
        <v>14.9634336447205</v>
      </c>
      <c r="G2576" s="38" t="n">
        <f aca="false">Sens!$G$2551</f>
        <v>23.4737866202905</v>
      </c>
      <c r="H2576" s="38" t="n">
        <f aca="false">Sens!$H$2551</f>
        <v>60.1658907497746</v>
      </c>
      <c r="I2576" s="38" t="n">
        <f aca="false">Sens!$I$2551</f>
        <v>101.503699136432</v>
      </c>
      <c r="J2576" s="38" t="n">
        <f aca="false">Sens!$J$2551</f>
        <v>143.025407151278</v>
      </c>
      <c r="K2576" s="38" t="n">
        <f aca="false">Sens!$K$2551</f>
        <v>178.44812038318</v>
      </c>
      <c r="L2576" s="38" t="n">
        <f aca="false">Sens!$L$2551</f>
        <v>201.728101802396</v>
      </c>
      <c r="M2576" s="38" t="n">
        <f aca="false">Sens!$M$2551</f>
        <v>212.835441368865</v>
      </c>
      <c r="N2576" s="38" t="n">
        <f aca="false">Sens!$N$2551</f>
        <v>3.04631953102791</v>
      </c>
      <c r="O2576" s="38" t="n">
        <f aca="false">Sens!$O$2551</f>
        <v>5.65745055762326</v>
      </c>
    </row>
    <row r="2577" customFormat="false" ht="17.15" hidden="false" customHeight="false" outlineLevel="0" collapsed="false">
      <c r="A2577" s="0" t="s">
        <v>687</v>
      </c>
      <c r="B2577" s="0" t="s">
        <v>86</v>
      </c>
      <c r="C2577" s="38" t="n">
        <f aca="false">Sens!$C$2552</f>
        <v>105.234994643026</v>
      </c>
      <c r="D2577" s="38" t="n">
        <f aca="false">Sens!$D$2552</f>
        <v>120.021229911349</v>
      </c>
      <c r="E2577" s="38" t="n">
        <f aca="false">Sens!$E$2552</f>
        <v>71.30864702443</v>
      </c>
      <c r="F2577" s="38" t="n">
        <f aca="false">Sens!$F$2552</f>
        <v>71.7692997942464</v>
      </c>
      <c r="G2577" s="38" t="n">
        <f aca="false">Sens!$G$2552</f>
        <v>143.077946818676</v>
      </c>
      <c r="H2577" s="38" t="n">
        <f aca="false">Sens!$H$2552</f>
        <v>161.017077079203</v>
      </c>
      <c r="I2577" s="38" t="n">
        <f aca="false">Sens!$I$2552</f>
        <v>178.769759521457</v>
      </c>
      <c r="J2577" s="38" t="n">
        <f aca="false">Sens!$J$2552</f>
        <v>195.775538045907</v>
      </c>
      <c r="K2577" s="38" t="n">
        <f aca="false">Sens!$K$2552</f>
        <v>211.43758108958</v>
      </c>
      <c r="L2577" s="38" t="n">
        <f aca="false">Sens!$L$2552</f>
        <v>228.352587576746</v>
      </c>
      <c r="M2577" s="38" t="n">
        <f aca="false">Sens!$M$2552</f>
        <v>246.620794582886</v>
      </c>
      <c r="N2577" s="38" t="n">
        <f aca="false">Sens!$N$2552</f>
        <v>57.0936804689721</v>
      </c>
      <c r="O2577" s="38" t="n">
        <f aca="false">Sens!$O$2552</f>
        <v>62.9275494423768</v>
      </c>
    </row>
    <row r="2578" customFormat="false" ht="15" hidden="false" customHeight="false" outlineLevel="0" collapsed="false">
      <c r="A2578" s="3" t="s">
        <v>514</v>
      </c>
      <c r="B2578" s="8" t="s">
        <v>86</v>
      </c>
      <c r="C2578" s="38" t="n">
        <f aca="false">Sens!$C$2554</f>
        <v>637.959</v>
      </c>
      <c r="D2578" s="38" t="n">
        <f aca="false">Sens!$D$2554</f>
        <v>716.924</v>
      </c>
      <c r="E2578" s="38" t="n">
        <f aca="false">Sens!$E$2554</f>
        <v>382.125</v>
      </c>
      <c r="F2578" s="38" t="n">
        <f aca="false">Sens!$F$2554</f>
        <v>435.780975084504</v>
      </c>
      <c r="G2578" s="38" t="n">
        <f aca="false">Sens!$G$2554</f>
        <v>817.905975084504</v>
      </c>
      <c r="H2578" s="38" t="n">
        <f aca="false">Sens!$H$2554</f>
        <v>942.279857350364</v>
      </c>
      <c r="I2578" s="38" t="n">
        <f aca="false">Sens!$I$2554</f>
        <v>1068.80284981042</v>
      </c>
      <c r="J2578" s="38" t="n">
        <f aca="false">Sens!$J$2554</f>
        <v>1189.90935093863</v>
      </c>
      <c r="K2578" s="38" t="n">
        <f aca="false">Sens!$K$2554</f>
        <v>1296.06215690385</v>
      </c>
      <c r="L2578" s="38" t="n">
        <f aca="false">Sens!$L$2554</f>
        <v>1395.17379585473</v>
      </c>
      <c r="M2578" s="38" t="n">
        <f aca="false">Sens!$M$2554</f>
        <v>1487.60414389864</v>
      </c>
      <c r="N2578" s="38" t="n">
        <f aca="false">Sens!$N$2554</f>
        <v>323.369</v>
      </c>
      <c r="O2578" s="38" t="n">
        <f aca="false">Sens!$O$2554</f>
        <v>393.555</v>
      </c>
    </row>
    <row r="2579" customFormat="false" ht="17.15" hidden="false" customHeight="false" outlineLevel="0" collapsed="false">
      <c r="A2579" s="24" t="s">
        <v>697</v>
      </c>
      <c r="B2579" s="25" t="s">
        <v>86</v>
      </c>
      <c r="C2579" s="41" t="n">
        <f aca="false">Sens!$C$2566+Sens!$C$2567+Sens!$C$2568+Sens!$C$2569+Sens!$C$2570+Sens!$C$2571-(Sens!$C$2573+Sens!$C$2574)</f>
        <v>0</v>
      </c>
      <c r="D2579" s="41" t="n">
        <f aca="false">Sens!$D$2566+Sens!$D$2567+Sens!$D$2568+Sens!$D$2569+Sens!$D$2570+Sens!$D$2571-(Sens!$D$2573+Sens!$D$2574)</f>
        <v>0</v>
      </c>
      <c r="E2579" s="41" t="n">
        <f aca="false">Sens!$E$2566+Sens!$E$2567+Sens!$E$2568+Sens!$E$2569+Sens!$E$2570+Sens!$E$2571-(Sens!$E$2573+Sens!$E$2574)</f>
        <v>0</v>
      </c>
      <c r="F2579" s="41" t="n">
        <f aca="false">Sens!$F$2566+Sens!$F$2567+Sens!$F$2568+Sens!$F$2569+Sens!$F$2570+Sens!$F$2571-(Sens!$F$2573+Sens!$F$2574)</f>
        <v>0</v>
      </c>
      <c r="G2579" s="41" t="n">
        <f aca="false">Sens!$G$2566+Sens!$G$2567+Sens!$G$2568+Sens!$G$2569+Sens!$G$2570+Sens!$G$2571-(Sens!$G$2573+Sens!$G$2574)</f>
        <v>0</v>
      </c>
      <c r="H2579" s="41" t="n">
        <f aca="false">Sens!$H$2566+Sens!$H$2567+Sens!$H$2568+Sens!$H$2569+Sens!$H$2570+Sens!$H$2571-(Sens!$H$2573+Sens!$H$2574)</f>
        <v>0</v>
      </c>
      <c r="I2579" s="41" t="n">
        <f aca="false">Sens!$I$2566+Sens!$I$2567+Sens!$I$2568+Sens!$I$2569+Sens!$I$2570+Sens!$I$2571-(Sens!$I$2573+Sens!$I$2574)</f>
        <v>0</v>
      </c>
      <c r="J2579" s="41" t="n">
        <f aca="false">Sens!$J$2566+Sens!$J$2567+Sens!$J$2568+Sens!$J$2569+Sens!$J$2570+Sens!$J$2571-(Sens!$J$2573+Sens!$J$2574)</f>
        <v>0</v>
      </c>
      <c r="K2579" s="41" t="n">
        <f aca="false">Sens!$K$2566+Sens!$K$2567+Sens!$K$2568+Sens!$K$2569+Sens!$K$2570+Sens!$K$2571-(Sens!$K$2573+Sens!$K$2574)</f>
        <v>0</v>
      </c>
      <c r="L2579" s="41" t="n">
        <f aca="false">Sens!$L$2566+Sens!$L$2567+Sens!$L$2568+Sens!$L$2569+Sens!$L$2570+Sens!$L$2571-(Sens!$L$2573+Sens!$L$2574)</f>
        <v>0</v>
      </c>
      <c r="M2579" s="41" t="n">
        <f aca="false">Sens!$M$2566+Sens!$M$2567+Sens!$M$2568+Sens!$M$2569+Sens!$M$2570+Sens!$M$2571-(Sens!$M$2573+Sens!$M$2574)</f>
        <v>0</v>
      </c>
      <c r="N2579" s="41" t="n">
        <f aca="false">Sens!$N$2566+Sens!$N$2567+Sens!$N$2568+Sens!$N$2569+Sens!$N$2570+Sens!$N$2571-(Sens!$N$2573+Sens!$N$2574)</f>
        <v>0</v>
      </c>
      <c r="O2579" s="41" t="n">
        <f aca="false">Sens!$O$2566+Sens!$O$2567+Sens!$O$2568+Sens!$O$2569+Sens!$O$2570+Sens!$O$2571-(Sens!$O$2573+Sens!$O$2574)</f>
        <v>0</v>
      </c>
    </row>
    <row r="2580" customFormat="false" ht="17.15" hidden="false" customHeight="false" outlineLevel="0" collapsed="false">
      <c r="A2580" s="24" t="s">
        <v>698</v>
      </c>
      <c r="B2580" s="25" t="s">
        <v>86</v>
      </c>
      <c r="C2580" s="41" t="n">
        <f aca="false">Sens!$C$2576+Sens!$C$2577-Sens!$C$2575</f>
        <v>0</v>
      </c>
      <c r="D2580" s="41" t="n">
        <f aca="false">Sens!$D$2576+Sens!$D$2577-Sens!$D$2575</f>
        <v>0</v>
      </c>
      <c r="E2580" s="41" t="n">
        <f aca="false">Sens!$E$2576+Sens!$E$2577-Sens!$E$2575</f>
        <v>0</v>
      </c>
      <c r="F2580" s="41" t="n">
        <f aca="false">Sens!$F$2576+Sens!$F$2577-Sens!$F$2575</f>
        <v>0</v>
      </c>
      <c r="G2580" s="41" t="n">
        <f aca="false">Sens!$G$2576+Sens!$G$2577-Sens!$G$2575</f>
        <v>0</v>
      </c>
      <c r="H2580" s="41" t="n">
        <f aca="false">Sens!$H$2576+Sens!$H$2577-Sens!$H$2575</f>
        <v>0</v>
      </c>
      <c r="I2580" s="41" t="n">
        <f aca="false">Sens!$I$2576+Sens!$I$2577-Sens!$I$2575</f>
        <v>0</v>
      </c>
      <c r="J2580" s="41" t="n">
        <f aca="false">Sens!$J$2576+Sens!$J$2577-Sens!$J$2575</f>
        <v>0</v>
      </c>
      <c r="K2580" s="41" t="n">
        <f aca="false">Sens!$K$2576+Sens!$K$2577-Sens!$K$2575</f>
        <v>0</v>
      </c>
      <c r="L2580" s="41" t="n">
        <f aca="false">Sens!$L$2576+Sens!$L$2577-Sens!$L$2575</f>
        <v>0</v>
      </c>
      <c r="M2580" s="41" t="n">
        <f aca="false">Sens!$M$2576+Sens!$M$2577-Sens!$M$2575</f>
        <v>0</v>
      </c>
      <c r="N2580" s="41" t="n">
        <f aca="false">Sens!$N$2576+Sens!$N$2577-Sens!$N$2575</f>
        <v>0</v>
      </c>
      <c r="O2580" s="41" t="n">
        <f aca="false">Sens!$O$2576+Sens!$O$2577-Sens!$O$2575</f>
        <v>0</v>
      </c>
    </row>
    <row r="2581" customFormat="false" ht="17.15" hidden="false" customHeight="false" outlineLevel="0" collapsed="false">
      <c r="A2581" s="24" t="s">
        <v>757</v>
      </c>
      <c r="B2581" s="25" t="s">
        <v>86</v>
      </c>
      <c r="C2581" s="41" t="n">
        <f aca="false">Sens!$C$2566+Sens!$C$2567+Sens!$C$2568+Sens!$C$2569+Sens!$C$2570+Sens!$C$2571+Sens!$C$2572-Sens!$C$2578</f>
        <v>0</v>
      </c>
      <c r="D2581" s="41" t="n">
        <f aca="false">Sens!$D$2566+Sens!$D$2567+Sens!$D$2568+Sens!$D$2569+Sens!$D$2570+Sens!$D$2571+Sens!$D$2572-Sens!$D$2578</f>
        <v>0</v>
      </c>
      <c r="E2581" s="41" t="n">
        <f aca="false">Sens!$E$2566+Sens!$E$2567+Sens!$E$2568+Sens!$E$2569+Sens!$E$2570+Sens!$E$2571+Sens!$E$2572-Sens!$E$2578</f>
        <v>0</v>
      </c>
      <c r="F2581" s="41" t="n">
        <f aca="false">Sens!$F$2566+Sens!$F$2567+Sens!$F$2568+Sens!$F$2569+Sens!$F$2570+Sens!$F$2571+Sens!$F$2572-Sens!$F$2578</f>
        <v>0</v>
      </c>
      <c r="G2581" s="41" t="n">
        <f aca="false">Sens!$G$2566+Sens!$G$2567+Sens!$G$2568+Sens!$G$2569+Sens!$G$2570+Sens!$G$2571+Sens!$G$2572-Sens!$G$2578</f>
        <v>0</v>
      </c>
      <c r="H2581" s="41" t="n">
        <f aca="false">Sens!$H$2566+Sens!$H$2567+Sens!$H$2568+Sens!$H$2569+Sens!$H$2570+Sens!$H$2571+Sens!$H$2572-Sens!$H$2578</f>
        <v>0</v>
      </c>
      <c r="I2581" s="41" t="n">
        <f aca="false">Sens!$I$2566+Sens!$I$2567+Sens!$I$2568+Sens!$I$2569+Sens!$I$2570+Sens!$I$2571+Sens!$I$2572-Sens!$I$2578</f>
        <v>0</v>
      </c>
      <c r="J2581" s="41" t="n">
        <f aca="false">Sens!$J$2566+Sens!$J$2567+Sens!$J$2568+Sens!$J$2569+Sens!$J$2570+Sens!$J$2571+Sens!$J$2572-Sens!$J$2578</f>
        <v>0</v>
      </c>
      <c r="K2581" s="41" t="n">
        <f aca="false">Sens!$K$2566+Sens!$K$2567+Sens!$K$2568+Sens!$K$2569+Sens!$K$2570+Sens!$K$2571+Sens!$K$2572-Sens!$K$2578</f>
        <v>0</v>
      </c>
      <c r="L2581" s="41" t="n">
        <f aca="false">Sens!$L$2566+Sens!$L$2567+Sens!$L$2568+Sens!$L$2569+Sens!$L$2570+Sens!$L$2571+Sens!$L$2572-Sens!$L$2578</f>
        <v>0</v>
      </c>
      <c r="M2581" s="41" t="n">
        <f aca="false">Sens!$M$2566+Sens!$M$2567+Sens!$M$2568+Sens!$M$2569+Sens!$M$2570+Sens!$M$2571+Sens!$M$2572-Sens!$M$2578</f>
        <v>0</v>
      </c>
      <c r="N2581" s="41" t="n">
        <f aca="false">Sens!$N$2566+Sens!$N$2567+Sens!$N$2568+Sens!$N$2569+Sens!$N$2570+Sens!$N$2571+Sens!$N$2572-Sens!$N$2578</f>
        <v>0</v>
      </c>
      <c r="O2581" s="41" t="n">
        <f aca="false">Sens!$O$2566+Sens!$O$2567+Sens!$O$2568+Sens!$O$2569+Sens!$O$2570+Sens!$O$2571+Sens!$O$2572-Sens!$O$2578</f>
        <v>0</v>
      </c>
    </row>
    <row r="2582" customFormat="false" ht="17.15" hidden="false" customHeight="false" outlineLevel="0" collapsed="false">
      <c r="A2582" s="24" t="s">
        <v>699</v>
      </c>
      <c r="B2582" s="25" t="s">
        <v>86</v>
      </c>
      <c r="C2582" s="41" t="n">
        <f aca="false">Sens!$C$2573+Sens!$C$2574+Sens!$C$2575-Sens!$C$2578</f>
        <v>0</v>
      </c>
      <c r="D2582" s="41" t="n">
        <f aca="false">Sens!$D$2573+Sens!$D$2574+Sens!$D$2575-Sens!$D$2578</f>
        <v>0</v>
      </c>
      <c r="E2582" s="41" t="n">
        <f aca="false">Sens!$E$2573+Sens!$E$2574+Sens!$E$2575-Sens!$E$2578</f>
        <v>0</v>
      </c>
      <c r="F2582" s="41" t="n">
        <f aca="false">Sens!$F$2573+Sens!$F$2574+Sens!$F$2575-Sens!$F$2578</f>
        <v>0</v>
      </c>
      <c r="G2582" s="41" t="n">
        <f aca="false">Sens!$G$2573+Sens!$G$2574+Sens!$G$2575-Sens!$G$2578</f>
        <v>0</v>
      </c>
      <c r="H2582" s="41" t="n">
        <f aca="false">Sens!$H$2573+Sens!$H$2574+Sens!$H$2575-Sens!$H$2578</f>
        <v>0</v>
      </c>
      <c r="I2582" s="41" t="n">
        <f aca="false">Sens!$I$2573+Sens!$I$2574+Sens!$I$2575-Sens!$I$2578</f>
        <v>0</v>
      </c>
      <c r="J2582" s="41" t="n">
        <f aca="false">Sens!$J$2573+Sens!$J$2574+Sens!$J$2575-Sens!$J$2578</f>
        <v>0</v>
      </c>
      <c r="K2582" s="41" t="n">
        <f aca="false">Sens!$K$2573+Sens!$K$2574+Sens!$K$2575-Sens!$K$2578</f>
        <v>0</v>
      </c>
      <c r="L2582" s="41" t="n">
        <f aca="false">Sens!$L$2573+Sens!$L$2574+Sens!$L$2575-Sens!$L$2578</f>
        <v>0</v>
      </c>
      <c r="M2582" s="41" t="n">
        <f aca="false">Sens!$M$2573+Sens!$M$2574+Sens!$M$2575-Sens!$M$2578</f>
        <v>0</v>
      </c>
      <c r="N2582" s="41" t="n">
        <f aca="false">Sens!$N$2573+Sens!$N$2574+Sens!$N$2575-Sens!$N$2578</f>
        <v>0</v>
      </c>
      <c r="O2582" s="41" t="n">
        <f aca="false">Sens!$O$2573+Sens!$O$2574+Sens!$O$2575-Sens!$O$2578</f>
        <v>0</v>
      </c>
    </row>
    <row r="2583" customFormat="false" ht="17.15" hidden="false" customHeight="false" outlineLevel="0" collapsed="false">
      <c r="A2583" s="1" t="s">
        <v>713</v>
      </c>
    </row>
    <row r="2584" customFormat="false" ht="17.15" hidden="false" customHeight="false" outlineLevel="0" collapsed="false">
      <c r="A2584" s="0" t="s">
        <v>714</v>
      </c>
      <c r="B2584" s="0" t="s">
        <v>86</v>
      </c>
      <c r="C2584" s="38" t="n">
        <f aca="false">Sens!$C$2490*m_ad</f>
        <v>20.5341564414228</v>
      </c>
      <c r="D2584" s="38" t="n">
        <f aca="false">Sens!$D$2490*m_ad</f>
        <v>24.8720617299587</v>
      </c>
      <c r="E2584" s="38" t="n">
        <f aca="false">Sens!$E$2490*m_ad</f>
        <v>13.5017112462207</v>
      </c>
      <c r="F2584" s="38" t="n">
        <f aca="false">Sens!$F$2490*m_ad</f>
        <v>16.5719724165257</v>
      </c>
      <c r="G2584" s="38" t="n">
        <f aca="false">Sens!$G$2490*m_ad</f>
        <v>30.0820919220415</v>
      </c>
      <c r="H2584" s="38" t="n">
        <f aca="false">Sens!$H$2490*m_ad</f>
        <v>36.1150883276314</v>
      </c>
      <c r="I2584" s="38" t="n">
        <f aca="false">Sens!$I$2490*m_ad</f>
        <v>42.1475382231996</v>
      </c>
      <c r="J2584" s="38" t="n">
        <f aca="false">Sens!$J$2490*m_ad</f>
        <v>47.7749523864693</v>
      </c>
      <c r="K2584" s="38" t="n">
        <f aca="false">Sens!$K$2490*m_ad</f>
        <v>52.5524476251162</v>
      </c>
      <c r="L2584" s="38" t="n">
        <f aca="false">Sens!$L$2490*m_ad</f>
        <v>57.8076923876279</v>
      </c>
      <c r="M2584" s="38" t="n">
        <f aca="false">Sens!$M$2490*m_ad</f>
        <v>63.5884616263907</v>
      </c>
      <c r="N2584" s="38" t="n">
        <f aca="false">Sens!$N$2490*m_ad</f>
        <v>10.8543555706248</v>
      </c>
      <c r="O2584" s="38" t="n">
        <f aca="false">Sens!$O$2490*m_ad</f>
        <v>14.0094731821399</v>
      </c>
    </row>
    <row r="2585" customFormat="false" ht="17.15" hidden="false" customHeight="false" outlineLevel="0" collapsed="false">
      <c r="A2585" s="0" t="s">
        <v>715</v>
      </c>
      <c r="B2585" s="0" t="s">
        <v>86</v>
      </c>
      <c r="C2585" s="38" t="n">
        <f aca="false">Sens!$C$2488-Sens!$C$2490</f>
        <v>346.428687117154</v>
      </c>
      <c r="D2585" s="38" t="n">
        <f aca="false">Sens!$D$2488-Sens!$D$2490</f>
        <v>376.560876540083</v>
      </c>
      <c r="E2585" s="38" t="n">
        <f aca="false">Sens!$E$2488-Sens!$E$2490</f>
        <v>193.316577507559</v>
      </c>
      <c r="F2585" s="38" t="n">
        <f aca="false">Sens!$F$2488-Sens!$F$2490</f>
        <v>217.495828647535</v>
      </c>
      <c r="G2585" s="38" t="n">
        <f aca="false">Sens!$G$2488-Sens!$G$2490</f>
        <v>410.795589636503</v>
      </c>
      <c r="H2585" s="38" t="n">
        <f aca="false">Sens!$H$2488-Sens!$H$2490</f>
        <v>449.156813761174</v>
      </c>
      <c r="I2585" s="38" t="n">
        <f aca="false">Sens!$I$2488-Sens!$I$2490</f>
        <v>485.848786441156</v>
      </c>
      <c r="J2585" s="38" t="n">
        <f aca="false">Sens!$J$2488-Sens!$J$2490</f>
        <v>519.841531018994</v>
      </c>
      <c r="K2585" s="38" t="n">
        <f aca="false">Sens!$K$2488-Sens!$K$2490</f>
        <v>550.103332311311</v>
      </c>
      <c r="L2585" s="38" t="n">
        <f aca="false">Sens!$L$2488-Sens!$L$2490</f>
        <v>582.192354474511</v>
      </c>
      <c r="M2585" s="38" t="n">
        <f aca="false">Sens!$M$2488-Sens!$M$2490</f>
        <v>616.22240521081</v>
      </c>
      <c r="N2585" s="38" t="n">
        <f aca="false">Sens!$N$2488-Sens!$N$2490</f>
        <v>171.24628885875</v>
      </c>
      <c r="O2585" s="38" t="n">
        <f aca="false">Sens!$O$2488-Sens!$O$2490</f>
        <v>205.33105363572</v>
      </c>
    </row>
    <row r="2586" customFormat="false" ht="17.15" hidden="false" customHeight="false" outlineLevel="0" collapsed="false">
      <c r="A2586" s="0" t="s">
        <v>716</v>
      </c>
      <c r="B2586" s="0" t="s">
        <v>86</v>
      </c>
      <c r="C2586" s="38" t="n">
        <f aca="false">Sens!$C$2537*Sens!$C$2487</f>
        <v>0.123617442257179</v>
      </c>
      <c r="D2586" s="38" t="n">
        <f aca="false">Sens!$D$2537*Sens!$D$2487</f>
        <v>0.874366899302609</v>
      </c>
      <c r="E2586" s="38" t="n">
        <f aca="false">Sens!$E$2537*Sens!$E$2487</f>
        <v>1.29318830502574</v>
      </c>
      <c r="F2586" s="38" t="n">
        <f aca="false">Sens!$F$2537*Sens!$F$2487</f>
        <v>1.51802024162534</v>
      </c>
      <c r="G2586" s="38" t="n">
        <f aca="false">Sens!$G$2537*Sens!$G$2487</f>
        <v>2.81153363597665</v>
      </c>
      <c r="H2586" s="38" t="n">
        <f aca="false">Sens!$H$2537*Sens!$H$2487</f>
        <v>7.39027704264226</v>
      </c>
      <c r="I2586" s="38" t="n">
        <f aca="false">Sens!$I$2537*Sens!$I$2487</f>
        <v>12.899807643047</v>
      </c>
      <c r="J2586" s="38" t="n">
        <f aca="false">Sens!$J$2537*Sens!$J$2487</f>
        <v>18.5585322471382</v>
      </c>
      <c r="K2586" s="38" t="n">
        <f aca="false">Sens!$K$2537*Sens!$K$2487</f>
        <v>24.0966749520672</v>
      </c>
      <c r="L2586" s="38" t="n">
        <f aca="false">Sens!$L$2537*Sens!$L$2487</f>
        <v>27.686623551477</v>
      </c>
      <c r="M2586" s="38" t="n">
        <f aca="false">Sens!$M$2537*Sens!$M$2487</f>
        <v>29.7238645537022</v>
      </c>
      <c r="N2586" s="38" t="n">
        <f aca="false">Sens!$N$2537*Sens!$N$2487</f>
        <v>0.389180508437431</v>
      </c>
      <c r="O2586" s="38" t="n">
        <f aca="false">Sens!$O$2537*Sens!$O$2487</f>
        <v>0.485052120082802</v>
      </c>
    </row>
    <row r="2587" customFormat="false" ht="17.15" hidden="false" customHeight="false" outlineLevel="0" collapsed="false">
      <c r="A2587" s="0" t="s">
        <v>717</v>
      </c>
      <c r="B2587" s="0" t="s">
        <v>52</v>
      </c>
      <c r="C2587" s="28" t="n">
        <f aca="false">(Sens!$C$2588-Sens!$C$2584+Sens!$C$2586)/Sens!$C$2585</f>
        <v>0.0131526665379575</v>
      </c>
      <c r="D2587" s="28" t="n">
        <f aca="false">(Sens!$D$2588-Sens!$D$2584+Sens!$D$2586)/Sens!$D$2585</f>
        <v>0.0149280116962589</v>
      </c>
      <c r="E2587" s="28" t="n">
        <f aca="false">(Sens!$E$2588-Sens!$E$2584+Sens!$E$2586)/Sens!$E$2585</f>
        <v>0.0268030663774938</v>
      </c>
      <c r="F2587" s="28" t="n">
        <f aca="false">Sens!$O$2587+(Sens!$E$2587-Sens!$N$2587)</f>
        <v>0.0232379346966962</v>
      </c>
      <c r="G2587" s="28" t="n">
        <f aca="false">(Sens!$G$2588-Sens!$G$2584+Sens!$G$2586)/Sens!$G$2585</f>
        <v>0.0248969268652583</v>
      </c>
      <c r="H2587" s="28" t="n">
        <f aca="false">Sens!$G$2587+step_na</f>
        <v>0.0278969268652583</v>
      </c>
      <c r="I2587" s="28" t="n">
        <f aca="false">Sens!$H$2587+step_na</f>
        <v>0.0308969268652583</v>
      </c>
      <c r="J2587" s="28" t="n">
        <f aca="false">Sens!$I$2587+step_na</f>
        <v>0.0338969268652583</v>
      </c>
      <c r="K2587" s="28" t="n">
        <f aca="false">Sens!$J$2587+step_na</f>
        <v>0.0368969268652584</v>
      </c>
      <c r="L2587" s="28" t="n">
        <f aca="false">Sens!$K$2587</f>
        <v>0.0368969268652584</v>
      </c>
      <c r="M2587" s="28" t="n">
        <f aca="false">Sens!$L$2587</f>
        <v>0.0368969268652584</v>
      </c>
      <c r="N2587" s="28" t="n">
        <f aca="false">(Sens!$N$2588-Sens!$N$2584+Sens!$N$2586)/Sens!$N$2585</f>
        <v>0.0168927744775755</v>
      </c>
      <c r="O2587" s="28" t="n">
        <f aca="false">(Sens!$O$2588-Sens!$O$2584+Sens!$O$2586)/Sens!$O$2585</f>
        <v>0.0133276427967779</v>
      </c>
      <c r="P2587" s="8" t="s">
        <v>718</v>
      </c>
    </row>
    <row r="2588" customFormat="false" ht="17.15" hidden="false" customHeight="false" outlineLevel="0" collapsed="false">
      <c r="A2588" s="1" t="s">
        <v>719</v>
      </c>
      <c r="B2588" s="8" t="s">
        <v>86</v>
      </c>
      <c r="C2588" s="38" t="n">
        <f aca="false">Q!$D$22</f>
        <v>24.967</v>
      </c>
      <c r="D2588" s="38" t="n">
        <f aca="false">Q!$E$22</f>
        <v>29.619</v>
      </c>
      <c r="E2588" s="38" t="n">
        <f aca="false">Q!$P$22</f>
        <v>17.39</v>
      </c>
      <c r="F2588" s="38" t="n">
        <f aca="false">Sens!$F$2584+Sens!$F$2585*Sens!$F$2587-Sens!$F$2586</f>
        <v>20.1081060378156</v>
      </c>
      <c r="G2588" s="38" t="n">
        <f aca="false">Sens!$E$2588+Sens!$F$2588</f>
        <v>37.4981060378156</v>
      </c>
      <c r="H2588" s="38" t="n">
        <f aca="false">Sens!$H$2584+Sens!$H$2585*Sens!$H$2587-Sens!$H$2586</f>
        <v>41.2549060695171</v>
      </c>
      <c r="I2588" s="38" t="n">
        <f aca="false">Sens!$I$2584+Sens!$I$2585*Sens!$I$2587-Sens!$I$2586</f>
        <v>44.2589650023995</v>
      </c>
      <c r="J2588" s="38" t="n">
        <f aca="false">Sens!$J$2584+Sens!$J$2585*Sens!$J$2587-Sens!$J$2586</f>
        <v>46.8374504978059</v>
      </c>
      <c r="K2588" s="38" t="n">
        <f aca="false">Sens!$K$2584+Sens!$K$2585*Sens!$K$2587-Sens!$K$2586</f>
        <v>48.7528950936744</v>
      </c>
      <c r="L2588" s="38" t="n">
        <f aca="false">Sens!$L$2584+Sens!$L$2585*Sens!$L$2587-Sens!$L$2586</f>
        <v>51.6021775607095</v>
      </c>
      <c r="M2588" s="38" t="n">
        <f aca="false">Sens!$M$2584+Sens!$M$2585*Sens!$M$2587-Sens!$M$2586</f>
        <v>56.6013100904853</v>
      </c>
      <c r="N2588" s="38" t="n">
        <f aca="false">Q!$N$22</f>
        <v>13.358</v>
      </c>
      <c r="O2588" s="38" t="n">
        <f aca="false">Q!$O$22</f>
        <v>16.261</v>
      </c>
    </row>
    <row r="2589" customFormat="false" ht="17.15" hidden="false" customHeight="false" outlineLevel="0" collapsed="false">
      <c r="A2589" s="0" t="s">
        <v>720</v>
      </c>
      <c r="B2589" s="0" t="s">
        <v>86</v>
      </c>
      <c r="C2589" s="38" t="n">
        <f aca="false">Sens!$C$2491*m_ad</f>
        <v>7.57284355857716</v>
      </c>
      <c r="D2589" s="38" t="n">
        <f aca="false">Sens!$D$2491*m_ad</f>
        <v>9.44543827004127</v>
      </c>
      <c r="E2589" s="38" t="n">
        <f aca="false">Sens!$E$2491*m_ad</f>
        <v>5.02428875377928</v>
      </c>
      <c r="F2589" s="38" t="n">
        <f aca="false">Sens!$F$2491*m_ad</f>
        <v>6.50663858068173</v>
      </c>
      <c r="G2589" s="38" t="n">
        <f aca="false">Sens!$G$2491*m_ad</f>
        <v>11.5225190751659</v>
      </c>
      <c r="H2589" s="38" t="n">
        <f aca="false">Sens!$H$2491*m_ad</f>
        <v>13.8333728663174</v>
      </c>
      <c r="I2589" s="38" t="n">
        <f aca="false">Sens!$I$2491*m_ad</f>
        <v>16.1440173245485</v>
      </c>
      <c r="J2589" s="38" t="n">
        <f aca="false">Sens!$J$2491*m_ad</f>
        <v>18.2995185845066</v>
      </c>
      <c r="K2589" s="38" t="n">
        <f aca="false">Sens!$K$2491*m_ad</f>
        <v>20.1294704429572</v>
      </c>
      <c r="L2589" s="38" t="n">
        <f aca="false">Sens!$L$2491*m_ad</f>
        <v>22.142417487253</v>
      </c>
      <c r="M2589" s="38" t="n">
        <f aca="false">Sens!$M$2491*m_ad</f>
        <v>24.3566592359783</v>
      </c>
      <c r="N2589" s="38" t="n">
        <f aca="false">Sens!$N$2491*m_ad</f>
        <v>3.95314442937518</v>
      </c>
      <c r="O2589" s="38" t="n">
        <f aca="false">Sens!$O$2491*m_ad</f>
        <v>5.50052681786011</v>
      </c>
    </row>
    <row r="2590" customFormat="false" ht="17.15" hidden="false" customHeight="false" outlineLevel="0" collapsed="false">
      <c r="A2590" s="0" t="s">
        <v>721</v>
      </c>
      <c r="B2590" s="0" t="s">
        <v>86</v>
      </c>
      <c r="C2590" s="38" t="n">
        <f aca="false">Sens!$C$2489-Sens!$C$2491</f>
        <v>127.760312882846</v>
      </c>
      <c r="D2590" s="38" t="n">
        <f aca="false">Sens!$D$2489-Sens!$D$2491</f>
        <v>143.003123459917</v>
      </c>
      <c r="E2590" s="38" t="n">
        <f aca="false">Sens!$E$2489-Sens!$E$2491</f>
        <v>71.9374224924414</v>
      </c>
      <c r="F2590" s="38" t="n">
        <f aca="false">Sens!$F$2489-Sens!$F$2491</f>
        <v>85.3951910035875</v>
      </c>
      <c r="G2590" s="38" t="n">
        <f aca="false">Sens!$G$2489-Sens!$G$2491</f>
        <v>157.349430014619</v>
      </c>
      <c r="H2590" s="38" t="n">
        <f aca="false">Sens!$H$2489-Sens!$H$2491</f>
        <v>172.043153372315</v>
      </c>
      <c r="I2590" s="38" t="n">
        <f aca="false">Sens!$I$2489-Sens!$I$2491</f>
        <v>186.097493615879</v>
      </c>
      <c r="J2590" s="38" t="n">
        <f aca="false">Sens!$J$2489-Sens!$J$2491</f>
        <v>199.117932780497</v>
      </c>
      <c r="K2590" s="38" t="n">
        <f aca="false">Sens!$K$2489-Sens!$K$2491</f>
        <v>210.70928698363</v>
      </c>
      <c r="L2590" s="38" t="n">
        <f aca="false">Sens!$L$2489-Sens!$L$2491</f>
        <v>223.000532251316</v>
      </c>
      <c r="M2590" s="38" t="n">
        <f aca="false">Sens!$M$2489-Sens!$M$2491</f>
        <v>236.035261011339</v>
      </c>
      <c r="N2590" s="38" t="n">
        <f aca="false">Sens!$N$2489-Sens!$N$2491</f>
        <v>62.3677111412496</v>
      </c>
      <c r="O2590" s="38" t="n">
        <f aca="false">Sens!$O$2489-Sens!$O$2491</f>
        <v>80.6189463642798</v>
      </c>
    </row>
    <row r="2591" customFormat="false" ht="17.15" hidden="false" customHeight="false" outlineLevel="0" collapsed="false">
      <c r="A2591" s="0" t="s">
        <v>722</v>
      </c>
      <c r="B2591" s="0" t="s">
        <v>86</v>
      </c>
      <c r="C2591" s="38" t="n">
        <f aca="false">Sens!$C$2537*(1-Sens!$C$2487)</f>
        <v>0.0455891896019953</v>
      </c>
      <c r="D2591" s="38" t="n">
        <f aca="false">Sens!$D$2537*(1-Sens!$D$2487)</f>
        <v>0.332050421167231</v>
      </c>
      <c r="E2591" s="38" t="n">
        <f aca="false">Sens!$E$2537*(1-Sens!$E$2487)</f>
        <v>0.481224293644882</v>
      </c>
      <c r="F2591" s="38" t="n">
        <f aca="false">Sens!$F$2537*(1-Sens!$F$2487)</f>
        <v>0.596018918096053</v>
      </c>
      <c r="G2591" s="38" t="n">
        <f aca="false">Sens!$G$2537*(1-Sens!$G$2487)</f>
        <v>1.07691812241537</v>
      </c>
      <c r="H2591" s="38" t="n">
        <f aca="false">Sens!$H$2537*(1-Sens!$H$2487)</f>
        <v>2.83074090775622</v>
      </c>
      <c r="I2591" s="38" t="n">
        <f aca="false">Sens!$I$2537*(1-Sens!$I$2487)</f>
        <v>4.94108853926048</v>
      </c>
      <c r="J2591" s="38" t="n">
        <f aca="false">Sens!$J$2537*(1-Sens!$J$2487)</f>
        <v>7.10858281993502</v>
      </c>
      <c r="K2591" s="38" t="n">
        <f aca="false">Sens!$K$2537*(1-Sens!$K$2487)</f>
        <v>9.2298899126701</v>
      </c>
      <c r="L2591" s="38" t="n">
        <f aca="false">Sens!$L$2537*(1-Sens!$L$2487)</f>
        <v>10.6049688574045</v>
      </c>
      <c r="M2591" s="38" t="n">
        <f aca="false">Sens!$M$2537*(1-Sens!$M$2487)</f>
        <v>11.3853051574758</v>
      </c>
      <c r="N2591" s="38" t="n">
        <f aca="false">Sens!$N$2537*(1-Sens!$N$2487)</f>
        <v>0.141739115596548</v>
      </c>
      <c r="O2591" s="38" t="n">
        <f aca="false">Sens!$O$2537*(1-Sens!$O$2487)</f>
        <v>0.190445576353059</v>
      </c>
    </row>
    <row r="2592" customFormat="false" ht="17.15" hidden="false" customHeight="false" outlineLevel="0" collapsed="false">
      <c r="A2592" s="0" t="s">
        <v>723</v>
      </c>
      <c r="B2592" s="0" t="s">
        <v>52</v>
      </c>
      <c r="C2592" s="28" t="n">
        <f aca="false">(Sens!$C$2593-Sens!$C$2589+Sens!$C$2591)/Sens!$C$2590</f>
        <v>-0.0292364215826579</v>
      </c>
      <c r="D2592" s="28" t="n">
        <f aca="false">(Sens!$D$2593-Sens!$D$2589+Sens!$D$2591)/Sens!$D$2590</f>
        <v>-0.0305125352740778</v>
      </c>
      <c r="E2592" s="28" t="n">
        <f aca="false">(Sens!$E$2593-Sens!$E$2589+Sens!$E$2591)/Sens!$E$2590</f>
        <v>-0.019490056934994</v>
      </c>
      <c r="F2592" s="28" t="n">
        <f aca="false">Sens!$O$2592+(Sens!$E$2592-Sens!$N$2592)</f>
        <v>-0.0367332293992226</v>
      </c>
      <c r="G2592" s="28" t="n">
        <f aca="false">(Sens!$G$2593-Sens!$G$2589+Sens!$G$2591)/Sens!$G$2590</f>
        <v>-0.0287946542321067</v>
      </c>
      <c r="H2592" s="28" t="n">
        <f aca="false">Sens!$G$2592+step_in</f>
        <v>-0.0287946542321067</v>
      </c>
      <c r="I2592" s="28" t="n">
        <f aca="false">Sens!$H$2592+step_in</f>
        <v>-0.0287946542321067</v>
      </c>
      <c r="J2592" s="28" t="n">
        <f aca="false">Sens!$I$2592+step_in</f>
        <v>-0.0287946542321067</v>
      </c>
      <c r="K2592" s="28" t="n">
        <f aca="false">Sens!$J$2592+step_in</f>
        <v>-0.0287946542321067</v>
      </c>
      <c r="L2592" s="28" t="n">
        <f aca="false">Sens!$K$2592</f>
        <v>-0.0287946542321067</v>
      </c>
      <c r="M2592" s="28" t="n">
        <f aca="false">Sens!$L$2592</f>
        <v>-0.0287946542321067</v>
      </c>
      <c r="N2592" s="28" t="n">
        <f aca="false">(Sens!$N$2593-Sens!$N$2589+Sens!$N$2591)/Sens!$N$2590</f>
        <v>-0.02085061789158</v>
      </c>
      <c r="O2592" s="28" t="n">
        <f aca="false">(Sens!$O$2593-Sens!$O$2589+Sens!$O$2591)/Sens!$O$2590</f>
        <v>-0.0380937903558086</v>
      </c>
      <c r="P2592" s="8" t="s">
        <v>718</v>
      </c>
    </row>
    <row r="2593" customFormat="false" ht="17.15" hidden="false" customHeight="false" outlineLevel="0" collapsed="false">
      <c r="A2593" s="1" t="s">
        <v>724</v>
      </c>
      <c r="B2593" s="8" t="s">
        <v>86</v>
      </c>
      <c r="C2593" s="38" t="n">
        <f aca="false">Q!$D$23</f>
        <v>3.792</v>
      </c>
      <c r="D2593" s="38" t="n">
        <f aca="false">Q!$E$23</f>
        <v>4.75</v>
      </c>
      <c r="E2593" s="38" t="n">
        <f aca="false">Q!$P$23</f>
        <v>3.141</v>
      </c>
      <c r="F2593" s="38" t="n">
        <f aca="false">Sens!$F$2589+Sens!$F$2590*Sens!$F$2592-Sens!$F$2591</f>
        <v>2.77377852186047</v>
      </c>
      <c r="G2593" s="38" t="n">
        <f aca="false">Sens!$E$2593+Sens!$F$2593</f>
        <v>5.91477852186047</v>
      </c>
      <c r="H2593" s="38" t="n">
        <f aca="false">Sens!$H$2589+Sens!$H$2590*Sens!$H$2592-Sens!$H$2591</f>
        <v>6.04870884420403</v>
      </c>
      <c r="I2593" s="38" t="n">
        <f aca="false">Sens!$I$2589+Sens!$I$2590*Sens!$I$2592-Sens!$I$2591</f>
        <v>5.84431580315713</v>
      </c>
      <c r="J2593" s="38" t="n">
        <f aca="false">Sens!$J$2589+Sens!$J$2590*Sens!$J$2592-Sens!$J$2591</f>
        <v>5.45740373874528</v>
      </c>
      <c r="K2593" s="38" t="n">
        <f aca="false">Sens!$K$2589+Sens!$K$2590*Sens!$K$2592-Sens!$K$2591</f>
        <v>4.83227946809976</v>
      </c>
      <c r="L2593" s="38" t="n">
        <f aca="false">Sens!$L$2589+Sens!$L$2590*Sens!$L$2592-Sens!$L$2591</f>
        <v>5.11622541009601</v>
      </c>
      <c r="M2593" s="38" t="n">
        <f aca="false">Sens!$M$2589+Sens!$M$2590*Sens!$M$2592-Sens!$M$2591</f>
        <v>6.17480035109588</v>
      </c>
      <c r="N2593" s="38" t="n">
        <f aca="false">Q!$N$23</f>
        <v>2.511</v>
      </c>
      <c r="O2593" s="38" t="n">
        <f aca="false">Q!$O$23</f>
        <v>2.239</v>
      </c>
    </row>
    <row r="2594" customFormat="false" ht="17.15" hidden="false" customHeight="false" outlineLevel="0" collapsed="false">
      <c r="A2594" s="0" t="s">
        <v>725</v>
      </c>
      <c r="B2594" s="0" t="s">
        <v>86</v>
      </c>
      <c r="C2594" s="38" t="n">
        <f aca="false">Sens!$C$2534</f>
        <v>1.64417882953695</v>
      </c>
      <c r="D2594" s="38" t="n">
        <f aca="false">Sens!$D$2534</f>
        <v>3.8781008067718</v>
      </c>
      <c r="E2594" s="38" t="n">
        <f aca="false">Sens!$E$2534</f>
        <v>1.41270258088753</v>
      </c>
      <c r="F2594" s="38" t="n">
        <f aca="false">Sens!$F$2534</f>
        <v>6.50727700583486</v>
      </c>
      <c r="G2594" s="38" t="n">
        <f aca="false">Sens!$G$2534</f>
        <v>7.9199795867224</v>
      </c>
      <c r="H2594" s="38" t="n">
        <f aca="false">Sens!$H$2534</f>
        <v>19.2818189481807</v>
      </c>
      <c r="I2594" s="38" t="n">
        <f aca="false">Sens!$I$2534</f>
        <v>30.140114407202</v>
      </c>
      <c r="J2594" s="38" t="n">
        <f aca="false">Sens!$J$2534</f>
        <v>40.3569468829854</v>
      </c>
      <c r="K2594" s="38" t="n">
        <f aca="false">Sens!$K$2534</f>
        <v>45.1418609242305</v>
      </c>
      <c r="L2594" s="38" t="n">
        <f aca="false">Sens!$L$2534</f>
        <v>48.5617321668703</v>
      </c>
      <c r="M2594" s="38" t="n">
        <f aca="false">Sens!$M$2534</f>
        <v>48.3987625241529</v>
      </c>
      <c r="N2594" s="38" t="n">
        <f aca="false">Sens!$N$2534</f>
        <v>0.92264103489199</v>
      </c>
      <c r="O2594" s="38" t="n">
        <f aca="false">Sens!$O$2534</f>
        <v>2.95545977187981</v>
      </c>
    </row>
    <row r="2595" customFormat="false" ht="17.15" hidden="false" customHeight="false" outlineLevel="0" collapsed="false">
      <c r="A2595" s="0" t="s">
        <v>643</v>
      </c>
      <c r="B2595" s="0" t="s">
        <v>86</v>
      </c>
      <c r="C2595" s="38" t="n">
        <f aca="false">Sens!$C$2539</f>
        <v>38.1898211704631</v>
      </c>
      <c r="D2595" s="38" t="n">
        <f aca="false">Sens!$D$2539</f>
        <v>41.7278991932282</v>
      </c>
      <c r="E2595" s="38" t="n">
        <f aca="false">Sens!$E$2539</f>
        <v>29.3692974191125</v>
      </c>
      <c r="F2595" s="38" t="n">
        <f aca="false">Sens!$F$2539</f>
        <v>26.8997276714137</v>
      </c>
      <c r="G2595" s="38" t="n">
        <f aca="false">Sens!$G$2539</f>
        <v>56.2690250905262</v>
      </c>
      <c r="H2595" s="38" t="n">
        <f aca="false">Sens!$H$2539</f>
        <v>60.3505333937343</v>
      </c>
      <c r="I2595" s="38" t="n">
        <f aca="false">Sens!$I$2539</f>
        <v>67.0043857303571</v>
      </c>
      <c r="J2595" s="38" t="n">
        <f aca="false">Sens!$J$2539</f>
        <v>73.3782922956925</v>
      </c>
      <c r="K2595" s="38" t="n">
        <f aca="false">Sens!$K$2539</f>
        <v>79.2485556793479</v>
      </c>
      <c r="L2595" s="38" t="n">
        <f aca="false">Sens!$L$2539</f>
        <v>85.5884401336958</v>
      </c>
      <c r="M2595" s="38" t="n">
        <f aca="false">Sens!$M$2539</f>
        <v>92.4355153443914</v>
      </c>
      <c r="N2595" s="38" t="n">
        <f aca="false">Sens!$N$2539</f>
        <v>20.784358965108</v>
      </c>
      <c r="O2595" s="38" t="n">
        <f aca="false">Sens!$O$2539</f>
        <v>20.9435402281202</v>
      </c>
    </row>
    <row r="2596" customFormat="false" ht="17.15" hidden="false" customHeight="false" outlineLevel="0" collapsed="false">
      <c r="A2596" s="1" t="s">
        <v>726</v>
      </c>
      <c r="B2596" s="8" t="s">
        <v>86</v>
      </c>
      <c r="C2596" s="38" t="n">
        <f aca="false">Q!$D$24</f>
        <v>39.834</v>
      </c>
      <c r="D2596" s="38" t="n">
        <f aca="false">Q!$E$24</f>
        <v>45.606</v>
      </c>
      <c r="E2596" s="38" t="n">
        <f aca="false">Q!$P$24</f>
        <v>30.782</v>
      </c>
      <c r="F2596" s="38" t="n">
        <f aca="false">Sens!$F$2594+Sens!$F$2595</f>
        <v>33.4070046772486</v>
      </c>
      <c r="G2596" s="38" t="n">
        <f aca="false">Sens!$G$2594+Sens!$G$2595</f>
        <v>64.1890046772486</v>
      </c>
      <c r="H2596" s="38" t="n">
        <f aca="false">Sens!$H$2594+Sens!$H$2595</f>
        <v>79.6323523419149</v>
      </c>
      <c r="I2596" s="38" t="n">
        <f aca="false">Sens!$I$2594+Sens!$I$2595</f>
        <v>97.1445001375591</v>
      </c>
      <c r="J2596" s="38" t="n">
        <f aca="false">Sens!$J$2594+Sens!$J$2595</f>
        <v>113.735239178678</v>
      </c>
      <c r="K2596" s="38" t="n">
        <f aca="false">Sens!$K$2594+Sens!$K$2595</f>
        <v>124.390416603578</v>
      </c>
      <c r="L2596" s="38" t="n">
        <f aca="false">Sens!$L$2594+Sens!$L$2595</f>
        <v>134.150172300566</v>
      </c>
      <c r="M2596" s="38" t="n">
        <f aca="false">Sens!$M$2594+Sens!$M$2595</f>
        <v>140.834277868544</v>
      </c>
      <c r="N2596" s="38" t="n">
        <f aca="false">Q!$N$24</f>
        <v>21.707</v>
      </c>
      <c r="O2596" s="38" t="n">
        <f aca="false">Q!$O$24</f>
        <v>23.899</v>
      </c>
    </row>
    <row r="2597" customFormat="false" ht="17.15" hidden="false" customHeight="false" outlineLevel="0" collapsed="false">
      <c r="A2597" s="5" t="s">
        <v>727</v>
      </c>
      <c r="B2597" s="0" t="s">
        <v>86</v>
      </c>
      <c r="C2597" s="38" t="n">
        <f aca="false">Q!$D$26</f>
        <v>0</v>
      </c>
      <c r="D2597" s="38" t="n">
        <f aca="false">Q!$E$26</f>
        <v>0</v>
      </c>
      <c r="E2597" s="38" t="n">
        <f aca="false">Q!$P$26</f>
        <v>0</v>
      </c>
      <c r="F2597" s="39" t="n">
        <v>0</v>
      </c>
      <c r="G2597" s="38" t="n">
        <f aca="false">Sens!$E$2597+Sens!$F$2597</f>
        <v>0</v>
      </c>
      <c r="H2597" s="39" t="n">
        <v>0</v>
      </c>
      <c r="I2597" s="39" t="n">
        <v>0</v>
      </c>
      <c r="J2597" s="39" t="n">
        <v>0</v>
      </c>
      <c r="K2597" s="39" t="n">
        <v>0</v>
      </c>
      <c r="L2597" s="39" t="n">
        <v>0</v>
      </c>
      <c r="M2597" s="39" t="n">
        <v>0</v>
      </c>
      <c r="N2597" s="38" t="n">
        <f aca="false">Q!$N$26</f>
        <v>0</v>
      </c>
      <c r="O2597" s="38" t="n">
        <f aca="false">Q!$O$26</f>
        <v>0</v>
      </c>
    </row>
    <row r="2598" customFormat="false" ht="15" hidden="false" customHeight="false" outlineLevel="0" collapsed="false">
      <c r="A2598" s="3" t="s">
        <v>531</v>
      </c>
      <c r="B2598" s="8" t="s">
        <v>86</v>
      </c>
      <c r="C2598" s="38" t="n">
        <f aca="false">Q!$D$25</f>
        <v>68.593</v>
      </c>
      <c r="D2598" s="38" t="n">
        <f aca="false">Q!$E$25</f>
        <v>79.975</v>
      </c>
      <c r="E2598" s="38" t="n">
        <f aca="false">Q!$P$25</f>
        <v>51.313</v>
      </c>
      <c r="F2598" s="38" t="n">
        <f aca="false">Sens!$F$2588+Sens!$F$2593+Sens!$F$2596+Sens!$F$2597</f>
        <v>56.2888892369246</v>
      </c>
      <c r="G2598" s="38" t="n">
        <f aca="false">Sens!$G$2588+Sens!$G$2593+Sens!$G$2596+Sens!$G$2597</f>
        <v>107.601889236925</v>
      </c>
      <c r="H2598" s="38" t="n">
        <f aca="false">Sens!$H$2588+Sens!$H$2593+Sens!$H$2596+Sens!$H$2597</f>
        <v>126.935967255636</v>
      </c>
      <c r="I2598" s="38" t="n">
        <f aca="false">Sens!$I$2588+Sens!$I$2593+Sens!$I$2596+Sens!$I$2597</f>
        <v>147.247780943116</v>
      </c>
      <c r="J2598" s="38" t="n">
        <f aca="false">Sens!$J$2588+Sens!$J$2593+Sens!$J$2596+Sens!$J$2597</f>
        <v>166.030093415229</v>
      </c>
      <c r="K2598" s="38" t="n">
        <f aca="false">Sens!$K$2588+Sens!$K$2593+Sens!$K$2596+Sens!$K$2597</f>
        <v>177.975591165353</v>
      </c>
      <c r="L2598" s="38" t="n">
        <f aca="false">Sens!$L$2588+Sens!$L$2593+Sens!$L$2596+Sens!$L$2597</f>
        <v>190.868575271371</v>
      </c>
      <c r="M2598" s="38" t="n">
        <f aca="false">Sens!$M$2588+Sens!$M$2593+Sens!$M$2596+Sens!$M$2597</f>
        <v>203.610388310126</v>
      </c>
      <c r="N2598" s="38" t="n">
        <f aca="false">Q!$N$25</f>
        <v>37.576</v>
      </c>
      <c r="O2598" s="38" t="n">
        <f aca="false">Q!$O$25</f>
        <v>42.399</v>
      </c>
    </row>
    <row r="2599" customFormat="false" ht="17.15" hidden="false" customHeight="false" outlineLevel="0" collapsed="false">
      <c r="A2599" s="24" t="s">
        <v>758</v>
      </c>
      <c r="B2599" s="25" t="s">
        <v>86</v>
      </c>
      <c r="C2599" s="41" t="n">
        <f aca="false">Sens!$C$2588+Sens!$C$2593+Sens!$C$2596+Sens!$C$2597-Sens!$C$2598</f>
        <v>0</v>
      </c>
      <c r="D2599" s="41" t="n">
        <f aca="false">Sens!$D$2588+Sens!$D$2593+Sens!$D$2596+Sens!$D$2597-Sens!$D$2598</f>
        <v>0</v>
      </c>
      <c r="E2599" s="41" t="n">
        <f aca="false">Sens!$E$2588+Sens!$E$2593+Sens!$E$2596+Sens!$E$2597-Sens!$E$2598</f>
        <v>0</v>
      </c>
      <c r="F2599" s="41" t="n">
        <f aca="false">Sens!$F$2588+Sens!$F$2593+Sens!$F$2596+Sens!$F$2597-Sens!$F$2598</f>
        <v>0</v>
      </c>
      <c r="G2599" s="41" t="n">
        <f aca="false">Sens!$G$2588+Sens!$G$2593+Sens!$G$2596+Sens!$G$2597-Sens!$G$2598</f>
        <v>0</v>
      </c>
      <c r="H2599" s="41" t="n">
        <f aca="false">Sens!$H$2588+Sens!$H$2593+Sens!$H$2596+Sens!$H$2597-Sens!$H$2598</f>
        <v>0</v>
      </c>
      <c r="I2599" s="41" t="n">
        <f aca="false">Sens!$I$2588+Sens!$I$2593+Sens!$I$2596+Sens!$I$2597-Sens!$I$2598</f>
        <v>0</v>
      </c>
      <c r="J2599" s="41" t="n">
        <f aca="false">Sens!$J$2588+Sens!$J$2593+Sens!$J$2596+Sens!$J$2597-Sens!$J$2598</f>
        <v>0</v>
      </c>
      <c r="K2599" s="41" t="n">
        <f aca="false">Sens!$K$2588+Sens!$K$2593+Sens!$K$2596+Sens!$K$2597-Sens!$K$2598</f>
        <v>0</v>
      </c>
      <c r="L2599" s="41" t="n">
        <f aca="false">Sens!$L$2588+Sens!$L$2593+Sens!$L$2596+Sens!$L$2597-Sens!$L$2598</f>
        <v>0</v>
      </c>
      <c r="M2599" s="41" t="n">
        <f aca="false">Sens!$M$2588+Sens!$M$2593+Sens!$M$2596+Sens!$M$2597-Sens!$M$2598</f>
        <v>0</v>
      </c>
      <c r="N2599" s="41" t="n">
        <f aca="false">Sens!$N$2588+Sens!$N$2593+Sens!$N$2596+Sens!$N$2597-Sens!$N$2598</f>
        <v>0</v>
      </c>
      <c r="O2599" s="41" t="n">
        <f aca="false">Sens!$O$2588+Sens!$O$2593+Sens!$O$2596+Sens!$O$2597-Sens!$O$2598</f>
        <v>0</v>
      </c>
    </row>
    <row r="2600" customFormat="false" ht="17.15" hidden="false" customHeight="false" outlineLevel="0" collapsed="false">
      <c r="A2600" s="5" t="s">
        <v>729</v>
      </c>
      <c r="B2600" s="0" t="s">
        <v>86</v>
      </c>
      <c r="C2600" s="38" t="n">
        <f aca="false">Sens!$C$2536</f>
        <v>0</v>
      </c>
      <c r="D2600" s="38" t="n">
        <f aca="false">Sens!$D$2536</f>
        <v>0</v>
      </c>
      <c r="E2600" s="38" t="n">
        <f aca="false">Sens!$E$2536</f>
        <v>0</v>
      </c>
      <c r="F2600" s="38" t="n">
        <f aca="false">Sens!$F$2536</f>
        <v>0</v>
      </c>
      <c r="G2600" s="38" t="n">
        <f aca="false">Sens!$G$2536</f>
        <v>0</v>
      </c>
      <c r="H2600" s="38" t="n">
        <f aca="false">Sens!$H$2536</f>
        <v>0</v>
      </c>
      <c r="I2600" s="38" t="n">
        <f aca="false">Sens!$I$2536</f>
        <v>0</v>
      </c>
      <c r="J2600" s="38" t="n">
        <f aca="false">Sens!$J$2536</f>
        <v>0</v>
      </c>
      <c r="K2600" s="38" t="n">
        <f aca="false">Sens!$K$2536</f>
        <v>0</v>
      </c>
      <c r="L2600" s="38" t="n">
        <f aca="false">Sens!$L$2536</f>
        <v>0</v>
      </c>
      <c r="M2600" s="38" t="n">
        <f aca="false">Sens!$M$2536</f>
        <v>0</v>
      </c>
      <c r="N2600" s="38" t="n">
        <f aca="false">Sens!$N$2536</f>
        <v>0</v>
      </c>
      <c r="O2600" s="38" t="n">
        <f aca="false">Sens!$O$2536</f>
        <v>0</v>
      </c>
      <c r="P2600" s="5" t="s">
        <v>730</v>
      </c>
    </row>
    <row r="2601" customFormat="false" ht="17.15" hidden="false" customHeight="false" outlineLevel="0" collapsed="false">
      <c r="A2601" s="5" t="s">
        <v>731</v>
      </c>
      <c r="B2601" s="0" t="s">
        <v>86</v>
      </c>
      <c r="C2601" s="38" t="n">
        <f aca="false">Sens!$C$2598+Sens!$C$2600</f>
        <v>68.593</v>
      </c>
      <c r="D2601" s="38" t="n">
        <f aca="false">Sens!$D$2598+Sens!$D$2600</f>
        <v>79.975</v>
      </c>
      <c r="E2601" s="38" t="n">
        <f aca="false">Sens!$E$2598+Sens!$E$2600</f>
        <v>51.313</v>
      </c>
      <c r="F2601" s="38" t="n">
        <f aca="false">Sens!$F$2598+Sens!$F$2600</f>
        <v>56.2888892369246</v>
      </c>
      <c r="G2601" s="38" t="n">
        <f aca="false">Sens!$G$2598+Sens!$G$2600</f>
        <v>107.601889236925</v>
      </c>
      <c r="H2601" s="38" t="n">
        <f aca="false">Sens!$H$2598+Sens!$H$2600</f>
        <v>126.935967255636</v>
      </c>
      <c r="I2601" s="38" t="n">
        <f aca="false">Sens!$I$2598+Sens!$I$2600</f>
        <v>147.247780943116</v>
      </c>
      <c r="J2601" s="38" t="n">
        <f aca="false">Sens!$J$2598+Sens!$J$2600</f>
        <v>166.030093415229</v>
      </c>
      <c r="K2601" s="38" t="n">
        <f aca="false">Sens!$K$2598+Sens!$K$2600</f>
        <v>177.975591165353</v>
      </c>
      <c r="L2601" s="38" t="n">
        <f aca="false">Sens!$L$2598+Sens!$L$2600</f>
        <v>190.868575271371</v>
      </c>
      <c r="M2601" s="38" t="n">
        <f aca="false">Sens!$M$2598+Sens!$M$2600</f>
        <v>203.610388310126</v>
      </c>
      <c r="N2601" s="38" t="n">
        <f aca="false">Sens!$N$2598+Sens!$N$2600</f>
        <v>37.576</v>
      </c>
      <c r="O2601" s="38" t="n">
        <f aca="false">Sens!$O$2598+Sens!$O$2600</f>
        <v>42.399</v>
      </c>
    </row>
    <row r="2602" customFormat="false" ht="17.15" hidden="false" customHeight="false" outlineLevel="0" collapsed="false">
      <c r="A2602" s="0" t="s">
        <v>732</v>
      </c>
      <c r="B2602" s="0" t="s">
        <v>52</v>
      </c>
      <c r="C2602" s="13" t="n">
        <f aca="false">Sens!$C$2588/Sens!$C$2573</f>
        <v>0.0644314665661928</v>
      </c>
      <c r="D2602" s="13" t="n">
        <f aca="false">Sens!$D$2588/Sens!$D$2573</f>
        <v>0.0694784250712518</v>
      </c>
      <c r="E2602" s="13" t="n">
        <f aca="false">Sens!$E$2588/Sens!$E$2573</f>
        <v>0.0789306463326071</v>
      </c>
      <c r="F2602" s="13" t="n">
        <f aca="false">Sens!$F$2588/Sens!$F$2573</f>
        <v>0.0802271154277638</v>
      </c>
      <c r="G2602" s="13" t="n">
        <f aca="false">Sens!$G$2588/Sens!$G$2573</f>
        <v>0.0796206133714758</v>
      </c>
      <c r="H2602" s="13" t="n">
        <f aca="false">Sens!$H$2588/Sens!$H$2573</f>
        <v>0.0791253077422711</v>
      </c>
      <c r="I2602" s="13" t="n">
        <f aca="false">Sens!$I$2588/Sens!$I$2573</f>
        <v>0.0776277144828766</v>
      </c>
      <c r="J2602" s="13" t="n">
        <f aca="false">Sens!$J$2588/Sens!$J$2573</f>
        <v>0.0761100135193333</v>
      </c>
      <c r="K2602" s="13" t="n">
        <f aca="false">Sens!$K$2588/Sens!$K$2573</f>
        <v>0.074408246177121</v>
      </c>
      <c r="L2602" s="13" t="n">
        <f aca="false">Sens!$L$2588/Sens!$L$2573</f>
        <v>0.0739489900415671</v>
      </c>
      <c r="M2602" s="13" t="n">
        <f aca="false">Sens!$M$2588/Sens!$M$2573</f>
        <v>0.076138500430805</v>
      </c>
      <c r="N2602" s="13" t="n">
        <f aca="false">Sens!$N$2588/Sens!$N$2573</f>
        <v>0.069228576611127</v>
      </c>
      <c r="O2602" s="13" t="n">
        <f aca="false">Sens!$O$2588/Sens!$O$2573</f>
        <v>0.069685022498393</v>
      </c>
    </row>
    <row r="2603" customFormat="false" ht="17.15" hidden="false" customHeight="false" outlineLevel="0" collapsed="false">
      <c r="A2603" s="0" t="s">
        <v>733</v>
      </c>
      <c r="B2603" s="0" t="s">
        <v>52</v>
      </c>
      <c r="C2603" s="13" t="n">
        <f aca="false">Sens!$C$2593/Sens!$C$2574</f>
        <v>0.026534925055631</v>
      </c>
      <c r="D2603" s="13" t="n">
        <f aca="false">Sens!$D$2593/Sens!$D$2574</f>
        <v>0.0293401855535103</v>
      </c>
      <c r="E2603" s="13" t="n">
        <f aca="false">Sens!$E$2593/Sens!$E$2574</f>
        <v>0.03831141902276</v>
      </c>
      <c r="F2603" s="13" t="n">
        <f aca="false">Sens!$F$2593/Sens!$F$2574</f>
        <v>0.028186380436398</v>
      </c>
      <c r="G2603" s="13" t="n">
        <f aca="false">Sens!$G$2593/Sens!$G$2574</f>
        <v>0.0327880260521739</v>
      </c>
      <c r="H2603" s="13" t="n">
        <f aca="false">Sens!$H$2593/Sens!$H$2574</f>
        <v>0.0302874763409969</v>
      </c>
      <c r="I2603" s="13" t="n">
        <f aca="false">Sens!$I$2593/Sens!$I$2574</f>
        <v>0.0267614610253202</v>
      </c>
      <c r="J2603" s="13" t="n">
        <f aca="false">Sens!$J$2593/Sens!$J$2574</f>
        <v>0.0231523582706593</v>
      </c>
      <c r="K2603" s="13" t="n">
        <f aca="false">Sens!$K$2593/Sens!$K$2574</f>
        <v>0.0192545467174101</v>
      </c>
      <c r="L2603" s="13" t="n">
        <f aca="false">Sens!$L$2593/Sens!$L$2574</f>
        <v>0.0191414347264789</v>
      </c>
      <c r="M2603" s="13" t="n">
        <f aca="false">Sens!$M$2593/Sens!$M$2574</f>
        <v>0.0216850962428001</v>
      </c>
      <c r="N2603" s="13" t="n">
        <f aca="false">Sens!$N$2593/Sens!$N$2574</f>
        <v>0.0357315650169337</v>
      </c>
      <c r="O2603" s="13" t="n">
        <f aca="false">Sens!$O$2593/Sens!$O$2574</f>
        <v>0.0244378956559703</v>
      </c>
    </row>
    <row r="2604" customFormat="false" ht="17.15" hidden="false" customHeight="false" outlineLevel="0" collapsed="false">
      <c r="A2604" s="14" t="s">
        <v>734</v>
      </c>
      <c r="B2604" s="14" t="s">
        <v>52</v>
      </c>
      <c r="C2604" s="17" t="n">
        <f aca="false">Sens!$C$2596/Sens!$C$2575</f>
        <v>0.370355907620217</v>
      </c>
      <c r="D2604" s="17" t="n">
        <f aca="false">Sens!$D$2596/Sens!$D$2575</f>
        <v>0.35429015342785</v>
      </c>
      <c r="E2604" s="17" t="n">
        <f aca="false">Sens!$E$2596/Sens!$E$2575</f>
        <v>0.385647527531039</v>
      </c>
      <c r="F2604" s="17" t="n">
        <f aca="false">Sens!$F$2596/Sens!$F$2575</f>
        <v>0.385171818673936</v>
      </c>
      <c r="G2604" s="17" t="n">
        <f aca="false">Sens!$G$2596/Sens!$G$2575</f>
        <v>0.385399799520974</v>
      </c>
      <c r="H2604" s="17" t="n">
        <f aca="false">Sens!$H$2596/Sens!$H$2575</f>
        <v>0.360029314750347</v>
      </c>
      <c r="I2604" s="17" t="n">
        <f aca="false">Sens!$I$2596/Sens!$I$2575</f>
        <v>0.346606134604193</v>
      </c>
      <c r="J2604" s="17" t="n">
        <f aca="false">Sens!$J$2596/Sens!$J$2575</f>
        <v>0.335699297156574</v>
      </c>
      <c r="K2604" s="17" t="n">
        <f aca="false">Sens!$K$2596/Sens!$K$2575</f>
        <v>0.319043289183739</v>
      </c>
      <c r="L2604" s="17" t="n">
        <f aca="false">Sens!$L$2596/Sens!$L$2575</f>
        <v>0.311918613444893</v>
      </c>
      <c r="M2604" s="17" t="n">
        <f aca="false">Sens!$M$2596/Sens!$M$2575</f>
        <v>0.306523814127389</v>
      </c>
      <c r="N2604" s="17" t="n">
        <f aca="false">Sens!$N$2596/Sens!$N$2575</f>
        <v>0.360941137346192</v>
      </c>
      <c r="O2604" s="17" t="n">
        <f aca="false">Sens!$O$2596/Sens!$O$2575</f>
        <v>0.348458117664212</v>
      </c>
    </row>
    <row r="2605" customFormat="false" ht="17.15" hidden="false" customHeight="false" outlineLevel="0" collapsed="false">
      <c r="A2605" s="0" t="s">
        <v>735</v>
      </c>
      <c r="B2605" s="0" t="s">
        <v>52</v>
      </c>
      <c r="C2605" s="13" t="n">
        <f aca="false">Sens!$C$2594/Sens!$C$2576</f>
        <v>0.708390794789371</v>
      </c>
      <c r="D2605" s="13" t="n">
        <f aca="false">Sens!$D$2594/Sens!$D$2576</f>
        <v>0.445565630441968</v>
      </c>
      <c r="E2605" s="13" t="n">
        <f aca="false">Sens!$E$2594/Sens!$E$2576</f>
        <v>0.165998118402711</v>
      </c>
      <c r="F2605" s="13" t="n">
        <f aca="false">Sens!$F$2594/Sens!$F$2576</f>
        <v>0.434878595403858</v>
      </c>
      <c r="G2605" s="13" t="n">
        <f aca="false">Sens!$G$2594/Sens!$G$2576</f>
        <v>0.3373967615381</v>
      </c>
      <c r="H2605" s="13" t="n">
        <f aca="false">Sens!$H$2594/Sens!$H$2576</f>
        <v>0.320477578041224</v>
      </c>
      <c r="I2605" s="13" t="n">
        <f aca="false">Sens!$I$2594/Sens!$I$2576</f>
        <v>0.296936118226494</v>
      </c>
      <c r="J2605" s="13" t="n">
        <f aca="false">Sens!$J$2594/Sens!$J$2576</f>
        <v>0.282166278613001</v>
      </c>
      <c r="K2605" s="13" t="n">
        <f aca="false">Sens!$K$2594/Sens!$K$2576</f>
        <v>0.252969102881543</v>
      </c>
      <c r="L2605" s="13" t="n">
        <f aca="false">Sens!$L$2594/Sens!$L$2576</f>
        <v>0.240728642826566</v>
      </c>
      <c r="M2605" s="13" t="n">
        <f aca="false">Sens!$M$2594/Sens!$M$2576</f>
        <v>0.227399920863147</v>
      </c>
      <c r="N2605" s="13" t="n">
        <f aca="false">Sens!$N$2594/Sens!$N$2576</f>
        <v>0.302870734830849</v>
      </c>
      <c r="O2605" s="13" t="n">
        <f aca="false">Sens!$O$2594/Sens!$O$2576</f>
        <v>0.52240134346334</v>
      </c>
    </row>
    <row r="2606" customFormat="false" ht="15" hidden="false" customHeight="false" outlineLevel="0" collapsed="false">
      <c r="A2606" s="5" t="s">
        <v>736</v>
      </c>
      <c r="B2606" s="0" t="s">
        <v>52</v>
      </c>
      <c r="C2606" s="13" t="n">
        <f aca="false">Sens!$C$2598/Sens!$C$2578</f>
        <v>0.107519448742004</v>
      </c>
      <c r="D2606" s="13" t="n">
        <f aca="false">Sens!$D$2598/Sens!$D$2578</f>
        <v>0.111552967957552</v>
      </c>
      <c r="E2606" s="13" t="n">
        <f aca="false">Sens!$E$2598/Sens!$E$2578</f>
        <v>0.13428328426562</v>
      </c>
      <c r="F2606" s="13" t="n">
        <f aca="false">Sens!$F$2598/Sens!$F$2578</f>
        <v>0.129167844525589</v>
      </c>
      <c r="G2606" s="13" t="n">
        <f aca="false">Sens!$G$2598/Sens!$G$2578</f>
        <v>0.131557773771988</v>
      </c>
      <c r="H2606" s="13" t="n">
        <f aca="false">Sens!$H$2598/Sens!$H$2578</f>
        <v>0.134711536350329</v>
      </c>
      <c r="I2606" s="13" t="n">
        <f aca="false">Sens!$I$2598/Sens!$I$2578</f>
        <v>0.137768888779847</v>
      </c>
      <c r="J2606" s="13" t="n">
        <f aca="false">Sens!$J$2598/Sens!$J$2578</f>
        <v>0.139531715827143</v>
      </c>
      <c r="K2606" s="13" t="n">
        <f aca="false">Sens!$K$2598/Sens!$K$2578</f>
        <v>0.137320259076553</v>
      </c>
      <c r="L2606" s="13" t="n">
        <f aca="false">Sens!$L$2598/Sens!$L$2578</f>
        <v>0.136806307456799</v>
      </c>
      <c r="M2606" s="13" t="n">
        <f aca="false">Sens!$M$2598/Sens!$M$2578</f>
        <v>0.136871350584245</v>
      </c>
      <c r="N2606" s="13" t="n">
        <f aca="false">Sens!$N$2598/Sens!$N$2578</f>
        <v>0.116201614873411</v>
      </c>
      <c r="O2606" s="13" t="n">
        <f aca="false">Sens!$O$2598/Sens!$O$2578</f>
        <v>0.107733353660861</v>
      </c>
    </row>
    <row r="2607" customFormat="false" ht="17.15" hidden="false" customHeight="false" outlineLevel="0" collapsed="false">
      <c r="A2607" s="1" t="s">
        <v>737</v>
      </c>
    </row>
    <row r="2608" customFormat="false" ht="17.15" hidden="false" customHeight="false" outlineLevel="0" collapsed="false">
      <c r="A2608" s="5" t="s">
        <v>738</v>
      </c>
      <c r="B2608" s="0" t="s">
        <v>52</v>
      </c>
      <c r="D2608" s="28" t="n">
        <f aca="false">(Q!$E$29+Q!$E$30-(1-ext_sh)*Sens!$D$2530)/Sens!$D$2486</f>
        <v>0.0334674312393194</v>
      </c>
    </row>
    <row r="2609" customFormat="false" ht="17.15" hidden="false" customHeight="false" outlineLevel="0" collapsed="false">
      <c r="A2609" s="0" t="s">
        <v>535</v>
      </c>
      <c r="B2609" s="0" t="s">
        <v>86</v>
      </c>
      <c r="C2609" s="38" t="n">
        <f aca="false">Q!$D$29</f>
        <v>14.285</v>
      </c>
      <c r="D2609" s="38" t="n">
        <f aca="false">Q!$E$29</f>
        <v>15.503</v>
      </c>
      <c r="E2609" s="38" t="n">
        <f aca="false">Q!$P$29</f>
        <v>8.78</v>
      </c>
      <c r="F2609" s="38" t="n">
        <f aca="false">(Sens!$D$2608*Sens!$F$2486+(1-ext_sh)*Sens!$F$2530)*Sens!$F$2487</f>
        <v>9.32404990199157</v>
      </c>
      <c r="G2609" s="38" t="n">
        <f aca="false">Sens!$E$2609+Sens!$F$2609</f>
        <v>18.1040499019916</v>
      </c>
      <c r="H2609" s="38" t="n">
        <f aca="false">(Sens!$D$2608*Sens!$H$2486+(1-ext_sh)*Sens!$H$2530)*Sens!$H$2487</f>
        <v>22.5533556752937</v>
      </c>
      <c r="I2609" s="38" t="n">
        <f aca="false">(Sens!$D$2608*Sens!$I$2486+(1-ext_sh)*Sens!$I$2530)*Sens!$I$2487</f>
        <v>28.1941479903215</v>
      </c>
      <c r="J2609" s="38" t="n">
        <f aca="false">(Sens!$D$2608*Sens!$J$2486+(1-ext_sh)*Sens!$J$2530)*Sens!$J$2487</f>
        <v>33.8639126241465</v>
      </c>
      <c r="K2609" s="38" t="n">
        <f aca="false">(Sens!$D$2608*Sens!$K$2486+(1-ext_sh)*Sens!$K$2530)*Sens!$K$2487</f>
        <v>39.4516429979446</v>
      </c>
      <c r="L2609" s="38" t="n">
        <f aca="false">(Sens!$D$2608*Sens!$L$2486+(1-ext_sh)*Sens!$L$2530)*Sens!$L$2487</f>
        <v>43.6240799619622</v>
      </c>
      <c r="M2609" s="38" t="n">
        <f aca="false">(Sens!$D$2608*Sens!$M$2486+(1-ext_sh)*Sens!$M$2530)*Sens!$M$2487</f>
        <v>46.7841679303704</v>
      </c>
      <c r="N2609" s="38" t="n">
        <f aca="false">Q!$N$29</f>
        <v>7.272</v>
      </c>
      <c r="O2609" s="38" t="n">
        <f aca="false">Q!$O$29</f>
        <v>8.231</v>
      </c>
    </row>
    <row r="2610" customFormat="false" ht="17.15" hidden="false" customHeight="false" outlineLevel="0" collapsed="false">
      <c r="A2610" s="0" t="s">
        <v>537</v>
      </c>
      <c r="B2610" s="0" t="s">
        <v>86</v>
      </c>
      <c r="C2610" s="38" t="n">
        <f aca="false">Q!$D$30</f>
        <v>4.462</v>
      </c>
      <c r="D2610" s="38" t="n">
        <f aca="false">Q!$E$30</f>
        <v>4.907</v>
      </c>
      <c r="E2610" s="38" t="n">
        <f aca="false">Q!$P$30</f>
        <v>2.57</v>
      </c>
      <c r="F2610" s="38" t="n">
        <f aca="false">(Sens!$D$2608*Sens!$F$2486+(1-ext_sh)*Sens!$F$2530)*(1-Sens!$F$2487)</f>
        <v>3.66089330199472</v>
      </c>
      <c r="G2610" s="38" t="n">
        <f aca="false">Sens!$E$2610+Sens!$F$2610</f>
        <v>6.23089330199472</v>
      </c>
      <c r="H2610" s="38" t="n">
        <f aca="false">(Sens!$D$2608*Sens!$H$2486+(1-ext_sh)*Sens!$H$2530)*(1-Sens!$H$2487)</f>
        <v>8.63874333111657</v>
      </c>
      <c r="I2610" s="38" t="n">
        <f aca="false">(Sens!$D$2608*Sens!$I$2486+(1-ext_sh)*Sens!$I$2530)*(1-Sens!$I$2487)</f>
        <v>10.7993689025494</v>
      </c>
      <c r="J2610" s="38" t="n">
        <f aca="false">(Sens!$D$2608*Sens!$J$2486+(1-ext_sh)*Sens!$J$2530)*(1-Sens!$J$2487)</f>
        <v>12.9710919101865</v>
      </c>
      <c r="K2610" s="38" t="n">
        <f aca="false">(Sens!$D$2608*Sens!$K$2486+(1-ext_sh)*Sens!$K$2530)*(1-Sens!$K$2487)</f>
        <v>15.1113928568702</v>
      </c>
      <c r="L2610" s="38" t="n">
        <f aca="false">(Sens!$D$2608*Sens!$L$2486+(1-ext_sh)*Sens!$L$2530)*(1-Sens!$L$2487)</f>
        <v>16.7095857163433</v>
      </c>
      <c r="M2610" s="38" t="n">
        <f aca="false">(Sens!$D$2608*Sens!$M$2486+(1-ext_sh)*Sens!$M$2530)*(1-Sens!$M$2487)</f>
        <v>17.9200126371023</v>
      </c>
      <c r="N2610" s="38" t="n">
        <f aca="false">Q!$N$30</f>
        <v>2.316</v>
      </c>
      <c r="O2610" s="38" t="n">
        <f aca="false">Q!$O$30</f>
        <v>2.591</v>
      </c>
    </row>
    <row r="2611" customFormat="false" ht="17.15" hidden="false" customHeight="false" outlineLevel="0" collapsed="false">
      <c r="A2611" s="0" t="s">
        <v>538</v>
      </c>
      <c r="B2611" s="0" t="s">
        <v>86</v>
      </c>
      <c r="C2611" s="38" t="n">
        <f aca="false">Sens!$C$2542</f>
        <v>13.32</v>
      </c>
      <c r="D2611" s="38" t="n">
        <f aca="false">Sens!$D$2542</f>
        <v>21.45</v>
      </c>
      <c r="E2611" s="38" t="n">
        <f aca="false">Sens!$E$2542</f>
        <v>15.353</v>
      </c>
      <c r="F2611" s="38" t="n">
        <f aca="false">Sens!$F$2542</f>
        <v>16.3063747611001</v>
      </c>
      <c r="G2611" s="38" t="n">
        <f aca="false">Sens!$G$2542</f>
        <v>31.6593747611001</v>
      </c>
      <c r="H2611" s="38" t="n">
        <f aca="false">Sens!$H$2542</f>
        <v>53.124242092105</v>
      </c>
      <c r="I2611" s="38" t="n">
        <f aca="false">Sens!$I$2542</f>
        <v>78.046828098133</v>
      </c>
      <c r="J2611" s="38" t="n">
        <f aca="false">Sens!$J$2542</f>
        <v>103.663976940352</v>
      </c>
      <c r="K2611" s="38" t="n">
        <f aca="false">Sens!$K$2542</f>
        <v>129.625086115469</v>
      </c>
      <c r="L2611" s="38" t="n">
        <f aca="false">Sens!$L$2542</f>
        <v>147.435052382502</v>
      </c>
      <c r="M2611" s="38" t="n">
        <f aca="false">Sens!$M$2542</f>
        <v>159.299754080279</v>
      </c>
      <c r="N2611" s="38" t="n">
        <f aca="false">Sens!$N$2542</f>
        <v>9.234</v>
      </c>
      <c r="O2611" s="38" t="n">
        <f aca="false">Sens!$O$2542</f>
        <v>12.216</v>
      </c>
    </row>
    <row r="2612" customFormat="false" ht="17.15" hidden="false" customHeight="false" outlineLevel="0" collapsed="false">
      <c r="A2612" s="5" t="s">
        <v>739</v>
      </c>
      <c r="B2612" s="0" t="s">
        <v>86</v>
      </c>
      <c r="C2612" s="38" t="n">
        <f aca="false">Sens!$C$2609+Sens!$C$2610+Sens!$C$2611</f>
        <v>32.067</v>
      </c>
      <c r="D2612" s="38" t="n">
        <f aca="false">Sens!$D$2609+Sens!$D$2610+Sens!$D$2611</f>
        <v>41.86</v>
      </c>
      <c r="E2612" s="38" t="n">
        <f aca="false">Sens!$E$2609+Sens!$E$2610+Sens!$E$2611</f>
        <v>26.703</v>
      </c>
      <c r="F2612" s="38" t="n">
        <f aca="false">Sens!$F$2609+Sens!$F$2610+Sens!$F$2611</f>
        <v>29.2913179650864</v>
      </c>
      <c r="G2612" s="38" t="n">
        <f aca="false">Sens!$G$2609+Sens!$G$2610+Sens!$G$2611</f>
        <v>55.9943179650864</v>
      </c>
      <c r="H2612" s="38" t="n">
        <f aca="false">Sens!$H$2609+Sens!$H$2610+Sens!$H$2611</f>
        <v>84.3163410985152</v>
      </c>
      <c r="I2612" s="38" t="n">
        <f aca="false">Sens!$I$2609+Sens!$I$2610+Sens!$I$2611</f>
        <v>117.040344991004</v>
      </c>
      <c r="J2612" s="38" t="n">
        <f aca="false">Sens!$J$2609+Sens!$J$2610+Sens!$J$2611</f>
        <v>150.498981474685</v>
      </c>
      <c r="K2612" s="38" t="n">
        <f aca="false">Sens!$K$2609+Sens!$K$2610+Sens!$K$2611</f>
        <v>184.188121970284</v>
      </c>
      <c r="L2612" s="38" t="n">
        <f aca="false">Sens!$L$2609+Sens!$L$2610+Sens!$L$2611</f>
        <v>207.768718060808</v>
      </c>
      <c r="M2612" s="38" t="n">
        <f aca="false">Sens!$M$2609+Sens!$M$2610+Sens!$M$2611</f>
        <v>224.003934647752</v>
      </c>
      <c r="N2612" s="38" t="n">
        <f aca="false">Sens!$N$2609+Sens!$N$2610+Sens!$N$2611</f>
        <v>18.822</v>
      </c>
      <c r="O2612" s="38" t="n">
        <f aca="false">Sens!$O$2609+Sens!$O$2610+Sens!$O$2611</f>
        <v>23.038</v>
      </c>
    </row>
    <row r="2613" customFormat="false" ht="17.15" hidden="false" customHeight="false" outlineLevel="0" collapsed="false">
      <c r="A2613" s="0" t="s">
        <v>740</v>
      </c>
      <c r="B2613" s="0" t="s">
        <v>86</v>
      </c>
      <c r="C2613" s="38" t="n">
        <f aca="false">Sens!$C$2584+Sens!$C$2589</f>
        <v>28.107</v>
      </c>
      <c r="D2613" s="38" t="n">
        <f aca="false">Sens!$D$2584+Sens!$D$2589</f>
        <v>34.3175</v>
      </c>
      <c r="E2613" s="38" t="n">
        <f aca="false">Sens!$E$2584+Sens!$E$2589</f>
        <v>18.526</v>
      </c>
      <c r="F2613" s="38" t="n">
        <f aca="false">Sens!$F$2584+Sens!$F$2589</f>
        <v>23.0786109972074</v>
      </c>
      <c r="G2613" s="38" t="n">
        <f aca="false">Sens!$G$2584+Sens!$G$2589</f>
        <v>41.6046109972074</v>
      </c>
      <c r="H2613" s="38" t="n">
        <f aca="false">Sens!$H$2584+Sens!$H$2589</f>
        <v>49.9484611939488</v>
      </c>
      <c r="I2613" s="38" t="n">
        <f aca="false">Sens!$I$2584+Sens!$I$2589</f>
        <v>58.2915555477481</v>
      </c>
      <c r="J2613" s="38" t="n">
        <f aca="false">Sens!$J$2584+Sens!$J$2589</f>
        <v>66.0744709709759</v>
      </c>
      <c r="K2613" s="38" t="n">
        <f aca="false">Sens!$K$2584+Sens!$K$2589</f>
        <v>72.6819180680735</v>
      </c>
      <c r="L2613" s="38" t="n">
        <f aca="false">Sens!$L$2584+Sens!$L$2589</f>
        <v>79.9501098748808</v>
      </c>
      <c r="M2613" s="38" t="n">
        <f aca="false">Sens!$M$2584+Sens!$M$2589</f>
        <v>87.9451208623689</v>
      </c>
      <c r="N2613" s="38" t="n">
        <f aca="false">Sens!$N$2584+Sens!$N$2589</f>
        <v>14.8075</v>
      </c>
      <c r="O2613" s="38" t="n">
        <f aca="false">Sens!$O$2584+Sens!$O$2589</f>
        <v>19.51</v>
      </c>
    </row>
    <row r="2614" customFormat="false" ht="17.15" hidden="false" customHeight="false" outlineLevel="0" collapsed="false">
      <c r="A2614" s="0" t="s">
        <v>741</v>
      </c>
      <c r="B2614" s="0" t="s">
        <v>86</v>
      </c>
      <c r="C2614" s="38" t="n">
        <f aca="false">Sens!$C$2588+Sens!$C$2593+Sens!$C$2609+Sens!$C$2610-Sens!$C$2613</f>
        <v>19.399</v>
      </c>
      <c r="D2614" s="38" t="n">
        <f aca="false">Sens!$D$2588+Sens!$D$2593+Sens!$D$2609+Sens!$D$2610-Sens!$D$2613</f>
        <v>20.4615</v>
      </c>
      <c r="E2614" s="38" t="n">
        <f aca="false">Sens!$E$2588+Sens!$E$2593+Sens!$E$2609+Sens!$E$2610-Sens!$E$2613</f>
        <v>13.355</v>
      </c>
      <c r="F2614" s="38" t="n">
        <f aca="false">Sens!$F$2588+Sens!$F$2593+Sens!$F$2609+Sens!$F$2610-Sens!$F$2613</f>
        <v>12.7882167664549</v>
      </c>
      <c r="G2614" s="38" t="n">
        <f aca="false">Sens!$G$2588+Sens!$G$2593+Sens!$G$2609+Sens!$G$2610-Sens!$G$2613</f>
        <v>26.1432167664549</v>
      </c>
      <c r="H2614" s="38" t="n">
        <f aca="false">Sens!$H$2588+Sens!$H$2593+Sens!$H$2609+Sens!$H$2610-Sens!$H$2613</f>
        <v>28.5472527261826</v>
      </c>
      <c r="I2614" s="38" t="n">
        <f aca="false">Sens!$I$2588+Sens!$I$2593+Sens!$I$2609+Sens!$I$2610-Sens!$I$2613</f>
        <v>30.8052421506794</v>
      </c>
      <c r="J2614" s="38" t="n">
        <f aca="false">Sens!$J$2588+Sens!$J$2593+Sens!$J$2609+Sens!$J$2610-Sens!$J$2613</f>
        <v>33.0553877999083</v>
      </c>
      <c r="K2614" s="38" t="n">
        <f aca="false">Sens!$K$2588+Sens!$K$2593+Sens!$K$2609+Sens!$K$2610-Sens!$K$2613</f>
        <v>35.4662923485155</v>
      </c>
      <c r="L2614" s="38" t="n">
        <f aca="false">Sens!$L$2588+Sens!$L$2593+Sens!$L$2609+Sens!$L$2610-Sens!$L$2613</f>
        <v>37.1019587742301</v>
      </c>
      <c r="M2614" s="38" t="n">
        <f aca="false">Sens!$M$2588+Sens!$M$2593+Sens!$M$2609+Sens!$M$2610-Sens!$M$2613</f>
        <v>39.5351701466849</v>
      </c>
      <c r="N2614" s="38" t="n">
        <f aca="false">Sens!$N$2588+Sens!$N$2593+Sens!$N$2609+Sens!$N$2610-Sens!$N$2613</f>
        <v>10.6495</v>
      </c>
      <c r="O2614" s="38" t="n">
        <f aca="false">Sens!$O$2588+Sens!$O$2593+Sens!$O$2609+Sens!$O$2610-Sens!$O$2613</f>
        <v>9.81200000000001</v>
      </c>
    </row>
    <row r="2615" customFormat="false" ht="17.15" hidden="false" customHeight="false" outlineLevel="0" collapsed="false">
      <c r="A2615" s="0" t="s">
        <v>742</v>
      </c>
      <c r="B2615" s="0" t="s">
        <v>86</v>
      </c>
      <c r="C2615" s="38" t="n">
        <f aca="false">Sens!$C$2595+Sens!$C$2611-ext_sh*Sens!$C$2530</f>
        <v>51.3470500115664</v>
      </c>
      <c r="D2615" s="38" t="n">
        <f aca="false">Sens!$D$2595+Sens!$D$2611-ext_sh*Sens!$D$2530</f>
        <v>60.2799375433739</v>
      </c>
      <c r="E2615" s="38" t="n">
        <f aca="false">Sens!$E$2595+Sens!$E$2611-ext_sh*Sens!$E$2530</f>
        <v>39.5095167090767</v>
      </c>
      <c r="F2615" s="38" t="n">
        <f aca="false">Sens!$F$2595+Sens!$F$2611-ext_sh*Sens!$F$2530</f>
        <v>37.993321722478</v>
      </c>
      <c r="G2615" s="38" t="n">
        <f aca="false">Sens!$G$2595+Sens!$G$2611-ext_sh*Sens!$G$2530</f>
        <v>77.5028384315548</v>
      </c>
      <c r="H2615" s="38" t="n">
        <f aca="false">Sens!$H$2595+Sens!$H$2611-ext_sh*Sens!$H$2530</f>
        <v>85.2394217279746</v>
      </c>
      <c r="I2615" s="38" t="n">
        <f aca="false">Sens!$I$2595+Sens!$I$2611-ext_sh*Sens!$I$2530</f>
        <v>94.6373589713254</v>
      </c>
      <c r="J2615" s="38" t="n">
        <f aca="false">Sens!$J$2595+Sens!$J$2611-ext_sh*Sens!$J$2530</f>
        <v>103.639899284146</v>
      </c>
      <c r="K2615" s="38" t="n">
        <f aca="false">Sens!$K$2595+Sens!$K$2611-ext_sh*Sens!$K$2530</f>
        <v>111.931091226878</v>
      </c>
      <c r="L2615" s="38" t="n">
        <f aca="false">Sens!$L$2595+Sens!$L$2611-ext_sh*Sens!$L$2530</f>
        <v>120.885578525028</v>
      </c>
      <c r="M2615" s="38" t="n">
        <f aca="false">Sens!$M$2595+Sens!$M$2611-ext_sh*Sens!$M$2530</f>
        <v>130.55642480703</v>
      </c>
      <c r="N2615" s="38" t="n">
        <f aca="false">Sens!$N$2595+Sens!$N$2611-ext_sh*Sens!$N$2530</f>
        <v>28.5693781401809</v>
      </c>
      <c r="O2615" s="38" t="n">
        <f aca="false">Sens!$O$2595+Sens!$O$2611-ext_sh*Sens!$O$2530</f>
        <v>31.7105594031931</v>
      </c>
    </row>
    <row r="2616" customFormat="false" ht="17.15" hidden="false" customHeight="false" outlineLevel="0" collapsed="false">
      <c r="A2616" s="0" t="s">
        <v>743</v>
      </c>
      <c r="B2616" s="0" t="s">
        <v>86</v>
      </c>
      <c r="C2616" s="38" t="n">
        <f aca="false">Sens!$C$2533</f>
        <v>1.80694998843362</v>
      </c>
      <c r="D2616" s="38" t="n">
        <f aca="false">Sens!$D$2533</f>
        <v>6.77606245662607</v>
      </c>
      <c r="E2616" s="38" t="n">
        <f aca="false">Sens!$E$2533</f>
        <v>6.62548329092326</v>
      </c>
      <c r="F2616" s="38" t="n">
        <f aca="false">Sens!$F$2533</f>
        <v>11.7200577158706</v>
      </c>
      <c r="G2616" s="38" t="n">
        <f aca="false">Sens!$G$2533</f>
        <v>18.3455410067939</v>
      </c>
      <c r="H2616" s="38" t="n">
        <f aca="false">Sens!$H$2533</f>
        <v>47.5171727060453</v>
      </c>
      <c r="I2616" s="38" t="n">
        <f aca="false">Sens!$I$2533</f>
        <v>80.5539692643667</v>
      </c>
      <c r="J2616" s="38" t="n">
        <f aca="false">Sens!$J$2533</f>
        <v>113.759316834883</v>
      </c>
      <c r="K2616" s="38" t="n">
        <f aca="false">Sens!$K$2533</f>
        <v>142.084411492169</v>
      </c>
      <c r="L2616" s="38" t="n">
        <f aca="false">Sens!$L$2533</f>
        <v>160.69964615804</v>
      </c>
      <c r="M2616" s="38" t="n">
        <f aca="false">Sens!$M$2533</f>
        <v>169.577607141793</v>
      </c>
      <c r="N2616" s="38" t="n">
        <f aca="false">Sens!$N$2533</f>
        <v>2.37162185981912</v>
      </c>
      <c r="O2616" s="38" t="n">
        <f aca="false">Sens!$O$2533</f>
        <v>4.40444059680694</v>
      </c>
    </row>
    <row r="2617" customFormat="false" ht="17.15" hidden="false" customHeight="false" outlineLevel="0" collapsed="false">
      <c r="A2617" s="0" t="s">
        <v>744</v>
      </c>
      <c r="B2617" s="0" t="s">
        <v>86</v>
      </c>
      <c r="C2617" s="38" t="n">
        <f aca="false">Sens!$C$2598+Sens!$C$2612</f>
        <v>100.66</v>
      </c>
      <c r="D2617" s="38" t="n">
        <f aca="false">Sens!$D$2598+Sens!$D$2612</f>
        <v>121.835</v>
      </c>
      <c r="E2617" s="38" t="n">
        <f aca="false">Sens!$E$2598+Sens!$E$2612</f>
        <v>78.016</v>
      </c>
      <c r="F2617" s="38" t="n">
        <f aca="false">Sens!$F$2598+Sens!$F$2612</f>
        <v>85.580207202011</v>
      </c>
      <c r="G2617" s="38" t="n">
        <f aca="false">Sens!$G$2598+Sens!$G$2612</f>
        <v>163.596207202011</v>
      </c>
      <c r="H2617" s="38" t="n">
        <f aca="false">Sens!$H$2598+Sens!$H$2612</f>
        <v>211.252308354151</v>
      </c>
      <c r="I2617" s="38" t="n">
        <f aca="false">Sens!$I$2598+Sens!$I$2612</f>
        <v>264.28812593412</v>
      </c>
      <c r="J2617" s="38" t="n">
        <f aca="false">Sens!$J$2598+Sens!$J$2612</f>
        <v>316.529074889914</v>
      </c>
      <c r="K2617" s="38" t="n">
        <f aca="false">Sens!$K$2598+Sens!$K$2612</f>
        <v>362.163713135636</v>
      </c>
      <c r="L2617" s="38" t="n">
        <f aca="false">Sens!$L$2598+Sens!$L$2612</f>
        <v>398.637293332179</v>
      </c>
      <c r="M2617" s="38" t="n">
        <f aca="false">Sens!$M$2598+Sens!$M$2612</f>
        <v>427.614322957878</v>
      </c>
      <c r="N2617" s="38" t="n">
        <f aca="false">Sens!$N$2598+Sens!$N$2612</f>
        <v>56.398</v>
      </c>
      <c r="O2617" s="38" t="n">
        <f aca="false">Sens!$O$2598+Sens!$O$2612</f>
        <v>65.437</v>
      </c>
    </row>
    <row r="2618" customFormat="false" ht="17.15" hidden="false" customHeight="false" outlineLevel="0" collapsed="false">
      <c r="A2618" s="1" t="s">
        <v>745</v>
      </c>
    </row>
    <row r="2619" customFormat="false" ht="15" hidden="false" customHeight="false" outlineLevel="0" collapsed="false">
      <c r="A2619" s="5" t="s">
        <v>541</v>
      </c>
      <c r="B2619" s="0" t="s">
        <v>86</v>
      </c>
      <c r="C2619" s="38" t="n">
        <f aca="false">Q!$D$34</f>
        <v>2.406</v>
      </c>
      <c r="D2619" s="38" t="n">
        <f aca="false">Q!$E$34</f>
        <v>2.274</v>
      </c>
      <c r="E2619" s="38" t="n">
        <f aca="false">Q!$P$34</f>
        <v>2.114</v>
      </c>
      <c r="F2619" s="38" t="n">
        <f aca="false">Sens!$F$2657</f>
        <v>3.24888962733561</v>
      </c>
      <c r="G2619" s="38" t="n">
        <f aca="false">Sens!$E$2619+Sens!$F$2619</f>
        <v>5.36288962733561</v>
      </c>
      <c r="H2619" s="38" t="n">
        <f aca="false">Sens!$H$2657</f>
        <v>7.42354172302123</v>
      </c>
      <c r="I2619" s="38" t="n">
        <f aca="false">Sens!$I$2657</f>
        <v>8.2931747618896</v>
      </c>
      <c r="J2619" s="38" t="n">
        <f aca="false">Sens!$J$2657</f>
        <v>9.27718179522602</v>
      </c>
      <c r="K2619" s="38" t="n">
        <f aca="false">Sens!$K$2657</f>
        <v>9.27718179522602</v>
      </c>
      <c r="L2619" s="38" t="n">
        <f aca="false">Sens!$L$2657</f>
        <v>9.27718179522602</v>
      </c>
      <c r="M2619" s="38" t="n">
        <f aca="false">Sens!$M$2657</f>
        <v>9.27718179522602</v>
      </c>
      <c r="N2619" s="38" t="n">
        <f aca="false">Q!$N$34</f>
        <v>1.057</v>
      </c>
      <c r="O2619" s="38" t="n">
        <f aca="false">Q!$O$34</f>
        <v>1.217</v>
      </c>
    </row>
    <row r="2620" customFormat="false" ht="15" hidden="false" customHeight="false" outlineLevel="0" collapsed="false">
      <c r="A2620" s="5" t="s">
        <v>746</v>
      </c>
      <c r="B2620" s="0" t="s">
        <v>86</v>
      </c>
      <c r="F2620" s="38" t="n">
        <f aca="false">Sens!$F$2658</f>
        <v>2.59</v>
      </c>
      <c r="H2620" s="38" t="n">
        <f aca="false">Sens!$H$2658</f>
        <v>3.80133635330174</v>
      </c>
      <c r="I2620" s="38" t="n">
        <f aca="false">Sens!$I$2658</f>
        <v>2.10589651022864</v>
      </c>
      <c r="J2620" s="38" t="n">
        <f aca="false">Sens!$J$2658</f>
        <v>2.10589651022864</v>
      </c>
      <c r="K2620" s="38" t="n">
        <f aca="false">Sens!$K$2658</f>
        <v>3.14850442073996</v>
      </c>
      <c r="L2620" s="38" t="n">
        <f aca="false">Sens!$L$2658</f>
        <v>8.25959583122945</v>
      </c>
      <c r="M2620" s="38" t="n">
        <f aca="false">Sens!$M$2658</f>
        <v>15.8335708401143</v>
      </c>
    </row>
    <row r="2621" customFormat="false" ht="17.15" hidden="false" customHeight="false" outlineLevel="0" collapsed="false">
      <c r="A2621" s="5" t="s">
        <v>747</v>
      </c>
      <c r="B2621" s="0" t="s">
        <v>86</v>
      </c>
      <c r="C2621" s="38" t="n">
        <f aca="false">Q!$D$39</f>
        <v>2.427</v>
      </c>
      <c r="D2621" s="38" t="n">
        <f aca="false">Q!$E$39</f>
        <v>19.61</v>
      </c>
      <c r="E2621" s="38" t="n">
        <f aca="false">Q!$P$39</f>
        <v>71.492</v>
      </c>
      <c r="F2621" s="39" t="n">
        <v>0</v>
      </c>
      <c r="G2621" s="38" t="n">
        <f aca="false">Sens!$E$2621+Sens!$F$2621</f>
        <v>71.492</v>
      </c>
      <c r="H2621" s="39" t="n">
        <v>0</v>
      </c>
      <c r="I2621" s="39" t="n">
        <v>0</v>
      </c>
      <c r="J2621" s="39" t="n">
        <v>0</v>
      </c>
      <c r="K2621" s="39" t="n">
        <v>0</v>
      </c>
      <c r="L2621" s="39" t="n">
        <v>0</v>
      </c>
      <c r="M2621" s="39" t="n">
        <v>0</v>
      </c>
      <c r="N2621" s="38" t="n">
        <f aca="false">Q!$N$39</f>
        <v>6.017</v>
      </c>
      <c r="O2621" s="38" t="n">
        <f aca="false">Q!$O$39</f>
        <v>13.593</v>
      </c>
      <c r="P2621" s="5" t="s">
        <v>748</v>
      </c>
    </row>
    <row r="2622" customFormat="false" ht="15" hidden="false" customHeight="false" outlineLevel="0" collapsed="false">
      <c r="A2622" s="5" t="s">
        <v>544</v>
      </c>
      <c r="B2622" s="0" t="s">
        <v>86</v>
      </c>
      <c r="C2622" s="38" t="n">
        <f aca="false">Q!$D$36</f>
        <v>68.614</v>
      </c>
      <c r="D2622" s="38" t="n">
        <f aca="false">Q!$E$36</f>
        <v>97.311</v>
      </c>
      <c r="E2622" s="38" t="n">
        <f aca="false">Q!$P$36</f>
        <v>120.691</v>
      </c>
      <c r="F2622" s="38" t="n">
        <f aca="false">Sens!$F$2598-Sens!$F$2619+Sens!$F$2620+Sens!$F$2621</f>
        <v>55.629999609589</v>
      </c>
      <c r="G2622" s="38" t="n">
        <f aca="false">Sens!$E$2622+Sens!$F$2622</f>
        <v>176.320999609589</v>
      </c>
      <c r="H2622" s="38" t="n">
        <f aca="false">Sens!$H$2598-Sens!$H$2619+Sens!$H$2620+Sens!$H$2621</f>
        <v>123.313761885917</v>
      </c>
      <c r="I2622" s="38" t="n">
        <f aca="false">Sens!$I$2598-Sens!$I$2619+Sens!$I$2620+Sens!$I$2621</f>
        <v>141.060502691455</v>
      </c>
      <c r="J2622" s="38" t="n">
        <f aca="false">Sens!$J$2598-Sens!$J$2619+Sens!$J$2620+Sens!$J$2621</f>
        <v>158.858808130232</v>
      </c>
      <c r="K2622" s="38" t="n">
        <f aca="false">Sens!$K$2598-Sens!$K$2619+Sens!$K$2620+Sens!$K$2621</f>
        <v>171.846913790867</v>
      </c>
      <c r="L2622" s="38" t="n">
        <f aca="false">Sens!$L$2598-Sens!$L$2619+Sens!$L$2620+Sens!$L$2621</f>
        <v>189.850989307375</v>
      </c>
      <c r="M2622" s="38" t="n">
        <f aca="false">Sens!$M$2598-Sens!$M$2619+Sens!$M$2620+Sens!$M$2621</f>
        <v>210.166777355014</v>
      </c>
      <c r="N2622" s="38" t="n">
        <f aca="false">Q!$N$36</f>
        <v>42.536</v>
      </c>
      <c r="O2622" s="38" t="n">
        <f aca="false">Q!$O$36</f>
        <v>54.775</v>
      </c>
    </row>
    <row r="2623" customFormat="false" ht="15" hidden="false" customHeight="false" outlineLevel="0" collapsed="false">
      <c r="A2623" s="5" t="s">
        <v>545</v>
      </c>
      <c r="B2623" s="0" t="s">
        <v>86</v>
      </c>
      <c r="C2623" s="38" t="n">
        <f aca="false">Q!$D$37</f>
        <v>9.265</v>
      </c>
      <c r="D2623" s="38" t="n">
        <f aca="false">Q!$E$37</f>
        <v>19.087</v>
      </c>
      <c r="E2623" s="38" t="n">
        <f aca="false">Q!$P$37</f>
        <v>27.759</v>
      </c>
      <c r="F2623" s="38" t="n">
        <f aca="false">Sens!$F$2622*tax</f>
        <v>9.65650714815835</v>
      </c>
      <c r="G2623" s="38" t="n">
        <f aca="false">Sens!$E$2623+Sens!$F$2623</f>
        <v>37.4155071481584</v>
      </c>
      <c r="H2623" s="38" t="n">
        <f aca="false">Sens!$H$2622*tax</f>
        <v>21.4053609828247</v>
      </c>
      <c r="I2623" s="38" t="n">
        <f aca="false">Sens!$I$2622*tax</f>
        <v>24.4859205846201</v>
      </c>
      <c r="J2623" s="38" t="n">
        <f aca="false">Sens!$J$2622*tax</f>
        <v>27.5754310088666</v>
      </c>
      <c r="K2623" s="38" t="n">
        <f aca="false">Sens!$K$2622*tax</f>
        <v>29.8299651816718</v>
      </c>
      <c r="L2623" s="38" t="n">
        <f aca="false">Sens!$L$2622*tax</f>
        <v>32.9551941074541</v>
      </c>
      <c r="M2623" s="38" t="n">
        <f aca="false">Sens!$M$2622*tax</f>
        <v>36.4817005586366</v>
      </c>
      <c r="N2623" s="38" t="n">
        <f aca="false">Q!$N$37</f>
        <v>7.231</v>
      </c>
      <c r="O2623" s="38" t="n">
        <f aca="false">Q!$O$37</f>
        <v>11.856</v>
      </c>
    </row>
    <row r="2624" customFormat="false" ht="15" hidden="false" customHeight="false" outlineLevel="0" collapsed="false">
      <c r="A2624" s="3" t="s">
        <v>546</v>
      </c>
      <c r="B2624" s="8" t="s">
        <v>86</v>
      </c>
      <c r="C2624" s="38" t="n">
        <f aca="false">Q!$D$38</f>
        <v>59.248</v>
      </c>
      <c r="D2624" s="38" t="n">
        <f aca="false">Q!$E$38</f>
        <v>77.67</v>
      </c>
      <c r="E2624" s="38" t="n">
        <f aca="false">Q!$P$38</f>
        <v>92.902</v>
      </c>
      <c r="F2624" s="38" t="n">
        <f aca="false">Sens!$F$2622-Sens!$F$2623</f>
        <v>45.9734924614306</v>
      </c>
      <c r="G2624" s="38" t="n">
        <f aca="false">Sens!$E$2624+Sens!$F$2624</f>
        <v>138.875492461431</v>
      </c>
      <c r="H2624" s="38" t="n">
        <f aca="false">Sens!$H$2622-Sens!$H$2623</f>
        <v>101.908400903092</v>
      </c>
      <c r="I2624" s="38" t="n">
        <f aca="false">Sens!$I$2622-Sens!$I$2623</f>
        <v>116.574582106835</v>
      </c>
      <c r="J2624" s="38" t="n">
        <f aca="false">Sens!$J$2622-Sens!$J$2623</f>
        <v>131.283377121365</v>
      </c>
      <c r="K2624" s="38" t="n">
        <f aca="false">Sens!$K$2622-Sens!$K$2623</f>
        <v>142.016948609195</v>
      </c>
      <c r="L2624" s="38" t="n">
        <f aca="false">Sens!$L$2622-Sens!$L$2623</f>
        <v>156.895795199921</v>
      </c>
      <c r="M2624" s="38" t="n">
        <f aca="false">Sens!$M$2622-Sens!$M$2623</f>
        <v>173.685076796377</v>
      </c>
      <c r="N2624" s="38" t="n">
        <f aca="false">Q!$N$38</f>
        <v>35.291</v>
      </c>
      <c r="O2624" s="38" t="n">
        <f aca="false">Q!$O$38</f>
        <v>42.379</v>
      </c>
    </row>
    <row r="2625" customFormat="false" ht="17.15" hidden="false" customHeight="false" outlineLevel="0" collapsed="false">
      <c r="A2625" s="5" t="s">
        <v>549</v>
      </c>
      <c r="B2625" s="5" t="s">
        <v>33</v>
      </c>
      <c r="C2625" s="22" t="n">
        <f aca="false">Q!$D$41</f>
        <v>10.721</v>
      </c>
      <c r="D2625" s="22" t="n">
        <f aca="false">Q!$E$41</f>
        <v>10.827</v>
      </c>
      <c r="E2625" s="22" t="n">
        <f aca="false">(Q!$L$41+Q!$M$41)/2</f>
        <v>10.8885</v>
      </c>
      <c r="F2625" s="22" t="n">
        <f aca="false">Sens!$G$2625</f>
        <v>10.924806</v>
      </c>
      <c r="G2625" s="22" t="n">
        <f aca="false">Q!$M$41*(1+sh_g*0.25)</f>
        <v>10.924806</v>
      </c>
      <c r="H2625" s="22" t="n">
        <f aca="false">Sens!$G$2625*(1+sh_g)</f>
        <v>11.012204448</v>
      </c>
      <c r="I2625" s="22" t="n">
        <f aca="false">Sens!$H$2625*(1+sh_g)</f>
        <v>11.100302083584</v>
      </c>
      <c r="J2625" s="22" t="n">
        <f aca="false">Sens!$I$2625*(1+sh_g)</f>
        <v>11.1891045002527</v>
      </c>
      <c r="K2625" s="22" t="n">
        <f aca="false">Sens!$J$2625*(1+sh_g)</f>
        <v>11.2786173362547</v>
      </c>
      <c r="L2625" s="22" t="n">
        <f aca="false">Sens!$K$2625*(1+sh_g)</f>
        <v>11.3688462749447</v>
      </c>
      <c r="M2625" s="22" t="n">
        <f aca="false">Sens!$L$2625*(1+sh_g)</f>
        <v>11.4597970451443</v>
      </c>
      <c r="P2625" s="5" t="s">
        <v>749</v>
      </c>
    </row>
    <row r="2626" customFormat="false" ht="17.15" hidden="false" customHeight="false" outlineLevel="0" collapsed="false">
      <c r="A2626" s="5" t="s">
        <v>750</v>
      </c>
      <c r="B2626" s="0" t="s">
        <v>86</v>
      </c>
      <c r="C2626" s="38" t="n">
        <f aca="false">Sens!$C$2624+Sens!$C$2600*(1-tax)</f>
        <v>59.248</v>
      </c>
      <c r="D2626" s="38" t="n">
        <f aca="false">Sens!$D$2624+Sens!$D$2600*(1-tax)</f>
        <v>77.67</v>
      </c>
      <c r="E2626" s="38" t="n">
        <f aca="false">Sens!$E$2624+Sens!$E$2600*(1-tax)</f>
        <v>92.902</v>
      </c>
      <c r="F2626" s="38" t="n">
        <f aca="false">Sens!$F$2624+Sens!$F$2600*(1-tax)</f>
        <v>45.9734924614306</v>
      </c>
      <c r="G2626" s="38" t="n">
        <f aca="false">Sens!$G$2624+Sens!$G$2600*(1-tax)</f>
        <v>138.875492461431</v>
      </c>
      <c r="H2626" s="38" t="n">
        <f aca="false">Sens!$H$2624+Sens!$H$2600*(1-tax)</f>
        <v>101.908400903092</v>
      </c>
      <c r="I2626" s="38" t="n">
        <f aca="false">Sens!$I$2624+Sens!$I$2600*(1-tax)</f>
        <v>116.574582106835</v>
      </c>
      <c r="J2626" s="38" t="n">
        <f aca="false">Sens!$J$2624+Sens!$J$2600*(1-tax)</f>
        <v>131.283377121365</v>
      </c>
      <c r="K2626" s="38" t="n">
        <f aca="false">Sens!$K$2624+Sens!$K$2600*(1-tax)</f>
        <v>142.016948609195</v>
      </c>
      <c r="L2626" s="38" t="n">
        <f aca="false">Sens!$L$2624+Sens!$L$2600*(1-tax)</f>
        <v>156.895795199921</v>
      </c>
      <c r="M2626" s="38" t="n">
        <f aca="false">Sens!$M$2624+Sens!$M$2600*(1-tax)</f>
        <v>173.685076796377</v>
      </c>
      <c r="N2626" s="38" t="n">
        <f aca="false">Sens!$N$2624+Sens!$N$2600*(1-tax)</f>
        <v>35.291</v>
      </c>
      <c r="O2626" s="38" t="n">
        <f aca="false">Sens!$O$2624+Sens!$O$2600*(1-tax)</f>
        <v>42.379</v>
      </c>
    </row>
    <row r="2627" customFormat="false" ht="17.15" hidden="false" customHeight="false" outlineLevel="0" collapsed="false">
      <c r="A2627" s="43" t="s">
        <v>751</v>
      </c>
      <c r="B2627" s="14" t="s">
        <v>27</v>
      </c>
      <c r="C2627" s="44" t="n">
        <f aca="false">Sens!$C$2626/Sens!$C$2625</f>
        <v>5.52635015390355</v>
      </c>
      <c r="D2627" s="44" t="n">
        <f aca="false">Sens!$D$2626/Sens!$D$2625</f>
        <v>7.1737323358271</v>
      </c>
      <c r="E2627" s="44" t="n">
        <f aca="false">Sens!$E$2626/Sens!$E$2625</f>
        <v>8.53212104513937</v>
      </c>
      <c r="F2627" s="14"/>
      <c r="G2627" s="44" t="n">
        <f aca="false">Sens!$G$2626/Sens!$G$2625</f>
        <v>12.7119412886078</v>
      </c>
      <c r="H2627" s="44" t="n">
        <f aca="false">Sens!$H$2626/Sens!$H$2625</f>
        <v>9.25413266565353</v>
      </c>
      <c r="I2627" s="44" t="n">
        <f aca="false">Sens!$I$2626/Sens!$I$2625</f>
        <v>10.501928796986</v>
      </c>
      <c r="J2627" s="44" t="n">
        <f aca="false">Sens!$J$2626/Sens!$J$2625</f>
        <v>11.7331442492472</v>
      </c>
      <c r="K2627" s="44" t="n">
        <f aca="false">Sens!$K$2626/Sens!$K$2625</f>
        <v>12.5916984657939</v>
      </c>
      <c r="L2627" s="44" t="n">
        <f aca="false">Sens!$L$2626/Sens!$L$2625</f>
        <v>13.8005028307662</v>
      </c>
      <c r="M2627" s="44" t="n">
        <f aca="false">Sens!$M$2626/Sens!$M$2625</f>
        <v>15.1560342746184</v>
      </c>
      <c r="N2627" s="14"/>
      <c r="O2627" s="14"/>
    </row>
    <row r="2628" customFormat="false" ht="17.15" hidden="false" customHeight="false" outlineLevel="0" collapsed="false">
      <c r="A2628" s="0" t="s">
        <v>752</v>
      </c>
      <c r="B2628" s="0" t="s">
        <v>27</v>
      </c>
      <c r="C2628" s="30" t="n">
        <f aca="false">Sens!$C$2624/Sens!$C$2625</f>
        <v>5.52635015390355</v>
      </c>
      <c r="D2628" s="30" t="n">
        <f aca="false">Sens!$D$2624/Sens!$D$2625</f>
        <v>7.1737323358271</v>
      </c>
      <c r="E2628" s="30" t="n">
        <f aca="false">Sens!$E$2624/Sens!$E$2625</f>
        <v>8.53212104513937</v>
      </c>
      <c r="G2628" s="30" t="n">
        <f aca="false">Sens!$G$2624/Sens!$G$2625</f>
        <v>12.7119412886078</v>
      </c>
      <c r="H2628" s="30" t="n">
        <f aca="false">Sens!$H$2624/Sens!$H$2625</f>
        <v>9.25413266565353</v>
      </c>
      <c r="I2628" s="30" t="n">
        <f aca="false">Sens!$I$2624/Sens!$I$2625</f>
        <v>10.501928796986</v>
      </c>
      <c r="J2628" s="30" t="n">
        <f aca="false">Sens!$J$2624/Sens!$J$2625</f>
        <v>11.7331442492472</v>
      </c>
      <c r="K2628" s="30" t="n">
        <f aca="false">Sens!$K$2624/Sens!$K$2625</f>
        <v>12.5916984657939</v>
      </c>
      <c r="L2628" s="30" t="n">
        <f aca="false">Sens!$L$2624/Sens!$L$2625</f>
        <v>13.8005028307662</v>
      </c>
      <c r="M2628" s="30" t="n">
        <f aca="false">Sens!$M$2624/Sens!$M$2625</f>
        <v>15.1560342746184</v>
      </c>
    </row>
    <row r="2629" customFormat="false" ht="17.15" hidden="false" customHeight="false" outlineLevel="0" collapsed="false">
      <c r="A2629" s="0" t="s">
        <v>753</v>
      </c>
      <c r="B2629" s="0" t="s">
        <v>27</v>
      </c>
      <c r="C2629" s="30" t="n">
        <f aca="false">(Sens!$C$2624-Sens!$C$2621*(1-tax))/Sens!$C$2625</f>
        <v>5.33926775917445</v>
      </c>
      <c r="D2629" s="30" t="n">
        <f aca="false">(Sens!$D$2624-Sens!$D$2621*(1-tax))/Sens!$D$2625</f>
        <v>5.67691812755503</v>
      </c>
      <c r="E2629" s="30" t="n">
        <f aca="false">(Sens!$E$2624-Sens!$E$2621*(1-tax))/Sens!$E$2625</f>
        <v>3.10602057006846</v>
      </c>
      <c r="G2629" s="30" t="n">
        <f aca="false">(Sens!$G$2624-Sens!$G$2621*(1-tax))/Sens!$G$2625</f>
        <v>7.30387317071086</v>
      </c>
      <c r="H2629" s="30" t="n">
        <f aca="false">(Sens!$H$2624-Sens!$H$2621*(1-tax))/Sens!$H$2625</f>
        <v>9.25413266565353</v>
      </c>
      <c r="I2629" s="30" t="n">
        <f aca="false">(Sens!$I$2624-Sens!$I$2621*(1-tax))/Sens!$I$2625</f>
        <v>10.501928796986</v>
      </c>
      <c r="J2629" s="30" t="n">
        <f aca="false">(Sens!$J$2624-Sens!$J$2621*(1-tax))/Sens!$J$2625</f>
        <v>11.7331442492472</v>
      </c>
      <c r="K2629" s="30" t="n">
        <f aca="false">(Sens!$K$2624-Sens!$K$2621*(1-tax))/Sens!$K$2625</f>
        <v>12.5916984657939</v>
      </c>
      <c r="L2629" s="30" t="n">
        <f aca="false">(Sens!$L$2624-Sens!$L$2621*(1-tax))/Sens!$L$2625</f>
        <v>13.8005028307662</v>
      </c>
      <c r="M2629" s="30" t="n">
        <f aca="false">(Sens!$M$2624-Sens!$M$2621*(1-tax))/Sens!$M$2625</f>
        <v>15.1560342746184</v>
      </c>
      <c r="P2629" s="5" t="s">
        <v>754</v>
      </c>
    </row>
    <row r="2630" customFormat="false" ht="17.15" hidden="false" customHeight="false" outlineLevel="0" collapsed="false">
      <c r="A2630" s="0" t="s">
        <v>755</v>
      </c>
      <c r="B2630" s="0" t="s">
        <v>52</v>
      </c>
      <c r="H2630" s="13" t="n">
        <f aca="false">Sens!$H$2627/Sens!$G$2627-1</f>
        <v>-0.272012633196562</v>
      </c>
      <c r="I2630" s="13" t="n">
        <f aca="false">Sens!$I$2627/Sens!$H$2627-1</f>
        <v>0.134836637469403</v>
      </c>
      <c r="J2630" s="13" t="n">
        <f aca="false">Sens!$J$2627/Sens!$I$2627-1</f>
        <v>0.117237078641639</v>
      </c>
      <c r="K2630" s="13" t="n">
        <f aca="false">Sens!$K$2627/Sens!$J$2627-1</f>
        <v>0.0731734135631916</v>
      </c>
      <c r="L2630" s="13" t="n">
        <f aca="false">Sens!$L$2627/Sens!$K$2627-1</f>
        <v>0.0960001042159731</v>
      </c>
      <c r="M2630" s="13" t="n">
        <f aca="false">Sens!$M$2627/Sens!$L$2627-1</f>
        <v>0.0982233372562473</v>
      </c>
    </row>
    <row r="2633" customFormat="false" ht="19.4" hidden="false" customHeight="false" outlineLevel="0" collapsed="false">
      <c r="A2633" s="31" t="s">
        <v>1180</v>
      </c>
    </row>
    <row r="2634" customFormat="false" ht="17.15" hidden="false" customHeight="false" outlineLevel="0" collapsed="false">
      <c r="A2634" s="6" t="s">
        <v>16</v>
      </c>
      <c r="B2634" s="6" t="s">
        <v>17</v>
      </c>
      <c r="C2634" s="20" t="s">
        <v>494</v>
      </c>
      <c r="D2634" s="20" t="s">
        <v>495</v>
      </c>
      <c r="E2634" s="20" t="s">
        <v>577</v>
      </c>
      <c r="F2634" s="20" t="s">
        <v>578</v>
      </c>
      <c r="G2634" s="20" t="s">
        <v>579</v>
      </c>
      <c r="H2634" s="20" t="s">
        <v>580</v>
      </c>
      <c r="I2634" s="20" t="s">
        <v>581</v>
      </c>
      <c r="J2634" s="20" t="s">
        <v>582</v>
      </c>
      <c r="K2634" s="20" t="s">
        <v>583</v>
      </c>
      <c r="L2634" s="20" t="s">
        <v>584</v>
      </c>
      <c r="M2634" s="20" t="s">
        <v>585</v>
      </c>
      <c r="N2634" s="20" t="s">
        <v>586</v>
      </c>
      <c r="O2634" s="20" t="s">
        <v>587</v>
      </c>
      <c r="P2634" s="6" t="s">
        <v>23</v>
      </c>
      <c r="R2634" s="20" t="n">
        <v>2023</v>
      </c>
      <c r="S2634" s="20" t="n">
        <v>2024</v>
      </c>
      <c r="T2634" s="20" t="n">
        <v>2025</v>
      </c>
      <c r="U2634" s="20" t="n">
        <v>2026</v>
      </c>
      <c r="V2634" s="20" t="n">
        <v>2027</v>
      </c>
      <c r="W2634" s="20" t="n">
        <v>2028</v>
      </c>
      <c r="X2634" s="20" t="n">
        <v>2029</v>
      </c>
      <c r="Y2634" s="20" t="n">
        <v>2030</v>
      </c>
      <c r="Z2634" s="20" t="n">
        <v>2031</v>
      </c>
      <c r="AA2634" s="20" t="n">
        <v>2032</v>
      </c>
    </row>
    <row r="2635" customFormat="false" ht="15" hidden="false" customHeight="false" outlineLevel="0" collapsed="false">
      <c r="A2635" s="5" t="s">
        <v>546</v>
      </c>
      <c r="B2635" s="0" t="s">
        <v>86</v>
      </c>
      <c r="C2635" s="38" t="n">
        <f aca="false">Sens!$C$2624</f>
        <v>59.248</v>
      </c>
      <c r="D2635" s="38" t="n">
        <f aca="false">Sens!$D$2624</f>
        <v>77.67</v>
      </c>
      <c r="E2635" s="38" t="n">
        <f aca="false">Sens!$E$2624</f>
        <v>92.902</v>
      </c>
      <c r="F2635" s="38" t="n">
        <f aca="false">Sens!$F$2624</f>
        <v>45.9734924614306</v>
      </c>
      <c r="G2635" s="38" t="n">
        <f aca="false">Sens!$G$2624</f>
        <v>138.875492461431</v>
      </c>
      <c r="H2635" s="38" t="n">
        <f aca="false">Sens!$H$2624</f>
        <v>101.908400903092</v>
      </c>
      <c r="I2635" s="38" t="n">
        <f aca="false">Sens!$I$2624</f>
        <v>116.574582106835</v>
      </c>
      <c r="J2635" s="38" t="n">
        <f aca="false">Sens!$J$2624</f>
        <v>131.283377121365</v>
      </c>
      <c r="K2635" s="38" t="n">
        <f aca="false">Sens!$K$2624</f>
        <v>142.016948609195</v>
      </c>
      <c r="L2635" s="38" t="n">
        <f aca="false">Sens!$L$2624</f>
        <v>156.895795199921</v>
      </c>
      <c r="M2635" s="38" t="n">
        <f aca="false">Sens!$M$2624</f>
        <v>173.685076796377</v>
      </c>
    </row>
    <row r="2636" customFormat="false" ht="17.15" hidden="false" customHeight="false" outlineLevel="0" collapsed="false">
      <c r="A2636" s="5" t="s">
        <v>778</v>
      </c>
      <c r="B2636" s="0" t="s">
        <v>86</v>
      </c>
      <c r="C2636" s="38" t="n">
        <f aca="false">Sens!$C$2612</f>
        <v>32.067</v>
      </c>
      <c r="D2636" s="38" t="n">
        <f aca="false">Sens!$D$2612</f>
        <v>41.86</v>
      </c>
      <c r="E2636" s="38" t="n">
        <f aca="false">Sens!$E$2612</f>
        <v>26.703</v>
      </c>
      <c r="F2636" s="38" t="n">
        <f aca="false">Sens!$F$2612</f>
        <v>29.2913179650864</v>
      </c>
      <c r="G2636" s="38" t="n">
        <f aca="false">Sens!$G$2612</f>
        <v>55.9943179650864</v>
      </c>
      <c r="H2636" s="38" t="n">
        <f aca="false">Sens!$H$2612</f>
        <v>84.3163410985152</v>
      </c>
      <c r="I2636" s="38" t="n">
        <f aca="false">Sens!$I$2612</f>
        <v>117.040344991004</v>
      </c>
      <c r="J2636" s="38" t="n">
        <f aca="false">Sens!$J$2612</f>
        <v>150.498981474685</v>
      </c>
      <c r="K2636" s="38" t="n">
        <f aca="false">Sens!$K$2612</f>
        <v>184.188121970284</v>
      </c>
      <c r="L2636" s="38" t="n">
        <f aca="false">Sens!$L$2612</f>
        <v>207.768718060808</v>
      </c>
      <c r="M2636" s="38" t="n">
        <f aca="false">Sens!$M$2612</f>
        <v>224.003934647752</v>
      </c>
    </row>
    <row r="2637" customFormat="false" ht="15" hidden="false" customHeight="false" outlineLevel="0" collapsed="false">
      <c r="A2637" s="5" t="s">
        <v>779</v>
      </c>
      <c r="B2637" s="0" t="s">
        <v>86</v>
      </c>
      <c r="C2637" s="38" t="n">
        <f aca="false">Q!$D$48</f>
        <v>22.011</v>
      </c>
      <c r="D2637" s="38" t="n">
        <f aca="false">Q!$E$48</f>
        <v>19.467</v>
      </c>
      <c r="E2637" s="38" t="n">
        <f aca="false">Q!$P$48</f>
        <v>10.07</v>
      </c>
      <c r="F2637" s="38" t="n">
        <f aca="false">sbc_r*Sens!$F$2554</f>
        <v>10.8507035798037</v>
      </c>
      <c r="G2637" s="38" t="n">
        <f aca="false">Sens!$E$2637+Sens!$F$2637</f>
        <v>20.9207035798037</v>
      </c>
      <c r="H2637" s="38" t="n">
        <f aca="false">sbc_r*Sens!$H$2554</f>
        <v>23.46224366345</v>
      </c>
      <c r="I2637" s="38" t="n">
        <f aca="false">sbc_r*Sens!$I$2554</f>
        <v>26.6125957111676</v>
      </c>
      <c r="J2637" s="38" t="n">
        <f aca="false">sbc_r*Sens!$J$2554</f>
        <v>29.6280801413323</v>
      </c>
      <c r="K2637" s="38" t="n">
        <f aca="false">sbc_r*Sens!$K$2554</f>
        <v>32.2712258901105</v>
      </c>
      <c r="L2637" s="38" t="n">
        <f aca="false">sbc_r*Sens!$L$2554</f>
        <v>34.7390505016737</v>
      </c>
      <c r="M2637" s="38" t="n">
        <f aca="false">sbc_r*Sens!$M$2554</f>
        <v>37.0405146906692</v>
      </c>
    </row>
    <row r="2638" customFormat="false" ht="17.15" hidden="false" customHeight="false" outlineLevel="0" collapsed="false">
      <c r="A2638" s="5" t="s">
        <v>780</v>
      </c>
      <c r="B2638" s="0" t="s">
        <v>86</v>
      </c>
      <c r="C2638" s="38" t="n">
        <f aca="false">Q!$D$44-Sens!$C$2635-Sens!$C$2636-Sens!$C$2637</f>
        <v>2.551</v>
      </c>
      <c r="D2638" s="38" t="n">
        <f aca="false">Q!$E$44-Sens!$D$2635-Sens!$D$2636-Sens!$D$2637</f>
        <v>0.51700000000001</v>
      </c>
      <c r="E2638" s="38" t="n">
        <f aca="false">Q!$P$44-Sens!$E$2635-Sens!$E$2636-Sens!$E$2637</f>
        <v>-58.256</v>
      </c>
      <c r="F2638" s="38" t="n">
        <f aca="false">oth_r*Sens!$F$2554</f>
        <v>5.22265251035878</v>
      </c>
      <c r="G2638" s="38" t="n">
        <f aca="false">Sens!$E$2638+Sens!$F$2638</f>
        <v>-53.0333474896412</v>
      </c>
      <c r="H2638" s="38" t="n">
        <f aca="false">oth_r*Sens!$H$2554</f>
        <v>11.2928295263397</v>
      </c>
      <c r="I2638" s="38" t="n">
        <f aca="false">oth_r*Sens!$I$2554</f>
        <v>12.8091546115766</v>
      </c>
      <c r="J2638" s="38" t="n">
        <f aca="false">oth_r*Sens!$J$2554</f>
        <v>14.2605653162668</v>
      </c>
      <c r="K2638" s="38" t="n">
        <f aca="false">oth_r*Sens!$K$2554</f>
        <v>15.5327622460396</v>
      </c>
      <c r="L2638" s="38" t="n">
        <f aca="false">oth_r*Sens!$L$2554</f>
        <v>16.720573737517</v>
      </c>
      <c r="M2638" s="38" t="n">
        <f aca="false">oth_r*Sens!$M$2554</f>
        <v>17.8283127551536</v>
      </c>
      <c r="P2638" s="8" t="s">
        <v>781</v>
      </c>
    </row>
    <row r="2639" customFormat="false" ht="15" hidden="false" customHeight="false" outlineLevel="0" collapsed="false">
      <c r="A2639" s="3" t="s">
        <v>552</v>
      </c>
      <c r="B2639" s="8" t="s">
        <v>86</v>
      </c>
      <c r="C2639" s="38" t="n">
        <f aca="false">Q!$D$44</f>
        <v>115.877</v>
      </c>
      <c r="D2639" s="38" t="n">
        <f aca="false">Q!$E$44</f>
        <v>139.514</v>
      </c>
      <c r="E2639" s="38" t="n">
        <f aca="false">Q!$P$44</f>
        <v>71.419</v>
      </c>
      <c r="F2639" s="38" t="n">
        <f aca="false">Sens!$F$2635+Sens!$F$2636+Sens!$F$2637+Sens!$F$2638</f>
        <v>91.3381665166794</v>
      </c>
      <c r="G2639" s="38" t="n">
        <f aca="false">Sens!$E$2639+Sens!$F$2639</f>
        <v>162.757166516679</v>
      </c>
      <c r="H2639" s="38" t="n">
        <f aca="false">Sens!$H$2635+Sens!$H$2636+Sens!$H$2637+Sens!$H$2638</f>
        <v>220.979815191397</v>
      </c>
      <c r="I2639" s="38" t="n">
        <f aca="false">Sens!$I$2635+Sens!$I$2636+Sens!$I$2637+Sens!$I$2638</f>
        <v>273.036677420583</v>
      </c>
      <c r="J2639" s="38" t="n">
        <f aca="false">Sens!$J$2635+Sens!$J$2636+Sens!$J$2637+Sens!$J$2638</f>
        <v>325.671004053649</v>
      </c>
      <c r="K2639" s="38" t="n">
        <f aca="false">Sens!$K$2635+Sens!$K$2636+Sens!$K$2637+Sens!$K$2638</f>
        <v>374.009058715629</v>
      </c>
      <c r="L2639" s="38" t="n">
        <f aca="false">Sens!$L$2635+Sens!$L$2636+Sens!$L$2637+Sens!$L$2638</f>
        <v>416.124137499919</v>
      </c>
      <c r="M2639" s="38" t="n">
        <f aca="false">Sens!$M$2635+Sens!$M$2636+Sens!$M$2637+Sens!$M$2638</f>
        <v>452.557838889952</v>
      </c>
    </row>
    <row r="2640" customFormat="false" ht="17.15" hidden="false" customHeight="false" outlineLevel="0" collapsed="false">
      <c r="A2640" s="5" t="s">
        <v>782</v>
      </c>
      <c r="B2640" s="0" t="s">
        <v>86</v>
      </c>
      <c r="C2640" s="38" t="n">
        <f aca="false">Sens!$C$2523</f>
        <v>25.2781053077374</v>
      </c>
      <c r="D2640" s="38" t="n">
        <f aca="false">Sens!$D$2523</f>
        <v>69.5686316310026</v>
      </c>
      <c r="E2640" s="38" t="n">
        <f aca="false">Sens!$E$2523</f>
        <v>64.1899206485108</v>
      </c>
      <c r="F2640" s="38" t="n">
        <f aca="false">Sens!$F$2523</f>
        <v>96.2481299895</v>
      </c>
      <c r="G2640" s="38" t="n">
        <f aca="false">Sens!$G$2523</f>
        <v>160.438050638011</v>
      </c>
      <c r="H2640" s="38" t="n">
        <f aca="false">Sens!$H$2523</f>
        <v>198.57136494475</v>
      </c>
      <c r="I2640" s="38" t="n">
        <f aca="false">Sens!$I$2523</f>
        <v>204.6464699105</v>
      </c>
      <c r="J2640" s="38" t="n">
        <f aca="false">Sens!$J$2523</f>
        <v>209.8832381105</v>
      </c>
      <c r="K2640" s="38" t="n">
        <f aca="false">Sens!$K$2523</f>
        <v>155.238385275201</v>
      </c>
      <c r="L2640" s="38" t="n">
        <f aca="false">Sens!$L$2523</f>
        <v>132.014141639902</v>
      </c>
      <c r="M2640" s="38" t="n">
        <f aca="false">Sens!$M$2523</f>
        <v>132.230981659852</v>
      </c>
    </row>
    <row r="2641" customFormat="false" ht="17.15" hidden="false" customHeight="false" outlineLevel="0" collapsed="false">
      <c r="A2641" s="5" t="s">
        <v>783</v>
      </c>
      <c r="B2641" s="0" t="s">
        <v>86</v>
      </c>
      <c r="C2641" s="38" t="n">
        <f aca="false">cx_awso*Sens!$C$2552</f>
        <v>21.0469989286053</v>
      </c>
      <c r="D2641" s="38" t="n">
        <f aca="false">cx_awso*Sens!$D$2552</f>
        <v>24.0042459822698</v>
      </c>
      <c r="E2641" s="38" t="n">
        <f aca="false">cx_awso*Sens!$E$2552</f>
        <v>14.261729404886</v>
      </c>
      <c r="F2641" s="38" t="n">
        <f aca="false">cx_awso*Sens!$F$2552</f>
        <v>14.3538599588493</v>
      </c>
      <c r="G2641" s="38" t="n">
        <f aca="false">Sens!$E$2641+Sens!$F$2641</f>
        <v>28.6155893637353</v>
      </c>
      <c r="H2641" s="38" t="n">
        <f aca="false">cx_awso*Sens!$H$2552</f>
        <v>32.2034154158406</v>
      </c>
      <c r="I2641" s="38" t="n">
        <f aca="false">cx_awso*Sens!$I$2552</f>
        <v>35.7539519042915</v>
      </c>
      <c r="J2641" s="38" t="n">
        <f aca="false">cx_awso*Sens!$J$2552</f>
        <v>39.1551076091815</v>
      </c>
      <c r="K2641" s="38" t="n">
        <f aca="false">cx_awso*Sens!$K$2552</f>
        <v>42.287516217916</v>
      </c>
      <c r="L2641" s="38" t="n">
        <f aca="false">cx_awso*Sens!$L$2552</f>
        <v>45.6705175153492</v>
      </c>
      <c r="M2641" s="38" t="n">
        <f aca="false">cx_awso*Sens!$M$2552</f>
        <v>49.3241589165772</v>
      </c>
    </row>
    <row r="2642" customFormat="false" ht="17.15" hidden="false" customHeight="false" outlineLevel="0" collapsed="false">
      <c r="A2642" s="5" t="s">
        <v>784</v>
      </c>
      <c r="B2642" s="0" t="s">
        <v>86</v>
      </c>
      <c r="C2642" s="38" t="n">
        <f aca="false">Q!$D$46-Sens!$C$2640-Sens!$C$2641</f>
        <v>31.3328957636573</v>
      </c>
      <c r="D2642" s="38" t="n">
        <f aca="false">Q!$E$46-Sens!$D$2640-Sens!$D$2641</f>
        <v>34.7471223867276</v>
      </c>
      <c r="E2642" s="38" t="n">
        <f aca="false">Q!$P$46-Sens!$E$2640-Sens!$E$2641</f>
        <v>17.8583499466032</v>
      </c>
      <c r="F2642" s="38" t="n">
        <f aca="false">cx_rt*Sens!$F$2486</f>
        <v>20.6195895799373</v>
      </c>
      <c r="G2642" s="38" t="n">
        <f aca="false">Sens!$E$2642+Sens!$F$2642</f>
        <v>38.4779395265405</v>
      </c>
      <c r="H2642" s="38" t="n">
        <f aca="false">cx_rt*Sens!$H$2486</f>
        <v>42.5978994743075</v>
      </c>
      <c r="I2642" s="38" t="n">
        <f aca="false">cx_rt*Sens!$I$2486</f>
        <v>46.5813904136335</v>
      </c>
      <c r="J2642" s="38" t="n">
        <f aca="false">cx_rt*Sens!$J$2486</f>
        <v>50.2781676586844</v>
      </c>
      <c r="K2642" s="38" t="n">
        <f aca="false">cx_rt*Sens!$K$2486</f>
        <v>53.5312440191755</v>
      </c>
      <c r="L2642" s="38" t="n">
        <f aca="false">cx_rt*Sens!$L$2486</f>
        <v>57.0116717051447</v>
      </c>
      <c r="M2642" s="38" t="n">
        <f aca="false">cx_rt*Sens!$M$2486</f>
        <v>60.7365554669226</v>
      </c>
    </row>
    <row r="2643" customFormat="false" ht="15" hidden="false" customHeight="false" outlineLevel="0" collapsed="false">
      <c r="A2643" s="3" t="s">
        <v>785</v>
      </c>
      <c r="B2643" s="8" t="s">
        <v>86</v>
      </c>
      <c r="C2643" s="38" t="n">
        <f aca="false">Q!$D$46</f>
        <v>77.658</v>
      </c>
      <c r="D2643" s="38" t="n">
        <f aca="false">Q!$E$46</f>
        <v>128.32</v>
      </c>
      <c r="E2643" s="38" t="n">
        <f aca="false">Q!$P$46</f>
        <v>96.31</v>
      </c>
      <c r="F2643" s="38" t="n">
        <f aca="false">Sens!$F$2640+Sens!$F$2641+Sens!$F$2642</f>
        <v>131.221579528287</v>
      </c>
      <c r="G2643" s="38" t="n">
        <f aca="false">Sens!$E$2643+Sens!$F$2643</f>
        <v>227.531579528287</v>
      </c>
      <c r="H2643" s="38" t="n">
        <f aca="false">Sens!$H$2640+Sens!$H$2641+Sens!$H$2642</f>
        <v>273.372679834898</v>
      </c>
      <c r="I2643" s="38" t="n">
        <f aca="false">Sens!$I$2640+Sens!$I$2641+Sens!$I$2642</f>
        <v>286.981812228425</v>
      </c>
      <c r="J2643" s="38" t="n">
        <f aca="false">Sens!$J$2640+Sens!$J$2641+Sens!$J$2642</f>
        <v>299.316513378366</v>
      </c>
      <c r="K2643" s="38" t="n">
        <f aca="false">Sens!$K$2640+Sens!$K$2641+Sens!$K$2642</f>
        <v>251.057145512292</v>
      </c>
      <c r="L2643" s="38" t="n">
        <f aca="false">Sens!$L$2640+Sens!$L$2641+Sens!$L$2642</f>
        <v>234.696330860396</v>
      </c>
      <c r="M2643" s="38" t="n">
        <f aca="false">Sens!$M$2640+Sens!$M$2641+Sens!$M$2642</f>
        <v>242.291696043352</v>
      </c>
    </row>
    <row r="2644" customFormat="false" ht="17.15" hidden="false" customHeight="false" outlineLevel="0" collapsed="false">
      <c r="A2644" s="5" t="s">
        <v>560</v>
      </c>
      <c r="B2644" s="0" t="s">
        <v>86</v>
      </c>
      <c r="C2644" s="38" t="n">
        <f aca="false">Q!$D$50</f>
        <v>2.043</v>
      </c>
      <c r="D2644" s="38" t="n">
        <f aca="false">Q!$E$50</f>
        <v>1.557</v>
      </c>
      <c r="E2644" s="38" t="n">
        <f aca="false">lease_pr/2</f>
        <v>0.8</v>
      </c>
      <c r="F2644" s="38" t="n">
        <f aca="false">lease_pr/2</f>
        <v>0.8</v>
      </c>
      <c r="G2644" s="38" t="n">
        <f aca="false">Sens!$E$2644+Sens!$F$2644</f>
        <v>1.6</v>
      </c>
      <c r="H2644" s="38" t="n">
        <f aca="false">lease_pr</f>
        <v>1.6</v>
      </c>
      <c r="I2644" s="38" t="n">
        <f aca="false">lease_pr</f>
        <v>1.6</v>
      </c>
      <c r="J2644" s="38" t="n">
        <f aca="false">lease_pr</f>
        <v>1.6</v>
      </c>
      <c r="K2644" s="38" t="n">
        <f aca="false">lease_pr</f>
        <v>1.6</v>
      </c>
      <c r="L2644" s="38" t="n">
        <f aca="false">lease_pr</f>
        <v>1.6</v>
      </c>
      <c r="M2644" s="38" t="n">
        <f aca="false">lease_pr</f>
        <v>1.6</v>
      </c>
      <c r="P2644" s="8" t="s">
        <v>786</v>
      </c>
    </row>
    <row r="2645" customFormat="false" ht="15" hidden="false" customHeight="false" outlineLevel="0" collapsed="false">
      <c r="A2645" s="47" t="s">
        <v>787</v>
      </c>
      <c r="B2645" s="14" t="s">
        <v>86</v>
      </c>
      <c r="C2645" s="48" t="n">
        <f aca="false">Sens!$C$2639-Sens!$C$2643-Sens!$C$2644</f>
        <v>36.176</v>
      </c>
      <c r="D2645" s="48" t="n">
        <f aca="false">Sens!$D$2639-Sens!$D$2643-Sens!$D$2644</f>
        <v>9.63700000000002</v>
      </c>
      <c r="E2645" s="48" t="n">
        <f aca="false">Sens!$E$2639-Sens!$E$2643-Sens!$E$2644</f>
        <v>-25.691</v>
      </c>
      <c r="F2645" s="48" t="n">
        <f aca="false">Sens!$F$2639-Sens!$F$2643-Sens!$F$2644</f>
        <v>-40.6834130116072</v>
      </c>
      <c r="G2645" s="48" t="n">
        <f aca="false">Sens!$G$2639-Sens!$G$2643-Sens!$G$2644</f>
        <v>-66.3744130116072</v>
      </c>
      <c r="H2645" s="48" t="n">
        <f aca="false">Sens!$H$2639-Sens!$H$2643-Sens!$H$2644</f>
        <v>-53.9928646435014</v>
      </c>
      <c r="I2645" s="48" t="n">
        <f aca="false">Sens!$I$2639-Sens!$I$2643-Sens!$I$2644</f>
        <v>-15.5451348078424</v>
      </c>
      <c r="J2645" s="48" t="n">
        <f aca="false">Sens!$J$2639-Sens!$J$2643-Sens!$J$2644</f>
        <v>24.754490675283</v>
      </c>
      <c r="K2645" s="48" t="n">
        <f aca="false">Sens!$K$2639-Sens!$K$2643-Sens!$K$2644</f>
        <v>121.351913203336</v>
      </c>
      <c r="L2645" s="48" t="n">
        <f aca="false">Sens!$L$2639-Sens!$L$2643-Sens!$L$2644</f>
        <v>179.827806639524</v>
      </c>
      <c r="M2645" s="48" t="n">
        <f aca="false">Sens!$M$2639-Sens!$M$2643-Sens!$M$2644</f>
        <v>208.6661428466</v>
      </c>
      <c r="N2645" s="14"/>
      <c r="O2645" s="14"/>
    </row>
    <row r="2646" customFormat="false" ht="17.15" hidden="false" customHeight="false" outlineLevel="0" collapsed="false">
      <c r="A2646" s="5" t="s">
        <v>788</v>
      </c>
      <c r="B2646" s="0" t="s">
        <v>86</v>
      </c>
      <c r="C2646" s="38" t="n">
        <f aca="false">dps*Sens!$C$2625</f>
        <v>0</v>
      </c>
      <c r="D2646" s="38" t="n">
        <f aca="false">dps*Sens!$D$2625</f>
        <v>0</v>
      </c>
      <c r="E2646" s="38" t="n">
        <f aca="false">dps*Sens!$E$2625</f>
        <v>0</v>
      </c>
      <c r="F2646" s="38" t="n">
        <f aca="false">0</f>
        <v>0</v>
      </c>
      <c r="G2646" s="38" t="n">
        <f aca="false">dps*Sens!$G$2625</f>
        <v>0</v>
      </c>
      <c r="H2646" s="38" t="n">
        <f aca="false">dps*Sens!$H$2625</f>
        <v>0</v>
      </c>
      <c r="I2646" s="38" t="n">
        <f aca="false">dps*Sens!$I$2625</f>
        <v>0</v>
      </c>
      <c r="J2646" s="38" t="n">
        <f aca="false">dps*Sens!$J$2625</f>
        <v>0</v>
      </c>
      <c r="K2646" s="38" t="n">
        <f aca="false">dps*Sens!$K$2625</f>
        <v>0</v>
      </c>
      <c r="L2646" s="38" t="n">
        <f aca="false">dps*Sens!$L$2625</f>
        <v>0</v>
      </c>
      <c r="M2646" s="38" t="n">
        <f aca="false">dps*Sens!$M$2625</f>
        <v>0</v>
      </c>
      <c r="P2646" s="8" t="s">
        <v>789</v>
      </c>
    </row>
    <row r="2647" customFormat="false" ht="17.15" hidden="false" customHeight="false" outlineLevel="0" collapsed="false">
      <c r="A2647" s="5" t="s">
        <v>790</v>
      </c>
      <c r="B2647" s="0" t="s">
        <v>86</v>
      </c>
      <c r="C2647" s="38" t="n">
        <f aca="false">0</f>
        <v>0</v>
      </c>
      <c r="D2647" s="38" t="n">
        <f aca="false">0</f>
        <v>0</v>
      </c>
      <c r="E2647" s="38" t="n">
        <f aca="false">0</f>
        <v>0</v>
      </c>
      <c r="F2647" s="38" t="n">
        <f aca="false">0</f>
        <v>0</v>
      </c>
      <c r="G2647" s="38" t="n">
        <f aca="false">0</f>
        <v>0</v>
      </c>
      <c r="H2647" s="38" t="n">
        <f aca="false">0</f>
        <v>0</v>
      </c>
      <c r="I2647" s="38" t="n">
        <f aca="false">0</f>
        <v>0</v>
      </c>
      <c r="J2647" s="38" t="n">
        <f aca="false">0</f>
        <v>0</v>
      </c>
      <c r="K2647" s="38" t="n">
        <f aca="false">0</f>
        <v>0</v>
      </c>
      <c r="L2647" s="38" t="n">
        <f aca="false">0</f>
        <v>0</v>
      </c>
      <c r="M2647" s="38" t="n">
        <f aca="false">0</f>
        <v>0</v>
      </c>
      <c r="P2647" s="8" t="s">
        <v>791</v>
      </c>
    </row>
    <row r="2648" customFormat="false" ht="15" hidden="false" customHeight="false" outlineLevel="0" collapsed="false">
      <c r="A2648" s="3" t="s">
        <v>792</v>
      </c>
      <c r="B2648" s="8" t="s">
        <v>86</v>
      </c>
      <c r="C2648" s="38" t="n">
        <f aca="false">Sens!$C$2645-Sens!$C$2646</f>
        <v>36.176</v>
      </c>
      <c r="D2648" s="38" t="n">
        <f aca="false">Sens!$D$2645-Sens!$D$2646</f>
        <v>9.63700000000002</v>
      </c>
      <c r="E2648" s="38" t="n">
        <f aca="false">Sens!$E$2645-Sens!$E$2646</f>
        <v>-25.691</v>
      </c>
      <c r="F2648" s="38" t="n">
        <f aca="false">Sens!$F$2645-Sens!$F$2646</f>
        <v>-40.6834130116072</v>
      </c>
      <c r="G2648" s="38" t="n">
        <f aca="false">Sens!$G$2645-Sens!$G$2646</f>
        <v>-66.3744130116072</v>
      </c>
      <c r="H2648" s="38" t="n">
        <f aca="false">Sens!$H$2645-Sens!$H$2646</f>
        <v>-53.9928646435014</v>
      </c>
      <c r="I2648" s="38" t="n">
        <f aca="false">Sens!$I$2645-Sens!$I$2646</f>
        <v>-15.5451348078424</v>
      </c>
      <c r="J2648" s="38" t="n">
        <f aca="false">Sens!$J$2645-Sens!$J$2646</f>
        <v>24.754490675283</v>
      </c>
      <c r="K2648" s="38" t="n">
        <f aca="false">Sens!$K$2645-Sens!$K$2646</f>
        <v>121.351913203336</v>
      </c>
      <c r="L2648" s="38" t="n">
        <f aca="false">Sens!$L$2645-Sens!$L$2646</f>
        <v>179.827806639524</v>
      </c>
      <c r="M2648" s="38" t="n">
        <f aca="false">Sens!$M$2645-Sens!$M$2646</f>
        <v>208.6661428466</v>
      </c>
    </row>
    <row r="2649" customFormat="false" ht="17.15" hidden="false" customHeight="false" outlineLevel="0" collapsed="false">
      <c r="A2649" s="5" t="s">
        <v>793</v>
      </c>
      <c r="B2649" s="0" t="s">
        <v>86</v>
      </c>
      <c r="E2649" s="38" t="n">
        <f aca="false">Q!$P$53</f>
        <v>39.767</v>
      </c>
      <c r="F2649" s="38" t="n">
        <f aca="false">inv_2h26</f>
        <v>21.3</v>
      </c>
      <c r="G2649" s="38" t="n">
        <f aca="false">Sens!$E$2649+Sens!$F$2649</f>
        <v>61.067</v>
      </c>
      <c r="H2649" s="39" t="n">
        <v>0</v>
      </c>
      <c r="I2649" s="39" t="n">
        <v>0</v>
      </c>
      <c r="J2649" s="39" t="n">
        <v>0</v>
      </c>
      <c r="K2649" s="39" t="n">
        <v>0</v>
      </c>
      <c r="L2649" s="39" t="n">
        <v>0</v>
      </c>
      <c r="M2649" s="39" t="n">
        <v>0</v>
      </c>
    </row>
    <row r="2650" customFormat="false" ht="17.15" hidden="false" customHeight="false" outlineLevel="0" collapsed="false">
      <c r="A2650" s="5" t="s">
        <v>794</v>
      </c>
      <c r="B2650" s="0" t="s">
        <v>86</v>
      </c>
      <c r="F2650" s="38" t="n">
        <f aca="false">iss_2h26</f>
        <v>29.249999</v>
      </c>
      <c r="G2650" s="38" t="n">
        <f aca="false">Sens!$F$2650</f>
        <v>29.249999</v>
      </c>
      <c r="H2650" s="39" t="n">
        <v>0</v>
      </c>
      <c r="I2650" s="39" t="n">
        <v>0</v>
      </c>
      <c r="J2650" s="39" t="n">
        <v>0</v>
      </c>
      <c r="K2650" s="39" t="n">
        <v>0</v>
      </c>
      <c r="L2650" s="39" t="n">
        <v>0</v>
      </c>
      <c r="M2650" s="39" t="n">
        <v>0</v>
      </c>
    </row>
    <row r="2651" customFormat="false" ht="17.15" hidden="false" customHeight="false" outlineLevel="0" collapsed="false">
      <c r="A2651" s="5" t="s">
        <v>795</v>
      </c>
      <c r="B2651" s="0" t="s">
        <v>86</v>
      </c>
      <c r="F2651" s="38" t="n">
        <f aca="false">cash_q2</f>
        <v>122.988</v>
      </c>
      <c r="G2651" s="38" t="n">
        <f aca="false">cash_q2</f>
        <v>122.988</v>
      </c>
      <c r="H2651" s="38" t="n">
        <f aca="false">Sens!$G$2654</f>
        <v>90.2545859883928</v>
      </c>
      <c r="I2651" s="38" t="n">
        <f aca="false">Sens!$H$2654</f>
        <v>50</v>
      </c>
      <c r="J2651" s="38" t="n">
        <f aca="false">Sens!$I$2654</f>
        <v>50</v>
      </c>
      <c r="K2651" s="38" t="n">
        <f aca="false">Sens!$J$2654</f>
        <v>74.7544906752831</v>
      </c>
      <c r="L2651" s="38" t="n">
        <f aca="false">Sens!$K$2654</f>
        <v>196.106403878619</v>
      </c>
      <c r="M2651" s="38" t="n">
        <f aca="false">Sens!$L$2654</f>
        <v>375.934210518143</v>
      </c>
    </row>
    <row r="2652" customFormat="false" ht="15" hidden="false" customHeight="false" outlineLevel="0" collapsed="false">
      <c r="A2652" s="5" t="s">
        <v>796</v>
      </c>
      <c r="B2652" s="0" t="s">
        <v>86</v>
      </c>
      <c r="F2652" s="38" t="n">
        <f aca="false">Sens!$F$2651+Sens!$F$2648-Sens!$F$2647-Sens!$F$2649+Sens!$F$2650</f>
        <v>90.2545859883928</v>
      </c>
      <c r="H2652" s="38" t="n">
        <f aca="false">Sens!$H$2651+Sens!$H$2648-Sens!$H$2647-Sens!$H$2649+Sens!$H$2650</f>
        <v>36.2617213448915</v>
      </c>
      <c r="I2652" s="38" t="n">
        <f aca="false">Sens!$I$2651+Sens!$I$2648-Sens!$I$2647-Sens!$I$2649+Sens!$I$2650</f>
        <v>34.4548651921577</v>
      </c>
      <c r="J2652" s="38" t="n">
        <f aca="false">Sens!$J$2651+Sens!$J$2648-Sens!$J$2647-Sens!$J$2649+Sens!$J$2650</f>
        <v>74.7544906752831</v>
      </c>
      <c r="K2652" s="38" t="n">
        <f aca="false">Sens!$K$2651+Sens!$K$2648-Sens!$K$2647-Sens!$K$2649+Sens!$K$2650</f>
        <v>196.106403878619</v>
      </c>
      <c r="L2652" s="38" t="n">
        <f aca="false">Sens!$L$2651+Sens!$L$2648-Sens!$L$2647-Sens!$L$2649+Sens!$L$2650</f>
        <v>375.934210518143</v>
      </c>
      <c r="M2652" s="38" t="n">
        <f aca="false">Sens!$M$2651+Sens!$M$2648-Sens!$M$2647-Sens!$M$2649+Sens!$M$2650</f>
        <v>584.600353364743</v>
      </c>
    </row>
    <row r="2653" customFormat="false" ht="17.15" hidden="false" customHeight="false" outlineLevel="0" collapsed="false">
      <c r="A2653" s="5" t="s">
        <v>797</v>
      </c>
      <c r="B2653" s="0" t="s">
        <v>86</v>
      </c>
      <c r="F2653" s="38" t="n">
        <f aca="false">MAX(0,min_cash-Sens!$F$2652)</f>
        <v>0</v>
      </c>
      <c r="G2653" s="38" t="n">
        <f aca="false">Sens!$F$2653</f>
        <v>0</v>
      </c>
      <c r="H2653" s="38" t="n">
        <f aca="false">MAX(0,min_cash-Sens!$H$2652)</f>
        <v>13.7382786551085</v>
      </c>
      <c r="I2653" s="38" t="n">
        <f aca="false">MAX(0,min_cash-Sens!$I$2652)</f>
        <v>15.5451348078424</v>
      </c>
      <c r="J2653" s="38" t="n">
        <f aca="false">MAX(0,min_cash-Sens!$J$2652)</f>
        <v>0</v>
      </c>
      <c r="K2653" s="38" t="n">
        <f aca="false">MAX(0,min_cash-Sens!$K$2652)</f>
        <v>0</v>
      </c>
      <c r="L2653" s="38" t="n">
        <f aca="false">MAX(0,min_cash-Sens!$L$2652)</f>
        <v>0</v>
      </c>
      <c r="M2653" s="38" t="n">
        <f aca="false">MAX(0,min_cash-Sens!$M$2652)</f>
        <v>0</v>
      </c>
      <c r="P2653" s="5" t="s">
        <v>798</v>
      </c>
    </row>
    <row r="2654" customFormat="false" ht="15" hidden="false" customHeight="false" outlineLevel="0" collapsed="false">
      <c r="A2654" s="5" t="s">
        <v>799</v>
      </c>
      <c r="B2654" s="0" t="s">
        <v>86</v>
      </c>
      <c r="D2654" s="38" t="n">
        <f aca="false">Q!$E$61</f>
        <v>123.029</v>
      </c>
      <c r="E2654" s="38" t="n">
        <f aca="false">Q!$M$61</f>
        <v>122.988</v>
      </c>
      <c r="F2654" s="38" t="n">
        <f aca="false">Sens!$F$2652+Sens!$F$2653</f>
        <v>90.2545859883928</v>
      </c>
      <c r="G2654" s="38" t="n">
        <f aca="false">Sens!$F$2654</f>
        <v>90.2545859883928</v>
      </c>
      <c r="H2654" s="38" t="n">
        <f aca="false">Sens!$H$2652+Sens!$H$2653</f>
        <v>50</v>
      </c>
      <c r="I2654" s="38" t="n">
        <f aca="false">Sens!$I$2652+Sens!$I$2653</f>
        <v>50</v>
      </c>
      <c r="J2654" s="38" t="n">
        <f aca="false">Sens!$J$2652+Sens!$J$2653</f>
        <v>74.7544906752831</v>
      </c>
      <c r="K2654" s="38" t="n">
        <f aca="false">Sens!$K$2652+Sens!$K$2653</f>
        <v>196.106403878619</v>
      </c>
      <c r="L2654" s="38" t="n">
        <f aca="false">Sens!$L$2652+Sens!$L$2653</f>
        <v>375.934210518143</v>
      </c>
      <c r="M2654" s="38" t="n">
        <f aca="false">Sens!$M$2652+Sens!$M$2653</f>
        <v>584.600353364743</v>
      </c>
    </row>
    <row r="2655" customFormat="false" ht="15" hidden="false" customHeight="false" outlineLevel="0" collapsed="false">
      <c r="A2655" s="5" t="s">
        <v>800</v>
      </c>
      <c r="B2655" s="0" t="s">
        <v>86</v>
      </c>
      <c r="D2655" s="38" t="n">
        <f aca="false">Q!$E$62</f>
        <v>68.836</v>
      </c>
      <c r="E2655" s="38" t="n">
        <f aca="false">Q!$M$62</f>
        <v>132.995</v>
      </c>
      <c r="F2655" s="38" t="n">
        <f aca="false">debt_q2+Sens!$F$2650+Sens!$F$2653</f>
        <v>162.244999</v>
      </c>
      <c r="G2655" s="38" t="n">
        <f aca="false">Sens!$F$2655</f>
        <v>162.244999</v>
      </c>
      <c r="H2655" s="38" t="n">
        <f aca="false">Sens!$G$2655+Sens!$H$2653</f>
        <v>175.983277655109</v>
      </c>
      <c r="I2655" s="38" t="n">
        <f aca="false">Sens!$H$2655+Sens!$I$2653</f>
        <v>191.528412462951</v>
      </c>
      <c r="J2655" s="38" t="n">
        <f aca="false">Sens!$I$2655+Sens!$J$2653</f>
        <v>191.528412462951</v>
      </c>
      <c r="K2655" s="38" t="n">
        <f aca="false">Sens!$J$2655+Sens!$K$2653</f>
        <v>191.528412462951</v>
      </c>
      <c r="L2655" s="38" t="n">
        <f aca="false">Sens!$K$2655+Sens!$L$2653</f>
        <v>191.528412462951</v>
      </c>
      <c r="M2655" s="38" t="n">
        <f aca="false">Sens!$L$2655+Sens!$M$2653</f>
        <v>191.528412462951</v>
      </c>
    </row>
    <row r="2656" customFormat="false" ht="15" hidden="false" customHeight="false" outlineLevel="0" collapsed="false">
      <c r="A2656" s="5" t="s">
        <v>801</v>
      </c>
      <c r="B2656" s="0" t="s">
        <v>86</v>
      </c>
      <c r="D2656" s="38" t="n">
        <f aca="false">Sens!$D$2655-Sens!$D$2654</f>
        <v>-54.193</v>
      </c>
      <c r="E2656" s="38" t="n">
        <f aca="false">Sens!$E$2655-Sens!$E$2654</f>
        <v>10.007</v>
      </c>
      <c r="F2656" s="38" t="n">
        <f aca="false">Sens!$F$2655-Sens!$F$2654</f>
        <v>71.9904130116072</v>
      </c>
      <c r="G2656" s="38" t="n">
        <f aca="false">Sens!$G$2655-Sens!$G$2654</f>
        <v>71.9904130116072</v>
      </c>
      <c r="H2656" s="38" t="n">
        <f aca="false">Sens!$H$2655-Sens!$H$2654</f>
        <v>125.983277655109</v>
      </c>
      <c r="I2656" s="38" t="n">
        <f aca="false">Sens!$I$2655-Sens!$I$2654</f>
        <v>141.528412462951</v>
      </c>
      <c r="J2656" s="38" t="n">
        <f aca="false">Sens!$J$2655-Sens!$J$2654</f>
        <v>116.773921787668</v>
      </c>
      <c r="K2656" s="38" t="n">
        <f aca="false">Sens!$K$2655-Sens!$K$2654</f>
        <v>-4.57799141566841</v>
      </c>
      <c r="L2656" s="38" t="n">
        <f aca="false">Sens!$L$2655-Sens!$L$2654</f>
        <v>-184.405798055192</v>
      </c>
      <c r="M2656" s="38" t="n">
        <f aca="false">Sens!$M$2655-Sens!$M$2654</f>
        <v>-393.071940901792</v>
      </c>
    </row>
    <row r="2657" customFormat="false" ht="17.15" hidden="false" customHeight="false" outlineLevel="0" collapsed="false">
      <c r="A2657" s="5" t="s">
        <v>802</v>
      </c>
      <c r="B2657" s="0" t="s">
        <v>86</v>
      </c>
      <c r="F2657" s="38" t="n">
        <f aca="false">debt_q2*kd_book*0.5+iss_2h26*kd_new*iss_t</f>
        <v>3.24888962733561</v>
      </c>
      <c r="H2657" s="38" t="n">
        <f aca="false">debt_q2*kd_book+(Sens!$G$2655-debt_q2)*kd_new</f>
        <v>7.42354172302123</v>
      </c>
      <c r="I2657" s="38" t="n">
        <f aca="false">debt_q2*kd_book+(Sens!$H$2655-debt_q2)*kd_new</f>
        <v>8.2931747618896</v>
      </c>
      <c r="J2657" s="38" t="n">
        <f aca="false">debt_q2*kd_book+(Sens!$I$2655-debt_q2)*kd_new</f>
        <v>9.27718179522602</v>
      </c>
      <c r="K2657" s="38" t="n">
        <f aca="false">debt_q2*kd_book+(Sens!$J$2655-debt_q2)*kd_new</f>
        <v>9.27718179522602</v>
      </c>
      <c r="L2657" s="38" t="n">
        <f aca="false">debt_q2*kd_book+(Sens!$K$2655-debt_q2)*kd_new</f>
        <v>9.27718179522602</v>
      </c>
      <c r="M2657" s="38" t="n">
        <f aca="false">debt_q2*kd_book+(Sens!$L$2655-debt_q2)*kd_new</f>
        <v>9.27718179522602</v>
      </c>
    </row>
    <row r="2658" customFormat="false" ht="17.15" hidden="false" customHeight="false" outlineLevel="0" collapsed="false">
      <c r="A2658" s="5" t="s">
        <v>803</v>
      </c>
      <c r="B2658" s="0" t="s">
        <v>86</v>
      </c>
      <c r="F2658" s="38" t="n">
        <f aca="false">cash_q2*y_cash*0.5</f>
        <v>2.59</v>
      </c>
      <c r="H2658" s="38" t="n">
        <f aca="false">Sens!$G$2654*y_cash</f>
        <v>3.80133635330174</v>
      </c>
      <c r="I2658" s="38" t="n">
        <f aca="false">Sens!$H$2654*y_cash</f>
        <v>2.10589651022864</v>
      </c>
      <c r="J2658" s="38" t="n">
        <f aca="false">Sens!$I$2654*y_cash</f>
        <v>2.10589651022864</v>
      </c>
      <c r="K2658" s="38" t="n">
        <f aca="false">Sens!$J$2654*y_cash</f>
        <v>3.14850442073996</v>
      </c>
      <c r="L2658" s="38" t="n">
        <f aca="false">Sens!$K$2654*y_cash</f>
        <v>8.25959583122945</v>
      </c>
      <c r="M2658" s="38" t="n">
        <f aca="false">Sens!$L$2654*y_cash</f>
        <v>15.8335708401143</v>
      </c>
    </row>
    <row r="2659" customFormat="false" ht="17.15" hidden="false" customHeight="false" outlineLevel="0" collapsed="false">
      <c r="A2659" s="47" t="s">
        <v>804</v>
      </c>
      <c r="B2659" s="14" t="s">
        <v>86</v>
      </c>
      <c r="C2659" s="14"/>
      <c r="D2659" s="14"/>
      <c r="E2659" s="14"/>
      <c r="F2659" s="14"/>
      <c r="G2659" s="48" t="n">
        <f aca="false">SUM(Sens!$G$2648:$K$2648)</f>
        <v>10.1939914156684</v>
      </c>
      <c r="H2659" s="14"/>
      <c r="I2659" s="14"/>
      <c r="J2659" s="14"/>
      <c r="K2659" s="14"/>
      <c r="L2659" s="14"/>
      <c r="M2659" s="14"/>
      <c r="N2659" s="14"/>
      <c r="O2659" s="14"/>
    </row>
    <row r="2660" customFormat="false" ht="17.15" hidden="false" customHeight="false" outlineLevel="0" collapsed="false">
      <c r="A2660" s="0" t="s">
        <v>770</v>
      </c>
      <c r="B2660" s="0" t="s">
        <v>86</v>
      </c>
      <c r="G2660" s="38" t="n">
        <f aca="false">SUM(Sens!$G$2653:$K$2653)</f>
        <v>29.2834134629509</v>
      </c>
    </row>
    <row r="2661" customFormat="false" ht="17.15" hidden="false" customHeight="false" outlineLevel="0" collapsed="false">
      <c r="A2661" s="24" t="s">
        <v>807</v>
      </c>
      <c r="B2661" s="25" t="s">
        <v>86</v>
      </c>
      <c r="C2661" s="25"/>
      <c r="D2661" s="25"/>
      <c r="E2661" s="25"/>
      <c r="F2661" s="25"/>
      <c r="G2661" s="41" t="n">
        <f aca="false">Sens!$G$2659-(Sens!$G$2648+Sens!$H$2648+Sens!$I$2648+Sens!$J$2648+Sens!$K$2648)</f>
        <v>0</v>
      </c>
      <c r="H2661" s="25"/>
      <c r="I2661" s="25"/>
      <c r="J2661" s="25"/>
      <c r="K2661" s="25"/>
      <c r="L2661" s="25"/>
      <c r="M2661" s="25"/>
      <c r="N2661" s="25"/>
      <c r="O2661" s="25"/>
    </row>
    <row r="2664" customFormat="false" ht="19.4" hidden="false" customHeight="false" outlineLevel="0" collapsed="false">
      <c r="A2664" s="31" t="s">
        <v>1181</v>
      </c>
    </row>
    <row r="2665" customFormat="false" ht="17.15" hidden="false" customHeight="false" outlineLevel="0" collapsed="false">
      <c r="A2665" s="6" t="s">
        <v>16</v>
      </c>
      <c r="B2665" s="6" t="s">
        <v>17</v>
      </c>
      <c r="C2665" s="20" t="s">
        <v>494</v>
      </c>
      <c r="D2665" s="20" t="s">
        <v>495</v>
      </c>
      <c r="E2665" s="20" t="s">
        <v>577</v>
      </c>
      <c r="F2665" s="20" t="s">
        <v>578</v>
      </c>
      <c r="G2665" s="20" t="s">
        <v>579</v>
      </c>
      <c r="H2665" s="20" t="s">
        <v>580</v>
      </c>
      <c r="I2665" s="20" t="s">
        <v>581</v>
      </c>
      <c r="J2665" s="20" t="s">
        <v>582</v>
      </c>
      <c r="K2665" s="20" t="s">
        <v>583</v>
      </c>
      <c r="L2665" s="20" t="s">
        <v>584</v>
      </c>
      <c r="M2665" s="20" t="s">
        <v>585</v>
      </c>
      <c r="N2665" s="20" t="s">
        <v>586</v>
      </c>
      <c r="O2665" s="20" t="s">
        <v>587</v>
      </c>
      <c r="P2665" s="6" t="s">
        <v>23</v>
      </c>
      <c r="R2665" s="20" t="n">
        <v>2023</v>
      </c>
      <c r="S2665" s="20" t="n">
        <v>2024</v>
      </c>
      <c r="T2665" s="20" t="n">
        <v>2025</v>
      </c>
      <c r="U2665" s="20" t="n">
        <v>2026</v>
      </c>
      <c r="V2665" s="20" t="n">
        <v>2027</v>
      </c>
      <c r="W2665" s="20" t="n">
        <v>2028</v>
      </c>
      <c r="X2665" s="20" t="n">
        <v>2029</v>
      </c>
      <c r="Y2665" s="20" t="n">
        <v>2030</v>
      </c>
      <c r="Z2665" s="20" t="n">
        <v>2031</v>
      </c>
      <c r="AA2665" s="20" t="n">
        <v>2032</v>
      </c>
    </row>
    <row r="2666" customFormat="false" ht="17.15" hidden="false" customHeight="false" outlineLevel="0" collapsed="false">
      <c r="A2666" s="1" t="s">
        <v>909</v>
      </c>
    </row>
    <row r="2667" customFormat="false" ht="17.15" hidden="false" customHeight="false" outlineLevel="0" collapsed="false">
      <c r="A2667" s="0" t="s">
        <v>910</v>
      </c>
      <c r="B2667" s="0" t="s">
        <v>86</v>
      </c>
      <c r="H2667" s="38" t="n">
        <f aca="false">Sens!$H$2601*(1-tax)</f>
        <v>104.901847468384</v>
      </c>
      <c r="I2667" s="38" t="n">
        <f aca="false">Sens!$I$2601*(1-tax)</f>
        <v>121.687844592108</v>
      </c>
      <c r="J2667" s="38" t="n">
        <f aca="false">Sens!$J$2601*(1-tax)</f>
        <v>137.209838244902</v>
      </c>
      <c r="K2667" s="38" t="n">
        <f aca="false">Sens!$K$2601*(1-tax)</f>
        <v>147.081782422818</v>
      </c>
      <c r="L2667" s="38" t="n">
        <f aca="false">Sens!$L$2601*(1-tax)</f>
        <v>157.736743986061</v>
      </c>
      <c r="M2667" s="38" t="n">
        <f aca="false">Sens!$M$2601*(1-tax)</f>
        <v>168.266775440189</v>
      </c>
    </row>
    <row r="2668" customFormat="false" ht="15" hidden="false" customHeight="false" outlineLevel="0" collapsed="false">
      <c r="A2668" s="5" t="s">
        <v>911</v>
      </c>
      <c r="B2668" s="0" t="s">
        <v>86</v>
      </c>
      <c r="H2668" s="38" t="n">
        <f aca="false">Sens!$H$2612</f>
        <v>84.3163410985152</v>
      </c>
      <c r="I2668" s="38" t="n">
        <f aca="false">Sens!$I$2612</f>
        <v>117.040344991004</v>
      </c>
      <c r="J2668" s="38" t="n">
        <f aca="false">Sens!$J$2612</f>
        <v>150.498981474685</v>
      </c>
      <c r="K2668" s="38" t="n">
        <f aca="false">Sens!$K$2612</f>
        <v>184.188121970284</v>
      </c>
      <c r="L2668" s="38" t="n">
        <f aca="false">Sens!$L$2612</f>
        <v>207.768718060808</v>
      </c>
      <c r="M2668" s="38" t="n">
        <f aca="false">Sens!$M$2612</f>
        <v>224.003934647752</v>
      </c>
    </row>
    <row r="2669" customFormat="false" ht="15" hidden="false" customHeight="false" outlineLevel="0" collapsed="false">
      <c r="A2669" s="5" t="s">
        <v>912</v>
      </c>
      <c r="B2669" s="0" t="s">
        <v>86</v>
      </c>
      <c r="H2669" s="38" t="n">
        <f aca="false">Sens!$H$2643</f>
        <v>273.372679834898</v>
      </c>
      <c r="I2669" s="38" t="n">
        <f aca="false">Sens!$I$2643</f>
        <v>286.981812228425</v>
      </c>
      <c r="J2669" s="38" t="n">
        <f aca="false">Sens!$J$2643</f>
        <v>299.316513378366</v>
      </c>
      <c r="K2669" s="38" t="n">
        <f aca="false">Sens!$K$2643</f>
        <v>251.057145512292</v>
      </c>
      <c r="L2669" s="38" t="n">
        <f aca="false">Sens!$L$2643</f>
        <v>234.696330860396</v>
      </c>
      <c r="M2669" s="38" t="n">
        <f aca="false">Sens!$M$2643</f>
        <v>242.291696043352</v>
      </c>
    </row>
    <row r="2670" customFormat="false" ht="15" hidden="false" customHeight="false" outlineLevel="0" collapsed="false">
      <c r="A2670" s="5" t="s">
        <v>913</v>
      </c>
      <c r="B2670" s="0" t="s">
        <v>86</v>
      </c>
      <c r="H2670" s="38" t="n">
        <f aca="false">Sens!$H$2644</f>
        <v>1.6</v>
      </c>
      <c r="I2670" s="38" t="n">
        <f aca="false">Sens!$I$2644</f>
        <v>1.6</v>
      </c>
      <c r="J2670" s="38" t="n">
        <f aca="false">Sens!$J$2644</f>
        <v>1.6</v>
      </c>
      <c r="K2670" s="38" t="n">
        <f aca="false">Sens!$K$2644</f>
        <v>1.6</v>
      </c>
      <c r="L2670" s="38" t="n">
        <f aca="false">Sens!$L$2644</f>
        <v>1.6</v>
      </c>
      <c r="M2670" s="38" t="n">
        <f aca="false">Sens!$M$2644</f>
        <v>1.6</v>
      </c>
    </row>
    <row r="2671" customFormat="false" ht="15" hidden="false" customHeight="false" outlineLevel="0" collapsed="false">
      <c r="A2671" s="5" t="s">
        <v>914</v>
      </c>
      <c r="B2671" s="0" t="s">
        <v>86</v>
      </c>
      <c r="H2671" s="38" t="n">
        <f aca="false">Sens!$H$2638</f>
        <v>11.2928295263397</v>
      </c>
      <c r="I2671" s="38" t="n">
        <f aca="false">Sens!$I$2638</f>
        <v>12.8091546115766</v>
      </c>
      <c r="J2671" s="38" t="n">
        <f aca="false">Sens!$J$2638</f>
        <v>14.2605653162668</v>
      </c>
      <c r="K2671" s="38" t="n">
        <f aca="false">Sens!$K$2638</f>
        <v>15.5327622460396</v>
      </c>
      <c r="L2671" s="38" t="n">
        <f aca="false">Sens!$L$2638</f>
        <v>16.720573737517</v>
      </c>
      <c r="M2671" s="38" t="n">
        <f aca="false">Sens!$M$2638</f>
        <v>17.8283127551536</v>
      </c>
    </row>
    <row r="2672" customFormat="false" ht="17.15" hidden="false" customHeight="false" outlineLevel="0" collapsed="false">
      <c r="A2672" s="1" t="s">
        <v>915</v>
      </c>
      <c r="B2672" s="8" t="s">
        <v>86</v>
      </c>
      <c r="H2672" s="38" t="n">
        <f aca="false">Sens!$H$2667+Sens!$H$2668-Sens!$H$2669-Sens!$H$2670+Sens!$H$2671</f>
        <v>-74.4616617416588</v>
      </c>
      <c r="I2672" s="38" t="n">
        <f aca="false">Sens!$I$2667+Sens!$I$2668-Sens!$I$2669-Sens!$I$2670+Sens!$I$2671</f>
        <v>-37.0444680337361</v>
      </c>
      <c r="J2672" s="38" t="n">
        <f aca="false">Sens!$J$2667+Sens!$J$2668-Sens!$J$2669-Sens!$J$2670+Sens!$J$2671</f>
        <v>1.05287165748754</v>
      </c>
      <c r="K2672" s="38" t="n">
        <f aca="false">Sens!$K$2667+Sens!$K$2668-Sens!$K$2669-Sens!$K$2670+Sens!$K$2671</f>
        <v>94.1455211268487</v>
      </c>
      <c r="L2672" s="38" t="n">
        <f aca="false">Sens!$L$2667+Sens!$L$2668-Sens!$L$2669-Sens!$L$2670+Sens!$L$2671</f>
        <v>145.92970492399</v>
      </c>
      <c r="M2672" s="38" t="n">
        <f aca="false">Sens!$M$2667+Sens!$M$2668-Sens!$M$2669-Sens!$M$2670+Sens!$M$2671</f>
        <v>166.207326799743</v>
      </c>
    </row>
    <row r="2673" customFormat="false" ht="15" hidden="false" customHeight="false" outlineLevel="0" collapsed="false">
      <c r="A2673" s="5" t="s">
        <v>916</v>
      </c>
      <c r="B2673" s="0" t="s">
        <v>57</v>
      </c>
      <c r="H2673" s="40" t="n">
        <f aca="false">1/(1+wacc)^(2027-2026-0.5)</f>
        <v>0.947751320380232</v>
      </c>
      <c r="I2673" s="40" t="n">
        <f aca="false">1/(1+wacc)^(2028-2026-0.5)</f>
        <v>0.851301099754987</v>
      </c>
      <c r="J2673" s="40" t="n">
        <f aca="false">1/(1+wacc)^(2029-2026-0.5)</f>
        <v>0.764666370660713</v>
      </c>
      <c r="K2673" s="40" t="n">
        <f aca="false">1/(1+wacc)^(2030-2026-0.5)</f>
        <v>0.686848235703811</v>
      </c>
      <c r="L2673" s="40" t="n">
        <f aca="false">1/(1+wacc)^(2031-2026-0.5)</f>
        <v>0.616949452715975</v>
      </c>
      <c r="M2673" s="40" t="n">
        <f aca="false">1/(1+wacc)^(2032-2026-0.5)</f>
        <v>0.554164089562688</v>
      </c>
    </row>
    <row r="2674" customFormat="false" ht="15" hidden="false" customHeight="false" outlineLevel="0" collapsed="false">
      <c r="A2674" s="5" t="s">
        <v>917</v>
      </c>
      <c r="B2674" s="0" t="s">
        <v>86</v>
      </c>
      <c r="H2674" s="38" t="n">
        <f aca="false">Sens!$H$2672*Sens!$H$2673</f>
        <v>-70.5711382333633</v>
      </c>
      <c r="I2674" s="38" t="n">
        <f aca="false">Sens!$I$2672*Sens!$I$2673</f>
        <v>-31.535996376958</v>
      </c>
      <c r="J2674" s="38" t="n">
        <f aca="false">Sens!$J$2672*Sens!$J$2673</f>
        <v>0.805095549102528</v>
      </c>
      <c r="K2674" s="38" t="n">
        <f aca="false">Sens!$K$2672*Sens!$K$2673</f>
        <v>64.6636850853919</v>
      </c>
      <c r="L2674" s="38" t="n">
        <f aca="false">Sens!$L$2672*Sens!$L$2673</f>
        <v>90.0312515878593</v>
      </c>
      <c r="M2674" s="38" t="n">
        <f aca="false">Sens!$M$2672*Sens!$M$2673</f>
        <v>92.1061319346276</v>
      </c>
    </row>
    <row r="2675" customFormat="false" ht="15" hidden="false" customHeight="false" outlineLevel="0" collapsed="false">
      <c r="A2675" s="5" t="s">
        <v>918</v>
      </c>
      <c r="B2675" s="0" t="s">
        <v>86</v>
      </c>
      <c r="C2675" s="38" t="n">
        <f aca="false">SUM(Sens!$H$2674:$M$2674)</f>
        <v>145.49902954666</v>
      </c>
    </row>
    <row r="2676" customFormat="false" ht="17.15" hidden="false" customHeight="false" outlineLevel="0" collapsed="false">
      <c r="A2676" s="5" t="s">
        <v>919</v>
      </c>
      <c r="B2676" s="0" t="s">
        <v>86</v>
      </c>
      <c r="C2676" s="38" t="n">
        <f aca="false">Sens!$M$2667*(1+tg)*(1-tg/ronic)/(wacc-tg)</f>
        <v>1529.73275496453</v>
      </c>
    </row>
    <row r="2677" customFormat="false" ht="15" hidden="false" customHeight="false" outlineLevel="0" collapsed="false">
      <c r="A2677" s="5" t="s">
        <v>920</v>
      </c>
      <c r="B2677" s="0" t="s">
        <v>86</v>
      </c>
      <c r="C2677" s="38" t="n">
        <f aca="false">Sens!$C$2676/(1+wacc)^6</f>
        <v>803.430554115604</v>
      </c>
    </row>
    <row r="2678" customFormat="false" ht="17.15" hidden="false" customHeight="false" outlineLevel="0" collapsed="false">
      <c r="A2678" s="5" t="s">
        <v>921</v>
      </c>
      <c r="B2678" s="0" t="s">
        <v>86</v>
      </c>
      <c r="C2678" s="38" t="n">
        <f aca="false">Sens!$C$2675+Sens!$C$2677</f>
        <v>948.929583662264</v>
      </c>
    </row>
    <row r="2679" customFormat="false" ht="17.15" hidden="false" customHeight="false" outlineLevel="0" collapsed="false">
      <c r="A2679" s="5" t="s">
        <v>922</v>
      </c>
      <c r="B2679" s="0" t="s">
        <v>52</v>
      </c>
      <c r="C2679" s="13" t="n">
        <f aca="false">Sens!$C$2677/Sens!$C$2678</f>
        <v>0.846670362003968</v>
      </c>
    </row>
    <row r="2680" customFormat="false" ht="17.15" hidden="false" customHeight="false" outlineLevel="0" collapsed="false">
      <c r="A2680" s="5" t="s">
        <v>923</v>
      </c>
      <c r="B2680" s="0" t="s">
        <v>86</v>
      </c>
      <c r="C2680" s="38" t="n">
        <f aca="false">Sens!$G$2656+fin_debt</f>
        <v>96.5114130116072</v>
      </c>
    </row>
    <row r="2681" customFormat="false" ht="17.15" hidden="false" customHeight="false" outlineLevel="0" collapsed="false">
      <c r="A2681" s="5" t="s">
        <v>924</v>
      </c>
      <c r="B2681" s="0" t="s">
        <v>86</v>
      </c>
      <c r="C2681" s="38" t="n">
        <f aca="false">(ant_val*ant_sh+oai_val*oai_sh)*(1-liq_disc)</f>
        <v>178.944</v>
      </c>
    </row>
    <row r="2682" customFormat="false" ht="15" hidden="false" customHeight="false" outlineLevel="0" collapsed="false">
      <c r="A2682" s="5" t="s">
        <v>925</v>
      </c>
      <c r="B2682" s="0" t="s">
        <v>86</v>
      </c>
      <c r="C2682" s="38" t="n">
        <f aca="false">Sens!$C$2678-Sens!$C$2680+Sens!$C$2681</f>
        <v>1031.36217065066</v>
      </c>
    </row>
    <row r="2683" customFormat="false" ht="17.15" hidden="false" customHeight="false" outlineLevel="0" collapsed="false">
      <c r="A2683" s="5" t="s">
        <v>926</v>
      </c>
      <c r="B2683" s="0" t="s">
        <v>27</v>
      </c>
      <c r="C2683" s="30" t="n">
        <f aca="false">Sens!$C$2682/sh_out</f>
        <v>95.6176661138047</v>
      </c>
    </row>
    <row r="2684" customFormat="false" ht="17.15" hidden="false" customHeight="false" outlineLevel="0" collapsed="false">
      <c r="A2684" s="1" t="s">
        <v>927</v>
      </c>
      <c r="B2684" s="8" t="s">
        <v>27</v>
      </c>
      <c r="C2684" s="30" t="n">
        <f aca="false">Sens!$C$2683*(1+ke)^tp_yf-dps*tp_yf</f>
        <v>104.736612633675</v>
      </c>
    </row>
    <row r="2685" customFormat="false" ht="17.15" hidden="false" customHeight="false" outlineLevel="0" collapsed="false">
      <c r="A2685" s="3" t="s">
        <v>928</v>
      </c>
    </row>
    <row r="2686" customFormat="false" ht="17.15" hidden="false" customHeight="false" outlineLevel="0" collapsed="false">
      <c r="A2686" s="5" t="s">
        <v>929</v>
      </c>
      <c r="B2686" s="0" t="s">
        <v>86</v>
      </c>
      <c r="C2686" s="38" t="n">
        <f aca="false">(1-tp_yf)*(Sens!$H$2613+Sens!$H$2637*Sens!$H$2479/Sens!$H$2554)+tp_yf*(Sens!$I$2613+Sens!$I$2637*Sens!$I$2479/Sens!$I$2554)</f>
        <v>59.634664536349</v>
      </c>
    </row>
    <row r="2687" customFormat="false" ht="15" hidden="false" customHeight="false" outlineLevel="0" collapsed="false">
      <c r="A2687" s="5" t="s">
        <v>930</v>
      </c>
      <c r="B2687" s="0" t="s">
        <v>57</v>
      </c>
      <c r="C2687" s="30" t="n">
        <f aca="false">m_ads*m_x</f>
        <v>9.11</v>
      </c>
    </row>
    <row r="2688" customFormat="false" ht="17.15" hidden="false" customHeight="false" outlineLevel="0" collapsed="false">
      <c r="A2688" s="5" t="s">
        <v>931</v>
      </c>
      <c r="B2688" s="0" t="s">
        <v>86</v>
      </c>
      <c r="C2688" s="38" t="n">
        <f aca="false">Sens!$C$2686*Sens!$C$2687</f>
        <v>543.271793926139</v>
      </c>
    </row>
    <row r="2689" customFormat="false" ht="17.15" hidden="false" customHeight="false" outlineLevel="0" collapsed="false">
      <c r="A2689" s="5" t="s">
        <v>932</v>
      </c>
      <c r="B2689" s="0" t="s">
        <v>86</v>
      </c>
      <c r="C2689" s="38" t="n">
        <f aca="false">(1-tp_yf)*(Sens!$H$2614+Sens!$H$2637*(Sens!$H$2486-Sens!$H$2479)/Sens!$H$2554+IF(1=2,1,0)*(1-ext_sh)*Sens!$H$2516)+tp_yf*(Sens!$I$2614+Sens!$I$2637*(Sens!$I$2486-Sens!$I$2479)/Sens!$I$2554+IF(1=2,1,0)*(1-ext_sh)*Sens!$I$2516)</f>
        <v>46.9092059595581</v>
      </c>
    </row>
    <row r="2690" customFormat="false" ht="17.15" hidden="false" customHeight="false" outlineLevel="0" collapsed="false">
      <c r="A2690" s="5" t="s">
        <v>933</v>
      </c>
      <c r="B2690" s="0" t="s">
        <v>57</v>
      </c>
      <c r="C2690" s="30" t="n">
        <f aca="false">m_retail*m_x</f>
        <v>17.72</v>
      </c>
    </row>
    <row r="2691" customFormat="false" ht="17.15" hidden="false" customHeight="false" outlineLevel="0" collapsed="false">
      <c r="A2691" s="5" t="s">
        <v>934</v>
      </c>
      <c r="B2691" s="0" t="s">
        <v>86</v>
      </c>
      <c r="C2691" s="38" t="n">
        <f aca="false">Sens!$C$2689*Sens!$C$2690</f>
        <v>831.23112960337</v>
      </c>
    </row>
    <row r="2692" customFormat="false" ht="17.15" hidden="false" customHeight="false" outlineLevel="0" collapsed="false">
      <c r="A2692" s="0" t="s">
        <v>935</v>
      </c>
      <c r="B2692" s="0" t="s">
        <v>86</v>
      </c>
      <c r="C2692" s="38" t="n">
        <f aca="false">(1-tp_yf)*(Sens!$H$2615+Sens!$H$2637*Sens!$H$2552/Sens!$H$2554)+tp_yf*(Sens!$I$2615+Sens!$I$2637*Sens!$I$2552/Sens!$I$2554)</f>
        <v>97.3363031479074</v>
      </c>
    </row>
    <row r="2693" customFormat="false" ht="17.15" hidden="false" customHeight="false" outlineLevel="0" collapsed="false">
      <c r="A2693" s="0" t="s">
        <v>936</v>
      </c>
      <c r="B2693" s="0" t="s">
        <v>57</v>
      </c>
      <c r="C2693" s="30" t="n">
        <f aca="false">m_cloud*m_x</f>
        <v>13.82</v>
      </c>
    </row>
    <row r="2694" customFormat="false" ht="17.15" hidden="false" customHeight="false" outlineLevel="0" collapsed="false">
      <c r="A2694" s="0" t="s">
        <v>937</v>
      </c>
      <c r="B2694" s="0" t="s">
        <v>86</v>
      </c>
      <c r="C2694" s="38" t="n">
        <f aca="false">Sens!$C$2692*Sens!$C$2693</f>
        <v>1345.18770950408</v>
      </c>
    </row>
    <row r="2695" customFormat="false" ht="17.15" hidden="false" customHeight="false" outlineLevel="0" collapsed="false">
      <c r="A2695" s="0" t="s">
        <v>938</v>
      </c>
      <c r="B2695" s="0" t="s">
        <v>86</v>
      </c>
      <c r="H2695" s="38" t="n">
        <f aca="false">Sens!$H$2533-tax*Sens!$H$2534-ext_sh*Sens!$H$2523</f>
        <v>-114.686944664267</v>
      </c>
      <c r="I2695" s="38" t="n">
        <f aca="false">Sens!$I$2533-tax*Sens!$I$2534-ext_sh*Sens!$I$2523</f>
        <v>-88.3950641557111</v>
      </c>
      <c r="J2695" s="38" t="n">
        <f aca="false">Sens!$J$2533-tax*Sens!$J$2534-ext_sh*Sens!$J$2523</f>
        <v>-61.1526151740695</v>
      </c>
      <c r="K2695" s="38" t="n">
        <f aca="false">Sens!$K$2533-tax*Sens!$K$2534-ext_sh*Sens!$K$2523</f>
        <v>10.057774712684</v>
      </c>
      <c r="L2695" s="38" t="n">
        <f aca="false">Sens!$L$2533-tax*Sens!$L$2534-ext_sh*Sens!$L$2523</f>
        <v>46.6587675560356</v>
      </c>
      <c r="M2695" s="38" t="n">
        <f aca="false">Sens!$M$2533-tax*Sens!$M$2534-ext_sh*Sens!$M$2523</f>
        <v>55.3915455321129</v>
      </c>
    </row>
    <row r="2696" customFormat="false" ht="17.15" hidden="false" customHeight="false" outlineLevel="0" collapsed="false">
      <c r="A2696" s="5" t="s">
        <v>939</v>
      </c>
      <c r="B2696" s="0" t="s">
        <v>86</v>
      </c>
      <c r="H2696" s="38" t="n">
        <f aca="false">Sens!$H$2695*Sens!$H$2673</f>
        <v>-108.694703235934</v>
      </c>
      <c r="I2696" s="38" t="n">
        <f aca="false">Sens!$I$2695*Sens!$I$2673</f>
        <v>-75.2508153286695</v>
      </c>
      <c r="J2696" s="38" t="n">
        <f aca="false">Sens!$J$2695*Sens!$J$2673</f>
        <v>-46.761348301567</v>
      </c>
      <c r="K2696" s="38" t="n">
        <f aca="false">Sens!$K$2695*Sens!$K$2673</f>
        <v>6.90816481651338</v>
      </c>
      <c r="L2696" s="38" t="n">
        <f aca="false">Sens!$L$2695*Sens!$L$2673</f>
        <v>28.7861011080981</v>
      </c>
      <c r="M2696" s="38" t="n">
        <f aca="false">Sens!$M$2695*Sens!$M$2673</f>
        <v>30.6960053992735</v>
      </c>
    </row>
    <row r="2697" customFormat="false" ht="17.15" hidden="false" customHeight="false" outlineLevel="0" collapsed="false">
      <c r="A2697" s="5" t="s">
        <v>940</v>
      </c>
      <c r="B2697" s="0" t="s">
        <v>86</v>
      </c>
      <c r="C2697" s="38" t="n">
        <f aca="false">Sens!$M$2534*(1-tax)*(1+tg)*(1-tg/ronic)/(wacc-tg)</f>
        <v>363.621782500497</v>
      </c>
    </row>
    <row r="2698" customFormat="false" ht="17.15" hidden="false" customHeight="false" outlineLevel="0" collapsed="false">
      <c r="A2698" s="0" t="s">
        <v>941</v>
      </c>
      <c r="B2698" s="0" t="s">
        <v>86</v>
      </c>
      <c r="C2698" s="38" t="n">
        <f aca="false">(SUM(Sens!$H$2696:$M$2696)+Sens!$C$2697/(1+wacc)^6)*(1+wacc)^tp_yf</f>
        <v>29.1198269558345</v>
      </c>
    </row>
    <row r="2699" customFormat="false" ht="17.15" hidden="false" customHeight="false" outlineLevel="0" collapsed="false">
      <c r="A2699" s="5" t="s">
        <v>942</v>
      </c>
      <c r="B2699" s="0" t="s">
        <v>86</v>
      </c>
      <c r="C2699" s="38" t="n">
        <f aca="false">(1-tp_yf)*(Sens!$H$2616)+tp_yf*(Sens!$I$2616)</f>
        <v>74.6707041238437</v>
      </c>
    </row>
    <row r="2700" customFormat="false" ht="17.15" hidden="false" customHeight="false" outlineLevel="0" collapsed="false">
      <c r="A2700" s="5" t="s">
        <v>943</v>
      </c>
      <c r="B2700" s="0" t="s">
        <v>86</v>
      </c>
      <c r="C2700" s="38" t="n">
        <f aca="false">Sens!$C$2699*m_ai</f>
        <v>448.024224743062</v>
      </c>
    </row>
    <row r="2701" customFormat="false" ht="17.15" hidden="false" customHeight="false" outlineLevel="0" collapsed="false">
      <c r="A2701" s="0" t="s">
        <v>944</v>
      </c>
      <c r="B2701" s="0" t="s">
        <v>86</v>
      </c>
      <c r="C2701" s="38" t="n">
        <f aca="false">IF(ai_leg=1,Sens!$C$2698,Sens!$C$2700)</f>
        <v>29.1198269558345</v>
      </c>
    </row>
    <row r="2702" customFormat="false" ht="17.15" hidden="false" customHeight="false" outlineLevel="0" collapsed="false">
      <c r="A2702" s="5" t="s">
        <v>945</v>
      </c>
      <c r="B2702" s="0" t="s">
        <v>86</v>
      </c>
      <c r="C2702" s="38" t="n">
        <f aca="false">Sens!$C$2688+Sens!$C$2691+Sens!$C$2694+Sens!$C$2701</f>
        <v>2748.81045998942</v>
      </c>
    </row>
    <row r="2703" customFormat="false" ht="17.15" hidden="false" customHeight="false" outlineLevel="0" collapsed="false">
      <c r="A2703" s="5" t="s">
        <v>946</v>
      </c>
      <c r="B2703" s="0" t="s">
        <v>86</v>
      </c>
      <c r="C2703" s="38" t="n">
        <f aca="false">Sens!$H$2656+fin_debt</f>
        <v>150.504277655109</v>
      </c>
    </row>
    <row r="2704" customFormat="false" ht="15" hidden="false" customHeight="false" outlineLevel="0" collapsed="false">
      <c r="A2704" s="5" t="s">
        <v>947</v>
      </c>
      <c r="B2704" s="0" t="s">
        <v>86</v>
      </c>
      <c r="C2704" s="38" t="n">
        <f aca="false">Sens!$C$2702-Sens!$C$2703+Sens!$C$2681</f>
        <v>2777.25018233432</v>
      </c>
    </row>
    <row r="2705" customFormat="false" ht="15" hidden="false" customHeight="false" outlineLevel="0" collapsed="false">
      <c r="A2705" s="3" t="s">
        <v>948</v>
      </c>
      <c r="B2705" s="8" t="s">
        <v>27</v>
      </c>
      <c r="C2705" s="30" t="n">
        <f aca="false">Sens!$C$2704/sh_val</f>
        <v>251.783419976468</v>
      </c>
    </row>
    <row r="2706" customFormat="false" ht="17.15" hidden="false" customHeight="false" outlineLevel="0" collapsed="false">
      <c r="A2706" s="47" t="s">
        <v>949</v>
      </c>
      <c r="B2706" s="14" t="s">
        <v>27</v>
      </c>
      <c r="C2706" s="44" t="n">
        <f aca="false">w_dcf*Sens!$C$2684+(1-w_dcf)*Sens!$C$2705</f>
        <v>178.260016305072</v>
      </c>
      <c r="D2706" s="14"/>
      <c r="E2706" s="14"/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</row>
    <row r="2707" customFormat="false" ht="17.15" hidden="false" customHeight="false" outlineLevel="0" collapsed="false">
      <c r="A2707" s="5" t="s">
        <v>950</v>
      </c>
      <c r="B2707" s="0" t="s">
        <v>27</v>
      </c>
      <c r="C2707" s="30" t="n">
        <f aca="false">v022_wdcf*Sens!$C$2684+(1-v022_wdcf)*Sens!$C$2705</f>
        <v>185.612356672211</v>
      </c>
    </row>
    <row r="2708" customFormat="false" ht="17.15" hidden="false" customHeight="false" outlineLevel="0" collapsed="false">
      <c r="A2708" s="5" t="s">
        <v>951</v>
      </c>
      <c r="B2708" s="0" t="s">
        <v>27</v>
      </c>
      <c r="C2708" s="30" t="n">
        <f aca="false">(Sens!$C$2704-Sens!$C$2701+Sens!$C$2700)/sh_val</f>
        <v>289.760978710266</v>
      </c>
    </row>
    <row r="2711" customFormat="false" ht="19.4" hidden="false" customHeight="false" outlineLevel="0" collapsed="false">
      <c r="A2711" s="31" t="s">
        <v>1182</v>
      </c>
    </row>
    <row r="2712" customFormat="false" ht="17.15" hidden="false" customHeight="false" outlineLevel="0" collapsed="false">
      <c r="A2712" s="6" t="s">
        <v>16</v>
      </c>
      <c r="B2712" s="6" t="s">
        <v>17</v>
      </c>
      <c r="C2712" s="20" t="s">
        <v>494</v>
      </c>
      <c r="D2712" s="20" t="s">
        <v>495</v>
      </c>
      <c r="E2712" s="20" t="s">
        <v>577</v>
      </c>
      <c r="F2712" s="20" t="s">
        <v>578</v>
      </c>
      <c r="G2712" s="20" t="s">
        <v>579</v>
      </c>
      <c r="H2712" s="20" t="s">
        <v>580</v>
      </c>
      <c r="I2712" s="20" t="s">
        <v>581</v>
      </c>
      <c r="J2712" s="20" t="s">
        <v>582</v>
      </c>
      <c r="K2712" s="20" t="s">
        <v>583</v>
      </c>
      <c r="L2712" s="20" t="s">
        <v>584</v>
      </c>
      <c r="M2712" s="20" t="s">
        <v>585</v>
      </c>
      <c r="N2712" s="20" t="s">
        <v>586</v>
      </c>
      <c r="O2712" s="20" t="s">
        <v>587</v>
      </c>
      <c r="P2712" s="6" t="s">
        <v>23</v>
      </c>
      <c r="R2712" s="20" t="n">
        <v>2023</v>
      </c>
      <c r="S2712" s="20" t="n">
        <v>2024</v>
      </c>
      <c r="T2712" s="20" t="n">
        <v>2025</v>
      </c>
      <c r="U2712" s="20" t="n">
        <v>2026</v>
      </c>
      <c r="V2712" s="20" t="n">
        <v>2027</v>
      </c>
      <c r="W2712" s="20" t="n">
        <v>2028</v>
      </c>
      <c r="X2712" s="20" t="n">
        <v>2029</v>
      </c>
      <c r="Y2712" s="20" t="n">
        <v>2030</v>
      </c>
      <c r="Z2712" s="20" t="n">
        <v>2031</v>
      </c>
      <c r="AA2712" s="20" t="n">
        <v>2032</v>
      </c>
    </row>
    <row r="2713" customFormat="false" ht="17.15" hidden="false" customHeight="false" outlineLevel="0" collapsed="false">
      <c r="A2713" s="1" t="s">
        <v>660</v>
      </c>
    </row>
    <row r="2714" customFormat="false" ht="17.15" hidden="false" customHeight="false" outlineLevel="0" collapsed="false">
      <c r="A2714" s="0" t="s">
        <v>516</v>
      </c>
      <c r="B2714" s="0" t="s">
        <v>86</v>
      </c>
      <c r="C2714" s="38" t="n">
        <f aca="false">Q!$D$10</f>
        <v>247.029</v>
      </c>
      <c r="D2714" s="38" t="n">
        <f aca="false">Q!$E$10</f>
        <v>269.287</v>
      </c>
      <c r="E2714" s="38" t="n">
        <f aca="false">Q!$P$10</f>
        <v>134.686</v>
      </c>
      <c r="F2714" s="38" t="n">
        <f aca="false">Sens!$O$2714*(1+Sens!$F$2715)*Sens!$F$2726</f>
        <v>158.289073613982</v>
      </c>
      <c r="G2714" s="38" t="n">
        <f aca="false">Sens!$E$2714+Sens!$F$2714</f>
        <v>292.975073613982</v>
      </c>
      <c r="H2714" s="38" t="n">
        <f aca="false">Sens!$G$2714*(1+Sens!$H$2715)</f>
        <v>318.179326665538</v>
      </c>
      <c r="I2714" s="38" t="n">
        <f aca="false">Sens!$H$2714*(1+Sens!$I$2715)</f>
        <v>341.730676225048</v>
      </c>
      <c r="J2714" s="38" t="n">
        <f aca="false">Sens!$I$2714*(1+Sens!$J$2715)</f>
        <v>362.921242839502</v>
      </c>
      <c r="K2714" s="38" t="n">
        <f aca="false">Sens!$J$2714*(1+Sens!$K$2715)</f>
        <v>381.067304981477</v>
      </c>
      <c r="L2714" s="38" t="n">
        <f aca="false">Sens!$K$2714*(1+Sens!$L$2715)</f>
        <v>400.120670230551</v>
      </c>
      <c r="M2714" s="38" t="n">
        <f aca="false">Sens!$L$2714*(1+Sens!$M$2715)</f>
        <v>420.126703742078</v>
      </c>
      <c r="N2714" s="38" t="n">
        <f aca="false">Q!$N$10</f>
        <v>118.892</v>
      </c>
      <c r="O2714" s="38" t="n">
        <f aca="false">Q!$O$10</f>
        <v>150.395</v>
      </c>
      <c r="P2714" s="8" t="s">
        <v>661</v>
      </c>
    </row>
    <row r="2715" customFormat="false" ht="17.15" hidden="false" customHeight="false" outlineLevel="0" collapsed="false">
      <c r="A2715" s="0" t="s">
        <v>662</v>
      </c>
      <c r="B2715" s="0" t="s">
        <v>52</v>
      </c>
      <c r="E2715" s="13" t="n">
        <f aca="false">Sens!$E$2714/Sens!$N$2714-1</f>
        <v>0.132843252699929</v>
      </c>
      <c r="F2715" s="13" t="n">
        <f aca="false">Sens!$O$2714/(Q!$F$10+Q!$G$10)-1</f>
        <v>0.0980382135842941</v>
      </c>
      <c r="G2715" s="13" t="n">
        <f aca="false">Sens!$G$2714/Sens!$D$2714-1</f>
        <v>0.0879659011165865</v>
      </c>
      <c r="H2715" s="13" t="n">
        <f aca="false">Sens!$F$2715+(g_os-Sens!$F$2715)*1/4</f>
        <v>0.0860286601882206</v>
      </c>
      <c r="I2715" s="13" t="n">
        <f aca="false">Sens!$F$2715+(g_os-Sens!$F$2715)*2/4</f>
        <v>0.074019106792147</v>
      </c>
      <c r="J2715" s="13" t="n">
        <f aca="false">Sens!$F$2715+(g_os-Sens!$F$2715)*3/4</f>
        <v>0.0620095533960735</v>
      </c>
      <c r="K2715" s="13" t="n">
        <f aca="false">Sens!$F$2715+(g_os-Sens!$F$2715)*4/4</f>
        <v>0.05</v>
      </c>
      <c r="L2715" s="13" t="n">
        <f aca="false">g_os</f>
        <v>0.05</v>
      </c>
      <c r="M2715" s="13" t="n">
        <f aca="false">g_os</f>
        <v>0.05</v>
      </c>
      <c r="P2715" s="8" t="s">
        <v>663</v>
      </c>
    </row>
    <row r="2716" customFormat="false" ht="17.15" hidden="false" customHeight="false" outlineLevel="0" collapsed="false">
      <c r="A2716" s="0" t="s">
        <v>517</v>
      </c>
      <c r="B2716" s="0" t="s">
        <v>86</v>
      </c>
      <c r="C2716" s="38" t="n">
        <f aca="false">Q!$D$11</f>
        <v>21.215</v>
      </c>
      <c r="D2716" s="38" t="n">
        <f aca="false">Q!$E$11</f>
        <v>22.561</v>
      </c>
      <c r="E2716" s="38" t="n">
        <f aca="false">Q!$P$11</f>
        <v>11.579</v>
      </c>
      <c r="F2716" s="38" t="n">
        <f aca="false">Sens!$O$2716*(1+Sens!$F$2717)*Sens!$F$2726</f>
        <v>11.5935206610427</v>
      </c>
      <c r="G2716" s="38" t="n">
        <f aca="false">Sens!$E$2716+Sens!$F$2716</f>
        <v>23.1725206610427</v>
      </c>
      <c r="H2716" s="38" t="n">
        <f aca="false">Sens!$G$2716*(1+Sens!$H$2717)</f>
        <v>24.3530230373949</v>
      </c>
      <c r="I2716" s="38" t="n">
        <f aca="false">Sens!$H$2716*(1+Sens!$I$2717)</f>
        <v>25.4236479111047</v>
      </c>
      <c r="J2716" s="38" t="n">
        <f aca="false">Sens!$I$2716*(1+Sens!$J$2717)</f>
        <v>26.3638488517018</v>
      </c>
      <c r="K2716" s="38" t="n">
        <f aca="false">Sens!$J$2716*(1+Sens!$K$2717)</f>
        <v>27.1547643172528</v>
      </c>
      <c r="L2716" s="38" t="n">
        <f aca="false">Sens!$K$2716*(1+Sens!$L$2717)</f>
        <v>27.9694072467704</v>
      </c>
      <c r="M2716" s="38" t="n">
        <f aca="false">Sens!$L$2716*(1+Sens!$M$2717)</f>
        <v>28.8084894641735</v>
      </c>
      <c r="N2716" s="38" t="n">
        <f aca="false">Q!$N$11</f>
        <v>11.128</v>
      </c>
      <c r="O2716" s="38" t="n">
        <f aca="false">Q!$O$11</f>
        <v>11.433</v>
      </c>
      <c r="P2716" s="8" t="s">
        <v>661</v>
      </c>
    </row>
    <row r="2717" customFormat="false" ht="17.15" hidden="false" customHeight="false" outlineLevel="0" collapsed="false">
      <c r="A2717" s="0" t="s">
        <v>664</v>
      </c>
      <c r="B2717" s="0" t="s">
        <v>52</v>
      </c>
      <c r="E2717" s="13" t="n">
        <f aca="false">Sens!$E$2716/Sens!$N$2716-1</f>
        <v>0.0405283968368082</v>
      </c>
      <c r="F2717" s="13" t="n">
        <f aca="false">Sens!$O$2716/(Q!$F$11+Q!$G$11)-1</f>
        <v>0.0579254187100955</v>
      </c>
      <c r="G2717" s="13" t="n">
        <f aca="false">Sens!$G$2716/Sens!$D$2716-1</f>
        <v>0.0271052108081509</v>
      </c>
      <c r="H2717" s="13" t="n">
        <f aca="false">Sens!$F$2717+(g_ps-Sens!$F$2717)*1/4</f>
        <v>0.0509440640325716</v>
      </c>
      <c r="I2717" s="13" t="n">
        <f aca="false">Sens!$F$2717+(g_ps-Sens!$F$2717)*2/4</f>
        <v>0.0439627093550477</v>
      </c>
      <c r="J2717" s="13" t="n">
        <f aca="false">Sens!$F$2717+(g_ps-Sens!$F$2717)*3/4</f>
        <v>0.0369813546775239</v>
      </c>
      <c r="K2717" s="13" t="n">
        <f aca="false">Sens!$F$2717+(g_ps-Sens!$F$2717)*4/4</f>
        <v>0.03</v>
      </c>
      <c r="L2717" s="13" t="n">
        <f aca="false">g_ps</f>
        <v>0.03</v>
      </c>
      <c r="M2717" s="13" t="n">
        <f aca="false">g_ps</f>
        <v>0.03</v>
      </c>
      <c r="P2717" s="8" t="s">
        <v>665</v>
      </c>
    </row>
    <row r="2718" customFormat="false" ht="17.15" hidden="false" customHeight="false" outlineLevel="0" collapsed="false">
      <c r="A2718" s="0" t="s">
        <v>518</v>
      </c>
      <c r="B2718" s="0" t="s">
        <v>86</v>
      </c>
      <c r="C2718" s="38" t="n">
        <f aca="false">Q!$D$12</f>
        <v>156.146</v>
      </c>
      <c r="D2718" s="38" t="n">
        <f aca="false">Q!$E$12</f>
        <v>172.162</v>
      </c>
      <c r="E2718" s="38" t="n">
        <f aca="false">Q!$P$12</f>
        <v>88.358</v>
      </c>
      <c r="F2718" s="38" t="n">
        <f aca="false">Sens!$O$2718*(1+Sens!$F$2719)*Sens!$F$2726</f>
        <v>102.001293078396</v>
      </c>
      <c r="G2718" s="38" t="n">
        <f aca="false">Sens!$E$2718+Sens!$F$2718</f>
        <v>190.359293078396</v>
      </c>
      <c r="H2718" s="38" t="n">
        <f aca="false">Sens!$G$2718*(1+Sens!$H$2719)</f>
        <v>210.33968653167</v>
      </c>
      <c r="I2718" s="38" t="n">
        <f aca="false">Sens!$H$2718*(1+Sens!$I$2719)</f>
        <v>229.965989320544</v>
      </c>
      <c r="J2718" s="38" t="n">
        <f aca="false">Sens!$I$2718*(1+Sens!$J$2719)</f>
        <v>248.743592480617</v>
      </c>
      <c r="K2718" s="38" t="n">
        <f aca="false">Sens!$J$2718*(1+Sens!$K$2719)</f>
        <v>266.15564395426</v>
      </c>
      <c r="L2718" s="38" t="n">
        <f aca="false">Sens!$K$2718*(1+Sens!$L$2719)</f>
        <v>284.786539031059</v>
      </c>
      <c r="M2718" s="38" t="n">
        <f aca="false">Sens!$L$2718*(1+Sens!$M$2719)</f>
        <v>304.721596763233</v>
      </c>
      <c r="N2718" s="38" t="n">
        <f aca="false">Q!$N$12</f>
        <v>76.86</v>
      </c>
      <c r="O2718" s="38" t="n">
        <f aca="false">Q!$O$12</f>
        <v>95.302</v>
      </c>
      <c r="P2718" s="8" t="s">
        <v>661</v>
      </c>
    </row>
    <row r="2719" customFormat="false" ht="17.15" hidden="false" customHeight="false" outlineLevel="0" collapsed="false">
      <c r="A2719" s="0" t="s">
        <v>666</v>
      </c>
      <c r="B2719" s="0" t="s">
        <v>52</v>
      </c>
      <c r="E2719" s="13" t="n">
        <f aca="false">Sens!$E$2718/Sens!$N$2718-1</f>
        <v>0.1495966692688</v>
      </c>
      <c r="F2719" s="13" t="n">
        <f aca="false">Sens!$O$2718/(Q!$F$12+Q!$G$12)-1</f>
        <v>0.11661530890813</v>
      </c>
      <c r="G2719" s="13" t="n">
        <f aca="false">Sens!$G$2718/Sens!$D$2718-1</f>
        <v>0.105698662180944</v>
      </c>
      <c r="H2719" s="13" t="n">
        <f aca="false">Sens!$F$2719+(g_sp-Sens!$F$2719)*1/4</f>
        <v>0.104961481681098</v>
      </c>
      <c r="I2719" s="13" t="n">
        <f aca="false">Sens!$F$2719+(g_sp-Sens!$F$2719)*2/4</f>
        <v>0.0933076544540651</v>
      </c>
      <c r="J2719" s="13" t="n">
        <f aca="false">Sens!$F$2719+(g_sp-Sens!$F$2719)*3/4</f>
        <v>0.0816538272270325</v>
      </c>
      <c r="K2719" s="13" t="n">
        <f aca="false">Sens!$F$2719+(g_sp-Sens!$F$2719)*4/4</f>
        <v>0.07</v>
      </c>
      <c r="L2719" s="13" t="n">
        <f aca="false">g_sp</f>
        <v>0.07</v>
      </c>
      <c r="M2719" s="13" t="n">
        <f aca="false">g_sp</f>
        <v>0.07</v>
      </c>
      <c r="P2719" s="8" t="s">
        <v>667</v>
      </c>
    </row>
    <row r="2720" customFormat="false" ht="17.15" hidden="false" customHeight="false" outlineLevel="0" collapsed="false">
      <c r="A2720" s="0" t="s">
        <v>519</v>
      </c>
      <c r="B2720" s="0" t="s">
        <v>86</v>
      </c>
      <c r="C2720" s="38" t="n">
        <f aca="false">Q!$D$13</f>
        <v>56.214</v>
      </c>
      <c r="D2720" s="38" t="n">
        <f aca="false">Q!$E$13</f>
        <v>68.635</v>
      </c>
      <c r="E2720" s="38" t="n">
        <f aca="false">Q!$P$13</f>
        <v>37.052</v>
      </c>
      <c r="F2720" s="38" t="n">
        <f aca="false">Sens!$O$2720*(1+Sens!$F$2721)*Sens!$F$2726</f>
        <v>46.1558214174908</v>
      </c>
      <c r="G2720" s="38" t="n">
        <f aca="false">Sens!$E$2720+Sens!$F$2720</f>
        <v>83.2078214174908</v>
      </c>
      <c r="H2720" s="38" t="n">
        <f aca="false">Sens!$G$2720*(1+Sens!$H$2721)</f>
        <v>99.8952409237411</v>
      </c>
      <c r="I2720" s="38" t="n">
        <f aca="false">Sens!$H$2720*(1+Sens!$I$2721)</f>
        <v>116.581148769552</v>
      </c>
      <c r="J2720" s="38" t="n">
        <f aca="false">Sens!$I$2720*(1+Sens!$J$2721)</f>
        <v>132.146717612074</v>
      </c>
      <c r="K2720" s="38" t="n">
        <f aca="false">Sens!$J$2720*(1+Sens!$K$2721)</f>
        <v>145.361389373281</v>
      </c>
      <c r="L2720" s="38" t="n">
        <f aca="false">Sens!$K$2720*(1+Sens!$L$2721)</f>
        <v>159.897528310609</v>
      </c>
      <c r="M2720" s="38" t="n">
        <f aca="false">Sens!$L$2720*(1+Sens!$M$2721)</f>
        <v>175.88728114167</v>
      </c>
      <c r="N2720" s="38" t="n">
        <f aca="false">Q!$N$13</f>
        <v>29.615</v>
      </c>
      <c r="O2720" s="38" t="n">
        <f aca="false">Q!$O$13</f>
        <v>39.02</v>
      </c>
      <c r="P2720" s="8" t="s">
        <v>661</v>
      </c>
    </row>
    <row r="2721" customFormat="false" ht="17.15" hidden="false" customHeight="false" outlineLevel="0" collapsed="false">
      <c r="A2721" s="0" t="s">
        <v>668</v>
      </c>
      <c r="B2721" s="0" t="s">
        <v>52</v>
      </c>
      <c r="E2721" s="13" t="n">
        <f aca="false">Sens!$E$2720/Sens!$N$2720-1</f>
        <v>0.25112274185379</v>
      </c>
      <c r="F2721" s="13" t="n">
        <f aca="false">Sens!$O$2720/(Q!$F$13+Q!$G$13)-1</f>
        <v>0.234068123596572</v>
      </c>
      <c r="G2721" s="13" t="n">
        <f aca="false">Sens!$G$2720/Sens!$D$2720-1</f>
        <v>0.212323470787365</v>
      </c>
      <c r="H2721" s="13" t="n">
        <f aca="false">Sens!$F$2721+(g_ad-Sens!$F$2721)*1/4</f>
        <v>0.200551092697429</v>
      </c>
      <c r="I2721" s="13" t="n">
        <f aca="false">Sens!$F$2721+(g_ad-Sens!$F$2721)*2/4</f>
        <v>0.167034061798286</v>
      </c>
      <c r="J2721" s="13" t="n">
        <f aca="false">Sens!$F$2721+(g_ad-Sens!$F$2721)*3/4</f>
        <v>0.133517030899143</v>
      </c>
      <c r="K2721" s="13" t="n">
        <f aca="false">Sens!$F$2721+(g_ad-Sens!$F$2721)*4/4</f>
        <v>0.1</v>
      </c>
      <c r="L2721" s="13" t="n">
        <f aca="false">g_ad</f>
        <v>0.1</v>
      </c>
      <c r="M2721" s="13" t="n">
        <f aca="false">g_ad</f>
        <v>0.1</v>
      </c>
      <c r="P2721" s="8" t="s">
        <v>669</v>
      </c>
    </row>
    <row r="2722" customFormat="false" ht="17.15" hidden="false" customHeight="false" outlineLevel="0" collapsed="false">
      <c r="A2722" s="0" t="s">
        <v>520</v>
      </c>
      <c r="B2722" s="0" t="s">
        <v>86</v>
      </c>
      <c r="C2722" s="38" t="n">
        <f aca="false">Q!$D$14</f>
        <v>44.374</v>
      </c>
      <c r="D2722" s="38" t="n">
        <f aca="false">Q!$E$14</f>
        <v>49.619</v>
      </c>
      <c r="E2722" s="38" t="n">
        <f aca="false">Q!$P$14</f>
        <v>27.157</v>
      </c>
      <c r="F2722" s="38" t="n">
        <f aca="false">Sens!$O$2722*(1+Sens!$F$2723)*Sens!$F$2726</f>
        <v>27.775573761954</v>
      </c>
      <c r="G2722" s="38" t="n">
        <f aca="false">Sens!$E$2722+Sens!$F$2722</f>
        <v>54.932573761954</v>
      </c>
      <c r="H2722" s="38" t="n">
        <f aca="false">Sens!$G$2722*(1+Sens!$H$2723)</f>
        <v>61.1554729406564</v>
      </c>
      <c r="I2722" s="38" t="n">
        <f aca="false">Sens!$H$2722*(1+Sens!$I$2723)</f>
        <v>67.2009971376878</v>
      </c>
      <c r="J2722" s="38" t="n">
        <f aca="false">Sens!$I$2722*(1+Sens!$J$2723)</f>
        <v>72.8746092792916</v>
      </c>
      <c r="K2722" s="38" t="n">
        <f aca="false">Sens!$J$2722*(1+Sens!$K$2723)</f>
        <v>77.975831928842</v>
      </c>
      <c r="L2722" s="38" t="n">
        <f aca="false">Sens!$K$2722*(1+Sens!$L$2723)</f>
        <v>83.434140163861</v>
      </c>
      <c r="M2722" s="38" t="n">
        <f aca="false">Sens!$L$2722*(1+Sens!$M$2723)</f>
        <v>89.2745299753313</v>
      </c>
      <c r="N2722" s="38" t="n">
        <f aca="false">Q!$N$14</f>
        <v>23.923</v>
      </c>
      <c r="O2722" s="38" t="n">
        <f aca="false">Q!$O$14</f>
        <v>25.696</v>
      </c>
      <c r="P2722" s="8" t="s">
        <v>661</v>
      </c>
    </row>
    <row r="2723" customFormat="false" ht="17.15" hidden="false" customHeight="false" outlineLevel="0" collapsed="false">
      <c r="A2723" s="0" t="s">
        <v>670</v>
      </c>
      <c r="B2723" s="0" t="s">
        <v>52</v>
      </c>
      <c r="E2723" s="13" t="n">
        <f aca="false">Sens!$E$2722/Sens!$N$2722-1</f>
        <v>0.135183714417088</v>
      </c>
      <c r="F2723" s="13" t="n">
        <f aca="false">Sens!$O$2722/(Q!$F$14+Q!$G$14)-1</f>
        <v>0.127709997366804</v>
      </c>
      <c r="G2723" s="13" t="n">
        <f aca="false">Sens!$G$2722/Sens!$D$2722-1</f>
        <v>0.107087481850783</v>
      </c>
      <c r="H2723" s="13" t="n">
        <f aca="false">Sens!$F$2723+(g_sub-Sens!$F$2723)*1/4</f>
        <v>0.113282498025103</v>
      </c>
      <c r="I2723" s="13" t="n">
        <f aca="false">Sens!$F$2723+(g_sub-Sens!$F$2723)*2/4</f>
        <v>0.0988549986834021</v>
      </c>
      <c r="J2723" s="13" t="n">
        <f aca="false">Sens!$F$2723+(g_sub-Sens!$F$2723)*3/4</f>
        <v>0.084427499341701</v>
      </c>
      <c r="K2723" s="13" t="n">
        <f aca="false">Sens!$F$2723+(g_sub-Sens!$F$2723)*4/4</f>
        <v>0.07</v>
      </c>
      <c r="L2723" s="13" t="n">
        <f aca="false">g_sub</f>
        <v>0.07</v>
      </c>
      <c r="M2723" s="13" t="n">
        <f aca="false">g_sub</f>
        <v>0.07</v>
      </c>
      <c r="P2723" s="8" t="s">
        <v>671</v>
      </c>
    </row>
    <row r="2724" customFormat="false" ht="17.15" hidden="false" customHeight="false" outlineLevel="0" collapsed="false">
      <c r="A2724" s="0" t="s">
        <v>521</v>
      </c>
      <c r="B2724" s="0" t="s">
        <v>86</v>
      </c>
      <c r="C2724" s="38" t="n">
        <f aca="false">Q!$D$15</f>
        <v>5.425</v>
      </c>
      <c r="D2724" s="38" t="n">
        <f aca="false">Q!$E$15</f>
        <v>5.935</v>
      </c>
      <c r="E2724" s="38" t="n">
        <f aca="false">Q!$P$15</f>
        <v>3.474</v>
      </c>
      <c r="F2724" s="38" t="n">
        <f aca="false">Sens!$O$2724*(1+Sens!$F$2725)*Sens!$F$2726</f>
        <v>3.22236772758691</v>
      </c>
      <c r="G2724" s="38" t="n">
        <f aca="false">Sens!$E$2724+Sens!$F$2724</f>
        <v>6.69636772758691</v>
      </c>
      <c r="H2724" s="38" t="n">
        <f aca="false">Sens!$G$2724*(1+Sens!$H$2725)</f>
        <v>7.16240885564834</v>
      </c>
      <c r="I2724" s="38" t="n">
        <f aca="false">Sens!$H$2724*(1+Sens!$I$2725)</f>
        <v>7.61409952090767</v>
      </c>
      <c r="J2724" s="38" t="n">
        <f aca="false">Sens!$I$2724*(1+Sens!$J$2725)</f>
        <v>8.0445400677988</v>
      </c>
      <c r="K2724" s="38" t="n">
        <f aca="false">Sens!$J$2724*(1+Sens!$K$2725)</f>
        <v>8.44676707118874</v>
      </c>
      <c r="L2724" s="38" t="n">
        <f aca="false">Sens!$K$2724*(1+Sens!$L$2725)</f>
        <v>8.86910542474818</v>
      </c>
      <c r="M2724" s="38" t="n">
        <f aca="false">Sens!$L$2724*(1+Sens!$M$2725)</f>
        <v>9.31256069598559</v>
      </c>
      <c r="N2724" s="38" t="n">
        <f aca="false">Q!$N$15</f>
        <v>2.811</v>
      </c>
      <c r="O2724" s="38" t="n">
        <f aca="false">Q!$O$15</f>
        <v>3.124</v>
      </c>
      <c r="P2724" s="8" t="s">
        <v>661</v>
      </c>
    </row>
    <row r="2725" customFormat="false" ht="17.15" hidden="false" customHeight="false" outlineLevel="0" collapsed="false">
      <c r="A2725" s="0" t="s">
        <v>672</v>
      </c>
      <c r="B2725" s="0" t="s">
        <v>52</v>
      </c>
      <c r="E2725" s="13" t="n">
        <f aca="false">Sens!$E$2724/Sens!$N$2724-1</f>
        <v>0.235859124866596</v>
      </c>
      <c r="F2725" s="13" t="n">
        <f aca="false">Sens!$O$2724/(Q!$F$15+Q!$G$15)-1</f>
        <v>0.0761281433000345</v>
      </c>
      <c r="G2725" s="13" t="n">
        <f aca="false">Sens!$G$2724/Sens!$D$2724-1</f>
        <v>0.128284368590886</v>
      </c>
      <c r="H2725" s="13" t="n">
        <f aca="false">Sens!$F$2725+(g_ot-Sens!$F$2725)*1/4</f>
        <v>0.0695961074750259</v>
      </c>
      <c r="I2725" s="13" t="n">
        <f aca="false">Sens!$F$2725+(g_ot-Sens!$F$2725)*2/4</f>
        <v>0.0630640716500172</v>
      </c>
      <c r="J2725" s="13" t="n">
        <f aca="false">Sens!$F$2725+(g_ot-Sens!$F$2725)*3/4</f>
        <v>0.0565320358250086</v>
      </c>
      <c r="K2725" s="13" t="n">
        <f aca="false">Sens!$F$2725+(g_ot-Sens!$F$2725)*4/4</f>
        <v>0.05</v>
      </c>
      <c r="L2725" s="13" t="n">
        <f aca="false">g_ot</f>
        <v>0.05</v>
      </c>
      <c r="M2725" s="13" t="n">
        <f aca="false">g_ot</f>
        <v>0.05</v>
      </c>
      <c r="P2725" s="8" t="s">
        <v>673</v>
      </c>
    </row>
    <row r="2726" customFormat="false" ht="17.15" hidden="false" customHeight="false" outlineLevel="0" collapsed="false">
      <c r="A2726" s="0" t="s">
        <v>674</v>
      </c>
      <c r="B2726" s="0" t="s">
        <v>57</v>
      </c>
      <c r="F2726" s="40" t="n">
        <f aca="false">(g26q3_mid*Q!$O$8/Q!$J$8-Sens!$F$2755-Sens!$F$2759)/(Sens!$O$2714*(1+Sens!$F$2715)+Sens!$O$2716*(1+Sens!$F$2717)+Sens!$O$2718*(1+Sens!$F$2719)+Sens!$O$2720*(1+Sens!$F$2721)+Sens!$O$2722*(1+Sens!$F$2723)+Sens!$O$2724*(1+Sens!$F$2725))</f>
        <v>0.958517584852228</v>
      </c>
      <c r="P2726" s="8" t="s">
        <v>675</v>
      </c>
    </row>
    <row r="2727" customFormat="false" ht="17.15" hidden="false" customHeight="false" outlineLevel="0" collapsed="false">
      <c r="A2727" s="3" t="s">
        <v>676</v>
      </c>
      <c r="B2727" s="8" t="s">
        <v>86</v>
      </c>
      <c r="C2727" s="38" t="n">
        <f aca="false">Sens!$C$2714+Sens!$C$2716+Sens!$C$2718+Sens!$C$2720+Sens!$C$2722+Sens!$C$2724</f>
        <v>530.403</v>
      </c>
      <c r="D2727" s="38" t="n">
        <f aca="false">Sens!$D$2714+Sens!$D$2716+Sens!$D$2718+Sens!$D$2720+Sens!$D$2722+Sens!$D$2724</f>
        <v>588.199</v>
      </c>
      <c r="E2727" s="38" t="n">
        <f aca="false">Sens!$E$2714+Sens!$E$2716+Sens!$E$2718+Sens!$E$2720+Sens!$E$2722+Sens!$E$2724</f>
        <v>302.306</v>
      </c>
      <c r="F2727" s="38" t="n">
        <f aca="false">Sens!$F$2714+Sens!$F$2716+Sens!$F$2718+Sens!$F$2720+Sens!$F$2722+Sens!$F$2724</f>
        <v>349.037650260452</v>
      </c>
      <c r="G2727" s="38" t="n">
        <f aca="false">Sens!$G$2714+Sens!$G$2716+Sens!$G$2718+Sens!$G$2720+Sens!$G$2722+Sens!$G$2724</f>
        <v>651.343650260452</v>
      </c>
      <c r="H2727" s="38" t="n">
        <f aca="false">Sens!$H$2714+Sens!$H$2716+Sens!$H$2718+Sens!$H$2720+Sens!$H$2722+Sens!$H$2724</f>
        <v>721.08515895465</v>
      </c>
      <c r="I2727" s="38" t="n">
        <f aca="false">Sens!$I$2714+Sens!$I$2716+Sens!$I$2718+Sens!$I$2720+Sens!$I$2722+Sens!$I$2724</f>
        <v>788.516558884844</v>
      </c>
      <c r="J2727" s="38" t="n">
        <f aca="false">Sens!$J$2714+Sens!$J$2716+Sens!$J$2718+Sens!$J$2720+Sens!$J$2722+Sens!$J$2724</f>
        <v>851.094551130985</v>
      </c>
      <c r="K2727" s="38" t="n">
        <f aca="false">Sens!$K$2714+Sens!$K$2716+Sens!$K$2718+Sens!$K$2720+Sens!$K$2722+Sens!$K$2724</f>
        <v>906.161701626302</v>
      </c>
      <c r="L2727" s="38" t="n">
        <f aca="false">Sens!$L$2714+Sens!$L$2716+Sens!$L$2718+Sens!$L$2720+Sens!$L$2722+Sens!$L$2724</f>
        <v>965.077390407598</v>
      </c>
      <c r="M2727" s="38" t="n">
        <f aca="false">Sens!$M$2714+Sens!$M$2716+Sens!$M$2718+Sens!$M$2720+Sens!$M$2722+Sens!$M$2724</f>
        <v>1028.13116178247</v>
      </c>
      <c r="N2727" s="38" t="n">
        <f aca="false">Sens!$N$2714+Sens!$N$2716+Sens!$N$2718+Sens!$N$2720+Sens!$N$2722+Sens!$N$2724</f>
        <v>263.229</v>
      </c>
      <c r="O2727" s="38" t="n">
        <f aca="false">Sens!$O$2714+Sens!$O$2716+Sens!$O$2718+Sens!$O$2720+Sens!$O$2722+Sens!$O$2724</f>
        <v>324.97</v>
      </c>
    </row>
    <row r="2728" customFormat="false" ht="17.15" hidden="false" customHeight="false" outlineLevel="0" collapsed="false">
      <c r="A2728" s="5" t="s">
        <v>677</v>
      </c>
      <c r="B2728" s="0" t="s">
        <v>52</v>
      </c>
      <c r="C2728" s="13" t="n">
        <f aca="false">Q!$D$5/(Q!$D$5+Q!$D$6)</f>
        <v>0.730570905519011</v>
      </c>
      <c r="D2728" s="13" t="n">
        <f aca="false">Q!$E$5/(Q!$E$5+Q!$E$6)</f>
        <v>0.724763217890544</v>
      </c>
      <c r="E2728" s="13" t="n">
        <f aca="false">Q!$P$5/(Q!$P$5+Q!$P$6)</f>
        <v>0.728797972914861</v>
      </c>
      <c r="F2728" s="13" t="n">
        <f aca="false">Sens!$O$2728</f>
        <v>0.718066283041511</v>
      </c>
      <c r="G2728" s="13" t="n">
        <f aca="false">Sens!$G$2729/Sens!$G$2727</f>
        <v>0.723047147194491</v>
      </c>
      <c r="H2728" s="13" t="n">
        <f aca="false">Sens!$G$2728</f>
        <v>0.723047147194491</v>
      </c>
      <c r="I2728" s="13" t="n">
        <f aca="false">Sens!$G$2728</f>
        <v>0.723047147194491</v>
      </c>
      <c r="J2728" s="13" t="n">
        <f aca="false">Sens!$G$2728</f>
        <v>0.723047147194491</v>
      </c>
      <c r="K2728" s="13" t="n">
        <f aca="false">Sens!$G$2728</f>
        <v>0.723047147194491</v>
      </c>
      <c r="L2728" s="13" t="n">
        <f aca="false">Sens!$G$2728</f>
        <v>0.723047147194491</v>
      </c>
      <c r="M2728" s="13" t="n">
        <f aca="false">Sens!$G$2728</f>
        <v>0.723047147194491</v>
      </c>
      <c r="N2728" s="13" t="n">
        <f aca="false">Q!$N$5/(Q!$N$5+Q!$N$6)</f>
        <v>0.733030935041352</v>
      </c>
      <c r="O2728" s="13" t="n">
        <f aca="false">Q!$O$5/(Q!$O$5+Q!$O$6)</f>
        <v>0.718066283041511</v>
      </c>
      <c r="P2728" s="8" t="s">
        <v>678</v>
      </c>
    </row>
    <row r="2729" customFormat="false" ht="17.15" hidden="false" customHeight="false" outlineLevel="0" collapsed="false">
      <c r="A2729" s="1" t="s">
        <v>509</v>
      </c>
      <c r="B2729" s="8" t="s">
        <v>86</v>
      </c>
      <c r="C2729" s="38" t="n">
        <f aca="false">Q!$D$5</f>
        <v>387.497</v>
      </c>
      <c r="D2729" s="38" t="n">
        <f aca="false">Q!$E$5</f>
        <v>426.305</v>
      </c>
      <c r="E2729" s="38" t="n">
        <f aca="false">Q!$P$5</f>
        <v>220.32</v>
      </c>
      <c r="F2729" s="38" t="n">
        <f aca="false">Sens!$F$2727*Sens!$F$2728</f>
        <v>250.632168164066</v>
      </c>
      <c r="G2729" s="38" t="n">
        <f aca="false">Sens!$E$2729+Sens!$F$2729</f>
        <v>470.952168164066</v>
      </c>
      <c r="H2729" s="38" t="n">
        <f aca="false">Sens!$H$2727*Sens!$H$2728</f>
        <v>521.378567066445</v>
      </c>
      <c r="I2729" s="38" t="n">
        <f aca="false">Sens!$I$2727*Sens!$I$2728</f>
        <v>570.134648417303</v>
      </c>
      <c r="J2729" s="38" t="n">
        <f aca="false">Sens!$J$2727*Sens!$J$2728</f>
        <v>615.381487188034</v>
      </c>
      <c r="K2729" s="38" t="n">
        <f aca="false">Sens!$K$2727*Sens!$K$2728</f>
        <v>655.197633257803</v>
      </c>
      <c r="L2729" s="38" t="n">
        <f aca="false">Sens!$L$2727*Sens!$L$2728</f>
        <v>697.796453956118</v>
      </c>
      <c r="M2729" s="38" t="n">
        <f aca="false">Sens!$M$2727*Sens!$M$2728</f>
        <v>743.387303468573</v>
      </c>
      <c r="N2729" s="38" t="n">
        <f aca="false">Q!$N$5</f>
        <v>192.955</v>
      </c>
      <c r="O2729" s="38" t="n">
        <f aca="false">Q!$O$5</f>
        <v>233.35</v>
      </c>
      <c r="P2729" s="5" t="s">
        <v>679</v>
      </c>
    </row>
    <row r="2730" customFormat="false" ht="17.15" hidden="false" customHeight="false" outlineLevel="0" collapsed="false">
      <c r="A2730" s="1" t="s">
        <v>512</v>
      </c>
      <c r="B2730" s="8" t="s">
        <v>86</v>
      </c>
      <c r="C2730" s="38" t="n">
        <f aca="false">Q!$D$6</f>
        <v>142.906</v>
      </c>
      <c r="D2730" s="38" t="n">
        <f aca="false">Q!$E$6</f>
        <v>161.894</v>
      </c>
      <c r="E2730" s="38" t="n">
        <f aca="false">Q!$P$6</f>
        <v>81.986</v>
      </c>
      <c r="F2730" s="38" t="n">
        <f aca="false">Sens!$F$2727*(1-Sens!$F$2728)</f>
        <v>98.4054820963863</v>
      </c>
      <c r="G2730" s="38" t="n">
        <f aca="false">Sens!$E$2730+Sens!$F$2730</f>
        <v>180.391482096386</v>
      </c>
      <c r="H2730" s="38" t="n">
        <f aca="false">Sens!$H$2727*(1-Sens!$H$2728)</f>
        <v>199.706591888204</v>
      </c>
      <c r="I2730" s="38" t="n">
        <f aca="false">Sens!$I$2727*(1-Sens!$I$2728)</f>
        <v>218.381910467541</v>
      </c>
      <c r="J2730" s="38" t="n">
        <f aca="false">Sens!$J$2727*(1-Sens!$J$2728)</f>
        <v>235.713063942951</v>
      </c>
      <c r="K2730" s="38" t="n">
        <f aca="false">Sens!$K$2727*(1-Sens!$K$2728)</f>
        <v>250.964068368499</v>
      </c>
      <c r="L2730" s="38" t="n">
        <f aca="false">Sens!$L$2727*(1-Sens!$L$2728)</f>
        <v>267.280936451481</v>
      </c>
      <c r="M2730" s="38" t="n">
        <f aca="false">Sens!$M$2727*(1-Sens!$M$2728)</f>
        <v>284.743858313898</v>
      </c>
      <c r="N2730" s="38" t="n">
        <f aca="false">Q!$N$6</f>
        <v>70.274</v>
      </c>
      <c r="O2730" s="38" t="n">
        <f aca="false">Q!$O$6</f>
        <v>91.62</v>
      </c>
      <c r="P2730" s="5" t="s">
        <v>680</v>
      </c>
    </row>
    <row r="2731" customFormat="false" ht="17.15" hidden="false" customHeight="false" outlineLevel="0" collapsed="false">
      <c r="A2731" s="5" t="s">
        <v>681</v>
      </c>
      <c r="B2731" s="0" t="s">
        <v>86</v>
      </c>
      <c r="C2731" s="38" t="n">
        <f aca="false">Sens!$C$2720*Sens!$C$2728</f>
        <v>41.0683128828457</v>
      </c>
      <c r="D2731" s="38" t="n">
        <f aca="false">Sens!$D$2720*Sens!$D$2728</f>
        <v>49.7441234599175</v>
      </c>
      <c r="E2731" s="38" t="n">
        <f aca="false">Sens!$E$2720*Sens!$E$2728</f>
        <v>27.0034224924414</v>
      </c>
      <c r="F2731" s="38" t="n">
        <f aca="false">Sens!$F$2720*Sens!$F$2728</f>
        <v>33.1429391259854</v>
      </c>
      <c r="G2731" s="38" t="n">
        <f aca="false">Sens!$G$2720*Sens!$G$2728</f>
        <v>60.1631779001854</v>
      </c>
      <c r="H2731" s="38" t="n">
        <f aca="false">Sens!$H$2720*Sens!$H$2728</f>
        <v>72.2289689682173</v>
      </c>
      <c r="I2731" s="38" t="n">
        <f aca="false">Sens!$I$2720*Sens!$I$2728</f>
        <v>84.293667034481</v>
      </c>
      <c r="J2731" s="38" t="n">
        <f aca="false">Sens!$J$2720*Sens!$J$2728</f>
        <v>95.5483071805259</v>
      </c>
      <c r="K2731" s="38" t="n">
        <f aca="false">Sens!$K$2720*Sens!$K$2728</f>
        <v>105.103137898578</v>
      </c>
      <c r="L2731" s="38" t="n">
        <f aca="false">Sens!$L$2720*Sens!$L$2728</f>
        <v>115.613451688436</v>
      </c>
      <c r="M2731" s="38" t="n">
        <f aca="false">Sens!$M$2720*Sens!$M$2728</f>
        <v>127.17479685728</v>
      </c>
      <c r="N2731" s="38" t="n">
        <f aca="false">Sens!$N$2720*Sens!$N$2728</f>
        <v>21.7087111412496</v>
      </c>
      <c r="O2731" s="38" t="n">
        <f aca="false">Sens!$O$2720*Sens!$O$2728</f>
        <v>28.0189463642798</v>
      </c>
      <c r="P2731" s="5" t="s">
        <v>682</v>
      </c>
    </row>
    <row r="2732" customFormat="false" ht="15" hidden="false" customHeight="false" outlineLevel="0" collapsed="false">
      <c r="A2732" s="5" t="s">
        <v>683</v>
      </c>
      <c r="B2732" s="0" t="s">
        <v>86</v>
      </c>
      <c r="C2732" s="38" t="n">
        <f aca="false">Sens!$C$2720-Sens!$C$2731</f>
        <v>15.1456871171543</v>
      </c>
      <c r="D2732" s="38" t="n">
        <f aca="false">Sens!$D$2720-Sens!$D$2731</f>
        <v>18.8908765400825</v>
      </c>
      <c r="E2732" s="38" t="n">
        <f aca="false">Sens!$E$2720-Sens!$E$2731</f>
        <v>10.0485775075586</v>
      </c>
      <c r="F2732" s="38" t="n">
        <f aca="false">Sens!$F$2720-Sens!$F$2731</f>
        <v>13.0128822915054</v>
      </c>
      <c r="G2732" s="38" t="n">
        <f aca="false">Sens!$G$2720-Sens!$G$2731</f>
        <v>23.0446435173055</v>
      </c>
      <c r="H2732" s="38" t="n">
        <f aca="false">Sens!$H$2720-Sens!$H$2731</f>
        <v>27.6662719555238</v>
      </c>
      <c r="I2732" s="38" t="n">
        <f aca="false">Sens!$I$2720-Sens!$I$2731</f>
        <v>32.2874817350709</v>
      </c>
      <c r="J2732" s="38" t="n">
        <f aca="false">Sens!$J$2720-Sens!$J$2731</f>
        <v>36.5984104315479</v>
      </c>
      <c r="K2732" s="38" t="n">
        <f aca="false">Sens!$K$2720-Sens!$K$2731</f>
        <v>40.2582514747027</v>
      </c>
      <c r="L2732" s="38" t="n">
        <f aca="false">Sens!$L$2720-Sens!$L$2731</f>
        <v>44.284076622173</v>
      </c>
      <c r="M2732" s="38" t="n">
        <f aca="false">Sens!$M$2720-Sens!$M$2731</f>
        <v>48.7124842843903</v>
      </c>
      <c r="N2732" s="38" t="n">
        <f aca="false">Sens!$N$2720-Sens!$N$2731</f>
        <v>7.90628885875037</v>
      </c>
      <c r="O2732" s="38" t="n">
        <f aca="false">Sens!$O$2720-Sens!$O$2731</f>
        <v>11.0010536357202</v>
      </c>
    </row>
    <row r="2733" customFormat="false" ht="19.4" hidden="false" customHeight="false" outlineLevel="0" collapsed="false">
      <c r="A2733" s="31" t="s">
        <v>1183</v>
      </c>
    </row>
    <row r="2734" customFormat="false" ht="17.15" hidden="false" customHeight="false" outlineLevel="0" collapsed="false">
      <c r="A2734" s="6" t="s">
        <v>16</v>
      </c>
      <c r="B2734" s="6" t="s">
        <v>17</v>
      </c>
      <c r="C2734" s="20" t="s">
        <v>494</v>
      </c>
      <c r="D2734" s="20" t="s">
        <v>495</v>
      </c>
      <c r="E2734" s="20" t="s">
        <v>577</v>
      </c>
      <c r="F2734" s="20" t="s">
        <v>578</v>
      </c>
      <c r="G2734" s="20" t="s">
        <v>579</v>
      </c>
      <c r="H2734" s="20" t="s">
        <v>580</v>
      </c>
      <c r="I2734" s="20" t="s">
        <v>581</v>
      </c>
      <c r="J2734" s="20" t="s">
        <v>582</v>
      </c>
      <c r="K2734" s="20" t="s">
        <v>583</v>
      </c>
      <c r="L2734" s="20" t="s">
        <v>584</v>
      </c>
      <c r="M2734" s="20" t="s">
        <v>585</v>
      </c>
      <c r="N2734" s="20" t="s">
        <v>586</v>
      </c>
      <c r="O2734" s="20" t="s">
        <v>587</v>
      </c>
      <c r="P2734" s="6" t="s">
        <v>23</v>
      </c>
      <c r="R2734" s="20" t="n">
        <v>2023</v>
      </c>
      <c r="S2734" s="20" t="n">
        <v>2024</v>
      </c>
      <c r="T2734" s="20" t="n">
        <v>2025</v>
      </c>
      <c r="U2734" s="20" t="n">
        <v>2026</v>
      </c>
      <c r="V2734" s="20" t="n">
        <v>2027</v>
      </c>
      <c r="W2734" s="20" t="n">
        <v>2028</v>
      </c>
      <c r="X2734" s="20" t="n">
        <v>2029</v>
      </c>
      <c r="Y2734" s="20" t="n">
        <v>2030</v>
      </c>
      <c r="Z2734" s="20" t="n">
        <v>2031</v>
      </c>
      <c r="AA2734" s="20" t="n">
        <v>2032</v>
      </c>
    </row>
    <row r="2735" customFormat="false" ht="17.15" hidden="false" customHeight="false" outlineLevel="0" collapsed="false">
      <c r="A2735" s="1" t="s">
        <v>588</v>
      </c>
    </row>
    <row r="2736" customFormat="false" ht="17.15" hidden="false" customHeight="false" outlineLevel="0" collapsed="false">
      <c r="A2736" s="5" t="s">
        <v>589</v>
      </c>
      <c r="B2736" s="0" t="s">
        <v>144</v>
      </c>
      <c r="H2736" s="32" t="n">
        <f aca="false">pace_B</f>
        <v>3634.3</v>
      </c>
      <c r="I2736" s="32" t="n">
        <f aca="false">pace_B</f>
        <v>3634.3</v>
      </c>
      <c r="J2736" s="32" t="n">
        <f aca="false">pace_B</f>
        <v>3634.3</v>
      </c>
      <c r="K2736" s="32" t="n">
        <f aca="false">pace_B+(Sens!$J$2737*tg-pace_B)*1/3</f>
        <v>2570.86716666667</v>
      </c>
      <c r="L2736" s="32" t="n">
        <f aca="false">pace_B+(Sens!$J$2737*tg-pace_B)*2/3</f>
        <v>1507.43433333333</v>
      </c>
      <c r="M2736" s="32" t="n">
        <f aca="false">pace_B+(Sens!$J$2737*tg-pace_B)*3/3</f>
        <v>444.0015</v>
      </c>
      <c r="P2736" s="5" t="s">
        <v>590</v>
      </c>
    </row>
    <row r="2737" customFormat="false" ht="17.15" hidden="false" customHeight="false" outlineLevel="0" collapsed="false">
      <c r="A2737" s="15" t="s">
        <v>591</v>
      </c>
      <c r="B2737" s="14" t="s">
        <v>129</v>
      </c>
      <c r="C2737" s="33" t="n">
        <f aca="false">mw_ye24</f>
        <v>360</v>
      </c>
      <c r="D2737" s="33" t="n">
        <f aca="false">mw_ye25</f>
        <v>1440</v>
      </c>
      <c r="E2737" s="33" t="n">
        <f aca="false">mw_open</f>
        <v>2080</v>
      </c>
      <c r="F2737" s="33" t="n">
        <f aca="false">Sens!$E$2737+pace_B*0.5</f>
        <v>3897.15</v>
      </c>
      <c r="G2737" s="33" t="n">
        <f aca="false">Sens!$F$2737</f>
        <v>3897.15</v>
      </c>
      <c r="H2737" s="33" t="n">
        <f aca="false">Sens!$G$2737+Sens!$H$2736</f>
        <v>7531.45</v>
      </c>
      <c r="I2737" s="33" t="n">
        <f aca="false">Sens!$H$2737+Sens!$I$2736</f>
        <v>11165.75</v>
      </c>
      <c r="J2737" s="33" t="n">
        <f aca="false">Sens!$I$2737+Sens!$J$2736</f>
        <v>14800.05</v>
      </c>
      <c r="K2737" s="33" t="n">
        <f aca="false">Sens!$J$2737+Sens!$K$2736</f>
        <v>17370.9171666667</v>
      </c>
      <c r="L2737" s="33" t="n">
        <f aca="false">Sens!$K$2737+Sens!$L$2736</f>
        <v>18878.3515</v>
      </c>
      <c r="M2737" s="33" t="n">
        <f aca="false">Sens!$L$2737+Sens!$M$2736</f>
        <v>19322.353</v>
      </c>
      <c r="N2737" s="33" t="n">
        <f aca="false">(mw_ye24+mw_ye25)/2</f>
        <v>900</v>
      </c>
      <c r="O2737" s="33" t="n">
        <f aca="false">mw_ye25</f>
        <v>1440</v>
      </c>
      <c r="P2737" s="5" t="s">
        <v>592</v>
      </c>
    </row>
    <row r="2738" customFormat="false" ht="17.15" hidden="false" customHeight="false" outlineLevel="0" collapsed="false">
      <c r="A2738" s="5" t="s">
        <v>593</v>
      </c>
      <c r="B2738" s="0" t="s">
        <v>129</v>
      </c>
      <c r="C2738" s="32" t="n">
        <f aca="false">(mw_ye23+mw_ye24)/2</f>
        <v>240</v>
      </c>
      <c r="D2738" s="32" t="n">
        <f aca="false">(Sens!$C$2737+Sens!$D$2737)/2</f>
        <v>900</v>
      </c>
      <c r="E2738" s="32" t="n">
        <f aca="false">(Sens!$D$2737+Sens!$E$2737)/2</f>
        <v>1760</v>
      </c>
      <c r="F2738" s="32" t="n">
        <f aca="false">(Sens!$E$2737+Sens!$F$2737)/2</f>
        <v>2988.575</v>
      </c>
      <c r="G2738" s="32" t="n">
        <f aca="false">(Sens!$E$2738+Sens!$F$2738)/2</f>
        <v>2374.2875</v>
      </c>
      <c r="H2738" s="32" t="n">
        <f aca="false">(Sens!$G$2737+Sens!$H$2737)/2</f>
        <v>5714.3</v>
      </c>
      <c r="I2738" s="32" t="n">
        <f aca="false">(Sens!$H$2737+Sens!$I$2737)/2</f>
        <v>9348.6</v>
      </c>
      <c r="J2738" s="32" t="n">
        <f aca="false">(Sens!$I$2737+Sens!$J$2737)/2</f>
        <v>12982.9</v>
      </c>
      <c r="K2738" s="32" t="n">
        <f aca="false">(Sens!$J$2737+Sens!$K$2737)/2</f>
        <v>16085.4835833333</v>
      </c>
      <c r="L2738" s="32" t="n">
        <f aca="false">(Sens!$K$2737+Sens!$L$2737)/2</f>
        <v>18124.6343333333</v>
      </c>
      <c r="M2738" s="32" t="n">
        <f aca="false">(Sens!$L$2737+Sens!$M$2737)/2</f>
        <v>19100.35225</v>
      </c>
      <c r="N2738" s="32" t="n">
        <f aca="false">(Sens!$C$2737+Sens!$N$2737)/2</f>
        <v>630</v>
      </c>
      <c r="O2738" s="32" t="n">
        <f aca="false">(Sens!$N$2737+Sens!$O$2737)/2</f>
        <v>1170</v>
      </c>
    </row>
    <row r="2739" customFormat="false" ht="15" hidden="false" customHeight="false" outlineLevel="0" collapsed="false">
      <c r="A2739" s="5" t="s">
        <v>594</v>
      </c>
      <c r="B2739" s="5" t="s">
        <v>123</v>
      </c>
      <c r="C2739" s="34" t="n">
        <v>1</v>
      </c>
      <c r="D2739" s="34" t="n">
        <v>1</v>
      </c>
      <c r="E2739" s="34" t="n">
        <v>0.5</v>
      </c>
      <c r="F2739" s="34" t="n">
        <v>0.5</v>
      </c>
      <c r="G2739" s="34" t="n">
        <v>1</v>
      </c>
      <c r="H2739" s="34" t="n">
        <v>1</v>
      </c>
      <c r="I2739" s="34" t="n">
        <v>1</v>
      </c>
      <c r="J2739" s="34" t="n">
        <v>1</v>
      </c>
      <c r="K2739" s="34" t="n">
        <v>1</v>
      </c>
      <c r="L2739" s="34" t="n">
        <v>1</v>
      </c>
      <c r="M2739" s="34" t="n">
        <v>1</v>
      </c>
      <c r="N2739" s="34" t="n">
        <v>0.5</v>
      </c>
      <c r="O2739" s="34" t="n">
        <v>0.5</v>
      </c>
    </row>
    <row r="2740" customFormat="false" ht="17.15" hidden="false" customHeight="false" outlineLevel="0" collapsed="false">
      <c r="A2740" s="5" t="s">
        <v>595</v>
      </c>
      <c r="B2740" s="0" t="s">
        <v>129</v>
      </c>
      <c r="C2740" s="32" t="n">
        <f aca="false">Sens!$C$2737-mw_ye23</f>
        <v>240</v>
      </c>
      <c r="D2740" s="32" t="n">
        <f aca="false">Sens!$D$2737-Sens!$C$2737</f>
        <v>1080</v>
      </c>
      <c r="E2740" s="32" t="n">
        <f aca="false">Sens!$E$2737-Sens!$D$2737</f>
        <v>640</v>
      </c>
      <c r="F2740" s="32" t="n">
        <f aca="false">Sens!$F$2737-Sens!$E$2737</f>
        <v>1817.15</v>
      </c>
      <c r="G2740" s="32" t="n">
        <f aca="false">Sens!$E$2740+Sens!$F$2740</f>
        <v>2457.15</v>
      </c>
      <c r="H2740" s="32" t="n">
        <f aca="false">Sens!$H$2737-Sens!$G$2737</f>
        <v>3634.3</v>
      </c>
      <c r="I2740" s="32" t="n">
        <f aca="false">Sens!$I$2737-Sens!$H$2737</f>
        <v>3634.3</v>
      </c>
      <c r="J2740" s="32" t="n">
        <f aca="false">Sens!$J$2737-Sens!$I$2737</f>
        <v>3634.3</v>
      </c>
      <c r="K2740" s="32" t="n">
        <f aca="false">Sens!$K$2737-Sens!$J$2737</f>
        <v>2570.86716666667</v>
      </c>
      <c r="L2740" s="32" t="n">
        <f aca="false">Sens!$L$2737-Sens!$K$2737</f>
        <v>1507.43433333333</v>
      </c>
      <c r="M2740" s="32" t="n">
        <f aca="false">Sens!$M$2737-Sens!$L$2737</f>
        <v>444.001499999999</v>
      </c>
      <c r="N2740" s="32" t="n">
        <f aca="false">Sens!$N$2737-Sens!$C$2737</f>
        <v>540</v>
      </c>
      <c r="O2740" s="32" t="n">
        <f aca="false">Sens!$O$2737-Sens!$N$2737</f>
        <v>540</v>
      </c>
    </row>
    <row r="2741" customFormat="false" ht="17.15" hidden="false" customHeight="false" outlineLevel="0" collapsed="false">
      <c r="A2741" s="5" t="s">
        <v>596</v>
      </c>
      <c r="B2741" s="0" t="s">
        <v>129</v>
      </c>
      <c r="C2741" s="32" t="n">
        <f aca="false">Sens!$C$2740/ext_sh</f>
        <v>300</v>
      </c>
      <c r="D2741" s="32" t="n">
        <f aca="false">Sens!$D$2740/ext_sh</f>
        <v>1350</v>
      </c>
      <c r="E2741" s="32" t="n">
        <f aca="false">Sens!$E$2740/ext_sh</f>
        <v>800</v>
      </c>
      <c r="F2741" s="32" t="n">
        <f aca="false">Sens!$F$2740/ext_sh</f>
        <v>2271.4375</v>
      </c>
      <c r="G2741" s="32" t="n">
        <f aca="false">Sens!$G$2740/ext_sh</f>
        <v>3071.4375</v>
      </c>
      <c r="H2741" s="32" t="n">
        <f aca="false">Sens!$H$2740/ext_sh</f>
        <v>4542.875</v>
      </c>
      <c r="I2741" s="32" t="n">
        <f aca="false">Sens!$I$2740/ext_sh</f>
        <v>4542.875</v>
      </c>
      <c r="J2741" s="32" t="n">
        <f aca="false">Sens!$J$2740/ext_sh</f>
        <v>4542.875</v>
      </c>
      <c r="K2741" s="32" t="n">
        <f aca="false">Sens!$K$2740/ext_sh</f>
        <v>3213.58395833333</v>
      </c>
      <c r="L2741" s="32" t="n">
        <f aca="false">Sens!$L$2740/ext_sh</f>
        <v>1884.29291666667</v>
      </c>
      <c r="M2741" s="32" t="n">
        <f aca="false">Sens!$M$2740/ext_sh</f>
        <v>555.001874999998</v>
      </c>
      <c r="N2741" s="32" t="n">
        <f aca="false">Sens!$N$2740/ext_sh</f>
        <v>675</v>
      </c>
      <c r="O2741" s="32" t="n">
        <f aca="false">Sens!$O$2740/ext_sh</f>
        <v>675</v>
      </c>
      <c r="P2741" s="8" t="s">
        <v>597</v>
      </c>
      <c r="R2741" s="32" t="n">
        <f aca="false">mw_ye23/ext_sh</f>
        <v>150</v>
      </c>
      <c r="S2741" s="32" t="n">
        <f aca="false">Sens!$C$2741</f>
        <v>300</v>
      </c>
      <c r="T2741" s="32" t="n">
        <f aca="false">Sens!$D$2741</f>
        <v>1350</v>
      </c>
      <c r="U2741" s="32" t="n">
        <f aca="false">Sens!$G$2741</f>
        <v>3071.4375</v>
      </c>
      <c r="V2741" s="32" t="n">
        <f aca="false">Sens!$H$2741</f>
        <v>4542.875</v>
      </c>
      <c r="W2741" s="32" t="n">
        <f aca="false">Sens!$I$2741</f>
        <v>4542.875</v>
      </c>
      <c r="X2741" s="32" t="n">
        <f aca="false">Sens!$J$2741</f>
        <v>4542.875</v>
      </c>
      <c r="Y2741" s="32" t="n">
        <f aca="false">Sens!$K$2741</f>
        <v>3213.58395833333</v>
      </c>
      <c r="Z2741" s="32" t="n">
        <f aca="false">Sens!$L$2741</f>
        <v>1884.29291666667</v>
      </c>
      <c r="AA2741" s="32" t="n">
        <f aca="false">Sens!$M$2741</f>
        <v>555.001874999998</v>
      </c>
    </row>
    <row r="2742" customFormat="false" ht="17.15" hidden="false" customHeight="false" outlineLevel="0" collapsed="false">
      <c r="A2742" s="1" t="s">
        <v>598</v>
      </c>
    </row>
    <row r="2743" customFormat="false" ht="17.15" hidden="false" customHeight="false" outlineLevel="0" collapsed="false">
      <c r="A2743" s="0" t="s">
        <v>599</v>
      </c>
      <c r="B2743" s="0" t="s">
        <v>52</v>
      </c>
      <c r="F2743" s="35" t="n">
        <f aca="false">na_vr26</f>
        <v>0</v>
      </c>
      <c r="G2743" s="35" t="n">
        <f aca="false">na_vr26</f>
        <v>0</v>
      </c>
      <c r="H2743" s="35" t="n">
        <f aca="false">na_vr27</f>
        <v>0.5</v>
      </c>
      <c r="I2743" s="35" t="n">
        <f aca="false">na_vr28</f>
        <v>1</v>
      </c>
      <c r="J2743" s="35" t="n">
        <f aca="false">na_vr28</f>
        <v>1</v>
      </c>
      <c r="K2743" s="35" t="n">
        <f aca="false">na_vr28</f>
        <v>1</v>
      </c>
      <c r="L2743" s="35" t="n">
        <f aca="false">na_vr28</f>
        <v>1</v>
      </c>
      <c r="M2743" s="35" t="n">
        <f aca="false">na_vr28</f>
        <v>1</v>
      </c>
    </row>
    <row r="2744" customFormat="false" ht="17.15" hidden="false" customHeight="false" outlineLevel="0" collapsed="false">
      <c r="A2744" s="5" t="s">
        <v>600</v>
      </c>
      <c r="B2744" s="0" t="s">
        <v>173</v>
      </c>
      <c r="F2744" s="36" t="n">
        <f aca="false">cust_sh*tk_he_gb300*cf_chip+(1-cust_sh)*((1-Sens!$F$2743)*tk_he_gb300+Sens!$F$2743*tk_he_vr200)</f>
        <v>10.8864110021101</v>
      </c>
      <c r="G2744" s="36" t="n">
        <f aca="false">cust_sh*tk_he_gb300*cf_chip+(1-cust_sh)*((1-Sens!$G$2743)*tk_he_gb300+Sens!$G$2743*tk_he_vr200)</f>
        <v>10.8864110021101</v>
      </c>
      <c r="H2744" s="36" t="n">
        <f aca="false">cust_sh*tk_he_gb300*cf_chip+(1-cust_sh)*((1-Sens!$H$2743)*tk_he_gb300+Sens!$H$2743*tk_he_vr200)</f>
        <v>11.2211760027286</v>
      </c>
      <c r="I2744" s="36" t="n">
        <f aca="false">cust_sh*tk_he_gb300*cf_chip+(1-cust_sh)*((1-Sens!$I$2743)*tk_he_gb300+Sens!$I$2743*tk_he_vr200)</f>
        <v>11.5559410033471</v>
      </c>
      <c r="J2744" s="36" t="n">
        <f aca="false">cust_sh*tk_he_gb300*cf_chip+(1-cust_sh)*((1-Sens!$J$2743)*tk_he_gb300+Sens!$J$2743*tk_he_vr200)</f>
        <v>11.5559410033471</v>
      </c>
      <c r="K2744" s="36" t="n">
        <f aca="false">cust_sh*tk_he_gb300*cf_chip+(1-cust_sh)*((1-Sens!$K$2743)*tk_he_gb300+Sens!$K$2743*tk_he_vr200)</f>
        <v>11.5559410033471</v>
      </c>
      <c r="L2744" s="36" t="n">
        <f aca="false">cust_sh*tk_he_gb300*cf_chip+(1-cust_sh)*((1-Sens!$L$2743)*tk_he_gb300+Sens!$L$2743*tk_he_vr200)</f>
        <v>11.5559410033471</v>
      </c>
      <c r="M2744" s="36" t="n">
        <f aca="false">cust_sh*tk_he_gb300*cf_chip+(1-cust_sh)*((1-Sens!$M$2743)*tk_he_gb300+Sens!$M$2743*tk_he_vr200)</f>
        <v>11.5559410033471</v>
      </c>
    </row>
    <row r="2745" customFormat="false" ht="17.15" hidden="false" customHeight="false" outlineLevel="0" collapsed="false">
      <c r="A2745" s="5" t="s">
        <v>601</v>
      </c>
      <c r="B2745" s="0" t="s">
        <v>173</v>
      </c>
      <c r="F2745" s="36" t="n">
        <f aca="false">cust_sh*tk_ox_gb300+(1-cust_sh)*((1-Sens!$F$2743)*tk_ox_gb300+Sens!$F$2743*tk_ox_vr200)</f>
        <v>1.98263481314457</v>
      </c>
      <c r="G2745" s="36" t="n">
        <f aca="false">cust_sh*tk_ox_gb300+(1-cust_sh)*((1-Sens!$G$2743)*tk_ox_gb300+Sens!$G$2743*tk_ox_vr200)</f>
        <v>1.98263481314457</v>
      </c>
      <c r="H2745" s="36" t="n">
        <f aca="false">cust_sh*tk_ox_gb300+(1-cust_sh)*((1-Sens!$H$2743)*tk_ox_gb300+Sens!$H$2743*tk_ox_vr200)</f>
        <v>2.01034999693694</v>
      </c>
      <c r="I2745" s="36" t="n">
        <f aca="false">cust_sh*tk_ox_gb300+(1-cust_sh)*((1-Sens!$I$2743)*tk_ox_gb300+Sens!$I$2743*tk_ox_vr200)</f>
        <v>2.0380651807293</v>
      </c>
      <c r="J2745" s="36" t="n">
        <f aca="false">cust_sh*tk_ox_gb300+(1-cust_sh)*((1-Sens!$J$2743)*tk_ox_gb300+Sens!$J$2743*tk_ox_vr200)</f>
        <v>2.0380651807293</v>
      </c>
      <c r="K2745" s="36" t="n">
        <f aca="false">cust_sh*tk_ox_gb300+(1-cust_sh)*((1-Sens!$K$2743)*tk_ox_gb300+Sens!$K$2743*tk_ox_vr200)</f>
        <v>2.0380651807293</v>
      </c>
      <c r="L2745" s="36" t="n">
        <f aca="false">cust_sh*tk_ox_gb300+(1-cust_sh)*((1-Sens!$L$2743)*tk_ox_gb300+Sens!$L$2743*tk_ox_vr200)</f>
        <v>2.0380651807293</v>
      </c>
      <c r="M2745" s="36" t="n">
        <f aca="false">cust_sh*tk_ox_gb300+(1-cust_sh)*((1-Sens!$M$2743)*tk_ox_gb300+Sens!$M$2743*tk_ox_vr200)</f>
        <v>2.0380651807293</v>
      </c>
    </row>
    <row r="2746" customFormat="false" ht="17.15" hidden="false" customHeight="false" outlineLevel="0" collapsed="false">
      <c r="A2746" s="5" t="s">
        <v>602</v>
      </c>
      <c r="B2746" s="0" t="s">
        <v>192</v>
      </c>
      <c r="F2746" s="36" t="n">
        <f aca="false">cust_sh*tk_cx_gb300*cf_cx+(1-cust_sh)*((1-Sens!$F$2743)*tk_cx_gb300+Sens!$F$2743*tk_cx_vr200)</f>
        <v>32.237224</v>
      </c>
      <c r="G2746" s="36" t="n">
        <f aca="false">cust_sh*tk_cx_gb300*cf_cx+(1-cust_sh)*((1-Sens!$G$2743)*tk_cx_gb300+Sens!$G$2743*tk_cx_vr200)</f>
        <v>32.237224</v>
      </c>
      <c r="H2746" s="36" t="n">
        <f aca="false">cust_sh*tk_cx_gb300*cf_cx+(1-cust_sh)*((1-Sens!$H$2743)*tk_cx_gb300+Sens!$H$2743*tk_cx_vr200)</f>
        <v>33.574506</v>
      </c>
      <c r="I2746" s="36" t="n">
        <f aca="false">cust_sh*tk_cx_gb300*cf_cx+(1-cust_sh)*((1-Sens!$I$2743)*tk_cx_gb300+Sens!$I$2743*tk_cx_vr200)</f>
        <v>34.911788</v>
      </c>
      <c r="J2746" s="36" t="n">
        <f aca="false">cust_sh*tk_cx_gb300*cf_cx+(1-cust_sh)*((1-Sens!$J$2743)*tk_cx_gb300+Sens!$J$2743*tk_cx_vr200)</f>
        <v>34.911788</v>
      </c>
      <c r="K2746" s="36" t="n">
        <f aca="false">cust_sh*tk_cx_gb300*cf_cx+(1-cust_sh)*((1-Sens!$K$2743)*tk_cx_gb300+Sens!$K$2743*tk_cx_vr200)</f>
        <v>34.911788</v>
      </c>
      <c r="L2746" s="36" t="n">
        <f aca="false">cust_sh*tk_cx_gb300*cf_cx+(1-cust_sh)*((1-Sens!$L$2743)*tk_cx_gb300+Sens!$L$2743*tk_cx_vr200)</f>
        <v>34.911788</v>
      </c>
      <c r="M2746" s="36" t="n">
        <f aca="false">cust_sh*tk_cx_gb300*cf_cx+(1-cust_sh)*((1-Sens!$M$2743)*tk_cx_gb300+Sens!$M$2743*tk_cx_vr200)</f>
        <v>34.911788</v>
      </c>
    </row>
    <row r="2747" customFormat="false" ht="17.15" hidden="false" customHeight="false" outlineLevel="0" collapsed="false">
      <c r="A2747" s="5" t="s">
        <v>603</v>
      </c>
      <c r="B2747" s="0" t="s">
        <v>129</v>
      </c>
      <c r="F2747" s="32" t="n">
        <f aca="false">Sens!$F$2737-mw_open</f>
        <v>1817.15</v>
      </c>
      <c r="G2747" s="32" t="n">
        <f aca="false">Sens!$F$2747</f>
        <v>1817.15</v>
      </c>
      <c r="H2747" s="32" t="n">
        <f aca="false">Sens!$H$2737-mw_open</f>
        <v>5451.45</v>
      </c>
      <c r="I2747" s="32" t="n">
        <f aca="false">Sens!$I$2737-mw_open</f>
        <v>9085.75</v>
      </c>
      <c r="J2747" s="32" t="n">
        <f aca="false">Sens!$J$2737-mw_open</f>
        <v>12720.05</v>
      </c>
      <c r="K2747" s="32" t="n">
        <f aca="false">Sens!$K$2737-mw_open</f>
        <v>15290.9171666667</v>
      </c>
      <c r="L2747" s="32" t="n">
        <f aca="false">Sens!$L$2737-mw_open</f>
        <v>16798.3515</v>
      </c>
      <c r="M2747" s="32" t="n">
        <f aca="false">Sens!$M$2737-mw_open</f>
        <v>17242.353</v>
      </c>
    </row>
    <row r="2748" customFormat="false" ht="17.15" hidden="false" customHeight="false" outlineLevel="0" collapsed="false">
      <c r="A2748" s="0" t="s">
        <v>604</v>
      </c>
      <c r="B2748" s="0" t="s">
        <v>605</v>
      </c>
      <c r="F2748" s="32" t="n">
        <f aca="false">Sens!$F$2740*Sens!$F$2744</f>
        <v>19782.2417524844</v>
      </c>
      <c r="G2748" s="32" t="n">
        <f aca="false">Sens!$F$2748</f>
        <v>19782.2417524844</v>
      </c>
      <c r="H2748" s="32" t="n">
        <f aca="false">Sens!$G$2748+Sens!$H$2740*Sens!$H$2744</f>
        <v>60563.3616992009</v>
      </c>
      <c r="I2748" s="32" t="n">
        <f aca="false">Sens!$H$2748+Sens!$I$2740*Sens!$I$2744</f>
        <v>102561.118087665</v>
      </c>
      <c r="J2748" s="32" t="n">
        <f aca="false">Sens!$I$2748+Sens!$J$2740*Sens!$J$2744</f>
        <v>144558.87447613</v>
      </c>
      <c r="K2748" s="32" t="n">
        <f aca="false">Sens!$J$2748+Sens!$K$2740*Sens!$K$2744</f>
        <v>174267.663781572</v>
      </c>
      <c r="L2748" s="32" t="n">
        <f aca="false">Sens!$K$2748+Sens!$L$2740*Sens!$L$2744</f>
        <v>191687.486003992</v>
      </c>
      <c r="M2748" s="32" t="n">
        <f aca="false">Sens!$L$2748+Sens!$M$2740*Sens!$M$2744</f>
        <v>196818.341143389</v>
      </c>
    </row>
    <row r="2749" customFormat="false" ht="17.15" hidden="false" customHeight="false" outlineLevel="0" collapsed="false">
      <c r="A2749" s="0" t="s">
        <v>606</v>
      </c>
      <c r="B2749" s="0" t="s">
        <v>605</v>
      </c>
      <c r="F2749" s="32" t="n">
        <f aca="false">Sens!$F$2740*Sens!$F$2745</f>
        <v>3602.74485070566</v>
      </c>
      <c r="G2749" s="32" t="n">
        <f aca="false">Sens!$F$2749</f>
        <v>3602.74485070566</v>
      </c>
      <c r="H2749" s="32" t="n">
        <f aca="false">Sens!$G$2749+Sens!$H$2740*Sens!$H$2745</f>
        <v>10908.9598445736</v>
      </c>
      <c r="I2749" s="32" t="n">
        <f aca="false">Sens!$H$2749+Sens!$I$2740*Sens!$I$2745</f>
        <v>18315.9001308981</v>
      </c>
      <c r="J2749" s="32" t="n">
        <f aca="false">Sens!$I$2749+Sens!$J$2740*Sens!$J$2745</f>
        <v>25722.8404172225</v>
      </c>
      <c r="K2749" s="32" t="n">
        <f aca="false">Sens!$J$2749+Sens!$K$2740*Sens!$K$2745</f>
        <v>30962.4352738861</v>
      </c>
      <c r="L2749" s="32" t="n">
        <f aca="false">Sens!$K$2749+Sens!$L$2740*Sens!$L$2745</f>
        <v>34034.6847008886</v>
      </c>
      <c r="M2749" s="32" t="n">
        <f aca="false">Sens!$L$2749+Sens!$M$2740*Sens!$M$2745</f>
        <v>34939.5886982302</v>
      </c>
    </row>
    <row r="2750" customFormat="false" ht="17.15" hidden="false" customHeight="false" outlineLevel="0" collapsed="false">
      <c r="A2750" s="5" t="s">
        <v>607</v>
      </c>
      <c r="B2750" s="0" t="s">
        <v>173</v>
      </c>
      <c r="F2750" s="36" t="n">
        <f aca="false">IF(Sens!$F$2747&gt;0,Sens!$F$2748/Sens!$F$2747,Sens!$F$2744)</f>
        <v>10.8864110021101</v>
      </c>
      <c r="G2750" s="36" t="n">
        <f aca="false">IF(Sens!$G$2747&gt;0,Sens!$G$2748/Sens!$G$2747,Sens!$G$2744)</f>
        <v>10.8864110021101</v>
      </c>
      <c r="H2750" s="36" t="n">
        <f aca="false">IF(Sens!$H$2747&gt;0,Sens!$H$2748/Sens!$H$2747,Sens!$H$2744)</f>
        <v>11.1095876691891</v>
      </c>
      <c r="I2750" s="36" t="n">
        <f aca="false">IF(Sens!$I$2747&gt;0,Sens!$I$2748/Sens!$I$2747,Sens!$I$2744)</f>
        <v>11.2881290028523</v>
      </c>
      <c r="J2750" s="36" t="n">
        <f aca="false">IF(Sens!$J$2747&gt;0,Sens!$J$2748/Sens!$J$2747,Sens!$J$2744)</f>
        <v>11.3646467172794</v>
      </c>
      <c r="K2750" s="36" t="n">
        <f aca="false">IF(Sens!$K$2747&gt;0,Sens!$K$2748/Sens!$K$2747,Sens!$K$2744)</f>
        <v>11.3968090914432</v>
      </c>
      <c r="L2750" s="36" t="n">
        <f aca="false">IF(Sens!$L$2747&gt;0,Sens!$L$2748/Sens!$L$2747,Sens!$L$2744)</f>
        <v>11.4110891181192</v>
      </c>
      <c r="M2750" s="36" t="n">
        <f aca="false">IF(Sens!$M$2747&gt;0,Sens!$M$2748/Sens!$M$2747,Sens!$M$2744)</f>
        <v>11.4148191458201</v>
      </c>
    </row>
    <row r="2751" customFormat="false" ht="17.15" hidden="false" customHeight="false" outlineLevel="0" collapsed="false">
      <c r="A2751" s="5" t="s">
        <v>608</v>
      </c>
      <c r="B2751" s="0" t="s">
        <v>173</v>
      </c>
      <c r="F2751" s="36" t="n">
        <f aca="false">IF(Sens!$F$2747&gt;0,Sens!$F$2749/Sens!$F$2747,Sens!$F$2745)</f>
        <v>1.98263481314457</v>
      </c>
      <c r="G2751" s="36" t="n">
        <f aca="false">IF(Sens!$G$2747&gt;0,Sens!$G$2749/Sens!$G$2747,Sens!$G$2745)</f>
        <v>1.98263481314457</v>
      </c>
      <c r="H2751" s="36" t="n">
        <f aca="false">IF(Sens!$H$2747&gt;0,Sens!$H$2749/Sens!$H$2747,Sens!$H$2745)</f>
        <v>2.00111160233948</v>
      </c>
      <c r="I2751" s="36" t="n">
        <f aca="false">IF(Sens!$I$2747&gt;0,Sens!$I$2749/Sens!$I$2747,Sens!$I$2745)</f>
        <v>2.01589303369541</v>
      </c>
      <c r="J2751" s="36" t="n">
        <f aca="false">IF(Sens!$J$2747&gt;0,Sens!$J$2749/Sens!$J$2747,Sens!$J$2745)</f>
        <v>2.02222793284795</v>
      </c>
      <c r="K2751" s="36" t="n">
        <f aca="false">IF(Sens!$K$2747&gt;0,Sens!$K$2749/Sens!$K$2747,Sens!$K$2745)</f>
        <v>2.02489065478573</v>
      </c>
      <c r="L2751" s="36" t="n">
        <f aca="false">IF(Sens!$L$2747&gt;0,Sens!$L$2749/Sens!$L$2747,Sens!$L$2745)</f>
        <v>2.0260728977417</v>
      </c>
      <c r="M2751" s="36" t="n">
        <f aca="false">IF(Sens!$M$2747&gt;0,Sens!$M$2749/Sens!$M$2747,Sens!$M$2745)</f>
        <v>2.02638170661685</v>
      </c>
    </row>
    <row r="2752" customFormat="false" ht="17.15" hidden="false" customHeight="false" outlineLevel="0" collapsed="false">
      <c r="A2752" s="15" t="s">
        <v>609</v>
      </c>
      <c r="B2752" s="14" t="s">
        <v>173</v>
      </c>
      <c r="C2752" s="14"/>
      <c r="D2752" s="14"/>
      <c r="E2752" s="14"/>
      <c r="F2752" s="37" t="n">
        <f aca="false">Sens!$F$2750*k_B</f>
        <v>10.7987645808025</v>
      </c>
      <c r="G2752" s="37" t="n">
        <f aca="false">Sens!$G$2750*k_B</f>
        <v>10.7987645808025</v>
      </c>
      <c r="H2752" s="37" t="n">
        <f aca="false">Sens!$H$2750*k_B</f>
        <v>11.0201444540452</v>
      </c>
      <c r="I2752" s="37" t="n">
        <f aca="false">Sens!$I$2750*k_B</f>
        <v>11.1972483526393</v>
      </c>
      <c r="J2752" s="37" t="n">
        <f aca="false">Sens!$J$2750*k_B</f>
        <v>11.2731500234653</v>
      </c>
      <c r="K2752" s="37" t="n">
        <f aca="false">Sens!$K$2750*k_B</f>
        <v>11.3050534585724</v>
      </c>
      <c r="L2752" s="37" t="n">
        <f aca="false">Sens!$L$2750*k_B</f>
        <v>11.3192185168503</v>
      </c>
      <c r="M2752" s="37" t="n">
        <f aca="false">Sens!$M$2750*k_B</f>
        <v>11.3229185141234</v>
      </c>
      <c r="N2752" s="14"/>
      <c r="O2752" s="14"/>
      <c r="P2752" s="5" t="s">
        <v>610</v>
      </c>
    </row>
    <row r="2753" customFormat="false" ht="17.15" hidden="false" customHeight="false" outlineLevel="0" collapsed="false">
      <c r="A2753" s="5" t="s">
        <v>611</v>
      </c>
      <c r="B2753" s="0" t="s">
        <v>129</v>
      </c>
      <c r="F2753" s="32" t="n">
        <f aca="false">Sens!$F$2747/2</f>
        <v>908.575</v>
      </c>
      <c r="H2753" s="32" t="n">
        <f aca="false">(Sens!$G$2747+Sens!$H$2747)/2</f>
        <v>3634.3</v>
      </c>
      <c r="I2753" s="32" t="n">
        <f aca="false">(Sens!$H$2747+Sens!$I$2747)/2</f>
        <v>7268.6</v>
      </c>
      <c r="J2753" s="32" t="n">
        <f aca="false">(Sens!$I$2747+Sens!$J$2747)/2</f>
        <v>10902.9</v>
      </c>
      <c r="K2753" s="32" t="n">
        <f aca="false">(Sens!$J$2747+Sens!$K$2747)/2</f>
        <v>14005.4835833333</v>
      </c>
      <c r="L2753" s="32" t="n">
        <f aca="false">(Sens!$K$2747+Sens!$L$2747)/2</f>
        <v>16044.6343333333</v>
      </c>
      <c r="M2753" s="32" t="n">
        <f aca="false">(Sens!$L$2747+Sens!$M$2747)/2</f>
        <v>17020.35225</v>
      </c>
    </row>
    <row r="2754" customFormat="false" ht="17.15" hidden="false" customHeight="false" outlineLevel="0" collapsed="false">
      <c r="A2754" s="1" t="s">
        <v>612</v>
      </c>
    </row>
    <row r="2755" customFormat="false" ht="17.15" hidden="false" customHeight="false" outlineLevel="0" collapsed="false">
      <c r="A2755" s="1" t="s">
        <v>613</v>
      </c>
      <c r="B2755" s="8" t="s">
        <v>86</v>
      </c>
      <c r="C2755" s="38" t="n">
        <f aca="false">Sens!$C$2738*(ai_rr*1000/mw_open)*Sens!$C$2739/1000</f>
        <v>2.88461538461538</v>
      </c>
      <c r="D2755" s="38" t="n">
        <f aca="false">Sens!$D$2738*(ai_rr*1000/mw_open)*Sens!$D$2739/1000</f>
        <v>10.8173076923077</v>
      </c>
      <c r="E2755" s="38" t="n">
        <f aca="false">Sens!$E$2738*(ai_rr*1000/mw_open)*Sens!$E$2739/1000</f>
        <v>10.5769230769231</v>
      </c>
      <c r="F2755" s="38" t="n">
        <f aca="false">(mw_open*(ai_rr*1000/mw_open)+Sens!$F$2753*Sens!$F$2752)*Sens!$F$2739/1000</f>
        <v>17.4057437645013</v>
      </c>
      <c r="G2755" s="38" t="n">
        <f aca="false">Sens!$E$2755+Sens!$F$2755</f>
        <v>27.9826668414244</v>
      </c>
      <c r="H2755" s="38" t="n">
        <f aca="false">(mw_open*(ai_rr*1000/mw_open)+Sens!$H$2753*Sens!$H$2752)/1000</f>
        <v>65.0505109893364</v>
      </c>
      <c r="I2755" s="38" t="n">
        <f aca="false">(mw_open*(ai_rr*1000/mw_open)+Sens!$I$2753*Sens!$I$2752)/1000</f>
        <v>106.388319375994</v>
      </c>
      <c r="J2755" s="38" t="n">
        <f aca="false">(mw_open*(ai_rr*1000/mw_open)+Sens!$J$2753*Sens!$J$2752)/1000</f>
        <v>147.91002739084</v>
      </c>
      <c r="K2755" s="38" t="n">
        <f aca="false">(mw_open*(ai_rr*1000/mw_open)+Sens!$K$2753*Sens!$K$2752)/1000</f>
        <v>183.332740622741</v>
      </c>
      <c r="L2755" s="38" t="n">
        <f aca="false">(mw_open*(ai_rr*1000/mw_open)+Sens!$L$2753*Sens!$L$2752)/1000</f>
        <v>206.612722041958</v>
      </c>
      <c r="M2755" s="38" t="n">
        <f aca="false">(mw_open*(ai_rr*1000/mw_open)+Sens!$M$2753*Sens!$M$2752)/1000</f>
        <v>217.720061608427</v>
      </c>
      <c r="N2755" s="38" t="n">
        <f aca="false">Sens!$N$2738*(ai_rr*1000/mw_open)*Sens!$N$2739/1000</f>
        <v>3.78605769230769</v>
      </c>
      <c r="O2755" s="38" t="n">
        <f aca="false">Sens!$O$2738*(ai_rr*1000/mw_open)*Sens!$O$2739/1000</f>
        <v>7.03125</v>
      </c>
      <c r="P2755" s="5" t="s">
        <v>614</v>
      </c>
    </row>
    <row r="2756" customFormat="false" ht="17.15" hidden="false" customHeight="false" outlineLevel="0" collapsed="false">
      <c r="A2756" s="5" t="s">
        <v>615</v>
      </c>
      <c r="B2756" s="0" t="s">
        <v>173</v>
      </c>
      <c r="C2756" s="36" t="n">
        <f aca="false">Sens!$C$2755*1000/(Sens!$C$2738*Sens!$C$2739)</f>
        <v>12.0192307692308</v>
      </c>
      <c r="D2756" s="36" t="n">
        <f aca="false">Sens!$D$2755*1000/(Sens!$D$2738*Sens!$D$2739)</f>
        <v>12.0192307692308</v>
      </c>
      <c r="E2756" s="36" t="n">
        <f aca="false">Sens!$E$2755*1000/(Sens!$E$2738*Sens!$E$2739)</f>
        <v>12.0192307692308</v>
      </c>
      <c r="F2756" s="36" t="n">
        <f aca="false">Sens!$F$2755*1000/(Sens!$F$2738*Sens!$F$2739)</f>
        <v>11.6481893641627</v>
      </c>
      <c r="G2756" s="36" t="n">
        <f aca="false">Sens!$G$2755*1000/(Sens!$G$2738*Sens!$G$2739)</f>
        <v>11.7857112255464</v>
      </c>
      <c r="H2756" s="36" t="n">
        <f aca="false">Sens!$H$2755*1000/(Sens!$H$2738*Sens!$H$2739)</f>
        <v>11.3838109636065</v>
      </c>
      <c r="I2756" s="36" t="n">
        <f aca="false">Sens!$I$2755*1000/(Sens!$I$2738*Sens!$I$2739)</f>
        <v>11.3801338570474</v>
      </c>
      <c r="J2756" s="36" t="n">
        <f aca="false">Sens!$J$2755*1000/(Sens!$J$2738*Sens!$J$2739)</f>
        <v>11.3926801709048</v>
      </c>
      <c r="K2756" s="36" t="n">
        <f aca="false">Sens!$K$2755*1000/(Sens!$K$2738*Sens!$K$2739)</f>
        <v>11.3974031102614</v>
      </c>
      <c r="L2756" s="36" t="n">
        <f aca="false">Sens!$L$2755*1000/(Sens!$L$2738*Sens!$L$2739)</f>
        <v>11.3995525781159</v>
      </c>
      <c r="M2756" s="36" t="n">
        <f aca="false">Sens!$M$2755*1000/(Sens!$M$2738*Sens!$M$2739)</f>
        <v>11.3987458848267</v>
      </c>
      <c r="N2756" s="36" t="n">
        <f aca="false">Sens!$N$2755*1000/(Sens!$N$2738*Sens!$N$2739)</f>
        <v>12.0192307692308</v>
      </c>
      <c r="O2756" s="36" t="n">
        <f aca="false">Sens!$O$2755*1000/(Sens!$O$2738*Sens!$O$2739)</f>
        <v>12.0192307692308</v>
      </c>
    </row>
    <row r="2757" customFormat="false" ht="17.15" hidden="false" customHeight="false" outlineLevel="0" collapsed="false">
      <c r="A2757" s="0" t="s">
        <v>616</v>
      </c>
      <c r="B2757" s="0" t="s">
        <v>86</v>
      </c>
      <c r="C2757" s="38" t="n">
        <f aca="false">Sens!$C$2738/ext_sh*(ox_open+rent_mw)*Sens!$C$2739/1000</f>
        <v>0.642569210675032</v>
      </c>
      <c r="D2757" s="38" t="n">
        <f aca="false">Sens!$D$2738/ext_sh*(ox_open+rent_mw)*Sens!$D$2739/1000</f>
        <v>2.40963454003137</v>
      </c>
      <c r="E2757" s="38" t="n">
        <f aca="false">Sens!$E$2738/ext_sh*(ox_open+rent_mw)*Sens!$E$2739/1000</f>
        <v>2.35608710580845</v>
      </c>
      <c r="F2757" s="38" t="n">
        <f aca="false">((mw_open*ox_open+Sens!$F$2753*Sens!$F$2751)/ext_sh+Sens!$F$2738/ext_sh*rent_mw)*Sens!$F$2739/1000</f>
        <v>4.05421991106232</v>
      </c>
      <c r="G2757" s="38" t="n">
        <f aca="false">Sens!$E$2757+Sens!$F$2757</f>
        <v>6.41030701687077</v>
      </c>
      <c r="H2757" s="38" t="n">
        <f aca="false">((mw_open*ox_open+Sens!$H$2753*Sens!$H$2751)/ext_sh+Sens!$H$2738/ext_sh*rent_mw)*Sens!$H$2739/1000</f>
        <v>15.8108975546616</v>
      </c>
      <c r="I2757" s="38" t="n">
        <f aca="false">((mw_open*ox_open+Sens!$I$2753*Sens!$I$2751)/ext_sh+Sens!$I$2738/ext_sh*rent_mw)*Sens!$I$2739/1000</f>
        <v>26.1871623400817</v>
      </c>
      <c r="J2757" s="38" t="n">
        <f aca="false">((mw_open*ox_open+Sens!$J$2753*Sens!$J$2751)/ext_sh+Sens!$J$2738/ext_sh*rent_mw)*Sens!$J$2739/1000</f>
        <v>36.5826128954935</v>
      </c>
      <c r="K2757" s="38" t="n">
        <f aca="false">((mw_open*ox_open+Sens!$K$2753*Sens!$K$2751)/ext_sh+Sens!$K$2738/ext_sh*rent_mw)*Sens!$K$2739/1000</f>
        <v>45.4546361137628</v>
      </c>
      <c r="L2757" s="38" t="n">
        <f aca="false">((mw_open*ox_open+Sens!$L$2753*Sens!$L$2751)/ext_sh+Sens!$L$2738/ext_sh*rent_mw)*Sens!$L$2739/1000</f>
        <v>51.2855695554452</v>
      </c>
      <c r="M2757" s="38" t="n">
        <f aca="false">((mw_open*ox_open+Sens!$M$2753*Sens!$M$2751)/ext_sh+Sens!$M$2738/ext_sh*rent_mw)*Sens!$M$2739/1000</f>
        <v>54.0722927838398</v>
      </c>
      <c r="N2757" s="38" t="n">
        <f aca="false">Sens!$N$2738/ext_sh*(ox_open+rent_mw)*Sens!$N$2739/1000</f>
        <v>0.84337208901098</v>
      </c>
      <c r="O2757" s="38" t="n">
        <f aca="false">Sens!$O$2738/ext_sh*(ox_open+rent_mw)*Sens!$O$2739/1000</f>
        <v>1.56626245102039</v>
      </c>
    </row>
    <row r="2758" customFormat="false" ht="17.15" hidden="false" customHeight="false" outlineLevel="0" collapsed="false">
      <c r="A2758" s="0" t="s">
        <v>617</v>
      </c>
      <c r="B2758" s="0" t="s">
        <v>86</v>
      </c>
      <c r="C2758" s="38" t="n">
        <f aca="false">Q!$D$7</f>
        <v>107.556</v>
      </c>
      <c r="D2758" s="38" t="n">
        <f aca="false">Q!$E$7</f>
        <v>128.725</v>
      </c>
      <c r="E2758" s="38" t="n">
        <f aca="false">Q!$P$7</f>
        <v>79.819</v>
      </c>
      <c r="N2758" s="38" t="n">
        <f aca="false">Q!$N$7</f>
        <v>60.14</v>
      </c>
      <c r="O2758" s="38" t="n">
        <f aca="false">Q!$O$7</f>
        <v>68.585</v>
      </c>
    </row>
    <row r="2759" customFormat="false" ht="17.15" hidden="false" customHeight="false" outlineLevel="0" collapsed="false">
      <c r="A2759" s="1" t="s">
        <v>618</v>
      </c>
      <c r="B2759" s="8" t="s">
        <v>86</v>
      </c>
      <c r="C2759" s="38" t="n">
        <f aca="false">Sens!$C$2758-Sens!$C$2755</f>
        <v>104.671384615385</v>
      </c>
      <c r="D2759" s="38" t="n">
        <f aca="false">Sens!$D$2758-Sens!$D$2755</f>
        <v>117.907692307692</v>
      </c>
      <c r="E2759" s="38" t="n">
        <f aca="false">Sens!$E$2758-Sens!$E$2755</f>
        <v>69.2420769230769</v>
      </c>
      <c r="F2759" s="38" t="n">
        <f aca="false">Sens!$O$2759*(1+Sens!$F$2760)</f>
        <v>69.3375810595505</v>
      </c>
      <c r="G2759" s="38" t="n">
        <f aca="false">Sens!$E$2759+Sens!$F$2759</f>
        <v>138.579657982627</v>
      </c>
      <c r="H2759" s="38" t="n">
        <f aca="false">Sens!$G$2759*(1+Sens!$H$2760)</f>
        <v>154.494406263134</v>
      </c>
      <c r="I2759" s="38" t="n">
        <f aca="false">Sens!$H$2759*(1+Sens!$I$2760)</f>
        <v>170.442542345496</v>
      </c>
      <c r="J2759" s="38" t="n">
        <f aca="false">Sens!$I$2759*(1+Sens!$J$2760)</f>
        <v>186.057458531729</v>
      </c>
      <c r="K2759" s="38" t="n">
        <f aca="false">Sens!$J$2759*(1+Sens!$K$2760)</f>
        <v>200.942055214268</v>
      </c>
      <c r="L2759" s="38" t="n">
        <f aca="false">Sens!$K$2759*(1+Sens!$L$2760)</f>
        <v>217.017419631409</v>
      </c>
      <c r="M2759" s="38" t="n">
        <f aca="false">Sens!$L$2759*(1+Sens!$M$2760)</f>
        <v>234.378813201922</v>
      </c>
      <c r="N2759" s="38" t="n">
        <f aca="false">Sens!$N$2758-Sens!$N$2755</f>
        <v>56.3539423076923</v>
      </c>
      <c r="O2759" s="38" t="n">
        <f aca="false">Sens!$O$2758-Sens!$O$2755</f>
        <v>61.55375</v>
      </c>
      <c r="P2759" s="5" t="s">
        <v>619</v>
      </c>
    </row>
    <row r="2760" customFormat="false" ht="17.15" hidden="false" customHeight="false" outlineLevel="0" collapsed="false">
      <c r="A2760" s="0" t="s">
        <v>620</v>
      </c>
      <c r="B2760" s="0" t="s">
        <v>52</v>
      </c>
      <c r="D2760" s="13" t="n">
        <f aca="false">Sens!$D$2759/Sens!$C$2759-1</f>
        <v>0.126455838345356</v>
      </c>
      <c r="E2760" s="13" t="n">
        <f aca="false">Sens!$E$2759/Sens!$N$2759-1</f>
        <v>0.228699787230775</v>
      </c>
      <c r="F2760" s="13" t="n">
        <f aca="false">Sens!$D$2760</f>
        <v>0.126455838345356</v>
      </c>
      <c r="G2760" s="13" t="n">
        <f aca="false">Sens!$G$2759/Sens!$D$2759-1</f>
        <v>0.175323299696083</v>
      </c>
      <c r="H2760" s="13" t="n">
        <f aca="false">Sens!$F$2760+(g_awso_lt-Sens!$F$2760)*1/4</f>
        <v>0.114841878759017</v>
      </c>
      <c r="I2760" s="13" t="n">
        <f aca="false">Sens!$F$2760+(g_awso_lt-Sens!$F$2760)*2/4</f>
        <v>0.103227919172678</v>
      </c>
      <c r="J2760" s="13" t="n">
        <f aca="false">Sens!$F$2760+(g_awso_lt-Sens!$F$2760)*3/4</f>
        <v>0.0916139595863391</v>
      </c>
      <c r="K2760" s="13" t="n">
        <f aca="false">Sens!$F$2760+(g_awso_lt-Sens!$F$2760)*4/4</f>
        <v>0.08</v>
      </c>
      <c r="L2760" s="13" t="n">
        <f aca="false">g_awso_lt</f>
        <v>0.08</v>
      </c>
      <c r="M2760" s="13" t="n">
        <f aca="false">g_awso_lt</f>
        <v>0.08</v>
      </c>
      <c r="P2760" s="5" t="s">
        <v>621</v>
      </c>
    </row>
    <row r="2761" customFormat="false" ht="17.15" hidden="false" customHeight="false" outlineLevel="0" collapsed="false">
      <c r="A2761" s="1" t="s">
        <v>622</v>
      </c>
    </row>
    <row r="2762" customFormat="false" ht="17.15" hidden="false" customHeight="false" outlineLevel="0" collapsed="false">
      <c r="A2762" s="0" t="s">
        <v>623</v>
      </c>
      <c r="B2762" s="0" t="s">
        <v>86</v>
      </c>
      <c r="F2762" s="38" t="n">
        <f aca="false">cx_rt*Sens!$F$2727+cx_awso*Sens!$F$2759</f>
        <v>34.4864801189819</v>
      </c>
    </row>
    <row r="2763" customFormat="false" ht="17.15" hidden="false" customHeight="false" outlineLevel="0" collapsed="false">
      <c r="A2763" s="0" t="s">
        <v>624</v>
      </c>
      <c r="B2763" s="0" t="s">
        <v>52</v>
      </c>
      <c r="C2763" s="13" t="n">
        <f aca="false">tk_cx_h100/(tk_cx_h100+tk_fac*(1-colo_sh))</f>
        <v>0.730756458006641</v>
      </c>
      <c r="D2763" s="13" t="n">
        <f aca="false">tk_cx_h100/(tk_cx_h100+tk_fac*(1-colo_sh))</f>
        <v>0.730756458006641</v>
      </c>
      <c r="E2763" s="13" t="n">
        <f aca="false">Sens!$F$2763</f>
        <v>0.760792334328868</v>
      </c>
      <c r="F2763" s="13" t="n">
        <f aca="false">Sens!$F$2746/(Sens!$F$2746+tk_fac*(1-colo_sh))</f>
        <v>0.760792334328868</v>
      </c>
      <c r="G2763" s="13" t="n">
        <f aca="false">Sens!$G$2746/(Sens!$G$2746+tk_fac*(1-colo_sh))</f>
        <v>0.760792334328868</v>
      </c>
      <c r="H2763" s="13" t="n">
        <f aca="false">Sens!$H$2746/(Sens!$H$2746+tk_fac*(1-colo_sh))</f>
        <v>0.768110668862996</v>
      </c>
      <c r="I2763" s="13" t="n">
        <f aca="false">Sens!$I$2746/(Sens!$I$2746+tk_fac*(1-colo_sh))</f>
        <v>0.77499450139483</v>
      </c>
      <c r="J2763" s="13" t="n">
        <f aca="false">Sens!$J$2746/(Sens!$J$2746+tk_fac*(1-colo_sh))</f>
        <v>0.77499450139483</v>
      </c>
      <c r="K2763" s="13" t="n">
        <f aca="false">Sens!$K$2746/(Sens!$K$2746+tk_fac*(1-colo_sh))</f>
        <v>0.77499450139483</v>
      </c>
      <c r="L2763" s="13" t="n">
        <f aca="false">Sens!$L$2746/(Sens!$L$2746+tk_fac*(1-colo_sh))</f>
        <v>0.77499450139483</v>
      </c>
      <c r="M2763" s="13" t="n">
        <f aca="false">Sens!$M$2746/(Sens!$M$2746+tk_fac*(1-colo_sh))</f>
        <v>0.77499450139483</v>
      </c>
    </row>
    <row r="2764" customFormat="false" ht="17.15" hidden="false" customHeight="false" outlineLevel="0" collapsed="false">
      <c r="A2764" s="1" t="s">
        <v>625</v>
      </c>
      <c r="B2764" s="8" t="s">
        <v>86</v>
      </c>
      <c r="C2764" s="38" t="n">
        <f aca="false">Q!$D$46-cx_rt*Q!$D$16-cx_awso*Sens!$C$2759</f>
        <v>25.3908273132658</v>
      </c>
      <c r="D2764" s="38" t="n">
        <f aca="false">Q!$E$46-cx_rt*Q!$E$16-cx_awso*Sens!$D$2759</f>
        <v>69.9913391517339</v>
      </c>
      <c r="E2764" s="38" t="n">
        <f aca="false">Q!$P$46-cx_rt*Q!$P$16-cx_awso*Sens!$E$2759</f>
        <v>64.6032346687814</v>
      </c>
      <c r="F2764" s="38" t="n">
        <f aca="false">MAX(Sens!$F$2741*(Sens!$F$2746+tk_fac*(1-colo_sh))/1000,capex_g26-Q!$P$46-Sens!$F$2762)</f>
        <v>96.2481299895</v>
      </c>
      <c r="G2764" s="38" t="n">
        <f aca="false">Sens!$E$2764+Sens!$F$2764</f>
        <v>160.851364658281</v>
      </c>
      <c r="H2764" s="38" t="n">
        <f aca="false">Sens!$H$2741*(Sens!$H$2746+tk_fac*(1-colo_sh))/1000+Sens!$H$2765</f>
        <v>198.57136494475</v>
      </c>
      <c r="I2764" s="38" t="n">
        <f aca="false">Sens!$I$2741*(Sens!$I$2746+tk_fac*(1-colo_sh))/1000+Sens!$I$2765</f>
        <v>204.6464699105</v>
      </c>
      <c r="J2764" s="38" t="n">
        <f aca="false">Sens!$J$2741*(Sens!$J$2746+tk_fac*(1-colo_sh))/1000+Sens!$J$2765</f>
        <v>209.8832381105</v>
      </c>
      <c r="K2764" s="38" t="n">
        <f aca="false">Sens!$K$2741*(Sens!$K$2746+tk_fac*(1-colo_sh))/1000+Sens!$K$2765</f>
        <v>155.238385275201</v>
      </c>
      <c r="L2764" s="38" t="n">
        <f aca="false">Sens!$L$2741*(Sens!$L$2746+tk_fac*(1-colo_sh))/1000+Sens!$L$2765</f>
        <v>132.014141639902</v>
      </c>
      <c r="M2764" s="38" t="n">
        <f aca="false">Sens!$M$2741*(Sens!$M$2746+tk_fac*(1-colo_sh))/1000+Sens!$M$2765</f>
        <v>132.230981659852</v>
      </c>
      <c r="P2764" s="5" t="s">
        <v>626</v>
      </c>
      <c r="R2764" s="38" t="n">
        <f aca="false">Q!$C$46-cx_rt*Q!$C$16-cx_awso*(Q!$C$7-mw_ye23/2*(ai_rr*1000/mw_open)/1000)</f>
        <v>1.53248029668154</v>
      </c>
      <c r="S2764" s="38" t="n">
        <f aca="false">Sens!$C$2764</f>
        <v>25.3908273132658</v>
      </c>
      <c r="T2764" s="38" t="n">
        <f aca="false">Sens!$D$2764</f>
        <v>69.9913391517339</v>
      </c>
      <c r="U2764" s="38" t="n">
        <f aca="false">Sens!$G$2764</f>
        <v>160.851364658281</v>
      </c>
      <c r="V2764" s="38" t="n">
        <f aca="false">Sens!$H$2764</f>
        <v>198.57136494475</v>
      </c>
      <c r="W2764" s="38" t="n">
        <f aca="false">Sens!$I$2764</f>
        <v>204.6464699105</v>
      </c>
      <c r="X2764" s="38" t="n">
        <f aca="false">Sens!$J$2764</f>
        <v>209.8832381105</v>
      </c>
      <c r="Y2764" s="38" t="n">
        <f aca="false">Sens!$K$2764</f>
        <v>155.238385275201</v>
      </c>
      <c r="Z2764" s="38" t="n">
        <f aca="false">Sens!$L$2764</f>
        <v>132.014141639902</v>
      </c>
      <c r="AA2764" s="38" t="n">
        <f aca="false">Sens!$M$2764</f>
        <v>132.230981659852</v>
      </c>
    </row>
    <row r="2765" customFormat="false" ht="17.15" hidden="false" customHeight="false" outlineLevel="0" collapsed="false">
      <c r="A2765" s="0" t="s">
        <v>627</v>
      </c>
      <c r="B2765" s="0" t="s">
        <v>86</v>
      </c>
      <c r="H2765" s="38" t="n">
        <f aca="false">SUMPRODUCT(--(Sens!$R$2734:$AA$2734=2027-tk_life),Sens!$R$2741:$AA$2741)*Sens!$H$2746/1000</f>
        <v>0</v>
      </c>
      <c r="I2765" s="38" t="n">
        <f aca="false">SUMPRODUCT(--(Sens!$R$2734:$AA$2734=2028-tk_life),Sens!$R$2741:$AA$2741)*Sens!$I$2746/1000</f>
        <v>0</v>
      </c>
      <c r="J2765" s="38" t="n">
        <f aca="false">SUMPRODUCT(--(Sens!$R$2734:$AA$2734=2029-tk_life),Sens!$R$2741:$AA$2741)*Sens!$J$2746/1000</f>
        <v>5.2367682</v>
      </c>
      <c r="K2765" s="38" t="n">
        <f aca="false">SUMPRODUCT(--(Sens!$R$2734:$AA$2734=2030-tk_life),Sens!$R$2741:$AA$2741)*Sens!$K$2746/1000</f>
        <v>10.4735364</v>
      </c>
      <c r="L2765" s="38" t="n">
        <f aca="false">SUMPRODUCT(--(Sens!$R$2734:$AA$2734=2031-tk_life),Sens!$R$2741:$AA$2741)*Sens!$L$2746/1000</f>
        <v>47.1309138</v>
      </c>
      <c r="M2765" s="38" t="n">
        <f aca="false">SUMPRODUCT(--(Sens!$R$2734:$AA$2734=2032-tk_life),Sens!$R$2741:$AA$2741)*Sens!$M$2746/1000</f>
        <v>107.22937485525</v>
      </c>
    </row>
    <row r="2766" customFormat="false" ht="17.15" hidden="false" customHeight="false" outlineLevel="0" collapsed="false">
      <c r="A2766" s="5" t="s">
        <v>628</v>
      </c>
      <c r="B2766" s="0" t="s">
        <v>86</v>
      </c>
      <c r="C2766" s="38" t="n">
        <f aca="false">Sens!$C$2764*Sens!$C$2763</f>
        <v>18.5545110333004</v>
      </c>
      <c r="D2766" s="38" t="n">
        <f aca="false">Sens!$D$2764*Sens!$D$2763</f>
        <v>51.1466230896626</v>
      </c>
      <c r="E2766" s="38" t="n">
        <f aca="false">Sens!$E$2764*Sens!$E$2763</f>
        <v>49.1496457088578</v>
      </c>
      <c r="F2766" s="38" t="n">
        <f aca="false">Sens!$F$2764*Sens!$F$2763</f>
        <v>73.2248394895</v>
      </c>
      <c r="G2766" s="38" t="n">
        <f aca="false">Sens!$E$2766+Sens!$F$2766</f>
        <v>122.374485198358</v>
      </c>
      <c r="H2766" s="38" t="n">
        <f aca="false">(Sens!$H$2764-Sens!$H$2765)*Sens!$H$2763+Sens!$H$2765</f>
        <v>152.52478394475</v>
      </c>
      <c r="I2766" s="38" t="n">
        <f aca="false">(Sens!$I$2764-Sens!$I$2765)*Sens!$I$2763+Sens!$I$2765</f>
        <v>158.5998889105</v>
      </c>
      <c r="J2766" s="38" t="n">
        <f aca="false">(Sens!$J$2764-Sens!$J$2765)*Sens!$J$2763+Sens!$J$2765</f>
        <v>163.8366571105</v>
      </c>
      <c r="K2766" s="38" t="n">
        <f aca="false">(Sens!$K$2764-Sens!$K$2765)*Sens!$K$2763+Sens!$K$2765</f>
        <v>122.665498273534</v>
      </c>
      <c r="L2766" s="38" t="n">
        <f aca="false">(Sens!$L$2764-Sens!$L$2765)*Sens!$L$2763+Sens!$L$2765</f>
        <v>112.914948636568</v>
      </c>
      <c r="M2766" s="38" t="n">
        <f aca="false">(Sens!$M$2764-Sens!$M$2765)*Sens!$M$2763+Sens!$M$2765</f>
        <v>126.605482654852</v>
      </c>
      <c r="R2766" s="38" t="n">
        <f aca="false">Sens!$R$2764*Sens!$C$2763</f>
        <v>1.11986987356797</v>
      </c>
      <c r="S2766" s="38" t="n">
        <f aca="false">Sens!$C$2766</f>
        <v>18.5545110333004</v>
      </c>
      <c r="T2766" s="38" t="n">
        <f aca="false">Sens!$D$2766</f>
        <v>51.1466230896626</v>
      </c>
      <c r="U2766" s="38" t="n">
        <f aca="false">Sens!$G$2766</f>
        <v>122.374485198358</v>
      </c>
      <c r="V2766" s="38" t="n">
        <f aca="false">Sens!$H$2766</f>
        <v>152.52478394475</v>
      </c>
      <c r="W2766" s="38" t="n">
        <f aca="false">Sens!$I$2766</f>
        <v>158.5998889105</v>
      </c>
      <c r="X2766" s="38" t="n">
        <f aca="false">Sens!$J$2766</f>
        <v>163.8366571105</v>
      </c>
      <c r="Y2766" s="38" t="n">
        <f aca="false">Sens!$K$2766</f>
        <v>122.665498273534</v>
      </c>
      <c r="Z2766" s="38" t="n">
        <f aca="false">Sens!$L$2766</f>
        <v>112.914948636568</v>
      </c>
      <c r="AA2766" s="38" t="n">
        <f aca="false">Sens!$M$2766</f>
        <v>126.605482654852</v>
      </c>
    </row>
    <row r="2767" customFormat="false" ht="15" hidden="false" customHeight="false" outlineLevel="0" collapsed="false">
      <c r="A2767" s="5" t="s">
        <v>629</v>
      </c>
      <c r="B2767" s="0" t="s">
        <v>86</v>
      </c>
      <c r="C2767" s="38" t="n">
        <f aca="false">Sens!$C$2764-Sens!$C$2766</f>
        <v>6.83631627996541</v>
      </c>
      <c r="D2767" s="38" t="n">
        <f aca="false">Sens!$D$2764-Sens!$D$2766</f>
        <v>18.8447160620714</v>
      </c>
      <c r="E2767" s="38" t="n">
        <f aca="false">Sens!$E$2764-Sens!$E$2766</f>
        <v>15.4535889599236</v>
      </c>
      <c r="F2767" s="38" t="n">
        <f aca="false">Sens!$F$2764-Sens!$F$2766</f>
        <v>23.0232905</v>
      </c>
      <c r="G2767" s="38" t="n">
        <f aca="false">Sens!$G$2764-Sens!$G$2766</f>
        <v>38.4768794599236</v>
      </c>
      <c r="H2767" s="38" t="n">
        <f aca="false">Sens!$H$2764-Sens!$H$2766</f>
        <v>46.046581</v>
      </c>
      <c r="I2767" s="38" t="n">
        <f aca="false">Sens!$I$2764-Sens!$I$2766</f>
        <v>46.046581</v>
      </c>
      <c r="J2767" s="38" t="n">
        <f aca="false">Sens!$J$2764-Sens!$J$2766</f>
        <v>46.046581</v>
      </c>
      <c r="K2767" s="38" t="n">
        <f aca="false">Sens!$K$2764-Sens!$K$2766</f>
        <v>32.5728870016667</v>
      </c>
      <c r="L2767" s="38" t="n">
        <f aca="false">Sens!$L$2764-Sens!$L$2766</f>
        <v>19.0991930033334</v>
      </c>
      <c r="M2767" s="38" t="n">
        <f aca="false">Sens!$M$2764-Sens!$M$2766</f>
        <v>5.62549900499998</v>
      </c>
      <c r="R2767" s="38" t="n">
        <f aca="false">Sens!$R$2764-Sens!$R$2766</f>
        <v>0.412610423113572</v>
      </c>
      <c r="S2767" s="38" t="n">
        <f aca="false">Sens!$S$2764-Sens!$S$2766</f>
        <v>6.83631627996541</v>
      </c>
      <c r="T2767" s="38" t="n">
        <f aca="false">Sens!$T$2764-Sens!$T$2766</f>
        <v>18.8447160620714</v>
      </c>
      <c r="U2767" s="38" t="n">
        <f aca="false">Sens!$U$2764-Sens!$U$2766</f>
        <v>38.4768794599236</v>
      </c>
      <c r="V2767" s="38" t="n">
        <f aca="false">Sens!$V$2764-Sens!$V$2766</f>
        <v>46.046581</v>
      </c>
      <c r="W2767" s="38" t="n">
        <f aca="false">Sens!$W$2764-Sens!$W$2766</f>
        <v>46.046581</v>
      </c>
      <c r="X2767" s="38" t="n">
        <f aca="false">Sens!$X$2764-Sens!$X$2766</f>
        <v>46.046581</v>
      </c>
      <c r="Y2767" s="38" t="n">
        <f aca="false">Sens!$Y$2764-Sens!$Y$2766</f>
        <v>32.5728870016667</v>
      </c>
      <c r="Z2767" s="38" t="n">
        <f aca="false">Sens!$Z$2764-Sens!$Z$2766</f>
        <v>19.0991930033334</v>
      </c>
      <c r="AA2767" s="38" t="n">
        <f aca="false">Sens!$AA$2764-Sens!$AA$2766</f>
        <v>5.62549900499998</v>
      </c>
    </row>
    <row r="2768" customFormat="false" ht="17.15" hidden="false" customHeight="false" outlineLevel="0" collapsed="false">
      <c r="A2768" s="0" t="s">
        <v>630</v>
      </c>
      <c r="B2768" s="0" t="s">
        <v>52</v>
      </c>
      <c r="C2768" s="13" t="n">
        <f aca="false">Sens!$C$2764/Sens!$C$2884</f>
        <v>0.326957007819745</v>
      </c>
      <c r="D2768" s="13" t="n">
        <f aca="false">Sens!$D$2764/Sens!$D$2884</f>
        <v>0.545443727803413</v>
      </c>
      <c r="E2768" s="13" t="n">
        <f aca="false">Sens!$E$2764/Sens!$E$2884</f>
        <v>0.670784286873444</v>
      </c>
      <c r="F2768" s="13" t="n">
        <f aca="false">Sens!$F$2764/Sens!$F$2884</f>
        <v>0.736210020511282</v>
      </c>
      <c r="G2768" s="13" t="n">
        <f aca="false">Sens!$G$2764/Sens!$G$2884</f>
        <v>0.708457093878717</v>
      </c>
      <c r="H2768" s="13" t="n">
        <f aca="false">Sens!$H$2764/Sens!$H$2884</f>
        <v>0.729860786256773</v>
      </c>
      <c r="I2768" s="13" t="n">
        <f aca="false">Sens!$I$2764/Sens!$I$2884</f>
        <v>0.71726348718725</v>
      </c>
      <c r="J2768" s="13" t="n">
        <f aca="false">Sens!$J$2764/Sens!$J$2884</f>
        <v>0.705793357580587</v>
      </c>
      <c r="K2768" s="13" t="n">
        <f aca="false">Sens!$K$2764/Sens!$K$2884</f>
        <v>0.623554589889086</v>
      </c>
      <c r="L2768" s="13" t="n">
        <f aca="false">Sens!$L$2764/Sens!$L$2884</f>
        <v>0.567977748520994</v>
      </c>
      <c r="M2768" s="13" t="n">
        <f aca="false">Sens!$M$2764/Sens!$M$2884</f>
        <v>0.551324665692095</v>
      </c>
    </row>
    <row r="2769" customFormat="false" ht="17.15" hidden="false" customHeight="false" outlineLevel="0" collapsed="false">
      <c r="A2769" s="0" t="s">
        <v>631</v>
      </c>
      <c r="B2769" s="0" t="s">
        <v>86</v>
      </c>
      <c r="C2769" s="38" t="n">
        <f aca="false">Sens!$S$2769</f>
        <v>0.186644978927994</v>
      </c>
      <c r="D2769" s="38" t="n">
        <f aca="false">Sens!$T$2769</f>
        <v>3.27906348447805</v>
      </c>
      <c r="E2769" s="38" t="n">
        <f aca="false">Sens!$G$2769/2</f>
        <v>5.90175033304424</v>
      </c>
      <c r="F2769" s="38" t="n">
        <f aca="false">Sens!$G$2769/2</f>
        <v>5.90175033304424</v>
      </c>
      <c r="G2769" s="38" t="n">
        <f aca="false">Sens!$U$2769</f>
        <v>11.8035006660885</v>
      </c>
      <c r="H2769" s="38" t="n">
        <f aca="false">Sens!$V$2769</f>
        <v>32.1992481991481</v>
      </c>
      <c r="I2769" s="38" t="n">
        <f aca="false">Sens!$W$2769</f>
        <v>57.6200455232731</v>
      </c>
      <c r="J2769" s="38" t="n">
        <f aca="false">Sens!$X$2769</f>
        <v>84.0533603416898</v>
      </c>
      <c r="K2769" s="38" t="n">
        <f aca="false">Sens!$Y$2769</f>
        <v>111.172824881178</v>
      </c>
      <c r="L2769" s="38" t="n">
        <f aca="false">Sens!$Z$2769</f>
        <v>128.524656087884</v>
      </c>
      <c r="M2769" s="38" t="n">
        <f aca="false">Sens!$AA$2769</f>
        <v>138.819377012368</v>
      </c>
      <c r="N2769" s="38" t="n">
        <f aca="false">Sens!$D$2769/2</f>
        <v>1.63953174223903</v>
      </c>
      <c r="O2769" s="38" t="n">
        <f aca="false">Sens!$D$2769/2</f>
        <v>1.63953174223903</v>
      </c>
      <c r="R2769" s="38" t="n">
        <f aca="false">SUMPRODUCT(--(Sens!$R$2734:$AA$2734&lt;Sens!R$2734),--(Sens!$R$2734:$AA$2734&gt;=Sens!R$2734-tk_life),Sens!$R$2766:$AA$2766)/tk_life</f>
        <v>0</v>
      </c>
      <c r="S2769" s="38" t="n">
        <f aca="false">SUMPRODUCT(--(Sens!$R$2734:$AA$2734&lt;Sens!S$2734),--(Sens!$R$2734:$AA$2734&gt;=Sens!S$2734-tk_life),Sens!$R$2766:$AA$2766)/tk_life</f>
        <v>0.186644978927994</v>
      </c>
      <c r="T2769" s="38" t="n">
        <f aca="false">SUMPRODUCT(--(Sens!$R$2734:$AA$2734&lt;Sens!T$2734),--(Sens!$R$2734:$AA$2734&gt;=Sens!T$2734-tk_life),Sens!$R$2766:$AA$2766)/tk_life</f>
        <v>3.27906348447805</v>
      </c>
      <c r="U2769" s="38" t="n">
        <f aca="false">SUMPRODUCT(--(Sens!$R$2734:$AA$2734&lt;Sens!U$2734),--(Sens!$R$2734:$AA$2734&gt;=Sens!U$2734-tk_life),Sens!$R$2766:$AA$2766)/tk_life</f>
        <v>11.8035006660885</v>
      </c>
      <c r="V2769" s="38" t="n">
        <f aca="false">SUMPRODUCT(--(Sens!$R$2734:$AA$2734&lt;Sens!V$2734),--(Sens!$R$2734:$AA$2734&gt;=Sens!V$2734-tk_life),Sens!$R$2766:$AA$2766)/tk_life</f>
        <v>32.1992481991481</v>
      </c>
      <c r="W2769" s="38" t="n">
        <f aca="false">SUMPRODUCT(--(Sens!$R$2734:$AA$2734&lt;Sens!W$2734),--(Sens!$R$2734:$AA$2734&gt;=Sens!W$2734-tk_life),Sens!$R$2766:$AA$2766)/tk_life</f>
        <v>57.6200455232731</v>
      </c>
      <c r="X2769" s="38" t="n">
        <f aca="false">SUMPRODUCT(--(Sens!$R$2734:$AA$2734&lt;Sens!X$2734),--(Sens!$R$2734:$AA$2734&gt;=Sens!X$2734-tk_life),Sens!$R$2766:$AA$2766)/tk_life</f>
        <v>84.0533603416898</v>
      </c>
      <c r="Y2769" s="38" t="n">
        <f aca="false">SUMPRODUCT(--(Sens!$R$2734:$AA$2734&lt;Sens!Y$2734),--(Sens!$R$2734:$AA$2734&gt;=Sens!Y$2734-tk_life),Sens!$R$2766:$AA$2766)/tk_life</f>
        <v>111.172824881178</v>
      </c>
      <c r="Z2769" s="38" t="n">
        <f aca="false">SUMPRODUCT(--(Sens!$R$2734:$AA$2734&lt;Sens!Z$2734),--(Sens!$R$2734:$AA$2734&gt;=Sens!Z$2734-tk_life),Sens!$R$2766:$AA$2766)/tk_life</f>
        <v>128.524656087884</v>
      </c>
      <c r="AA2769" s="38" t="n">
        <f aca="false">SUMPRODUCT(--(Sens!$R$2734:$AA$2734&lt;Sens!AA$2734),--(Sens!$R$2734:$AA$2734&gt;=Sens!AA$2734-tk_life),Sens!$R$2766:$AA$2766)/tk_life</f>
        <v>138.819377012368</v>
      </c>
    </row>
    <row r="2770" customFormat="false" ht="17.15" hidden="false" customHeight="false" outlineLevel="0" collapsed="false">
      <c r="A2770" s="0" t="s">
        <v>632</v>
      </c>
      <c r="B2770" s="0" t="s">
        <v>86</v>
      </c>
      <c r="C2770" s="38" t="n">
        <f aca="false">Sens!$S$2770</f>
        <v>0.0206305211556786</v>
      </c>
      <c r="D2770" s="38" t="n">
        <f aca="false">Sens!$T$2770</f>
        <v>0.362446335153949</v>
      </c>
      <c r="E2770" s="38" t="n">
        <f aca="false">Sens!$G$2770/2</f>
        <v>0.652341069128758</v>
      </c>
      <c r="F2770" s="38" t="n">
        <f aca="false">Sens!$G$2770/2</f>
        <v>0.652341069128758</v>
      </c>
      <c r="G2770" s="38" t="n">
        <f aca="false">Sens!$U$2770</f>
        <v>1.30468213825752</v>
      </c>
      <c r="H2770" s="38" t="n">
        <f aca="false">Sens!$V$2770</f>
        <v>3.2285261112537</v>
      </c>
      <c r="I2770" s="38" t="n">
        <f aca="false">Sens!$W$2770</f>
        <v>5.5308551612537</v>
      </c>
      <c r="J2770" s="38" t="n">
        <f aca="false">Sens!$X$2770</f>
        <v>7.8331842112537</v>
      </c>
      <c r="K2770" s="38" t="n">
        <f aca="false">Sens!$Y$2770</f>
        <v>10.1355132612537</v>
      </c>
      <c r="L2770" s="38" t="n">
        <f aca="false">Sens!$Z$2770</f>
        <v>11.764157611337</v>
      </c>
      <c r="M2770" s="38" t="n">
        <f aca="false">Sens!$AA$2770</f>
        <v>12.7191172615037</v>
      </c>
      <c r="N2770" s="38" t="n">
        <f aca="false">Sens!$D$2770/2</f>
        <v>0.181223167576975</v>
      </c>
      <c r="O2770" s="38" t="n">
        <f aca="false">Sens!$D$2770/2</f>
        <v>0.181223167576975</v>
      </c>
      <c r="R2770" s="38" t="n">
        <f aca="false">SUMPRODUCT(--(Sens!$R$2734:$AA$2734&lt;Sens!R$2734),Sens!$R$2767:$AA$2767)/fac_life</f>
        <v>0</v>
      </c>
      <c r="S2770" s="38" t="n">
        <f aca="false">SUMPRODUCT(--(Sens!$R$2734:$AA$2734&lt;Sens!S$2734),Sens!$R$2767:$AA$2767)/fac_life</f>
        <v>0.0206305211556786</v>
      </c>
      <c r="T2770" s="38" t="n">
        <f aca="false">SUMPRODUCT(--(Sens!$R$2734:$AA$2734&lt;Sens!T$2734),Sens!$R$2767:$AA$2767)/fac_life</f>
        <v>0.362446335153949</v>
      </c>
      <c r="U2770" s="38" t="n">
        <f aca="false">SUMPRODUCT(--(Sens!$R$2734:$AA$2734&lt;Sens!U$2734),Sens!$R$2767:$AA$2767)/fac_life</f>
        <v>1.30468213825752</v>
      </c>
      <c r="V2770" s="38" t="n">
        <f aca="false">SUMPRODUCT(--(Sens!$R$2734:$AA$2734&lt;Sens!V$2734),Sens!$R$2767:$AA$2767)/fac_life</f>
        <v>3.2285261112537</v>
      </c>
      <c r="W2770" s="38" t="n">
        <f aca="false">SUMPRODUCT(--(Sens!$R$2734:$AA$2734&lt;Sens!W$2734),Sens!$R$2767:$AA$2767)/fac_life</f>
        <v>5.5308551612537</v>
      </c>
      <c r="X2770" s="38" t="n">
        <f aca="false">SUMPRODUCT(--(Sens!$R$2734:$AA$2734&lt;Sens!X$2734),Sens!$R$2767:$AA$2767)/fac_life</f>
        <v>7.8331842112537</v>
      </c>
      <c r="Y2770" s="38" t="n">
        <f aca="false">SUMPRODUCT(--(Sens!$R$2734:$AA$2734&lt;Sens!Y$2734),Sens!$R$2767:$AA$2767)/fac_life</f>
        <v>10.1355132612537</v>
      </c>
      <c r="Z2770" s="38" t="n">
        <f aca="false">SUMPRODUCT(--(Sens!$R$2734:$AA$2734&lt;Sens!Z$2734),Sens!$R$2767:$AA$2767)/fac_life</f>
        <v>11.764157611337</v>
      </c>
      <c r="AA2770" s="38" t="n">
        <f aca="false">SUMPRODUCT(--(Sens!$R$2734:$AA$2734&lt;Sens!AA$2734),Sens!$R$2767:$AA$2767)/fac_life</f>
        <v>12.7191172615037</v>
      </c>
    </row>
    <row r="2771" customFormat="false" ht="17.15" hidden="false" customHeight="false" outlineLevel="0" collapsed="false">
      <c r="A2771" s="1" t="s">
        <v>633</v>
      </c>
      <c r="B2771" s="8" t="s">
        <v>86</v>
      </c>
      <c r="C2771" s="38" t="n">
        <f aca="false">Sens!$C$2769+Sens!$C$2770</f>
        <v>0.207275500083673</v>
      </c>
      <c r="D2771" s="38" t="n">
        <f aca="false">Sens!$D$2769+Sens!$D$2770</f>
        <v>3.641509819632</v>
      </c>
      <c r="E2771" s="38" t="n">
        <f aca="false">Sens!$E$2769+Sens!$E$2770</f>
        <v>6.554091402173</v>
      </c>
      <c r="F2771" s="38" t="n">
        <f aca="false">Sens!$F$2769+Sens!$F$2770</f>
        <v>6.554091402173</v>
      </c>
      <c r="G2771" s="38" t="n">
        <f aca="false">Sens!$G$2769+Sens!$G$2770</f>
        <v>13.108182804346</v>
      </c>
      <c r="H2771" s="38" t="n">
        <f aca="false">Sens!$H$2769+Sens!$H$2770</f>
        <v>35.4277743104018</v>
      </c>
      <c r="I2771" s="38" t="n">
        <f aca="false">Sens!$I$2769+Sens!$I$2770</f>
        <v>63.1509006845268</v>
      </c>
      <c r="J2771" s="38" t="n">
        <f aca="false">Sens!$J$2769+Sens!$J$2770</f>
        <v>91.8865445529435</v>
      </c>
      <c r="K2771" s="38" t="n">
        <f aca="false">Sens!$K$2769+Sens!$K$2770</f>
        <v>121.308338142432</v>
      </c>
      <c r="L2771" s="38" t="n">
        <f aca="false">Sens!$L$2769+Sens!$L$2770</f>
        <v>140.288813699221</v>
      </c>
      <c r="M2771" s="38" t="n">
        <f aca="false">Sens!$M$2769+Sens!$M$2770</f>
        <v>151.538494273872</v>
      </c>
      <c r="N2771" s="38" t="n">
        <f aca="false">Sens!$N$2769+Sens!$N$2770</f>
        <v>1.820754909816</v>
      </c>
      <c r="O2771" s="38" t="n">
        <f aca="false">Sens!$O$2769+Sens!$O$2770</f>
        <v>1.820754909816</v>
      </c>
      <c r="R2771" s="38" t="n">
        <f aca="false">Sens!$R$2769+Sens!$R$2770</f>
        <v>0</v>
      </c>
      <c r="S2771" s="38" t="n">
        <f aca="false">Sens!$S$2769+Sens!$S$2770</f>
        <v>0.207275500083673</v>
      </c>
      <c r="T2771" s="38" t="n">
        <f aca="false">Sens!$T$2769+Sens!$T$2770</f>
        <v>3.641509819632</v>
      </c>
      <c r="U2771" s="38" t="n">
        <f aca="false">Sens!$U$2769+Sens!$U$2770</f>
        <v>13.108182804346</v>
      </c>
      <c r="V2771" s="38" t="n">
        <f aca="false">Sens!$V$2769+Sens!$V$2770</f>
        <v>35.4277743104018</v>
      </c>
      <c r="W2771" s="38" t="n">
        <f aca="false">Sens!$W$2769+Sens!$W$2770</f>
        <v>63.1509006845268</v>
      </c>
      <c r="X2771" s="38" t="n">
        <f aca="false">Sens!$X$2769+Sens!$X$2770</f>
        <v>91.8865445529435</v>
      </c>
      <c r="Y2771" s="38" t="n">
        <f aca="false">Sens!$Y$2769+Sens!$Y$2770</f>
        <v>121.308338142432</v>
      </c>
      <c r="Z2771" s="38" t="n">
        <f aca="false">Sens!$Z$2769+Sens!$Z$2770</f>
        <v>140.288813699221</v>
      </c>
      <c r="AA2771" s="38" t="n">
        <f aca="false">Sens!$AA$2769+Sens!$AA$2770</f>
        <v>151.538494273872</v>
      </c>
    </row>
    <row r="2772" customFormat="false" ht="17.15" hidden="false" customHeight="false" outlineLevel="0" collapsed="false">
      <c r="A2772" s="0" t="s">
        <v>634</v>
      </c>
      <c r="B2772" s="0" t="s">
        <v>86</v>
      </c>
      <c r="C2772" s="38" t="n">
        <f aca="false">Sens!$S$2772</f>
        <v>26.7160321098636</v>
      </c>
      <c r="D2772" s="38" t="n">
        <f aca="false">Sens!$T$2772</f>
        <v>93.0658614419656</v>
      </c>
      <c r="G2772" s="38" t="n">
        <f aca="false">Sens!$U$2772</f>
        <v>240.809043295901</v>
      </c>
      <c r="H2772" s="38" t="n">
        <f aca="false">Sens!$V$2772</f>
        <v>403.952633930249</v>
      </c>
      <c r="I2772" s="38" t="n">
        <f aca="false">Sens!$W$2772</f>
        <v>545.448203156223</v>
      </c>
      <c r="J2772" s="38" t="n">
        <f aca="false">Sens!$X$2772</f>
        <v>663.444896713779</v>
      </c>
      <c r="K2772" s="38" t="n">
        <f aca="false">Sens!$Y$2772</f>
        <v>697.374943846548</v>
      </c>
      <c r="L2772" s="38" t="n">
        <f aca="false">Sens!$Z$2772</f>
        <v>689.100271787228</v>
      </c>
      <c r="M2772" s="38" t="n">
        <f aca="false">Sens!$AA$2772</f>
        <v>669.792759173208</v>
      </c>
      <c r="R2772" s="38" t="n">
        <f aca="false">SUM(Sens!$R$2764:$R$2764)-SUM(Sens!$R$2771:$R$2771)</f>
        <v>1.53248029668154</v>
      </c>
      <c r="S2772" s="38" t="n">
        <f aca="false">SUM(Sens!$R$2764:$S$2764)-SUM(Sens!$R$2771:$S$2771)</f>
        <v>26.7160321098636</v>
      </c>
      <c r="T2772" s="38" t="n">
        <f aca="false">SUM(Sens!$R$2764:$T$2764)-SUM(Sens!$R$2771:$T$2771)</f>
        <v>93.0658614419656</v>
      </c>
      <c r="U2772" s="38" t="n">
        <f aca="false">SUM(Sens!$R$2764:$U$2764)-SUM(Sens!$R$2771:$U$2771)</f>
        <v>240.809043295901</v>
      </c>
      <c r="V2772" s="38" t="n">
        <f aca="false">SUM(Sens!$R$2764:$V$2764)-SUM(Sens!$R$2771:$V$2771)</f>
        <v>403.952633930249</v>
      </c>
      <c r="W2772" s="38" t="n">
        <f aca="false">SUM(Sens!$R$2764:$W$2764)-SUM(Sens!$R$2771:$W$2771)</f>
        <v>545.448203156223</v>
      </c>
      <c r="X2772" s="38" t="n">
        <f aca="false">SUM(Sens!$R$2764:$X$2764)-SUM(Sens!$R$2771:$X$2771)</f>
        <v>663.444896713779</v>
      </c>
      <c r="Y2772" s="38" t="n">
        <f aca="false">SUM(Sens!$R$2764:$Y$2764)-SUM(Sens!$R$2771:$Y$2771)</f>
        <v>697.374943846548</v>
      </c>
      <c r="Z2772" s="38" t="n">
        <f aca="false">SUM(Sens!$R$2764:$Z$2764)-SUM(Sens!$R$2771:$Z$2771)</f>
        <v>689.100271787228</v>
      </c>
      <c r="AA2772" s="38" t="n">
        <f aca="false">SUM(Sens!$R$2764:$AA$2764)-SUM(Sens!$R$2771:$AA$2771)</f>
        <v>669.792759173208</v>
      </c>
    </row>
    <row r="2773" customFormat="false" ht="17.15" hidden="false" customHeight="false" outlineLevel="0" collapsed="false">
      <c r="A2773" s="1" t="s">
        <v>635</v>
      </c>
    </row>
    <row r="2774" customFormat="false" ht="17.15" hidden="false" customHeight="false" outlineLevel="0" collapsed="false">
      <c r="A2774" s="0" t="s">
        <v>636</v>
      </c>
      <c r="B2774" s="0" t="s">
        <v>86</v>
      </c>
      <c r="C2774" s="38" t="n">
        <f aca="false">Sens!$C$2755-ext_sh*Sens!$C$2757</f>
        <v>2.37056001607536</v>
      </c>
      <c r="D2774" s="38" t="n">
        <f aca="false">Sens!$D$2755-ext_sh*Sens!$D$2757</f>
        <v>8.8896000602826</v>
      </c>
      <c r="E2774" s="38" t="n">
        <f aca="false">Sens!$E$2755-ext_sh*Sens!$E$2757</f>
        <v>8.69205339227632</v>
      </c>
      <c r="F2774" s="38" t="n">
        <f aca="false">Sens!$F$2755-ext_sh*Sens!$F$2757</f>
        <v>14.1623678356515</v>
      </c>
      <c r="G2774" s="38" t="n">
        <f aca="false">Sens!$G$2755-ext_sh*Sens!$G$2757</f>
        <v>22.8544212279278</v>
      </c>
      <c r="H2774" s="38" t="n">
        <f aca="false">Sens!$H$2755-ext_sh*Sens!$H$2757</f>
        <v>52.4017929456071</v>
      </c>
      <c r="I2774" s="38" t="n">
        <f aca="false">Sens!$I$2755-ext_sh*Sens!$I$2757</f>
        <v>85.4385895039285</v>
      </c>
      <c r="J2774" s="38" t="n">
        <f aca="false">Sens!$J$2755-ext_sh*Sens!$J$2757</f>
        <v>118.643937074445</v>
      </c>
      <c r="K2774" s="38" t="n">
        <f aca="false">Sens!$K$2755-ext_sh*Sens!$K$2757</f>
        <v>146.969031731731</v>
      </c>
      <c r="L2774" s="38" t="n">
        <f aca="false">Sens!$L$2755-ext_sh*Sens!$L$2757</f>
        <v>165.584266397602</v>
      </c>
      <c r="M2774" s="38" t="n">
        <f aca="false">Sens!$M$2755-ext_sh*Sens!$M$2757</f>
        <v>174.462227381355</v>
      </c>
      <c r="N2774" s="38" t="n">
        <f aca="false">Sens!$N$2755-ext_sh*Sens!$N$2757</f>
        <v>3.11136002109891</v>
      </c>
      <c r="O2774" s="38" t="n">
        <f aca="false">Sens!$O$2755-ext_sh*Sens!$O$2757</f>
        <v>5.77824003918369</v>
      </c>
    </row>
    <row r="2775" customFormat="false" ht="17.15" hidden="false" customHeight="false" outlineLevel="0" collapsed="false">
      <c r="A2775" s="1" t="s">
        <v>637</v>
      </c>
      <c r="B2775" s="8" t="s">
        <v>86</v>
      </c>
      <c r="C2775" s="38" t="n">
        <f aca="false">Sens!$C$2774-ext_sh*Sens!$C$2771</f>
        <v>2.20473961600842</v>
      </c>
      <c r="D2775" s="38" t="n">
        <f aca="false">Sens!$D$2774-ext_sh*Sens!$D$2771</f>
        <v>5.976392204577</v>
      </c>
      <c r="E2775" s="38" t="n">
        <f aca="false">Sens!$E$2774-ext_sh*Sens!$E$2771</f>
        <v>3.44878027053792</v>
      </c>
      <c r="F2775" s="38" t="n">
        <f aca="false">Sens!$F$2774-ext_sh*Sens!$F$2771</f>
        <v>8.91909471391308</v>
      </c>
      <c r="G2775" s="38" t="n">
        <f aca="false">Sens!$G$2774-ext_sh*Sens!$G$2771</f>
        <v>12.367874984451</v>
      </c>
      <c r="H2775" s="38" t="n">
        <f aca="false">Sens!$H$2774-ext_sh*Sens!$H$2771</f>
        <v>24.0595734972856</v>
      </c>
      <c r="I2775" s="38" t="n">
        <f aca="false">Sens!$I$2774-ext_sh*Sens!$I$2771</f>
        <v>34.917868956307</v>
      </c>
      <c r="J2775" s="38" t="n">
        <f aca="false">Sens!$J$2774-ext_sh*Sens!$J$2771</f>
        <v>45.1347014320904</v>
      </c>
      <c r="K2775" s="38" t="n">
        <f aca="false">Sens!$K$2774-ext_sh*Sens!$K$2771</f>
        <v>49.9223612177854</v>
      </c>
      <c r="L2775" s="38" t="n">
        <f aca="false">Sens!$L$2774-ext_sh*Sens!$L$2771</f>
        <v>53.3532154382252</v>
      </c>
      <c r="M2775" s="38" t="n">
        <f aca="false">Sens!$M$2774-ext_sh*Sens!$M$2771</f>
        <v>53.2314319622574</v>
      </c>
      <c r="N2775" s="38" t="n">
        <f aca="false">Sens!$N$2774-ext_sh*Sens!$N$2771</f>
        <v>1.65475609324611</v>
      </c>
      <c r="O2775" s="38" t="n">
        <f aca="false">Sens!$O$2774-ext_sh*Sens!$O$2771</f>
        <v>4.32163611133089</v>
      </c>
    </row>
    <row r="2776" customFormat="false" ht="17.15" hidden="false" customHeight="false" outlineLevel="0" collapsed="false">
      <c r="A2776" s="0" t="s">
        <v>638</v>
      </c>
      <c r="B2776" s="0" t="s">
        <v>52</v>
      </c>
      <c r="C2776" s="13" t="n">
        <f aca="false">Sens!$C$2775/Sens!$C$2755</f>
        <v>0.764309733549586</v>
      </c>
      <c r="D2776" s="13" t="n">
        <f aca="false">Sens!$D$2775/Sens!$D$2755</f>
        <v>0.552484257134229</v>
      </c>
      <c r="E2776" s="13" t="n">
        <f aca="false">Sens!$E$2775/Sens!$E$2755</f>
        <v>0.326066498305403</v>
      </c>
      <c r="F2776" s="13" t="n">
        <f aca="false">Sens!$F$2775/Sens!$F$2755</f>
        <v>0.51242249883647</v>
      </c>
      <c r="G2776" s="13" t="n">
        <f aca="false">Sens!$G$2775/Sens!$G$2755</f>
        <v>0.44198342690276</v>
      </c>
      <c r="H2776" s="13" t="n">
        <f aca="false">Sens!$H$2775/Sens!$H$2755</f>
        <v>0.369859869374888</v>
      </c>
      <c r="I2776" s="13" t="n">
        <f aca="false">Sens!$I$2775/Sens!$I$2755</f>
        <v>0.328211491271908</v>
      </c>
      <c r="J2776" s="13" t="n">
        <f aca="false">Sens!$J$2775/Sens!$J$2755</f>
        <v>0.305149706401079</v>
      </c>
      <c r="K2776" s="13" t="n">
        <f aca="false">Sens!$K$2775/Sens!$K$2755</f>
        <v>0.272304668812619</v>
      </c>
      <c r="L2776" s="13" t="n">
        <f aca="false">Sens!$L$2775/Sens!$L$2755</f>
        <v>0.258228123181061</v>
      </c>
      <c r="M2776" s="13" t="n">
        <f aca="false">Sens!$M$2775/Sens!$M$2755</f>
        <v>0.244494841536445</v>
      </c>
      <c r="N2776" s="13" t="n">
        <f aca="false">Sens!$N$2775/Sens!$N$2755</f>
        <v>0.437065736374845</v>
      </c>
      <c r="O2776" s="13" t="n">
        <f aca="false">Sens!$O$2775/Sens!$O$2755</f>
        <v>0.614632691389282</v>
      </c>
    </row>
    <row r="2777" customFormat="false" ht="17.15" hidden="false" customHeight="false" outlineLevel="0" collapsed="false">
      <c r="A2777" s="5" t="s">
        <v>639</v>
      </c>
      <c r="B2777" s="0" t="s">
        <v>86</v>
      </c>
      <c r="C2777" s="39" t="n">
        <v>0</v>
      </c>
      <c r="D2777" s="39" t="n">
        <v>0</v>
      </c>
      <c r="E2777" s="39" t="n">
        <v>0</v>
      </c>
      <c r="F2777" s="38" t="n">
        <f aca="false">IF(internal_ai_reading=2,1,0)*(1-ext_sh)/ext_sh*(mw_open*he_open+Sens!$F$2753*Sens!$F$2750)*Sens!$F$2739/1000</f>
        <v>3.77122048175818</v>
      </c>
      <c r="G2777" s="38" t="n">
        <f aca="false">Sens!$E$2777+Sens!$F$2777</f>
        <v>3.77122048175818</v>
      </c>
      <c r="H2777" s="38" t="n">
        <f aca="false">IF(internal_ai_reading=2,1,0)*(1-ext_sh)/ext_sh*(mw_open*he_open+Sens!$H$2753*Sens!$H$2750)*Sens!$H$2739/1000</f>
        <v>15.1635543609893</v>
      </c>
      <c r="I2777" s="38" t="n">
        <f aca="false">IF(internal_ai_reading=2,1,0)*(1-ext_sh)/ext_sh*(mw_open*he_open+Sens!$I$2753*Sens!$I$2750)*Sens!$I$2739/1000</f>
        <v>25.5818843619889</v>
      </c>
      <c r="J2777" s="38" t="n">
        <f aca="false">IF(internal_ai_reading=2,1,0)*(1-ext_sh)/ext_sh*(mw_open*he_open+Sens!$J$2753*Sens!$J$2750)*Sens!$J$2739/1000</f>
        <v>36.0465624179122</v>
      </c>
      <c r="K2777" s="38" t="n">
        <f aca="false">IF(internal_ai_reading=2,1,0)*(1-ext_sh)/ext_sh*(mw_open*he_open+Sens!$K$2753*Sens!$K$2750)*Sens!$K$2739/1000</f>
        <v>44.9741164026038</v>
      </c>
      <c r="L2777" s="38" t="n">
        <f aca="false">IF(internal_ai_reading=2,1,0)*(1-ext_sh)/ext_sh*(mw_open*he_open+Sens!$L$2753*Sens!$L$2750)*Sens!$L$2739/1000</f>
        <v>50.8413488057813</v>
      </c>
      <c r="M2777" s="38" t="n">
        <f aca="false">IF(internal_ai_reading=2,1,0)*(1-ext_sh)/ext_sh*(mw_open*he_open+Sens!$M$2753*Sens!$M$2750)*Sens!$M$2739/1000</f>
        <v>53.6407214274315</v>
      </c>
      <c r="N2777" s="39" t="n">
        <v>0</v>
      </c>
      <c r="O2777" s="39" t="n">
        <v>0</v>
      </c>
      <c r="P2777" s="8" t="s">
        <v>640</v>
      </c>
    </row>
    <row r="2778" customFormat="false" ht="17.15" hidden="false" customHeight="false" outlineLevel="0" collapsed="false">
      <c r="A2778" s="5" t="s">
        <v>641</v>
      </c>
      <c r="B2778" s="0" t="s">
        <v>86</v>
      </c>
      <c r="C2778" s="38" t="n">
        <f aca="false">(1-ext_sh)*(Sens!$C$2757+Sens!$C$2771)</f>
        <v>0.169968942151741</v>
      </c>
      <c r="D2778" s="38" t="n">
        <f aca="false">(1-ext_sh)*(Sens!$D$2757+Sens!$D$2771)</f>
        <v>1.21022887193267</v>
      </c>
      <c r="E2778" s="38" t="n">
        <f aca="false">(1-ext_sh)*(Sens!$E$2757+Sens!$E$2771)</f>
        <v>1.78203570159629</v>
      </c>
      <c r="F2778" s="38" t="n">
        <f aca="false">(1-ext_sh)*(Sens!$F$2757+Sens!$F$2771)</f>
        <v>2.12166226264706</v>
      </c>
      <c r="G2778" s="38" t="n">
        <f aca="false">(1-ext_sh)*(Sens!$G$2757+Sens!$G$2771)</f>
        <v>3.90369796424335</v>
      </c>
      <c r="H2778" s="38" t="n">
        <f aca="false">(1-ext_sh)*(Sens!$H$2757+Sens!$H$2771)</f>
        <v>10.2477343730127</v>
      </c>
      <c r="I2778" s="38" t="n">
        <f aca="false">(1-ext_sh)*(Sens!$I$2757+Sens!$I$2771)</f>
        <v>17.8676126049217</v>
      </c>
      <c r="J2778" s="38" t="n">
        <f aca="false">(1-ext_sh)*(Sens!$J$2757+Sens!$J$2771)</f>
        <v>25.6938314896874</v>
      </c>
      <c r="K2778" s="38" t="n">
        <f aca="false">(1-ext_sh)*(Sens!$K$2757+Sens!$K$2771)</f>
        <v>33.352594851239</v>
      </c>
      <c r="L2778" s="38" t="n">
        <f aca="false">(1-ext_sh)*(Sens!$L$2757+Sens!$L$2771)</f>
        <v>38.3148766509333</v>
      </c>
      <c r="M2778" s="38" t="n">
        <f aca="false">(1-ext_sh)*(Sens!$M$2757+Sens!$M$2771)</f>
        <v>41.1221574115424</v>
      </c>
      <c r="N2778" s="38" t="n">
        <f aca="false">(1-ext_sh)*(Sens!$N$2757+Sens!$N$2771)</f>
        <v>0.532825399765396</v>
      </c>
      <c r="O2778" s="38" t="n">
        <f aca="false">(1-ext_sh)*(Sens!$O$2757+Sens!$O$2771)</f>
        <v>0.677403472167278</v>
      </c>
    </row>
    <row r="2779" customFormat="false" ht="17.15" hidden="false" customHeight="false" outlineLevel="0" collapsed="false">
      <c r="A2779" s="0" t="s">
        <v>642</v>
      </c>
      <c r="B2779" s="0" t="s">
        <v>86</v>
      </c>
      <c r="C2779" s="38" t="n">
        <f aca="false">Q!$D$24</f>
        <v>39.834</v>
      </c>
      <c r="D2779" s="38" t="n">
        <f aca="false">Q!$E$24</f>
        <v>45.606</v>
      </c>
      <c r="E2779" s="38" t="n">
        <f aca="false">Q!$P$24</f>
        <v>30.782</v>
      </c>
      <c r="N2779" s="38" t="n">
        <f aca="false">Q!$N$24</f>
        <v>21.707</v>
      </c>
      <c r="O2779" s="38" t="n">
        <f aca="false">Q!$O$24</f>
        <v>23.899</v>
      </c>
    </row>
    <row r="2780" customFormat="false" ht="17.15" hidden="false" customHeight="false" outlineLevel="0" collapsed="false">
      <c r="A2780" s="0" t="s">
        <v>643</v>
      </c>
      <c r="B2780" s="0" t="s">
        <v>86</v>
      </c>
      <c r="C2780" s="38" t="n">
        <f aca="false">Sens!$C$2779-Sens!$C$2775</f>
        <v>37.6292603839916</v>
      </c>
      <c r="D2780" s="38" t="n">
        <f aca="false">Sens!$D$2779-Sens!$D$2775</f>
        <v>39.629607795423</v>
      </c>
      <c r="E2780" s="38" t="n">
        <f aca="false">Sens!$E$2779-Sens!$E$2775</f>
        <v>27.3332197294621</v>
      </c>
      <c r="F2780" s="38" t="n">
        <f aca="false">Sens!$F$2759*Sens!$F$2781</f>
        <v>24.8682734815839</v>
      </c>
      <c r="G2780" s="38" t="n">
        <f aca="false">Sens!$E$2780+Sens!$F$2780</f>
        <v>52.201493211046</v>
      </c>
      <c r="H2780" s="38" t="n">
        <f aca="false">Sens!$H$2759*Sens!$H$2781</f>
        <v>55.410198735183</v>
      </c>
      <c r="I2780" s="38" t="n">
        <f aca="false">Sens!$I$2759*Sens!$I$2781</f>
        <v>61.1300782515605</v>
      </c>
      <c r="J2780" s="38" t="n">
        <f aca="false">Sens!$J$2759*Sens!$J$2781</f>
        <v>66.7304467700088</v>
      </c>
      <c r="K2780" s="38" t="n">
        <f aca="false">Sens!$K$2759*Sens!$K$2781</f>
        <v>72.0688825116095</v>
      </c>
      <c r="L2780" s="38" t="n">
        <f aca="false">Sens!$L$2759*Sens!$L$2781</f>
        <v>77.8343931125382</v>
      </c>
      <c r="M2780" s="38" t="n">
        <f aca="false">Sens!$M$2759*Sens!$M$2781</f>
        <v>84.0611445615413</v>
      </c>
      <c r="N2780" s="38" t="n">
        <f aca="false">Sens!$N$2779-Sens!$N$2775</f>
        <v>20.0522439067539</v>
      </c>
      <c r="O2780" s="38" t="n">
        <f aca="false">Sens!$O$2779-Sens!$O$2775</f>
        <v>19.5773638886691</v>
      </c>
      <c r="P2780" s="5" t="s">
        <v>644</v>
      </c>
    </row>
    <row r="2781" customFormat="false" ht="17.15" hidden="false" customHeight="false" outlineLevel="0" collapsed="false">
      <c r="A2781" s="0" t="s">
        <v>645</v>
      </c>
      <c r="B2781" s="0" t="s">
        <v>52</v>
      </c>
      <c r="C2781" s="13" t="n">
        <f aca="false">Sens!$C$2780/Sens!$C$2759</f>
        <v>0.359499021841169</v>
      </c>
      <c r="D2781" s="13" t="n">
        <f aca="false">Sens!$D$2780/Sens!$D$2759</f>
        <v>0.336107059851578</v>
      </c>
      <c r="E2781" s="13" t="n">
        <f aca="false">Sens!$E$2780/Sens!$E$2759</f>
        <v>0.394748698249294</v>
      </c>
      <c r="F2781" s="13" t="n">
        <f aca="false">(Sens!$O$2780+Sens!$E$2780)/(Sens!$O$2759+Sens!$E$2759)</f>
        <v>0.358655048266334</v>
      </c>
      <c r="G2781" s="13" t="n">
        <f aca="false">Sens!$G$2780/Sens!$G$2759</f>
        <v>0.376689436032452</v>
      </c>
      <c r="H2781" s="13" t="n">
        <f aca="false">Sens!$F$2781</f>
        <v>0.358655048266334</v>
      </c>
      <c r="I2781" s="13" t="n">
        <f aca="false">Sens!$F$2781</f>
        <v>0.358655048266334</v>
      </c>
      <c r="J2781" s="13" t="n">
        <f aca="false">Sens!$F$2781</f>
        <v>0.358655048266334</v>
      </c>
      <c r="K2781" s="13" t="n">
        <f aca="false">Sens!$F$2781</f>
        <v>0.358655048266334</v>
      </c>
      <c r="L2781" s="13" t="n">
        <f aca="false">Sens!$F$2781</f>
        <v>0.358655048266334</v>
      </c>
      <c r="M2781" s="13" t="n">
        <f aca="false">Sens!$F$2781</f>
        <v>0.358655048266334</v>
      </c>
      <c r="N2781" s="13" t="n">
        <f aca="false">Sens!$N$2780/Sens!$N$2759</f>
        <v>0.355826816822659</v>
      </c>
      <c r="O2781" s="13" t="n">
        <f aca="false">Sens!$O$2780/Sens!$O$2759</f>
        <v>0.318053146862199</v>
      </c>
      <c r="P2781" s="8" t="s">
        <v>646</v>
      </c>
    </row>
    <row r="2782" customFormat="false" ht="17.15" hidden="false" customHeight="false" outlineLevel="0" collapsed="false">
      <c r="A2782" s="0" t="s">
        <v>647</v>
      </c>
      <c r="B2782" s="0" t="s">
        <v>52</v>
      </c>
      <c r="D2782" s="13" t="n">
        <f aca="false">(Q!$E$31-ext_sh*Sens!$D$2771)/Sens!$D$2759</f>
        <v>0.157214442768676</v>
      </c>
    </row>
    <row r="2783" customFormat="false" ht="17.15" hidden="false" customHeight="false" outlineLevel="0" collapsed="false">
      <c r="A2783" s="0" t="s">
        <v>648</v>
      </c>
      <c r="B2783" s="0" t="s">
        <v>86</v>
      </c>
      <c r="C2783" s="38" t="n">
        <f aca="false">Q!$D$31</f>
        <v>13.32</v>
      </c>
      <c r="D2783" s="38" t="n">
        <f aca="false">Q!$E$31</f>
        <v>21.45</v>
      </c>
      <c r="E2783" s="38" t="n">
        <f aca="false">Q!$P$31</f>
        <v>15.353</v>
      </c>
      <c r="F2783" s="38" t="n">
        <f aca="false">ext_sh*Sens!$F$2771+Sens!$D$2782*Sens!$F$2759</f>
        <v>16.1441422909436</v>
      </c>
      <c r="G2783" s="38" t="n">
        <f aca="false">Sens!$E$2783+Sens!$F$2783</f>
        <v>31.4971422909436</v>
      </c>
      <c r="H2783" s="38" t="n">
        <f aca="false">ext_sh*Sens!$H$2771+Sens!$D$2782*Sens!$H$2759</f>
        <v>52.6309714398576</v>
      </c>
      <c r="I2783" s="38" t="n">
        <f aca="false">ext_sh*Sens!$I$2771+Sens!$D$2782*Sens!$I$2759</f>
        <v>77.3167498665452</v>
      </c>
      <c r="J2783" s="38" t="n">
        <f aca="false">ext_sh*Sens!$J$2771+Sens!$D$2782*Sens!$J$2759</f>
        <v>102.760155308377</v>
      </c>
      <c r="K2783" s="38" t="n">
        <f aca="false">ext_sh*Sens!$K$2771+Sens!$D$2782*Sens!$K$2759</f>
        <v>128.637663753249</v>
      </c>
      <c r="L2783" s="38" t="n">
        <f aca="false">ext_sh*Sens!$L$2771+Sens!$D$2782*Sens!$L$2759</f>
        <v>146.349323657825</v>
      </c>
      <c r="M2783" s="38" t="n">
        <f aca="false">ext_sh*Sens!$M$2771+Sens!$D$2782*Sens!$M$2759</f>
        <v>158.078529933422</v>
      </c>
      <c r="N2783" s="38" t="n">
        <f aca="false">Q!$N$31</f>
        <v>9.234</v>
      </c>
      <c r="O2783" s="38" t="n">
        <f aca="false">Q!$O$31</f>
        <v>12.216</v>
      </c>
    </row>
    <row r="2784" customFormat="false" ht="17.15" hidden="false" customHeight="false" outlineLevel="0" collapsed="false">
      <c r="A2784" s="1" t="s">
        <v>649</v>
      </c>
    </row>
    <row r="2785" customFormat="false" ht="17.15" hidden="false" customHeight="false" outlineLevel="0" collapsed="false">
      <c r="A2785" s="15" t="s">
        <v>650</v>
      </c>
      <c r="B2785" s="14" t="s">
        <v>52</v>
      </c>
      <c r="C2785" s="14"/>
      <c r="D2785" s="14"/>
      <c r="E2785" s="14"/>
      <c r="F2785" s="14"/>
      <c r="G2785" s="17" t="n">
        <f aca="false">Sens!$G$2775*(1-tax)/(ext_sh*(Sens!$D$2772+Sens!$G$2772)/2)</f>
        <v>0.0765331799045499</v>
      </c>
      <c r="H2785" s="17" t="n">
        <f aca="false">Sens!$H$2775*(1-tax)/(ext_sh*(Sens!$G$2772+Sens!$H$2772)/2)</f>
        <v>0.0770951675764745</v>
      </c>
      <c r="I2785" s="17" t="n">
        <f aca="false">Sens!$I$2775*(1-tax)/(ext_sh*(Sens!$H$2772+Sens!$I$2772)/2)</f>
        <v>0.0759865224352102</v>
      </c>
      <c r="J2785" s="17" t="n">
        <f aca="false">Sens!$J$2775*(1-tax)/(ext_sh*(Sens!$I$2772+Sens!$J$2772)/2)</f>
        <v>0.07713671219943</v>
      </c>
      <c r="K2785" s="17" t="n">
        <f aca="false">Sens!$K$2775*(1-tax)/(ext_sh*(Sens!$J$2772+Sens!$K$2772)/2)</f>
        <v>0.075793669647344</v>
      </c>
      <c r="L2785" s="17" t="n">
        <f aca="false">Sens!$L$2775*(1-tax)/(ext_sh*(Sens!$K$2772+Sens!$L$2772)/2)</f>
        <v>0.0795036259853304</v>
      </c>
      <c r="M2785" s="17" t="n">
        <f aca="false">Sens!$M$2775*(1-tax)/(ext_sh*(Sens!$L$2772+Sens!$M$2772)/2)</f>
        <v>0.0809321963566137</v>
      </c>
      <c r="N2785" s="14"/>
      <c r="O2785" s="14"/>
      <c r="P2785" s="8" t="s">
        <v>651</v>
      </c>
    </row>
    <row r="2786" customFormat="false" ht="17.15" hidden="false" customHeight="false" outlineLevel="0" collapsed="false">
      <c r="A2786" s="5" t="s">
        <v>652</v>
      </c>
      <c r="B2786" s="0" t="s">
        <v>57</v>
      </c>
      <c r="H2786" s="36" t="n">
        <f aca="false">Sens!$H$2755*1000/(mw_open*he_open+Sens!$H$2753*Sens!$H$2750)</f>
        <v>1.07248125077932</v>
      </c>
      <c r="I2786" s="36" t="n">
        <f aca="false">Sens!$I$2755*1000/(mw_open*he_open+Sens!$I$2753*Sens!$I$2750)</f>
        <v>1.03968415569566</v>
      </c>
      <c r="J2786" s="36" t="n">
        <f aca="false">Sens!$J$2755*1000/(mw_open*he_open+Sens!$J$2753*Sens!$J$2750)</f>
        <v>1.02582616392112</v>
      </c>
      <c r="K2786" s="36" t="n">
        <f aca="false">Sens!$K$2755*1000/(mw_open*he_open+Sens!$K$2753*Sens!$K$2750)</f>
        <v>1.01910140369165</v>
      </c>
      <c r="L2786" s="36" t="n">
        <f aca="false">Sens!$L$2755*1000/(mw_open*he_open+Sens!$L$2753*Sens!$L$2750)</f>
        <v>1.01596794191691</v>
      </c>
      <c r="M2786" s="36" t="n">
        <f aca="false">Sens!$M$2755*1000/(mw_open*he_open+Sens!$M$2753*Sens!$M$2750)</f>
        <v>1.01471445487069</v>
      </c>
    </row>
    <row r="2787" customFormat="false" ht="17.15" hidden="false" customHeight="false" outlineLevel="0" collapsed="false">
      <c r="A2787" s="5" t="s">
        <v>653</v>
      </c>
      <c r="B2787" s="0" t="s">
        <v>57</v>
      </c>
      <c r="H2787" s="36" t="n">
        <f aca="false">Sens!$H$2786*(Sens!$H$2755+wacc*ext_sh*(Sens!$G$2772+Sens!$H$2772)/2/(1-tax)-Sens!$H$2775)/Sens!$H$2755</f>
        <v>1.2587480232729</v>
      </c>
      <c r="I2787" s="36" t="n">
        <f aca="false">Sens!$I$2786*(Sens!$I$2755+wacc*ext_sh*(Sens!$H$2772+Sens!$I$2772)/2/(1-tax)-Sens!$I$2775)/Sens!$I$2755</f>
        <v>1.20723798896429</v>
      </c>
      <c r="J2787" s="36" t="n">
        <f aca="false">Sens!$J$2786*(Sens!$J$2755+wacc*ext_sh*(Sens!$I$2772+Sens!$J$2772)/2/(1-tax)-Sens!$J$2775)/Sens!$J$2755</f>
        <v>1.17257090974424</v>
      </c>
      <c r="K2787" s="36" t="n">
        <f aca="false">Sens!$K$2786*(Sens!$K$2755+wacc*ext_sh*(Sens!$J$2772+Sens!$K$2772)/2/(1-tax)-Sens!$K$2775)/Sens!$K$2755</f>
        <v>1.15641523482072</v>
      </c>
      <c r="L2787" s="36" t="n">
        <f aca="false">Sens!$L$2786*(Sens!$L$2755+wacc*ext_sh*(Sens!$K$2772+Sens!$L$2772)/2/(1-tax)-Sens!$L$2775)/Sens!$L$2755</f>
        <v>1.12748302063248</v>
      </c>
      <c r="M2787" s="36" t="n">
        <f aca="false">Sens!$M$2786*(Sens!$M$2755+wacc*ext_sh*(Sens!$L$2772+Sens!$M$2772)/2/(1-tax)-Sens!$M$2775)/Sens!$M$2755</f>
        <v>1.11392797777754</v>
      </c>
    </row>
    <row r="2788" customFormat="false" ht="17.15" hidden="false" customHeight="false" outlineLevel="0" collapsed="false">
      <c r="A2788" s="5" t="s">
        <v>654</v>
      </c>
      <c r="B2788" s="0" t="s">
        <v>52</v>
      </c>
      <c r="C2788" s="13" t="n">
        <f aca="false">Sens!$C$2756/tk_pq</f>
        <v>0.242745146693097</v>
      </c>
      <c r="D2788" s="13" t="n">
        <f aca="false">Sens!$D$2756/tk_pq</f>
        <v>0.242745146693097</v>
      </c>
      <c r="E2788" s="13" t="n">
        <f aca="false">Sens!$E$2756/tk_pq</f>
        <v>0.242745146693097</v>
      </c>
      <c r="F2788" s="13" t="n">
        <f aca="false">Sens!$F$2756/tk_pq</f>
        <v>0.235251447467933</v>
      </c>
      <c r="G2788" s="13" t="n">
        <f aca="false">Sens!$G$2756/tk_pq</f>
        <v>0.238028893467268</v>
      </c>
      <c r="H2788" s="13" t="n">
        <f aca="false">Sens!$H$2756/tk_pq</f>
        <v>0.22991195654229</v>
      </c>
      <c r="I2788" s="13" t="n">
        <f aca="false">Sens!$I$2756/tk_pq</f>
        <v>0.229837692241337</v>
      </c>
      <c r="J2788" s="13" t="n">
        <f aca="false">Sens!$J$2756/tk_pq</f>
        <v>0.23009108256691</v>
      </c>
      <c r="K2788" s="13" t="n">
        <f aca="false">Sens!$K$2756/tk_pq</f>
        <v>0.230186468921407</v>
      </c>
      <c r="L2788" s="13" t="n">
        <f aca="false">Sens!$L$2756/tk_pq</f>
        <v>0.230229880425827</v>
      </c>
      <c r="M2788" s="13" t="n">
        <f aca="false">Sens!$M$2756/tk_pq</f>
        <v>0.230213588128541</v>
      </c>
      <c r="N2788" s="13" t="n">
        <f aca="false">Sens!$N$2756/tk_pq</f>
        <v>0.242745146693097</v>
      </c>
      <c r="O2788" s="13" t="n">
        <f aca="false">Sens!$O$2756/tk_pq</f>
        <v>0.242745146693097</v>
      </c>
      <c r="P2788" s="5" t="s">
        <v>655</v>
      </c>
    </row>
    <row r="2791" customFormat="false" ht="17.15" hidden="false" customHeight="false" outlineLevel="0" collapsed="false">
      <c r="A2791" s="1" t="s">
        <v>684</v>
      </c>
    </row>
    <row r="2792" customFormat="false" ht="17.15" hidden="false" customHeight="false" outlineLevel="0" collapsed="false">
      <c r="A2792" s="0" t="s">
        <v>685</v>
      </c>
      <c r="B2792" s="0" t="s">
        <v>86</v>
      </c>
      <c r="C2792" s="38" t="n">
        <f aca="false">Sens!$C$2755</f>
        <v>2.88461538461538</v>
      </c>
      <c r="D2792" s="38" t="n">
        <f aca="false">Sens!$D$2755</f>
        <v>10.8173076923077</v>
      </c>
      <c r="E2792" s="38" t="n">
        <f aca="false">Sens!$E$2755</f>
        <v>10.5769230769231</v>
      </c>
      <c r="F2792" s="38" t="n">
        <f aca="false">Sens!$F$2755</f>
        <v>17.4057437645013</v>
      </c>
      <c r="G2792" s="38" t="n">
        <f aca="false">Sens!$G$2755</f>
        <v>27.9826668414244</v>
      </c>
      <c r="H2792" s="38" t="n">
        <f aca="false">Sens!$H$2755</f>
        <v>65.0505109893364</v>
      </c>
      <c r="I2792" s="38" t="n">
        <f aca="false">Sens!$I$2755</f>
        <v>106.388319375994</v>
      </c>
      <c r="J2792" s="38" t="n">
        <f aca="false">Sens!$J$2755</f>
        <v>147.91002739084</v>
      </c>
      <c r="K2792" s="38" t="n">
        <f aca="false">Sens!$K$2755</f>
        <v>183.332740622741</v>
      </c>
      <c r="L2792" s="38" t="n">
        <f aca="false">Sens!$L$2755</f>
        <v>206.612722041958</v>
      </c>
      <c r="M2792" s="38" t="n">
        <f aca="false">Sens!$M$2755</f>
        <v>217.720061608427</v>
      </c>
      <c r="N2792" s="38" t="n">
        <f aca="false">Sens!$N$2755</f>
        <v>3.78605769230769</v>
      </c>
      <c r="O2792" s="38" t="n">
        <f aca="false">Sens!$O$2755</f>
        <v>7.03125</v>
      </c>
      <c r="P2792" s="8" t="s">
        <v>686</v>
      </c>
    </row>
    <row r="2793" customFormat="false" ht="17.15" hidden="false" customHeight="false" outlineLevel="0" collapsed="false">
      <c r="A2793" s="0" t="s">
        <v>687</v>
      </c>
      <c r="B2793" s="0" t="s">
        <v>86</v>
      </c>
      <c r="C2793" s="38" t="n">
        <f aca="false">Sens!$C$2759</f>
        <v>104.671384615385</v>
      </c>
      <c r="D2793" s="38" t="n">
        <f aca="false">Sens!$D$2759</f>
        <v>117.907692307692</v>
      </c>
      <c r="E2793" s="38" t="n">
        <f aca="false">Sens!$E$2759</f>
        <v>69.2420769230769</v>
      </c>
      <c r="F2793" s="38" t="n">
        <f aca="false">Sens!$F$2759</f>
        <v>69.3375810595505</v>
      </c>
      <c r="G2793" s="38" t="n">
        <f aca="false">Sens!$G$2759</f>
        <v>138.579657982627</v>
      </c>
      <c r="H2793" s="38" t="n">
        <f aca="false">Sens!$H$2759</f>
        <v>154.494406263134</v>
      </c>
      <c r="I2793" s="38" t="n">
        <f aca="false">Sens!$I$2759</f>
        <v>170.442542345496</v>
      </c>
      <c r="J2793" s="38" t="n">
        <f aca="false">Sens!$J$2759</f>
        <v>186.057458531729</v>
      </c>
      <c r="K2793" s="38" t="n">
        <f aca="false">Sens!$K$2759</f>
        <v>200.942055214268</v>
      </c>
      <c r="L2793" s="38" t="n">
        <f aca="false">Sens!$L$2759</f>
        <v>217.017419631409</v>
      </c>
      <c r="M2793" s="38" t="n">
        <f aca="false">Sens!$M$2759</f>
        <v>234.378813201922</v>
      </c>
      <c r="N2793" s="38" t="n">
        <f aca="false">Sens!$N$2759</f>
        <v>56.3539423076923</v>
      </c>
      <c r="O2793" s="38" t="n">
        <f aca="false">Sens!$O$2759</f>
        <v>61.55375</v>
      </c>
      <c r="P2793" s="8" t="s">
        <v>686</v>
      </c>
    </row>
    <row r="2794" customFormat="false" ht="17.15" hidden="false" customHeight="false" outlineLevel="0" collapsed="false">
      <c r="A2794" s="1" t="s">
        <v>513</v>
      </c>
      <c r="B2794" s="8" t="s">
        <v>86</v>
      </c>
      <c r="C2794" s="38" t="n">
        <f aca="false">Q!$D$7</f>
        <v>107.556</v>
      </c>
      <c r="D2794" s="38" t="n">
        <f aca="false">Q!$E$7</f>
        <v>128.725</v>
      </c>
      <c r="E2794" s="38" t="n">
        <f aca="false">Q!$P$7</f>
        <v>79.819</v>
      </c>
      <c r="F2794" s="38" t="n">
        <f aca="false">Sens!$F$2792+Sens!$F$2793</f>
        <v>86.7433248240518</v>
      </c>
      <c r="G2794" s="38" t="n">
        <f aca="false">Sens!$G$2792+Sens!$G$2793</f>
        <v>166.562324824052</v>
      </c>
      <c r="H2794" s="38" t="n">
        <f aca="false">Sens!$H$2792+Sens!$H$2793</f>
        <v>219.544917252471</v>
      </c>
      <c r="I2794" s="38" t="n">
        <f aca="false">Sens!$I$2792+Sens!$I$2793</f>
        <v>276.83086172149</v>
      </c>
      <c r="J2794" s="38" t="n">
        <f aca="false">Sens!$J$2792+Sens!$J$2793</f>
        <v>333.967485922569</v>
      </c>
      <c r="K2794" s="38" t="n">
        <f aca="false">Sens!$K$2792+Sens!$K$2793</f>
        <v>384.274795837009</v>
      </c>
      <c r="L2794" s="38" t="n">
        <f aca="false">Sens!$L$2792+Sens!$L$2793</f>
        <v>423.630141673367</v>
      </c>
      <c r="M2794" s="38" t="n">
        <f aca="false">Sens!$M$2792+Sens!$M$2793</f>
        <v>452.098874810349</v>
      </c>
      <c r="N2794" s="38" t="n">
        <f aca="false">Q!$N$7</f>
        <v>60.14</v>
      </c>
      <c r="O2794" s="38" t="n">
        <f aca="false">Q!$O$7</f>
        <v>68.585</v>
      </c>
      <c r="P2794" s="5" t="s">
        <v>688</v>
      </c>
    </row>
    <row r="2795" customFormat="false" ht="15" hidden="false" customHeight="false" outlineLevel="0" collapsed="false">
      <c r="A2795" s="3" t="s">
        <v>689</v>
      </c>
      <c r="B2795" s="8" t="s">
        <v>86</v>
      </c>
      <c r="C2795" s="38" t="n">
        <f aca="false">Q!$D$8</f>
        <v>637.959</v>
      </c>
      <c r="D2795" s="38" t="n">
        <f aca="false">Q!$E$8</f>
        <v>716.924</v>
      </c>
      <c r="E2795" s="38" t="n">
        <f aca="false">Q!$P$8</f>
        <v>382.125</v>
      </c>
      <c r="F2795" s="38" t="n">
        <f aca="false">Sens!$F$2727+Sens!$F$2794</f>
        <v>435.780975084504</v>
      </c>
      <c r="G2795" s="38" t="n">
        <f aca="false">Sens!$G$2727+Sens!$G$2794</f>
        <v>817.905975084504</v>
      </c>
      <c r="H2795" s="38" t="n">
        <f aca="false">Sens!$H$2727+Sens!$H$2794</f>
        <v>940.63007620712</v>
      </c>
      <c r="I2795" s="38" t="n">
        <f aca="false">Sens!$I$2727+Sens!$I$2794</f>
        <v>1065.34742060633</v>
      </c>
      <c r="J2795" s="38" t="n">
        <f aca="false">Sens!$J$2727+Sens!$J$2794</f>
        <v>1185.06203705355</v>
      </c>
      <c r="K2795" s="38" t="n">
        <f aca="false">Sens!$K$2727+Sens!$K$2794</f>
        <v>1290.43649746331</v>
      </c>
      <c r="L2795" s="38" t="n">
        <f aca="false">Sens!$L$2727+Sens!$L$2794</f>
        <v>1388.70753208097</v>
      </c>
      <c r="M2795" s="38" t="n">
        <f aca="false">Sens!$M$2727+Sens!$M$2794</f>
        <v>1480.23003659282</v>
      </c>
      <c r="N2795" s="38" t="n">
        <f aca="false">Q!$N$8</f>
        <v>323.369</v>
      </c>
      <c r="O2795" s="38" t="n">
        <f aca="false">Q!$O$8</f>
        <v>393.555</v>
      </c>
    </row>
    <row r="2796" customFormat="false" ht="17.15" hidden="false" customHeight="false" outlineLevel="0" collapsed="false">
      <c r="A2796" s="24" t="s">
        <v>697</v>
      </c>
      <c r="B2796" s="25" t="s">
        <v>86</v>
      </c>
      <c r="C2796" s="41" t="n">
        <f aca="false">Sens!$C$2727-(Sens!$C$2729+Sens!$C$2730)</f>
        <v>0</v>
      </c>
      <c r="D2796" s="41" t="n">
        <f aca="false">Sens!$D$2727-(Sens!$D$2729+Sens!$D$2730)</f>
        <v>0</v>
      </c>
      <c r="E2796" s="41" t="n">
        <f aca="false">Sens!$E$2727-(Sens!$E$2729+Sens!$E$2730)</f>
        <v>0</v>
      </c>
      <c r="F2796" s="41" t="n">
        <f aca="false">Sens!$F$2727-(Sens!$F$2729+Sens!$F$2730)</f>
        <v>0</v>
      </c>
      <c r="G2796" s="41" t="n">
        <f aca="false">Sens!$G$2727-(Sens!$G$2729+Sens!$G$2730)</f>
        <v>0</v>
      </c>
      <c r="H2796" s="41" t="n">
        <f aca="false">Sens!$H$2727-(Sens!$H$2729+Sens!$H$2730)</f>
        <v>0</v>
      </c>
      <c r="I2796" s="41" t="n">
        <f aca="false">Sens!$I$2727-(Sens!$I$2729+Sens!$I$2730)</f>
        <v>0</v>
      </c>
      <c r="J2796" s="41" t="n">
        <f aca="false">Sens!$J$2727-(Sens!$J$2729+Sens!$J$2730)</f>
        <v>0</v>
      </c>
      <c r="K2796" s="41" t="n">
        <f aca="false">Sens!$K$2727-(Sens!$K$2729+Sens!$K$2730)</f>
        <v>0</v>
      </c>
      <c r="L2796" s="41" t="n">
        <f aca="false">Sens!$L$2727-(Sens!$L$2729+Sens!$L$2730)</f>
        <v>0</v>
      </c>
      <c r="M2796" s="41" t="n">
        <f aca="false">Sens!$M$2727-(Sens!$M$2729+Sens!$M$2730)</f>
        <v>0</v>
      </c>
      <c r="N2796" s="41" t="n">
        <f aca="false">Sens!$N$2727-(Sens!$N$2729+Sens!$N$2730)</f>
        <v>0</v>
      </c>
      <c r="O2796" s="41" t="n">
        <f aca="false">Sens!$O$2727-(Sens!$O$2729+Sens!$O$2730)</f>
        <v>0</v>
      </c>
    </row>
    <row r="2797" customFormat="false" ht="17.15" hidden="false" customHeight="false" outlineLevel="0" collapsed="false">
      <c r="A2797" s="24" t="s">
        <v>698</v>
      </c>
      <c r="B2797" s="25" t="s">
        <v>86</v>
      </c>
      <c r="C2797" s="41" t="n">
        <f aca="false">Sens!$C$2792+Sens!$C$2793-Sens!$C$2794</f>
        <v>0</v>
      </c>
      <c r="D2797" s="41" t="n">
        <f aca="false">Sens!$D$2792+Sens!$D$2793-Sens!$D$2794</f>
        <v>0</v>
      </c>
      <c r="E2797" s="41" t="n">
        <f aca="false">Sens!$E$2792+Sens!$E$2793-Sens!$E$2794</f>
        <v>0</v>
      </c>
      <c r="F2797" s="41" t="n">
        <f aca="false">Sens!$F$2792+Sens!$F$2793-Sens!$F$2794</f>
        <v>0</v>
      </c>
      <c r="G2797" s="41" t="n">
        <f aca="false">Sens!$G$2792+Sens!$G$2793-Sens!$G$2794</f>
        <v>0</v>
      </c>
      <c r="H2797" s="41" t="n">
        <f aca="false">Sens!$H$2792+Sens!$H$2793-Sens!$H$2794</f>
        <v>0</v>
      </c>
      <c r="I2797" s="41" t="n">
        <f aca="false">Sens!$I$2792+Sens!$I$2793-Sens!$I$2794</f>
        <v>0</v>
      </c>
      <c r="J2797" s="41" t="n">
        <f aca="false">Sens!$J$2792+Sens!$J$2793-Sens!$J$2794</f>
        <v>0</v>
      </c>
      <c r="K2797" s="41" t="n">
        <f aca="false">Sens!$K$2792+Sens!$K$2793-Sens!$K$2794</f>
        <v>0</v>
      </c>
      <c r="L2797" s="41" t="n">
        <f aca="false">Sens!$L$2792+Sens!$L$2793-Sens!$L$2794</f>
        <v>0</v>
      </c>
      <c r="M2797" s="41" t="n">
        <f aca="false">Sens!$M$2792+Sens!$M$2793-Sens!$M$2794</f>
        <v>0</v>
      </c>
      <c r="N2797" s="41" t="n">
        <f aca="false">Sens!$N$2792+Sens!$N$2793-Sens!$N$2794</f>
        <v>0</v>
      </c>
      <c r="O2797" s="41" t="n">
        <f aca="false">Sens!$O$2792+Sens!$O$2793-Sens!$O$2794</f>
        <v>0</v>
      </c>
    </row>
    <row r="2798" customFormat="false" ht="17.15" hidden="false" customHeight="false" outlineLevel="0" collapsed="false">
      <c r="A2798" s="24" t="s">
        <v>699</v>
      </c>
      <c r="B2798" s="25" t="s">
        <v>86</v>
      </c>
      <c r="C2798" s="41" t="n">
        <f aca="false">Sens!$C$2729+Sens!$C$2730+Sens!$C$2794-Sens!$C$2795</f>
        <v>0</v>
      </c>
      <c r="D2798" s="41" t="n">
        <f aca="false">Sens!$D$2729+Sens!$D$2730+Sens!$D$2794-Sens!$D$2795</f>
        <v>0</v>
      </c>
      <c r="E2798" s="41" t="n">
        <f aca="false">Sens!$E$2729+Sens!$E$2730+Sens!$E$2794-Sens!$E$2795</f>
        <v>0</v>
      </c>
      <c r="F2798" s="41" t="n">
        <f aca="false">Sens!$F$2729+Sens!$F$2730+Sens!$F$2794-Sens!$F$2795</f>
        <v>0</v>
      </c>
      <c r="G2798" s="41" t="n">
        <f aca="false">Sens!$G$2729+Sens!$G$2730+Sens!$G$2794-Sens!$G$2795</f>
        <v>0</v>
      </c>
      <c r="H2798" s="41" t="n">
        <f aca="false">Sens!$H$2729+Sens!$H$2730+Sens!$H$2794-Sens!$H$2795</f>
        <v>0</v>
      </c>
      <c r="I2798" s="41" t="n">
        <f aca="false">Sens!$I$2729+Sens!$I$2730+Sens!$I$2794-Sens!$I$2795</f>
        <v>0</v>
      </c>
      <c r="J2798" s="41" t="n">
        <f aca="false">Sens!$J$2729+Sens!$J$2730+Sens!$J$2794-Sens!$J$2795</f>
        <v>0</v>
      </c>
      <c r="K2798" s="41" t="n">
        <f aca="false">Sens!$K$2729+Sens!$K$2730+Sens!$K$2794-Sens!$K$2795</f>
        <v>0</v>
      </c>
      <c r="L2798" s="41" t="n">
        <f aca="false">Sens!$L$2729+Sens!$L$2730+Sens!$L$2794-Sens!$L$2795</f>
        <v>0</v>
      </c>
      <c r="M2798" s="41" t="n">
        <f aca="false">Sens!$M$2729+Sens!$M$2730+Sens!$M$2794-Sens!$M$2795</f>
        <v>0</v>
      </c>
      <c r="N2798" s="41" t="n">
        <f aca="false">Sens!$N$2729+Sens!$N$2730+Sens!$N$2794-Sens!$N$2795</f>
        <v>0</v>
      </c>
      <c r="O2798" s="41" t="n">
        <f aca="false">Sens!$O$2729+Sens!$O$2730+Sens!$O$2794-Sens!$O$2795</f>
        <v>0</v>
      </c>
    </row>
    <row r="2799" customFormat="false" ht="15" hidden="false" customHeight="false" outlineLevel="0" collapsed="false">
      <c r="A2799" s="5" t="s">
        <v>693</v>
      </c>
      <c r="B2799" s="0" t="s">
        <v>52</v>
      </c>
      <c r="G2799" s="13" t="n">
        <f aca="false">Sens!$G$2795/Sens!$D$2795-1</f>
        <v>0.140854504918937</v>
      </c>
      <c r="H2799" s="13" t="n">
        <f aca="false">Sens!$H$2795/Sens!$G$2795-1</f>
        <v>0.150046710576893</v>
      </c>
      <c r="I2799" s="13" t="n">
        <f aca="false">Sens!$I$2795/Sens!$H$2795-1</f>
        <v>0.132589152264946</v>
      </c>
      <c r="J2799" s="13" t="n">
        <f aca="false">Sens!$J$2795/Sens!$I$2795-1</f>
        <v>0.112371433141581</v>
      </c>
      <c r="K2799" s="13" t="n">
        <f aca="false">Sens!$K$2795/Sens!$J$2795-1</f>
        <v>0.0889189402031239</v>
      </c>
      <c r="L2799" s="13" t="n">
        <f aca="false">Sens!$L$2795/Sens!$K$2795-1</f>
        <v>0.0761533285913965</v>
      </c>
      <c r="M2799" s="13" t="n">
        <f aca="false">Sens!$M$2795/Sens!$L$2795-1</f>
        <v>0.0659048088942884</v>
      </c>
    </row>
    <row r="2800" customFormat="false" ht="17.15" hidden="false" customHeight="false" outlineLevel="0" collapsed="false">
      <c r="A2800" s="0" t="s">
        <v>694</v>
      </c>
      <c r="B2800" s="0" t="s">
        <v>52</v>
      </c>
      <c r="C2800" s="13" t="n">
        <f aca="false">Sens!$C$2794/Sens!$C$2795</f>
        <v>0.168593906504964</v>
      </c>
      <c r="D2800" s="13" t="n">
        <f aca="false">Sens!$D$2794/Sens!$D$2795</f>
        <v>0.179551807444025</v>
      </c>
      <c r="E2800" s="13" t="n">
        <f aca="false">Sens!$E$2794/Sens!$E$2795</f>
        <v>0.208881910369643</v>
      </c>
      <c r="F2800" s="13" t="n">
        <f aca="false">Sens!$F$2794/Sens!$F$2795</f>
        <v>0.199052574076303</v>
      </c>
      <c r="G2800" s="13" t="n">
        <f aca="false">Sens!$G$2794/Sens!$G$2795</f>
        <v>0.203644831921961</v>
      </c>
      <c r="H2800" s="13" t="n">
        <f aca="false">Sens!$H$2794/Sens!$H$2795</f>
        <v>0.233401974703739</v>
      </c>
      <c r="I2800" s="13" t="n">
        <f aca="false">Sens!$I$2794/Sens!$I$2795</f>
        <v>0.25985031396043</v>
      </c>
      <c r="J2800" s="13" t="n">
        <f aca="false">Sens!$J$2794/Sens!$J$2795</f>
        <v>0.281814348515391</v>
      </c>
      <c r="K2800" s="13" t="n">
        <f aca="false">Sens!$K$2794/Sens!$K$2795</f>
        <v>0.297786676517908</v>
      </c>
      <c r="L2800" s="13" t="n">
        <f aca="false">Sens!$L$2794/Sens!$L$2795</f>
        <v>0.305053534950272</v>
      </c>
      <c r="M2800" s="13" t="n">
        <f aca="false">Sens!$M$2794/Sens!$M$2795</f>
        <v>0.305424740502487</v>
      </c>
      <c r="N2800" s="13" t="n">
        <f aca="false">Sens!$N$2794/Sens!$N$2795</f>
        <v>0.185979484737251</v>
      </c>
      <c r="O2800" s="13" t="n">
        <f aca="false">Sens!$O$2794/Sens!$O$2795</f>
        <v>0.174270432341096</v>
      </c>
    </row>
    <row r="2801" customFormat="false" ht="17.15" hidden="false" customHeight="false" outlineLevel="0" collapsed="false">
      <c r="A2801" s="0" t="s">
        <v>695</v>
      </c>
      <c r="B2801" s="0" t="s">
        <v>52</v>
      </c>
      <c r="C2801" s="13" t="n">
        <f aca="false">Sens!$C$2792/Sens!$C$2794</f>
        <v>0.0268196603129103</v>
      </c>
      <c r="D2801" s="13" t="n">
        <f aca="false">Sens!$D$2792/Sens!$D$2794</f>
        <v>0.0840342411521281</v>
      </c>
      <c r="E2801" s="13" t="n">
        <f aca="false">Sens!$E$2792/Sens!$E$2794</f>
        <v>0.132511345380462</v>
      </c>
      <c r="F2801" s="13" t="n">
        <f aca="false">Sens!$F$2792/Sens!$F$2794</f>
        <v>0.200658019505325</v>
      </c>
      <c r="G2801" s="13" t="n">
        <f aca="false">Sens!$G$2792/Sens!$G$2794</f>
        <v>0.168001178363618</v>
      </c>
      <c r="H2801" s="13" t="n">
        <f aca="false">Sens!$H$2792/Sens!$H$2794</f>
        <v>0.296297048473821</v>
      </c>
      <c r="I2801" s="13" t="n">
        <f aca="false">Sens!$I$2792/Sens!$I$2794</f>
        <v>0.384308016506583</v>
      </c>
      <c r="J2801" s="13" t="n">
        <f aca="false">Sens!$J$2792/Sens!$J$2794</f>
        <v>0.442887507393858</v>
      </c>
      <c r="K2801" s="13" t="n">
        <f aca="false">Sens!$K$2792/Sens!$K$2794</f>
        <v>0.477087601395805</v>
      </c>
      <c r="L2801" s="13" t="n">
        <f aca="false">Sens!$L$2792/Sens!$L$2794</f>
        <v>0.487719597160448</v>
      </c>
      <c r="M2801" s="13" t="n">
        <f aca="false">Sens!$M$2792/Sens!$M$2794</f>
        <v>0.481576207637673</v>
      </c>
      <c r="N2801" s="13" t="n">
        <f aca="false">Sens!$N$2792/Sens!$N$2794</f>
        <v>0.0629540687114681</v>
      </c>
      <c r="O2801" s="13" t="n">
        <f aca="false">Sens!$O$2792/Sens!$O$2794</f>
        <v>0.10251877232631</v>
      </c>
    </row>
    <row r="2804" customFormat="false" ht="19.4" hidden="false" customHeight="false" outlineLevel="0" collapsed="false">
      <c r="A2804" s="31" t="s">
        <v>1184</v>
      </c>
    </row>
    <row r="2805" customFormat="false" ht="17.15" hidden="false" customHeight="false" outlineLevel="0" collapsed="false">
      <c r="A2805" s="6" t="s">
        <v>16</v>
      </c>
      <c r="B2805" s="6" t="s">
        <v>17</v>
      </c>
      <c r="C2805" s="20" t="s">
        <v>494</v>
      </c>
      <c r="D2805" s="20" t="s">
        <v>495</v>
      </c>
      <c r="E2805" s="20" t="s">
        <v>577</v>
      </c>
      <c r="F2805" s="20" t="s">
        <v>578</v>
      </c>
      <c r="G2805" s="20" t="s">
        <v>579</v>
      </c>
      <c r="H2805" s="20" t="s">
        <v>580</v>
      </c>
      <c r="I2805" s="20" t="s">
        <v>581</v>
      </c>
      <c r="J2805" s="20" t="s">
        <v>582</v>
      </c>
      <c r="K2805" s="20" t="s">
        <v>583</v>
      </c>
      <c r="L2805" s="20" t="s">
        <v>584</v>
      </c>
      <c r="M2805" s="20" t="s">
        <v>585</v>
      </c>
      <c r="N2805" s="20" t="s">
        <v>586</v>
      </c>
      <c r="O2805" s="20" t="s">
        <v>587</v>
      </c>
      <c r="P2805" s="6" t="s">
        <v>23</v>
      </c>
      <c r="R2805" s="20" t="n">
        <v>2023</v>
      </c>
      <c r="S2805" s="20" t="n">
        <v>2024</v>
      </c>
      <c r="T2805" s="20" t="n">
        <v>2025</v>
      </c>
      <c r="U2805" s="20" t="n">
        <v>2026</v>
      </c>
      <c r="V2805" s="20" t="n">
        <v>2027</v>
      </c>
      <c r="W2805" s="20" t="n">
        <v>2028</v>
      </c>
      <c r="X2805" s="20" t="n">
        <v>2029</v>
      </c>
      <c r="Y2805" s="20" t="n">
        <v>2030</v>
      </c>
      <c r="Z2805" s="20" t="n">
        <v>2031</v>
      </c>
      <c r="AA2805" s="20" t="n">
        <v>2032</v>
      </c>
    </row>
    <row r="2806" customFormat="false" ht="17.15" hidden="false" customHeight="false" outlineLevel="0" collapsed="false">
      <c r="A2806" s="1" t="s">
        <v>710</v>
      </c>
    </row>
    <row r="2807" customFormat="false" ht="15" hidden="false" customHeight="false" outlineLevel="0" collapsed="false">
      <c r="A2807" s="0" t="s">
        <v>516</v>
      </c>
      <c r="B2807" s="0" t="s">
        <v>86</v>
      </c>
      <c r="C2807" s="38" t="n">
        <f aca="false">Sens!$C$2714</f>
        <v>247.029</v>
      </c>
      <c r="D2807" s="38" t="n">
        <f aca="false">Sens!$D$2714</f>
        <v>269.287</v>
      </c>
      <c r="E2807" s="38" t="n">
        <f aca="false">Sens!$E$2714</f>
        <v>134.686</v>
      </c>
      <c r="F2807" s="38" t="n">
        <f aca="false">Sens!$F$2714</f>
        <v>158.289073613982</v>
      </c>
      <c r="G2807" s="38" t="n">
        <f aca="false">Sens!$G$2714</f>
        <v>292.975073613982</v>
      </c>
      <c r="H2807" s="38" t="n">
        <f aca="false">Sens!$H$2714</f>
        <v>318.179326665538</v>
      </c>
      <c r="I2807" s="38" t="n">
        <f aca="false">Sens!$I$2714</f>
        <v>341.730676225048</v>
      </c>
      <c r="J2807" s="38" t="n">
        <f aca="false">Sens!$J$2714</f>
        <v>362.921242839502</v>
      </c>
      <c r="K2807" s="38" t="n">
        <f aca="false">Sens!$K$2714</f>
        <v>381.067304981477</v>
      </c>
      <c r="L2807" s="38" t="n">
        <f aca="false">Sens!$L$2714</f>
        <v>400.120670230551</v>
      </c>
      <c r="M2807" s="38" t="n">
        <f aca="false">Sens!$M$2714</f>
        <v>420.126703742078</v>
      </c>
      <c r="N2807" s="38" t="n">
        <f aca="false">Sens!$N$2714</f>
        <v>118.892</v>
      </c>
      <c r="O2807" s="38" t="n">
        <f aca="false">Sens!$O$2714</f>
        <v>150.395</v>
      </c>
    </row>
    <row r="2808" customFormat="false" ht="15" hidden="false" customHeight="false" outlineLevel="0" collapsed="false">
      <c r="A2808" s="0" t="s">
        <v>517</v>
      </c>
      <c r="B2808" s="0" t="s">
        <v>86</v>
      </c>
      <c r="C2808" s="38" t="n">
        <f aca="false">Sens!$C$2716</f>
        <v>21.215</v>
      </c>
      <c r="D2808" s="38" t="n">
        <f aca="false">Sens!$D$2716</f>
        <v>22.561</v>
      </c>
      <c r="E2808" s="38" t="n">
        <f aca="false">Sens!$E$2716</f>
        <v>11.579</v>
      </c>
      <c r="F2808" s="38" t="n">
        <f aca="false">Sens!$F$2716</f>
        <v>11.5935206610427</v>
      </c>
      <c r="G2808" s="38" t="n">
        <f aca="false">Sens!$G$2716</f>
        <v>23.1725206610427</v>
      </c>
      <c r="H2808" s="38" t="n">
        <f aca="false">Sens!$H$2716</f>
        <v>24.3530230373949</v>
      </c>
      <c r="I2808" s="38" t="n">
        <f aca="false">Sens!$I$2716</f>
        <v>25.4236479111047</v>
      </c>
      <c r="J2808" s="38" t="n">
        <f aca="false">Sens!$J$2716</f>
        <v>26.3638488517018</v>
      </c>
      <c r="K2808" s="38" t="n">
        <f aca="false">Sens!$K$2716</f>
        <v>27.1547643172528</v>
      </c>
      <c r="L2808" s="38" t="n">
        <f aca="false">Sens!$L$2716</f>
        <v>27.9694072467704</v>
      </c>
      <c r="M2808" s="38" t="n">
        <f aca="false">Sens!$M$2716</f>
        <v>28.8084894641735</v>
      </c>
      <c r="N2808" s="38" t="n">
        <f aca="false">Sens!$N$2716</f>
        <v>11.128</v>
      </c>
      <c r="O2808" s="38" t="n">
        <f aca="false">Sens!$O$2716</f>
        <v>11.433</v>
      </c>
    </row>
    <row r="2809" customFormat="false" ht="15" hidden="false" customHeight="false" outlineLevel="0" collapsed="false">
      <c r="A2809" s="0" t="s">
        <v>518</v>
      </c>
      <c r="B2809" s="0" t="s">
        <v>86</v>
      </c>
      <c r="C2809" s="38" t="n">
        <f aca="false">Sens!$C$2718</f>
        <v>156.146</v>
      </c>
      <c r="D2809" s="38" t="n">
        <f aca="false">Sens!$D$2718</f>
        <v>172.162</v>
      </c>
      <c r="E2809" s="38" t="n">
        <f aca="false">Sens!$E$2718</f>
        <v>88.358</v>
      </c>
      <c r="F2809" s="38" t="n">
        <f aca="false">Sens!$F$2718</f>
        <v>102.001293078396</v>
      </c>
      <c r="G2809" s="38" t="n">
        <f aca="false">Sens!$G$2718</f>
        <v>190.359293078396</v>
      </c>
      <c r="H2809" s="38" t="n">
        <f aca="false">Sens!$H$2718</f>
        <v>210.33968653167</v>
      </c>
      <c r="I2809" s="38" t="n">
        <f aca="false">Sens!$I$2718</f>
        <v>229.965989320544</v>
      </c>
      <c r="J2809" s="38" t="n">
        <f aca="false">Sens!$J$2718</f>
        <v>248.743592480617</v>
      </c>
      <c r="K2809" s="38" t="n">
        <f aca="false">Sens!$K$2718</f>
        <v>266.15564395426</v>
      </c>
      <c r="L2809" s="38" t="n">
        <f aca="false">Sens!$L$2718</f>
        <v>284.786539031059</v>
      </c>
      <c r="M2809" s="38" t="n">
        <f aca="false">Sens!$M$2718</f>
        <v>304.721596763233</v>
      </c>
      <c r="N2809" s="38" t="n">
        <f aca="false">Sens!$N$2718</f>
        <v>76.86</v>
      </c>
      <c r="O2809" s="38" t="n">
        <f aca="false">Sens!$O$2718</f>
        <v>95.302</v>
      </c>
    </row>
    <row r="2810" customFormat="false" ht="15" hidden="false" customHeight="false" outlineLevel="0" collapsed="false">
      <c r="A2810" s="0" t="s">
        <v>519</v>
      </c>
      <c r="B2810" s="0" t="s">
        <v>86</v>
      </c>
      <c r="C2810" s="38" t="n">
        <f aca="false">Sens!$C$2720</f>
        <v>56.214</v>
      </c>
      <c r="D2810" s="38" t="n">
        <f aca="false">Sens!$D$2720</f>
        <v>68.635</v>
      </c>
      <c r="E2810" s="38" t="n">
        <f aca="false">Sens!$E$2720</f>
        <v>37.052</v>
      </c>
      <c r="F2810" s="38" t="n">
        <f aca="false">Sens!$F$2720</f>
        <v>46.1558214174908</v>
      </c>
      <c r="G2810" s="38" t="n">
        <f aca="false">Sens!$G$2720</f>
        <v>83.2078214174908</v>
      </c>
      <c r="H2810" s="38" t="n">
        <f aca="false">Sens!$H$2720</f>
        <v>99.8952409237411</v>
      </c>
      <c r="I2810" s="38" t="n">
        <f aca="false">Sens!$I$2720</f>
        <v>116.581148769552</v>
      </c>
      <c r="J2810" s="38" t="n">
        <f aca="false">Sens!$J$2720</f>
        <v>132.146717612074</v>
      </c>
      <c r="K2810" s="38" t="n">
        <f aca="false">Sens!$K$2720</f>
        <v>145.361389373281</v>
      </c>
      <c r="L2810" s="38" t="n">
        <f aca="false">Sens!$L$2720</f>
        <v>159.897528310609</v>
      </c>
      <c r="M2810" s="38" t="n">
        <f aca="false">Sens!$M$2720</f>
        <v>175.88728114167</v>
      </c>
      <c r="N2810" s="38" t="n">
        <f aca="false">Sens!$N$2720</f>
        <v>29.615</v>
      </c>
      <c r="O2810" s="38" t="n">
        <f aca="false">Sens!$O$2720</f>
        <v>39.02</v>
      </c>
    </row>
    <row r="2811" customFormat="false" ht="15" hidden="false" customHeight="false" outlineLevel="0" collapsed="false">
      <c r="A2811" s="0" t="s">
        <v>520</v>
      </c>
      <c r="B2811" s="0" t="s">
        <v>86</v>
      </c>
      <c r="C2811" s="38" t="n">
        <f aca="false">Sens!$C$2722</f>
        <v>44.374</v>
      </c>
      <c r="D2811" s="38" t="n">
        <f aca="false">Sens!$D$2722</f>
        <v>49.619</v>
      </c>
      <c r="E2811" s="38" t="n">
        <f aca="false">Sens!$E$2722</f>
        <v>27.157</v>
      </c>
      <c r="F2811" s="38" t="n">
        <f aca="false">Sens!$F$2722</f>
        <v>27.775573761954</v>
      </c>
      <c r="G2811" s="38" t="n">
        <f aca="false">Sens!$G$2722</f>
        <v>54.932573761954</v>
      </c>
      <c r="H2811" s="38" t="n">
        <f aca="false">Sens!$H$2722</f>
        <v>61.1554729406564</v>
      </c>
      <c r="I2811" s="38" t="n">
        <f aca="false">Sens!$I$2722</f>
        <v>67.2009971376878</v>
      </c>
      <c r="J2811" s="38" t="n">
        <f aca="false">Sens!$J$2722</f>
        <v>72.8746092792916</v>
      </c>
      <c r="K2811" s="38" t="n">
        <f aca="false">Sens!$K$2722</f>
        <v>77.975831928842</v>
      </c>
      <c r="L2811" s="38" t="n">
        <f aca="false">Sens!$L$2722</f>
        <v>83.434140163861</v>
      </c>
      <c r="M2811" s="38" t="n">
        <f aca="false">Sens!$M$2722</f>
        <v>89.2745299753313</v>
      </c>
      <c r="N2811" s="38" t="n">
        <f aca="false">Sens!$N$2722</f>
        <v>23.923</v>
      </c>
      <c r="O2811" s="38" t="n">
        <f aca="false">Sens!$O$2722</f>
        <v>25.696</v>
      </c>
    </row>
    <row r="2812" customFormat="false" ht="15" hidden="false" customHeight="false" outlineLevel="0" collapsed="false">
      <c r="A2812" s="0" t="s">
        <v>521</v>
      </c>
      <c r="B2812" s="0" t="s">
        <v>86</v>
      </c>
      <c r="C2812" s="38" t="n">
        <f aca="false">Sens!$C$2724</f>
        <v>5.425</v>
      </c>
      <c r="D2812" s="38" t="n">
        <f aca="false">Sens!$D$2724</f>
        <v>5.935</v>
      </c>
      <c r="E2812" s="38" t="n">
        <f aca="false">Sens!$E$2724</f>
        <v>3.474</v>
      </c>
      <c r="F2812" s="38" t="n">
        <f aca="false">Sens!$F$2724</f>
        <v>3.22236772758691</v>
      </c>
      <c r="G2812" s="38" t="n">
        <f aca="false">Sens!$G$2724</f>
        <v>6.69636772758691</v>
      </c>
      <c r="H2812" s="38" t="n">
        <f aca="false">Sens!$H$2724</f>
        <v>7.16240885564834</v>
      </c>
      <c r="I2812" s="38" t="n">
        <f aca="false">Sens!$I$2724</f>
        <v>7.61409952090767</v>
      </c>
      <c r="J2812" s="38" t="n">
        <f aca="false">Sens!$J$2724</f>
        <v>8.0445400677988</v>
      </c>
      <c r="K2812" s="38" t="n">
        <f aca="false">Sens!$K$2724</f>
        <v>8.44676707118874</v>
      </c>
      <c r="L2812" s="38" t="n">
        <f aca="false">Sens!$L$2724</f>
        <v>8.86910542474818</v>
      </c>
      <c r="M2812" s="38" t="n">
        <f aca="false">Sens!$M$2724</f>
        <v>9.31256069598559</v>
      </c>
      <c r="N2812" s="38" t="n">
        <f aca="false">Sens!$N$2724</f>
        <v>2.811</v>
      </c>
      <c r="O2812" s="38" t="n">
        <f aca="false">Sens!$O$2724</f>
        <v>3.124</v>
      </c>
    </row>
    <row r="2813" customFormat="false" ht="17.15" hidden="false" customHeight="false" outlineLevel="0" collapsed="false">
      <c r="A2813" s="0" t="s">
        <v>711</v>
      </c>
      <c r="B2813" s="0" t="s">
        <v>86</v>
      </c>
      <c r="C2813" s="38" t="n">
        <f aca="false">Sens!$C$2794</f>
        <v>107.556</v>
      </c>
      <c r="D2813" s="38" t="n">
        <f aca="false">Sens!$D$2794</f>
        <v>128.725</v>
      </c>
      <c r="E2813" s="38" t="n">
        <f aca="false">Sens!$E$2794</f>
        <v>79.819</v>
      </c>
      <c r="F2813" s="38" t="n">
        <f aca="false">Sens!$F$2794</f>
        <v>86.7433248240518</v>
      </c>
      <c r="G2813" s="38" t="n">
        <f aca="false">Sens!$G$2794</f>
        <v>166.562324824052</v>
      </c>
      <c r="H2813" s="38" t="n">
        <f aca="false">Sens!$H$2794</f>
        <v>219.544917252471</v>
      </c>
      <c r="I2813" s="38" t="n">
        <f aca="false">Sens!$I$2794</f>
        <v>276.83086172149</v>
      </c>
      <c r="J2813" s="38" t="n">
        <f aca="false">Sens!$J$2794</f>
        <v>333.967485922569</v>
      </c>
      <c r="K2813" s="38" t="n">
        <f aca="false">Sens!$K$2794</f>
        <v>384.274795837009</v>
      </c>
      <c r="L2813" s="38" t="n">
        <f aca="false">Sens!$L$2794</f>
        <v>423.630141673367</v>
      </c>
      <c r="M2813" s="38" t="n">
        <f aca="false">Sens!$M$2794</f>
        <v>452.098874810349</v>
      </c>
      <c r="N2813" s="38" t="n">
        <f aca="false">Sens!$N$2794</f>
        <v>60.14</v>
      </c>
      <c r="O2813" s="38" t="n">
        <f aca="false">Sens!$O$2794</f>
        <v>68.585</v>
      </c>
    </row>
    <row r="2814" customFormat="false" ht="15" hidden="false" customHeight="false" outlineLevel="0" collapsed="false">
      <c r="A2814" s="1" t="s">
        <v>509</v>
      </c>
      <c r="B2814" s="8" t="s">
        <v>86</v>
      </c>
      <c r="C2814" s="38" t="n">
        <f aca="false">Sens!$C$2729</f>
        <v>387.497</v>
      </c>
      <c r="D2814" s="38" t="n">
        <f aca="false">Sens!$D$2729</f>
        <v>426.305</v>
      </c>
      <c r="E2814" s="38" t="n">
        <f aca="false">Sens!$E$2729</f>
        <v>220.32</v>
      </c>
      <c r="F2814" s="38" t="n">
        <f aca="false">Sens!$F$2729</f>
        <v>250.632168164066</v>
      </c>
      <c r="G2814" s="38" t="n">
        <f aca="false">Sens!$G$2729</f>
        <v>470.952168164066</v>
      </c>
      <c r="H2814" s="38" t="n">
        <f aca="false">Sens!$H$2729</f>
        <v>521.378567066445</v>
      </c>
      <c r="I2814" s="38" t="n">
        <f aca="false">Sens!$I$2729</f>
        <v>570.134648417303</v>
      </c>
      <c r="J2814" s="38" t="n">
        <f aca="false">Sens!$J$2729</f>
        <v>615.381487188034</v>
      </c>
      <c r="K2814" s="38" t="n">
        <f aca="false">Sens!$K$2729</f>
        <v>655.197633257803</v>
      </c>
      <c r="L2814" s="38" t="n">
        <f aca="false">Sens!$L$2729</f>
        <v>697.796453956118</v>
      </c>
      <c r="M2814" s="38" t="n">
        <f aca="false">Sens!$M$2729</f>
        <v>743.387303468573</v>
      </c>
      <c r="N2814" s="38" t="n">
        <f aca="false">Sens!$N$2729</f>
        <v>192.955</v>
      </c>
      <c r="O2814" s="38" t="n">
        <f aca="false">Sens!$O$2729</f>
        <v>233.35</v>
      </c>
    </row>
    <row r="2815" customFormat="false" ht="15" hidden="false" customHeight="false" outlineLevel="0" collapsed="false">
      <c r="A2815" s="1" t="s">
        <v>512</v>
      </c>
      <c r="B2815" s="8" t="s">
        <v>86</v>
      </c>
      <c r="C2815" s="38" t="n">
        <f aca="false">Sens!$C$2730</f>
        <v>142.906</v>
      </c>
      <c r="D2815" s="38" t="n">
        <f aca="false">Sens!$D$2730</f>
        <v>161.894</v>
      </c>
      <c r="E2815" s="38" t="n">
        <f aca="false">Sens!$E$2730</f>
        <v>81.986</v>
      </c>
      <c r="F2815" s="38" t="n">
        <f aca="false">Sens!$F$2730</f>
        <v>98.4054820963863</v>
      </c>
      <c r="G2815" s="38" t="n">
        <f aca="false">Sens!$G$2730</f>
        <v>180.391482096386</v>
      </c>
      <c r="H2815" s="38" t="n">
        <f aca="false">Sens!$H$2730</f>
        <v>199.706591888204</v>
      </c>
      <c r="I2815" s="38" t="n">
        <f aca="false">Sens!$I$2730</f>
        <v>218.381910467541</v>
      </c>
      <c r="J2815" s="38" t="n">
        <f aca="false">Sens!$J$2730</f>
        <v>235.713063942951</v>
      </c>
      <c r="K2815" s="38" t="n">
        <f aca="false">Sens!$K$2730</f>
        <v>250.964068368499</v>
      </c>
      <c r="L2815" s="38" t="n">
        <f aca="false">Sens!$L$2730</f>
        <v>267.280936451481</v>
      </c>
      <c r="M2815" s="38" t="n">
        <f aca="false">Sens!$M$2730</f>
        <v>284.743858313898</v>
      </c>
      <c r="N2815" s="38" t="n">
        <f aca="false">Sens!$N$2730</f>
        <v>70.274</v>
      </c>
      <c r="O2815" s="38" t="n">
        <f aca="false">Sens!$O$2730</f>
        <v>91.62</v>
      </c>
    </row>
    <row r="2816" customFormat="false" ht="15" hidden="false" customHeight="false" outlineLevel="0" collapsed="false">
      <c r="A2816" s="1" t="s">
        <v>513</v>
      </c>
      <c r="B2816" s="8" t="s">
        <v>86</v>
      </c>
      <c r="C2816" s="38" t="n">
        <f aca="false">Sens!$C$2794</f>
        <v>107.556</v>
      </c>
      <c r="D2816" s="38" t="n">
        <f aca="false">Sens!$D$2794</f>
        <v>128.725</v>
      </c>
      <c r="E2816" s="38" t="n">
        <f aca="false">Sens!$E$2794</f>
        <v>79.819</v>
      </c>
      <c r="F2816" s="38" t="n">
        <f aca="false">Sens!$F$2794</f>
        <v>86.7433248240518</v>
      </c>
      <c r="G2816" s="38" t="n">
        <f aca="false">Sens!$G$2794</f>
        <v>166.562324824052</v>
      </c>
      <c r="H2816" s="38" t="n">
        <f aca="false">Sens!$H$2794</f>
        <v>219.544917252471</v>
      </c>
      <c r="I2816" s="38" t="n">
        <f aca="false">Sens!$I$2794</f>
        <v>276.83086172149</v>
      </c>
      <c r="J2816" s="38" t="n">
        <f aca="false">Sens!$J$2794</f>
        <v>333.967485922569</v>
      </c>
      <c r="K2816" s="38" t="n">
        <f aca="false">Sens!$K$2794</f>
        <v>384.274795837009</v>
      </c>
      <c r="L2816" s="38" t="n">
        <f aca="false">Sens!$L$2794</f>
        <v>423.630141673367</v>
      </c>
      <c r="M2816" s="38" t="n">
        <f aca="false">Sens!$M$2794</f>
        <v>452.098874810349</v>
      </c>
      <c r="N2816" s="38" t="n">
        <f aca="false">Sens!$N$2794</f>
        <v>60.14</v>
      </c>
      <c r="O2816" s="38" t="n">
        <f aca="false">Sens!$O$2794</f>
        <v>68.585</v>
      </c>
    </row>
    <row r="2817" customFormat="false" ht="17.15" hidden="false" customHeight="false" outlineLevel="0" collapsed="false">
      <c r="A2817" s="0" t="s">
        <v>685</v>
      </c>
      <c r="B2817" s="0" t="s">
        <v>86</v>
      </c>
      <c r="C2817" s="38" t="n">
        <f aca="false">Sens!$C$2792</f>
        <v>2.88461538461538</v>
      </c>
      <c r="D2817" s="38" t="n">
        <f aca="false">Sens!$D$2792</f>
        <v>10.8173076923077</v>
      </c>
      <c r="E2817" s="38" t="n">
        <f aca="false">Sens!$E$2792</f>
        <v>10.5769230769231</v>
      </c>
      <c r="F2817" s="38" t="n">
        <f aca="false">Sens!$F$2792</f>
        <v>17.4057437645013</v>
      </c>
      <c r="G2817" s="38" t="n">
        <f aca="false">Sens!$G$2792</f>
        <v>27.9826668414244</v>
      </c>
      <c r="H2817" s="38" t="n">
        <f aca="false">Sens!$H$2792</f>
        <v>65.0505109893364</v>
      </c>
      <c r="I2817" s="38" t="n">
        <f aca="false">Sens!$I$2792</f>
        <v>106.388319375994</v>
      </c>
      <c r="J2817" s="38" t="n">
        <f aca="false">Sens!$J$2792</f>
        <v>147.91002739084</v>
      </c>
      <c r="K2817" s="38" t="n">
        <f aca="false">Sens!$K$2792</f>
        <v>183.332740622741</v>
      </c>
      <c r="L2817" s="38" t="n">
        <f aca="false">Sens!$L$2792</f>
        <v>206.612722041958</v>
      </c>
      <c r="M2817" s="38" t="n">
        <f aca="false">Sens!$M$2792</f>
        <v>217.720061608427</v>
      </c>
      <c r="N2817" s="38" t="n">
        <f aca="false">Sens!$N$2792</f>
        <v>3.78605769230769</v>
      </c>
      <c r="O2817" s="38" t="n">
        <f aca="false">Sens!$O$2792</f>
        <v>7.03125</v>
      </c>
    </row>
    <row r="2818" customFormat="false" ht="17.15" hidden="false" customHeight="false" outlineLevel="0" collapsed="false">
      <c r="A2818" s="0" t="s">
        <v>687</v>
      </c>
      <c r="B2818" s="0" t="s">
        <v>86</v>
      </c>
      <c r="C2818" s="38" t="n">
        <f aca="false">Sens!$C$2793</f>
        <v>104.671384615385</v>
      </c>
      <c r="D2818" s="38" t="n">
        <f aca="false">Sens!$D$2793</f>
        <v>117.907692307692</v>
      </c>
      <c r="E2818" s="38" t="n">
        <f aca="false">Sens!$E$2793</f>
        <v>69.2420769230769</v>
      </c>
      <c r="F2818" s="38" t="n">
        <f aca="false">Sens!$F$2793</f>
        <v>69.3375810595505</v>
      </c>
      <c r="G2818" s="38" t="n">
        <f aca="false">Sens!$G$2793</f>
        <v>138.579657982627</v>
      </c>
      <c r="H2818" s="38" t="n">
        <f aca="false">Sens!$H$2793</f>
        <v>154.494406263134</v>
      </c>
      <c r="I2818" s="38" t="n">
        <f aca="false">Sens!$I$2793</f>
        <v>170.442542345496</v>
      </c>
      <c r="J2818" s="38" t="n">
        <f aca="false">Sens!$J$2793</f>
        <v>186.057458531729</v>
      </c>
      <c r="K2818" s="38" t="n">
        <f aca="false">Sens!$K$2793</f>
        <v>200.942055214268</v>
      </c>
      <c r="L2818" s="38" t="n">
        <f aca="false">Sens!$L$2793</f>
        <v>217.017419631409</v>
      </c>
      <c r="M2818" s="38" t="n">
        <f aca="false">Sens!$M$2793</f>
        <v>234.378813201922</v>
      </c>
      <c r="N2818" s="38" t="n">
        <f aca="false">Sens!$N$2793</f>
        <v>56.3539423076923</v>
      </c>
      <c r="O2818" s="38" t="n">
        <f aca="false">Sens!$O$2793</f>
        <v>61.55375</v>
      </c>
    </row>
    <row r="2819" customFormat="false" ht="15" hidden="false" customHeight="false" outlineLevel="0" collapsed="false">
      <c r="A2819" s="3" t="s">
        <v>514</v>
      </c>
      <c r="B2819" s="8" t="s">
        <v>86</v>
      </c>
      <c r="C2819" s="38" t="n">
        <f aca="false">Sens!$C$2795</f>
        <v>637.959</v>
      </c>
      <c r="D2819" s="38" t="n">
        <f aca="false">Sens!$D$2795</f>
        <v>716.924</v>
      </c>
      <c r="E2819" s="38" t="n">
        <f aca="false">Sens!$E$2795</f>
        <v>382.125</v>
      </c>
      <c r="F2819" s="38" t="n">
        <f aca="false">Sens!$F$2795</f>
        <v>435.780975084504</v>
      </c>
      <c r="G2819" s="38" t="n">
        <f aca="false">Sens!$G$2795</f>
        <v>817.905975084504</v>
      </c>
      <c r="H2819" s="38" t="n">
        <f aca="false">Sens!$H$2795</f>
        <v>940.63007620712</v>
      </c>
      <c r="I2819" s="38" t="n">
        <f aca="false">Sens!$I$2795</f>
        <v>1065.34742060633</v>
      </c>
      <c r="J2819" s="38" t="n">
        <f aca="false">Sens!$J$2795</f>
        <v>1185.06203705355</v>
      </c>
      <c r="K2819" s="38" t="n">
        <f aca="false">Sens!$K$2795</f>
        <v>1290.43649746331</v>
      </c>
      <c r="L2819" s="38" t="n">
        <f aca="false">Sens!$L$2795</f>
        <v>1388.70753208097</v>
      </c>
      <c r="M2819" s="38" t="n">
        <f aca="false">Sens!$M$2795</f>
        <v>1480.23003659282</v>
      </c>
      <c r="N2819" s="38" t="n">
        <f aca="false">Sens!$N$2795</f>
        <v>323.369</v>
      </c>
      <c r="O2819" s="38" t="n">
        <f aca="false">Sens!$O$2795</f>
        <v>393.555</v>
      </c>
    </row>
    <row r="2820" customFormat="false" ht="17.15" hidden="false" customHeight="false" outlineLevel="0" collapsed="false">
      <c r="A2820" s="24" t="s">
        <v>697</v>
      </c>
      <c r="B2820" s="25" t="s">
        <v>86</v>
      </c>
      <c r="C2820" s="41" t="n">
        <f aca="false">Sens!$C$2807+Sens!$C$2808+Sens!$C$2809+Sens!$C$2810+Sens!$C$2811+Sens!$C$2812-(Sens!$C$2814+Sens!$C$2815)</f>
        <v>0</v>
      </c>
      <c r="D2820" s="41" t="n">
        <f aca="false">Sens!$D$2807+Sens!$D$2808+Sens!$D$2809+Sens!$D$2810+Sens!$D$2811+Sens!$D$2812-(Sens!$D$2814+Sens!$D$2815)</f>
        <v>0</v>
      </c>
      <c r="E2820" s="41" t="n">
        <f aca="false">Sens!$E$2807+Sens!$E$2808+Sens!$E$2809+Sens!$E$2810+Sens!$E$2811+Sens!$E$2812-(Sens!$E$2814+Sens!$E$2815)</f>
        <v>0</v>
      </c>
      <c r="F2820" s="41" t="n">
        <f aca="false">Sens!$F$2807+Sens!$F$2808+Sens!$F$2809+Sens!$F$2810+Sens!$F$2811+Sens!$F$2812-(Sens!$F$2814+Sens!$F$2815)</f>
        <v>0</v>
      </c>
      <c r="G2820" s="41" t="n">
        <f aca="false">Sens!$G$2807+Sens!$G$2808+Sens!$G$2809+Sens!$G$2810+Sens!$G$2811+Sens!$G$2812-(Sens!$G$2814+Sens!$G$2815)</f>
        <v>0</v>
      </c>
      <c r="H2820" s="41" t="n">
        <f aca="false">Sens!$H$2807+Sens!$H$2808+Sens!$H$2809+Sens!$H$2810+Sens!$H$2811+Sens!$H$2812-(Sens!$H$2814+Sens!$H$2815)</f>
        <v>0</v>
      </c>
      <c r="I2820" s="41" t="n">
        <f aca="false">Sens!$I$2807+Sens!$I$2808+Sens!$I$2809+Sens!$I$2810+Sens!$I$2811+Sens!$I$2812-(Sens!$I$2814+Sens!$I$2815)</f>
        <v>0</v>
      </c>
      <c r="J2820" s="41" t="n">
        <f aca="false">Sens!$J$2807+Sens!$J$2808+Sens!$J$2809+Sens!$J$2810+Sens!$J$2811+Sens!$J$2812-(Sens!$J$2814+Sens!$J$2815)</f>
        <v>0</v>
      </c>
      <c r="K2820" s="41" t="n">
        <f aca="false">Sens!$K$2807+Sens!$K$2808+Sens!$K$2809+Sens!$K$2810+Sens!$K$2811+Sens!$K$2812-(Sens!$K$2814+Sens!$K$2815)</f>
        <v>0</v>
      </c>
      <c r="L2820" s="41" t="n">
        <f aca="false">Sens!$L$2807+Sens!$L$2808+Sens!$L$2809+Sens!$L$2810+Sens!$L$2811+Sens!$L$2812-(Sens!$L$2814+Sens!$L$2815)</f>
        <v>0</v>
      </c>
      <c r="M2820" s="41" t="n">
        <f aca="false">Sens!$M$2807+Sens!$M$2808+Sens!$M$2809+Sens!$M$2810+Sens!$M$2811+Sens!$M$2812-(Sens!$M$2814+Sens!$M$2815)</f>
        <v>0</v>
      </c>
      <c r="N2820" s="41" t="n">
        <f aca="false">Sens!$N$2807+Sens!$N$2808+Sens!$N$2809+Sens!$N$2810+Sens!$N$2811+Sens!$N$2812-(Sens!$N$2814+Sens!$N$2815)</f>
        <v>0</v>
      </c>
      <c r="O2820" s="41" t="n">
        <f aca="false">Sens!$O$2807+Sens!$O$2808+Sens!$O$2809+Sens!$O$2810+Sens!$O$2811+Sens!$O$2812-(Sens!$O$2814+Sens!$O$2815)</f>
        <v>0</v>
      </c>
    </row>
    <row r="2821" customFormat="false" ht="17.15" hidden="false" customHeight="false" outlineLevel="0" collapsed="false">
      <c r="A2821" s="24" t="s">
        <v>698</v>
      </c>
      <c r="B2821" s="25" t="s">
        <v>86</v>
      </c>
      <c r="C2821" s="41" t="n">
        <f aca="false">Sens!$C$2817+Sens!$C$2818-Sens!$C$2816</f>
        <v>0</v>
      </c>
      <c r="D2821" s="41" t="n">
        <f aca="false">Sens!$D$2817+Sens!$D$2818-Sens!$D$2816</f>
        <v>0</v>
      </c>
      <c r="E2821" s="41" t="n">
        <f aca="false">Sens!$E$2817+Sens!$E$2818-Sens!$E$2816</f>
        <v>0</v>
      </c>
      <c r="F2821" s="41" t="n">
        <f aca="false">Sens!$F$2817+Sens!$F$2818-Sens!$F$2816</f>
        <v>0</v>
      </c>
      <c r="G2821" s="41" t="n">
        <f aca="false">Sens!$G$2817+Sens!$G$2818-Sens!$G$2816</f>
        <v>0</v>
      </c>
      <c r="H2821" s="41" t="n">
        <f aca="false">Sens!$H$2817+Sens!$H$2818-Sens!$H$2816</f>
        <v>0</v>
      </c>
      <c r="I2821" s="41" t="n">
        <f aca="false">Sens!$I$2817+Sens!$I$2818-Sens!$I$2816</f>
        <v>0</v>
      </c>
      <c r="J2821" s="41" t="n">
        <f aca="false">Sens!$J$2817+Sens!$J$2818-Sens!$J$2816</f>
        <v>0</v>
      </c>
      <c r="K2821" s="41" t="n">
        <f aca="false">Sens!$K$2817+Sens!$K$2818-Sens!$K$2816</f>
        <v>0</v>
      </c>
      <c r="L2821" s="41" t="n">
        <f aca="false">Sens!$L$2817+Sens!$L$2818-Sens!$L$2816</f>
        <v>0</v>
      </c>
      <c r="M2821" s="41" t="n">
        <f aca="false">Sens!$M$2817+Sens!$M$2818-Sens!$M$2816</f>
        <v>0</v>
      </c>
      <c r="N2821" s="41" t="n">
        <f aca="false">Sens!$N$2817+Sens!$N$2818-Sens!$N$2816</f>
        <v>0</v>
      </c>
      <c r="O2821" s="41" t="n">
        <f aca="false">Sens!$O$2817+Sens!$O$2818-Sens!$O$2816</f>
        <v>0</v>
      </c>
    </row>
    <row r="2822" customFormat="false" ht="17.15" hidden="false" customHeight="false" outlineLevel="0" collapsed="false">
      <c r="A2822" s="24" t="s">
        <v>757</v>
      </c>
      <c r="B2822" s="25" t="s">
        <v>86</v>
      </c>
      <c r="C2822" s="41" t="n">
        <f aca="false">Sens!$C$2807+Sens!$C$2808+Sens!$C$2809+Sens!$C$2810+Sens!$C$2811+Sens!$C$2812+Sens!$C$2813-Sens!$C$2819</f>
        <v>0</v>
      </c>
      <c r="D2822" s="41" t="n">
        <f aca="false">Sens!$D$2807+Sens!$D$2808+Sens!$D$2809+Sens!$D$2810+Sens!$D$2811+Sens!$D$2812+Sens!$D$2813-Sens!$D$2819</f>
        <v>0</v>
      </c>
      <c r="E2822" s="41" t="n">
        <f aca="false">Sens!$E$2807+Sens!$E$2808+Sens!$E$2809+Sens!$E$2810+Sens!$E$2811+Sens!$E$2812+Sens!$E$2813-Sens!$E$2819</f>
        <v>0</v>
      </c>
      <c r="F2822" s="41" t="n">
        <f aca="false">Sens!$F$2807+Sens!$F$2808+Sens!$F$2809+Sens!$F$2810+Sens!$F$2811+Sens!$F$2812+Sens!$F$2813-Sens!$F$2819</f>
        <v>0</v>
      </c>
      <c r="G2822" s="41" t="n">
        <f aca="false">Sens!$G$2807+Sens!$G$2808+Sens!$G$2809+Sens!$G$2810+Sens!$G$2811+Sens!$G$2812+Sens!$G$2813-Sens!$G$2819</f>
        <v>0</v>
      </c>
      <c r="H2822" s="41" t="n">
        <f aca="false">Sens!$H$2807+Sens!$H$2808+Sens!$H$2809+Sens!$H$2810+Sens!$H$2811+Sens!$H$2812+Sens!$H$2813-Sens!$H$2819</f>
        <v>0</v>
      </c>
      <c r="I2822" s="41" t="n">
        <f aca="false">Sens!$I$2807+Sens!$I$2808+Sens!$I$2809+Sens!$I$2810+Sens!$I$2811+Sens!$I$2812+Sens!$I$2813-Sens!$I$2819</f>
        <v>0</v>
      </c>
      <c r="J2822" s="41" t="n">
        <f aca="false">Sens!$J$2807+Sens!$J$2808+Sens!$J$2809+Sens!$J$2810+Sens!$J$2811+Sens!$J$2812+Sens!$J$2813-Sens!$J$2819</f>
        <v>0</v>
      </c>
      <c r="K2822" s="41" t="n">
        <f aca="false">Sens!$K$2807+Sens!$K$2808+Sens!$K$2809+Sens!$K$2810+Sens!$K$2811+Sens!$K$2812+Sens!$K$2813-Sens!$K$2819</f>
        <v>0</v>
      </c>
      <c r="L2822" s="41" t="n">
        <f aca="false">Sens!$L$2807+Sens!$L$2808+Sens!$L$2809+Sens!$L$2810+Sens!$L$2811+Sens!$L$2812+Sens!$L$2813-Sens!$L$2819</f>
        <v>0</v>
      </c>
      <c r="M2822" s="41" t="n">
        <f aca="false">Sens!$M$2807+Sens!$M$2808+Sens!$M$2809+Sens!$M$2810+Sens!$M$2811+Sens!$M$2812+Sens!$M$2813-Sens!$M$2819</f>
        <v>0</v>
      </c>
      <c r="N2822" s="41" t="n">
        <f aca="false">Sens!$N$2807+Sens!$N$2808+Sens!$N$2809+Sens!$N$2810+Sens!$N$2811+Sens!$N$2812+Sens!$N$2813-Sens!$N$2819</f>
        <v>0</v>
      </c>
      <c r="O2822" s="41" t="n">
        <f aca="false">Sens!$O$2807+Sens!$O$2808+Sens!$O$2809+Sens!$O$2810+Sens!$O$2811+Sens!$O$2812+Sens!$O$2813-Sens!$O$2819</f>
        <v>0</v>
      </c>
    </row>
    <row r="2823" customFormat="false" ht="17.15" hidden="false" customHeight="false" outlineLevel="0" collapsed="false">
      <c r="A2823" s="24" t="s">
        <v>699</v>
      </c>
      <c r="B2823" s="25" t="s">
        <v>86</v>
      </c>
      <c r="C2823" s="41" t="n">
        <f aca="false">Sens!$C$2814+Sens!$C$2815+Sens!$C$2816-Sens!$C$2819</f>
        <v>0</v>
      </c>
      <c r="D2823" s="41" t="n">
        <f aca="false">Sens!$D$2814+Sens!$D$2815+Sens!$D$2816-Sens!$D$2819</f>
        <v>0</v>
      </c>
      <c r="E2823" s="41" t="n">
        <f aca="false">Sens!$E$2814+Sens!$E$2815+Sens!$E$2816-Sens!$E$2819</f>
        <v>0</v>
      </c>
      <c r="F2823" s="41" t="n">
        <f aca="false">Sens!$F$2814+Sens!$F$2815+Sens!$F$2816-Sens!$F$2819</f>
        <v>0</v>
      </c>
      <c r="G2823" s="41" t="n">
        <f aca="false">Sens!$G$2814+Sens!$G$2815+Sens!$G$2816-Sens!$G$2819</f>
        <v>0</v>
      </c>
      <c r="H2823" s="41" t="n">
        <f aca="false">Sens!$H$2814+Sens!$H$2815+Sens!$H$2816-Sens!$H$2819</f>
        <v>0</v>
      </c>
      <c r="I2823" s="41" t="n">
        <f aca="false">Sens!$I$2814+Sens!$I$2815+Sens!$I$2816-Sens!$I$2819</f>
        <v>0</v>
      </c>
      <c r="J2823" s="41" t="n">
        <f aca="false">Sens!$J$2814+Sens!$J$2815+Sens!$J$2816-Sens!$J$2819</f>
        <v>0</v>
      </c>
      <c r="K2823" s="41" t="n">
        <f aca="false">Sens!$K$2814+Sens!$K$2815+Sens!$K$2816-Sens!$K$2819</f>
        <v>0</v>
      </c>
      <c r="L2823" s="41" t="n">
        <f aca="false">Sens!$L$2814+Sens!$L$2815+Sens!$L$2816-Sens!$L$2819</f>
        <v>0</v>
      </c>
      <c r="M2823" s="41" t="n">
        <f aca="false">Sens!$M$2814+Sens!$M$2815+Sens!$M$2816-Sens!$M$2819</f>
        <v>0</v>
      </c>
      <c r="N2823" s="41" t="n">
        <f aca="false">Sens!$N$2814+Sens!$N$2815+Sens!$N$2816-Sens!$N$2819</f>
        <v>0</v>
      </c>
      <c r="O2823" s="41" t="n">
        <f aca="false">Sens!$O$2814+Sens!$O$2815+Sens!$O$2816-Sens!$O$2819</f>
        <v>0</v>
      </c>
    </row>
    <row r="2824" customFormat="false" ht="17.15" hidden="false" customHeight="false" outlineLevel="0" collapsed="false">
      <c r="A2824" s="1" t="s">
        <v>713</v>
      </c>
    </row>
    <row r="2825" customFormat="false" ht="17.15" hidden="false" customHeight="false" outlineLevel="0" collapsed="false">
      <c r="A2825" s="0" t="s">
        <v>714</v>
      </c>
      <c r="B2825" s="0" t="s">
        <v>86</v>
      </c>
      <c r="C2825" s="38" t="n">
        <f aca="false">Sens!$C$2731*m_ad</f>
        <v>20.5341564414228</v>
      </c>
      <c r="D2825" s="38" t="n">
        <f aca="false">Sens!$D$2731*m_ad</f>
        <v>24.8720617299587</v>
      </c>
      <c r="E2825" s="38" t="n">
        <f aca="false">Sens!$E$2731*m_ad</f>
        <v>13.5017112462207</v>
      </c>
      <c r="F2825" s="38" t="n">
        <f aca="false">Sens!$F$2731*m_ad</f>
        <v>16.5714695629927</v>
      </c>
      <c r="G2825" s="38" t="n">
        <f aca="false">Sens!$G$2731*m_ad</f>
        <v>30.0815889500927</v>
      </c>
      <c r="H2825" s="38" t="n">
        <f aca="false">Sens!$H$2731*m_ad</f>
        <v>36.1144844841087</v>
      </c>
      <c r="I2825" s="38" t="n">
        <f aca="false">Sens!$I$2731*m_ad</f>
        <v>42.1468335172405</v>
      </c>
      <c r="J2825" s="38" t="n">
        <f aca="false">Sens!$J$2731*m_ad</f>
        <v>47.7741535902629</v>
      </c>
      <c r="K2825" s="38" t="n">
        <f aca="false">Sens!$K$2731*m_ad</f>
        <v>52.5515689492892</v>
      </c>
      <c r="L2825" s="38" t="n">
        <f aca="false">Sens!$L$2731*m_ad</f>
        <v>57.8067258442182</v>
      </c>
      <c r="M2825" s="38" t="n">
        <f aca="false">Sens!$M$2731*m_ad</f>
        <v>63.58739842864</v>
      </c>
      <c r="N2825" s="38" t="n">
        <f aca="false">Sens!$N$2731*m_ad</f>
        <v>10.8543555706248</v>
      </c>
      <c r="O2825" s="38" t="n">
        <f aca="false">Sens!$O$2731*m_ad</f>
        <v>14.0094731821399</v>
      </c>
    </row>
    <row r="2826" customFormat="false" ht="17.15" hidden="false" customHeight="false" outlineLevel="0" collapsed="false">
      <c r="A2826" s="0" t="s">
        <v>715</v>
      </c>
      <c r="B2826" s="0" t="s">
        <v>86</v>
      </c>
      <c r="C2826" s="38" t="n">
        <f aca="false">Sens!$C$2729-Sens!$C$2731</f>
        <v>346.428687117154</v>
      </c>
      <c r="D2826" s="38" t="n">
        <f aca="false">Sens!$D$2729-Sens!$D$2731</f>
        <v>376.560876540083</v>
      </c>
      <c r="E2826" s="38" t="n">
        <f aca="false">Sens!$E$2729-Sens!$E$2731</f>
        <v>193.316577507559</v>
      </c>
      <c r="F2826" s="38" t="n">
        <f aca="false">Sens!$F$2729-Sens!$F$2731</f>
        <v>217.489229038081</v>
      </c>
      <c r="G2826" s="38" t="n">
        <f aca="false">Sens!$G$2729-Sens!$G$2731</f>
        <v>410.788990263881</v>
      </c>
      <c r="H2826" s="38" t="n">
        <f aca="false">Sens!$H$2729-Sens!$H$2731</f>
        <v>449.149598098228</v>
      </c>
      <c r="I2826" s="38" t="n">
        <f aca="false">Sens!$I$2729-Sens!$I$2731</f>
        <v>485.840981382822</v>
      </c>
      <c r="J2826" s="38" t="n">
        <f aca="false">Sens!$J$2729-Sens!$J$2731</f>
        <v>519.833180007508</v>
      </c>
      <c r="K2826" s="38" t="n">
        <f aca="false">Sens!$K$2729-Sens!$K$2731</f>
        <v>550.094495359224</v>
      </c>
      <c r="L2826" s="38" t="n">
        <f aca="false">Sens!$L$2729-Sens!$L$2731</f>
        <v>582.183002267681</v>
      </c>
      <c r="M2826" s="38" t="n">
        <f aca="false">Sens!$M$2729-Sens!$M$2731</f>
        <v>616.212506611293</v>
      </c>
      <c r="N2826" s="38" t="n">
        <f aca="false">Sens!$N$2729-Sens!$N$2731</f>
        <v>171.24628885875</v>
      </c>
      <c r="O2826" s="38" t="n">
        <f aca="false">Sens!$O$2729-Sens!$O$2731</f>
        <v>205.33105363572</v>
      </c>
    </row>
    <row r="2827" customFormat="false" ht="17.15" hidden="false" customHeight="false" outlineLevel="0" collapsed="false">
      <c r="A2827" s="0" t="s">
        <v>716</v>
      </c>
      <c r="B2827" s="0" t="s">
        <v>86</v>
      </c>
      <c r="C2827" s="38" t="n">
        <f aca="false">Sens!$C$2778*Sens!$C$2728</f>
        <v>0.124174363977906</v>
      </c>
      <c r="D2827" s="38" t="n">
        <f aca="false">Sens!$D$2778*Sens!$D$2728</f>
        <v>0.877129371605968</v>
      </c>
      <c r="E2827" s="38" t="n">
        <f aca="false">Sens!$E$2778*Sens!$E$2728</f>
        <v>1.29874400698529</v>
      </c>
      <c r="F2827" s="38" t="n">
        <f aca="false">Sens!$F$2778*Sens!$F$2728</f>
        <v>1.52349413480842</v>
      </c>
      <c r="G2827" s="38" t="n">
        <f aca="false">Sens!$G$2778*Sens!$G$2728</f>
        <v>2.8225576765551</v>
      </c>
      <c r="H2827" s="38" t="n">
        <f aca="false">Sens!$H$2778*Sens!$H$2728</f>
        <v>7.40959510361374</v>
      </c>
      <c r="I2827" s="38" t="n">
        <f aca="false">Sens!$I$2778*Sens!$I$2728</f>
        <v>12.919126321165</v>
      </c>
      <c r="J2827" s="38" t="n">
        <f aca="false">Sens!$J$2778*Sens!$J$2728</f>
        <v>18.5778515591144</v>
      </c>
      <c r="K2827" s="38" t="n">
        <f aca="false">Sens!$K$2778*Sens!$K$2728</f>
        <v>24.115498558722</v>
      </c>
      <c r="L2827" s="38" t="n">
        <f aca="false">Sens!$L$2778*Sens!$L$2728</f>
        <v>27.7034622575661</v>
      </c>
      <c r="M2827" s="38" t="n">
        <f aca="false">Sens!$M$2778*Sens!$M$2728</f>
        <v>29.7332586028985</v>
      </c>
      <c r="N2827" s="38" t="n">
        <f aca="false">Sens!$N$2778*Sens!$N$2728</f>
        <v>0.39057750100381</v>
      </c>
      <c r="O2827" s="38" t="n">
        <f aca="false">Sens!$O$2778*Sens!$O$2728</f>
        <v>0.486420593378571</v>
      </c>
    </row>
    <row r="2828" customFormat="false" ht="17.15" hidden="false" customHeight="false" outlineLevel="0" collapsed="false">
      <c r="A2828" s="0" t="s">
        <v>717</v>
      </c>
      <c r="B2828" s="0" t="s">
        <v>52</v>
      </c>
      <c r="C2828" s="28" t="n">
        <f aca="false">(Sens!$C$2829-Sens!$C$2825+Sens!$C$2827)/Sens!$C$2826</f>
        <v>0.0131542741465114</v>
      </c>
      <c r="D2828" s="28" t="n">
        <f aca="false">(Sens!$D$2829-Sens!$D$2825+Sens!$D$2827)/Sens!$D$2826</f>
        <v>0.0149353477539204</v>
      </c>
      <c r="E2828" s="28" t="n">
        <f aca="false">(Sens!$E$2829-Sens!$E$2825+Sens!$E$2827)/Sens!$E$2826</f>
        <v>0.0268318052576829</v>
      </c>
      <c r="F2828" s="28" t="n">
        <f aca="false">Sens!$O$2828+(Sens!$E$2828-Sens!$N$2828)</f>
        <v>0.0232651804959416</v>
      </c>
      <c r="G2828" s="28" t="n">
        <f aca="false">(Sens!$G$2829-Sens!$G$2825+Sens!$G$2827)/Sens!$G$2826</f>
        <v>0.0249248898261943</v>
      </c>
      <c r="H2828" s="28" t="n">
        <f aca="false">Sens!$G$2828+step_na</f>
        <v>0.0279248898261943</v>
      </c>
      <c r="I2828" s="28" t="n">
        <f aca="false">Sens!$H$2828+step_na</f>
        <v>0.0309248898261943</v>
      </c>
      <c r="J2828" s="28" t="n">
        <f aca="false">Sens!$I$2828+step_na</f>
        <v>0.0339248898261943</v>
      </c>
      <c r="K2828" s="28" t="n">
        <f aca="false">Sens!$J$2828+step_na</f>
        <v>0.0369248898261943</v>
      </c>
      <c r="L2828" s="28" t="n">
        <f aca="false">Sens!$K$2828</f>
        <v>0.0369248898261943</v>
      </c>
      <c r="M2828" s="28" t="n">
        <f aca="false">Sens!$L$2828</f>
        <v>0.0369248898261943</v>
      </c>
      <c r="N2828" s="28" t="n">
        <f aca="false">(Sens!$N$2829-Sens!$N$2825+Sens!$N$2827)/Sens!$N$2826</f>
        <v>0.0169009322751878</v>
      </c>
      <c r="O2828" s="28" t="n">
        <f aca="false">(Sens!$O$2829-Sens!$O$2825+Sens!$O$2827)/Sens!$O$2826</f>
        <v>0.0133343075134466</v>
      </c>
      <c r="P2828" s="8" t="s">
        <v>718</v>
      </c>
    </row>
    <row r="2829" customFormat="false" ht="17.15" hidden="false" customHeight="false" outlineLevel="0" collapsed="false">
      <c r="A2829" s="1" t="s">
        <v>719</v>
      </c>
      <c r="B2829" s="8" t="s">
        <v>86</v>
      </c>
      <c r="C2829" s="38" t="n">
        <f aca="false">Q!$D$22</f>
        <v>24.967</v>
      </c>
      <c r="D2829" s="38" t="n">
        <f aca="false">Q!$E$22</f>
        <v>29.619</v>
      </c>
      <c r="E2829" s="38" t="n">
        <f aca="false">Q!$P$22</f>
        <v>17.39</v>
      </c>
      <c r="F2829" s="38" t="n">
        <f aca="false">Sens!$F$2825+Sens!$F$2826*Sens!$F$2828-Sens!$F$2827</f>
        <v>20.1079015976784</v>
      </c>
      <c r="G2829" s="38" t="n">
        <f aca="false">Sens!$E$2829+Sens!$F$2829</f>
        <v>37.4979015976784</v>
      </c>
      <c r="H2829" s="38" t="n">
        <f aca="false">Sens!$H$2825+Sens!$H$2826*Sens!$H$2828-Sens!$H$2827</f>
        <v>41.2473424228674</v>
      </c>
      <c r="I2829" s="38" t="n">
        <f aca="false">Sens!$I$2825+Sens!$I$2826*Sens!$I$2828-Sens!$I$2827</f>
        <v>44.2522860183895</v>
      </c>
      <c r="J2829" s="38" t="n">
        <f aca="false">Sens!$J$2825+Sens!$J$2826*Sens!$J$2828-Sens!$J$2827</f>
        <v>46.8315853909035</v>
      </c>
      <c r="K2829" s="38" t="n">
        <f aca="false">Sens!$K$2825+Sens!$K$2826*Sens!$K$2828-Sens!$K$2827</f>
        <v>48.7482490257026</v>
      </c>
      <c r="L2829" s="38" t="n">
        <f aca="false">Sens!$L$2825+Sens!$L$2826*Sens!$L$2828-Sens!$L$2827</f>
        <v>51.6003068040693</v>
      </c>
      <c r="M2829" s="38" t="n">
        <f aca="false">Sens!$M$2825+Sens!$M$2826*Sens!$M$2828-Sens!$M$2827</f>
        <v>56.6077187418865</v>
      </c>
      <c r="N2829" s="38" t="n">
        <f aca="false">Q!$N$22</f>
        <v>13.358</v>
      </c>
      <c r="O2829" s="38" t="n">
        <f aca="false">Q!$O$22</f>
        <v>16.261</v>
      </c>
    </row>
    <row r="2830" customFormat="false" ht="17.15" hidden="false" customHeight="false" outlineLevel="0" collapsed="false">
      <c r="A2830" s="0" t="s">
        <v>720</v>
      </c>
      <c r="B2830" s="0" t="s">
        <v>86</v>
      </c>
      <c r="C2830" s="38" t="n">
        <f aca="false">Sens!$C$2732*m_ad</f>
        <v>7.57284355857716</v>
      </c>
      <c r="D2830" s="38" t="n">
        <f aca="false">Sens!$D$2732*m_ad</f>
        <v>9.44543827004127</v>
      </c>
      <c r="E2830" s="38" t="n">
        <f aca="false">Sens!$E$2732*m_ad</f>
        <v>5.02428875377928</v>
      </c>
      <c r="F2830" s="38" t="n">
        <f aca="false">Sens!$F$2732*m_ad</f>
        <v>6.5064411457527</v>
      </c>
      <c r="G2830" s="38" t="n">
        <f aca="false">Sens!$G$2732*m_ad</f>
        <v>11.5223217586527</v>
      </c>
      <c r="H2830" s="38" t="n">
        <f aca="false">Sens!$H$2732*m_ad</f>
        <v>13.8331359777619</v>
      </c>
      <c r="I2830" s="38" t="n">
        <f aca="false">Sens!$I$2732*m_ad</f>
        <v>16.1437408675355</v>
      </c>
      <c r="J2830" s="38" t="n">
        <f aca="false">Sens!$J$2732*m_ad</f>
        <v>18.2992052157739</v>
      </c>
      <c r="K2830" s="38" t="n">
        <f aca="false">Sens!$K$2732*m_ad</f>
        <v>20.1291257373513</v>
      </c>
      <c r="L2830" s="38" t="n">
        <f aca="false">Sens!$L$2732*m_ad</f>
        <v>22.1420383110865</v>
      </c>
      <c r="M2830" s="38" t="n">
        <f aca="false">Sens!$M$2732*m_ad</f>
        <v>24.3562421421951</v>
      </c>
      <c r="N2830" s="38" t="n">
        <f aca="false">Sens!$N$2732*m_ad</f>
        <v>3.95314442937518</v>
      </c>
      <c r="O2830" s="38" t="n">
        <f aca="false">Sens!$O$2732*m_ad</f>
        <v>5.50052681786011</v>
      </c>
    </row>
    <row r="2831" customFormat="false" ht="17.15" hidden="false" customHeight="false" outlineLevel="0" collapsed="false">
      <c r="A2831" s="0" t="s">
        <v>721</v>
      </c>
      <c r="B2831" s="0" t="s">
        <v>86</v>
      </c>
      <c r="C2831" s="38" t="n">
        <f aca="false">Sens!$C$2730-Sens!$C$2732</f>
        <v>127.760312882846</v>
      </c>
      <c r="D2831" s="38" t="n">
        <f aca="false">Sens!$D$2730-Sens!$D$2732</f>
        <v>143.003123459917</v>
      </c>
      <c r="E2831" s="38" t="n">
        <f aca="false">Sens!$E$2730-Sens!$E$2732</f>
        <v>71.9374224924414</v>
      </c>
      <c r="F2831" s="38" t="n">
        <f aca="false">Sens!$F$2730-Sens!$F$2732</f>
        <v>85.3925998048809</v>
      </c>
      <c r="G2831" s="38" t="n">
        <f aca="false">Sens!$G$2730-Sens!$G$2732</f>
        <v>157.346838579081</v>
      </c>
      <c r="H2831" s="38" t="n">
        <f aca="false">Sens!$H$2730-Sens!$H$2732</f>
        <v>172.040319932681</v>
      </c>
      <c r="I2831" s="38" t="n">
        <f aca="false">Sens!$I$2730-Sens!$I$2732</f>
        <v>186.09442873247</v>
      </c>
      <c r="J2831" s="38" t="n">
        <f aca="false">Sens!$J$2730-Sens!$J$2732</f>
        <v>199.114653511403</v>
      </c>
      <c r="K2831" s="38" t="n">
        <f aca="false">Sens!$K$2730-Sens!$K$2732</f>
        <v>210.705816893797</v>
      </c>
      <c r="L2831" s="38" t="n">
        <f aca="false">Sens!$L$2730-Sens!$L$2732</f>
        <v>222.996859829308</v>
      </c>
      <c r="M2831" s="38" t="n">
        <f aca="false">Sens!$M$2730-Sens!$M$2732</f>
        <v>236.031374029508</v>
      </c>
      <c r="N2831" s="38" t="n">
        <f aca="false">Sens!$N$2730-Sens!$N$2732</f>
        <v>62.3677111412496</v>
      </c>
      <c r="O2831" s="38" t="n">
        <f aca="false">Sens!$O$2730-Sens!$O$2732</f>
        <v>80.6189463642798</v>
      </c>
    </row>
    <row r="2832" customFormat="false" ht="17.15" hidden="false" customHeight="false" outlineLevel="0" collapsed="false">
      <c r="A2832" s="0" t="s">
        <v>722</v>
      </c>
      <c r="B2832" s="0" t="s">
        <v>86</v>
      </c>
      <c r="C2832" s="38" t="n">
        <f aca="false">Sens!$C$2778*(1-Sens!$C$2728)</f>
        <v>0.0457945781738352</v>
      </c>
      <c r="D2832" s="38" t="n">
        <f aca="false">Sens!$D$2778*(1-Sens!$D$2728)</f>
        <v>0.333099500326706</v>
      </c>
      <c r="E2832" s="38" t="n">
        <f aca="false">Sens!$E$2778*(1-Sens!$E$2728)</f>
        <v>0.483291694611002</v>
      </c>
      <c r="F2832" s="38" t="n">
        <f aca="false">Sens!$F$2778*(1-Sens!$F$2728)</f>
        <v>0.598168127838644</v>
      </c>
      <c r="G2832" s="38" t="n">
        <f aca="false">Sens!$G$2778*(1-Sens!$G$2728)</f>
        <v>1.08114028768826</v>
      </c>
      <c r="H2832" s="38" t="n">
        <f aca="false">Sens!$H$2778*(1-Sens!$H$2728)</f>
        <v>2.83813926939894</v>
      </c>
      <c r="I2832" s="38" t="n">
        <f aca="false">Sens!$I$2778*(1-Sens!$I$2728)</f>
        <v>4.94848628375674</v>
      </c>
      <c r="J2832" s="38" t="n">
        <f aca="false">Sens!$J$2778*(1-Sens!$J$2728)</f>
        <v>7.11597993057296</v>
      </c>
      <c r="K2832" s="38" t="n">
        <f aca="false">Sens!$K$2778*(1-Sens!$K$2728)</f>
        <v>9.23709629251698</v>
      </c>
      <c r="L2832" s="38" t="n">
        <f aca="false">Sens!$L$2778*(1-Sens!$L$2728)</f>
        <v>10.6114143933672</v>
      </c>
      <c r="M2832" s="38" t="n">
        <f aca="false">Sens!$M$2778*(1-Sens!$M$2728)</f>
        <v>11.3888988086439</v>
      </c>
      <c r="N2832" s="38" t="n">
        <f aca="false">Sens!$N$2778*(1-Sens!$N$2728)</f>
        <v>0.142247898761586</v>
      </c>
      <c r="O2832" s="38" t="n">
        <f aca="false">Sens!$O$2778*(1-Sens!$O$2728)</f>
        <v>0.190982878788707</v>
      </c>
    </row>
    <row r="2833" customFormat="false" ht="17.15" hidden="false" customHeight="false" outlineLevel="0" collapsed="false">
      <c r="A2833" s="0" t="s">
        <v>723</v>
      </c>
      <c r="B2833" s="0" t="s">
        <v>52</v>
      </c>
      <c r="C2833" s="28" t="n">
        <f aca="false">(Sens!$C$2834-Sens!$C$2830+Sens!$C$2832)/Sens!$C$2831</f>
        <v>-0.029234813974104</v>
      </c>
      <c r="D2833" s="28" t="n">
        <f aca="false">(Sens!$D$2834-Sens!$D$2830+Sens!$D$2832)/Sens!$D$2831</f>
        <v>-0.0305051992164163</v>
      </c>
      <c r="E2833" s="28" t="n">
        <f aca="false">(Sens!$E$2834-Sens!$E$2830+Sens!$E$2832)/Sens!$E$2831</f>
        <v>-0.0194613180548049</v>
      </c>
      <c r="F2833" s="28" t="n">
        <f aca="false">Sens!$O$2833+(Sens!$E$2833-Sens!$N$2833)</f>
        <v>-0.0367059835999772</v>
      </c>
      <c r="G2833" s="28" t="n">
        <f aca="false">(Sens!$G$2834-Sens!$G$2830+Sens!$G$2832)/Sens!$G$2831</f>
        <v>-0.0287665634843557</v>
      </c>
      <c r="H2833" s="28" t="n">
        <f aca="false">Sens!$G$2833+step_in</f>
        <v>-0.0287665634843557</v>
      </c>
      <c r="I2833" s="28" t="n">
        <f aca="false">Sens!$H$2833+step_in</f>
        <v>-0.0287665634843557</v>
      </c>
      <c r="J2833" s="28" t="n">
        <f aca="false">Sens!$I$2833+step_in</f>
        <v>-0.0287665634843557</v>
      </c>
      <c r="K2833" s="28" t="n">
        <f aca="false">Sens!$J$2833+step_in</f>
        <v>-0.0287665634843557</v>
      </c>
      <c r="L2833" s="28" t="n">
        <f aca="false">Sens!$K$2833</f>
        <v>-0.0287665634843557</v>
      </c>
      <c r="M2833" s="28" t="n">
        <f aca="false">Sens!$L$2833</f>
        <v>-0.0287665634843557</v>
      </c>
      <c r="N2833" s="28" t="n">
        <f aca="false">(Sens!$N$2834-Sens!$N$2830+Sens!$N$2832)/Sens!$N$2831</f>
        <v>-0.0208424600939676</v>
      </c>
      <c r="O2833" s="28" t="n">
        <f aca="false">(Sens!$O$2834-Sens!$O$2830+Sens!$O$2832)/Sens!$O$2831</f>
        <v>-0.0380871256391399</v>
      </c>
      <c r="P2833" s="8" t="s">
        <v>718</v>
      </c>
    </row>
    <row r="2834" customFormat="false" ht="17.15" hidden="false" customHeight="false" outlineLevel="0" collapsed="false">
      <c r="A2834" s="1" t="s">
        <v>724</v>
      </c>
      <c r="B2834" s="8" t="s">
        <v>86</v>
      </c>
      <c r="C2834" s="38" t="n">
        <f aca="false">Q!$D$23</f>
        <v>3.792</v>
      </c>
      <c r="D2834" s="38" t="n">
        <f aca="false">Q!$E$23</f>
        <v>4.75</v>
      </c>
      <c r="E2834" s="38" t="n">
        <f aca="false">Q!$P$23</f>
        <v>3.141</v>
      </c>
      <c r="F2834" s="38" t="n">
        <f aca="false">Sens!$F$2830+Sens!$F$2831*Sens!$F$2833-Sens!$F$2832</f>
        <v>2.77385364991668</v>
      </c>
      <c r="G2834" s="38" t="n">
        <f aca="false">Sens!$E$2834+Sens!$F$2834</f>
        <v>5.91485364991668</v>
      </c>
      <c r="H2834" s="38" t="n">
        <f aca="false">Sens!$H$2830+Sens!$H$2831*Sens!$H$2833-Sens!$H$2832</f>
        <v>6.04598792315063</v>
      </c>
      <c r="I2834" s="38" t="n">
        <f aca="false">Sens!$I$2830+Sens!$I$2831*Sens!$I$2833-Sens!$I$2832</f>
        <v>5.84195738556122</v>
      </c>
      <c r="J2834" s="38" t="n">
        <f aca="false">Sens!$J$2830+Sens!$J$2831*Sens!$J$2833-Sens!$J$2832</f>
        <v>5.45538096429973</v>
      </c>
      <c r="K2834" s="38" t="n">
        <f aca="false">Sens!$K$2830+Sens!$K$2831*Sens!$K$2833-Sens!$K$2832</f>
        <v>4.83074718663595</v>
      </c>
      <c r="L2834" s="38" t="n">
        <f aca="false">Sens!$L$2830+Sens!$L$2831*Sens!$L$2833-Sens!$L$2832</f>
        <v>5.11577059262756</v>
      </c>
      <c r="M2834" s="38" t="n">
        <f aca="false">Sens!$M$2830+Sens!$M$2831*Sens!$M$2833-Sens!$M$2832</f>
        <v>6.17753182823171</v>
      </c>
      <c r="N2834" s="38" t="n">
        <f aca="false">Q!$N$23</f>
        <v>2.511</v>
      </c>
      <c r="O2834" s="38" t="n">
        <f aca="false">Q!$O$23</f>
        <v>2.239</v>
      </c>
    </row>
    <row r="2835" customFormat="false" ht="17.15" hidden="false" customHeight="false" outlineLevel="0" collapsed="false">
      <c r="A2835" s="0" t="s">
        <v>725</v>
      </c>
      <c r="B2835" s="0" t="s">
        <v>86</v>
      </c>
      <c r="C2835" s="38" t="n">
        <f aca="false">Sens!$C$2775</f>
        <v>2.20473961600842</v>
      </c>
      <c r="D2835" s="38" t="n">
        <f aca="false">Sens!$D$2775</f>
        <v>5.976392204577</v>
      </c>
      <c r="E2835" s="38" t="n">
        <f aca="false">Sens!$E$2775</f>
        <v>3.44878027053792</v>
      </c>
      <c r="F2835" s="38" t="n">
        <f aca="false">Sens!$F$2775</f>
        <v>8.91909471391308</v>
      </c>
      <c r="G2835" s="38" t="n">
        <f aca="false">Sens!$G$2775</f>
        <v>12.367874984451</v>
      </c>
      <c r="H2835" s="38" t="n">
        <f aca="false">Sens!$H$2775</f>
        <v>24.0595734972856</v>
      </c>
      <c r="I2835" s="38" t="n">
        <f aca="false">Sens!$I$2775</f>
        <v>34.917868956307</v>
      </c>
      <c r="J2835" s="38" t="n">
        <f aca="false">Sens!$J$2775</f>
        <v>45.1347014320904</v>
      </c>
      <c r="K2835" s="38" t="n">
        <f aca="false">Sens!$K$2775</f>
        <v>49.9223612177854</v>
      </c>
      <c r="L2835" s="38" t="n">
        <f aca="false">Sens!$L$2775</f>
        <v>53.3532154382252</v>
      </c>
      <c r="M2835" s="38" t="n">
        <f aca="false">Sens!$M$2775</f>
        <v>53.2314319622574</v>
      </c>
      <c r="N2835" s="38" t="n">
        <f aca="false">Sens!$N$2775</f>
        <v>1.65475609324611</v>
      </c>
      <c r="O2835" s="38" t="n">
        <f aca="false">Sens!$O$2775</f>
        <v>4.32163611133089</v>
      </c>
    </row>
    <row r="2836" customFormat="false" ht="17.15" hidden="false" customHeight="false" outlineLevel="0" collapsed="false">
      <c r="A2836" s="0" t="s">
        <v>643</v>
      </c>
      <c r="B2836" s="0" t="s">
        <v>86</v>
      </c>
      <c r="C2836" s="38" t="n">
        <f aca="false">Sens!$C$2780</f>
        <v>37.6292603839916</v>
      </c>
      <c r="D2836" s="38" t="n">
        <f aca="false">Sens!$D$2780</f>
        <v>39.629607795423</v>
      </c>
      <c r="E2836" s="38" t="n">
        <f aca="false">Sens!$E$2780</f>
        <v>27.3332197294621</v>
      </c>
      <c r="F2836" s="38" t="n">
        <f aca="false">Sens!$F$2780</f>
        <v>24.8682734815839</v>
      </c>
      <c r="G2836" s="38" t="n">
        <f aca="false">Sens!$G$2780</f>
        <v>52.201493211046</v>
      </c>
      <c r="H2836" s="38" t="n">
        <f aca="false">Sens!$H$2780</f>
        <v>55.410198735183</v>
      </c>
      <c r="I2836" s="38" t="n">
        <f aca="false">Sens!$I$2780</f>
        <v>61.1300782515605</v>
      </c>
      <c r="J2836" s="38" t="n">
        <f aca="false">Sens!$J$2780</f>
        <v>66.7304467700088</v>
      </c>
      <c r="K2836" s="38" t="n">
        <f aca="false">Sens!$K$2780</f>
        <v>72.0688825116095</v>
      </c>
      <c r="L2836" s="38" t="n">
        <f aca="false">Sens!$L$2780</f>
        <v>77.8343931125382</v>
      </c>
      <c r="M2836" s="38" t="n">
        <f aca="false">Sens!$M$2780</f>
        <v>84.0611445615413</v>
      </c>
      <c r="N2836" s="38" t="n">
        <f aca="false">Sens!$N$2780</f>
        <v>20.0522439067539</v>
      </c>
      <c r="O2836" s="38" t="n">
        <f aca="false">Sens!$O$2780</f>
        <v>19.5773638886691</v>
      </c>
    </row>
    <row r="2837" customFormat="false" ht="17.15" hidden="false" customHeight="false" outlineLevel="0" collapsed="false">
      <c r="A2837" s="1" t="s">
        <v>726</v>
      </c>
      <c r="B2837" s="8" t="s">
        <v>86</v>
      </c>
      <c r="C2837" s="38" t="n">
        <f aca="false">Q!$D$24</f>
        <v>39.834</v>
      </c>
      <c r="D2837" s="38" t="n">
        <f aca="false">Q!$E$24</f>
        <v>45.606</v>
      </c>
      <c r="E2837" s="38" t="n">
        <f aca="false">Q!$P$24</f>
        <v>30.782</v>
      </c>
      <c r="F2837" s="38" t="n">
        <f aca="false">Sens!$F$2835+Sens!$F$2836</f>
        <v>33.787368195497</v>
      </c>
      <c r="G2837" s="38" t="n">
        <f aca="false">Sens!$G$2835+Sens!$G$2836</f>
        <v>64.569368195497</v>
      </c>
      <c r="H2837" s="38" t="n">
        <f aca="false">Sens!$H$2835+Sens!$H$2836</f>
        <v>79.4697722324687</v>
      </c>
      <c r="I2837" s="38" t="n">
        <f aca="false">Sens!$I$2835+Sens!$I$2836</f>
        <v>96.0479472078675</v>
      </c>
      <c r="J2837" s="38" t="n">
        <f aca="false">Sens!$J$2835+Sens!$J$2836</f>
        <v>111.865148202099</v>
      </c>
      <c r="K2837" s="38" t="n">
        <f aca="false">Sens!$K$2835+Sens!$K$2836</f>
        <v>121.991243729395</v>
      </c>
      <c r="L2837" s="38" t="n">
        <f aca="false">Sens!$L$2835+Sens!$L$2836</f>
        <v>131.187608550763</v>
      </c>
      <c r="M2837" s="38" t="n">
        <f aca="false">Sens!$M$2835+Sens!$M$2836</f>
        <v>137.292576523799</v>
      </c>
      <c r="N2837" s="38" t="n">
        <f aca="false">Q!$N$24</f>
        <v>21.707</v>
      </c>
      <c r="O2837" s="38" t="n">
        <f aca="false">Q!$O$24</f>
        <v>23.899</v>
      </c>
    </row>
    <row r="2838" customFormat="false" ht="17.15" hidden="false" customHeight="false" outlineLevel="0" collapsed="false">
      <c r="A2838" s="5" t="s">
        <v>727</v>
      </c>
      <c r="B2838" s="0" t="s">
        <v>86</v>
      </c>
      <c r="C2838" s="38" t="n">
        <f aca="false">Q!$D$26</f>
        <v>0</v>
      </c>
      <c r="D2838" s="38" t="n">
        <f aca="false">Q!$E$26</f>
        <v>0</v>
      </c>
      <c r="E2838" s="38" t="n">
        <f aca="false">Q!$P$26</f>
        <v>0</v>
      </c>
      <c r="F2838" s="39" t="n">
        <v>0</v>
      </c>
      <c r="G2838" s="38" t="n">
        <f aca="false">Sens!$E$2838+Sens!$F$2838</f>
        <v>0</v>
      </c>
      <c r="H2838" s="39" t="n">
        <v>0</v>
      </c>
      <c r="I2838" s="39" t="n">
        <v>0</v>
      </c>
      <c r="J2838" s="39" t="n">
        <v>0</v>
      </c>
      <c r="K2838" s="39" t="n">
        <v>0</v>
      </c>
      <c r="L2838" s="39" t="n">
        <v>0</v>
      </c>
      <c r="M2838" s="39" t="n">
        <v>0</v>
      </c>
      <c r="N2838" s="38" t="n">
        <f aca="false">Q!$N$26</f>
        <v>0</v>
      </c>
      <c r="O2838" s="38" t="n">
        <f aca="false">Q!$O$26</f>
        <v>0</v>
      </c>
    </row>
    <row r="2839" customFormat="false" ht="15" hidden="false" customHeight="false" outlineLevel="0" collapsed="false">
      <c r="A2839" s="3" t="s">
        <v>531</v>
      </c>
      <c r="B2839" s="8" t="s">
        <v>86</v>
      </c>
      <c r="C2839" s="38" t="n">
        <f aca="false">Q!$D$25</f>
        <v>68.593</v>
      </c>
      <c r="D2839" s="38" t="n">
        <f aca="false">Q!$E$25</f>
        <v>79.975</v>
      </c>
      <c r="E2839" s="38" t="n">
        <f aca="false">Q!$P$25</f>
        <v>51.313</v>
      </c>
      <c r="F2839" s="38" t="n">
        <f aca="false">Sens!$F$2829+Sens!$F$2834+Sens!$F$2837+Sens!$F$2838</f>
        <v>56.6691234430921</v>
      </c>
      <c r="G2839" s="38" t="n">
        <f aca="false">Sens!$G$2829+Sens!$G$2834+Sens!$G$2837+Sens!$G$2838</f>
        <v>107.982123443092</v>
      </c>
      <c r="H2839" s="38" t="n">
        <f aca="false">Sens!$H$2829+Sens!$H$2834+Sens!$H$2837+Sens!$H$2838</f>
        <v>126.763102578487</v>
      </c>
      <c r="I2839" s="38" t="n">
        <f aca="false">Sens!$I$2829+Sens!$I$2834+Sens!$I$2837+Sens!$I$2838</f>
        <v>146.142190611818</v>
      </c>
      <c r="J2839" s="38" t="n">
        <f aca="false">Sens!$J$2829+Sens!$J$2834+Sens!$J$2837+Sens!$J$2838</f>
        <v>164.152114557302</v>
      </c>
      <c r="K2839" s="38" t="n">
        <f aca="false">Sens!$K$2829+Sens!$K$2834+Sens!$K$2837+Sens!$K$2838</f>
        <v>175.570239941733</v>
      </c>
      <c r="L2839" s="38" t="n">
        <f aca="false">Sens!$L$2829+Sens!$L$2834+Sens!$L$2837+Sens!$L$2838</f>
        <v>187.90368594746</v>
      </c>
      <c r="M2839" s="38" t="n">
        <f aca="false">Sens!$M$2829+Sens!$M$2834+Sens!$M$2837+Sens!$M$2838</f>
        <v>200.077827093917</v>
      </c>
      <c r="N2839" s="38" t="n">
        <f aca="false">Q!$N$25</f>
        <v>37.576</v>
      </c>
      <c r="O2839" s="38" t="n">
        <f aca="false">Q!$O$25</f>
        <v>42.399</v>
      </c>
    </row>
    <row r="2840" customFormat="false" ht="17.15" hidden="false" customHeight="false" outlineLevel="0" collapsed="false">
      <c r="A2840" s="24" t="s">
        <v>758</v>
      </c>
      <c r="B2840" s="25" t="s">
        <v>86</v>
      </c>
      <c r="C2840" s="41" t="n">
        <f aca="false">Sens!$C$2829+Sens!$C$2834+Sens!$C$2837+Sens!$C$2838-Sens!$C$2839</f>
        <v>0</v>
      </c>
      <c r="D2840" s="41" t="n">
        <f aca="false">Sens!$D$2829+Sens!$D$2834+Sens!$D$2837+Sens!$D$2838-Sens!$D$2839</f>
        <v>0</v>
      </c>
      <c r="E2840" s="41" t="n">
        <f aca="false">Sens!$E$2829+Sens!$E$2834+Sens!$E$2837+Sens!$E$2838-Sens!$E$2839</f>
        <v>0</v>
      </c>
      <c r="F2840" s="41" t="n">
        <f aca="false">Sens!$F$2829+Sens!$F$2834+Sens!$F$2837+Sens!$F$2838-Sens!$F$2839</f>
        <v>0</v>
      </c>
      <c r="G2840" s="41" t="n">
        <f aca="false">Sens!$G$2829+Sens!$G$2834+Sens!$G$2837+Sens!$G$2838-Sens!$G$2839</f>
        <v>0</v>
      </c>
      <c r="H2840" s="41" t="n">
        <f aca="false">Sens!$H$2829+Sens!$H$2834+Sens!$H$2837+Sens!$H$2838-Sens!$H$2839</f>
        <v>0</v>
      </c>
      <c r="I2840" s="41" t="n">
        <f aca="false">Sens!$I$2829+Sens!$I$2834+Sens!$I$2837+Sens!$I$2838-Sens!$I$2839</f>
        <v>0</v>
      </c>
      <c r="J2840" s="41" t="n">
        <f aca="false">Sens!$J$2829+Sens!$J$2834+Sens!$J$2837+Sens!$J$2838-Sens!$J$2839</f>
        <v>0</v>
      </c>
      <c r="K2840" s="41" t="n">
        <f aca="false">Sens!$K$2829+Sens!$K$2834+Sens!$K$2837+Sens!$K$2838-Sens!$K$2839</f>
        <v>0</v>
      </c>
      <c r="L2840" s="41" t="n">
        <f aca="false">Sens!$L$2829+Sens!$L$2834+Sens!$L$2837+Sens!$L$2838-Sens!$L$2839</f>
        <v>0</v>
      </c>
      <c r="M2840" s="41" t="n">
        <f aca="false">Sens!$M$2829+Sens!$M$2834+Sens!$M$2837+Sens!$M$2838-Sens!$M$2839</f>
        <v>0</v>
      </c>
      <c r="N2840" s="41" t="n">
        <f aca="false">Sens!$N$2829+Sens!$N$2834+Sens!$N$2837+Sens!$N$2838-Sens!$N$2839</f>
        <v>0</v>
      </c>
      <c r="O2840" s="41" t="n">
        <f aca="false">Sens!$O$2829+Sens!$O$2834+Sens!$O$2837+Sens!$O$2838-Sens!$O$2839</f>
        <v>0</v>
      </c>
    </row>
    <row r="2841" customFormat="false" ht="17.15" hidden="false" customHeight="false" outlineLevel="0" collapsed="false">
      <c r="A2841" s="5" t="s">
        <v>729</v>
      </c>
      <c r="B2841" s="0" t="s">
        <v>86</v>
      </c>
      <c r="C2841" s="38" t="n">
        <f aca="false">Sens!$C$2777</f>
        <v>0</v>
      </c>
      <c r="D2841" s="38" t="n">
        <f aca="false">Sens!$D$2777</f>
        <v>0</v>
      </c>
      <c r="E2841" s="38" t="n">
        <f aca="false">Sens!$E$2777</f>
        <v>0</v>
      </c>
      <c r="F2841" s="38" t="n">
        <f aca="false">Sens!$F$2777</f>
        <v>3.77122048175818</v>
      </c>
      <c r="G2841" s="38" t="n">
        <f aca="false">Sens!$G$2777</f>
        <v>3.77122048175818</v>
      </c>
      <c r="H2841" s="38" t="n">
        <f aca="false">Sens!$H$2777</f>
        <v>15.1635543609893</v>
      </c>
      <c r="I2841" s="38" t="n">
        <f aca="false">Sens!$I$2777</f>
        <v>25.5818843619889</v>
      </c>
      <c r="J2841" s="38" t="n">
        <f aca="false">Sens!$J$2777</f>
        <v>36.0465624179122</v>
      </c>
      <c r="K2841" s="38" t="n">
        <f aca="false">Sens!$K$2777</f>
        <v>44.9741164026038</v>
      </c>
      <c r="L2841" s="38" t="n">
        <f aca="false">Sens!$L$2777</f>
        <v>50.8413488057813</v>
      </c>
      <c r="M2841" s="38" t="n">
        <f aca="false">Sens!$M$2777</f>
        <v>53.6407214274315</v>
      </c>
      <c r="N2841" s="38" t="n">
        <f aca="false">Sens!$N$2777</f>
        <v>0</v>
      </c>
      <c r="O2841" s="38" t="n">
        <f aca="false">Sens!$O$2777</f>
        <v>0</v>
      </c>
      <c r="P2841" s="5" t="s">
        <v>730</v>
      </c>
    </row>
    <row r="2842" customFormat="false" ht="17.15" hidden="false" customHeight="false" outlineLevel="0" collapsed="false">
      <c r="A2842" s="5" t="s">
        <v>731</v>
      </c>
      <c r="B2842" s="0" t="s">
        <v>86</v>
      </c>
      <c r="C2842" s="38" t="n">
        <f aca="false">Sens!$C$2839+Sens!$C$2841</f>
        <v>68.593</v>
      </c>
      <c r="D2842" s="38" t="n">
        <f aca="false">Sens!$D$2839+Sens!$D$2841</f>
        <v>79.975</v>
      </c>
      <c r="E2842" s="38" t="n">
        <f aca="false">Sens!$E$2839+Sens!$E$2841</f>
        <v>51.313</v>
      </c>
      <c r="F2842" s="38" t="n">
        <f aca="false">Sens!$F$2839+Sens!$F$2841</f>
        <v>60.4403439248503</v>
      </c>
      <c r="G2842" s="38" t="n">
        <f aca="false">Sens!$G$2839+Sens!$G$2841</f>
        <v>111.75334392485</v>
      </c>
      <c r="H2842" s="38" t="n">
        <f aca="false">Sens!$H$2839+Sens!$H$2841</f>
        <v>141.926656939476</v>
      </c>
      <c r="I2842" s="38" t="n">
        <f aca="false">Sens!$I$2839+Sens!$I$2841</f>
        <v>171.724074973807</v>
      </c>
      <c r="J2842" s="38" t="n">
        <f aca="false">Sens!$J$2839+Sens!$J$2841</f>
        <v>200.198676975214</v>
      </c>
      <c r="K2842" s="38" t="n">
        <f aca="false">Sens!$K$2839+Sens!$K$2841</f>
        <v>220.544356344337</v>
      </c>
      <c r="L2842" s="38" t="n">
        <f aca="false">Sens!$L$2839+Sens!$L$2841</f>
        <v>238.745034753242</v>
      </c>
      <c r="M2842" s="38" t="n">
        <f aca="false">Sens!$M$2839+Sens!$M$2841</f>
        <v>253.718548521348</v>
      </c>
      <c r="N2842" s="38" t="n">
        <f aca="false">Sens!$N$2839+Sens!$N$2841</f>
        <v>37.576</v>
      </c>
      <c r="O2842" s="38" t="n">
        <f aca="false">Sens!$O$2839+Sens!$O$2841</f>
        <v>42.399</v>
      </c>
    </row>
    <row r="2843" customFormat="false" ht="17.15" hidden="false" customHeight="false" outlineLevel="0" collapsed="false">
      <c r="A2843" s="0" t="s">
        <v>732</v>
      </c>
      <c r="B2843" s="0" t="s">
        <v>52</v>
      </c>
      <c r="C2843" s="13" t="n">
        <f aca="false">Sens!$C$2829/Sens!$C$2814</f>
        <v>0.0644314665661928</v>
      </c>
      <c r="D2843" s="13" t="n">
        <f aca="false">Sens!$D$2829/Sens!$D$2814</f>
        <v>0.0694784250712518</v>
      </c>
      <c r="E2843" s="13" t="n">
        <f aca="false">Sens!$E$2829/Sens!$E$2814</f>
        <v>0.0789306463326071</v>
      </c>
      <c r="F2843" s="13" t="n">
        <f aca="false">Sens!$F$2829/Sens!$F$2814</f>
        <v>0.0802287341843351</v>
      </c>
      <c r="G2843" s="13" t="n">
        <f aca="false">Sens!$G$2829/Sens!$G$2814</f>
        <v>0.0796214650499608</v>
      </c>
      <c r="H2843" s="13" t="n">
        <f aca="false">Sens!$H$2829/Sens!$H$2814</f>
        <v>0.0791120790694313</v>
      </c>
      <c r="I2843" s="13" t="n">
        <f aca="false">Sens!$I$2829/Sens!$I$2814</f>
        <v>0.0776172543472565</v>
      </c>
      <c r="J2843" s="13" t="n">
        <f aca="false">Sens!$J$2829/Sens!$J$2814</f>
        <v>0.0761017131095362</v>
      </c>
      <c r="K2843" s="13" t="n">
        <f aca="false">Sens!$K$2829/Sens!$K$2814</f>
        <v>0.074402358237032</v>
      </c>
      <c r="L2843" s="13" t="n">
        <f aca="false">Sens!$L$2829/Sens!$L$2814</f>
        <v>0.0739475050518303</v>
      </c>
      <c r="M2843" s="13" t="n">
        <f aca="false">Sens!$M$2829/Sens!$M$2814</f>
        <v>0.0761483529214992</v>
      </c>
      <c r="N2843" s="13" t="n">
        <f aca="false">Sens!$N$2829/Sens!$N$2814</f>
        <v>0.069228576611127</v>
      </c>
      <c r="O2843" s="13" t="n">
        <f aca="false">Sens!$O$2829/Sens!$O$2814</f>
        <v>0.069685022498393</v>
      </c>
    </row>
    <row r="2844" customFormat="false" ht="17.15" hidden="false" customHeight="false" outlineLevel="0" collapsed="false">
      <c r="A2844" s="0" t="s">
        <v>733</v>
      </c>
      <c r="B2844" s="0" t="s">
        <v>52</v>
      </c>
      <c r="C2844" s="13" t="n">
        <f aca="false">Sens!$C$2834/Sens!$C$2815</f>
        <v>0.026534925055631</v>
      </c>
      <c r="D2844" s="13" t="n">
        <f aca="false">Sens!$D$2834/Sens!$D$2815</f>
        <v>0.0293401855535103</v>
      </c>
      <c r="E2844" s="13" t="n">
        <f aca="false">Sens!$E$2834/Sens!$E$2815</f>
        <v>0.03831141902276</v>
      </c>
      <c r="F2844" s="13" t="n">
        <f aca="false">Sens!$F$2834/Sens!$F$2815</f>
        <v>0.0281879991929692</v>
      </c>
      <c r="G2844" s="13" t="n">
        <f aca="false">Sens!$G$2834/Sens!$G$2815</f>
        <v>0.0327889852734636</v>
      </c>
      <c r="H2844" s="13" t="n">
        <f aca="false">Sens!$H$2834/Sens!$H$2815</f>
        <v>0.0302743533199704</v>
      </c>
      <c r="I2844" s="13" t="n">
        <f aca="false">Sens!$I$2834/Sens!$I$2815</f>
        <v>0.0267511048559561</v>
      </c>
      <c r="J2844" s="13" t="n">
        <f aca="false">Sens!$J$2834/Sens!$J$2815</f>
        <v>0.0231441604170912</v>
      </c>
      <c r="K2844" s="13" t="n">
        <f aca="false">Sens!$K$2834/Sens!$K$2815</f>
        <v>0.0192487602629345</v>
      </c>
      <c r="L2844" s="13" t="n">
        <f aca="false">Sens!$L$2834/Sens!$L$2815</f>
        <v>0.0191400503924687</v>
      </c>
      <c r="M2844" s="13" t="n">
        <f aca="false">Sens!$M$2834/Sens!$M$2815</f>
        <v>0.0216950485422645</v>
      </c>
      <c r="N2844" s="13" t="n">
        <f aca="false">Sens!$N$2834/Sens!$N$2815</f>
        <v>0.0357315650169337</v>
      </c>
      <c r="O2844" s="13" t="n">
        <f aca="false">Sens!$O$2834/Sens!$O$2815</f>
        <v>0.0244378956559703</v>
      </c>
    </row>
    <row r="2845" customFormat="false" ht="17.15" hidden="false" customHeight="false" outlineLevel="0" collapsed="false">
      <c r="A2845" s="14" t="s">
        <v>734</v>
      </c>
      <c r="B2845" s="14" t="s">
        <v>52</v>
      </c>
      <c r="C2845" s="17" t="n">
        <f aca="false">Sens!$C$2837/Sens!$C$2816</f>
        <v>0.370355907620217</v>
      </c>
      <c r="D2845" s="17" t="n">
        <f aca="false">Sens!$D$2837/Sens!$D$2816</f>
        <v>0.35429015342785</v>
      </c>
      <c r="E2845" s="17" t="n">
        <f aca="false">Sens!$E$2837/Sens!$E$2816</f>
        <v>0.385647527531039</v>
      </c>
      <c r="F2845" s="17" t="n">
        <f aca="false">Sens!$F$2837/Sens!$F$2816</f>
        <v>0.38950972036212</v>
      </c>
      <c r="G2845" s="17" t="n">
        <f aca="false">Sens!$G$2837/Sens!$G$2816</f>
        <v>0.387658903438727</v>
      </c>
      <c r="H2845" s="17" t="n">
        <f aca="false">Sens!$H$2837/Sens!$H$2816</f>
        <v>0.361975003689475</v>
      </c>
      <c r="I2845" s="17" t="n">
        <f aca="false">Sens!$I$2837/Sens!$I$2816</f>
        <v>0.346955345262401</v>
      </c>
      <c r="J2845" s="17" t="n">
        <f aca="false">Sens!$J$2837/Sens!$J$2816</f>
        <v>0.334958200775375</v>
      </c>
      <c r="K2845" s="17" t="n">
        <f aca="false">Sens!$K$2837/Sens!$K$2816</f>
        <v>0.317458352853144</v>
      </c>
      <c r="L2845" s="17" t="n">
        <f aca="false">Sens!$L$2837/Sens!$L$2816</f>
        <v>0.309674868819682</v>
      </c>
      <c r="M2845" s="17" t="n">
        <f aca="false">Sens!$M$2837/Sens!$M$2816</f>
        <v>0.303678208846221</v>
      </c>
      <c r="N2845" s="17" t="n">
        <f aca="false">Sens!$N$2837/Sens!$N$2816</f>
        <v>0.360941137346192</v>
      </c>
      <c r="O2845" s="17" t="n">
        <f aca="false">Sens!$O$2837/Sens!$O$2816</f>
        <v>0.348458117664212</v>
      </c>
    </row>
    <row r="2846" customFormat="false" ht="17.15" hidden="false" customHeight="false" outlineLevel="0" collapsed="false">
      <c r="A2846" s="0" t="s">
        <v>735</v>
      </c>
      <c r="B2846" s="0" t="s">
        <v>52</v>
      </c>
      <c r="C2846" s="13" t="n">
        <f aca="false">Sens!$C$2835/Sens!$C$2817</f>
        <v>0.764309733549586</v>
      </c>
      <c r="D2846" s="13" t="n">
        <f aca="false">Sens!$D$2835/Sens!$D$2817</f>
        <v>0.552484257134229</v>
      </c>
      <c r="E2846" s="13" t="n">
        <f aca="false">Sens!$E$2835/Sens!$E$2817</f>
        <v>0.326066498305403</v>
      </c>
      <c r="F2846" s="13" t="n">
        <f aca="false">Sens!$F$2835/Sens!$F$2817</f>
        <v>0.51242249883647</v>
      </c>
      <c r="G2846" s="13" t="n">
        <f aca="false">Sens!$G$2835/Sens!$G$2817</f>
        <v>0.44198342690276</v>
      </c>
      <c r="H2846" s="13" t="n">
        <f aca="false">Sens!$H$2835/Sens!$H$2817</f>
        <v>0.369859869374888</v>
      </c>
      <c r="I2846" s="13" t="n">
        <f aca="false">Sens!$I$2835/Sens!$I$2817</f>
        <v>0.328211491271908</v>
      </c>
      <c r="J2846" s="13" t="n">
        <f aca="false">Sens!$J$2835/Sens!$J$2817</f>
        <v>0.305149706401079</v>
      </c>
      <c r="K2846" s="13" t="n">
        <f aca="false">Sens!$K$2835/Sens!$K$2817</f>
        <v>0.272304668812619</v>
      </c>
      <c r="L2846" s="13" t="n">
        <f aca="false">Sens!$L$2835/Sens!$L$2817</f>
        <v>0.258228123181061</v>
      </c>
      <c r="M2846" s="13" t="n">
        <f aca="false">Sens!$M$2835/Sens!$M$2817</f>
        <v>0.244494841536445</v>
      </c>
      <c r="N2846" s="13" t="n">
        <f aca="false">Sens!$N$2835/Sens!$N$2817</f>
        <v>0.437065736374845</v>
      </c>
      <c r="O2846" s="13" t="n">
        <f aca="false">Sens!$O$2835/Sens!$O$2817</f>
        <v>0.614632691389282</v>
      </c>
    </row>
    <row r="2847" customFormat="false" ht="15" hidden="false" customHeight="false" outlineLevel="0" collapsed="false">
      <c r="A2847" s="5" t="s">
        <v>736</v>
      </c>
      <c r="B2847" s="0" t="s">
        <v>52</v>
      </c>
      <c r="C2847" s="13" t="n">
        <f aca="false">Sens!$C$2839/Sens!$C$2819</f>
        <v>0.107519448742004</v>
      </c>
      <c r="D2847" s="13" t="n">
        <f aca="false">Sens!$D$2839/Sens!$D$2819</f>
        <v>0.111552967957552</v>
      </c>
      <c r="E2847" s="13" t="n">
        <f aca="false">Sens!$E$2839/Sens!$E$2819</f>
        <v>0.13428328426562</v>
      </c>
      <c r="F2847" s="13" t="n">
        <f aca="false">Sens!$F$2839/Sens!$F$2819</f>
        <v>0.130040379647375</v>
      </c>
      <c r="G2847" s="13" t="n">
        <f aca="false">Sens!$G$2839/Sens!$G$2819</f>
        <v>0.13202266120129</v>
      </c>
      <c r="H2847" s="13" t="n">
        <f aca="false">Sens!$H$2839/Sens!$H$2819</f>
        <v>0.134764032944418</v>
      </c>
      <c r="I2847" s="13" t="n">
        <f aca="false">Sens!$I$2839/Sens!$I$2819</f>
        <v>0.137177964469696</v>
      </c>
      <c r="J2847" s="13" t="n">
        <f aca="false">Sens!$J$2839/Sens!$J$2819</f>
        <v>0.138517739514665</v>
      </c>
      <c r="K2847" s="13" t="n">
        <f aca="false">Sens!$K$2839/Sens!$K$2819</f>
        <v>0.136054924273192</v>
      </c>
      <c r="L2847" s="13" t="n">
        <f aca="false">Sens!$L$2839/Sens!$L$2819</f>
        <v>0.135308322023636</v>
      </c>
      <c r="M2847" s="13" t="n">
        <f aca="false">Sens!$M$2839/Sens!$M$2819</f>
        <v>0.135166712029742</v>
      </c>
      <c r="N2847" s="13" t="n">
        <f aca="false">Sens!$N$2839/Sens!$N$2819</f>
        <v>0.116201614873411</v>
      </c>
      <c r="O2847" s="13" t="n">
        <f aca="false">Sens!$O$2839/Sens!$O$2819</f>
        <v>0.107733353660861</v>
      </c>
    </row>
    <row r="2848" customFormat="false" ht="17.15" hidden="false" customHeight="false" outlineLevel="0" collapsed="false">
      <c r="A2848" s="1" t="s">
        <v>737</v>
      </c>
    </row>
    <row r="2849" customFormat="false" ht="17.15" hidden="false" customHeight="false" outlineLevel="0" collapsed="false">
      <c r="A2849" s="5" t="s">
        <v>738</v>
      </c>
      <c r="B2849" s="0" t="s">
        <v>52</v>
      </c>
      <c r="D2849" s="28" t="n">
        <f aca="false">(Q!$E$29+Q!$E$30-(1-ext_sh)*Sens!$D$2771)/Sens!$D$2727</f>
        <v>0.0334609512020143</v>
      </c>
    </row>
    <row r="2850" customFormat="false" ht="17.15" hidden="false" customHeight="false" outlineLevel="0" collapsed="false">
      <c r="A2850" s="0" t="s">
        <v>535</v>
      </c>
      <c r="B2850" s="0" t="s">
        <v>86</v>
      </c>
      <c r="C2850" s="38" t="n">
        <f aca="false">Q!$D$29</f>
        <v>14.285</v>
      </c>
      <c r="D2850" s="38" t="n">
        <f aca="false">Q!$E$29</f>
        <v>15.503</v>
      </c>
      <c r="E2850" s="38" t="n">
        <f aca="false">Q!$P$29</f>
        <v>8.78</v>
      </c>
      <c r="F2850" s="38" t="n">
        <f aca="false">(Sens!$D$2849*Sens!$F$2727+(1-ext_sh)*Sens!$F$2771)*Sens!$F$2728</f>
        <v>9.32764515896739</v>
      </c>
      <c r="G2850" s="38" t="n">
        <f aca="false">Sens!$E$2850+Sens!$F$2850</f>
        <v>18.1076451589674</v>
      </c>
      <c r="H2850" s="38" t="n">
        <f aca="false">(Sens!$D$2849*Sens!$H$2727+(1-ext_sh)*Sens!$H$2771)*Sens!$H$2728</f>
        <v>22.5690130197037</v>
      </c>
      <c r="I2850" s="38" t="n">
        <f aca="false">(Sens!$D$2849*Sens!$I$2727+(1-ext_sh)*Sens!$I$2771)*Sens!$I$2728</f>
        <v>28.2094633658109</v>
      </c>
      <c r="J2850" s="38" t="n">
        <f aca="false">(Sens!$D$2849*Sens!$J$2727+(1-ext_sh)*Sens!$J$2771)*Sens!$J$2728</f>
        <v>33.8789106943348</v>
      </c>
      <c r="K2850" s="38" t="n">
        <f aca="false">(Sens!$D$2849*Sens!$K$2727+(1-ext_sh)*Sens!$K$2771)*Sens!$K$2728</f>
        <v>39.4658655990726</v>
      </c>
      <c r="L2850" s="38" t="n">
        <f aca="false">(Sens!$D$2849*Sens!$L$2727+(1-ext_sh)*Sens!$L$2771)*Sens!$L$2728</f>
        <v>43.6360184004685</v>
      </c>
      <c r="M2850" s="38" t="n">
        <f aca="false">(Sens!$D$2849*Sens!$M$2727+(1-ext_sh)*Sens!$M$2771)*Sens!$M$2728</f>
        <v>46.7883414805333</v>
      </c>
      <c r="N2850" s="38" t="n">
        <f aca="false">Q!$N$29</f>
        <v>7.272</v>
      </c>
      <c r="O2850" s="38" t="n">
        <f aca="false">Q!$O$29</f>
        <v>8.231</v>
      </c>
    </row>
    <row r="2851" customFormat="false" ht="17.15" hidden="false" customHeight="false" outlineLevel="0" collapsed="false">
      <c r="A2851" s="0" t="s">
        <v>537</v>
      </c>
      <c r="B2851" s="0" t="s">
        <v>86</v>
      </c>
      <c r="C2851" s="38" t="n">
        <f aca="false">Q!$D$30</f>
        <v>4.462</v>
      </c>
      <c r="D2851" s="38" t="n">
        <f aca="false">Q!$E$30</f>
        <v>4.907</v>
      </c>
      <c r="E2851" s="38" t="n">
        <f aca="false">Q!$P$30</f>
        <v>2.57</v>
      </c>
      <c r="F2851" s="38" t="n">
        <f aca="false">(Sens!$D$2849*Sens!$F$2727+(1-ext_sh)*Sens!$F$2771)*(1-Sens!$F$2728)</f>
        <v>3.66230490449793</v>
      </c>
      <c r="G2851" s="38" t="n">
        <f aca="false">Sens!$E$2851+Sens!$F$2851</f>
        <v>6.23230490449793</v>
      </c>
      <c r="H2851" s="38" t="n">
        <f aca="false">(Sens!$D$2849*Sens!$H$2727+(1-ext_sh)*Sens!$H$2771)*(1-Sens!$H$2728)</f>
        <v>8.6447371586549</v>
      </c>
      <c r="I2851" s="38" t="n">
        <f aca="false">(Sens!$D$2849*Sens!$I$2727+(1-ext_sh)*Sens!$I$2771)*(1-Sens!$I$2728)</f>
        <v>10.8052308699205</v>
      </c>
      <c r="J2851" s="38" t="n">
        <f aca="false">(Sens!$D$2849*Sens!$J$2727+(1-ext_sh)*Sens!$J$2771)*(1-Sens!$J$2728)</f>
        <v>12.976831459948</v>
      </c>
      <c r="K2851" s="38" t="n">
        <f aca="false">(Sens!$D$2849*Sens!$K$2727+(1-ext_sh)*Sens!$K$2771)*(1-Sens!$K$2728)</f>
        <v>15.1168345086657</v>
      </c>
      <c r="L2851" s="38" t="n">
        <f aca="false">(Sens!$D$2849*Sens!$L$2727+(1-ext_sh)*Sens!$L$2771)*(1-Sens!$L$2728)</f>
        <v>16.7141518059717</v>
      </c>
      <c r="M2851" s="38" t="n">
        <f aca="false">(Sens!$D$2849*Sens!$M$2727+(1-ext_sh)*Sens!$M$2771)*(1-Sens!$M$2728)</f>
        <v>17.9216040079147</v>
      </c>
      <c r="N2851" s="38" t="n">
        <f aca="false">Q!$N$30</f>
        <v>2.316</v>
      </c>
      <c r="O2851" s="38" t="n">
        <f aca="false">Q!$O$30</f>
        <v>2.591</v>
      </c>
    </row>
    <row r="2852" customFormat="false" ht="17.15" hidden="false" customHeight="false" outlineLevel="0" collapsed="false">
      <c r="A2852" s="0" t="s">
        <v>538</v>
      </c>
      <c r="B2852" s="0" t="s">
        <v>86</v>
      </c>
      <c r="C2852" s="38" t="n">
        <f aca="false">Sens!$C$2783</f>
        <v>13.32</v>
      </c>
      <c r="D2852" s="38" t="n">
        <f aca="false">Sens!$D$2783</f>
        <v>21.45</v>
      </c>
      <c r="E2852" s="38" t="n">
        <f aca="false">Sens!$E$2783</f>
        <v>15.353</v>
      </c>
      <c r="F2852" s="38" t="n">
        <f aca="false">Sens!$F$2783</f>
        <v>16.1441422909436</v>
      </c>
      <c r="G2852" s="38" t="n">
        <f aca="false">Sens!$G$2783</f>
        <v>31.4971422909436</v>
      </c>
      <c r="H2852" s="38" t="n">
        <f aca="false">Sens!$H$2783</f>
        <v>52.6309714398576</v>
      </c>
      <c r="I2852" s="38" t="n">
        <f aca="false">Sens!$I$2783</f>
        <v>77.3167498665452</v>
      </c>
      <c r="J2852" s="38" t="n">
        <f aca="false">Sens!$J$2783</f>
        <v>102.760155308377</v>
      </c>
      <c r="K2852" s="38" t="n">
        <f aca="false">Sens!$K$2783</f>
        <v>128.637663753249</v>
      </c>
      <c r="L2852" s="38" t="n">
        <f aca="false">Sens!$L$2783</f>
        <v>146.349323657825</v>
      </c>
      <c r="M2852" s="38" t="n">
        <f aca="false">Sens!$M$2783</f>
        <v>158.078529933422</v>
      </c>
      <c r="N2852" s="38" t="n">
        <f aca="false">Sens!$N$2783</f>
        <v>9.234</v>
      </c>
      <c r="O2852" s="38" t="n">
        <f aca="false">Sens!$O$2783</f>
        <v>12.216</v>
      </c>
    </row>
    <row r="2853" customFormat="false" ht="17.15" hidden="false" customHeight="false" outlineLevel="0" collapsed="false">
      <c r="A2853" s="5" t="s">
        <v>739</v>
      </c>
      <c r="B2853" s="0" t="s">
        <v>86</v>
      </c>
      <c r="C2853" s="38" t="n">
        <f aca="false">Sens!$C$2850+Sens!$C$2851+Sens!$C$2852</f>
        <v>32.067</v>
      </c>
      <c r="D2853" s="38" t="n">
        <f aca="false">Sens!$D$2850+Sens!$D$2851+Sens!$D$2852</f>
        <v>41.86</v>
      </c>
      <c r="E2853" s="38" t="n">
        <f aca="false">Sens!$E$2850+Sens!$E$2851+Sens!$E$2852</f>
        <v>26.703</v>
      </c>
      <c r="F2853" s="38" t="n">
        <f aca="false">Sens!$F$2850+Sens!$F$2851+Sens!$F$2852</f>
        <v>29.1340923544089</v>
      </c>
      <c r="G2853" s="38" t="n">
        <f aca="false">Sens!$G$2850+Sens!$G$2851+Sens!$G$2852</f>
        <v>55.8370923544089</v>
      </c>
      <c r="H2853" s="38" t="n">
        <f aca="false">Sens!$H$2850+Sens!$H$2851+Sens!$H$2852</f>
        <v>83.8447216182162</v>
      </c>
      <c r="I2853" s="38" t="n">
        <f aca="false">Sens!$I$2850+Sens!$I$2851+Sens!$I$2852</f>
        <v>116.331444102277</v>
      </c>
      <c r="J2853" s="38" t="n">
        <f aca="false">Sens!$J$2850+Sens!$J$2851+Sens!$J$2852</f>
        <v>149.61589746266</v>
      </c>
      <c r="K2853" s="38" t="n">
        <f aca="false">Sens!$K$2850+Sens!$K$2851+Sens!$K$2852</f>
        <v>183.220363860988</v>
      </c>
      <c r="L2853" s="38" t="n">
        <f aca="false">Sens!$L$2850+Sens!$L$2851+Sens!$L$2852</f>
        <v>206.699493864265</v>
      </c>
      <c r="M2853" s="38" t="n">
        <f aca="false">Sens!$M$2850+Sens!$M$2851+Sens!$M$2852</f>
        <v>222.788475421869</v>
      </c>
      <c r="N2853" s="38" t="n">
        <f aca="false">Sens!$N$2850+Sens!$N$2851+Sens!$N$2852</f>
        <v>18.822</v>
      </c>
      <c r="O2853" s="38" t="n">
        <f aca="false">Sens!$O$2850+Sens!$O$2851+Sens!$O$2852</f>
        <v>23.038</v>
      </c>
    </row>
    <row r="2854" customFormat="false" ht="17.15" hidden="false" customHeight="false" outlineLevel="0" collapsed="false">
      <c r="A2854" s="0" t="s">
        <v>740</v>
      </c>
      <c r="B2854" s="0" t="s">
        <v>86</v>
      </c>
      <c r="C2854" s="38" t="n">
        <f aca="false">Sens!$C$2825+Sens!$C$2830</f>
        <v>28.107</v>
      </c>
      <c r="D2854" s="38" t="n">
        <f aca="false">Sens!$D$2825+Sens!$D$2830</f>
        <v>34.3175</v>
      </c>
      <c r="E2854" s="38" t="n">
        <f aca="false">Sens!$E$2825+Sens!$E$2830</f>
        <v>18.526</v>
      </c>
      <c r="F2854" s="38" t="n">
        <f aca="false">Sens!$F$2825+Sens!$F$2830</f>
        <v>23.0779107087454</v>
      </c>
      <c r="G2854" s="38" t="n">
        <f aca="false">Sens!$G$2825+Sens!$G$2830</f>
        <v>41.6039107087454</v>
      </c>
      <c r="H2854" s="38" t="n">
        <f aca="false">Sens!$H$2825+Sens!$H$2830</f>
        <v>49.9476204618706</v>
      </c>
      <c r="I2854" s="38" t="n">
        <f aca="false">Sens!$I$2825+Sens!$I$2830</f>
        <v>58.290574384776</v>
      </c>
      <c r="J2854" s="38" t="n">
        <f aca="false">Sens!$J$2825+Sens!$J$2830</f>
        <v>66.0733588060369</v>
      </c>
      <c r="K2854" s="38" t="n">
        <f aca="false">Sens!$K$2825+Sens!$K$2830</f>
        <v>72.6806946866406</v>
      </c>
      <c r="L2854" s="38" t="n">
        <f aca="false">Sens!$L$2825+Sens!$L$2830</f>
        <v>79.9487641553046</v>
      </c>
      <c r="M2854" s="38" t="n">
        <f aca="false">Sens!$M$2825+Sens!$M$2830</f>
        <v>87.9436405708351</v>
      </c>
      <c r="N2854" s="38" t="n">
        <f aca="false">Sens!$N$2825+Sens!$N$2830</f>
        <v>14.8075</v>
      </c>
      <c r="O2854" s="38" t="n">
        <f aca="false">Sens!$O$2825+Sens!$O$2830</f>
        <v>19.51</v>
      </c>
    </row>
    <row r="2855" customFormat="false" ht="17.15" hidden="false" customHeight="false" outlineLevel="0" collapsed="false">
      <c r="A2855" s="0" t="s">
        <v>741</v>
      </c>
      <c r="B2855" s="0" t="s">
        <v>86</v>
      </c>
      <c r="C2855" s="38" t="n">
        <f aca="false">Sens!$C$2829+Sens!$C$2834+Sens!$C$2850+Sens!$C$2851-Sens!$C$2854</f>
        <v>19.399</v>
      </c>
      <c r="D2855" s="38" t="n">
        <f aca="false">Sens!$D$2829+Sens!$D$2834+Sens!$D$2850+Sens!$D$2851-Sens!$D$2854</f>
        <v>20.4615</v>
      </c>
      <c r="E2855" s="38" t="n">
        <f aca="false">Sens!$E$2829+Sens!$E$2834+Sens!$E$2850+Sens!$E$2851-Sens!$E$2854</f>
        <v>13.355</v>
      </c>
      <c r="F2855" s="38" t="n">
        <f aca="false">Sens!$F$2829+Sens!$F$2834+Sens!$F$2850+Sens!$F$2851-Sens!$F$2854</f>
        <v>12.793794602315</v>
      </c>
      <c r="G2855" s="38" t="n">
        <f aca="false">Sens!$G$2829+Sens!$G$2834+Sens!$G$2850+Sens!$G$2851-Sens!$G$2854</f>
        <v>26.148794602315</v>
      </c>
      <c r="H2855" s="38" t="n">
        <f aca="false">Sens!$H$2829+Sens!$H$2834+Sens!$H$2850+Sens!$H$2851-Sens!$H$2854</f>
        <v>28.5594600625061</v>
      </c>
      <c r="I2855" s="38" t="n">
        <f aca="false">Sens!$I$2829+Sens!$I$2834+Sens!$I$2850+Sens!$I$2851-Sens!$I$2854</f>
        <v>30.8183632549061</v>
      </c>
      <c r="J2855" s="38" t="n">
        <f aca="false">Sens!$J$2829+Sens!$J$2834+Sens!$J$2850+Sens!$J$2851-Sens!$J$2854</f>
        <v>33.0693497034491</v>
      </c>
      <c r="K2855" s="38" t="n">
        <f aca="false">Sens!$K$2829+Sens!$K$2834+Sens!$K$2850+Sens!$K$2851-Sens!$K$2854</f>
        <v>35.4810016334363</v>
      </c>
      <c r="L2855" s="38" t="n">
        <f aca="false">Sens!$L$2829+Sens!$L$2834+Sens!$L$2850+Sens!$L$2851-Sens!$L$2854</f>
        <v>37.1174834478323</v>
      </c>
      <c r="M2855" s="38" t="n">
        <f aca="false">Sens!$M$2829+Sens!$M$2834+Sens!$M$2850+Sens!$M$2851-Sens!$M$2854</f>
        <v>39.5515554877311</v>
      </c>
      <c r="N2855" s="38" t="n">
        <f aca="false">Sens!$N$2829+Sens!$N$2834+Sens!$N$2850+Sens!$N$2851-Sens!$N$2854</f>
        <v>10.6495</v>
      </c>
      <c r="O2855" s="38" t="n">
        <f aca="false">Sens!$O$2829+Sens!$O$2834+Sens!$O$2850+Sens!$O$2851-Sens!$O$2854</f>
        <v>9.81200000000001</v>
      </c>
    </row>
    <row r="2856" customFormat="false" ht="17.15" hidden="false" customHeight="false" outlineLevel="0" collapsed="false">
      <c r="A2856" s="0" t="s">
        <v>742</v>
      </c>
      <c r="B2856" s="0" t="s">
        <v>86</v>
      </c>
      <c r="C2856" s="38" t="n">
        <f aca="false">Sens!$C$2836+Sens!$C$2852-ext_sh*Sens!$C$2771</f>
        <v>50.7834399839246</v>
      </c>
      <c r="D2856" s="38" t="n">
        <f aca="false">Sens!$D$2836+Sens!$D$2852-ext_sh*Sens!$D$2771</f>
        <v>58.1663999397174</v>
      </c>
      <c r="E2856" s="38" t="n">
        <f aca="false">Sens!$E$2836+Sens!$E$2852-ext_sh*Sens!$E$2771</f>
        <v>37.4429466077237</v>
      </c>
      <c r="F2856" s="38" t="n">
        <f aca="false">Sens!$F$2836+Sens!$F$2852-ext_sh*Sens!$F$2771</f>
        <v>35.7691426507891</v>
      </c>
      <c r="G2856" s="38" t="n">
        <f aca="false">Sens!$G$2836+Sens!$G$2852-ext_sh*Sens!$G$2771</f>
        <v>73.2120892585128</v>
      </c>
      <c r="H2856" s="38" t="n">
        <f aca="false">Sens!$H$2836+Sens!$H$2852-ext_sh*Sens!$H$2771</f>
        <v>79.6989507267192</v>
      </c>
      <c r="I2856" s="38" t="n">
        <f aca="false">Sens!$I$2836+Sens!$I$2852-ext_sh*Sens!$I$2771</f>
        <v>87.9261075704843</v>
      </c>
      <c r="J2856" s="38" t="n">
        <f aca="false">Sens!$J$2836+Sens!$J$2852-ext_sh*Sens!$J$2771</f>
        <v>95.9813664360307</v>
      </c>
      <c r="K2856" s="38" t="n">
        <f aca="false">Sens!$K$2836+Sens!$K$2852-ext_sh*Sens!$K$2771</f>
        <v>103.659875750913</v>
      </c>
      <c r="L2856" s="38" t="n">
        <f aca="false">Sens!$L$2836+Sens!$L$2852-ext_sh*Sens!$L$2771</f>
        <v>111.952665810986</v>
      </c>
      <c r="M2856" s="38" t="n">
        <f aca="false">Sens!$M$2836+Sens!$M$2852-ext_sh*Sens!$M$2771</f>
        <v>120.908879075865</v>
      </c>
      <c r="N2856" s="38" t="n">
        <f aca="false">Sens!$N$2836+Sens!$N$2852-ext_sh*Sens!$N$2771</f>
        <v>27.8296399789011</v>
      </c>
      <c r="O2856" s="38" t="n">
        <f aca="false">Sens!$O$2836+Sens!$O$2852-ext_sh*Sens!$O$2771</f>
        <v>30.3367599608163</v>
      </c>
    </row>
    <row r="2857" customFormat="false" ht="17.15" hidden="false" customHeight="false" outlineLevel="0" collapsed="false">
      <c r="A2857" s="0" t="s">
        <v>743</v>
      </c>
      <c r="B2857" s="0" t="s">
        <v>86</v>
      </c>
      <c r="C2857" s="38" t="n">
        <f aca="false">Sens!$C$2774</f>
        <v>2.37056001607536</v>
      </c>
      <c r="D2857" s="38" t="n">
        <f aca="false">Sens!$D$2774</f>
        <v>8.8896000602826</v>
      </c>
      <c r="E2857" s="38" t="n">
        <f aca="false">Sens!$E$2774</f>
        <v>8.69205339227632</v>
      </c>
      <c r="F2857" s="38" t="n">
        <f aca="false">Sens!$F$2774</f>
        <v>14.1623678356515</v>
      </c>
      <c r="G2857" s="38" t="n">
        <f aca="false">Sens!$G$2774</f>
        <v>22.8544212279278</v>
      </c>
      <c r="H2857" s="38" t="n">
        <f aca="false">Sens!$H$2774</f>
        <v>52.4017929456071</v>
      </c>
      <c r="I2857" s="38" t="n">
        <f aca="false">Sens!$I$2774</f>
        <v>85.4385895039285</v>
      </c>
      <c r="J2857" s="38" t="n">
        <f aca="false">Sens!$J$2774</f>
        <v>118.643937074445</v>
      </c>
      <c r="K2857" s="38" t="n">
        <f aca="false">Sens!$K$2774</f>
        <v>146.969031731731</v>
      </c>
      <c r="L2857" s="38" t="n">
        <f aca="false">Sens!$L$2774</f>
        <v>165.584266397602</v>
      </c>
      <c r="M2857" s="38" t="n">
        <f aca="false">Sens!$M$2774</f>
        <v>174.462227381355</v>
      </c>
      <c r="N2857" s="38" t="n">
        <f aca="false">Sens!$N$2774</f>
        <v>3.11136002109891</v>
      </c>
      <c r="O2857" s="38" t="n">
        <f aca="false">Sens!$O$2774</f>
        <v>5.77824003918369</v>
      </c>
    </row>
    <row r="2858" customFormat="false" ht="17.15" hidden="false" customHeight="false" outlineLevel="0" collapsed="false">
      <c r="A2858" s="0" t="s">
        <v>744</v>
      </c>
      <c r="B2858" s="0" t="s">
        <v>86</v>
      </c>
      <c r="C2858" s="38" t="n">
        <f aca="false">Sens!$C$2839+Sens!$C$2853</f>
        <v>100.66</v>
      </c>
      <c r="D2858" s="38" t="n">
        <f aca="false">Sens!$D$2839+Sens!$D$2853</f>
        <v>121.835</v>
      </c>
      <c r="E2858" s="38" t="n">
        <f aca="false">Sens!$E$2839+Sens!$E$2853</f>
        <v>78.016</v>
      </c>
      <c r="F2858" s="38" t="n">
        <f aca="false">Sens!$F$2839+Sens!$F$2853</f>
        <v>85.803215797501</v>
      </c>
      <c r="G2858" s="38" t="n">
        <f aca="false">Sens!$G$2839+Sens!$G$2853</f>
        <v>163.819215797501</v>
      </c>
      <c r="H2858" s="38" t="n">
        <f aca="false">Sens!$H$2839+Sens!$H$2853</f>
        <v>210.607824196703</v>
      </c>
      <c r="I2858" s="38" t="n">
        <f aca="false">Sens!$I$2839+Sens!$I$2853</f>
        <v>262.473634714095</v>
      </c>
      <c r="J2858" s="38" t="n">
        <f aca="false">Sens!$J$2839+Sens!$J$2853</f>
        <v>313.768012019962</v>
      </c>
      <c r="K2858" s="38" t="n">
        <f aca="false">Sens!$K$2839+Sens!$K$2853</f>
        <v>358.790603802721</v>
      </c>
      <c r="L2858" s="38" t="n">
        <f aca="false">Sens!$L$2839+Sens!$L$2853</f>
        <v>394.603179811725</v>
      </c>
      <c r="M2858" s="38" t="n">
        <f aca="false">Sens!$M$2839+Sens!$M$2853</f>
        <v>422.866302515786</v>
      </c>
      <c r="N2858" s="38" t="n">
        <f aca="false">Sens!$N$2839+Sens!$N$2853</f>
        <v>56.398</v>
      </c>
      <c r="O2858" s="38" t="n">
        <f aca="false">Sens!$O$2839+Sens!$O$2853</f>
        <v>65.437</v>
      </c>
    </row>
    <row r="2859" customFormat="false" ht="17.15" hidden="false" customHeight="false" outlineLevel="0" collapsed="false">
      <c r="A2859" s="1" t="s">
        <v>745</v>
      </c>
    </row>
    <row r="2860" customFormat="false" ht="15" hidden="false" customHeight="false" outlineLevel="0" collapsed="false">
      <c r="A2860" s="5" t="s">
        <v>541</v>
      </c>
      <c r="B2860" s="0" t="s">
        <v>86</v>
      </c>
      <c r="C2860" s="38" t="n">
        <f aca="false">Q!$D$34</f>
        <v>2.406</v>
      </c>
      <c r="D2860" s="38" t="n">
        <f aca="false">Q!$E$34</f>
        <v>2.274</v>
      </c>
      <c r="E2860" s="38" t="n">
        <f aca="false">Q!$P$34</f>
        <v>2.114</v>
      </c>
      <c r="F2860" s="38" t="n">
        <f aca="false">Sens!$F$2898</f>
        <v>3.24888962733561</v>
      </c>
      <c r="G2860" s="38" t="n">
        <f aca="false">Sens!$E$2860+Sens!$F$2860</f>
        <v>5.36288962733561</v>
      </c>
      <c r="H2860" s="38" t="n">
        <f aca="false">Sens!$H$2898</f>
        <v>7.42354172302123</v>
      </c>
      <c r="I2860" s="38" t="n">
        <f aca="false">Sens!$I$2898</f>
        <v>8.21111966388271</v>
      </c>
      <c r="J2860" s="38" t="n">
        <f aca="false">Sens!$J$2898</f>
        <v>9.19614043991559</v>
      </c>
      <c r="K2860" s="38" t="n">
        <f aca="false">Sens!$K$2898</f>
        <v>9.19614043991559</v>
      </c>
      <c r="L2860" s="38" t="n">
        <f aca="false">Sens!$L$2898</f>
        <v>9.19614043991559</v>
      </c>
      <c r="M2860" s="38" t="n">
        <f aca="false">Sens!$M$2898</f>
        <v>9.19614043991559</v>
      </c>
      <c r="N2860" s="38" t="n">
        <f aca="false">Q!$N$34</f>
        <v>1.057</v>
      </c>
      <c r="O2860" s="38" t="n">
        <f aca="false">Q!$O$34</f>
        <v>1.217</v>
      </c>
    </row>
    <row r="2861" customFormat="false" ht="15" hidden="false" customHeight="false" outlineLevel="0" collapsed="false">
      <c r="A2861" s="5" t="s">
        <v>746</v>
      </c>
      <c r="B2861" s="0" t="s">
        <v>86</v>
      </c>
      <c r="F2861" s="38" t="n">
        <f aca="false">Sens!$F$2899</f>
        <v>2.59</v>
      </c>
      <c r="H2861" s="38" t="n">
        <f aca="false">Sens!$H$2899</f>
        <v>3.82845925753931</v>
      </c>
      <c r="I2861" s="38" t="n">
        <f aca="false">Sens!$I$2899</f>
        <v>2.10589651022864</v>
      </c>
      <c r="J2861" s="38" t="n">
        <f aca="false">Sens!$J$2899</f>
        <v>2.10589651022864</v>
      </c>
      <c r="K2861" s="38" t="n">
        <f aca="false">Sens!$K$2899</f>
        <v>3.12313026033929</v>
      </c>
      <c r="L2861" s="38" t="n">
        <f aca="false">Sens!$L$2899</f>
        <v>8.19138379482747</v>
      </c>
      <c r="M2861" s="38" t="n">
        <f aca="false">Sens!$M$2899</f>
        <v>15.703049870616</v>
      </c>
    </row>
    <row r="2862" customFormat="false" ht="17.15" hidden="false" customHeight="false" outlineLevel="0" collapsed="false">
      <c r="A2862" s="5" t="s">
        <v>747</v>
      </c>
      <c r="B2862" s="0" t="s">
        <v>86</v>
      </c>
      <c r="C2862" s="38" t="n">
        <f aca="false">Q!$D$39</f>
        <v>2.427</v>
      </c>
      <c r="D2862" s="38" t="n">
        <f aca="false">Q!$E$39</f>
        <v>19.61</v>
      </c>
      <c r="E2862" s="38" t="n">
        <f aca="false">Q!$P$39</f>
        <v>71.492</v>
      </c>
      <c r="F2862" s="39" t="n">
        <v>0</v>
      </c>
      <c r="G2862" s="38" t="n">
        <f aca="false">Sens!$E$2862+Sens!$F$2862</f>
        <v>71.492</v>
      </c>
      <c r="H2862" s="39" t="n">
        <v>0</v>
      </c>
      <c r="I2862" s="39" t="n">
        <v>0</v>
      </c>
      <c r="J2862" s="39" t="n">
        <v>0</v>
      </c>
      <c r="K2862" s="39" t="n">
        <v>0</v>
      </c>
      <c r="L2862" s="39" t="n">
        <v>0</v>
      </c>
      <c r="M2862" s="39" t="n">
        <v>0</v>
      </c>
      <c r="N2862" s="38" t="n">
        <f aca="false">Q!$N$39</f>
        <v>6.017</v>
      </c>
      <c r="O2862" s="38" t="n">
        <f aca="false">Q!$O$39</f>
        <v>13.593</v>
      </c>
      <c r="P2862" s="5" t="s">
        <v>748</v>
      </c>
    </row>
    <row r="2863" customFormat="false" ht="15" hidden="false" customHeight="false" outlineLevel="0" collapsed="false">
      <c r="A2863" s="5" t="s">
        <v>544</v>
      </c>
      <c r="B2863" s="0" t="s">
        <v>86</v>
      </c>
      <c r="C2863" s="38" t="n">
        <f aca="false">Q!$D$36</f>
        <v>68.614</v>
      </c>
      <c r="D2863" s="38" t="n">
        <f aca="false">Q!$E$36</f>
        <v>97.311</v>
      </c>
      <c r="E2863" s="38" t="n">
        <f aca="false">Q!$P$36</f>
        <v>120.691</v>
      </c>
      <c r="F2863" s="38" t="n">
        <f aca="false">Sens!$F$2839-Sens!$F$2860+Sens!$F$2861+Sens!$F$2862</f>
        <v>56.0102338157565</v>
      </c>
      <c r="G2863" s="38" t="n">
        <f aca="false">Sens!$E$2863+Sens!$F$2863</f>
        <v>176.701233815757</v>
      </c>
      <c r="H2863" s="38" t="n">
        <f aca="false">Sens!$H$2839-Sens!$H$2860+Sens!$H$2861+Sens!$H$2862</f>
        <v>123.168020113005</v>
      </c>
      <c r="I2863" s="38" t="n">
        <f aca="false">Sens!$I$2839-Sens!$I$2860+Sens!$I$2861+Sens!$I$2862</f>
        <v>140.036967458164</v>
      </c>
      <c r="J2863" s="38" t="n">
        <f aca="false">Sens!$J$2839-Sens!$J$2860+Sens!$J$2861+Sens!$J$2862</f>
        <v>157.061870627615</v>
      </c>
      <c r="K2863" s="38" t="n">
        <f aca="false">Sens!$K$2839-Sens!$K$2860+Sens!$K$2861+Sens!$K$2862</f>
        <v>169.497229762157</v>
      </c>
      <c r="L2863" s="38" t="n">
        <f aca="false">Sens!$L$2839-Sens!$L$2860+Sens!$L$2861+Sens!$L$2862</f>
        <v>186.898929302372</v>
      </c>
      <c r="M2863" s="38" t="n">
        <f aca="false">Sens!$M$2839-Sens!$M$2860+Sens!$M$2861+Sens!$M$2862</f>
        <v>206.584736524617</v>
      </c>
      <c r="N2863" s="38" t="n">
        <f aca="false">Q!$N$36</f>
        <v>42.536</v>
      </c>
      <c r="O2863" s="38" t="n">
        <f aca="false">Q!$O$36</f>
        <v>54.775</v>
      </c>
    </row>
    <row r="2864" customFormat="false" ht="15" hidden="false" customHeight="false" outlineLevel="0" collapsed="false">
      <c r="A2864" s="5" t="s">
        <v>545</v>
      </c>
      <c r="B2864" s="0" t="s">
        <v>86</v>
      </c>
      <c r="C2864" s="38" t="n">
        <f aca="false">Q!$D$37</f>
        <v>9.265</v>
      </c>
      <c r="D2864" s="38" t="n">
        <f aca="false">Q!$E$37</f>
        <v>19.087</v>
      </c>
      <c r="E2864" s="38" t="n">
        <f aca="false">Q!$P$37</f>
        <v>27.759</v>
      </c>
      <c r="F2864" s="38" t="n">
        <f aca="false">Sens!$F$2863*tax</f>
        <v>9.72250992284106</v>
      </c>
      <c r="G2864" s="38" t="n">
        <f aca="false">Sens!$E$2864+Sens!$F$2864</f>
        <v>37.4815099228411</v>
      </c>
      <c r="H2864" s="38" t="n">
        <f aca="false">Sens!$H$2863*tax</f>
        <v>21.3800624661649</v>
      </c>
      <c r="I2864" s="38" t="n">
        <f aca="false">Sens!$I$2863*tax</f>
        <v>24.3082507056694</v>
      </c>
      <c r="J2864" s="38" t="n">
        <f aca="false">Sens!$J$2863*tax</f>
        <v>27.2635104631074</v>
      </c>
      <c r="K2864" s="38" t="n">
        <f aca="false">Sens!$K$2863*tax</f>
        <v>29.4220963918393</v>
      </c>
      <c r="L2864" s="38" t="n">
        <f aca="false">Sens!$L$2863*tax</f>
        <v>32.4427621689288</v>
      </c>
      <c r="M2864" s="38" t="n">
        <f aca="false">Sens!$M$2863*tax</f>
        <v>35.8599136967551</v>
      </c>
      <c r="N2864" s="38" t="n">
        <f aca="false">Q!$N$37</f>
        <v>7.231</v>
      </c>
      <c r="O2864" s="38" t="n">
        <f aca="false">Q!$O$37</f>
        <v>11.856</v>
      </c>
    </row>
    <row r="2865" customFormat="false" ht="15" hidden="false" customHeight="false" outlineLevel="0" collapsed="false">
      <c r="A2865" s="3" t="s">
        <v>546</v>
      </c>
      <c r="B2865" s="8" t="s">
        <v>86</v>
      </c>
      <c r="C2865" s="38" t="n">
        <f aca="false">Q!$D$38</f>
        <v>59.248</v>
      </c>
      <c r="D2865" s="38" t="n">
        <f aca="false">Q!$E$38</f>
        <v>77.67</v>
      </c>
      <c r="E2865" s="38" t="n">
        <f aca="false">Q!$P$38</f>
        <v>92.902</v>
      </c>
      <c r="F2865" s="38" t="n">
        <f aca="false">Sens!$F$2863-Sens!$F$2864</f>
        <v>46.2877238929154</v>
      </c>
      <c r="G2865" s="38" t="n">
        <f aca="false">Sens!$E$2865+Sens!$F$2865</f>
        <v>139.189723892915</v>
      </c>
      <c r="H2865" s="38" t="n">
        <f aca="false">Sens!$H$2863-Sens!$H$2864</f>
        <v>101.78795764684</v>
      </c>
      <c r="I2865" s="38" t="n">
        <f aca="false">Sens!$I$2863-Sens!$I$2864</f>
        <v>115.728716752495</v>
      </c>
      <c r="J2865" s="38" t="n">
        <f aca="false">Sens!$J$2863-Sens!$J$2864</f>
        <v>129.798360164508</v>
      </c>
      <c r="K2865" s="38" t="n">
        <f aca="false">Sens!$K$2863-Sens!$K$2864</f>
        <v>140.075133370318</v>
      </c>
      <c r="L2865" s="38" t="n">
        <f aca="false">Sens!$L$2863-Sens!$L$2864</f>
        <v>154.456167133443</v>
      </c>
      <c r="M2865" s="38" t="n">
        <f aca="false">Sens!$M$2863-Sens!$M$2864</f>
        <v>170.724822827862</v>
      </c>
      <c r="N2865" s="38" t="n">
        <f aca="false">Q!$N$38</f>
        <v>35.291</v>
      </c>
      <c r="O2865" s="38" t="n">
        <f aca="false">Q!$O$38</f>
        <v>42.379</v>
      </c>
    </row>
    <row r="2866" customFormat="false" ht="17.15" hidden="false" customHeight="false" outlineLevel="0" collapsed="false">
      <c r="A2866" s="5" t="s">
        <v>549</v>
      </c>
      <c r="B2866" s="5" t="s">
        <v>33</v>
      </c>
      <c r="C2866" s="22" t="n">
        <f aca="false">Q!$D$41</f>
        <v>10.721</v>
      </c>
      <c r="D2866" s="22" t="n">
        <f aca="false">Q!$E$41</f>
        <v>10.827</v>
      </c>
      <c r="E2866" s="22" t="n">
        <f aca="false">(Q!$L$41+Q!$M$41)/2</f>
        <v>10.8885</v>
      </c>
      <c r="F2866" s="22" t="n">
        <f aca="false">Sens!$G$2866</f>
        <v>10.924806</v>
      </c>
      <c r="G2866" s="22" t="n">
        <f aca="false">Q!$M$41*(1+sh_g*0.25)</f>
        <v>10.924806</v>
      </c>
      <c r="H2866" s="22" t="n">
        <f aca="false">Sens!$G$2866*(1+sh_g)</f>
        <v>11.012204448</v>
      </c>
      <c r="I2866" s="22" t="n">
        <f aca="false">Sens!$H$2866*(1+sh_g)</f>
        <v>11.100302083584</v>
      </c>
      <c r="J2866" s="22" t="n">
        <f aca="false">Sens!$I$2866*(1+sh_g)</f>
        <v>11.1891045002527</v>
      </c>
      <c r="K2866" s="22" t="n">
        <f aca="false">Sens!$J$2866*(1+sh_g)</f>
        <v>11.2786173362547</v>
      </c>
      <c r="L2866" s="22" t="n">
        <f aca="false">Sens!$K$2866*(1+sh_g)</f>
        <v>11.3688462749447</v>
      </c>
      <c r="M2866" s="22" t="n">
        <f aca="false">Sens!$L$2866*(1+sh_g)</f>
        <v>11.4597970451443</v>
      </c>
      <c r="P2866" s="5" t="s">
        <v>749</v>
      </c>
    </row>
    <row r="2867" customFormat="false" ht="17.15" hidden="false" customHeight="false" outlineLevel="0" collapsed="false">
      <c r="A2867" s="5" t="s">
        <v>750</v>
      </c>
      <c r="B2867" s="0" t="s">
        <v>86</v>
      </c>
      <c r="C2867" s="38" t="n">
        <f aca="false">Sens!$C$2865+Sens!$C$2841*(1-tax)</f>
        <v>59.248</v>
      </c>
      <c r="D2867" s="38" t="n">
        <f aca="false">Sens!$D$2865+Sens!$D$2841*(1-tax)</f>
        <v>77.67</v>
      </c>
      <c r="E2867" s="38" t="n">
        <f aca="false">Sens!$E$2865+Sens!$E$2841*(1-tax)</f>
        <v>92.902</v>
      </c>
      <c r="F2867" s="38" t="n">
        <f aca="false">Sens!$F$2865+Sens!$F$2841*(1-tax)</f>
        <v>49.4043188525641</v>
      </c>
      <c r="G2867" s="38" t="n">
        <f aca="false">Sens!$G$2865+Sens!$G$2841*(1-tax)</f>
        <v>142.306318852564</v>
      </c>
      <c r="H2867" s="38" t="n">
        <f aca="false">Sens!$H$2865+Sens!$H$2841*(1-tax)</f>
        <v>114.319353602185</v>
      </c>
      <c r="I2867" s="38" t="n">
        <f aca="false">Sens!$I$2865+Sens!$I$2841*(1-tax)</f>
        <v>136.869981827434</v>
      </c>
      <c r="J2867" s="38" t="n">
        <f aca="false">Sens!$J$2865+Sens!$J$2841*(1-tax)</f>
        <v>159.587797108792</v>
      </c>
      <c r="K2867" s="38" t="n">
        <f aca="false">Sens!$K$2865+Sens!$K$2841*(1-tax)</f>
        <v>177.242439066977</v>
      </c>
      <c r="L2867" s="38" t="n">
        <f aca="false">Sens!$L$2865+Sens!$L$2841*(1-tax)</f>
        <v>196.472244473999</v>
      </c>
      <c r="M2867" s="38" t="n">
        <f aca="false">Sens!$M$2865+Sens!$M$2841*(1-tax)</f>
        <v>215.054345018703</v>
      </c>
      <c r="N2867" s="38" t="n">
        <f aca="false">Sens!$N$2865+Sens!$N$2841*(1-tax)</f>
        <v>35.291</v>
      </c>
      <c r="O2867" s="38" t="n">
        <f aca="false">Sens!$O$2865+Sens!$O$2841*(1-tax)</f>
        <v>42.379</v>
      </c>
    </row>
    <row r="2868" customFormat="false" ht="17.15" hidden="false" customHeight="false" outlineLevel="0" collapsed="false">
      <c r="A2868" s="43" t="s">
        <v>751</v>
      </c>
      <c r="B2868" s="14" t="s">
        <v>27</v>
      </c>
      <c r="C2868" s="44" t="n">
        <f aca="false">Sens!$C$2867/Sens!$C$2866</f>
        <v>5.52635015390355</v>
      </c>
      <c r="D2868" s="44" t="n">
        <f aca="false">Sens!$D$2867/Sens!$D$2866</f>
        <v>7.1737323358271</v>
      </c>
      <c r="E2868" s="44" t="n">
        <f aca="false">Sens!$E$2867/Sens!$E$2866</f>
        <v>8.53212104513937</v>
      </c>
      <c r="F2868" s="14"/>
      <c r="G2868" s="44" t="n">
        <f aca="false">Sens!$G$2867/Sens!$G$2866</f>
        <v>13.0259813174316</v>
      </c>
      <c r="H2868" s="44" t="n">
        <f aca="false">Sens!$H$2867/Sens!$H$2866</f>
        <v>10.3811506716938</v>
      </c>
      <c r="I2868" s="44" t="n">
        <f aca="false">Sens!$I$2867/Sens!$I$2866</f>
        <v>12.3302934277661</v>
      </c>
      <c r="J2868" s="44" t="n">
        <f aca="false">Sens!$J$2867/Sens!$J$2866</f>
        <v>14.2627854718121</v>
      </c>
      <c r="K2868" s="44" t="n">
        <f aca="false">Sens!$K$2867/Sens!$K$2866</f>
        <v>15.7149084664161</v>
      </c>
      <c r="L2868" s="44" t="n">
        <f aca="false">Sens!$L$2867/Sens!$L$2866</f>
        <v>17.2816343648691</v>
      </c>
      <c r="M2868" s="44" t="n">
        <f aca="false">Sens!$M$2867/Sens!$M$2866</f>
        <v>18.7659819952767</v>
      </c>
      <c r="N2868" s="14"/>
      <c r="O2868" s="14"/>
    </row>
    <row r="2869" customFormat="false" ht="17.15" hidden="false" customHeight="false" outlineLevel="0" collapsed="false">
      <c r="A2869" s="0" t="s">
        <v>752</v>
      </c>
      <c r="B2869" s="0" t="s">
        <v>27</v>
      </c>
      <c r="C2869" s="30" t="n">
        <f aca="false">Sens!$C$2865/Sens!$C$2866</f>
        <v>5.52635015390355</v>
      </c>
      <c r="D2869" s="30" t="n">
        <f aca="false">Sens!$D$2865/Sens!$D$2866</f>
        <v>7.1737323358271</v>
      </c>
      <c r="E2869" s="30" t="n">
        <f aca="false">Sens!$E$2865/Sens!$E$2866</f>
        <v>8.53212104513937</v>
      </c>
      <c r="G2869" s="30" t="n">
        <f aca="false">Sens!$G$2865/Sens!$G$2866</f>
        <v>12.7407044017912</v>
      </c>
      <c r="H2869" s="30" t="n">
        <f aca="false">Sens!$H$2865/Sens!$H$2866</f>
        <v>9.24319541355103</v>
      </c>
      <c r="I2869" s="30" t="n">
        <f aca="false">Sens!$I$2865/Sens!$I$2866</f>
        <v>10.4257267848272</v>
      </c>
      <c r="J2869" s="30" t="n">
        <f aca="false">Sens!$J$2865/Sens!$J$2866</f>
        <v>11.600424337942</v>
      </c>
      <c r="K2869" s="30" t="n">
        <f aca="false">Sens!$K$2865/Sens!$K$2866</f>
        <v>12.4195306210143</v>
      </c>
      <c r="L2869" s="30" t="n">
        <f aca="false">Sens!$L$2865/Sens!$L$2866</f>
        <v>13.5859139439542</v>
      </c>
      <c r="M2869" s="30" t="n">
        <f aca="false">Sens!$M$2865/Sens!$M$2866</f>
        <v>14.8977178352562</v>
      </c>
    </row>
    <row r="2870" customFormat="false" ht="17.15" hidden="false" customHeight="false" outlineLevel="0" collapsed="false">
      <c r="A2870" s="0" t="s">
        <v>753</v>
      </c>
      <c r="B2870" s="0" t="s">
        <v>27</v>
      </c>
      <c r="C2870" s="30" t="n">
        <f aca="false">(Sens!$C$2865-Sens!$C$2862*(1-tax))/Sens!$C$2866</f>
        <v>5.33926775917445</v>
      </c>
      <c r="D2870" s="30" t="n">
        <f aca="false">(Sens!$D$2865-Sens!$D$2862*(1-tax))/Sens!$D$2866</f>
        <v>5.67691812755503</v>
      </c>
      <c r="E2870" s="30" t="n">
        <f aca="false">(Sens!$E$2865-Sens!$E$2862*(1-tax))/Sens!$E$2866</f>
        <v>3.10602057006846</v>
      </c>
      <c r="G2870" s="30" t="n">
        <f aca="false">(Sens!$G$2865-Sens!$G$2862*(1-tax))/Sens!$G$2866</f>
        <v>7.33263628389427</v>
      </c>
      <c r="H2870" s="30" t="n">
        <f aca="false">(Sens!$H$2865-Sens!$H$2862*(1-tax))/Sens!$H$2866</f>
        <v>9.24319541355103</v>
      </c>
      <c r="I2870" s="30" t="n">
        <f aca="false">(Sens!$I$2865-Sens!$I$2862*(1-tax))/Sens!$I$2866</f>
        <v>10.4257267848272</v>
      </c>
      <c r="J2870" s="30" t="n">
        <f aca="false">(Sens!$J$2865-Sens!$J$2862*(1-tax))/Sens!$J$2866</f>
        <v>11.600424337942</v>
      </c>
      <c r="K2870" s="30" t="n">
        <f aca="false">(Sens!$K$2865-Sens!$K$2862*(1-tax))/Sens!$K$2866</f>
        <v>12.4195306210143</v>
      </c>
      <c r="L2870" s="30" t="n">
        <f aca="false">(Sens!$L$2865-Sens!$L$2862*(1-tax))/Sens!$L$2866</f>
        <v>13.5859139439542</v>
      </c>
      <c r="M2870" s="30" t="n">
        <f aca="false">(Sens!$M$2865-Sens!$M$2862*(1-tax))/Sens!$M$2866</f>
        <v>14.8977178352562</v>
      </c>
      <c r="P2870" s="5" t="s">
        <v>754</v>
      </c>
    </row>
    <row r="2871" customFormat="false" ht="17.15" hidden="false" customHeight="false" outlineLevel="0" collapsed="false">
      <c r="A2871" s="0" t="s">
        <v>755</v>
      </c>
      <c r="B2871" s="0" t="s">
        <v>52</v>
      </c>
      <c r="H2871" s="13" t="n">
        <f aca="false">Sens!$H$2868/Sens!$G$2868-1</f>
        <v>-0.203042717572334</v>
      </c>
      <c r="I2871" s="13" t="n">
        <f aca="false">Sens!$I$2868/Sens!$H$2868-1</f>
        <v>0.187757871715222</v>
      </c>
      <c r="J2871" s="13" t="n">
        <f aca="false">Sens!$J$2868/Sens!$I$2868-1</f>
        <v>0.156727174042294</v>
      </c>
      <c r="K2871" s="13" t="n">
        <f aca="false">Sens!$K$2868/Sens!$J$2868-1</f>
        <v>0.101812019641877</v>
      </c>
      <c r="L2871" s="13" t="n">
        <f aca="false">Sens!$L$2868/Sens!$K$2868-1</f>
        <v>0.0996967880405497</v>
      </c>
      <c r="M2871" s="13" t="n">
        <f aca="false">Sens!$M$2868/Sens!$L$2868-1</f>
        <v>0.0858916233886466</v>
      </c>
    </row>
    <row r="2874" customFormat="false" ht="19.4" hidden="false" customHeight="false" outlineLevel="0" collapsed="false">
      <c r="A2874" s="31" t="s">
        <v>1185</v>
      </c>
    </row>
    <row r="2875" customFormat="false" ht="17.15" hidden="false" customHeight="false" outlineLevel="0" collapsed="false">
      <c r="A2875" s="6" t="s">
        <v>16</v>
      </c>
      <c r="B2875" s="6" t="s">
        <v>17</v>
      </c>
      <c r="C2875" s="20" t="s">
        <v>494</v>
      </c>
      <c r="D2875" s="20" t="s">
        <v>495</v>
      </c>
      <c r="E2875" s="20" t="s">
        <v>577</v>
      </c>
      <c r="F2875" s="20" t="s">
        <v>578</v>
      </c>
      <c r="G2875" s="20" t="s">
        <v>579</v>
      </c>
      <c r="H2875" s="20" t="s">
        <v>580</v>
      </c>
      <c r="I2875" s="20" t="s">
        <v>581</v>
      </c>
      <c r="J2875" s="20" t="s">
        <v>582</v>
      </c>
      <c r="K2875" s="20" t="s">
        <v>583</v>
      </c>
      <c r="L2875" s="20" t="s">
        <v>584</v>
      </c>
      <c r="M2875" s="20" t="s">
        <v>585</v>
      </c>
      <c r="N2875" s="20" t="s">
        <v>586</v>
      </c>
      <c r="O2875" s="20" t="s">
        <v>587</v>
      </c>
      <c r="P2875" s="6" t="s">
        <v>23</v>
      </c>
      <c r="R2875" s="20" t="n">
        <v>2023</v>
      </c>
      <c r="S2875" s="20" t="n">
        <v>2024</v>
      </c>
      <c r="T2875" s="20" t="n">
        <v>2025</v>
      </c>
      <c r="U2875" s="20" t="n">
        <v>2026</v>
      </c>
      <c r="V2875" s="20" t="n">
        <v>2027</v>
      </c>
      <c r="W2875" s="20" t="n">
        <v>2028</v>
      </c>
      <c r="X2875" s="20" t="n">
        <v>2029</v>
      </c>
      <c r="Y2875" s="20" t="n">
        <v>2030</v>
      </c>
      <c r="Z2875" s="20" t="n">
        <v>2031</v>
      </c>
      <c r="AA2875" s="20" t="n">
        <v>2032</v>
      </c>
    </row>
    <row r="2876" customFormat="false" ht="15" hidden="false" customHeight="false" outlineLevel="0" collapsed="false">
      <c r="A2876" s="5" t="s">
        <v>546</v>
      </c>
      <c r="B2876" s="0" t="s">
        <v>86</v>
      </c>
      <c r="C2876" s="38" t="n">
        <f aca="false">Sens!$C$2865</f>
        <v>59.248</v>
      </c>
      <c r="D2876" s="38" t="n">
        <f aca="false">Sens!$D$2865</f>
        <v>77.67</v>
      </c>
      <c r="E2876" s="38" t="n">
        <f aca="false">Sens!$E$2865</f>
        <v>92.902</v>
      </c>
      <c r="F2876" s="38" t="n">
        <f aca="false">Sens!$F$2865</f>
        <v>46.2877238929154</v>
      </c>
      <c r="G2876" s="38" t="n">
        <f aca="false">Sens!$G$2865</f>
        <v>139.189723892915</v>
      </c>
      <c r="H2876" s="38" t="n">
        <f aca="false">Sens!$H$2865</f>
        <v>101.78795764684</v>
      </c>
      <c r="I2876" s="38" t="n">
        <f aca="false">Sens!$I$2865</f>
        <v>115.728716752495</v>
      </c>
      <c r="J2876" s="38" t="n">
        <f aca="false">Sens!$J$2865</f>
        <v>129.798360164508</v>
      </c>
      <c r="K2876" s="38" t="n">
        <f aca="false">Sens!$K$2865</f>
        <v>140.075133370318</v>
      </c>
      <c r="L2876" s="38" t="n">
        <f aca="false">Sens!$L$2865</f>
        <v>154.456167133443</v>
      </c>
      <c r="M2876" s="38" t="n">
        <f aca="false">Sens!$M$2865</f>
        <v>170.724822827862</v>
      </c>
    </row>
    <row r="2877" customFormat="false" ht="17.15" hidden="false" customHeight="false" outlineLevel="0" collapsed="false">
      <c r="A2877" s="5" t="s">
        <v>778</v>
      </c>
      <c r="B2877" s="0" t="s">
        <v>86</v>
      </c>
      <c r="C2877" s="38" t="n">
        <f aca="false">Sens!$C$2853</f>
        <v>32.067</v>
      </c>
      <c r="D2877" s="38" t="n">
        <f aca="false">Sens!$D$2853</f>
        <v>41.86</v>
      </c>
      <c r="E2877" s="38" t="n">
        <f aca="false">Sens!$E$2853</f>
        <v>26.703</v>
      </c>
      <c r="F2877" s="38" t="n">
        <f aca="false">Sens!$F$2853</f>
        <v>29.1340923544089</v>
      </c>
      <c r="G2877" s="38" t="n">
        <f aca="false">Sens!$G$2853</f>
        <v>55.8370923544089</v>
      </c>
      <c r="H2877" s="38" t="n">
        <f aca="false">Sens!$H$2853</f>
        <v>83.8447216182162</v>
      </c>
      <c r="I2877" s="38" t="n">
        <f aca="false">Sens!$I$2853</f>
        <v>116.331444102277</v>
      </c>
      <c r="J2877" s="38" t="n">
        <f aca="false">Sens!$J$2853</f>
        <v>149.61589746266</v>
      </c>
      <c r="K2877" s="38" t="n">
        <f aca="false">Sens!$K$2853</f>
        <v>183.220363860988</v>
      </c>
      <c r="L2877" s="38" t="n">
        <f aca="false">Sens!$L$2853</f>
        <v>206.699493864265</v>
      </c>
      <c r="M2877" s="38" t="n">
        <f aca="false">Sens!$M$2853</f>
        <v>222.788475421869</v>
      </c>
    </row>
    <row r="2878" customFormat="false" ht="15" hidden="false" customHeight="false" outlineLevel="0" collapsed="false">
      <c r="A2878" s="5" t="s">
        <v>779</v>
      </c>
      <c r="B2878" s="0" t="s">
        <v>86</v>
      </c>
      <c r="C2878" s="38" t="n">
        <f aca="false">Q!$D$48</f>
        <v>22.011</v>
      </c>
      <c r="D2878" s="38" t="n">
        <f aca="false">Q!$E$48</f>
        <v>19.467</v>
      </c>
      <c r="E2878" s="38" t="n">
        <f aca="false">Q!$P$48</f>
        <v>10.07</v>
      </c>
      <c r="F2878" s="38" t="n">
        <f aca="false">sbc_r*Sens!$F$2795</f>
        <v>10.8507035798037</v>
      </c>
      <c r="G2878" s="38" t="n">
        <f aca="false">Sens!$E$2878+Sens!$F$2878</f>
        <v>20.9207035798037</v>
      </c>
      <c r="H2878" s="38" t="n">
        <f aca="false">sbc_r*Sens!$H$2795</f>
        <v>23.421165031797</v>
      </c>
      <c r="I2878" s="38" t="n">
        <f aca="false">sbc_r*Sens!$I$2795</f>
        <v>26.5265574484204</v>
      </c>
      <c r="J2878" s="38" t="n">
        <f aca="false">sbc_r*Sens!$J$2795</f>
        <v>29.5073847252119</v>
      </c>
      <c r="K2878" s="38" t="n">
        <f aca="false">sbc_r*Sens!$K$2795</f>
        <v>32.1311501031436</v>
      </c>
      <c r="L2878" s="38" t="n">
        <f aca="false">sbc_r*Sens!$L$2795</f>
        <v>34.5780441349677</v>
      </c>
      <c r="M2878" s="38" t="n">
        <f aca="false">sbc_r*Sens!$M$2795</f>
        <v>36.856903525621</v>
      </c>
    </row>
    <row r="2879" customFormat="false" ht="17.15" hidden="false" customHeight="false" outlineLevel="0" collapsed="false">
      <c r="A2879" s="5" t="s">
        <v>780</v>
      </c>
      <c r="B2879" s="0" t="s">
        <v>86</v>
      </c>
      <c r="C2879" s="38" t="n">
        <f aca="false">Q!$D$44-Sens!$C$2876-Sens!$C$2877-Sens!$C$2878</f>
        <v>2.551</v>
      </c>
      <c r="D2879" s="38" t="n">
        <f aca="false">Q!$E$44-Sens!$D$2876-Sens!$D$2877-Sens!$D$2878</f>
        <v>0.51700000000001</v>
      </c>
      <c r="E2879" s="38" t="n">
        <f aca="false">Q!$P$44-Sens!$E$2876-Sens!$E$2877-Sens!$E$2878</f>
        <v>-58.256</v>
      </c>
      <c r="F2879" s="38" t="n">
        <f aca="false">oth_r*Sens!$F$2795</f>
        <v>5.22265251035878</v>
      </c>
      <c r="G2879" s="38" t="n">
        <f aca="false">Sens!$E$2879+Sens!$F$2879</f>
        <v>-53.0333474896412</v>
      </c>
      <c r="H2879" s="38" t="n">
        <f aca="false">oth_r*Sens!$H$2795</f>
        <v>11.2730575901563</v>
      </c>
      <c r="I2879" s="38" t="n">
        <f aca="false">oth_r*Sens!$I$2795</f>
        <v>12.7677427394691</v>
      </c>
      <c r="J2879" s="38" t="n">
        <f aca="false">oth_r*Sens!$J$2795</f>
        <v>14.2024722890862</v>
      </c>
      <c r="K2879" s="38" t="n">
        <f aca="false">oth_r*Sens!$K$2795</f>
        <v>15.465341073296</v>
      </c>
      <c r="L2879" s="38" t="n">
        <f aca="false">oth_r*Sens!$L$2795</f>
        <v>16.6430782738287</v>
      </c>
      <c r="M2879" s="38" t="n">
        <f aca="false">oth_r*Sens!$M$2795</f>
        <v>17.7399371668781</v>
      </c>
      <c r="P2879" s="8" t="s">
        <v>781</v>
      </c>
    </row>
    <row r="2880" customFormat="false" ht="15" hidden="false" customHeight="false" outlineLevel="0" collapsed="false">
      <c r="A2880" s="3" t="s">
        <v>552</v>
      </c>
      <c r="B2880" s="8" t="s">
        <v>86</v>
      </c>
      <c r="C2880" s="38" t="n">
        <f aca="false">Q!$D$44</f>
        <v>115.877</v>
      </c>
      <c r="D2880" s="38" t="n">
        <f aca="false">Q!$E$44</f>
        <v>139.514</v>
      </c>
      <c r="E2880" s="38" t="n">
        <f aca="false">Q!$P$44</f>
        <v>71.419</v>
      </c>
      <c r="F2880" s="38" t="n">
        <f aca="false">Sens!$F$2876+Sens!$F$2877+Sens!$F$2878+Sens!$F$2879</f>
        <v>91.4951723374868</v>
      </c>
      <c r="G2880" s="38" t="n">
        <f aca="false">Sens!$E$2880+Sens!$F$2880</f>
        <v>162.914172337487</v>
      </c>
      <c r="H2880" s="38" t="n">
        <f aca="false">Sens!$H$2876+Sens!$H$2877+Sens!$H$2878+Sens!$H$2879</f>
        <v>220.326901887009</v>
      </c>
      <c r="I2880" s="38" t="n">
        <f aca="false">Sens!$I$2876+Sens!$I$2877+Sens!$I$2878+Sens!$I$2879</f>
        <v>271.354461042661</v>
      </c>
      <c r="J2880" s="38" t="n">
        <f aca="false">Sens!$J$2876+Sens!$J$2877+Sens!$J$2878+Sens!$J$2879</f>
        <v>323.124114641466</v>
      </c>
      <c r="K2880" s="38" t="n">
        <f aca="false">Sens!$K$2876+Sens!$K$2877+Sens!$K$2878+Sens!$K$2879</f>
        <v>370.891988407745</v>
      </c>
      <c r="L2880" s="38" t="n">
        <f aca="false">Sens!$L$2876+Sens!$L$2877+Sens!$L$2878+Sens!$L$2879</f>
        <v>412.376783406505</v>
      </c>
      <c r="M2880" s="38" t="n">
        <f aca="false">Sens!$M$2876+Sens!$M$2877+Sens!$M$2878+Sens!$M$2879</f>
        <v>448.110138942231</v>
      </c>
    </row>
    <row r="2881" customFormat="false" ht="17.15" hidden="false" customHeight="false" outlineLevel="0" collapsed="false">
      <c r="A2881" s="5" t="s">
        <v>782</v>
      </c>
      <c r="B2881" s="0" t="s">
        <v>86</v>
      </c>
      <c r="C2881" s="38" t="n">
        <f aca="false">Sens!$C$2764</f>
        <v>25.3908273132658</v>
      </c>
      <c r="D2881" s="38" t="n">
        <f aca="false">Sens!$D$2764</f>
        <v>69.9913391517339</v>
      </c>
      <c r="E2881" s="38" t="n">
        <f aca="false">Sens!$E$2764</f>
        <v>64.6032346687814</v>
      </c>
      <c r="F2881" s="38" t="n">
        <f aca="false">Sens!$F$2764</f>
        <v>96.2481299895</v>
      </c>
      <c r="G2881" s="38" t="n">
        <f aca="false">Sens!$G$2764</f>
        <v>160.851364658281</v>
      </c>
      <c r="H2881" s="38" t="n">
        <f aca="false">Sens!$H$2764</f>
        <v>198.57136494475</v>
      </c>
      <c r="I2881" s="38" t="n">
        <f aca="false">Sens!$I$2764</f>
        <v>204.6464699105</v>
      </c>
      <c r="J2881" s="38" t="n">
        <f aca="false">Sens!$J$2764</f>
        <v>209.8832381105</v>
      </c>
      <c r="K2881" s="38" t="n">
        <f aca="false">Sens!$K$2764</f>
        <v>155.238385275201</v>
      </c>
      <c r="L2881" s="38" t="n">
        <f aca="false">Sens!$L$2764</f>
        <v>132.014141639902</v>
      </c>
      <c r="M2881" s="38" t="n">
        <f aca="false">Sens!$M$2764</f>
        <v>132.230981659852</v>
      </c>
    </row>
    <row r="2882" customFormat="false" ht="17.15" hidden="false" customHeight="false" outlineLevel="0" collapsed="false">
      <c r="A2882" s="5" t="s">
        <v>783</v>
      </c>
      <c r="B2882" s="0" t="s">
        <v>86</v>
      </c>
      <c r="C2882" s="38" t="n">
        <f aca="false">cx_awso*Sens!$C$2793</f>
        <v>20.9342769230769</v>
      </c>
      <c r="D2882" s="38" t="n">
        <f aca="false">cx_awso*Sens!$D$2793</f>
        <v>23.5815384615385</v>
      </c>
      <c r="E2882" s="38" t="n">
        <f aca="false">cx_awso*Sens!$E$2793</f>
        <v>13.8484153846154</v>
      </c>
      <c r="F2882" s="38" t="n">
        <f aca="false">cx_awso*Sens!$F$2793</f>
        <v>13.8675162119101</v>
      </c>
      <c r="G2882" s="38" t="n">
        <f aca="false">Sens!$E$2882+Sens!$F$2882</f>
        <v>27.7159315965255</v>
      </c>
      <c r="H2882" s="38" t="n">
        <f aca="false">cx_awso*Sens!$H$2793</f>
        <v>30.8988812526269</v>
      </c>
      <c r="I2882" s="38" t="n">
        <f aca="false">cx_awso*Sens!$I$2793</f>
        <v>34.0885084690992</v>
      </c>
      <c r="J2882" s="38" t="n">
        <f aca="false">cx_awso*Sens!$J$2793</f>
        <v>37.2114917063459</v>
      </c>
      <c r="K2882" s="38" t="n">
        <f aca="false">cx_awso*Sens!$K$2793</f>
        <v>40.1884110428535</v>
      </c>
      <c r="L2882" s="38" t="n">
        <f aca="false">cx_awso*Sens!$L$2793</f>
        <v>43.4034839262818</v>
      </c>
      <c r="M2882" s="38" t="n">
        <f aca="false">cx_awso*Sens!$M$2793</f>
        <v>46.8757626403844</v>
      </c>
    </row>
    <row r="2883" customFormat="false" ht="17.15" hidden="false" customHeight="false" outlineLevel="0" collapsed="false">
      <c r="A2883" s="5" t="s">
        <v>784</v>
      </c>
      <c r="B2883" s="0" t="s">
        <v>86</v>
      </c>
      <c r="C2883" s="38" t="n">
        <f aca="false">Q!$D$46-Sens!$C$2881-Sens!$C$2882</f>
        <v>31.3328957636573</v>
      </c>
      <c r="D2883" s="38" t="n">
        <f aca="false">Q!$E$46-Sens!$D$2881-Sens!$D$2882</f>
        <v>34.7471223867276</v>
      </c>
      <c r="E2883" s="38" t="n">
        <f aca="false">Q!$P$46-Sens!$E$2881-Sens!$E$2882</f>
        <v>17.8583499466032</v>
      </c>
      <c r="F2883" s="38" t="n">
        <f aca="false">cx_rt*Sens!$F$2727</f>
        <v>20.6189639070718</v>
      </c>
      <c r="G2883" s="38" t="n">
        <f aca="false">Sens!$E$2883+Sens!$F$2883</f>
        <v>38.4773138536751</v>
      </c>
      <c r="H2883" s="38" t="n">
        <f aca="false">cx_rt*Sens!$H$2727</f>
        <v>42.5972065057066</v>
      </c>
      <c r="I2883" s="38" t="n">
        <f aca="false">cx_rt*Sens!$I$2727</f>
        <v>46.5806323634229</v>
      </c>
      <c r="J2883" s="38" t="n">
        <f aca="false">cx_rt*Sens!$J$2727</f>
        <v>50.2773492148496</v>
      </c>
      <c r="K2883" s="38" t="n">
        <f aca="false">cx_rt*Sens!$K$2727</f>
        <v>53.5303724565571</v>
      </c>
      <c r="L2883" s="38" t="n">
        <f aca="false">cx_rt*Sens!$L$2727</f>
        <v>57.0107432980275</v>
      </c>
      <c r="M2883" s="38" t="n">
        <f aca="false">cx_rt*Sens!$M$2727</f>
        <v>60.7355662081438</v>
      </c>
    </row>
    <row r="2884" customFormat="false" ht="15" hidden="false" customHeight="false" outlineLevel="0" collapsed="false">
      <c r="A2884" s="3" t="s">
        <v>785</v>
      </c>
      <c r="B2884" s="8" t="s">
        <v>86</v>
      </c>
      <c r="C2884" s="38" t="n">
        <f aca="false">Q!$D$46</f>
        <v>77.658</v>
      </c>
      <c r="D2884" s="38" t="n">
        <f aca="false">Q!$E$46</f>
        <v>128.32</v>
      </c>
      <c r="E2884" s="38" t="n">
        <f aca="false">Q!$P$46</f>
        <v>96.31</v>
      </c>
      <c r="F2884" s="38" t="n">
        <f aca="false">Sens!$F$2881+Sens!$F$2882+Sens!$F$2883</f>
        <v>130.734610108482</v>
      </c>
      <c r="G2884" s="38" t="n">
        <f aca="false">Sens!$E$2884+Sens!$F$2884</f>
        <v>227.044610108482</v>
      </c>
      <c r="H2884" s="38" t="n">
        <f aca="false">Sens!$H$2881+Sens!$H$2882+Sens!$H$2883</f>
        <v>272.067452703084</v>
      </c>
      <c r="I2884" s="38" t="n">
        <f aca="false">Sens!$I$2881+Sens!$I$2882+Sens!$I$2883</f>
        <v>285.315610743022</v>
      </c>
      <c r="J2884" s="38" t="n">
        <f aca="false">Sens!$J$2881+Sens!$J$2882+Sens!$J$2883</f>
        <v>297.372079031696</v>
      </c>
      <c r="K2884" s="38" t="n">
        <f aca="false">Sens!$K$2881+Sens!$K$2882+Sens!$K$2883</f>
        <v>248.957168774612</v>
      </c>
      <c r="L2884" s="38" t="n">
        <f aca="false">Sens!$L$2881+Sens!$L$2882+Sens!$L$2883</f>
        <v>232.428368864211</v>
      </c>
      <c r="M2884" s="38" t="n">
        <f aca="false">Sens!$M$2881+Sens!$M$2882+Sens!$M$2883</f>
        <v>239.842310508381</v>
      </c>
    </row>
    <row r="2885" customFormat="false" ht="17.15" hidden="false" customHeight="false" outlineLevel="0" collapsed="false">
      <c r="A2885" s="5" t="s">
        <v>560</v>
      </c>
      <c r="B2885" s="0" t="s">
        <v>86</v>
      </c>
      <c r="C2885" s="38" t="n">
        <f aca="false">Q!$D$50</f>
        <v>2.043</v>
      </c>
      <c r="D2885" s="38" t="n">
        <f aca="false">Q!$E$50</f>
        <v>1.557</v>
      </c>
      <c r="E2885" s="38" t="n">
        <f aca="false">lease_pr/2</f>
        <v>0.8</v>
      </c>
      <c r="F2885" s="38" t="n">
        <f aca="false">lease_pr/2</f>
        <v>0.8</v>
      </c>
      <c r="G2885" s="38" t="n">
        <f aca="false">Sens!$E$2885+Sens!$F$2885</f>
        <v>1.6</v>
      </c>
      <c r="H2885" s="38" t="n">
        <f aca="false">lease_pr</f>
        <v>1.6</v>
      </c>
      <c r="I2885" s="38" t="n">
        <f aca="false">lease_pr</f>
        <v>1.6</v>
      </c>
      <c r="J2885" s="38" t="n">
        <f aca="false">lease_pr</f>
        <v>1.6</v>
      </c>
      <c r="K2885" s="38" t="n">
        <f aca="false">lease_pr</f>
        <v>1.6</v>
      </c>
      <c r="L2885" s="38" t="n">
        <f aca="false">lease_pr</f>
        <v>1.6</v>
      </c>
      <c r="M2885" s="38" t="n">
        <f aca="false">lease_pr</f>
        <v>1.6</v>
      </c>
      <c r="P2885" s="8" t="s">
        <v>786</v>
      </c>
    </row>
    <row r="2886" customFormat="false" ht="15" hidden="false" customHeight="false" outlineLevel="0" collapsed="false">
      <c r="A2886" s="47" t="s">
        <v>787</v>
      </c>
      <c r="B2886" s="14" t="s">
        <v>86</v>
      </c>
      <c r="C2886" s="48" t="n">
        <f aca="false">Sens!$C$2880-Sens!$C$2884-Sens!$C$2885</f>
        <v>36.176</v>
      </c>
      <c r="D2886" s="48" t="n">
        <f aca="false">Sens!$D$2880-Sens!$D$2884-Sens!$D$2885</f>
        <v>9.63700000000002</v>
      </c>
      <c r="E2886" s="48" t="n">
        <f aca="false">Sens!$E$2880-Sens!$E$2884-Sens!$E$2885</f>
        <v>-25.691</v>
      </c>
      <c r="F2886" s="48" t="n">
        <f aca="false">Sens!$F$2880-Sens!$F$2884-Sens!$F$2885</f>
        <v>-40.0394377709952</v>
      </c>
      <c r="G2886" s="48" t="n">
        <f aca="false">Sens!$G$2880-Sens!$G$2884-Sens!$G$2885</f>
        <v>-65.7304377709952</v>
      </c>
      <c r="H2886" s="48" t="n">
        <f aca="false">Sens!$H$2880-Sens!$H$2884-Sens!$H$2885</f>
        <v>-53.3405508160741</v>
      </c>
      <c r="I2886" s="48" t="n">
        <f aca="false">Sens!$I$2880-Sens!$I$2884-Sens!$I$2885</f>
        <v>-15.5611497003614</v>
      </c>
      <c r="J2886" s="48" t="n">
        <f aca="false">Sens!$J$2880-Sens!$J$2884-Sens!$J$2885</f>
        <v>24.15203560977</v>
      </c>
      <c r="K2886" s="48" t="n">
        <f aca="false">Sens!$K$2880-Sens!$K$2884-Sens!$K$2885</f>
        <v>120.334819633134</v>
      </c>
      <c r="L2886" s="48" t="n">
        <f aca="false">Sens!$L$2880-Sens!$L$2884-Sens!$L$2885</f>
        <v>178.348414542294</v>
      </c>
      <c r="M2886" s="48" t="n">
        <f aca="false">Sens!$M$2880-Sens!$M$2884-Sens!$M$2885</f>
        <v>206.66782843385</v>
      </c>
      <c r="N2886" s="14"/>
      <c r="O2886" s="14"/>
    </row>
    <row r="2887" customFormat="false" ht="17.15" hidden="false" customHeight="false" outlineLevel="0" collapsed="false">
      <c r="A2887" s="5" t="s">
        <v>788</v>
      </c>
      <c r="B2887" s="0" t="s">
        <v>86</v>
      </c>
      <c r="C2887" s="38" t="n">
        <f aca="false">dps*Sens!$C$2866</f>
        <v>0</v>
      </c>
      <c r="D2887" s="38" t="n">
        <f aca="false">dps*Sens!$D$2866</f>
        <v>0</v>
      </c>
      <c r="E2887" s="38" t="n">
        <f aca="false">dps*Sens!$E$2866</f>
        <v>0</v>
      </c>
      <c r="F2887" s="38" t="n">
        <f aca="false">0</f>
        <v>0</v>
      </c>
      <c r="G2887" s="38" t="n">
        <f aca="false">dps*Sens!$G$2866</f>
        <v>0</v>
      </c>
      <c r="H2887" s="38" t="n">
        <f aca="false">dps*Sens!$H$2866</f>
        <v>0</v>
      </c>
      <c r="I2887" s="38" t="n">
        <f aca="false">dps*Sens!$I$2866</f>
        <v>0</v>
      </c>
      <c r="J2887" s="38" t="n">
        <f aca="false">dps*Sens!$J$2866</f>
        <v>0</v>
      </c>
      <c r="K2887" s="38" t="n">
        <f aca="false">dps*Sens!$K$2866</f>
        <v>0</v>
      </c>
      <c r="L2887" s="38" t="n">
        <f aca="false">dps*Sens!$L$2866</f>
        <v>0</v>
      </c>
      <c r="M2887" s="38" t="n">
        <f aca="false">dps*Sens!$M$2866</f>
        <v>0</v>
      </c>
      <c r="P2887" s="8" t="s">
        <v>789</v>
      </c>
    </row>
    <row r="2888" customFormat="false" ht="17.15" hidden="false" customHeight="false" outlineLevel="0" collapsed="false">
      <c r="A2888" s="5" t="s">
        <v>790</v>
      </c>
      <c r="B2888" s="0" t="s">
        <v>86</v>
      </c>
      <c r="C2888" s="38" t="n">
        <f aca="false">0</f>
        <v>0</v>
      </c>
      <c r="D2888" s="38" t="n">
        <f aca="false">0</f>
        <v>0</v>
      </c>
      <c r="E2888" s="38" t="n">
        <f aca="false">0</f>
        <v>0</v>
      </c>
      <c r="F2888" s="38" t="n">
        <f aca="false">0</f>
        <v>0</v>
      </c>
      <c r="G2888" s="38" t="n">
        <f aca="false">0</f>
        <v>0</v>
      </c>
      <c r="H2888" s="38" t="n">
        <f aca="false">0</f>
        <v>0</v>
      </c>
      <c r="I2888" s="38" t="n">
        <f aca="false">0</f>
        <v>0</v>
      </c>
      <c r="J2888" s="38" t="n">
        <f aca="false">0</f>
        <v>0</v>
      </c>
      <c r="K2888" s="38" t="n">
        <f aca="false">0</f>
        <v>0</v>
      </c>
      <c r="L2888" s="38" t="n">
        <f aca="false">0</f>
        <v>0</v>
      </c>
      <c r="M2888" s="38" t="n">
        <f aca="false">0</f>
        <v>0</v>
      </c>
      <c r="P2888" s="8" t="s">
        <v>791</v>
      </c>
    </row>
    <row r="2889" customFormat="false" ht="15" hidden="false" customHeight="false" outlineLevel="0" collapsed="false">
      <c r="A2889" s="3" t="s">
        <v>792</v>
      </c>
      <c r="B2889" s="8" t="s">
        <v>86</v>
      </c>
      <c r="C2889" s="38" t="n">
        <f aca="false">Sens!$C$2886-Sens!$C$2887</f>
        <v>36.176</v>
      </c>
      <c r="D2889" s="38" t="n">
        <f aca="false">Sens!$D$2886-Sens!$D$2887</f>
        <v>9.63700000000002</v>
      </c>
      <c r="E2889" s="38" t="n">
        <f aca="false">Sens!$E$2886-Sens!$E$2887</f>
        <v>-25.691</v>
      </c>
      <c r="F2889" s="38" t="n">
        <f aca="false">Sens!$F$2886-Sens!$F$2887</f>
        <v>-40.0394377709952</v>
      </c>
      <c r="G2889" s="38" t="n">
        <f aca="false">Sens!$G$2886-Sens!$G$2887</f>
        <v>-65.7304377709952</v>
      </c>
      <c r="H2889" s="38" t="n">
        <f aca="false">Sens!$H$2886-Sens!$H$2887</f>
        <v>-53.3405508160741</v>
      </c>
      <c r="I2889" s="38" t="n">
        <f aca="false">Sens!$I$2886-Sens!$I$2887</f>
        <v>-15.5611497003614</v>
      </c>
      <c r="J2889" s="38" t="n">
        <f aca="false">Sens!$J$2886-Sens!$J$2887</f>
        <v>24.15203560977</v>
      </c>
      <c r="K2889" s="38" t="n">
        <f aca="false">Sens!$K$2886-Sens!$K$2887</f>
        <v>120.334819633134</v>
      </c>
      <c r="L2889" s="38" t="n">
        <f aca="false">Sens!$L$2886-Sens!$L$2887</f>
        <v>178.348414542294</v>
      </c>
      <c r="M2889" s="38" t="n">
        <f aca="false">Sens!$M$2886-Sens!$M$2887</f>
        <v>206.66782843385</v>
      </c>
    </row>
    <row r="2890" customFormat="false" ht="17.15" hidden="false" customHeight="false" outlineLevel="0" collapsed="false">
      <c r="A2890" s="5" t="s">
        <v>793</v>
      </c>
      <c r="B2890" s="0" t="s">
        <v>86</v>
      </c>
      <c r="E2890" s="38" t="n">
        <f aca="false">Q!$P$53</f>
        <v>39.767</v>
      </c>
      <c r="F2890" s="38" t="n">
        <f aca="false">inv_2h26</f>
        <v>21.3</v>
      </c>
      <c r="G2890" s="38" t="n">
        <f aca="false">Sens!$E$2890+Sens!$F$2890</f>
        <v>61.067</v>
      </c>
      <c r="H2890" s="39" t="n">
        <v>0</v>
      </c>
      <c r="I2890" s="39" t="n">
        <v>0</v>
      </c>
      <c r="J2890" s="39" t="n">
        <v>0</v>
      </c>
      <c r="K2890" s="39" t="n">
        <v>0</v>
      </c>
      <c r="L2890" s="39" t="n">
        <v>0</v>
      </c>
      <c r="M2890" s="39" t="n">
        <v>0</v>
      </c>
    </row>
    <row r="2891" customFormat="false" ht="17.15" hidden="false" customHeight="false" outlineLevel="0" collapsed="false">
      <c r="A2891" s="5" t="s">
        <v>794</v>
      </c>
      <c r="B2891" s="0" t="s">
        <v>86</v>
      </c>
      <c r="F2891" s="38" t="n">
        <f aca="false">iss_2h26</f>
        <v>29.249999</v>
      </c>
      <c r="G2891" s="38" t="n">
        <f aca="false">Sens!$F$2891</f>
        <v>29.249999</v>
      </c>
      <c r="H2891" s="39" t="n">
        <v>0</v>
      </c>
      <c r="I2891" s="39" t="n">
        <v>0</v>
      </c>
      <c r="J2891" s="39" t="n">
        <v>0</v>
      </c>
      <c r="K2891" s="39" t="n">
        <v>0</v>
      </c>
      <c r="L2891" s="39" t="n">
        <v>0</v>
      </c>
      <c r="M2891" s="39" t="n">
        <v>0</v>
      </c>
    </row>
    <row r="2892" customFormat="false" ht="17.15" hidden="false" customHeight="false" outlineLevel="0" collapsed="false">
      <c r="A2892" s="5" t="s">
        <v>795</v>
      </c>
      <c r="B2892" s="0" t="s">
        <v>86</v>
      </c>
      <c r="F2892" s="38" t="n">
        <f aca="false">cash_q2</f>
        <v>122.988</v>
      </c>
      <c r="G2892" s="38" t="n">
        <f aca="false">cash_q2</f>
        <v>122.988</v>
      </c>
      <c r="H2892" s="38" t="n">
        <f aca="false">Sens!$G$2895</f>
        <v>90.8985612290048</v>
      </c>
      <c r="I2892" s="38" t="n">
        <f aca="false">Sens!$H$2895</f>
        <v>50</v>
      </c>
      <c r="J2892" s="38" t="n">
        <f aca="false">Sens!$I$2895</f>
        <v>50</v>
      </c>
      <c r="K2892" s="38" t="n">
        <f aca="false">Sens!$J$2895</f>
        <v>74.15203560977</v>
      </c>
      <c r="L2892" s="38" t="n">
        <f aca="false">Sens!$K$2895</f>
        <v>194.486855242904</v>
      </c>
      <c r="M2892" s="38" t="n">
        <f aca="false">Sens!$L$2895</f>
        <v>372.835269785197</v>
      </c>
    </row>
    <row r="2893" customFormat="false" ht="15" hidden="false" customHeight="false" outlineLevel="0" collapsed="false">
      <c r="A2893" s="5" t="s">
        <v>796</v>
      </c>
      <c r="B2893" s="0" t="s">
        <v>86</v>
      </c>
      <c r="F2893" s="38" t="n">
        <f aca="false">Sens!$F$2892+Sens!$F$2889-Sens!$F$2888-Sens!$F$2890+Sens!$F$2891</f>
        <v>90.8985612290048</v>
      </c>
      <c r="H2893" s="38" t="n">
        <f aca="false">Sens!$H$2892+Sens!$H$2889-Sens!$H$2888-Sens!$H$2890+Sens!$H$2891</f>
        <v>37.5580104129307</v>
      </c>
      <c r="I2893" s="38" t="n">
        <f aca="false">Sens!$I$2892+Sens!$I$2889-Sens!$I$2888-Sens!$I$2890+Sens!$I$2891</f>
        <v>34.4388502996386</v>
      </c>
      <c r="J2893" s="38" t="n">
        <f aca="false">Sens!$J$2892+Sens!$J$2889-Sens!$J$2888-Sens!$J$2890+Sens!$J$2891</f>
        <v>74.15203560977</v>
      </c>
      <c r="K2893" s="38" t="n">
        <f aca="false">Sens!$K$2892+Sens!$K$2889-Sens!$K$2888-Sens!$K$2890+Sens!$K$2891</f>
        <v>194.486855242904</v>
      </c>
      <c r="L2893" s="38" t="n">
        <f aca="false">Sens!$L$2892+Sens!$L$2889-Sens!$L$2888-Sens!$L$2890+Sens!$L$2891</f>
        <v>372.835269785197</v>
      </c>
      <c r="M2893" s="38" t="n">
        <f aca="false">Sens!$M$2892+Sens!$M$2889-Sens!$M$2888-Sens!$M$2890+Sens!$M$2891</f>
        <v>579.503098219048</v>
      </c>
    </row>
    <row r="2894" customFormat="false" ht="17.15" hidden="false" customHeight="false" outlineLevel="0" collapsed="false">
      <c r="A2894" s="5" t="s">
        <v>797</v>
      </c>
      <c r="B2894" s="0" t="s">
        <v>86</v>
      </c>
      <c r="F2894" s="38" t="n">
        <f aca="false">MAX(0,min_cash-Sens!$F$2893)</f>
        <v>0</v>
      </c>
      <c r="G2894" s="38" t="n">
        <f aca="false">Sens!$F$2894</f>
        <v>0</v>
      </c>
      <c r="H2894" s="38" t="n">
        <f aca="false">MAX(0,min_cash-Sens!$H$2893)</f>
        <v>12.4419895870693</v>
      </c>
      <c r="I2894" s="38" t="n">
        <f aca="false">MAX(0,min_cash-Sens!$I$2893)</f>
        <v>15.5611497003614</v>
      </c>
      <c r="J2894" s="38" t="n">
        <f aca="false">MAX(0,min_cash-Sens!$J$2893)</f>
        <v>0</v>
      </c>
      <c r="K2894" s="38" t="n">
        <f aca="false">MAX(0,min_cash-Sens!$K$2893)</f>
        <v>0</v>
      </c>
      <c r="L2894" s="38" t="n">
        <f aca="false">MAX(0,min_cash-Sens!$L$2893)</f>
        <v>0</v>
      </c>
      <c r="M2894" s="38" t="n">
        <f aca="false">MAX(0,min_cash-Sens!$M$2893)</f>
        <v>0</v>
      </c>
      <c r="P2894" s="5" t="s">
        <v>798</v>
      </c>
    </row>
    <row r="2895" customFormat="false" ht="15" hidden="false" customHeight="false" outlineLevel="0" collapsed="false">
      <c r="A2895" s="5" t="s">
        <v>799</v>
      </c>
      <c r="B2895" s="0" t="s">
        <v>86</v>
      </c>
      <c r="D2895" s="38" t="n">
        <f aca="false">Q!$E$61</f>
        <v>123.029</v>
      </c>
      <c r="E2895" s="38" t="n">
        <f aca="false">Q!$M$61</f>
        <v>122.988</v>
      </c>
      <c r="F2895" s="38" t="n">
        <f aca="false">Sens!$F$2893+Sens!$F$2894</f>
        <v>90.8985612290048</v>
      </c>
      <c r="G2895" s="38" t="n">
        <f aca="false">Sens!$F$2895</f>
        <v>90.8985612290048</v>
      </c>
      <c r="H2895" s="38" t="n">
        <f aca="false">Sens!$H$2893+Sens!$H$2894</f>
        <v>50</v>
      </c>
      <c r="I2895" s="38" t="n">
        <f aca="false">Sens!$I$2893+Sens!$I$2894</f>
        <v>50</v>
      </c>
      <c r="J2895" s="38" t="n">
        <f aca="false">Sens!$J$2893+Sens!$J$2894</f>
        <v>74.15203560977</v>
      </c>
      <c r="K2895" s="38" t="n">
        <f aca="false">Sens!$K$2893+Sens!$K$2894</f>
        <v>194.486855242904</v>
      </c>
      <c r="L2895" s="38" t="n">
        <f aca="false">Sens!$L$2893+Sens!$L$2894</f>
        <v>372.835269785197</v>
      </c>
      <c r="M2895" s="38" t="n">
        <f aca="false">Sens!$M$2893+Sens!$M$2894</f>
        <v>579.503098219048</v>
      </c>
    </row>
    <row r="2896" customFormat="false" ht="15" hidden="false" customHeight="false" outlineLevel="0" collapsed="false">
      <c r="A2896" s="5" t="s">
        <v>800</v>
      </c>
      <c r="B2896" s="0" t="s">
        <v>86</v>
      </c>
      <c r="D2896" s="38" t="n">
        <f aca="false">Q!$E$62</f>
        <v>68.836</v>
      </c>
      <c r="E2896" s="38" t="n">
        <f aca="false">Q!$M$62</f>
        <v>132.995</v>
      </c>
      <c r="F2896" s="38" t="n">
        <f aca="false">debt_q2+Sens!$F$2891+Sens!$F$2894</f>
        <v>162.244999</v>
      </c>
      <c r="G2896" s="38" t="n">
        <f aca="false">Sens!$F$2896</f>
        <v>162.244999</v>
      </c>
      <c r="H2896" s="38" t="n">
        <f aca="false">Sens!$G$2896+Sens!$H$2894</f>
        <v>174.686988587069</v>
      </c>
      <c r="I2896" s="38" t="n">
        <f aca="false">Sens!$H$2896+Sens!$I$2894</f>
        <v>190.248138287431</v>
      </c>
      <c r="J2896" s="38" t="n">
        <f aca="false">Sens!$I$2896+Sens!$J$2894</f>
        <v>190.248138287431</v>
      </c>
      <c r="K2896" s="38" t="n">
        <f aca="false">Sens!$J$2896+Sens!$K$2894</f>
        <v>190.248138287431</v>
      </c>
      <c r="L2896" s="38" t="n">
        <f aca="false">Sens!$K$2896+Sens!$L$2894</f>
        <v>190.248138287431</v>
      </c>
      <c r="M2896" s="38" t="n">
        <f aca="false">Sens!$L$2896+Sens!$M$2894</f>
        <v>190.248138287431</v>
      </c>
    </row>
    <row r="2897" customFormat="false" ht="15" hidden="false" customHeight="false" outlineLevel="0" collapsed="false">
      <c r="A2897" s="5" t="s">
        <v>801</v>
      </c>
      <c r="B2897" s="0" t="s">
        <v>86</v>
      </c>
      <c r="D2897" s="38" t="n">
        <f aca="false">Sens!$D$2896-Sens!$D$2895</f>
        <v>-54.193</v>
      </c>
      <c r="E2897" s="38" t="n">
        <f aca="false">Sens!$E$2896-Sens!$E$2895</f>
        <v>10.007</v>
      </c>
      <c r="F2897" s="38" t="n">
        <f aca="false">Sens!$F$2896-Sens!$F$2895</f>
        <v>71.3464377709952</v>
      </c>
      <c r="G2897" s="38" t="n">
        <f aca="false">Sens!$G$2896-Sens!$G$2895</f>
        <v>71.3464377709952</v>
      </c>
      <c r="H2897" s="38" t="n">
        <f aca="false">Sens!$H$2896-Sens!$H$2895</f>
        <v>124.686988587069</v>
      </c>
      <c r="I2897" s="38" t="n">
        <f aca="false">Sens!$I$2896-Sens!$I$2895</f>
        <v>140.248138287431</v>
      </c>
      <c r="J2897" s="38" t="n">
        <f aca="false">Sens!$J$2896-Sens!$J$2895</f>
        <v>116.096102677661</v>
      </c>
      <c r="K2897" s="38" t="n">
        <f aca="false">Sens!$K$2896-Sens!$K$2895</f>
        <v>-4.23871695547294</v>
      </c>
      <c r="L2897" s="38" t="n">
        <f aca="false">Sens!$L$2896-Sens!$L$2895</f>
        <v>-182.587131497767</v>
      </c>
      <c r="M2897" s="38" t="n">
        <f aca="false">Sens!$M$2896-Sens!$M$2895</f>
        <v>-389.254959931617</v>
      </c>
    </row>
    <row r="2898" customFormat="false" ht="17.15" hidden="false" customHeight="false" outlineLevel="0" collapsed="false">
      <c r="A2898" s="5" t="s">
        <v>802</v>
      </c>
      <c r="B2898" s="0" t="s">
        <v>86</v>
      </c>
      <c r="F2898" s="38" t="n">
        <f aca="false">debt_q2*kd_book*0.5+iss_2h26*kd_new*iss_t</f>
        <v>3.24888962733561</v>
      </c>
      <c r="H2898" s="38" t="n">
        <f aca="false">debt_q2*kd_book+(Sens!$G$2896-debt_q2)*kd_new</f>
        <v>7.42354172302123</v>
      </c>
      <c r="I2898" s="38" t="n">
        <f aca="false">debt_q2*kd_book+(Sens!$H$2896-debt_q2)*kd_new</f>
        <v>8.21111966388271</v>
      </c>
      <c r="J2898" s="38" t="n">
        <f aca="false">debt_q2*kd_book+(Sens!$I$2896-debt_q2)*kd_new</f>
        <v>9.19614043991559</v>
      </c>
      <c r="K2898" s="38" t="n">
        <f aca="false">debt_q2*kd_book+(Sens!$J$2896-debt_q2)*kd_new</f>
        <v>9.19614043991559</v>
      </c>
      <c r="L2898" s="38" t="n">
        <f aca="false">debt_q2*kd_book+(Sens!$K$2896-debt_q2)*kd_new</f>
        <v>9.19614043991559</v>
      </c>
      <c r="M2898" s="38" t="n">
        <f aca="false">debt_q2*kd_book+(Sens!$L$2896-debt_q2)*kd_new</f>
        <v>9.19614043991559</v>
      </c>
    </row>
    <row r="2899" customFormat="false" ht="17.15" hidden="false" customHeight="false" outlineLevel="0" collapsed="false">
      <c r="A2899" s="5" t="s">
        <v>803</v>
      </c>
      <c r="B2899" s="0" t="s">
        <v>86</v>
      </c>
      <c r="F2899" s="38" t="n">
        <f aca="false">cash_q2*y_cash*0.5</f>
        <v>2.59</v>
      </c>
      <c r="H2899" s="38" t="n">
        <f aca="false">Sens!$G$2895*y_cash</f>
        <v>3.82845925753931</v>
      </c>
      <c r="I2899" s="38" t="n">
        <f aca="false">Sens!$H$2895*y_cash</f>
        <v>2.10589651022864</v>
      </c>
      <c r="J2899" s="38" t="n">
        <f aca="false">Sens!$I$2895*y_cash</f>
        <v>2.10589651022864</v>
      </c>
      <c r="K2899" s="38" t="n">
        <f aca="false">Sens!$J$2895*y_cash</f>
        <v>3.12313026033929</v>
      </c>
      <c r="L2899" s="38" t="n">
        <f aca="false">Sens!$K$2895*y_cash</f>
        <v>8.19138379482747</v>
      </c>
      <c r="M2899" s="38" t="n">
        <f aca="false">Sens!$L$2895*y_cash</f>
        <v>15.703049870616</v>
      </c>
    </row>
    <row r="2900" customFormat="false" ht="17.15" hidden="false" customHeight="false" outlineLevel="0" collapsed="false">
      <c r="A2900" s="47" t="s">
        <v>804</v>
      </c>
      <c r="B2900" s="14" t="s">
        <v>86</v>
      </c>
      <c r="C2900" s="14"/>
      <c r="D2900" s="14"/>
      <c r="E2900" s="14"/>
      <c r="F2900" s="14"/>
      <c r="G2900" s="48" t="n">
        <f aca="false">SUM(Sens!$G$2889:$K$2889)</f>
        <v>9.85471695547294</v>
      </c>
      <c r="H2900" s="14"/>
      <c r="I2900" s="14"/>
      <c r="J2900" s="14"/>
      <c r="K2900" s="14"/>
      <c r="L2900" s="14"/>
      <c r="M2900" s="14"/>
      <c r="N2900" s="14"/>
      <c r="O2900" s="14"/>
    </row>
    <row r="2901" customFormat="false" ht="17.15" hidden="false" customHeight="false" outlineLevel="0" collapsed="false">
      <c r="A2901" s="0" t="s">
        <v>770</v>
      </c>
      <c r="B2901" s="0" t="s">
        <v>86</v>
      </c>
      <c r="G2901" s="38" t="n">
        <f aca="false">SUM(Sens!$G$2894:$K$2894)</f>
        <v>28.0031392874307</v>
      </c>
    </row>
    <row r="2902" customFormat="false" ht="17.15" hidden="false" customHeight="false" outlineLevel="0" collapsed="false">
      <c r="A2902" s="24" t="s">
        <v>807</v>
      </c>
      <c r="B2902" s="25" t="s">
        <v>86</v>
      </c>
      <c r="C2902" s="25"/>
      <c r="D2902" s="25"/>
      <c r="E2902" s="25"/>
      <c r="F2902" s="25"/>
      <c r="G2902" s="41" t="n">
        <f aca="false">Sens!$G$2900-(Sens!$G$2889+Sens!$H$2889+Sens!$I$2889+Sens!$J$2889+Sens!$K$2889)</f>
        <v>0</v>
      </c>
      <c r="H2902" s="25"/>
      <c r="I2902" s="25"/>
      <c r="J2902" s="25"/>
      <c r="K2902" s="25"/>
      <c r="L2902" s="25"/>
      <c r="M2902" s="25"/>
      <c r="N2902" s="25"/>
      <c r="O2902" s="25"/>
    </row>
    <row r="2905" customFormat="false" ht="19.4" hidden="false" customHeight="false" outlineLevel="0" collapsed="false">
      <c r="A2905" s="31" t="s">
        <v>1186</v>
      </c>
    </row>
    <row r="2906" customFormat="false" ht="17.15" hidden="false" customHeight="false" outlineLevel="0" collapsed="false">
      <c r="A2906" s="6" t="s">
        <v>16</v>
      </c>
      <c r="B2906" s="6" t="s">
        <v>17</v>
      </c>
      <c r="C2906" s="20" t="s">
        <v>494</v>
      </c>
      <c r="D2906" s="20" t="s">
        <v>495</v>
      </c>
      <c r="E2906" s="20" t="s">
        <v>577</v>
      </c>
      <c r="F2906" s="20" t="s">
        <v>578</v>
      </c>
      <c r="G2906" s="20" t="s">
        <v>579</v>
      </c>
      <c r="H2906" s="20" t="s">
        <v>580</v>
      </c>
      <c r="I2906" s="20" t="s">
        <v>581</v>
      </c>
      <c r="J2906" s="20" t="s">
        <v>582</v>
      </c>
      <c r="K2906" s="20" t="s">
        <v>583</v>
      </c>
      <c r="L2906" s="20" t="s">
        <v>584</v>
      </c>
      <c r="M2906" s="20" t="s">
        <v>585</v>
      </c>
      <c r="N2906" s="20" t="s">
        <v>586</v>
      </c>
      <c r="O2906" s="20" t="s">
        <v>587</v>
      </c>
      <c r="P2906" s="6" t="s">
        <v>23</v>
      </c>
      <c r="R2906" s="20" t="n">
        <v>2023</v>
      </c>
      <c r="S2906" s="20" t="n">
        <v>2024</v>
      </c>
      <c r="T2906" s="20" t="n">
        <v>2025</v>
      </c>
      <c r="U2906" s="20" t="n">
        <v>2026</v>
      </c>
      <c r="V2906" s="20" t="n">
        <v>2027</v>
      </c>
      <c r="W2906" s="20" t="n">
        <v>2028</v>
      </c>
      <c r="X2906" s="20" t="n">
        <v>2029</v>
      </c>
      <c r="Y2906" s="20" t="n">
        <v>2030</v>
      </c>
      <c r="Z2906" s="20" t="n">
        <v>2031</v>
      </c>
      <c r="AA2906" s="20" t="n">
        <v>2032</v>
      </c>
    </row>
    <row r="2907" customFormat="false" ht="17.15" hidden="false" customHeight="false" outlineLevel="0" collapsed="false">
      <c r="A2907" s="1" t="s">
        <v>909</v>
      </c>
    </row>
    <row r="2908" customFormat="false" ht="17.15" hidden="false" customHeight="false" outlineLevel="0" collapsed="false">
      <c r="A2908" s="0" t="s">
        <v>910</v>
      </c>
      <c r="B2908" s="0" t="s">
        <v>86</v>
      </c>
      <c r="H2908" s="38" t="n">
        <f aca="false">Sens!$H$2842*(1-tax)</f>
        <v>117.290385379732</v>
      </c>
      <c r="I2908" s="38" t="n">
        <f aca="false">Sens!$I$2842*(1-tax)</f>
        <v>141.915432710045</v>
      </c>
      <c r="J2908" s="38" t="n">
        <f aca="false">Sens!$J$2842*(1-tax)</f>
        <v>165.447284402316</v>
      </c>
      <c r="K2908" s="38" t="n">
        <f aca="false">Sens!$K$2842*(1-tax)</f>
        <v>182.261268649367</v>
      </c>
      <c r="L2908" s="38" t="n">
        <f aca="false">Sens!$L$2842*(1-tax)</f>
        <v>197.30259091248</v>
      </c>
      <c r="M2908" s="38" t="n">
        <f aca="false">Sens!$M$2842*(1-tax)</f>
        <v>209.676934381296</v>
      </c>
    </row>
    <row r="2909" customFormat="false" ht="15" hidden="false" customHeight="false" outlineLevel="0" collapsed="false">
      <c r="A2909" s="5" t="s">
        <v>911</v>
      </c>
      <c r="B2909" s="0" t="s">
        <v>86</v>
      </c>
      <c r="H2909" s="38" t="n">
        <f aca="false">Sens!$H$2853</f>
        <v>83.8447216182162</v>
      </c>
      <c r="I2909" s="38" t="n">
        <f aca="false">Sens!$I$2853</f>
        <v>116.331444102277</v>
      </c>
      <c r="J2909" s="38" t="n">
        <f aca="false">Sens!$J$2853</f>
        <v>149.61589746266</v>
      </c>
      <c r="K2909" s="38" t="n">
        <f aca="false">Sens!$K$2853</f>
        <v>183.220363860988</v>
      </c>
      <c r="L2909" s="38" t="n">
        <f aca="false">Sens!$L$2853</f>
        <v>206.699493864265</v>
      </c>
      <c r="M2909" s="38" t="n">
        <f aca="false">Sens!$M$2853</f>
        <v>222.788475421869</v>
      </c>
    </row>
    <row r="2910" customFormat="false" ht="15" hidden="false" customHeight="false" outlineLevel="0" collapsed="false">
      <c r="A2910" s="5" t="s">
        <v>912</v>
      </c>
      <c r="B2910" s="0" t="s">
        <v>86</v>
      </c>
      <c r="H2910" s="38" t="n">
        <f aca="false">Sens!$H$2884</f>
        <v>272.067452703084</v>
      </c>
      <c r="I2910" s="38" t="n">
        <f aca="false">Sens!$I$2884</f>
        <v>285.315610743022</v>
      </c>
      <c r="J2910" s="38" t="n">
        <f aca="false">Sens!$J$2884</f>
        <v>297.372079031696</v>
      </c>
      <c r="K2910" s="38" t="n">
        <f aca="false">Sens!$K$2884</f>
        <v>248.957168774612</v>
      </c>
      <c r="L2910" s="38" t="n">
        <f aca="false">Sens!$L$2884</f>
        <v>232.428368864211</v>
      </c>
      <c r="M2910" s="38" t="n">
        <f aca="false">Sens!$M$2884</f>
        <v>239.842310508381</v>
      </c>
    </row>
    <row r="2911" customFormat="false" ht="15" hidden="false" customHeight="false" outlineLevel="0" collapsed="false">
      <c r="A2911" s="5" t="s">
        <v>913</v>
      </c>
      <c r="B2911" s="0" t="s">
        <v>86</v>
      </c>
      <c r="H2911" s="38" t="n">
        <f aca="false">Sens!$H$2885</f>
        <v>1.6</v>
      </c>
      <c r="I2911" s="38" t="n">
        <f aca="false">Sens!$I$2885</f>
        <v>1.6</v>
      </c>
      <c r="J2911" s="38" t="n">
        <f aca="false">Sens!$J$2885</f>
        <v>1.6</v>
      </c>
      <c r="K2911" s="38" t="n">
        <f aca="false">Sens!$K$2885</f>
        <v>1.6</v>
      </c>
      <c r="L2911" s="38" t="n">
        <f aca="false">Sens!$L$2885</f>
        <v>1.6</v>
      </c>
      <c r="M2911" s="38" t="n">
        <f aca="false">Sens!$M$2885</f>
        <v>1.6</v>
      </c>
    </row>
    <row r="2912" customFormat="false" ht="15" hidden="false" customHeight="false" outlineLevel="0" collapsed="false">
      <c r="A2912" s="5" t="s">
        <v>914</v>
      </c>
      <c r="B2912" s="0" t="s">
        <v>86</v>
      </c>
      <c r="H2912" s="38" t="n">
        <f aca="false">Sens!$H$2879</f>
        <v>11.2730575901563</v>
      </c>
      <c r="I2912" s="38" t="n">
        <f aca="false">Sens!$I$2879</f>
        <v>12.7677427394691</v>
      </c>
      <c r="J2912" s="38" t="n">
        <f aca="false">Sens!$J$2879</f>
        <v>14.2024722890862</v>
      </c>
      <c r="K2912" s="38" t="n">
        <f aca="false">Sens!$K$2879</f>
        <v>15.465341073296</v>
      </c>
      <c r="L2912" s="38" t="n">
        <f aca="false">Sens!$L$2879</f>
        <v>16.6430782738287</v>
      </c>
      <c r="M2912" s="38" t="n">
        <f aca="false">Sens!$M$2879</f>
        <v>17.7399371668781</v>
      </c>
    </row>
    <row r="2913" customFormat="false" ht="17.15" hidden="false" customHeight="false" outlineLevel="0" collapsed="false">
      <c r="A2913" s="1" t="s">
        <v>915</v>
      </c>
      <c r="B2913" s="8" t="s">
        <v>86</v>
      </c>
      <c r="H2913" s="38" t="n">
        <f aca="false">Sens!$H$2908+Sens!$H$2909-Sens!$H$2910-Sens!$H$2911+Sens!$H$2912</f>
        <v>-61.2592881149787</v>
      </c>
      <c r="I2913" s="38" t="n">
        <f aca="false">Sens!$I$2908+Sens!$I$2909-Sens!$I$2910-Sens!$I$2911+Sens!$I$2912</f>
        <v>-15.9009911912313</v>
      </c>
      <c r="J2913" s="38" t="n">
        <f aca="false">Sens!$J$2908+Sens!$J$2909-Sens!$J$2910-Sens!$J$2911+Sens!$J$2912</f>
        <v>30.2935751223665</v>
      </c>
      <c r="K2913" s="38" t="n">
        <f aca="false">Sens!$K$2908+Sens!$K$2909-Sens!$K$2910-Sens!$K$2911+Sens!$K$2912</f>
        <v>130.389804809039</v>
      </c>
      <c r="L2913" s="38" t="n">
        <f aca="false">Sens!$L$2908+Sens!$L$2909-Sens!$L$2910-Sens!$L$2911+Sens!$L$2912</f>
        <v>186.616794186362</v>
      </c>
      <c r="M2913" s="38" t="n">
        <f aca="false">Sens!$M$2908+Sens!$M$2909-Sens!$M$2910-Sens!$M$2911+Sens!$M$2912</f>
        <v>208.763036461663</v>
      </c>
    </row>
    <row r="2914" customFormat="false" ht="15" hidden="false" customHeight="false" outlineLevel="0" collapsed="false">
      <c r="A2914" s="5" t="s">
        <v>916</v>
      </c>
      <c r="B2914" s="0" t="s">
        <v>57</v>
      </c>
      <c r="H2914" s="40" t="n">
        <f aca="false">1/(1+wacc)^(2027-2026-0.5)</f>
        <v>0.947751320380232</v>
      </c>
      <c r="I2914" s="40" t="n">
        <f aca="false">1/(1+wacc)^(2028-2026-0.5)</f>
        <v>0.851301099754987</v>
      </c>
      <c r="J2914" s="40" t="n">
        <f aca="false">1/(1+wacc)^(2029-2026-0.5)</f>
        <v>0.764666370660713</v>
      </c>
      <c r="K2914" s="40" t="n">
        <f aca="false">1/(1+wacc)^(2030-2026-0.5)</f>
        <v>0.686848235703811</v>
      </c>
      <c r="L2914" s="40" t="n">
        <f aca="false">1/(1+wacc)^(2031-2026-0.5)</f>
        <v>0.616949452715975</v>
      </c>
      <c r="M2914" s="40" t="n">
        <f aca="false">1/(1+wacc)^(2032-2026-0.5)</f>
        <v>0.554164089562688</v>
      </c>
    </row>
    <row r="2915" customFormat="false" ht="15" hidden="false" customHeight="false" outlineLevel="0" collapsed="false">
      <c r="A2915" s="5" t="s">
        <v>917</v>
      </c>
      <c r="B2915" s="0" t="s">
        <v>86</v>
      </c>
      <c r="H2915" s="38" t="n">
        <f aca="false">Sens!$H$2913*Sens!$H$2914</f>
        <v>-58.0585711965241</v>
      </c>
      <c r="I2915" s="38" t="n">
        <f aca="false">Sens!$I$2913*Sens!$I$2914</f>
        <v>-13.5365312882896</v>
      </c>
      <c r="J2915" s="38" t="n">
        <f aca="false">Sens!$J$2913*Sens!$J$2914</f>
        <v>23.1644781431576</v>
      </c>
      <c r="K2915" s="38" t="n">
        <f aca="false">Sens!$K$2913*Sens!$K$2914</f>
        <v>89.5580073868526</v>
      </c>
      <c r="L2915" s="38" t="n">
        <f aca="false">Sens!$L$2913*Sens!$L$2914</f>
        <v>115.133129040886</v>
      </c>
      <c r="M2915" s="38" t="n">
        <f aca="false">Sens!$M$2913*Sens!$M$2914</f>
        <v>115.68897803512</v>
      </c>
    </row>
    <row r="2916" customFormat="false" ht="15" hidden="false" customHeight="false" outlineLevel="0" collapsed="false">
      <c r="A2916" s="5" t="s">
        <v>918</v>
      </c>
      <c r="B2916" s="0" t="s">
        <v>86</v>
      </c>
      <c r="C2916" s="38" t="n">
        <f aca="false">SUM(Sens!$H$2915:$M$2915)</f>
        <v>271.949490121203</v>
      </c>
    </row>
    <row r="2917" customFormat="false" ht="17.15" hidden="false" customHeight="false" outlineLevel="0" collapsed="false">
      <c r="A2917" s="5" t="s">
        <v>919</v>
      </c>
      <c r="B2917" s="0" t="s">
        <v>86</v>
      </c>
      <c r="C2917" s="38" t="n">
        <f aca="false">Sens!$M$2908*(1+tg)*(1-tg/ronic)/(wacc-tg)</f>
        <v>1906.19730867564</v>
      </c>
    </row>
    <row r="2918" customFormat="false" ht="15" hidden="false" customHeight="false" outlineLevel="0" collapsed="false">
      <c r="A2918" s="5" t="s">
        <v>920</v>
      </c>
      <c r="B2918" s="0" t="s">
        <v>86</v>
      </c>
      <c r="C2918" s="38" t="n">
        <f aca="false">Sens!$C$2917/(1+wacc)^6</f>
        <v>1001.15340734693</v>
      </c>
    </row>
    <row r="2919" customFormat="false" ht="17.15" hidden="false" customHeight="false" outlineLevel="0" collapsed="false">
      <c r="A2919" s="5" t="s">
        <v>921</v>
      </c>
      <c r="B2919" s="0" t="s">
        <v>86</v>
      </c>
      <c r="C2919" s="38" t="n">
        <f aca="false">Sens!$C$2916+Sens!$C$2918</f>
        <v>1273.10289746813</v>
      </c>
    </row>
    <row r="2920" customFormat="false" ht="17.15" hidden="false" customHeight="false" outlineLevel="0" collapsed="false">
      <c r="A2920" s="5" t="s">
        <v>922</v>
      </c>
      <c r="B2920" s="0" t="s">
        <v>52</v>
      </c>
      <c r="C2920" s="13" t="n">
        <f aca="false">Sens!$C$2918/Sens!$C$2919</f>
        <v>0.786388444593097</v>
      </c>
    </row>
    <row r="2921" customFormat="false" ht="17.15" hidden="false" customHeight="false" outlineLevel="0" collapsed="false">
      <c r="A2921" s="5" t="s">
        <v>923</v>
      </c>
      <c r="B2921" s="0" t="s">
        <v>86</v>
      </c>
      <c r="C2921" s="38" t="n">
        <f aca="false">Sens!$G$2897+fin_debt</f>
        <v>95.8674377709952</v>
      </c>
    </row>
    <row r="2922" customFormat="false" ht="17.15" hidden="false" customHeight="false" outlineLevel="0" collapsed="false">
      <c r="A2922" s="5" t="s">
        <v>924</v>
      </c>
      <c r="B2922" s="0" t="s">
        <v>86</v>
      </c>
      <c r="C2922" s="38" t="n">
        <f aca="false">(ant_val*ant_sh+oai_val*oai_sh)*(1-liq_disc)</f>
        <v>178.944</v>
      </c>
    </row>
    <row r="2923" customFormat="false" ht="15" hidden="false" customHeight="false" outlineLevel="0" collapsed="false">
      <c r="A2923" s="5" t="s">
        <v>925</v>
      </c>
      <c r="B2923" s="0" t="s">
        <v>86</v>
      </c>
      <c r="C2923" s="38" t="n">
        <f aca="false">Sens!$C$2919-Sens!$C$2921+Sens!$C$2922</f>
        <v>1356.17945969714</v>
      </c>
    </row>
    <row r="2924" customFormat="false" ht="17.15" hidden="false" customHeight="false" outlineLevel="0" collapsed="false">
      <c r="A2924" s="5" t="s">
        <v>926</v>
      </c>
      <c r="B2924" s="0" t="s">
        <v>27</v>
      </c>
      <c r="C2924" s="30" t="n">
        <f aca="false">Sens!$C$2923/sh_out</f>
        <v>125.731501947481</v>
      </c>
    </row>
    <row r="2925" customFormat="false" ht="17.15" hidden="false" customHeight="false" outlineLevel="0" collapsed="false">
      <c r="A2925" s="1" t="s">
        <v>927</v>
      </c>
      <c r="B2925" s="8" t="s">
        <v>27</v>
      </c>
      <c r="C2925" s="30" t="n">
        <f aca="false">Sens!$C$2924*(1+ke)^tp_yf-dps*tp_yf</f>
        <v>137.722370253735</v>
      </c>
    </row>
    <row r="2926" customFormat="false" ht="17.15" hidden="false" customHeight="false" outlineLevel="0" collapsed="false">
      <c r="A2926" s="3" t="s">
        <v>928</v>
      </c>
    </row>
    <row r="2927" customFormat="false" ht="17.15" hidden="false" customHeight="false" outlineLevel="0" collapsed="false">
      <c r="A2927" s="5" t="s">
        <v>929</v>
      </c>
      <c r="B2927" s="0" t="s">
        <v>86</v>
      </c>
      <c r="C2927" s="38" t="n">
        <f aca="false">(1-tp_yf)*(Sens!$H$2854+Sens!$H$2878*Sens!$H$2720/Sens!$H$2795)+tp_yf*(Sens!$I$2854+Sens!$I$2878*Sens!$I$2720/Sens!$I$2795)</f>
        <v>59.6336607661776</v>
      </c>
    </row>
    <row r="2928" customFormat="false" ht="15" hidden="false" customHeight="false" outlineLevel="0" collapsed="false">
      <c r="A2928" s="5" t="s">
        <v>930</v>
      </c>
      <c r="B2928" s="0" t="s">
        <v>57</v>
      </c>
      <c r="C2928" s="30" t="n">
        <f aca="false">m_ads*m_x</f>
        <v>9.11</v>
      </c>
    </row>
    <row r="2929" customFormat="false" ht="17.15" hidden="false" customHeight="false" outlineLevel="0" collapsed="false">
      <c r="A2929" s="5" t="s">
        <v>931</v>
      </c>
      <c r="B2929" s="0" t="s">
        <v>86</v>
      </c>
      <c r="C2929" s="38" t="n">
        <f aca="false">Sens!$C$2927*Sens!$C$2928</f>
        <v>543.262649579878</v>
      </c>
    </row>
    <row r="2930" customFormat="false" ht="17.15" hidden="false" customHeight="false" outlineLevel="0" collapsed="false">
      <c r="A2930" s="5" t="s">
        <v>932</v>
      </c>
      <c r="B2930" s="0" t="s">
        <v>86</v>
      </c>
      <c r="C2930" s="38" t="n">
        <f aca="false">(1-tp_yf)*(Sens!$H$2855+Sens!$H$2878*(Sens!$H$2727-Sens!$H$2720)/Sens!$H$2795+IF(internal_ai_reading=2,1,0)*(1-ext_sh)*Sens!$H$2757)+tp_yf*(Sens!$I$2855+Sens!$I$2878*(Sens!$I$2727-Sens!$I$2720)/Sens!$I$2795+IF(internal_ai_reading=2,1,0)*(1-ext_sh)*Sens!$I$2757)</f>
        <v>51.7897641951392</v>
      </c>
    </row>
    <row r="2931" customFormat="false" ht="17.15" hidden="false" customHeight="false" outlineLevel="0" collapsed="false">
      <c r="A2931" s="5" t="s">
        <v>933</v>
      </c>
      <c r="B2931" s="0" t="s">
        <v>57</v>
      </c>
      <c r="C2931" s="30" t="n">
        <f aca="false">m_retail*m_x</f>
        <v>17.72</v>
      </c>
    </row>
    <row r="2932" customFormat="false" ht="17.15" hidden="false" customHeight="false" outlineLevel="0" collapsed="false">
      <c r="A2932" s="5" t="s">
        <v>934</v>
      </c>
      <c r="B2932" s="0" t="s">
        <v>86</v>
      </c>
      <c r="C2932" s="38" t="n">
        <f aca="false">Sens!$C$2930*Sens!$C$2931</f>
        <v>917.714621537867</v>
      </c>
    </row>
    <row r="2933" customFormat="false" ht="17.15" hidden="false" customHeight="false" outlineLevel="0" collapsed="false">
      <c r="A2933" s="0" t="s">
        <v>935</v>
      </c>
      <c r="B2933" s="0" t="s">
        <v>86</v>
      </c>
      <c r="C2933" s="38" t="n">
        <f aca="false">(1-tp_yf)*(Sens!$H$2856+Sens!$H$2878*Sens!$H$2793/Sens!$H$2795)+tp_yf*(Sens!$I$2856+Sens!$I$2878*Sens!$I$2793/Sens!$I$2795)</f>
        <v>90.6342054412625</v>
      </c>
    </row>
    <row r="2934" customFormat="false" ht="17.15" hidden="false" customHeight="false" outlineLevel="0" collapsed="false">
      <c r="A2934" s="0" t="s">
        <v>936</v>
      </c>
      <c r="B2934" s="0" t="s">
        <v>57</v>
      </c>
      <c r="C2934" s="30" t="n">
        <f aca="false">m_cloud*m_x</f>
        <v>13.82</v>
      </c>
    </row>
    <row r="2935" customFormat="false" ht="17.15" hidden="false" customHeight="false" outlineLevel="0" collapsed="false">
      <c r="A2935" s="0" t="s">
        <v>937</v>
      </c>
      <c r="B2935" s="0" t="s">
        <v>86</v>
      </c>
      <c r="C2935" s="38" t="n">
        <f aca="false">Sens!$C$2933*Sens!$C$2934</f>
        <v>1252.56471919825</v>
      </c>
    </row>
    <row r="2936" customFormat="false" ht="17.15" hidden="false" customHeight="false" outlineLevel="0" collapsed="false">
      <c r="A2936" s="0" t="s">
        <v>938</v>
      </c>
      <c r="B2936" s="0" t="s">
        <v>86</v>
      </c>
      <c r="H2936" s="38" t="n">
        <f aca="false">Sens!$H$2774-tax*Sens!$H$2775-ext_sh*Sens!$H$2764</f>
        <v>-110.631668686423</v>
      </c>
      <c r="I2936" s="38" t="n">
        <f aca="false">Sens!$I$2774-tax*Sens!$I$2775-ext_sh*Sens!$I$2764</f>
        <v>-84.3397881778671</v>
      </c>
      <c r="J2936" s="38" t="n">
        <f aca="false">Sens!$J$2774-tax*Sens!$J$2775-ext_sh*Sens!$J$2764</f>
        <v>-57.0973391962256</v>
      </c>
      <c r="K2936" s="38" t="n">
        <f aca="false">Sens!$K$2774-tax*Sens!$K$2775-ext_sh*Sens!$K$2764</f>
        <v>14.1125740717773</v>
      </c>
      <c r="L2936" s="38" t="n">
        <f aca="false">Sens!$L$2774-tax*Sens!$L$2775-ext_sh*Sens!$L$2764</f>
        <v>50.7116604401268</v>
      </c>
      <c r="M2936" s="38" t="n">
        <f aca="false">Sens!$M$2774-tax*Sens!$M$2775-ext_sh*Sens!$M$2764</f>
        <v>59.4372891349453</v>
      </c>
    </row>
    <row r="2937" customFormat="false" ht="17.15" hidden="false" customHeight="false" outlineLevel="0" collapsed="false">
      <c r="A2937" s="5" t="s">
        <v>939</v>
      </c>
      <c r="B2937" s="0" t="s">
        <v>86</v>
      </c>
      <c r="H2937" s="38" t="n">
        <f aca="false">Sens!$H$2936*Sens!$H$2914</f>
        <v>-104.851310073426</v>
      </c>
      <c r="I2937" s="38" t="n">
        <f aca="false">Sens!$I$2936*Sens!$I$2914</f>
        <v>-71.798554428921</v>
      </c>
      <c r="J2937" s="38" t="n">
        <f aca="false">Sens!$J$2936*Sens!$J$2914</f>
        <v>-43.6604151375615</v>
      </c>
      <c r="K2937" s="38" t="n">
        <f aca="false">Sens!$K$2936*Sens!$K$2914</f>
        <v>9.69319660243962</v>
      </c>
      <c r="L2937" s="38" t="n">
        <f aca="false">Sens!$L$2936*Sens!$L$2914</f>
        <v>31.2865311548546</v>
      </c>
      <c r="M2937" s="38" t="n">
        <f aca="false">Sens!$M$2936*Sens!$M$2914</f>
        <v>32.9380112195413</v>
      </c>
    </row>
    <row r="2938" customFormat="false" ht="17.15" hidden="false" customHeight="false" outlineLevel="0" collapsed="false">
      <c r="A2938" s="5" t="s">
        <v>940</v>
      </c>
      <c r="B2938" s="0" t="s">
        <v>86</v>
      </c>
      <c r="C2938" s="38" t="n">
        <f aca="false">Sens!$M$2775*(1-tax)*(1+tg)*(1-tg/ronic)/(wacc-tg)</f>
        <v>399.92981567474</v>
      </c>
    </row>
    <row r="2939" customFormat="false" ht="17.15" hidden="false" customHeight="false" outlineLevel="0" collapsed="false">
      <c r="A2939" s="0" t="s">
        <v>941</v>
      </c>
      <c r="B2939" s="0" t="s">
        <v>86</v>
      </c>
      <c r="C2939" s="38" t="n">
        <f aca="false">(SUM(Sens!$H$2937:$M$2937)+Sens!$C$2938/(1+wacc)^6)*(1+wacc)^tp_yf</f>
        <v>69.5247872004795</v>
      </c>
    </row>
    <row r="2940" customFormat="false" ht="17.15" hidden="false" customHeight="false" outlineLevel="0" collapsed="false">
      <c r="A2940" s="5" t="s">
        <v>942</v>
      </c>
      <c r="B2940" s="0" t="s">
        <v>86</v>
      </c>
      <c r="C2940" s="38" t="n">
        <f aca="false">(1-tp_yf)*(Sens!$H$2857)+tp_yf*(Sens!$I$2857)</f>
        <v>79.5553243634055</v>
      </c>
    </row>
    <row r="2941" customFormat="false" ht="17.15" hidden="false" customHeight="false" outlineLevel="0" collapsed="false">
      <c r="A2941" s="5" t="s">
        <v>943</v>
      </c>
      <c r="B2941" s="0" t="s">
        <v>86</v>
      </c>
      <c r="C2941" s="38" t="n">
        <f aca="false">Sens!$C$2940*m_ai</f>
        <v>477.331946180433</v>
      </c>
    </row>
    <row r="2942" customFormat="false" ht="17.15" hidden="false" customHeight="false" outlineLevel="0" collapsed="false">
      <c r="A2942" s="0" t="s">
        <v>944</v>
      </c>
      <c r="B2942" s="0" t="s">
        <v>86</v>
      </c>
      <c r="C2942" s="38" t="n">
        <f aca="false">IF(ai_leg=1,Sens!$C$2939,Sens!$C$2941)</f>
        <v>69.5247872004795</v>
      </c>
    </row>
    <row r="2943" customFormat="false" ht="17.15" hidden="false" customHeight="false" outlineLevel="0" collapsed="false">
      <c r="A2943" s="5" t="s">
        <v>945</v>
      </c>
      <c r="B2943" s="0" t="s">
        <v>86</v>
      </c>
      <c r="C2943" s="38" t="n">
        <f aca="false">Sens!$C$2929+Sens!$C$2932+Sens!$C$2935+Sens!$C$2942</f>
        <v>2783.06677751647</v>
      </c>
    </row>
    <row r="2944" customFormat="false" ht="17.15" hidden="false" customHeight="false" outlineLevel="0" collapsed="false">
      <c r="A2944" s="5" t="s">
        <v>946</v>
      </c>
      <c r="B2944" s="0" t="s">
        <v>86</v>
      </c>
      <c r="C2944" s="38" t="n">
        <f aca="false">Sens!$H$2897+fin_debt</f>
        <v>149.207988587069</v>
      </c>
    </row>
    <row r="2945" customFormat="false" ht="15" hidden="false" customHeight="false" outlineLevel="0" collapsed="false">
      <c r="A2945" s="5" t="s">
        <v>947</v>
      </c>
      <c r="B2945" s="0" t="s">
        <v>86</v>
      </c>
      <c r="C2945" s="38" t="n">
        <f aca="false">Sens!$C$2943-Sens!$C$2944+Sens!$C$2922</f>
        <v>2812.8027889294</v>
      </c>
    </row>
    <row r="2946" customFormat="false" ht="15" hidden="false" customHeight="false" outlineLevel="0" collapsed="false">
      <c r="A2946" s="3" t="s">
        <v>948</v>
      </c>
      <c r="B2946" s="8" t="s">
        <v>27</v>
      </c>
      <c r="C2946" s="30" t="n">
        <f aca="false">Sens!$C$2945/sh_val</f>
        <v>255.006592643637</v>
      </c>
    </row>
    <row r="2947" customFormat="false" ht="17.15" hidden="false" customHeight="false" outlineLevel="0" collapsed="false">
      <c r="A2947" s="47" t="s">
        <v>949</v>
      </c>
      <c r="B2947" s="14" t="s">
        <v>27</v>
      </c>
      <c r="C2947" s="44" t="n">
        <f aca="false">w_dcf*Sens!$C$2925+(1-w_dcf)*Sens!$C$2946</f>
        <v>196.364481448686</v>
      </c>
      <c r="D2947" s="14"/>
      <c r="E2947" s="14"/>
      <c r="F2947" s="14"/>
      <c r="G2947" s="14"/>
      <c r="H2947" s="14"/>
      <c r="I2947" s="14"/>
      <c r="J2947" s="14"/>
      <c r="K2947" s="14"/>
      <c r="L2947" s="14"/>
      <c r="M2947" s="14"/>
      <c r="N2947" s="14"/>
      <c r="O2947" s="14"/>
    </row>
    <row r="2948" customFormat="false" ht="17.15" hidden="false" customHeight="false" outlineLevel="0" collapsed="false">
      <c r="A2948" s="5" t="s">
        <v>950</v>
      </c>
      <c r="B2948" s="0" t="s">
        <v>27</v>
      </c>
      <c r="C2948" s="30" t="n">
        <f aca="false">v022_wdcf*Sens!$C$2925+(1-v022_wdcf)*Sens!$C$2946</f>
        <v>202.228692568181</v>
      </c>
    </row>
    <row r="2949" customFormat="false" ht="17.15" hidden="false" customHeight="false" outlineLevel="0" collapsed="false">
      <c r="A2949" s="5" t="s">
        <v>951</v>
      </c>
      <c r="B2949" s="0" t="s">
        <v>27</v>
      </c>
      <c r="C2949" s="30" t="n">
        <f aca="false">(Sens!$C$2945-Sens!$C$2942+Sens!$C$2941)/sh_val</f>
        <v>291.978084024567</v>
      </c>
    </row>
    <row r="2952" customFormat="false" ht="19.4" hidden="false" customHeight="false" outlineLevel="0" collapsed="false">
      <c r="A2952" s="31" t="s">
        <v>1187</v>
      </c>
    </row>
    <row r="2953" customFormat="false" ht="17.15" hidden="false" customHeight="false" outlineLevel="0" collapsed="false">
      <c r="A2953" s="6" t="s">
        <v>16</v>
      </c>
      <c r="B2953" s="6" t="s">
        <v>17</v>
      </c>
      <c r="C2953" s="20" t="s">
        <v>494</v>
      </c>
      <c r="D2953" s="20" t="s">
        <v>495</v>
      </c>
      <c r="E2953" s="20" t="s">
        <v>577</v>
      </c>
      <c r="F2953" s="20" t="s">
        <v>578</v>
      </c>
      <c r="G2953" s="20" t="s">
        <v>579</v>
      </c>
      <c r="H2953" s="20" t="s">
        <v>580</v>
      </c>
      <c r="I2953" s="20" t="s">
        <v>581</v>
      </c>
      <c r="J2953" s="20" t="s">
        <v>582</v>
      </c>
      <c r="K2953" s="20" t="s">
        <v>583</v>
      </c>
      <c r="L2953" s="20" t="s">
        <v>584</v>
      </c>
      <c r="M2953" s="20" t="s">
        <v>585</v>
      </c>
      <c r="N2953" s="20" t="s">
        <v>586</v>
      </c>
      <c r="O2953" s="20" t="s">
        <v>587</v>
      </c>
      <c r="P2953" s="6" t="s">
        <v>23</v>
      </c>
      <c r="R2953" s="20" t="n">
        <v>2023</v>
      </c>
      <c r="S2953" s="20" t="n">
        <v>2024</v>
      </c>
      <c r="T2953" s="20" t="n">
        <v>2025</v>
      </c>
      <c r="U2953" s="20" t="n">
        <v>2026</v>
      </c>
      <c r="V2953" s="20" t="n">
        <v>2027</v>
      </c>
      <c r="W2953" s="20" t="n">
        <v>2028</v>
      </c>
      <c r="X2953" s="20" t="n">
        <v>2029</v>
      </c>
      <c r="Y2953" s="20" t="n">
        <v>2030</v>
      </c>
      <c r="Z2953" s="20" t="n">
        <v>2031</v>
      </c>
      <c r="AA2953" s="20" t="n">
        <v>2032</v>
      </c>
    </row>
    <row r="2954" customFormat="false" ht="17.15" hidden="false" customHeight="false" outlineLevel="0" collapsed="false">
      <c r="A2954" s="1" t="s">
        <v>660</v>
      </c>
    </row>
    <row r="2955" customFormat="false" ht="17.15" hidden="false" customHeight="false" outlineLevel="0" collapsed="false">
      <c r="A2955" s="0" t="s">
        <v>516</v>
      </c>
      <c r="B2955" s="0" t="s">
        <v>86</v>
      </c>
      <c r="C2955" s="38" t="n">
        <f aca="false">Q!$D$10</f>
        <v>247.029</v>
      </c>
      <c r="D2955" s="38" t="n">
        <f aca="false">Q!$E$10</f>
        <v>269.287</v>
      </c>
      <c r="E2955" s="38" t="n">
        <f aca="false">Q!$P$10</f>
        <v>134.686</v>
      </c>
      <c r="F2955" s="38" t="n">
        <f aca="false">Sens!$O$2955*(1+Sens!$F$2956)*Sens!$F$2967</f>
        <v>158.293876822267</v>
      </c>
      <c r="G2955" s="38" t="n">
        <f aca="false">Sens!$E$2955+Sens!$F$2955</f>
        <v>292.979876822267</v>
      </c>
      <c r="H2955" s="38" t="n">
        <f aca="false">Sens!$G$2955*(1+Sens!$H$2956)</f>
        <v>318.184543087396</v>
      </c>
      <c r="I2955" s="38" t="n">
        <f aca="false">Sens!$H$2955*(1+Sens!$I$2956)</f>
        <v>341.736278761793</v>
      </c>
      <c r="J2955" s="38" t="n">
        <f aca="false">Sens!$I$2955*(1+Sens!$J$2956)</f>
        <v>362.927192787048</v>
      </c>
      <c r="K2955" s="38" t="n">
        <f aca="false">Sens!$J$2955*(1+Sens!$K$2956)</f>
        <v>381.0735524264</v>
      </c>
      <c r="L2955" s="38" t="n">
        <f aca="false">Sens!$K$2955*(1+Sens!$L$2956)</f>
        <v>400.12723004772</v>
      </c>
      <c r="M2955" s="38" t="n">
        <f aca="false">Sens!$L$2955*(1+Sens!$M$2956)</f>
        <v>420.133591550106</v>
      </c>
      <c r="N2955" s="38" t="n">
        <f aca="false">Q!$N$10</f>
        <v>118.892</v>
      </c>
      <c r="O2955" s="38" t="n">
        <f aca="false">Q!$O$10</f>
        <v>150.395</v>
      </c>
      <c r="P2955" s="8" t="s">
        <v>661</v>
      </c>
    </row>
    <row r="2956" customFormat="false" ht="17.15" hidden="false" customHeight="false" outlineLevel="0" collapsed="false">
      <c r="A2956" s="0" t="s">
        <v>662</v>
      </c>
      <c r="B2956" s="0" t="s">
        <v>52</v>
      </c>
      <c r="E2956" s="13" t="n">
        <f aca="false">Sens!$E$2955/Sens!$N$2955-1</f>
        <v>0.132843252699929</v>
      </c>
      <c r="F2956" s="13" t="n">
        <f aca="false">Sens!$O$2955/(Q!$F$10+Q!$G$10)-1</f>
        <v>0.0980382135842941</v>
      </c>
      <c r="G2956" s="13" t="n">
        <f aca="false">Sens!$G$2955/Sens!$D$2955-1</f>
        <v>0.0879837378791657</v>
      </c>
      <c r="H2956" s="13" t="n">
        <f aca="false">Sens!$F$2956+(g_os-Sens!$F$2956)*1/4</f>
        <v>0.0860286601882206</v>
      </c>
      <c r="I2956" s="13" t="n">
        <f aca="false">Sens!$F$2956+(g_os-Sens!$F$2956)*2/4</f>
        <v>0.074019106792147</v>
      </c>
      <c r="J2956" s="13" t="n">
        <f aca="false">Sens!$F$2956+(g_os-Sens!$F$2956)*3/4</f>
        <v>0.0620095533960735</v>
      </c>
      <c r="K2956" s="13" t="n">
        <f aca="false">Sens!$F$2956+(g_os-Sens!$F$2956)*4/4</f>
        <v>0.05</v>
      </c>
      <c r="L2956" s="13" t="n">
        <f aca="false">g_os</f>
        <v>0.05</v>
      </c>
      <c r="M2956" s="13" t="n">
        <f aca="false">g_os</f>
        <v>0.05</v>
      </c>
      <c r="P2956" s="8" t="s">
        <v>663</v>
      </c>
    </row>
    <row r="2957" customFormat="false" ht="17.15" hidden="false" customHeight="false" outlineLevel="0" collapsed="false">
      <c r="A2957" s="0" t="s">
        <v>517</v>
      </c>
      <c r="B2957" s="0" t="s">
        <v>86</v>
      </c>
      <c r="C2957" s="38" t="n">
        <f aca="false">Q!$D$11</f>
        <v>21.215</v>
      </c>
      <c r="D2957" s="38" t="n">
        <f aca="false">Q!$E$11</f>
        <v>22.561</v>
      </c>
      <c r="E2957" s="38" t="n">
        <f aca="false">Q!$P$11</f>
        <v>11.579</v>
      </c>
      <c r="F2957" s="38" t="n">
        <f aca="false">Sens!$O$2957*(1+Sens!$F$2958)*Sens!$F$2967</f>
        <v>11.5938724610325</v>
      </c>
      <c r="G2957" s="38" t="n">
        <f aca="false">Sens!$E$2957+Sens!$F$2957</f>
        <v>23.1728724610325</v>
      </c>
      <c r="H2957" s="38" t="n">
        <f aca="false">Sens!$G$2957*(1+Sens!$H$2958)</f>
        <v>24.353392759506</v>
      </c>
      <c r="I2957" s="38" t="n">
        <f aca="false">Sens!$H$2957*(1+Sens!$I$2958)</f>
        <v>25.4240338872015</v>
      </c>
      <c r="J2957" s="38" t="n">
        <f aca="false">Sens!$I$2957*(1+Sens!$J$2958)</f>
        <v>26.3642491017174</v>
      </c>
      <c r="K2957" s="38" t="n">
        <f aca="false">Sens!$J$2957*(1+Sens!$K$2958)</f>
        <v>27.155176574769</v>
      </c>
      <c r="L2957" s="38" t="n">
        <f aca="false">Sens!$K$2957*(1+Sens!$L$2958)</f>
        <v>27.969831872012</v>
      </c>
      <c r="M2957" s="38" t="n">
        <f aca="false">Sens!$L$2957*(1+Sens!$M$2958)</f>
        <v>28.8089268281724</v>
      </c>
      <c r="N2957" s="38" t="n">
        <f aca="false">Q!$N$11</f>
        <v>11.128</v>
      </c>
      <c r="O2957" s="38" t="n">
        <f aca="false">Q!$O$11</f>
        <v>11.433</v>
      </c>
      <c r="P2957" s="8" t="s">
        <v>661</v>
      </c>
    </row>
    <row r="2958" customFormat="false" ht="17.15" hidden="false" customHeight="false" outlineLevel="0" collapsed="false">
      <c r="A2958" s="0" t="s">
        <v>664</v>
      </c>
      <c r="B2958" s="0" t="s">
        <v>52</v>
      </c>
      <c r="E2958" s="13" t="n">
        <f aca="false">Sens!$E$2957/Sens!$N$2957-1</f>
        <v>0.0405283968368082</v>
      </c>
      <c r="F2958" s="13" t="n">
        <f aca="false">Sens!$O$2957/(Q!$F$11+Q!$G$11)-1</f>
        <v>0.0579254187100955</v>
      </c>
      <c r="G2958" s="13" t="n">
        <f aca="false">Sens!$G$2957/Sens!$D$2957-1</f>
        <v>0.0271208040881397</v>
      </c>
      <c r="H2958" s="13" t="n">
        <f aca="false">Sens!$F$2958+(g_ps-Sens!$F$2958)*1/4</f>
        <v>0.0509440640325716</v>
      </c>
      <c r="I2958" s="13" t="n">
        <f aca="false">Sens!$F$2958+(g_ps-Sens!$F$2958)*2/4</f>
        <v>0.0439627093550477</v>
      </c>
      <c r="J2958" s="13" t="n">
        <f aca="false">Sens!$F$2958+(g_ps-Sens!$F$2958)*3/4</f>
        <v>0.0369813546775239</v>
      </c>
      <c r="K2958" s="13" t="n">
        <f aca="false">Sens!$F$2958+(g_ps-Sens!$F$2958)*4/4</f>
        <v>0.03</v>
      </c>
      <c r="L2958" s="13" t="n">
        <f aca="false">g_ps</f>
        <v>0.03</v>
      </c>
      <c r="M2958" s="13" t="n">
        <f aca="false">g_ps</f>
        <v>0.03</v>
      </c>
      <c r="P2958" s="8" t="s">
        <v>665</v>
      </c>
    </row>
    <row r="2959" customFormat="false" ht="17.15" hidden="false" customHeight="false" outlineLevel="0" collapsed="false">
      <c r="A2959" s="0" t="s">
        <v>518</v>
      </c>
      <c r="B2959" s="0" t="s">
        <v>86</v>
      </c>
      <c r="C2959" s="38" t="n">
        <f aca="false">Q!$D$12</f>
        <v>156.146</v>
      </c>
      <c r="D2959" s="38" t="n">
        <f aca="false">Q!$E$12</f>
        <v>172.162</v>
      </c>
      <c r="E2959" s="38" t="n">
        <f aca="false">Q!$P$12</f>
        <v>88.358</v>
      </c>
      <c r="F2959" s="38" t="n">
        <f aca="false">Sens!$O$2959*(1+Sens!$F$2960)*Sens!$F$2967</f>
        <v>102.004388260171</v>
      </c>
      <c r="G2959" s="38" t="n">
        <f aca="false">Sens!$E$2959+Sens!$F$2959</f>
        <v>190.362388260171</v>
      </c>
      <c r="H2959" s="38" t="n">
        <f aca="false">Sens!$G$2959*(1+Sens!$H$2960)</f>
        <v>210.343106588311</v>
      </c>
      <c r="I2959" s="38" t="n">
        <f aca="false">Sens!$H$2959*(1+Sens!$I$2960)</f>
        <v>229.969728494648</v>
      </c>
      <c r="J2959" s="38" t="n">
        <f aca="false">Sens!$I$2959*(1+Sens!$J$2960)</f>
        <v>248.747636972598</v>
      </c>
      <c r="K2959" s="38" t="n">
        <f aca="false">Sens!$J$2959*(1+Sens!$K$2960)</f>
        <v>266.15997156068</v>
      </c>
      <c r="L2959" s="38" t="n">
        <f aca="false">Sens!$K$2959*(1+Sens!$L$2960)</f>
        <v>284.791169569927</v>
      </c>
      <c r="M2959" s="38" t="n">
        <f aca="false">Sens!$L$2959*(1+Sens!$M$2960)</f>
        <v>304.726551439822</v>
      </c>
      <c r="N2959" s="38" t="n">
        <f aca="false">Q!$N$12</f>
        <v>76.86</v>
      </c>
      <c r="O2959" s="38" t="n">
        <f aca="false">Q!$O$12</f>
        <v>95.302</v>
      </c>
      <c r="P2959" s="8" t="s">
        <v>661</v>
      </c>
    </row>
    <row r="2960" customFormat="false" ht="17.15" hidden="false" customHeight="false" outlineLevel="0" collapsed="false">
      <c r="A2960" s="0" t="s">
        <v>666</v>
      </c>
      <c r="B2960" s="0" t="s">
        <v>52</v>
      </c>
      <c r="E2960" s="13" t="n">
        <f aca="false">Sens!$E$2959/Sens!$N$2959-1</f>
        <v>0.1495966692688</v>
      </c>
      <c r="F2960" s="13" t="n">
        <f aca="false">Sens!$O$2959/(Q!$F$12+Q!$G$12)-1</f>
        <v>0.11661530890813</v>
      </c>
      <c r="G2960" s="13" t="n">
        <f aca="false">Sens!$G$2959/Sens!$D$2959-1</f>
        <v>0.105716640490767</v>
      </c>
      <c r="H2960" s="13" t="n">
        <f aca="false">Sens!$F$2960+(g_sp-Sens!$F$2960)*1/4</f>
        <v>0.104961481681098</v>
      </c>
      <c r="I2960" s="13" t="n">
        <f aca="false">Sens!$F$2960+(g_sp-Sens!$F$2960)*2/4</f>
        <v>0.0933076544540651</v>
      </c>
      <c r="J2960" s="13" t="n">
        <f aca="false">Sens!$F$2960+(g_sp-Sens!$F$2960)*3/4</f>
        <v>0.0816538272270325</v>
      </c>
      <c r="K2960" s="13" t="n">
        <f aca="false">Sens!$F$2960+(g_sp-Sens!$F$2960)*4/4</f>
        <v>0.07</v>
      </c>
      <c r="L2960" s="13" t="n">
        <f aca="false">g_sp</f>
        <v>0.07</v>
      </c>
      <c r="M2960" s="13" t="n">
        <f aca="false">g_sp</f>
        <v>0.07</v>
      </c>
      <c r="P2960" s="8" t="s">
        <v>667</v>
      </c>
    </row>
    <row r="2961" customFormat="false" ht="17.15" hidden="false" customHeight="false" outlineLevel="0" collapsed="false">
      <c r="A2961" s="0" t="s">
        <v>519</v>
      </c>
      <c r="B2961" s="0" t="s">
        <v>86</v>
      </c>
      <c r="C2961" s="38" t="n">
        <f aca="false">Q!$D$13</f>
        <v>56.214</v>
      </c>
      <c r="D2961" s="38" t="n">
        <f aca="false">Q!$E$13</f>
        <v>68.635</v>
      </c>
      <c r="E2961" s="38" t="n">
        <f aca="false">Q!$P$13</f>
        <v>37.052</v>
      </c>
      <c r="F2961" s="38" t="n">
        <f aca="false">Sens!$O$2961*(1+Sens!$F$2962)*Sens!$F$2967</f>
        <v>46.1572219944148</v>
      </c>
      <c r="G2961" s="38" t="n">
        <f aca="false">Sens!$E$2961+Sens!$F$2961</f>
        <v>83.2092219944148</v>
      </c>
      <c r="H2961" s="38" t="n">
        <f aca="false">Sens!$G$2961*(1+Sens!$H$2962)</f>
        <v>99.8969223878976</v>
      </c>
      <c r="I2961" s="38" t="n">
        <f aca="false">Sens!$H$2961*(1+Sens!$I$2962)</f>
        <v>116.583111095496</v>
      </c>
      <c r="J2961" s="38" t="n">
        <f aca="false">Sens!$I$2961*(1+Sens!$J$2962)</f>
        <v>132.148941941952</v>
      </c>
      <c r="K2961" s="38" t="n">
        <f aca="false">Sens!$J$2961*(1+Sens!$K$2962)</f>
        <v>145.363836136147</v>
      </c>
      <c r="L2961" s="38" t="n">
        <f aca="false">Sens!$K$2961*(1+Sens!$L$2962)</f>
        <v>159.900219749762</v>
      </c>
      <c r="M2961" s="38" t="n">
        <f aca="false">Sens!$L$2961*(1+Sens!$M$2962)</f>
        <v>175.890241724738</v>
      </c>
      <c r="N2961" s="38" t="n">
        <f aca="false">Q!$N$13</f>
        <v>29.615</v>
      </c>
      <c r="O2961" s="38" t="n">
        <f aca="false">Q!$O$13</f>
        <v>39.02</v>
      </c>
      <c r="P2961" s="8" t="s">
        <v>661</v>
      </c>
    </row>
    <row r="2962" customFormat="false" ht="17.15" hidden="false" customHeight="false" outlineLevel="0" collapsed="false">
      <c r="A2962" s="0" t="s">
        <v>668</v>
      </c>
      <c r="B2962" s="0" t="s">
        <v>52</v>
      </c>
      <c r="E2962" s="13" t="n">
        <f aca="false">Sens!$E$2961/Sens!$N$2961-1</f>
        <v>0.25112274185379</v>
      </c>
      <c r="F2962" s="13" t="n">
        <f aca="false">Sens!$O$2961/(Q!$F$13+Q!$G$13)-1</f>
        <v>0.234068123596572</v>
      </c>
      <c r="G2962" s="13" t="n">
        <f aca="false">Sens!$G$2961/Sens!$D$2961-1</f>
        <v>0.212343876949294</v>
      </c>
      <c r="H2962" s="13" t="n">
        <f aca="false">Sens!$F$2962+(g_ad-Sens!$F$2962)*1/4</f>
        <v>0.200551092697429</v>
      </c>
      <c r="I2962" s="13" t="n">
        <f aca="false">Sens!$F$2962+(g_ad-Sens!$F$2962)*2/4</f>
        <v>0.167034061798286</v>
      </c>
      <c r="J2962" s="13" t="n">
        <f aca="false">Sens!$F$2962+(g_ad-Sens!$F$2962)*3/4</f>
        <v>0.133517030899143</v>
      </c>
      <c r="K2962" s="13" t="n">
        <f aca="false">Sens!$F$2962+(g_ad-Sens!$F$2962)*4/4</f>
        <v>0.1</v>
      </c>
      <c r="L2962" s="13" t="n">
        <f aca="false">g_ad</f>
        <v>0.1</v>
      </c>
      <c r="M2962" s="13" t="n">
        <f aca="false">g_ad</f>
        <v>0.1</v>
      </c>
      <c r="P2962" s="8" t="s">
        <v>669</v>
      </c>
    </row>
    <row r="2963" customFormat="false" ht="17.15" hidden="false" customHeight="false" outlineLevel="0" collapsed="false">
      <c r="A2963" s="0" t="s">
        <v>520</v>
      </c>
      <c r="B2963" s="0" t="s">
        <v>86</v>
      </c>
      <c r="C2963" s="38" t="n">
        <f aca="false">Q!$D$14</f>
        <v>44.374</v>
      </c>
      <c r="D2963" s="38" t="n">
        <f aca="false">Q!$E$14</f>
        <v>49.619</v>
      </c>
      <c r="E2963" s="38" t="n">
        <f aca="false">Q!$P$14</f>
        <v>27.157</v>
      </c>
      <c r="F2963" s="38" t="n">
        <f aca="false">Sens!$O$2963*(1+Sens!$F$2964)*Sens!$F$2967</f>
        <v>27.7764165988154</v>
      </c>
      <c r="G2963" s="38" t="n">
        <f aca="false">Sens!$E$2963+Sens!$F$2963</f>
        <v>54.9334165988154</v>
      </c>
      <c r="H2963" s="38" t="n">
        <f aca="false">Sens!$G$2963*(1+Sens!$H$2964)</f>
        <v>61.1564112561829</v>
      </c>
      <c r="I2963" s="38" t="n">
        <f aca="false">Sens!$H$2963*(1+Sens!$I$2964)</f>
        <v>67.2020282103945</v>
      </c>
      <c r="J2963" s="38" t="n">
        <f aca="false">Sens!$I$2963*(1+Sens!$J$2964)</f>
        <v>72.8757274028885</v>
      </c>
      <c r="K2963" s="38" t="n">
        <f aca="false">Sens!$J$2963*(1+Sens!$K$2964)</f>
        <v>77.9770283210907</v>
      </c>
      <c r="L2963" s="38" t="n">
        <f aca="false">Sens!$K$2963*(1+Sens!$L$2964)</f>
        <v>83.4354203035671</v>
      </c>
      <c r="M2963" s="38" t="n">
        <f aca="false">Sens!$L$2963*(1+Sens!$M$2964)</f>
        <v>89.2758997248168</v>
      </c>
      <c r="N2963" s="38" t="n">
        <f aca="false">Q!$N$14</f>
        <v>23.923</v>
      </c>
      <c r="O2963" s="38" t="n">
        <f aca="false">Q!$O$14</f>
        <v>25.696</v>
      </c>
      <c r="P2963" s="8" t="s">
        <v>661</v>
      </c>
    </row>
    <row r="2964" customFormat="false" ht="17.15" hidden="false" customHeight="false" outlineLevel="0" collapsed="false">
      <c r="A2964" s="0" t="s">
        <v>670</v>
      </c>
      <c r="B2964" s="0" t="s">
        <v>52</v>
      </c>
      <c r="E2964" s="13" t="n">
        <f aca="false">Sens!$E$2963/Sens!$N$2963-1</f>
        <v>0.135183714417088</v>
      </c>
      <c r="F2964" s="13" t="n">
        <f aca="false">Sens!$O$2963/(Q!$F$14+Q!$G$14)-1</f>
        <v>0.127709997366804</v>
      </c>
      <c r="G2964" s="13" t="n">
        <f aca="false">Sens!$G$2963/Sens!$D$2963-1</f>
        <v>0.107104468022641</v>
      </c>
      <c r="H2964" s="13" t="n">
        <f aca="false">Sens!$F$2964+(g_sub-Sens!$F$2964)*1/4</f>
        <v>0.113282498025103</v>
      </c>
      <c r="I2964" s="13" t="n">
        <f aca="false">Sens!$F$2964+(g_sub-Sens!$F$2964)*2/4</f>
        <v>0.0988549986834021</v>
      </c>
      <c r="J2964" s="13" t="n">
        <f aca="false">Sens!$F$2964+(g_sub-Sens!$F$2964)*3/4</f>
        <v>0.084427499341701</v>
      </c>
      <c r="K2964" s="13" t="n">
        <f aca="false">Sens!$F$2964+(g_sub-Sens!$F$2964)*4/4</f>
        <v>0.07</v>
      </c>
      <c r="L2964" s="13" t="n">
        <f aca="false">g_sub</f>
        <v>0.07</v>
      </c>
      <c r="M2964" s="13" t="n">
        <f aca="false">g_sub</f>
        <v>0.07</v>
      </c>
      <c r="P2964" s="8" t="s">
        <v>671</v>
      </c>
    </row>
    <row r="2965" customFormat="false" ht="17.15" hidden="false" customHeight="false" outlineLevel="0" collapsed="false">
      <c r="A2965" s="0" t="s">
        <v>521</v>
      </c>
      <c r="B2965" s="0" t="s">
        <v>86</v>
      </c>
      <c r="C2965" s="38" t="n">
        <f aca="false">Q!$D$15</f>
        <v>5.425</v>
      </c>
      <c r="D2965" s="38" t="n">
        <f aca="false">Q!$E$15</f>
        <v>5.935</v>
      </c>
      <c r="E2965" s="38" t="n">
        <f aca="false">Q!$P$15</f>
        <v>3.474</v>
      </c>
      <c r="F2965" s="38" t="n">
        <f aca="false">Sens!$O$2965*(1+Sens!$F$2966)*Sens!$F$2967</f>
        <v>3.22246550883619</v>
      </c>
      <c r="G2965" s="38" t="n">
        <f aca="false">Sens!$E$2965+Sens!$F$2965</f>
        <v>6.69646550883619</v>
      </c>
      <c r="H2965" s="38" t="n">
        <f aca="false">Sens!$G$2965*(1+Sens!$H$2966)</f>
        <v>7.16251344209196</v>
      </c>
      <c r="I2965" s="38" t="n">
        <f aca="false">Sens!$H$2965*(1+Sens!$I$2966)</f>
        <v>7.61421070299826</v>
      </c>
      <c r="J2965" s="38" t="n">
        <f aca="false">Sens!$I$2965*(1+Sens!$J$2966)</f>
        <v>8.04465753523932</v>
      </c>
      <c r="K2965" s="38" t="n">
        <f aca="false">Sens!$J$2965*(1+Sens!$K$2966)</f>
        <v>8.44689041200128</v>
      </c>
      <c r="L2965" s="38" t="n">
        <f aca="false">Sens!$K$2965*(1+Sens!$L$2966)</f>
        <v>8.86923493260135</v>
      </c>
      <c r="M2965" s="38" t="n">
        <f aca="false">Sens!$L$2965*(1+Sens!$M$2966)</f>
        <v>9.31269667923142</v>
      </c>
      <c r="N2965" s="38" t="n">
        <f aca="false">Q!$N$15</f>
        <v>2.811</v>
      </c>
      <c r="O2965" s="38" t="n">
        <f aca="false">Q!$O$15</f>
        <v>3.124</v>
      </c>
      <c r="P2965" s="8" t="s">
        <v>661</v>
      </c>
    </row>
    <row r="2966" customFormat="false" ht="17.15" hidden="false" customHeight="false" outlineLevel="0" collapsed="false">
      <c r="A2966" s="0" t="s">
        <v>672</v>
      </c>
      <c r="B2966" s="0" t="s">
        <v>52</v>
      </c>
      <c r="E2966" s="13" t="n">
        <f aca="false">Sens!$E$2965/Sens!$N$2965-1</f>
        <v>0.235859124866596</v>
      </c>
      <c r="F2966" s="13" t="n">
        <f aca="false">Sens!$O$2965/(Q!$F$15+Q!$G$15)-1</f>
        <v>0.0761281433000345</v>
      </c>
      <c r="G2966" s="13" t="n">
        <f aca="false">Sens!$G$2965/Sens!$D$2965-1</f>
        <v>0.128300843948811</v>
      </c>
      <c r="H2966" s="13" t="n">
        <f aca="false">Sens!$F$2966+(g_ot-Sens!$F$2966)*1/4</f>
        <v>0.0695961074750259</v>
      </c>
      <c r="I2966" s="13" t="n">
        <f aca="false">Sens!$F$2966+(g_ot-Sens!$F$2966)*2/4</f>
        <v>0.0630640716500172</v>
      </c>
      <c r="J2966" s="13" t="n">
        <f aca="false">Sens!$F$2966+(g_ot-Sens!$F$2966)*3/4</f>
        <v>0.0565320358250086</v>
      </c>
      <c r="K2966" s="13" t="n">
        <f aca="false">Sens!$F$2966+(g_ot-Sens!$F$2966)*4/4</f>
        <v>0.05</v>
      </c>
      <c r="L2966" s="13" t="n">
        <f aca="false">g_ot</f>
        <v>0.05</v>
      </c>
      <c r="M2966" s="13" t="n">
        <f aca="false">g_ot</f>
        <v>0.05</v>
      </c>
      <c r="P2966" s="8" t="s">
        <v>673</v>
      </c>
    </row>
    <row r="2967" customFormat="false" ht="17.15" hidden="false" customHeight="false" outlineLevel="0" collapsed="false">
      <c r="A2967" s="0" t="s">
        <v>674</v>
      </c>
      <c r="B2967" s="0" t="s">
        <v>57</v>
      </c>
      <c r="F2967" s="40" t="n">
        <f aca="false">(g26q3_mid*Q!$O$8/Q!$J$8-Sens!$F$2996-Sens!$F$3000)/(Sens!$O$2955*(1+Sens!$F$2956)+Sens!$O$2957*(1+Sens!$F$2958)+Sens!$O$2959*(1+Sens!$F$2960)+Sens!$O$2961*(1+Sens!$F$2962)+Sens!$O$2963*(1+Sens!$F$2964)+Sens!$O$2965*(1+Sens!$F$2966))</f>
        <v>0.958546670622329</v>
      </c>
      <c r="P2967" s="8" t="s">
        <v>675</v>
      </c>
    </row>
    <row r="2968" customFormat="false" ht="17.15" hidden="false" customHeight="false" outlineLevel="0" collapsed="false">
      <c r="A2968" s="3" t="s">
        <v>676</v>
      </c>
      <c r="B2968" s="8" t="s">
        <v>86</v>
      </c>
      <c r="C2968" s="38" t="n">
        <f aca="false">Sens!$C$2955+Sens!$C$2957+Sens!$C$2959+Sens!$C$2961+Sens!$C$2963+Sens!$C$2965</f>
        <v>530.403</v>
      </c>
      <c r="D2968" s="38" t="n">
        <f aca="false">Sens!$D$2955+Sens!$D$2957+Sens!$D$2959+Sens!$D$2961+Sens!$D$2963+Sens!$D$2965</f>
        <v>588.199</v>
      </c>
      <c r="E2968" s="38" t="n">
        <f aca="false">Sens!$E$2955+Sens!$E$2957+Sens!$E$2959+Sens!$E$2961+Sens!$E$2963+Sens!$E$2965</f>
        <v>302.306</v>
      </c>
      <c r="F2968" s="38" t="n">
        <f aca="false">Sens!$F$2955+Sens!$F$2957+Sens!$F$2959+Sens!$F$2961+Sens!$F$2963+Sens!$F$2965</f>
        <v>349.048241645537</v>
      </c>
      <c r="G2968" s="38" t="n">
        <f aca="false">Sens!$G$2955+Sens!$G$2957+Sens!$G$2959+Sens!$G$2961+Sens!$G$2963+Sens!$G$2965</f>
        <v>651.354241645537</v>
      </c>
      <c r="H2968" s="38" t="n">
        <f aca="false">Sens!$H$2955+Sens!$H$2957+Sens!$H$2959+Sens!$H$2961+Sens!$H$2963+Sens!$H$2965</f>
        <v>721.096889521386</v>
      </c>
      <c r="I2968" s="38" t="n">
        <f aca="false">Sens!$I$2955+Sens!$I$2957+Sens!$I$2959+Sens!$I$2961+Sens!$I$2963+Sens!$I$2965</f>
        <v>788.529391152531</v>
      </c>
      <c r="J2968" s="38" t="n">
        <f aca="false">Sens!$J$2955+Sens!$J$2957+Sens!$J$2959+Sens!$J$2961+Sens!$J$2963+Sens!$J$2965</f>
        <v>851.108405741443</v>
      </c>
      <c r="K2968" s="38" t="n">
        <f aca="false">Sens!$K$2955+Sens!$K$2957+Sens!$K$2959+Sens!$K$2961+Sens!$K$2963+Sens!$K$2965</f>
        <v>906.176455431088</v>
      </c>
      <c r="L2968" s="38" t="n">
        <f aca="false">Sens!$L$2955+Sens!$L$2957+Sens!$L$2959+Sens!$L$2961+Sens!$L$2963+Sens!$L$2965</f>
        <v>965.093106475589</v>
      </c>
      <c r="M2968" s="38" t="n">
        <f aca="false">Sens!$M$2955+Sens!$M$2957+Sens!$M$2959+Sens!$M$2961+Sens!$M$2963+Sens!$M$2965</f>
        <v>1028.14790794689</v>
      </c>
      <c r="N2968" s="38" t="n">
        <f aca="false">Sens!$N$2955+Sens!$N$2957+Sens!$N$2959+Sens!$N$2961+Sens!$N$2963+Sens!$N$2965</f>
        <v>263.229</v>
      </c>
      <c r="O2968" s="38" t="n">
        <f aca="false">Sens!$O$2955+Sens!$O$2957+Sens!$O$2959+Sens!$O$2961+Sens!$O$2963+Sens!$O$2965</f>
        <v>324.97</v>
      </c>
    </row>
    <row r="2969" customFormat="false" ht="17.15" hidden="false" customHeight="false" outlineLevel="0" collapsed="false">
      <c r="A2969" s="5" t="s">
        <v>677</v>
      </c>
      <c r="B2969" s="0" t="s">
        <v>52</v>
      </c>
      <c r="C2969" s="13" t="n">
        <f aca="false">Q!$D$5/(Q!$D$5+Q!$D$6)</f>
        <v>0.730570905519011</v>
      </c>
      <c r="D2969" s="13" t="n">
        <f aca="false">Q!$E$5/(Q!$E$5+Q!$E$6)</f>
        <v>0.724763217890544</v>
      </c>
      <c r="E2969" s="13" t="n">
        <f aca="false">Q!$P$5/(Q!$P$5+Q!$P$6)</f>
        <v>0.728797972914861</v>
      </c>
      <c r="F2969" s="13" t="n">
        <f aca="false">Sens!$O$2969</f>
        <v>0.718066283041511</v>
      </c>
      <c r="G2969" s="13" t="n">
        <f aca="false">Sens!$G$2970/Sens!$G$2968</f>
        <v>0.723047066202847</v>
      </c>
      <c r="H2969" s="13" t="n">
        <f aca="false">Sens!$G$2969</f>
        <v>0.723047066202847</v>
      </c>
      <c r="I2969" s="13" t="n">
        <f aca="false">Sens!$G$2969</f>
        <v>0.723047066202847</v>
      </c>
      <c r="J2969" s="13" t="n">
        <f aca="false">Sens!$G$2969</f>
        <v>0.723047066202847</v>
      </c>
      <c r="K2969" s="13" t="n">
        <f aca="false">Sens!$G$2969</f>
        <v>0.723047066202847</v>
      </c>
      <c r="L2969" s="13" t="n">
        <f aca="false">Sens!$G$2969</f>
        <v>0.723047066202847</v>
      </c>
      <c r="M2969" s="13" t="n">
        <f aca="false">Sens!$G$2969</f>
        <v>0.723047066202847</v>
      </c>
      <c r="N2969" s="13" t="n">
        <f aca="false">Q!$N$5/(Q!$N$5+Q!$N$6)</f>
        <v>0.733030935041352</v>
      </c>
      <c r="O2969" s="13" t="n">
        <f aca="false">Q!$O$5/(Q!$O$5+Q!$O$6)</f>
        <v>0.718066283041511</v>
      </c>
      <c r="P2969" s="8" t="s">
        <v>678</v>
      </c>
    </row>
    <row r="2970" customFormat="false" ht="17.15" hidden="false" customHeight="false" outlineLevel="0" collapsed="false">
      <c r="A2970" s="1" t="s">
        <v>509</v>
      </c>
      <c r="B2970" s="8" t="s">
        <v>86</v>
      </c>
      <c r="C2970" s="38" t="n">
        <f aca="false">Q!$D$5</f>
        <v>387.497</v>
      </c>
      <c r="D2970" s="38" t="n">
        <f aca="false">Q!$E$5</f>
        <v>426.305</v>
      </c>
      <c r="E2970" s="38" t="n">
        <f aca="false">Q!$P$5</f>
        <v>220.32</v>
      </c>
      <c r="F2970" s="38" t="n">
        <f aca="false">Sens!$F$2968*Sens!$F$2969</f>
        <v>250.639773480586</v>
      </c>
      <c r="G2970" s="38" t="n">
        <f aca="false">Sens!$E$2970+Sens!$F$2970</f>
        <v>470.959773480586</v>
      </c>
      <c r="H2970" s="38" t="n">
        <f aca="false">Sens!$H$2968*Sens!$H$2969</f>
        <v>521.386990416437</v>
      </c>
      <c r="I2970" s="38" t="n">
        <f aca="false">Sens!$I$2968*Sens!$I$2969</f>
        <v>570.143862887555</v>
      </c>
      <c r="J2970" s="38" t="n">
        <f aca="false">Sens!$J$2968*Sens!$J$2969</f>
        <v>615.391435791933</v>
      </c>
      <c r="K2970" s="38" t="n">
        <f aca="false">Sens!$K$2968*Sens!$K$2969</f>
        <v>655.208227561543</v>
      </c>
      <c r="L2970" s="38" t="n">
        <f aca="false">Sens!$L$2968*Sens!$L$2969</f>
        <v>697.807739249767</v>
      </c>
      <c r="M2970" s="38" t="n">
        <f aca="false">Sens!$M$2968*Sens!$M$2969</f>
        <v>743.399328463592</v>
      </c>
      <c r="N2970" s="38" t="n">
        <f aca="false">Q!$N$5</f>
        <v>192.955</v>
      </c>
      <c r="O2970" s="38" t="n">
        <f aca="false">Q!$O$5</f>
        <v>233.35</v>
      </c>
      <c r="P2970" s="5" t="s">
        <v>679</v>
      </c>
    </row>
    <row r="2971" customFormat="false" ht="17.15" hidden="false" customHeight="false" outlineLevel="0" collapsed="false">
      <c r="A2971" s="1" t="s">
        <v>512</v>
      </c>
      <c r="B2971" s="8" t="s">
        <v>86</v>
      </c>
      <c r="C2971" s="38" t="n">
        <f aca="false">Q!$D$6</f>
        <v>142.906</v>
      </c>
      <c r="D2971" s="38" t="n">
        <f aca="false">Q!$E$6</f>
        <v>161.894</v>
      </c>
      <c r="E2971" s="38" t="n">
        <f aca="false">Q!$P$6</f>
        <v>81.986</v>
      </c>
      <c r="F2971" s="38" t="n">
        <f aca="false">Sens!$F$2968*(1-Sens!$F$2969)</f>
        <v>98.408468164951</v>
      </c>
      <c r="G2971" s="38" t="n">
        <f aca="false">Sens!$E$2971+Sens!$F$2971</f>
        <v>180.394468164951</v>
      </c>
      <c r="H2971" s="38" t="n">
        <f aca="false">Sens!$H$2968*(1-Sens!$H$2969)</f>
        <v>199.709899104949</v>
      </c>
      <c r="I2971" s="38" t="n">
        <f aca="false">Sens!$I$2968*(1-Sens!$I$2969)</f>
        <v>218.385528264976</v>
      </c>
      <c r="J2971" s="38" t="n">
        <f aca="false">Sens!$J$2968*(1-Sens!$J$2969)</f>
        <v>235.71696994951</v>
      </c>
      <c r="K2971" s="38" t="n">
        <f aca="false">Sens!$K$2968*(1-Sens!$K$2969)</f>
        <v>250.968227869545</v>
      </c>
      <c r="L2971" s="38" t="n">
        <f aca="false">Sens!$L$2968*(1-Sens!$L$2969)</f>
        <v>267.285367225822</v>
      </c>
      <c r="M2971" s="38" t="n">
        <f aca="false">Sens!$M$2968*(1-Sens!$M$2969)</f>
        <v>284.748579483295</v>
      </c>
      <c r="N2971" s="38" t="n">
        <f aca="false">Q!$N$6</f>
        <v>70.274</v>
      </c>
      <c r="O2971" s="38" t="n">
        <f aca="false">Q!$O$6</f>
        <v>91.62</v>
      </c>
      <c r="P2971" s="5" t="s">
        <v>680</v>
      </c>
    </row>
    <row r="2972" customFormat="false" ht="17.15" hidden="false" customHeight="false" outlineLevel="0" collapsed="false">
      <c r="A2972" s="5" t="s">
        <v>681</v>
      </c>
      <c r="B2972" s="0" t="s">
        <v>86</v>
      </c>
      <c r="C2972" s="38" t="n">
        <f aca="false">Sens!$C$2961*Sens!$C$2969</f>
        <v>41.0683128828457</v>
      </c>
      <c r="D2972" s="38" t="n">
        <f aca="false">Sens!$D$2961*Sens!$D$2969</f>
        <v>49.7441234599175</v>
      </c>
      <c r="E2972" s="38" t="n">
        <f aca="false">Sens!$E$2961*Sens!$E$2969</f>
        <v>27.0034224924414</v>
      </c>
      <c r="F2972" s="38" t="n">
        <f aca="false">Sens!$F$2961*Sens!$F$2969</f>
        <v>33.1439448330513</v>
      </c>
      <c r="G2972" s="38" t="n">
        <f aca="false">Sens!$G$2961*Sens!$G$2969</f>
        <v>60.164183844083</v>
      </c>
      <c r="H2972" s="38" t="n">
        <f aca="false">Sens!$H$2961*Sens!$H$2969</f>
        <v>72.2301766552629</v>
      </c>
      <c r="I2972" s="38" t="n">
        <f aca="false">Sens!$I$2961*Sens!$I$2969</f>
        <v>84.2950764463991</v>
      </c>
      <c r="J2972" s="38" t="n">
        <f aca="false">Sens!$J$2961*Sens!$J$2969</f>
        <v>95.5499047729386</v>
      </c>
      <c r="K2972" s="38" t="n">
        <f aca="false">Sens!$K$2961*Sens!$K$2969</f>
        <v>105.104895250232</v>
      </c>
      <c r="L2972" s="38" t="n">
        <f aca="false">Sens!$L$2961*Sens!$L$2969</f>
        <v>115.615384775256</v>
      </c>
      <c r="M2972" s="38" t="n">
        <f aca="false">Sens!$M$2961*Sens!$M$2969</f>
        <v>127.176923252781</v>
      </c>
      <c r="N2972" s="38" t="n">
        <f aca="false">Sens!$N$2961*Sens!$N$2969</f>
        <v>21.7087111412496</v>
      </c>
      <c r="O2972" s="38" t="n">
        <f aca="false">Sens!$O$2961*Sens!$O$2969</f>
        <v>28.0189463642798</v>
      </c>
      <c r="P2972" s="5" t="s">
        <v>682</v>
      </c>
    </row>
    <row r="2973" customFormat="false" ht="15" hidden="false" customHeight="false" outlineLevel="0" collapsed="false">
      <c r="A2973" s="5" t="s">
        <v>683</v>
      </c>
      <c r="B2973" s="0" t="s">
        <v>86</v>
      </c>
      <c r="C2973" s="38" t="n">
        <f aca="false">Sens!$C$2961-Sens!$C$2972</f>
        <v>15.1456871171543</v>
      </c>
      <c r="D2973" s="38" t="n">
        <f aca="false">Sens!$D$2961-Sens!$D$2972</f>
        <v>18.8908765400825</v>
      </c>
      <c r="E2973" s="38" t="n">
        <f aca="false">Sens!$E$2961-Sens!$E$2972</f>
        <v>10.0485775075586</v>
      </c>
      <c r="F2973" s="38" t="n">
        <f aca="false">Sens!$F$2961-Sens!$F$2972</f>
        <v>13.0132771613635</v>
      </c>
      <c r="G2973" s="38" t="n">
        <f aca="false">Sens!$G$2961-Sens!$G$2972</f>
        <v>23.0450381503318</v>
      </c>
      <c r="H2973" s="38" t="n">
        <f aca="false">Sens!$H$2961-Sens!$H$2972</f>
        <v>27.6667457326347</v>
      </c>
      <c r="I2973" s="38" t="n">
        <f aca="false">Sens!$I$2961-Sens!$I$2972</f>
        <v>32.2880346490971</v>
      </c>
      <c r="J2973" s="38" t="n">
        <f aca="false">Sens!$J$2961-Sens!$J$2972</f>
        <v>36.5990371690132</v>
      </c>
      <c r="K2973" s="38" t="n">
        <f aca="false">Sens!$K$2961-Sens!$K$2972</f>
        <v>40.2589408859145</v>
      </c>
      <c r="L2973" s="38" t="n">
        <f aca="false">Sens!$L$2961-Sens!$L$2972</f>
        <v>44.2848349745059</v>
      </c>
      <c r="M2973" s="38" t="n">
        <f aca="false">Sens!$M$2961-Sens!$M$2972</f>
        <v>48.7133184719565</v>
      </c>
      <c r="N2973" s="38" t="n">
        <f aca="false">Sens!$N$2961-Sens!$N$2972</f>
        <v>7.90628885875037</v>
      </c>
      <c r="O2973" s="38" t="n">
        <f aca="false">Sens!$O$2961-Sens!$O$2972</f>
        <v>11.0010536357202</v>
      </c>
    </row>
    <row r="2974" customFormat="false" ht="19.4" hidden="false" customHeight="false" outlineLevel="0" collapsed="false">
      <c r="A2974" s="31" t="s">
        <v>1188</v>
      </c>
    </row>
    <row r="2975" customFormat="false" ht="17.15" hidden="false" customHeight="false" outlineLevel="0" collapsed="false">
      <c r="A2975" s="6" t="s">
        <v>16</v>
      </c>
      <c r="B2975" s="6" t="s">
        <v>17</v>
      </c>
      <c r="C2975" s="20" t="s">
        <v>494</v>
      </c>
      <c r="D2975" s="20" t="s">
        <v>495</v>
      </c>
      <c r="E2975" s="20" t="s">
        <v>577</v>
      </c>
      <c r="F2975" s="20" t="s">
        <v>578</v>
      </c>
      <c r="G2975" s="20" t="s">
        <v>579</v>
      </c>
      <c r="H2975" s="20" t="s">
        <v>580</v>
      </c>
      <c r="I2975" s="20" t="s">
        <v>581</v>
      </c>
      <c r="J2975" s="20" t="s">
        <v>582</v>
      </c>
      <c r="K2975" s="20" t="s">
        <v>583</v>
      </c>
      <c r="L2975" s="20" t="s">
        <v>584</v>
      </c>
      <c r="M2975" s="20" t="s">
        <v>585</v>
      </c>
      <c r="N2975" s="20" t="s">
        <v>586</v>
      </c>
      <c r="O2975" s="20" t="s">
        <v>587</v>
      </c>
      <c r="P2975" s="6" t="s">
        <v>23</v>
      </c>
      <c r="R2975" s="20" t="n">
        <v>2023</v>
      </c>
      <c r="S2975" s="20" t="n">
        <v>2024</v>
      </c>
      <c r="T2975" s="20" t="n">
        <v>2025</v>
      </c>
      <c r="U2975" s="20" t="n">
        <v>2026</v>
      </c>
      <c r="V2975" s="20" t="n">
        <v>2027</v>
      </c>
      <c r="W2975" s="20" t="n">
        <v>2028</v>
      </c>
      <c r="X2975" s="20" t="n">
        <v>2029</v>
      </c>
      <c r="Y2975" s="20" t="n">
        <v>2030</v>
      </c>
      <c r="Z2975" s="20" t="n">
        <v>2031</v>
      </c>
      <c r="AA2975" s="20" t="n">
        <v>2032</v>
      </c>
    </row>
    <row r="2976" customFormat="false" ht="17.15" hidden="false" customHeight="false" outlineLevel="0" collapsed="false">
      <c r="A2976" s="1" t="s">
        <v>588</v>
      </c>
    </row>
    <row r="2977" customFormat="false" ht="17.15" hidden="false" customHeight="false" outlineLevel="0" collapsed="false">
      <c r="A2977" s="5" t="s">
        <v>589</v>
      </c>
      <c r="B2977" s="0" t="s">
        <v>144</v>
      </c>
      <c r="H2977" s="32" t="n">
        <f aca="false">pace_B</f>
        <v>3634.3</v>
      </c>
      <c r="I2977" s="32" t="n">
        <f aca="false">pace_B</f>
        <v>3634.3</v>
      </c>
      <c r="J2977" s="32" t="n">
        <f aca="false">pace_B</f>
        <v>3634.3</v>
      </c>
      <c r="K2977" s="32" t="n">
        <f aca="false">pace_B+(Sens!$J$2978*tg-pace_B)*1/3</f>
        <v>2570.86716666667</v>
      </c>
      <c r="L2977" s="32" t="n">
        <f aca="false">pace_B+(Sens!$J$2978*tg-pace_B)*2/3</f>
        <v>1507.43433333333</v>
      </c>
      <c r="M2977" s="32" t="n">
        <f aca="false">pace_B+(Sens!$J$2978*tg-pace_B)*3/3</f>
        <v>444.0015</v>
      </c>
      <c r="P2977" s="5" t="s">
        <v>590</v>
      </c>
    </row>
    <row r="2978" customFormat="false" ht="17.15" hidden="false" customHeight="false" outlineLevel="0" collapsed="false">
      <c r="A2978" s="15" t="s">
        <v>591</v>
      </c>
      <c r="B2978" s="14" t="s">
        <v>129</v>
      </c>
      <c r="C2978" s="33" t="n">
        <f aca="false">mw_ye24</f>
        <v>360</v>
      </c>
      <c r="D2978" s="33" t="n">
        <f aca="false">mw_ye25</f>
        <v>1440</v>
      </c>
      <c r="E2978" s="33" t="n">
        <f aca="false">mw_open</f>
        <v>2080</v>
      </c>
      <c r="F2978" s="33" t="n">
        <f aca="false">Sens!$E$2978+pace_B*0.5</f>
        <v>3897.15</v>
      </c>
      <c r="G2978" s="33" t="n">
        <f aca="false">Sens!$F$2978</f>
        <v>3897.15</v>
      </c>
      <c r="H2978" s="33" t="n">
        <f aca="false">Sens!$G$2978+Sens!$H$2977</f>
        <v>7531.45</v>
      </c>
      <c r="I2978" s="33" t="n">
        <f aca="false">Sens!$H$2978+Sens!$I$2977</f>
        <v>11165.75</v>
      </c>
      <c r="J2978" s="33" t="n">
        <f aca="false">Sens!$I$2978+Sens!$J$2977</f>
        <v>14800.05</v>
      </c>
      <c r="K2978" s="33" t="n">
        <f aca="false">Sens!$J$2978+Sens!$K$2977</f>
        <v>17370.9171666667</v>
      </c>
      <c r="L2978" s="33" t="n">
        <f aca="false">Sens!$K$2978+Sens!$L$2977</f>
        <v>18878.3515</v>
      </c>
      <c r="M2978" s="33" t="n">
        <f aca="false">Sens!$L$2978+Sens!$M$2977</f>
        <v>19322.353</v>
      </c>
      <c r="N2978" s="33" t="n">
        <f aca="false">(mw_ye24+mw_ye25)/2</f>
        <v>900</v>
      </c>
      <c r="O2978" s="33" t="n">
        <f aca="false">mw_ye25</f>
        <v>1440</v>
      </c>
      <c r="P2978" s="5" t="s">
        <v>592</v>
      </c>
    </row>
    <row r="2979" customFormat="false" ht="17.15" hidden="false" customHeight="false" outlineLevel="0" collapsed="false">
      <c r="A2979" s="5" t="s">
        <v>593</v>
      </c>
      <c r="B2979" s="0" t="s">
        <v>129</v>
      </c>
      <c r="C2979" s="32" t="n">
        <f aca="false">(mw_ye23+mw_ye24)/2</f>
        <v>240</v>
      </c>
      <c r="D2979" s="32" t="n">
        <f aca="false">(Sens!$C$2978+Sens!$D$2978)/2</f>
        <v>900</v>
      </c>
      <c r="E2979" s="32" t="n">
        <f aca="false">(Sens!$D$2978+Sens!$E$2978)/2</f>
        <v>1760</v>
      </c>
      <c r="F2979" s="32" t="n">
        <f aca="false">(Sens!$E$2978+Sens!$F$2978)/2</f>
        <v>2988.575</v>
      </c>
      <c r="G2979" s="32" t="n">
        <f aca="false">(Sens!$E$2979+Sens!$F$2979)/2</f>
        <v>2374.2875</v>
      </c>
      <c r="H2979" s="32" t="n">
        <f aca="false">(Sens!$G$2978+Sens!$H$2978)/2</f>
        <v>5714.3</v>
      </c>
      <c r="I2979" s="32" t="n">
        <f aca="false">(Sens!$H$2978+Sens!$I$2978)/2</f>
        <v>9348.6</v>
      </c>
      <c r="J2979" s="32" t="n">
        <f aca="false">(Sens!$I$2978+Sens!$J$2978)/2</f>
        <v>12982.9</v>
      </c>
      <c r="K2979" s="32" t="n">
        <f aca="false">(Sens!$J$2978+Sens!$K$2978)/2</f>
        <v>16085.4835833333</v>
      </c>
      <c r="L2979" s="32" t="n">
        <f aca="false">(Sens!$K$2978+Sens!$L$2978)/2</f>
        <v>18124.6343333333</v>
      </c>
      <c r="M2979" s="32" t="n">
        <f aca="false">(Sens!$L$2978+Sens!$M$2978)/2</f>
        <v>19100.35225</v>
      </c>
      <c r="N2979" s="32" t="n">
        <f aca="false">(Sens!$C$2978+Sens!$N$2978)/2</f>
        <v>630</v>
      </c>
      <c r="O2979" s="32" t="n">
        <f aca="false">(Sens!$N$2978+Sens!$O$2978)/2</f>
        <v>1170</v>
      </c>
    </row>
    <row r="2980" customFormat="false" ht="15" hidden="false" customHeight="false" outlineLevel="0" collapsed="false">
      <c r="A2980" s="5" t="s">
        <v>594</v>
      </c>
      <c r="B2980" s="5" t="s">
        <v>123</v>
      </c>
      <c r="C2980" s="34" t="n">
        <v>1</v>
      </c>
      <c r="D2980" s="34" t="n">
        <v>1</v>
      </c>
      <c r="E2980" s="34" t="n">
        <v>0.5</v>
      </c>
      <c r="F2980" s="34" t="n">
        <v>0.5</v>
      </c>
      <c r="G2980" s="34" t="n">
        <v>1</v>
      </c>
      <c r="H2980" s="34" t="n">
        <v>1</v>
      </c>
      <c r="I2980" s="34" t="n">
        <v>1</v>
      </c>
      <c r="J2980" s="34" t="n">
        <v>1</v>
      </c>
      <c r="K2980" s="34" t="n">
        <v>1</v>
      </c>
      <c r="L2980" s="34" t="n">
        <v>1</v>
      </c>
      <c r="M2980" s="34" t="n">
        <v>1</v>
      </c>
      <c r="N2980" s="34" t="n">
        <v>0.5</v>
      </c>
      <c r="O2980" s="34" t="n">
        <v>0.5</v>
      </c>
    </row>
    <row r="2981" customFormat="false" ht="17.15" hidden="false" customHeight="false" outlineLevel="0" collapsed="false">
      <c r="A2981" s="5" t="s">
        <v>595</v>
      </c>
      <c r="B2981" s="0" t="s">
        <v>129</v>
      </c>
      <c r="C2981" s="32" t="n">
        <f aca="false">Sens!$C$2978-mw_ye23</f>
        <v>240</v>
      </c>
      <c r="D2981" s="32" t="n">
        <f aca="false">Sens!$D$2978-Sens!$C$2978</f>
        <v>1080</v>
      </c>
      <c r="E2981" s="32" t="n">
        <f aca="false">Sens!$E$2978-Sens!$D$2978</f>
        <v>640</v>
      </c>
      <c r="F2981" s="32" t="n">
        <f aca="false">Sens!$F$2978-Sens!$E$2978</f>
        <v>1817.15</v>
      </c>
      <c r="G2981" s="32" t="n">
        <f aca="false">Sens!$E$2981+Sens!$F$2981</f>
        <v>2457.15</v>
      </c>
      <c r="H2981" s="32" t="n">
        <f aca="false">Sens!$H$2978-Sens!$G$2978</f>
        <v>3634.3</v>
      </c>
      <c r="I2981" s="32" t="n">
        <f aca="false">Sens!$I$2978-Sens!$H$2978</f>
        <v>3634.3</v>
      </c>
      <c r="J2981" s="32" t="n">
        <f aca="false">Sens!$J$2978-Sens!$I$2978</f>
        <v>3634.3</v>
      </c>
      <c r="K2981" s="32" t="n">
        <f aca="false">Sens!$K$2978-Sens!$J$2978</f>
        <v>2570.86716666667</v>
      </c>
      <c r="L2981" s="32" t="n">
        <f aca="false">Sens!$L$2978-Sens!$K$2978</f>
        <v>1507.43433333333</v>
      </c>
      <c r="M2981" s="32" t="n">
        <f aca="false">Sens!$M$2978-Sens!$L$2978</f>
        <v>444.001499999999</v>
      </c>
      <c r="N2981" s="32" t="n">
        <f aca="false">Sens!$N$2978-Sens!$C$2978</f>
        <v>540</v>
      </c>
      <c r="O2981" s="32" t="n">
        <f aca="false">Sens!$O$2978-Sens!$N$2978</f>
        <v>540</v>
      </c>
    </row>
    <row r="2982" customFormat="false" ht="17.15" hidden="false" customHeight="false" outlineLevel="0" collapsed="false">
      <c r="A2982" s="5" t="s">
        <v>596</v>
      </c>
      <c r="B2982" s="0" t="s">
        <v>129</v>
      </c>
      <c r="C2982" s="32" t="n">
        <f aca="false">Sens!$C$2981/ext_sh</f>
        <v>300</v>
      </c>
      <c r="D2982" s="32" t="n">
        <f aca="false">Sens!$D$2981/ext_sh</f>
        <v>1350</v>
      </c>
      <c r="E2982" s="32" t="n">
        <f aca="false">Sens!$E$2981/ext_sh</f>
        <v>800</v>
      </c>
      <c r="F2982" s="32" t="n">
        <f aca="false">Sens!$F$2981/ext_sh</f>
        <v>2271.4375</v>
      </c>
      <c r="G2982" s="32" t="n">
        <f aca="false">Sens!$G$2981/ext_sh</f>
        <v>3071.4375</v>
      </c>
      <c r="H2982" s="32" t="n">
        <f aca="false">Sens!$H$2981/ext_sh</f>
        <v>4542.875</v>
      </c>
      <c r="I2982" s="32" t="n">
        <f aca="false">Sens!$I$2981/ext_sh</f>
        <v>4542.875</v>
      </c>
      <c r="J2982" s="32" t="n">
        <f aca="false">Sens!$J$2981/ext_sh</f>
        <v>4542.875</v>
      </c>
      <c r="K2982" s="32" t="n">
        <f aca="false">Sens!$K$2981/ext_sh</f>
        <v>3213.58395833333</v>
      </c>
      <c r="L2982" s="32" t="n">
        <f aca="false">Sens!$L$2981/ext_sh</f>
        <v>1884.29291666667</v>
      </c>
      <c r="M2982" s="32" t="n">
        <f aca="false">Sens!$M$2981/ext_sh</f>
        <v>555.001874999998</v>
      </c>
      <c r="N2982" s="32" t="n">
        <f aca="false">Sens!$N$2981/ext_sh</f>
        <v>675</v>
      </c>
      <c r="O2982" s="32" t="n">
        <f aca="false">Sens!$O$2981/ext_sh</f>
        <v>675</v>
      </c>
      <c r="P2982" s="8" t="s">
        <v>597</v>
      </c>
      <c r="R2982" s="32" t="n">
        <f aca="false">mw_ye23/ext_sh</f>
        <v>150</v>
      </c>
      <c r="S2982" s="32" t="n">
        <f aca="false">Sens!$C$2982</f>
        <v>300</v>
      </c>
      <c r="T2982" s="32" t="n">
        <f aca="false">Sens!$D$2982</f>
        <v>1350</v>
      </c>
      <c r="U2982" s="32" t="n">
        <f aca="false">Sens!$G$2982</f>
        <v>3071.4375</v>
      </c>
      <c r="V2982" s="32" t="n">
        <f aca="false">Sens!$H$2982</f>
        <v>4542.875</v>
      </c>
      <c r="W2982" s="32" t="n">
        <f aca="false">Sens!$I$2982</f>
        <v>4542.875</v>
      </c>
      <c r="X2982" s="32" t="n">
        <f aca="false">Sens!$J$2982</f>
        <v>4542.875</v>
      </c>
      <c r="Y2982" s="32" t="n">
        <f aca="false">Sens!$K$2982</f>
        <v>3213.58395833333</v>
      </c>
      <c r="Z2982" s="32" t="n">
        <f aca="false">Sens!$L$2982</f>
        <v>1884.29291666667</v>
      </c>
      <c r="AA2982" s="32" t="n">
        <f aca="false">Sens!$M$2982</f>
        <v>555.001874999998</v>
      </c>
    </row>
    <row r="2983" customFormat="false" ht="17.15" hidden="false" customHeight="false" outlineLevel="0" collapsed="false">
      <c r="A2983" s="1" t="s">
        <v>598</v>
      </c>
    </row>
    <row r="2984" customFormat="false" ht="17.15" hidden="false" customHeight="false" outlineLevel="0" collapsed="false">
      <c r="A2984" s="0" t="s">
        <v>599</v>
      </c>
      <c r="B2984" s="0" t="s">
        <v>52</v>
      </c>
      <c r="F2984" s="35" t="n">
        <f aca="false">na_vr26</f>
        <v>0</v>
      </c>
      <c r="G2984" s="35" t="n">
        <f aca="false">na_vr26</f>
        <v>0</v>
      </c>
      <c r="H2984" s="35" t="n">
        <f aca="false">na_vr27</f>
        <v>0.5</v>
      </c>
      <c r="I2984" s="35" t="n">
        <f aca="false">na_vr28</f>
        <v>1</v>
      </c>
      <c r="J2984" s="35" t="n">
        <f aca="false">na_vr28</f>
        <v>1</v>
      </c>
      <c r="K2984" s="35" t="n">
        <f aca="false">na_vr28</f>
        <v>1</v>
      </c>
      <c r="L2984" s="35" t="n">
        <f aca="false">na_vr28</f>
        <v>1</v>
      </c>
      <c r="M2984" s="35" t="n">
        <f aca="false">na_vr28</f>
        <v>1</v>
      </c>
    </row>
    <row r="2985" customFormat="false" ht="17.15" hidden="false" customHeight="false" outlineLevel="0" collapsed="false">
      <c r="A2985" s="5" t="s">
        <v>600</v>
      </c>
      <c r="B2985" s="0" t="s">
        <v>173</v>
      </c>
      <c r="F2985" s="36" t="n">
        <f aca="false">cust_sh*tk_he_gb300*cf_chip+(1-cust_sh)*((1-Sens!$F$2984)*tk_he_gb300+Sens!$F$2984*tk_he_vr200)</f>
        <v>10.8864110021101</v>
      </c>
      <c r="G2985" s="36" t="n">
        <f aca="false">cust_sh*tk_he_gb300*cf_chip+(1-cust_sh)*((1-Sens!$G$2984)*tk_he_gb300+Sens!$G$2984*tk_he_vr200)</f>
        <v>10.8864110021101</v>
      </c>
      <c r="H2985" s="36" t="n">
        <f aca="false">cust_sh*tk_he_gb300*cf_chip+(1-cust_sh)*((1-Sens!$H$2984)*tk_he_gb300+Sens!$H$2984*tk_he_vr200)</f>
        <v>11.2211760027286</v>
      </c>
      <c r="I2985" s="36" t="n">
        <f aca="false">cust_sh*tk_he_gb300*cf_chip+(1-cust_sh)*((1-Sens!$I$2984)*tk_he_gb300+Sens!$I$2984*tk_he_vr200)</f>
        <v>11.5559410033471</v>
      </c>
      <c r="J2985" s="36" t="n">
        <f aca="false">cust_sh*tk_he_gb300*cf_chip+(1-cust_sh)*((1-Sens!$J$2984)*tk_he_gb300+Sens!$J$2984*tk_he_vr200)</f>
        <v>11.5559410033471</v>
      </c>
      <c r="K2985" s="36" t="n">
        <f aca="false">cust_sh*tk_he_gb300*cf_chip+(1-cust_sh)*((1-Sens!$K$2984)*tk_he_gb300+Sens!$K$2984*tk_he_vr200)</f>
        <v>11.5559410033471</v>
      </c>
      <c r="L2985" s="36" t="n">
        <f aca="false">cust_sh*tk_he_gb300*cf_chip+(1-cust_sh)*((1-Sens!$L$2984)*tk_he_gb300+Sens!$L$2984*tk_he_vr200)</f>
        <v>11.5559410033471</v>
      </c>
      <c r="M2985" s="36" t="n">
        <f aca="false">cust_sh*tk_he_gb300*cf_chip+(1-cust_sh)*((1-Sens!$M$2984)*tk_he_gb300+Sens!$M$2984*tk_he_vr200)</f>
        <v>11.5559410033471</v>
      </c>
    </row>
    <row r="2986" customFormat="false" ht="17.15" hidden="false" customHeight="false" outlineLevel="0" collapsed="false">
      <c r="A2986" s="5" t="s">
        <v>601</v>
      </c>
      <c r="B2986" s="0" t="s">
        <v>173</v>
      </c>
      <c r="F2986" s="36" t="n">
        <f aca="false">cust_sh*tk_ox_gb300+(1-cust_sh)*((1-Sens!$F$2984)*tk_ox_gb300+Sens!$F$2984*tk_ox_vr200)</f>
        <v>1.98263481314457</v>
      </c>
      <c r="G2986" s="36" t="n">
        <f aca="false">cust_sh*tk_ox_gb300+(1-cust_sh)*((1-Sens!$G$2984)*tk_ox_gb300+Sens!$G$2984*tk_ox_vr200)</f>
        <v>1.98263481314457</v>
      </c>
      <c r="H2986" s="36" t="n">
        <f aca="false">cust_sh*tk_ox_gb300+(1-cust_sh)*((1-Sens!$H$2984)*tk_ox_gb300+Sens!$H$2984*tk_ox_vr200)</f>
        <v>2.01034999693694</v>
      </c>
      <c r="I2986" s="36" t="n">
        <f aca="false">cust_sh*tk_ox_gb300+(1-cust_sh)*((1-Sens!$I$2984)*tk_ox_gb300+Sens!$I$2984*tk_ox_vr200)</f>
        <v>2.0380651807293</v>
      </c>
      <c r="J2986" s="36" t="n">
        <f aca="false">cust_sh*tk_ox_gb300+(1-cust_sh)*((1-Sens!$J$2984)*tk_ox_gb300+Sens!$J$2984*tk_ox_vr200)</f>
        <v>2.0380651807293</v>
      </c>
      <c r="K2986" s="36" t="n">
        <f aca="false">cust_sh*tk_ox_gb300+(1-cust_sh)*((1-Sens!$K$2984)*tk_ox_gb300+Sens!$K$2984*tk_ox_vr200)</f>
        <v>2.0380651807293</v>
      </c>
      <c r="L2986" s="36" t="n">
        <f aca="false">cust_sh*tk_ox_gb300+(1-cust_sh)*((1-Sens!$L$2984)*tk_ox_gb300+Sens!$L$2984*tk_ox_vr200)</f>
        <v>2.0380651807293</v>
      </c>
      <c r="M2986" s="36" t="n">
        <f aca="false">cust_sh*tk_ox_gb300+(1-cust_sh)*((1-Sens!$M$2984)*tk_ox_gb300+Sens!$M$2984*tk_ox_vr200)</f>
        <v>2.0380651807293</v>
      </c>
    </row>
    <row r="2987" customFormat="false" ht="17.15" hidden="false" customHeight="false" outlineLevel="0" collapsed="false">
      <c r="A2987" s="5" t="s">
        <v>602</v>
      </c>
      <c r="B2987" s="0" t="s">
        <v>192</v>
      </c>
      <c r="F2987" s="36" t="n">
        <f aca="false">cust_sh*tk_cx_gb300*cf_cx+(1-cust_sh)*((1-Sens!$F$2984)*tk_cx_gb300+Sens!$F$2984*tk_cx_vr200)</f>
        <v>32.237224</v>
      </c>
      <c r="G2987" s="36" t="n">
        <f aca="false">cust_sh*tk_cx_gb300*cf_cx+(1-cust_sh)*((1-Sens!$G$2984)*tk_cx_gb300+Sens!$G$2984*tk_cx_vr200)</f>
        <v>32.237224</v>
      </c>
      <c r="H2987" s="36" t="n">
        <f aca="false">cust_sh*tk_cx_gb300*cf_cx+(1-cust_sh)*((1-Sens!$H$2984)*tk_cx_gb300+Sens!$H$2984*tk_cx_vr200)</f>
        <v>33.574506</v>
      </c>
      <c r="I2987" s="36" t="n">
        <f aca="false">cust_sh*tk_cx_gb300*cf_cx+(1-cust_sh)*((1-Sens!$I$2984)*tk_cx_gb300+Sens!$I$2984*tk_cx_vr200)</f>
        <v>34.911788</v>
      </c>
      <c r="J2987" s="36" t="n">
        <f aca="false">cust_sh*tk_cx_gb300*cf_cx+(1-cust_sh)*((1-Sens!$J$2984)*tk_cx_gb300+Sens!$J$2984*tk_cx_vr200)</f>
        <v>34.911788</v>
      </c>
      <c r="K2987" s="36" t="n">
        <f aca="false">cust_sh*tk_cx_gb300*cf_cx+(1-cust_sh)*((1-Sens!$K$2984)*tk_cx_gb300+Sens!$K$2984*tk_cx_vr200)</f>
        <v>34.911788</v>
      </c>
      <c r="L2987" s="36" t="n">
        <f aca="false">cust_sh*tk_cx_gb300*cf_cx+(1-cust_sh)*((1-Sens!$L$2984)*tk_cx_gb300+Sens!$L$2984*tk_cx_vr200)</f>
        <v>34.911788</v>
      </c>
      <c r="M2987" s="36" t="n">
        <f aca="false">cust_sh*tk_cx_gb300*cf_cx+(1-cust_sh)*((1-Sens!$M$2984)*tk_cx_gb300+Sens!$M$2984*tk_cx_vr200)</f>
        <v>34.911788</v>
      </c>
    </row>
    <row r="2988" customFormat="false" ht="17.15" hidden="false" customHeight="false" outlineLevel="0" collapsed="false">
      <c r="A2988" s="5" t="s">
        <v>603</v>
      </c>
      <c r="B2988" s="0" t="s">
        <v>129</v>
      </c>
      <c r="F2988" s="32" t="n">
        <f aca="false">Sens!$F$2978-mw_open</f>
        <v>1817.15</v>
      </c>
      <c r="G2988" s="32" t="n">
        <f aca="false">Sens!$F$2988</f>
        <v>1817.15</v>
      </c>
      <c r="H2988" s="32" t="n">
        <f aca="false">Sens!$H$2978-mw_open</f>
        <v>5451.45</v>
      </c>
      <c r="I2988" s="32" t="n">
        <f aca="false">Sens!$I$2978-mw_open</f>
        <v>9085.75</v>
      </c>
      <c r="J2988" s="32" t="n">
        <f aca="false">Sens!$J$2978-mw_open</f>
        <v>12720.05</v>
      </c>
      <c r="K2988" s="32" t="n">
        <f aca="false">Sens!$K$2978-mw_open</f>
        <v>15290.9171666667</v>
      </c>
      <c r="L2988" s="32" t="n">
        <f aca="false">Sens!$L$2978-mw_open</f>
        <v>16798.3515</v>
      </c>
      <c r="M2988" s="32" t="n">
        <f aca="false">Sens!$M$2978-mw_open</f>
        <v>17242.353</v>
      </c>
    </row>
    <row r="2989" customFormat="false" ht="17.15" hidden="false" customHeight="false" outlineLevel="0" collapsed="false">
      <c r="A2989" s="0" t="s">
        <v>604</v>
      </c>
      <c r="B2989" s="0" t="s">
        <v>605</v>
      </c>
      <c r="F2989" s="32" t="n">
        <f aca="false">Sens!$F$2981*Sens!$F$2985</f>
        <v>19782.2417524844</v>
      </c>
      <c r="G2989" s="32" t="n">
        <f aca="false">Sens!$F$2989</f>
        <v>19782.2417524844</v>
      </c>
      <c r="H2989" s="32" t="n">
        <f aca="false">Sens!$G$2989+Sens!$H$2981*Sens!$H$2985</f>
        <v>60563.3616992009</v>
      </c>
      <c r="I2989" s="32" t="n">
        <f aca="false">Sens!$H$2989+Sens!$I$2981*Sens!$I$2985</f>
        <v>102561.118087665</v>
      </c>
      <c r="J2989" s="32" t="n">
        <f aca="false">Sens!$I$2989+Sens!$J$2981*Sens!$J$2985</f>
        <v>144558.87447613</v>
      </c>
      <c r="K2989" s="32" t="n">
        <f aca="false">Sens!$J$2989+Sens!$K$2981*Sens!$K$2985</f>
        <v>174267.663781572</v>
      </c>
      <c r="L2989" s="32" t="n">
        <f aca="false">Sens!$K$2989+Sens!$L$2981*Sens!$L$2985</f>
        <v>191687.486003992</v>
      </c>
      <c r="M2989" s="32" t="n">
        <f aca="false">Sens!$L$2989+Sens!$M$2981*Sens!$M$2985</f>
        <v>196818.341143389</v>
      </c>
    </row>
    <row r="2990" customFormat="false" ht="17.15" hidden="false" customHeight="false" outlineLevel="0" collapsed="false">
      <c r="A2990" s="0" t="s">
        <v>606</v>
      </c>
      <c r="B2990" s="0" t="s">
        <v>605</v>
      </c>
      <c r="F2990" s="32" t="n">
        <f aca="false">Sens!$F$2981*Sens!$F$2986</f>
        <v>3602.74485070566</v>
      </c>
      <c r="G2990" s="32" t="n">
        <f aca="false">Sens!$F$2990</f>
        <v>3602.74485070566</v>
      </c>
      <c r="H2990" s="32" t="n">
        <f aca="false">Sens!$G$2990+Sens!$H$2981*Sens!$H$2986</f>
        <v>10908.9598445736</v>
      </c>
      <c r="I2990" s="32" t="n">
        <f aca="false">Sens!$H$2990+Sens!$I$2981*Sens!$I$2986</f>
        <v>18315.9001308981</v>
      </c>
      <c r="J2990" s="32" t="n">
        <f aca="false">Sens!$I$2990+Sens!$J$2981*Sens!$J$2986</f>
        <v>25722.8404172225</v>
      </c>
      <c r="K2990" s="32" t="n">
        <f aca="false">Sens!$J$2990+Sens!$K$2981*Sens!$K$2986</f>
        <v>30962.4352738861</v>
      </c>
      <c r="L2990" s="32" t="n">
        <f aca="false">Sens!$K$2990+Sens!$L$2981*Sens!$L$2986</f>
        <v>34034.6847008886</v>
      </c>
      <c r="M2990" s="32" t="n">
        <f aca="false">Sens!$L$2990+Sens!$M$2981*Sens!$M$2986</f>
        <v>34939.5886982302</v>
      </c>
    </row>
    <row r="2991" customFormat="false" ht="17.15" hidden="false" customHeight="false" outlineLevel="0" collapsed="false">
      <c r="A2991" s="5" t="s">
        <v>607</v>
      </c>
      <c r="B2991" s="0" t="s">
        <v>173</v>
      </c>
      <c r="F2991" s="36" t="n">
        <f aca="false">IF(Sens!$F$2988&gt;0,Sens!$F$2989/Sens!$F$2988,Sens!$F$2985)</f>
        <v>10.8864110021101</v>
      </c>
      <c r="G2991" s="36" t="n">
        <f aca="false">IF(Sens!$G$2988&gt;0,Sens!$G$2989/Sens!$G$2988,Sens!$G$2985)</f>
        <v>10.8864110021101</v>
      </c>
      <c r="H2991" s="36" t="n">
        <f aca="false">IF(Sens!$H$2988&gt;0,Sens!$H$2989/Sens!$H$2988,Sens!$H$2985)</f>
        <v>11.1095876691891</v>
      </c>
      <c r="I2991" s="36" t="n">
        <f aca="false">IF(Sens!$I$2988&gt;0,Sens!$I$2989/Sens!$I$2988,Sens!$I$2985)</f>
        <v>11.2881290028523</v>
      </c>
      <c r="J2991" s="36" t="n">
        <f aca="false">IF(Sens!$J$2988&gt;0,Sens!$J$2989/Sens!$J$2988,Sens!$J$2985)</f>
        <v>11.3646467172794</v>
      </c>
      <c r="K2991" s="36" t="n">
        <f aca="false">IF(Sens!$K$2988&gt;0,Sens!$K$2989/Sens!$K$2988,Sens!$K$2985)</f>
        <v>11.3968090914432</v>
      </c>
      <c r="L2991" s="36" t="n">
        <f aca="false">IF(Sens!$L$2988&gt;0,Sens!$L$2989/Sens!$L$2988,Sens!$L$2985)</f>
        <v>11.4110891181192</v>
      </c>
      <c r="M2991" s="36" t="n">
        <f aca="false">IF(Sens!$M$2988&gt;0,Sens!$M$2989/Sens!$M$2988,Sens!$M$2985)</f>
        <v>11.4148191458201</v>
      </c>
    </row>
    <row r="2992" customFormat="false" ht="17.15" hidden="false" customHeight="false" outlineLevel="0" collapsed="false">
      <c r="A2992" s="5" t="s">
        <v>608</v>
      </c>
      <c r="B2992" s="0" t="s">
        <v>173</v>
      </c>
      <c r="F2992" s="36" t="n">
        <f aca="false">IF(Sens!$F$2988&gt;0,Sens!$F$2990/Sens!$F$2988,Sens!$F$2986)</f>
        <v>1.98263481314457</v>
      </c>
      <c r="G2992" s="36" t="n">
        <f aca="false">IF(Sens!$G$2988&gt;0,Sens!$G$2990/Sens!$G$2988,Sens!$G$2986)</f>
        <v>1.98263481314457</v>
      </c>
      <c r="H2992" s="36" t="n">
        <f aca="false">IF(Sens!$H$2988&gt;0,Sens!$H$2990/Sens!$H$2988,Sens!$H$2986)</f>
        <v>2.00111160233948</v>
      </c>
      <c r="I2992" s="36" t="n">
        <f aca="false">IF(Sens!$I$2988&gt;0,Sens!$I$2990/Sens!$I$2988,Sens!$I$2986)</f>
        <v>2.01589303369541</v>
      </c>
      <c r="J2992" s="36" t="n">
        <f aca="false">IF(Sens!$J$2988&gt;0,Sens!$J$2990/Sens!$J$2988,Sens!$J$2986)</f>
        <v>2.02222793284795</v>
      </c>
      <c r="K2992" s="36" t="n">
        <f aca="false">IF(Sens!$K$2988&gt;0,Sens!$K$2990/Sens!$K$2988,Sens!$K$2986)</f>
        <v>2.02489065478573</v>
      </c>
      <c r="L2992" s="36" t="n">
        <f aca="false">IF(Sens!$L$2988&gt;0,Sens!$L$2990/Sens!$L$2988,Sens!$L$2986)</f>
        <v>2.0260728977417</v>
      </c>
      <c r="M2992" s="36" t="n">
        <f aca="false">IF(Sens!$M$2988&gt;0,Sens!$M$2990/Sens!$M$2988,Sens!$M$2986)</f>
        <v>2.02638170661685</v>
      </c>
    </row>
    <row r="2993" customFormat="false" ht="17.15" hidden="false" customHeight="false" outlineLevel="0" collapsed="false">
      <c r="A2993" s="15" t="s">
        <v>609</v>
      </c>
      <c r="B2993" s="14" t="s">
        <v>173</v>
      </c>
      <c r="C2993" s="14"/>
      <c r="D2993" s="14"/>
      <c r="E2993" s="14"/>
      <c r="F2993" s="37" t="n">
        <f aca="false">Sens!$F$2991*k_B</f>
        <v>10.7987645808025</v>
      </c>
      <c r="G2993" s="37" t="n">
        <f aca="false">Sens!$G$2991*k_B</f>
        <v>10.7987645808025</v>
      </c>
      <c r="H2993" s="37" t="n">
        <f aca="false">Sens!$H$2991*k_B</f>
        <v>11.0201444540452</v>
      </c>
      <c r="I2993" s="37" t="n">
        <f aca="false">Sens!$I$2991*k_B</f>
        <v>11.1972483526393</v>
      </c>
      <c r="J2993" s="37" t="n">
        <f aca="false">Sens!$J$2991*k_B</f>
        <v>11.2731500234653</v>
      </c>
      <c r="K2993" s="37" t="n">
        <f aca="false">Sens!$K$2991*k_B</f>
        <v>11.3050534585724</v>
      </c>
      <c r="L2993" s="37" t="n">
        <f aca="false">Sens!$L$2991*k_B</f>
        <v>11.3192185168503</v>
      </c>
      <c r="M2993" s="37" t="n">
        <f aca="false">Sens!$M$2991*k_B</f>
        <v>11.3229185141234</v>
      </c>
      <c r="N2993" s="14"/>
      <c r="O2993" s="14"/>
      <c r="P2993" s="5" t="s">
        <v>610</v>
      </c>
    </row>
    <row r="2994" customFormat="false" ht="17.15" hidden="false" customHeight="false" outlineLevel="0" collapsed="false">
      <c r="A2994" s="5" t="s">
        <v>611</v>
      </c>
      <c r="B2994" s="0" t="s">
        <v>129</v>
      </c>
      <c r="F2994" s="32" t="n">
        <f aca="false">Sens!$F$2988/2</f>
        <v>908.575</v>
      </c>
      <c r="H2994" s="32" t="n">
        <f aca="false">(Sens!$G$2988+Sens!$H$2988)/2</f>
        <v>3634.3</v>
      </c>
      <c r="I2994" s="32" t="n">
        <f aca="false">(Sens!$H$2988+Sens!$I$2988)/2</f>
        <v>7268.6</v>
      </c>
      <c r="J2994" s="32" t="n">
        <f aca="false">(Sens!$I$2988+Sens!$J$2988)/2</f>
        <v>10902.9</v>
      </c>
      <c r="K2994" s="32" t="n">
        <f aca="false">(Sens!$J$2988+Sens!$K$2988)/2</f>
        <v>14005.4835833333</v>
      </c>
      <c r="L2994" s="32" t="n">
        <f aca="false">(Sens!$K$2988+Sens!$L$2988)/2</f>
        <v>16044.6343333333</v>
      </c>
      <c r="M2994" s="32" t="n">
        <f aca="false">(Sens!$L$2988+Sens!$M$2988)/2</f>
        <v>17020.35225</v>
      </c>
    </row>
    <row r="2995" customFormat="false" ht="17.15" hidden="false" customHeight="false" outlineLevel="0" collapsed="false">
      <c r="A2995" s="1" t="s">
        <v>612</v>
      </c>
    </row>
    <row r="2996" customFormat="false" ht="17.15" hidden="false" customHeight="false" outlineLevel="0" collapsed="false">
      <c r="A2996" s="1" t="s">
        <v>613</v>
      </c>
      <c r="B2996" s="8" t="s">
        <v>86</v>
      </c>
      <c r="C2996" s="38" t="n">
        <f aca="false">Sens!$C$2979*rpm_open*Sens!$C$2980/1000</f>
        <v>2.32100535697364</v>
      </c>
      <c r="D2996" s="38" t="n">
        <f aca="false">Sens!$D$2979*rpm_open*Sens!$D$2980/1000</f>
        <v>8.70377008865116</v>
      </c>
      <c r="E2996" s="38" t="n">
        <f aca="false">Sens!$E$2979*rpm_open*Sens!$E$2980/1000</f>
        <v>8.51035297557002</v>
      </c>
      <c r="F2996" s="38" t="n">
        <f aca="false">(mw_open*rpm_open+Sens!$F$2994*Sens!$F$2993)*Sens!$F$2980/1000</f>
        <v>14.9634336447205</v>
      </c>
      <c r="G2996" s="38" t="n">
        <f aca="false">Sens!$E$2996+Sens!$F$2996</f>
        <v>23.4737866202905</v>
      </c>
      <c r="H2996" s="38" t="n">
        <f aca="false">(mw_open*rpm_open+Sens!$H$2994*Sens!$H$2993)/1000</f>
        <v>60.1658907497746</v>
      </c>
      <c r="I2996" s="38" t="n">
        <f aca="false">(mw_open*rpm_open+Sens!$I$2994*Sens!$I$2993)/1000</f>
        <v>101.503699136432</v>
      </c>
      <c r="J2996" s="38" t="n">
        <f aca="false">(mw_open*rpm_open+Sens!$J$2994*Sens!$J$2993)/1000</f>
        <v>143.025407151278</v>
      </c>
      <c r="K2996" s="38" t="n">
        <f aca="false">(mw_open*rpm_open+Sens!$K$2994*Sens!$K$2993)/1000</f>
        <v>178.44812038318</v>
      </c>
      <c r="L2996" s="38" t="n">
        <f aca="false">(mw_open*rpm_open+Sens!$L$2994*Sens!$L$2993)/1000</f>
        <v>201.728101802396</v>
      </c>
      <c r="M2996" s="38" t="n">
        <f aca="false">(mw_open*rpm_open+Sens!$M$2994*Sens!$M$2993)/1000</f>
        <v>212.835441368865</v>
      </c>
      <c r="N2996" s="38" t="n">
        <f aca="false">Sens!$N$2979*rpm_open*Sens!$N$2980/1000</f>
        <v>3.04631953102791</v>
      </c>
      <c r="O2996" s="38" t="n">
        <f aca="false">Sens!$O$2979*rpm_open*Sens!$O$2980/1000</f>
        <v>5.65745055762326</v>
      </c>
      <c r="P2996" s="5" t="s">
        <v>614</v>
      </c>
    </row>
    <row r="2997" customFormat="false" ht="17.15" hidden="false" customHeight="false" outlineLevel="0" collapsed="false">
      <c r="A2997" s="5" t="s">
        <v>615</v>
      </c>
      <c r="B2997" s="0" t="s">
        <v>173</v>
      </c>
      <c r="C2997" s="36" t="n">
        <f aca="false">Sens!$C$2996*1000/(Sens!$C$2979*Sens!$C$2980)</f>
        <v>9.67085565405685</v>
      </c>
      <c r="D2997" s="36" t="n">
        <f aca="false">Sens!$D$2996*1000/(Sens!$D$2979*Sens!$D$2980)</f>
        <v>9.67085565405685</v>
      </c>
      <c r="E2997" s="36" t="n">
        <f aca="false">Sens!$E$2996*1000/(Sens!$E$2979*Sens!$E$2980)</f>
        <v>9.67085565405685</v>
      </c>
      <c r="F2997" s="36" t="n">
        <f aca="false">Sens!$F$2996*1000/(Sens!$F$2979*Sens!$F$2980)</f>
        <v>10.0137581588017</v>
      </c>
      <c r="G2997" s="36" t="n">
        <f aca="false">Sens!$G$2996*1000/(Sens!$G$2979*Sens!$G$2980)</f>
        <v>9.88666562928478</v>
      </c>
      <c r="H2997" s="36" t="n">
        <f aca="false">Sens!$H$2996*1000/(Sens!$H$2979*Sens!$H$2980)</f>
        <v>10.5290045586992</v>
      </c>
      <c r="I2997" s="36" t="n">
        <f aca="false">Sens!$I$2996*1000/(Sens!$I$2979*Sens!$I$2980)</f>
        <v>10.8576363451674</v>
      </c>
      <c r="J2997" s="36" t="n">
        <f aca="false">Sens!$J$2996*1000/(Sens!$J$2979*Sens!$J$2980)</f>
        <v>11.0164452588619</v>
      </c>
      <c r="K2997" s="36" t="n">
        <f aca="false">Sens!$K$2996*1000/(Sens!$K$2979*Sens!$K$2980)</f>
        <v>11.0937367508227</v>
      </c>
      <c r="L2997" s="36" t="n">
        <f aca="false">Sens!$L$2996*1000/(Sens!$L$2979*Sens!$L$2980)</f>
        <v>11.1300508519168</v>
      </c>
      <c r="M2997" s="36" t="n">
        <f aca="false">Sens!$M$2996*1000/(Sens!$M$2979*Sens!$M$2980)</f>
        <v>11.1430113216297</v>
      </c>
      <c r="N2997" s="36" t="n">
        <f aca="false">Sens!$N$2996*1000/(Sens!$N$2979*Sens!$N$2980)</f>
        <v>9.67085565405685</v>
      </c>
      <c r="O2997" s="36" t="n">
        <f aca="false">Sens!$O$2996*1000/(Sens!$O$2979*Sens!$O$2980)</f>
        <v>9.67085565405685</v>
      </c>
    </row>
    <row r="2998" customFormat="false" ht="17.15" hidden="false" customHeight="false" outlineLevel="0" collapsed="false">
      <c r="A2998" s="0" t="s">
        <v>616</v>
      </c>
      <c r="B2998" s="0" t="s">
        <v>86</v>
      </c>
      <c r="C2998" s="38" t="n">
        <f aca="false">Sens!$C$2979/ext_sh*(ox_open+rent_mw)*Sens!$C$2980/1000</f>
        <v>0.642569210675032</v>
      </c>
      <c r="D2998" s="38" t="n">
        <f aca="false">Sens!$D$2979/ext_sh*(ox_open+rent_mw)*Sens!$D$2980/1000</f>
        <v>2.40963454003137</v>
      </c>
      <c r="E2998" s="38" t="n">
        <f aca="false">Sens!$E$2979/ext_sh*(ox_open+rent_mw)*Sens!$E$2980/1000</f>
        <v>2.35608710580845</v>
      </c>
      <c r="F2998" s="38" t="n">
        <f aca="false">((mw_open*ox_open+Sens!$F$2994*Sens!$F$2992)/ext_sh+Sens!$F$2979/ext_sh*rent_mw)*Sens!$F$2980/1000</f>
        <v>4.05421991106232</v>
      </c>
      <c r="G2998" s="38" t="n">
        <f aca="false">Sens!$E$2998+Sens!$F$2998</f>
        <v>6.41030701687077</v>
      </c>
      <c r="H2998" s="38" t="n">
        <f aca="false">((mw_open*ox_open+Sens!$H$2994*Sens!$H$2992)/ext_sh+Sens!$H$2979/ext_sh*rent_mw)*Sens!$H$2980/1000</f>
        <v>15.8108975546616</v>
      </c>
      <c r="I2998" s="38" t="n">
        <f aca="false">((mw_open*ox_open+Sens!$I$2994*Sens!$I$2992)/ext_sh+Sens!$I$2979/ext_sh*rent_mw)*Sens!$I$2980/1000</f>
        <v>26.1871623400817</v>
      </c>
      <c r="J2998" s="38" t="n">
        <f aca="false">((mw_open*ox_open+Sens!$J$2994*Sens!$J$2992)/ext_sh+Sens!$J$2979/ext_sh*rent_mw)*Sens!$J$2980/1000</f>
        <v>36.5826128954935</v>
      </c>
      <c r="K2998" s="38" t="n">
        <f aca="false">((mw_open*ox_open+Sens!$K$2994*Sens!$K$2992)/ext_sh+Sens!$K$2979/ext_sh*rent_mw)*Sens!$K$2980/1000</f>
        <v>45.4546361137628</v>
      </c>
      <c r="L2998" s="38" t="n">
        <f aca="false">((mw_open*ox_open+Sens!$L$2994*Sens!$L$2992)/ext_sh+Sens!$L$2979/ext_sh*rent_mw)*Sens!$L$2980/1000</f>
        <v>51.2855695554452</v>
      </c>
      <c r="M2998" s="38" t="n">
        <f aca="false">((mw_open*ox_open+Sens!$M$2994*Sens!$M$2992)/ext_sh+Sens!$M$2979/ext_sh*rent_mw)*Sens!$M$2980/1000</f>
        <v>54.0722927838398</v>
      </c>
      <c r="N2998" s="38" t="n">
        <f aca="false">Sens!$N$2979/ext_sh*(ox_open+rent_mw)*Sens!$N$2980/1000</f>
        <v>0.84337208901098</v>
      </c>
      <c r="O2998" s="38" t="n">
        <f aca="false">Sens!$O$2979/ext_sh*(ox_open+rent_mw)*Sens!$O$2980/1000</f>
        <v>1.56626245102039</v>
      </c>
    </row>
    <row r="2999" customFormat="false" ht="17.15" hidden="false" customHeight="false" outlineLevel="0" collapsed="false">
      <c r="A2999" s="0" t="s">
        <v>617</v>
      </c>
      <c r="B2999" s="0" t="s">
        <v>86</v>
      </c>
      <c r="C2999" s="38" t="n">
        <f aca="false">Q!$D$7</f>
        <v>107.556</v>
      </c>
      <c r="D2999" s="38" t="n">
        <f aca="false">Q!$E$7</f>
        <v>128.725</v>
      </c>
      <c r="E2999" s="38" t="n">
        <f aca="false">Q!$P$7</f>
        <v>79.819</v>
      </c>
      <c r="N2999" s="38" t="n">
        <f aca="false">Q!$N$7</f>
        <v>60.14</v>
      </c>
      <c r="O2999" s="38" t="n">
        <f aca="false">Q!$O$7</f>
        <v>68.585</v>
      </c>
    </row>
    <row r="3000" customFormat="false" ht="17.15" hidden="false" customHeight="false" outlineLevel="0" collapsed="false">
      <c r="A3000" s="1" t="s">
        <v>618</v>
      </c>
      <c r="B3000" s="8" t="s">
        <v>86</v>
      </c>
      <c r="C3000" s="38" t="n">
        <f aca="false">Sens!$C$2999-Sens!$C$2996</f>
        <v>105.234994643026</v>
      </c>
      <c r="D3000" s="38" t="n">
        <f aca="false">Sens!$D$2999-Sens!$D$2996</f>
        <v>120.021229911349</v>
      </c>
      <c r="E3000" s="38" t="n">
        <f aca="false">Sens!$E$2999-Sens!$E$2996</f>
        <v>71.30864702443</v>
      </c>
      <c r="F3000" s="38" t="n">
        <f aca="false">Sens!$O$3000*(1+Sens!$F$3001)</f>
        <v>71.7692997942464</v>
      </c>
      <c r="G3000" s="38" t="n">
        <f aca="false">Sens!$E$3000+Sens!$F$3000</f>
        <v>143.077946818676</v>
      </c>
      <c r="H3000" s="38" t="n">
        <f aca="false">Sens!$G$3000*(1+Sens!$H$3001)</f>
        <v>159.943992478063</v>
      </c>
      <c r="I3000" s="38" t="n">
        <f aca="false">Sens!$H$3000*(1+Sens!$I$3001)</f>
        <v>175.17920379248</v>
      </c>
      <c r="J3000" s="38" t="n">
        <f aca="false">Sens!$I$3000*(1+Sens!$J$3001)</f>
        <v>187.901892489002</v>
      </c>
      <c r="K3000" s="38" t="n">
        <f aca="false">Sens!$J$3000*(1+Sens!$K$3001)</f>
        <v>197.296987113453</v>
      </c>
      <c r="L3000" s="38" t="n">
        <f aca="false">Sens!$K$3000*(1+Sens!$L$3001)</f>
        <v>207.161836469125</v>
      </c>
      <c r="M3000" s="38" t="n">
        <f aca="false">Sens!$L$3000*(1+Sens!$M$3001)</f>
        <v>217.519928292582</v>
      </c>
      <c r="N3000" s="38" t="n">
        <f aca="false">Sens!$N$2999-Sens!$N$2996</f>
        <v>57.0936804689721</v>
      </c>
      <c r="O3000" s="38" t="n">
        <f aca="false">Sens!$O$2999-Sens!$O$2996</f>
        <v>62.9275494423768</v>
      </c>
      <c r="P3000" s="5" t="s">
        <v>619</v>
      </c>
    </row>
    <row r="3001" customFormat="false" ht="17.15" hidden="false" customHeight="false" outlineLevel="0" collapsed="false">
      <c r="A3001" s="0" t="s">
        <v>620</v>
      </c>
      <c r="B3001" s="0" t="s">
        <v>52</v>
      </c>
      <c r="D3001" s="13" t="n">
        <f aca="false">Sens!$D$3000/Sens!$C$3000-1</f>
        <v>0.140506827776062</v>
      </c>
      <c r="E3001" s="13" t="n">
        <f aca="false">Sens!$E$3000/Sens!$N$3000-1</f>
        <v>0.248976181579029</v>
      </c>
      <c r="F3001" s="13" t="n">
        <f aca="false">Sens!$D$3001</f>
        <v>0.140506827776062</v>
      </c>
      <c r="G3001" s="13" t="n">
        <f aca="false">Sens!$G$3000/Sens!$D$3000-1</f>
        <v>0.19210532106993</v>
      </c>
      <c r="H3001" s="13" t="n">
        <f aca="false">Sens!$F$3001+(g_awso_lt_lo-Sens!$F$3001)*1/4</f>
        <v>0.117880120832046</v>
      </c>
      <c r="I3001" s="13" t="n">
        <f aca="false">Sens!$F$3001+(g_awso_lt_lo-Sens!$F$3001)*2/4</f>
        <v>0.0952534138880309</v>
      </c>
      <c r="J3001" s="13" t="n">
        <f aca="false">Sens!$F$3001+(g_awso_lt_lo-Sens!$F$3001)*3/4</f>
        <v>0.0726267069440154</v>
      </c>
      <c r="K3001" s="13" t="n">
        <f aca="false">Sens!$F$3001+(g_awso_lt_lo-Sens!$F$3001)*4/4</f>
        <v>0.05</v>
      </c>
      <c r="L3001" s="13" t="n">
        <f aca="false">g_awso_lt_lo</f>
        <v>0.05</v>
      </c>
      <c r="M3001" s="13" t="n">
        <f aca="false">g_awso_lt_lo</f>
        <v>0.05</v>
      </c>
      <c r="P3001" s="5" t="s">
        <v>621</v>
      </c>
    </row>
    <row r="3002" customFormat="false" ht="17.15" hidden="false" customHeight="false" outlineLevel="0" collapsed="false">
      <c r="A3002" s="1" t="s">
        <v>622</v>
      </c>
    </row>
    <row r="3003" customFormat="false" ht="17.15" hidden="false" customHeight="false" outlineLevel="0" collapsed="false">
      <c r="A3003" s="0" t="s">
        <v>623</v>
      </c>
      <c r="B3003" s="0" t="s">
        <v>86</v>
      </c>
      <c r="F3003" s="38" t="n">
        <f aca="false">cx_rt*Sens!$F$2968+cx_awso*Sens!$F$3000</f>
        <v>34.9734495387866</v>
      </c>
    </row>
    <row r="3004" customFormat="false" ht="17.15" hidden="false" customHeight="false" outlineLevel="0" collapsed="false">
      <c r="A3004" s="0" t="s">
        <v>624</v>
      </c>
      <c r="B3004" s="0" t="s">
        <v>52</v>
      </c>
      <c r="C3004" s="13" t="n">
        <f aca="false">tk_cx_h100/(tk_cx_h100+tk_fac*(1-colo_sh))</f>
        <v>0.730756458006641</v>
      </c>
      <c r="D3004" s="13" t="n">
        <f aca="false">tk_cx_h100/(tk_cx_h100+tk_fac*(1-colo_sh))</f>
        <v>0.730756458006641</v>
      </c>
      <c r="E3004" s="13" t="n">
        <f aca="false">Sens!$F$3004</f>
        <v>0.760792334328868</v>
      </c>
      <c r="F3004" s="13" t="n">
        <f aca="false">Sens!$F$2987/(Sens!$F$2987+tk_fac*(1-colo_sh))</f>
        <v>0.760792334328868</v>
      </c>
      <c r="G3004" s="13" t="n">
        <f aca="false">Sens!$G$2987/(Sens!$G$2987+tk_fac*(1-colo_sh))</f>
        <v>0.760792334328868</v>
      </c>
      <c r="H3004" s="13" t="n">
        <f aca="false">Sens!$H$2987/(Sens!$H$2987+tk_fac*(1-colo_sh))</f>
        <v>0.768110668862996</v>
      </c>
      <c r="I3004" s="13" t="n">
        <f aca="false">Sens!$I$2987/(Sens!$I$2987+tk_fac*(1-colo_sh))</f>
        <v>0.77499450139483</v>
      </c>
      <c r="J3004" s="13" t="n">
        <f aca="false">Sens!$J$2987/(Sens!$J$2987+tk_fac*(1-colo_sh))</f>
        <v>0.77499450139483</v>
      </c>
      <c r="K3004" s="13" t="n">
        <f aca="false">Sens!$K$2987/(Sens!$K$2987+tk_fac*(1-colo_sh))</f>
        <v>0.77499450139483</v>
      </c>
      <c r="L3004" s="13" t="n">
        <f aca="false">Sens!$L$2987/(Sens!$L$2987+tk_fac*(1-colo_sh))</f>
        <v>0.77499450139483</v>
      </c>
      <c r="M3004" s="13" t="n">
        <f aca="false">Sens!$M$2987/(Sens!$M$2987+tk_fac*(1-colo_sh))</f>
        <v>0.77499450139483</v>
      </c>
    </row>
    <row r="3005" customFormat="false" ht="17.15" hidden="false" customHeight="false" outlineLevel="0" collapsed="false">
      <c r="A3005" s="1" t="s">
        <v>625</v>
      </c>
      <c r="B3005" s="8" t="s">
        <v>86</v>
      </c>
      <c r="C3005" s="38" t="n">
        <f aca="false">Q!$D$46-cx_rt*Q!$D$16-cx_awso*Sens!$C$3000</f>
        <v>25.2781053077374</v>
      </c>
      <c r="D3005" s="38" t="n">
        <f aca="false">Q!$E$46-cx_rt*Q!$E$16-cx_awso*Sens!$D$3000</f>
        <v>69.5686316310026</v>
      </c>
      <c r="E3005" s="38" t="n">
        <f aca="false">Q!$P$46-cx_rt*Q!$P$16-cx_awso*Sens!$E$3000</f>
        <v>64.1899206485108</v>
      </c>
      <c r="F3005" s="38" t="n">
        <f aca="false">MAX(Sens!$F$2982*(Sens!$F$2987+tk_fac*(1-colo_sh))/1000,capex_g26-Q!$P$46-Sens!$F$3003)</f>
        <v>96.2481299895</v>
      </c>
      <c r="G3005" s="38" t="n">
        <f aca="false">Sens!$E$3005+Sens!$F$3005</f>
        <v>160.438050638011</v>
      </c>
      <c r="H3005" s="38" t="n">
        <f aca="false">Sens!$H$2982*(Sens!$H$2987+tk_fac*(1-colo_sh))/1000+Sens!$H$3006</f>
        <v>198.57136494475</v>
      </c>
      <c r="I3005" s="38" t="n">
        <f aca="false">Sens!$I$2982*(Sens!$I$2987+tk_fac*(1-colo_sh))/1000+Sens!$I$3006</f>
        <v>204.6464699105</v>
      </c>
      <c r="J3005" s="38" t="n">
        <f aca="false">Sens!$J$2982*(Sens!$J$2987+tk_fac*(1-colo_sh))/1000+Sens!$J$3006</f>
        <v>209.8832381105</v>
      </c>
      <c r="K3005" s="38" t="n">
        <f aca="false">Sens!$K$2982*(Sens!$K$2987+tk_fac*(1-colo_sh))/1000+Sens!$K$3006</f>
        <v>155.238385275201</v>
      </c>
      <c r="L3005" s="38" t="n">
        <f aca="false">Sens!$L$2982*(Sens!$L$2987+tk_fac*(1-colo_sh))/1000+Sens!$L$3006</f>
        <v>132.014141639902</v>
      </c>
      <c r="M3005" s="38" t="n">
        <f aca="false">Sens!$M$2982*(Sens!$M$2987+tk_fac*(1-colo_sh))/1000+Sens!$M$3006</f>
        <v>132.230981659852</v>
      </c>
      <c r="P3005" s="5" t="s">
        <v>626</v>
      </c>
      <c r="R3005" s="38" t="n">
        <f aca="false">Q!$C$46-cx_rt*Q!$C$16-cx_awso*(Q!$C$7-mw_ye23/2*rpm_open/1000)</f>
        <v>1.50429979529945</v>
      </c>
      <c r="S3005" s="38" t="n">
        <f aca="false">Sens!$C$3005</f>
        <v>25.2781053077374</v>
      </c>
      <c r="T3005" s="38" t="n">
        <f aca="false">Sens!$D$3005</f>
        <v>69.5686316310026</v>
      </c>
      <c r="U3005" s="38" t="n">
        <f aca="false">Sens!$G$3005</f>
        <v>160.438050638011</v>
      </c>
      <c r="V3005" s="38" t="n">
        <f aca="false">Sens!$H$3005</f>
        <v>198.57136494475</v>
      </c>
      <c r="W3005" s="38" t="n">
        <f aca="false">Sens!$I$3005</f>
        <v>204.6464699105</v>
      </c>
      <c r="X3005" s="38" t="n">
        <f aca="false">Sens!$J$3005</f>
        <v>209.8832381105</v>
      </c>
      <c r="Y3005" s="38" t="n">
        <f aca="false">Sens!$K$3005</f>
        <v>155.238385275201</v>
      </c>
      <c r="Z3005" s="38" t="n">
        <f aca="false">Sens!$L$3005</f>
        <v>132.014141639902</v>
      </c>
      <c r="AA3005" s="38" t="n">
        <f aca="false">Sens!$M$3005</f>
        <v>132.230981659852</v>
      </c>
    </row>
    <row r="3006" customFormat="false" ht="17.15" hidden="false" customHeight="false" outlineLevel="0" collapsed="false">
      <c r="A3006" s="0" t="s">
        <v>627</v>
      </c>
      <c r="B3006" s="0" t="s">
        <v>86</v>
      </c>
      <c r="H3006" s="38" t="n">
        <f aca="false">SUMPRODUCT(--(Sens!$R$2975:$AA$2975=2027-tk_life),Sens!$R$2982:$AA$2982)*Sens!$H$2987/1000</f>
        <v>0</v>
      </c>
      <c r="I3006" s="38" t="n">
        <f aca="false">SUMPRODUCT(--(Sens!$R$2975:$AA$2975=2028-tk_life),Sens!$R$2982:$AA$2982)*Sens!$I$2987/1000</f>
        <v>0</v>
      </c>
      <c r="J3006" s="38" t="n">
        <f aca="false">SUMPRODUCT(--(Sens!$R$2975:$AA$2975=2029-tk_life),Sens!$R$2982:$AA$2982)*Sens!$J$2987/1000</f>
        <v>5.2367682</v>
      </c>
      <c r="K3006" s="38" t="n">
        <f aca="false">SUMPRODUCT(--(Sens!$R$2975:$AA$2975=2030-tk_life),Sens!$R$2982:$AA$2982)*Sens!$K$2987/1000</f>
        <v>10.4735364</v>
      </c>
      <c r="L3006" s="38" t="n">
        <f aca="false">SUMPRODUCT(--(Sens!$R$2975:$AA$2975=2031-tk_life),Sens!$R$2982:$AA$2982)*Sens!$L$2987/1000</f>
        <v>47.1309138</v>
      </c>
      <c r="M3006" s="38" t="n">
        <f aca="false">SUMPRODUCT(--(Sens!$R$2975:$AA$2975=2032-tk_life),Sens!$R$2982:$AA$2982)*Sens!$M$2987/1000</f>
        <v>107.22937485525</v>
      </c>
    </row>
    <row r="3007" customFormat="false" ht="17.15" hidden="false" customHeight="false" outlineLevel="0" collapsed="false">
      <c r="A3007" s="5" t="s">
        <v>628</v>
      </c>
      <c r="B3007" s="0" t="s">
        <v>86</v>
      </c>
      <c r="C3007" s="38" t="n">
        <f aca="false">Sens!$C$3005*Sens!$C$3004</f>
        <v>18.472138699801</v>
      </c>
      <c r="D3007" s="38" t="n">
        <f aca="false">Sens!$D$3005*Sens!$D$3004</f>
        <v>50.8377268390402</v>
      </c>
      <c r="E3007" s="38" t="n">
        <f aca="false">Sens!$E$3005*Sens!$E$3004</f>
        <v>48.8351995705653</v>
      </c>
      <c r="F3007" s="38" t="n">
        <f aca="false">Sens!$F$3005*Sens!$F$3004</f>
        <v>73.2248394895</v>
      </c>
      <c r="G3007" s="38" t="n">
        <f aca="false">Sens!$E$3007+Sens!$F$3007</f>
        <v>122.060039060065</v>
      </c>
      <c r="H3007" s="38" t="n">
        <f aca="false">(Sens!$H$3005-Sens!$H$3006)*Sens!$H$3004+Sens!$H$3006</f>
        <v>152.52478394475</v>
      </c>
      <c r="I3007" s="38" t="n">
        <f aca="false">(Sens!$I$3005-Sens!$I$3006)*Sens!$I$3004+Sens!$I$3006</f>
        <v>158.5998889105</v>
      </c>
      <c r="J3007" s="38" t="n">
        <f aca="false">(Sens!$J$3005-Sens!$J$3006)*Sens!$J$3004+Sens!$J$3006</f>
        <v>163.8366571105</v>
      </c>
      <c r="K3007" s="38" t="n">
        <f aca="false">(Sens!$K$3005-Sens!$K$3006)*Sens!$K$3004+Sens!$K$3006</f>
        <v>122.665498273534</v>
      </c>
      <c r="L3007" s="38" t="n">
        <f aca="false">(Sens!$L$3005-Sens!$L$3006)*Sens!$L$3004+Sens!$L$3006</f>
        <v>112.914948636568</v>
      </c>
      <c r="M3007" s="38" t="n">
        <f aca="false">(Sens!$M$3005-Sens!$M$3006)*Sens!$M$3004+Sens!$M$3006</f>
        <v>126.605482654852</v>
      </c>
      <c r="R3007" s="38" t="n">
        <f aca="false">Sens!$R$3005*Sens!$C$3004</f>
        <v>1.09927679019314</v>
      </c>
      <c r="S3007" s="38" t="n">
        <f aca="false">Sens!$C$3007</f>
        <v>18.472138699801</v>
      </c>
      <c r="T3007" s="38" t="n">
        <f aca="false">Sens!$D$3007</f>
        <v>50.8377268390402</v>
      </c>
      <c r="U3007" s="38" t="n">
        <f aca="false">Sens!$G$3007</f>
        <v>122.060039060065</v>
      </c>
      <c r="V3007" s="38" t="n">
        <f aca="false">Sens!$H$3007</f>
        <v>152.52478394475</v>
      </c>
      <c r="W3007" s="38" t="n">
        <f aca="false">Sens!$I$3007</f>
        <v>158.5998889105</v>
      </c>
      <c r="X3007" s="38" t="n">
        <f aca="false">Sens!$J$3007</f>
        <v>163.8366571105</v>
      </c>
      <c r="Y3007" s="38" t="n">
        <f aca="false">Sens!$K$3007</f>
        <v>122.665498273534</v>
      </c>
      <c r="Z3007" s="38" t="n">
        <f aca="false">Sens!$L$3007</f>
        <v>112.914948636568</v>
      </c>
      <c r="AA3007" s="38" t="n">
        <f aca="false">Sens!$M$3007</f>
        <v>126.605482654852</v>
      </c>
    </row>
    <row r="3008" customFormat="false" ht="15" hidden="false" customHeight="false" outlineLevel="0" collapsed="false">
      <c r="A3008" s="5" t="s">
        <v>629</v>
      </c>
      <c r="B3008" s="0" t="s">
        <v>86</v>
      </c>
      <c r="C3008" s="38" t="n">
        <f aca="false">Sens!$C$3005-Sens!$C$3007</f>
        <v>6.80596660793636</v>
      </c>
      <c r="D3008" s="38" t="n">
        <f aca="false">Sens!$D$3005-Sens!$D$3007</f>
        <v>18.7309047919624</v>
      </c>
      <c r="E3008" s="38" t="n">
        <f aca="false">Sens!$E$3005-Sens!$E$3007</f>
        <v>15.3547210779455</v>
      </c>
      <c r="F3008" s="38" t="n">
        <f aca="false">Sens!$F$3005-Sens!$F$3007</f>
        <v>23.0232905</v>
      </c>
      <c r="G3008" s="38" t="n">
        <f aca="false">Sens!$G$3005-Sens!$G$3007</f>
        <v>38.3780115779455</v>
      </c>
      <c r="H3008" s="38" t="n">
        <f aca="false">Sens!$H$3005-Sens!$H$3007</f>
        <v>46.046581</v>
      </c>
      <c r="I3008" s="38" t="n">
        <f aca="false">Sens!$I$3005-Sens!$I$3007</f>
        <v>46.046581</v>
      </c>
      <c r="J3008" s="38" t="n">
        <f aca="false">Sens!$J$3005-Sens!$J$3007</f>
        <v>46.046581</v>
      </c>
      <c r="K3008" s="38" t="n">
        <f aca="false">Sens!$K$3005-Sens!$K$3007</f>
        <v>32.5728870016667</v>
      </c>
      <c r="L3008" s="38" t="n">
        <f aca="false">Sens!$L$3005-Sens!$L$3007</f>
        <v>19.0991930033334</v>
      </c>
      <c r="M3008" s="38" t="n">
        <f aca="false">Sens!$M$3005-Sens!$M$3007</f>
        <v>5.62549900499998</v>
      </c>
      <c r="R3008" s="38" t="n">
        <f aca="false">Sens!$R$3005-Sens!$R$3007</f>
        <v>0.405023005106309</v>
      </c>
      <c r="S3008" s="38" t="n">
        <f aca="false">Sens!$S$3005-Sens!$S$3007</f>
        <v>6.80596660793636</v>
      </c>
      <c r="T3008" s="38" t="n">
        <f aca="false">Sens!$T$3005-Sens!$T$3007</f>
        <v>18.7309047919624</v>
      </c>
      <c r="U3008" s="38" t="n">
        <f aca="false">Sens!$U$3005-Sens!$U$3007</f>
        <v>38.3780115779455</v>
      </c>
      <c r="V3008" s="38" t="n">
        <f aca="false">Sens!$V$3005-Sens!$V$3007</f>
        <v>46.046581</v>
      </c>
      <c r="W3008" s="38" t="n">
        <f aca="false">Sens!$W$3005-Sens!$W$3007</f>
        <v>46.046581</v>
      </c>
      <c r="X3008" s="38" t="n">
        <f aca="false">Sens!$X$3005-Sens!$X$3007</f>
        <v>46.046581</v>
      </c>
      <c r="Y3008" s="38" t="n">
        <f aca="false">Sens!$Y$3005-Sens!$Y$3007</f>
        <v>32.5728870016667</v>
      </c>
      <c r="Z3008" s="38" t="n">
        <f aca="false">Sens!$Z$3005-Sens!$Z$3007</f>
        <v>19.0991930033334</v>
      </c>
      <c r="AA3008" s="38" t="n">
        <f aca="false">Sens!$AA$3005-Sens!$AA$3007</f>
        <v>5.62549900499998</v>
      </c>
    </row>
    <row r="3009" customFormat="false" ht="17.15" hidden="false" customHeight="false" outlineLevel="0" collapsed="false">
      <c r="A3009" s="0" t="s">
        <v>630</v>
      </c>
      <c r="B3009" s="0" t="s">
        <v>52</v>
      </c>
      <c r="C3009" s="13" t="n">
        <f aca="false">Sens!$C$3005/Sens!$C$3125</f>
        <v>0.325505489553393</v>
      </c>
      <c r="D3009" s="13" t="n">
        <f aca="false">Sens!$D$3005/Sens!$D$3125</f>
        <v>0.54214956071542</v>
      </c>
      <c r="E3009" s="13" t="n">
        <f aca="false">Sens!$E$3005/Sens!$E$3125</f>
        <v>0.666492790452817</v>
      </c>
      <c r="F3009" s="13" t="n">
        <f aca="false">Sens!$F$3005/Sens!$F$3125</f>
        <v>0.733477910687338</v>
      </c>
      <c r="G3009" s="13" t="n">
        <f aca="false">Sens!$G$3005/Sens!$G$3125</f>
        <v>0.705124321514523</v>
      </c>
      <c r="H3009" s="13" t="n">
        <f aca="false">Sens!$H$3005/Sens!$H$3125</f>
        <v>0.726946745872848</v>
      </c>
      <c r="I3009" s="13" t="n">
        <f aca="false">Sens!$I$3005/Sens!$I$3125</f>
        <v>0.714887948197907</v>
      </c>
      <c r="J3009" s="13" t="n">
        <f aca="false">Sens!$J$3005/Sens!$J$3125</f>
        <v>0.704916975718456</v>
      </c>
      <c r="K3009" s="13" t="n">
        <f aca="false">Sens!$K$3005/Sens!$K$3125</f>
        <v>0.625383692343695</v>
      </c>
      <c r="L3009" s="13" t="n">
        <f aca="false">Sens!$L$3005/Sens!$L$3125</f>
        <v>0.572833393346831</v>
      </c>
      <c r="M3009" s="13" t="n">
        <f aca="false">Sens!$M$3005/Sens!$M$3125</f>
        <v>0.559183533401246</v>
      </c>
    </row>
    <row r="3010" customFormat="false" ht="17.15" hidden="false" customHeight="false" outlineLevel="0" collapsed="false">
      <c r="A3010" s="0" t="s">
        <v>631</v>
      </c>
      <c r="B3010" s="0" t="s">
        <v>86</v>
      </c>
      <c r="C3010" s="38" t="n">
        <f aca="false">Sens!$S$3010</f>
        <v>0.183212798365523</v>
      </c>
      <c r="D3010" s="38" t="n">
        <f aca="false">Sens!$T$3010</f>
        <v>3.2619025816657</v>
      </c>
      <c r="E3010" s="38" t="n">
        <f aca="false">Sens!$G$3010/2</f>
        <v>5.86742852741953</v>
      </c>
      <c r="F3010" s="38" t="n">
        <f aca="false">Sens!$G$3010/2</f>
        <v>5.86742852741953</v>
      </c>
      <c r="G3010" s="38" t="n">
        <f aca="false">Sens!$U$3010</f>
        <v>11.7348570548391</v>
      </c>
      <c r="H3010" s="38" t="n">
        <f aca="false">Sens!$V$3010</f>
        <v>32.0781968981833</v>
      </c>
      <c r="I3010" s="38" t="n">
        <f aca="false">Sens!$W$3010</f>
        <v>57.4989942223083</v>
      </c>
      <c r="J3010" s="38" t="n">
        <f aca="false">Sens!$X$3010</f>
        <v>83.932309040725</v>
      </c>
      <c r="K3010" s="38" t="n">
        <f aca="false">Sens!$Y$3010</f>
        <v>111.055205760776</v>
      </c>
      <c r="L3010" s="38" t="n">
        <f aca="false">Sens!$Z$3010</f>
        <v>128.420765689732</v>
      </c>
      <c r="M3010" s="38" t="n">
        <f aca="false">Sens!$AA$3010</f>
        <v>138.766969322653</v>
      </c>
      <c r="N3010" s="38" t="n">
        <f aca="false">Sens!$D$3010/2</f>
        <v>1.63095129083285</v>
      </c>
      <c r="O3010" s="38" t="n">
        <f aca="false">Sens!$D$3010/2</f>
        <v>1.63095129083285</v>
      </c>
      <c r="R3010" s="38" t="n">
        <f aca="false">SUMPRODUCT(--(Sens!$R$2975:$AA$2975&lt;Sens!R$2975),--(Sens!$R$2975:$AA$2975&gt;=Sens!R$2975-tk_life),Sens!$R$3007:$AA$3007)/tk_life</f>
        <v>0</v>
      </c>
      <c r="S3010" s="38" t="n">
        <f aca="false">SUMPRODUCT(--(Sens!$R$2975:$AA$2975&lt;Sens!S$2975),--(Sens!$R$2975:$AA$2975&gt;=Sens!S$2975-tk_life),Sens!$R$3007:$AA$3007)/tk_life</f>
        <v>0.183212798365523</v>
      </c>
      <c r="T3010" s="38" t="n">
        <f aca="false">SUMPRODUCT(--(Sens!$R$2975:$AA$2975&lt;Sens!T$2975),--(Sens!$R$2975:$AA$2975&gt;=Sens!T$2975-tk_life),Sens!$R$3007:$AA$3007)/tk_life</f>
        <v>3.2619025816657</v>
      </c>
      <c r="U3010" s="38" t="n">
        <f aca="false">SUMPRODUCT(--(Sens!$R$2975:$AA$2975&lt;Sens!U$2975),--(Sens!$R$2975:$AA$2975&gt;=Sens!U$2975-tk_life),Sens!$R$3007:$AA$3007)/tk_life</f>
        <v>11.7348570548391</v>
      </c>
      <c r="V3010" s="38" t="n">
        <f aca="false">SUMPRODUCT(--(Sens!$R$2975:$AA$2975&lt;Sens!V$2975),--(Sens!$R$2975:$AA$2975&gt;=Sens!V$2975-tk_life),Sens!$R$3007:$AA$3007)/tk_life</f>
        <v>32.0781968981833</v>
      </c>
      <c r="W3010" s="38" t="n">
        <f aca="false">SUMPRODUCT(--(Sens!$R$2975:$AA$2975&lt;Sens!W$2975),--(Sens!$R$2975:$AA$2975&gt;=Sens!W$2975-tk_life),Sens!$R$3007:$AA$3007)/tk_life</f>
        <v>57.4989942223083</v>
      </c>
      <c r="X3010" s="38" t="n">
        <f aca="false">SUMPRODUCT(--(Sens!$R$2975:$AA$2975&lt;Sens!X$2975),--(Sens!$R$2975:$AA$2975&gt;=Sens!X$2975-tk_life),Sens!$R$3007:$AA$3007)/tk_life</f>
        <v>83.932309040725</v>
      </c>
      <c r="Y3010" s="38" t="n">
        <f aca="false">SUMPRODUCT(--(Sens!$R$2975:$AA$2975&lt;Sens!Y$2975),--(Sens!$R$2975:$AA$2975&gt;=Sens!Y$2975-tk_life),Sens!$R$3007:$AA$3007)/tk_life</f>
        <v>111.055205760776</v>
      </c>
      <c r="Z3010" s="38" t="n">
        <f aca="false">SUMPRODUCT(--(Sens!$R$2975:$AA$2975&lt;Sens!Z$2975),--(Sens!$R$2975:$AA$2975&gt;=Sens!Z$2975-tk_life),Sens!$R$3007:$AA$3007)/tk_life</f>
        <v>128.420765689732</v>
      </c>
      <c r="AA3010" s="38" t="n">
        <f aca="false">SUMPRODUCT(--(Sens!$R$2975:$AA$2975&lt;Sens!AA$2975),--(Sens!$R$2975:$AA$2975&gt;=Sens!AA$2975-tk_life),Sens!$R$3007:$AA$3007)/tk_life</f>
        <v>138.766969322653</v>
      </c>
    </row>
    <row r="3011" customFormat="false" ht="17.15" hidden="false" customHeight="false" outlineLevel="0" collapsed="false">
      <c r="A3011" s="0" t="s">
        <v>632</v>
      </c>
      <c r="B3011" s="0" t="s">
        <v>86</v>
      </c>
      <c r="C3011" s="38" t="n">
        <f aca="false">Sens!$S$3011</f>
        <v>0.0202511502553155</v>
      </c>
      <c r="D3011" s="38" t="n">
        <f aca="false">Sens!$T$3011</f>
        <v>0.360549480652134</v>
      </c>
      <c r="E3011" s="38" t="n">
        <f aca="false">Sens!$G$3011/2</f>
        <v>0.648547360125127</v>
      </c>
      <c r="F3011" s="38" t="n">
        <f aca="false">Sens!$G$3011/2</f>
        <v>0.648547360125127</v>
      </c>
      <c r="G3011" s="38" t="n">
        <f aca="false">Sens!$U$3011</f>
        <v>1.29709472025025</v>
      </c>
      <c r="H3011" s="38" t="n">
        <f aca="false">Sens!$V$3011</f>
        <v>3.21599529914753</v>
      </c>
      <c r="I3011" s="38" t="n">
        <f aca="false">Sens!$W$3011</f>
        <v>5.51832434914753</v>
      </c>
      <c r="J3011" s="38" t="n">
        <f aca="false">Sens!$X$3011</f>
        <v>7.82065339914753</v>
      </c>
      <c r="K3011" s="38" t="n">
        <f aca="false">Sens!$Y$3011</f>
        <v>10.1229824491475</v>
      </c>
      <c r="L3011" s="38" t="n">
        <f aca="false">Sens!$Z$3011</f>
        <v>11.7516267992309</v>
      </c>
      <c r="M3011" s="38" t="n">
        <f aca="false">Sens!$AA$3011</f>
        <v>12.7065864493975</v>
      </c>
      <c r="N3011" s="38" t="n">
        <f aca="false">Sens!$D$3011/2</f>
        <v>0.180274740326067</v>
      </c>
      <c r="O3011" s="38" t="n">
        <f aca="false">Sens!$D$3011/2</f>
        <v>0.180274740326067</v>
      </c>
      <c r="R3011" s="38" t="n">
        <f aca="false">SUMPRODUCT(--(Sens!$R$2975:$AA$2975&lt;Sens!R$2975),Sens!$R$3008:$AA$3008)/fac_life</f>
        <v>0</v>
      </c>
      <c r="S3011" s="38" t="n">
        <f aca="false">SUMPRODUCT(--(Sens!$R$2975:$AA$2975&lt;Sens!S$2975),Sens!$R$3008:$AA$3008)/fac_life</f>
        <v>0.0202511502553155</v>
      </c>
      <c r="T3011" s="38" t="n">
        <f aca="false">SUMPRODUCT(--(Sens!$R$2975:$AA$2975&lt;Sens!T$2975),Sens!$R$3008:$AA$3008)/fac_life</f>
        <v>0.360549480652134</v>
      </c>
      <c r="U3011" s="38" t="n">
        <f aca="false">SUMPRODUCT(--(Sens!$R$2975:$AA$2975&lt;Sens!U$2975),Sens!$R$3008:$AA$3008)/fac_life</f>
        <v>1.29709472025025</v>
      </c>
      <c r="V3011" s="38" t="n">
        <f aca="false">SUMPRODUCT(--(Sens!$R$2975:$AA$2975&lt;Sens!V$2975),Sens!$R$3008:$AA$3008)/fac_life</f>
        <v>3.21599529914753</v>
      </c>
      <c r="W3011" s="38" t="n">
        <f aca="false">SUMPRODUCT(--(Sens!$R$2975:$AA$2975&lt;Sens!W$2975),Sens!$R$3008:$AA$3008)/fac_life</f>
        <v>5.51832434914753</v>
      </c>
      <c r="X3011" s="38" t="n">
        <f aca="false">SUMPRODUCT(--(Sens!$R$2975:$AA$2975&lt;Sens!X$2975),Sens!$R$3008:$AA$3008)/fac_life</f>
        <v>7.82065339914753</v>
      </c>
      <c r="Y3011" s="38" t="n">
        <f aca="false">SUMPRODUCT(--(Sens!$R$2975:$AA$2975&lt;Sens!Y$2975),Sens!$R$3008:$AA$3008)/fac_life</f>
        <v>10.1229824491475</v>
      </c>
      <c r="Z3011" s="38" t="n">
        <f aca="false">SUMPRODUCT(--(Sens!$R$2975:$AA$2975&lt;Sens!Z$2975),Sens!$R$3008:$AA$3008)/fac_life</f>
        <v>11.7516267992309</v>
      </c>
      <c r="AA3011" s="38" t="n">
        <f aca="false">SUMPRODUCT(--(Sens!$R$2975:$AA$2975&lt;Sens!AA$2975),Sens!$R$3008:$AA$3008)/fac_life</f>
        <v>12.7065864493975</v>
      </c>
    </row>
    <row r="3012" customFormat="false" ht="17.15" hidden="false" customHeight="false" outlineLevel="0" collapsed="false">
      <c r="A3012" s="1" t="s">
        <v>633</v>
      </c>
      <c r="B3012" s="8" t="s">
        <v>86</v>
      </c>
      <c r="C3012" s="38" t="n">
        <f aca="false">Sens!$C$3010+Sens!$C$3011</f>
        <v>0.203463948620839</v>
      </c>
      <c r="D3012" s="38" t="n">
        <f aca="false">Sens!$D$3010+Sens!$D$3011</f>
        <v>3.62245206231783</v>
      </c>
      <c r="E3012" s="38" t="n">
        <f aca="false">Sens!$E$3010+Sens!$E$3011</f>
        <v>6.51597588754466</v>
      </c>
      <c r="F3012" s="38" t="n">
        <f aca="false">Sens!$F$3010+Sens!$F$3011</f>
        <v>6.51597588754466</v>
      </c>
      <c r="G3012" s="38" t="n">
        <f aca="false">Sens!$G$3010+Sens!$G$3011</f>
        <v>13.0319517750893</v>
      </c>
      <c r="H3012" s="38" t="n">
        <f aca="false">Sens!$H$3010+Sens!$H$3011</f>
        <v>35.2941921973308</v>
      </c>
      <c r="I3012" s="38" t="n">
        <f aca="false">Sens!$I$3010+Sens!$I$3011</f>
        <v>63.0173185714558</v>
      </c>
      <c r="J3012" s="38" t="n">
        <f aca="false">Sens!$J$3010+Sens!$J$3011</f>
        <v>91.7529624398725</v>
      </c>
      <c r="K3012" s="38" t="n">
        <f aca="false">Sens!$K$3010+Sens!$K$3011</f>
        <v>121.178188209924</v>
      </c>
      <c r="L3012" s="38" t="n">
        <f aca="false">Sens!$L$3010+Sens!$L$3011</f>
        <v>140.172392488963</v>
      </c>
      <c r="M3012" s="38" t="n">
        <f aca="false">Sens!$M$3010+Sens!$M$3011</f>
        <v>151.473555772051</v>
      </c>
      <c r="N3012" s="38" t="n">
        <f aca="false">Sens!$N$3010+Sens!$N$3011</f>
        <v>1.81122603115892</v>
      </c>
      <c r="O3012" s="38" t="n">
        <f aca="false">Sens!$O$3010+Sens!$O$3011</f>
        <v>1.81122603115892</v>
      </c>
      <c r="R3012" s="38" t="n">
        <f aca="false">Sens!$R$3010+Sens!$R$3011</f>
        <v>0</v>
      </c>
      <c r="S3012" s="38" t="n">
        <f aca="false">Sens!$S$3010+Sens!$S$3011</f>
        <v>0.203463948620839</v>
      </c>
      <c r="T3012" s="38" t="n">
        <f aca="false">Sens!$T$3010+Sens!$T$3011</f>
        <v>3.62245206231783</v>
      </c>
      <c r="U3012" s="38" t="n">
        <f aca="false">Sens!$U$3010+Sens!$U$3011</f>
        <v>13.0319517750893</v>
      </c>
      <c r="V3012" s="38" t="n">
        <f aca="false">Sens!$V$3010+Sens!$V$3011</f>
        <v>35.2941921973308</v>
      </c>
      <c r="W3012" s="38" t="n">
        <f aca="false">Sens!$W$3010+Sens!$W$3011</f>
        <v>63.0173185714558</v>
      </c>
      <c r="X3012" s="38" t="n">
        <f aca="false">Sens!$X$3010+Sens!$X$3011</f>
        <v>91.7529624398725</v>
      </c>
      <c r="Y3012" s="38" t="n">
        <f aca="false">Sens!$Y$3010+Sens!$Y$3011</f>
        <v>121.178188209924</v>
      </c>
      <c r="Z3012" s="38" t="n">
        <f aca="false">Sens!$Z$3010+Sens!$Z$3011</f>
        <v>140.172392488963</v>
      </c>
      <c r="AA3012" s="38" t="n">
        <f aca="false">Sens!$AA$3010+Sens!$AA$3011</f>
        <v>151.473555772051</v>
      </c>
    </row>
    <row r="3013" customFormat="false" ht="17.15" hidden="false" customHeight="false" outlineLevel="0" collapsed="false">
      <c r="A3013" s="0" t="s">
        <v>634</v>
      </c>
      <c r="B3013" s="0" t="s">
        <v>86</v>
      </c>
      <c r="C3013" s="38" t="n">
        <f aca="false">Sens!$S$3013</f>
        <v>26.578941154416</v>
      </c>
      <c r="D3013" s="38" t="n">
        <f aca="false">Sens!$T$3013</f>
        <v>92.5251207231008</v>
      </c>
      <c r="G3013" s="38" t="n">
        <f aca="false">Sens!$U$3013</f>
        <v>239.931219586022</v>
      </c>
      <c r="H3013" s="38" t="n">
        <f aca="false">Sens!$V$3013</f>
        <v>403.208392333442</v>
      </c>
      <c r="I3013" s="38" t="n">
        <f aca="false">Sens!$W$3013</f>
        <v>544.837543672486</v>
      </c>
      <c r="J3013" s="38" t="n">
        <f aca="false">Sens!$X$3013</f>
        <v>662.967819343113</v>
      </c>
      <c r="K3013" s="38" t="n">
        <f aca="false">Sens!$Y$3013</f>
        <v>697.028016408391</v>
      </c>
      <c r="L3013" s="38" t="n">
        <f aca="false">Sens!$Z$3013</f>
        <v>688.86976555933</v>
      </c>
      <c r="M3013" s="38" t="n">
        <f aca="false">Sens!$AA$3013</f>
        <v>669.627191447132</v>
      </c>
      <c r="R3013" s="38" t="n">
        <f aca="false">SUM(Sens!$R$3005:$R$3005)-SUM(Sens!$R$3012:$R$3012)</f>
        <v>1.50429979529945</v>
      </c>
      <c r="S3013" s="38" t="n">
        <f aca="false">SUM(Sens!$R$3005:$S$3005)-SUM(Sens!$R$3012:$S$3012)</f>
        <v>26.578941154416</v>
      </c>
      <c r="T3013" s="38" t="n">
        <f aca="false">SUM(Sens!$R$3005:$T$3005)-SUM(Sens!$R$3012:$T$3012)</f>
        <v>92.5251207231008</v>
      </c>
      <c r="U3013" s="38" t="n">
        <f aca="false">SUM(Sens!$R$3005:$U$3005)-SUM(Sens!$R$3012:$U$3012)</f>
        <v>239.931219586022</v>
      </c>
      <c r="V3013" s="38" t="n">
        <f aca="false">SUM(Sens!$R$3005:$V$3005)-SUM(Sens!$R$3012:$V$3012)</f>
        <v>403.208392333442</v>
      </c>
      <c r="W3013" s="38" t="n">
        <f aca="false">SUM(Sens!$R$3005:$W$3005)-SUM(Sens!$R$3012:$W$3012)</f>
        <v>544.837543672486</v>
      </c>
      <c r="X3013" s="38" t="n">
        <f aca="false">SUM(Sens!$R$3005:$X$3005)-SUM(Sens!$R$3012:$X$3012)</f>
        <v>662.967819343113</v>
      </c>
      <c r="Y3013" s="38" t="n">
        <f aca="false">SUM(Sens!$R$3005:$Y$3005)-SUM(Sens!$R$3012:$Y$3012)</f>
        <v>697.028016408391</v>
      </c>
      <c r="Z3013" s="38" t="n">
        <f aca="false">SUM(Sens!$R$3005:$Z$3005)-SUM(Sens!$R$3012:$Z$3012)</f>
        <v>688.86976555933</v>
      </c>
      <c r="AA3013" s="38" t="n">
        <f aca="false">SUM(Sens!$R$3005:$AA$3005)-SUM(Sens!$R$3012:$AA$3012)</f>
        <v>669.627191447132</v>
      </c>
    </row>
    <row r="3014" customFormat="false" ht="17.15" hidden="false" customHeight="false" outlineLevel="0" collapsed="false">
      <c r="A3014" s="1" t="s">
        <v>635</v>
      </c>
    </row>
    <row r="3015" customFormat="false" ht="17.15" hidden="false" customHeight="false" outlineLevel="0" collapsed="false">
      <c r="A3015" s="0" t="s">
        <v>636</v>
      </c>
      <c r="B3015" s="0" t="s">
        <v>86</v>
      </c>
      <c r="C3015" s="38" t="n">
        <f aca="false">Sens!$C$2996-ext_sh*Sens!$C$2998</f>
        <v>1.80694998843362</v>
      </c>
      <c r="D3015" s="38" t="n">
        <f aca="false">Sens!$D$2996-ext_sh*Sens!$D$2998</f>
        <v>6.77606245662607</v>
      </c>
      <c r="E3015" s="38" t="n">
        <f aca="false">Sens!$E$2996-ext_sh*Sens!$E$2998</f>
        <v>6.62548329092326</v>
      </c>
      <c r="F3015" s="38" t="n">
        <f aca="false">Sens!$F$2996-ext_sh*Sens!$F$2998</f>
        <v>11.7200577158706</v>
      </c>
      <c r="G3015" s="38" t="n">
        <f aca="false">Sens!$G$2996-ext_sh*Sens!$G$2998</f>
        <v>18.3455410067939</v>
      </c>
      <c r="H3015" s="38" t="n">
        <f aca="false">Sens!$H$2996-ext_sh*Sens!$H$2998</f>
        <v>47.5171727060453</v>
      </c>
      <c r="I3015" s="38" t="n">
        <f aca="false">Sens!$I$2996-ext_sh*Sens!$I$2998</f>
        <v>80.5539692643667</v>
      </c>
      <c r="J3015" s="38" t="n">
        <f aca="false">Sens!$J$2996-ext_sh*Sens!$J$2998</f>
        <v>113.759316834883</v>
      </c>
      <c r="K3015" s="38" t="n">
        <f aca="false">Sens!$K$2996-ext_sh*Sens!$K$2998</f>
        <v>142.084411492169</v>
      </c>
      <c r="L3015" s="38" t="n">
        <f aca="false">Sens!$L$2996-ext_sh*Sens!$L$2998</f>
        <v>160.69964615804</v>
      </c>
      <c r="M3015" s="38" t="n">
        <f aca="false">Sens!$M$2996-ext_sh*Sens!$M$2998</f>
        <v>169.577607141793</v>
      </c>
      <c r="N3015" s="38" t="n">
        <f aca="false">Sens!$N$2996-ext_sh*Sens!$N$2998</f>
        <v>2.37162185981912</v>
      </c>
      <c r="O3015" s="38" t="n">
        <f aca="false">Sens!$O$2996-ext_sh*Sens!$O$2998</f>
        <v>4.40444059680694</v>
      </c>
    </row>
    <row r="3016" customFormat="false" ht="17.15" hidden="false" customHeight="false" outlineLevel="0" collapsed="false">
      <c r="A3016" s="1" t="s">
        <v>637</v>
      </c>
      <c r="B3016" s="8" t="s">
        <v>86</v>
      </c>
      <c r="C3016" s="38" t="n">
        <f aca="false">Sens!$C$3015-ext_sh*Sens!$C$3012</f>
        <v>1.64417882953695</v>
      </c>
      <c r="D3016" s="38" t="n">
        <f aca="false">Sens!$D$3015-ext_sh*Sens!$D$3012</f>
        <v>3.8781008067718</v>
      </c>
      <c r="E3016" s="38" t="n">
        <f aca="false">Sens!$E$3015-ext_sh*Sens!$E$3012</f>
        <v>1.41270258088753</v>
      </c>
      <c r="F3016" s="38" t="n">
        <f aca="false">Sens!$F$3015-ext_sh*Sens!$F$3012</f>
        <v>6.50727700583486</v>
      </c>
      <c r="G3016" s="38" t="n">
        <f aca="false">Sens!$G$3015-ext_sh*Sens!$G$3012</f>
        <v>7.9199795867224</v>
      </c>
      <c r="H3016" s="38" t="n">
        <f aca="false">Sens!$H$3015-ext_sh*Sens!$H$3012</f>
        <v>19.2818189481807</v>
      </c>
      <c r="I3016" s="38" t="n">
        <f aca="false">Sens!$I$3015-ext_sh*Sens!$I$3012</f>
        <v>30.140114407202</v>
      </c>
      <c r="J3016" s="38" t="n">
        <f aca="false">Sens!$J$3015-ext_sh*Sens!$J$3012</f>
        <v>40.3569468829854</v>
      </c>
      <c r="K3016" s="38" t="n">
        <f aca="false">Sens!$K$3015-ext_sh*Sens!$K$3012</f>
        <v>45.1418609242305</v>
      </c>
      <c r="L3016" s="38" t="n">
        <f aca="false">Sens!$L$3015-ext_sh*Sens!$L$3012</f>
        <v>48.5617321668703</v>
      </c>
      <c r="M3016" s="38" t="n">
        <f aca="false">Sens!$M$3015-ext_sh*Sens!$M$3012</f>
        <v>48.3987625241529</v>
      </c>
      <c r="N3016" s="38" t="n">
        <f aca="false">Sens!$N$3015-ext_sh*Sens!$N$3012</f>
        <v>0.92264103489199</v>
      </c>
      <c r="O3016" s="38" t="n">
        <f aca="false">Sens!$O$3015-ext_sh*Sens!$O$3012</f>
        <v>2.95545977187981</v>
      </c>
    </row>
    <row r="3017" customFormat="false" ht="17.15" hidden="false" customHeight="false" outlineLevel="0" collapsed="false">
      <c r="A3017" s="0" t="s">
        <v>638</v>
      </c>
      <c r="B3017" s="0" t="s">
        <v>52</v>
      </c>
      <c r="C3017" s="13" t="n">
        <f aca="false">Sens!$C$3016/Sens!$C$2996</f>
        <v>0.708390794789371</v>
      </c>
      <c r="D3017" s="13" t="n">
        <f aca="false">Sens!$D$3016/Sens!$D$2996</f>
        <v>0.445565630441968</v>
      </c>
      <c r="E3017" s="13" t="n">
        <f aca="false">Sens!$E$3016/Sens!$E$2996</f>
        <v>0.165998118402711</v>
      </c>
      <c r="F3017" s="13" t="n">
        <f aca="false">Sens!$F$3016/Sens!$F$2996</f>
        <v>0.434878595403858</v>
      </c>
      <c r="G3017" s="13" t="n">
        <f aca="false">Sens!$G$3016/Sens!$G$2996</f>
        <v>0.3373967615381</v>
      </c>
      <c r="H3017" s="13" t="n">
        <f aca="false">Sens!$H$3016/Sens!$H$2996</f>
        <v>0.320477578041224</v>
      </c>
      <c r="I3017" s="13" t="n">
        <f aca="false">Sens!$I$3016/Sens!$I$2996</f>
        <v>0.296936118226494</v>
      </c>
      <c r="J3017" s="13" t="n">
        <f aca="false">Sens!$J$3016/Sens!$J$2996</f>
        <v>0.282166278613001</v>
      </c>
      <c r="K3017" s="13" t="n">
        <f aca="false">Sens!$K$3016/Sens!$K$2996</f>
        <v>0.252969102881543</v>
      </c>
      <c r="L3017" s="13" t="n">
        <f aca="false">Sens!$L$3016/Sens!$L$2996</f>
        <v>0.240728642826566</v>
      </c>
      <c r="M3017" s="13" t="n">
        <f aca="false">Sens!$M$3016/Sens!$M$2996</f>
        <v>0.227399920863147</v>
      </c>
      <c r="N3017" s="13" t="n">
        <f aca="false">Sens!$N$3016/Sens!$N$2996</f>
        <v>0.302870734830849</v>
      </c>
      <c r="O3017" s="13" t="n">
        <f aca="false">Sens!$O$3016/Sens!$O$2996</f>
        <v>0.52240134346334</v>
      </c>
    </row>
    <row r="3018" customFormat="false" ht="17.15" hidden="false" customHeight="false" outlineLevel="0" collapsed="false">
      <c r="A3018" s="5" t="s">
        <v>639</v>
      </c>
      <c r="B3018" s="0" t="s">
        <v>86</v>
      </c>
      <c r="C3018" s="39" t="n">
        <v>0</v>
      </c>
      <c r="D3018" s="39" t="n">
        <v>0</v>
      </c>
      <c r="E3018" s="39" t="n">
        <v>0</v>
      </c>
      <c r="F3018" s="38" t="n">
        <f aca="false">IF(internal_ai_reading=2,1,0)*(1-ext_sh)/ext_sh*(mw_open*he_open+Sens!$F$2994*Sens!$F$2991)*Sens!$F$2980/1000</f>
        <v>3.77122048175818</v>
      </c>
      <c r="G3018" s="38" t="n">
        <f aca="false">Sens!$E$3018+Sens!$F$3018</f>
        <v>3.77122048175818</v>
      </c>
      <c r="H3018" s="38" t="n">
        <f aca="false">IF(internal_ai_reading=2,1,0)*(1-ext_sh)/ext_sh*(mw_open*he_open+Sens!$H$2994*Sens!$H$2991)*Sens!$H$2980/1000</f>
        <v>15.1635543609893</v>
      </c>
      <c r="I3018" s="38" t="n">
        <f aca="false">IF(internal_ai_reading=2,1,0)*(1-ext_sh)/ext_sh*(mw_open*he_open+Sens!$I$2994*Sens!$I$2991)*Sens!$I$2980/1000</f>
        <v>25.5818843619889</v>
      </c>
      <c r="J3018" s="38" t="n">
        <f aca="false">IF(internal_ai_reading=2,1,0)*(1-ext_sh)/ext_sh*(mw_open*he_open+Sens!$J$2994*Sens!$J$2991)*Sens!$J$2980/1000</f>
        <v>36.0465624179122</v>
      </c>
      <c r="K3018" s="38" t="n">
        <f aca="false">IF(internal_ai_reading=2,1,0)*(1-ext_sh)/ext_sh*(mw_open*he_open+Sens!$K$2994*Sens!$K$2991)*Sens!$K$2980/1000</f>
        <v>44.9741164026038</v>
      </c>
      <c r="L3018" s="38" t="n">
        <f aca="false">IF(internal_ai_reading=2,1,0)*(1-ext_sh)/ext_sh*(mw_open*he_open+Sens!$L$2994*Sens!$L$2991)*Sens!$L$2980/1000</f>
        <v>50.8413488057813</v>
      </c>
      <c r="M3018" s="38" t="n">
        <f aca="false">IF(internal_ai_reading=2,1,0)*(1-ext_sh)/ext_sh*(mw_open*he_open+Sens!$M$2994*Sens!$M$2991)*Sens!$M$2980/1000</f>
        <v>53.6407214274315</v>
      </c>
      <c r="N3018" s="39" t="n">
        <v>0</v>
      </c>
      <c r="O3018" s="39" t="n">
        <v>0</v>
      </c>
      <c r="P3018" s="8" t="s">
        <v>640</v>
      </c>
    </row>
    <row r="3019" customFormat="false" ht="17.15" hidden="false" customHeight="false" outlineLevel="0" collapsed="false">
      <c r="A3019" s="5" t="s">
        <v>641</v>
      </c>
      <c r="B3019" s="0" t="s">
        <v>86</v>
      </c>
      <c r="C3019" s="38" t="n">
        <f aca="false">(1-ext_sh)*(Sens!$C$2998+Sens!$C$3012)</f>
        <v>0.169206631859174</v>
      </c>
      <c r="D3019" s="38" t="n">
        <f aca="false">(1-ext_sh)*(Sens!$D$2998+Sens!$D$3012)</f>
        <v>1.20641732046984</v>
      </c>
      <c r="E3019" s="38" t="n">
        <f aca="false">(1-ext_sh)*(Sens!$E$2998+Sens!$E$3012)</f>
        <v>1.77441259867062</v>
      </c>
      <c r="F3019" s="38" t="n">
        <f aca="false">(1-ext_sh)*(Sens!$F$2998+Sens!$F$3012)</f>
        <v>2.1140391597214</v>
      </c>
      <c r="G3019" s="38" t="n">
        <f aca="false">(1-ext_sh)*(Sens!$G$2998+Sens!$G$3012)</f>
        <v>3.88845175839202</v>
      </c>
      <c r="H3019" s="38" t="n">
        <f aca="false">(1-ext_sh)*(Sens!$H$2998+Sens!$H$3012)</f>
        <v>10.2210179503985</v>
      </c>
      <c r="I3019" s="38" t="n">
        <f aca="false">(1-ext_sh)*(Sens!$I$2998+Sens!$I$3012)</f>
        <v>17.8408961823075</v>
      </c>
      <c r="J3019" s="38" t="n">
        <f aca="false">(1-ext_sh)*(Sens!$J$2998+Sens!$J$3012)</f>
        <v>25.6671150670732</v>
      </c>
      <c r="K3019" s="38" t="n">
        <f aca="false">(1-ext_sh)*(Sens!$K$2998+Sens!$K$3012)</f>
        <v>33.3265648647373</v>
      </c>
      <c r="L3019" s="38" t="n">
        <f aca="false">(1-ext_sh)*(Sens!$L$2998+Sens!$L$3012)</f>
        <v>38.2915924088815</v>
      </c>
      <c r="M3019" s="38" t="n">
        <f aca="false">(1-ext_sh)*(Sens!$M$2998+Sens!$M$3012)</f>
        <v>41.1091697111781</v>
      </c>
      <c r="N3019" s="38" t="n">
        <f aca="false">(1-ext_sh)*(Sens!$N$2998+Sens!$N$3012)</f>
        <v>0.530919624033979</v>
      </c>
      <c r="O3019" s="38" t="n">
        <f aca="false">(1-ext_sh)*(Sens!$O$2998+Sens!$O$3012)</f>
        <v>0.675497696435861</v>
      </c>
    </row>
    <row r="3020" customFormat="false" ht="17.15" hidden="false" customHeight="false" outlineLevel="0" collapsed="false">
      <c r="A3020" s="0" t="s">
        <v>642</v>
      </c>
      <c r="B3020" s="0" t="s">
        <v>86</v>
      </c>
      <c r="C3020" s="38" t="n">
        <f aca="false">Q!$D$24</f>
        <v>39.834</v>
      </c>
      <c r="D3020" s="38" t="n">
        <f aca="false">Q!$E$24</f>
        <v>45.606</v>
      </c>
      <c r="E3020" s="38" t="n">
        <f aca="false">Q!$P$24</f>
        <v>30.782</v>
      </c>
      <c r="N3020" s="38" t="n">
        <f aca="false">Q!$N$24</f>
        <v>21.707</v>
      </c>
      <c r="O3020" s="38" t="n">
        <f aca="false">Q!$O$24</f>
        <v>23.899</v>
      </c>
    </row>
    <row r="3021" customFormat="false" ht="17.15" hidden="false" customHeight="false" outlineLevel="0" collapsed="false">
      <c r="A3021" s="0" t="s">
        <v>643</v>
      </c>
      <c r="B3021" s="0" t="s">
        <v>86</v>
      </c>
      <c r="C3021" s="38" t="n">
        <f aca="false">Sens!$C$3020-Sens!$C$3016</f>
        <v>38.1898211704631</v>
      </c>
      <c r="D3021" s="38" t="n">
        <f aca="false">Sens!$D$3020-Sens!$D$3016</f>
        <v>41.7278991932282</v>
      </c>
      <c r="E3021" s="38" t="n">
        <f aca="false">Sens!$E$3020-Sens!$E$3016</f>
        <v>29.3692974191125</v>
      </c>
      <c r="F3021" s="38" t="n">
        <f aca="false">Sens!$F$3000*Sens!$F$3022</f>
        <v>26.8997276714137</v>
      </c>
      <c r="G3021" s="38" t="n">
        <f aca="false">Sens!$E$3021+Sens!$F$3021</f>
        <v>56.2690250905262</v>
      </c>
      <c r="H3021" s="38" t="n">
        <f aca="false">Sens!$H$3000*Sens!$H$3022</f>
        <v>59.9483324021988</v>
      </c>
      <c r="I3021" s="38" t="n">
        <f aca="false">Sens!$I$3000*Sens!$I$3022</f>
        <v>65.6586157204026</v>
      </c>
      <c r="J3021" s="38" t="n">
        <f aca="false">Sens!$J$3000*Sens!$J$3022</f>
        <v>70.427184762678</v>
      </c>
      <c r="K3021" s="38" t="n">
        <f aca="false">Sens!$K$3000*Sens!$K$3022</f>
        <v>73.948544000812</v>
      </c>
      <c r="L3021" s="38" t="n">
        <f aca="false">Sens!$L$3000*Sens!$L$3022</f>
        <v>77.6459712008526</v>
      </c>
      <c r="M3021" s="38" t="n">
        <f aca="false">Sens!$M$3000*Sens!$M$3022</f>
        <v>81.5282697608952</v>
      </c>
      <c r="N3021" s="38" t="n">
        <f aca="false">Sens!$N$3020-Sens!$N$3016</f>
        <v>20.784358965108</v>
      </c>
      <c r="O3021" s="38" t="n">
        <f aca="false">Sens!$O$3020-Sens!$O$3016</f>
        <v>20.9435402281202</v>
      </c>
      <c r="P3021" s="5" t="s">
        <v>644</v>
      </c>
    </row>
    <row r="3022" customFormat="false" ht="17.15" hidden="false" customHeight="false" outlineLevel="0" collapsed="false">
      <c r="A3022" s="0" t="s">
        <v>645</v>
      </c>
      <c r="B3022" s="0" t="s">
        <v>52</v>
      </c>
      <c r="C3022" s="13" t="n">
        <f aca="false">Sens!$C$3021/Sens!$C$3000</f>
        <v>0.362900395443635</v>
      </c>
      <c r="D3022" s="13" t="n">
        <f aca="false">Sens!$D$3021/Sens!$D$3000</f>
        <v>0.34767098474203</v>
      </c>
      <c r="E3022" s="13" t="n">
        <f aca="false">Sens!$E$3021/Sens!$E$3000</f>
        <v>0.411861655558416</v>
      </c>
      <c r="F3022" s="13" t="n">
        <f aca="false">(Sens!$O$3021+Sens!$E$3021)/(Sens!$O$3000+Sens!$E$3000)</f>
        <v>0.37480827803158</v>
      </c>
      <c r="G3022" s="13" t="n">
        <f aca="false">Sens!$G$3021/Sens!$G$3000</f>
        <v>0.393275318395757</v>
      </c>
      <c r="H3022" s="13" t="n">
        <f aca="false">Sens!$F$3022</f>
        <v>0.37480827803158</v>
      </c>
      <c r="I3022" s="13" t="n">
        <f aca="false">Sens!$F$3022</f>
        <v>0.37480827803158</v>
      </c>
      <c r="J3022" s="13" t="n">
        <f aca="false">Sens!$F$3022</f>
        <v>0.37480827803158</v>
      </c>
      <c r="K3022" s="13" t="n">
        <f aca="false">Sens!$F$3022</f>
        <v>0.37480827803158</v>
      </c>
      <c r="L3022" s="13" t="n">
        <f aca="false">Sens!$F$3022</f>
        <v>0.37480827803158</v>
      </c>
      <c r="M3022" s="13" t="n">
        <f aca="false">Sens!$F$3022</f>
        <v>0.37480827803158</v>
      </c>
      <c r="N3022" s="13" t="n">
        <f aca="false">Sens!$N$3021/Sens!$N$3000</f>
        <v>0.364039571356823</v>
      </c>
      <c r="O3022" s="13" t="n">
        <f aca="false">Sens!$O$3021/Sens!$O$3000</f>
        <v>0.332819892300086</v>
      </c>
      <c r="P3022" s="8" t="s">
        <v>646</v>
      </c>
    </row>
    <row r="3023" customFormat="false" ht="17.15" hidden="false" customHeight="false" outlineLevel="0" collapsed="false">
      <c r="A3023" s="0" t="s">
        <v>647</v>
      </c>
      <c r="B3023" s="0" t="s">
        <v>52</v>
      </c>
      <c r="D3023" s="13" t="n">
        <f aca="false">(Q!$E$31-ext_sh*Sens!$D$3012)/Sens!$D$3000</f>
        <v>0.154572973163571</v>
      </c>
    </row>
    <row r="3024" customFormat="false" ht="17.15" hidden="false" customHeight="false" outlineLevel="0" collapsed="false">
      <c r="A3024" s="0" t="s">
        <v>648</v>
      </c>
      <c r="B3024" s="0" t="s">
        <v>86</v>
      </c>
      <c r="C3024" s="38" t="n">
        <f aca="false">Q!$D$31</f>
        <v>13.32</v>
      </c>
      <c r="D3024" s="38" t="n">
        <f aca="false">Q!$E$31</f>
        <v>21.45</v>
      </c>
      <c r="E3024" s="38" t="n">
        <f aca="false">Q!$P$31</f>
        <v>15.353</v>
      </c>
      <c r="F3024" s="38" t="n">
        <f aca="false">ext_sh*Sens!$F$3012+Sens!$D$3023*Sens!$F$3000</f>
        <v>16.3063747611001</v>
      </c>
      <c r="G3024" s="38" t="n">
        <f aca="false">Sens!$E$3024+Sens!$F$3024</f>
        <v>31.6593747611001</v>
      </c>
      <c r="H3024" s="38" t="n">
        <f aca="false">ext_sh*Sens!$H$3012+Sens!$D$3023*Sens!$H$3000</f>
        <v>52.9583722148507</v>
      </c>
      <c r="I3024" s="38" t="n">
        <f aca="false">ext_sh*Sens!$I$3012+Sens!$D$3023*Sens!$I$3000</f>
        <v>77.4918252237955</v>
      </c>
      <c r="J3024" s="38" t="n">
        <f aca="false">ext_sh*Sens!$J$3012+Sens!$D$3023*Sens!$J$3000</f>
        <v>102.446924136985</v>
      </c>
      <c r="K3024" s="38" t="n">
        <f aca="false">ext_sh*Sens!$K$3012+Sens!$D$3023*Sens!$K$3000</f>
        <v>127.43933246228</v>
      </c>
      <c r="L3024" s="38" t="n">
        <f aca="false">ext_sh*Sens!$L$3012+Sens!$D$3023*Sens!$L$3000</f>
        <v>144.159534980228</v>
      </c>
      <c r="M3024" s="38" t="n">
        <f aca="false">ext_sh*Sens!$M$3012+Sens!$D$3023*Sens!$M$3000</f>
        <v>154.801546656152</v>
      </c>
      <c r="N3024" s="38" t="n">
        <f aca="false">Q!$N$31</f>
        <v>9.234</v>
      </c>
      <c r="O3024" s="38" t="n">
        <f aca="false">Q!$O$31</f>
        <v>12.216</v>
      </c>
    </row>
    <row r="3025" customFormat="false" ht="17.15" hidden="false" customHeight="false" outlineLevel="0" collapsed="false">
      <c r="A3025" s="1" t="s">
        <v>649</v>
      </c>
    </row>
    <row r="3026" customFormat="false" ht="17.15" hidden="false" customHeight="false" outlineLevel="0" collapsed="false">
      <c r="A3026" s="15" t="s">
        <v>650</v>
      </c>
      <c r="B3026" s="14" t="s">
        <v>52</v>
      </c>
      <c r="C3026" s="14"/>
      <c r="D3026" s="14"/>
      <c r="E3026" s="14"/>
      <c r="F3026" s="14"/>
      <c r="G3026" s="17" t="n">
        <f aca="false">Sens!$G$3016*(1-tax)/(ext_sh*(Sens!$D$3013+Sens!$G$3013)/2)</f>
        <v>0.0492184452944045</v>
      </c>
      <c r="H3026" s="17" t="n">
        <f aca="false">Sens!$H$3016*(1-tax)/(ext_sh*(Sens!$G$3013+Sens!$H$3013)/2)</f>
        <v>0.0619414246858107</v>
      </c>
      <c r="I3026" s="17" t="n">
        <f aca="false">Sens!$I$3016*(1-tax)/(ext_sh*(Sens!$H$3013+Sens!$I$3013)/2)</f>
        <v>0.0656831488051666</v>
      </c>
      <c r="J3026" s="17" t="n">
        <f aca="false">Sens!$J$3016*(1-tax)/(ext_sh*(Sens!$I$3013+Sens!$J$3013)/2)</f>
        <v>0.0690334849962116</v>
      </c>
      <c r="K3026" s="17" t="n">
        <f aca="false">Sens!$K$3016*(1-tax)/(ext_sh*(Sens!$J$3013+Sens!$K$3013)/2)</f>
        <v>0.0685772915331967</v>
      </c>
      <c r="L3026" s="17" t="n">
        <f aca="false">Sens!$L$3016*(1-tax)/(ext_sh*(Sens!$K$3013+Sens!$L$3013)/2)</f>
        <v>0.0723938074635756</v>
      </c>
      <c r="M3026" s="17" t="n">
        <f aca="false">Sens!$M$3016*(1-tax)/(ext_sh*(Sens!$L$3013+Sens!$M$3013)/2)</f>
        <v>0.0736061388214139</v>
      </c>
      <c r="N3026" s="14"/>
      <c r="O3026" s="14"/>
      <c r="P3026" s="8" t="s">
        <v>651</v>
      </c>
    </row>
    <row r="3027" customFormat="false" ht="17.15" hidden="false" customHeight="false" outlineLevel="0" collapsed="false">
      <c r="A3027" s="5" t="s">
        <v>652</v>
      </c>
      <c r="B3027" s="0" t="s">
        <v>57</v>
      </c>
      <c r="H3027" s="36" t="n">
        <f aca="false">Sens!$H$2996*1000/(mw_open*he_open+Sens!$H$2994*Sens!$H$2991)</f>
        <v>0.991949006767191</v>
      </c>
      <c r="I3027" s="36" t="n">
        <f aca="false">Sens!$I$2996*1000/(mw_open*he_open+Sens!$I$2994*Sens!$I$2991)</f>
        <v>0.991949006767191</v>
      </c>
      <c r="J3027" s="36" t="n">
        <f aca="false">Sens!$J$2996*1000/(mw_open*he_open+Sens!$J$2994*Sens!$J$2991)</f>
        <v>0.991949006767191</v>
      </c>
      <c r="K3027" s="36" t="n">
        <f aca="false">Sens!$K$2996*1000/(mw_open*he_open+Sens!$K$2994*Sens!$K$2991)</f>
        <v>0.991949006767191</v>
      </c>
      <c r="L3027" s="36" t="n">
        <f aca="false">Sens!$L$2996*1000/(mw_open*he_open+Sens!$L$2994*Sens!$L$2991)</f>
        <v>0.991949006767191</v>
      </c>
      <c r="M3027" s="36" t="n">
        <f aca="false">Sens!$M$2996*1000/(mw_open*he_open+Sens!$M$2994*Sens!$M$2991)</f>
        <v>0.991949006767191</v>
      </c>
    </row>
    <row r="3028" customFormat="false" ht="17.15" hidden="false" customHeight="false" outlineLevel="0" collapsed="false">
      <c r="A3028" s="5" t="s">
        <v>653</v>
      </c>
      <c r="B3028" s="0" t="s">
        <v>57</v>
      </c>
      <c r="H3028" s="36" t="n">
        <f aca="false">Sens!$H$3027*(Sens!$H$2996+wacc*ext_sh*(Sens!$G$3013+Sens!$H$3013)/2/(1-tax)-Sens!$H$3016)/Sens!$H$2996</f>
        <v>1.25551961623259</v>
      </c>
      <c r="I3028" s="36" t="n">
        <f aca="false">Sens!$I$3027*(Sens!$I$2996+wacc*ext_sh*(Sens!$H$3013+Sens!$I$3013)/2/(1-tax)-Sens!$I$3016)/Sens!$I$2996</f>
        <v>1.2054675393263</v>
      </c>
      <c r="J3028" s="36" t="n">
        <f aca="false">Sens!$J$3027*(Sens!$J$2996+wacc*ext_sh*(Sens!$I$3013+Sens!$J$3013)/2/(1-tax)-Sens!$J$3016)/Sens!$J$2996</f>
        <v>1.17141604927023</v>
      </c>
      <c r="K3028" s="36" t="n">
        <f aca="false">Sens!$K$3027*(Sens!$K$2996+wacc*ext_sh*(Sens!$J$3013+Sens!$K$3013)/2/(1-tax)-Sens!$K$3016)/Sens!$K$2996</f>
        <v>1.15558527566281</v>
      </c>
      <c r="L3028" s="36" t="n">
        <f aca="false">Sens!$L$3027*(Sens!$L$2996+wacc*ext_sh*(Sens!$K$3013+Sens!$L$3013)/2/(1-tax)-Sens!$L$3016)/Sens!$L$2996</f>
        <v>1.12686933572495</v>
      </c>
      <c r="M3028" s="36" t="n">
        <f aca="false">Sens!$M$3027*(Sens!$M$2996+wacc*ext_sh*(Sens!$L$3013+Sens!$M$3013)/2/(1-tax)-Sens!$M$3016)/Sens!$M$2996</f>
        <v>1.11358462527531</v>
      </c>
    </row>
    <row r="3029" customFormat="false" ht="17.15" hidden="false" customHeight="false" outlineLevel="0" collapsed="false">
      <c r="A3029" s="5" t="s">
        <v>654</v>
      </c>
      <c r="B3029" s="0" t="s">
        <v>52</v>
      </c>
      <c r="C3029" s="13" t="n">
        <f aca="false">Sens!$C$2997/tk_pq</f>
        <v>0.195316432429398</v>
      </c>
      <c r="D3029" s="13" t="n">
        <f aca="false">Sens!$D$2997/tk_pq</f>
        <v>0.195316432429398</v>
      </c>
      <c r="E3029" s="13" t="n">
        <f aca="false">Sens!$E$2997/tk_pq</f>
        <v>0.195316432429398</v>
      </c>
      <c r="F3029" s="13" t="n">
        <f aca="false">Sens!$F$2997/tk_pq</f>
        <v>0.202241827274866</v>
      </c>
      <c r="G3029" s="13" t="n">
        <f aca="false">Sens!$G$2997/tk_pq</f>
        <v>0.199675016194063</v>
      </c>
      <c r="H3029" s="13" t="n">
        <f aca="false">Sens!$H$2997/tk_pq</f>
        <v>0.212647947710325</v>
      </c>
      <c r="I3029" s="13" t="n">
        <f aca="false">Sens!$I$2997/tk_pq</f>
        <v>0.219285125475351</v>
      </c>
      <c r="J3029" s="13" t="n">
        <f aca="false">Sens!$J$2997/tk_pq</f>
        <v>0.222492493217189</v>
      </c>
      <c r="K3029" s="13" t="n">
        <f aca="false">Sens!$K$2997/tk_pq</f>
        <v>0.224053502812094</v>
      </c>
      <c r="L3029" s="13" t="n">
        <f aca="false">Sens!$L$2997/tk_pq</f>
        <v>0.224786916785614</v>
      </c>
      <c r="M3029" s="13" t="n">
        <f aca="false">Sens!$M$2997/tk_pq</f>
        <v>0.225048671566937</v>
      </c>
      <c r="N3029" s="13" t="n">
        <f aca="false">Sens!$N$2997/tk_pq</f>
        <v>0.195316432429398</v>
      </c>
      <c r="O3029" s="13" t="n">
        <f aca="false">Sens!$O$2997/tk_pq</f>
        <v>0.195316432429398</v>
      </c>
      <c r="P3029" s="5" t="s">
        <v>655</v>
      </c>
    </row>
    <row r="3032" customFormat="false" ht="17.15" hidden="false" customHeight="false" outlineLevel="0" collapsed="false">
      <c r="A3032" s="1" t="s">
        <v>684</v>
      </c>
    </row>
    <row r="3033" customFormat="false" ht="17.15" hidden="false" customHeight="false" outlineLevel="0" collapsed="false">
      <c r="A3033" s="0" t="s">
        <v>685</v>
      </c>
      <c r="B3033" s="0" t="s">
        <v>86</v>
      </c>
      <c r="C3033" s="38" t="n">
        <f aca="false">Sens!$C$2996</f>
        <v>2.32100535697364</v>
      </c>
      <c r="D3033" s="38" t="n">
        <f aca="false">Sens!$D$2996</f>
        <v>8.70377008865116</v>
      </c>
      <c r="E3033" s="38" t="n">
        <f aca="false">Sens!$E$2996</f>
        <v>8.51035297557002</v>
      </c>
      <c r="F3033" s="38" t="n">
        <f aca="false">Sens!$F$2996</f>
        <v>14.9634336447205</v>
      </c>
      <c r="G3033" s="38" t="n">
        <f aca="false">Sens!$G$2996</f>
        <v>23.4737866202905</v>
      </c>
      <c r="H3033" s="38" t="n">
        <f aca="false">Sens!$H$2996</f>
        <v>60.1658907497746</v>
      </c>
      <c r="I3033" s="38" t="n">
        <f aca="false">Sens!$I$2996</f>
        <v>101.503699136432</v>
      </c>
      <c r="J3033" s="38" t="n">
        <f aca="false">Sens!$J$2996</f>
        <v>143.025407151278</v>
      </c>
      <c r="K3033" s="38" t="n">
        <f aca="false">Sens!$K$2996</f>
        <v>178.44812038318</v>
      </c>
      <c r="L3033" s="38" t="n">
        <f aca="false">Sens!$L$2996</f>
        <v>201.728101802396</v>
      </c>
      <c r="M3033" s="38" t="n">
        <f aca="false">Sens!$M$2996</f>
        <v>212.835441368865</v>
      </c>
      <c r="N3033" s="38" t="n">
        <f aca="false">Sens!$N$2996</f>
        <v>3.04631953102791</v>
      </c>
      <c r="O3033" s="38" t="n">
        <f aca="false">Sens!$O$2996</f>
        <v>5.65745055762326</v>
      </c>
      <c r="P3033" s="8" t="s">
        <v>686</v>
      </c>
    </row>
    <row r="3034" customFormat="false" ht="17.15" hidden="false" customHeight="false" outlineLevel="0" collapsed="false">
      <c r="A3034" s="0" t="s">
        <v>687</v>
      </c>
      <c r="B3034" s="0" t="s">
        <v>86</v>
      </c>
      <c r="C3034" s="38" t="n">
        <f aca="false">Sens!$C$3000</f>
        <v>105.234994643026</v>
      </c>
      <c r="D3034" s="38" t="n">
        <f aca="false">Sens!$D$3000</f>
        <v>120.021229911349</v>
      </c>
      <c r="E3034" s="38" t="n">
        <f aca="false">Sens!$E$3000</f>
        <v>71.30864702443</v>
      </c>
      <c r="F3034" s="38" t="n">
        <f aca="false">Sens!$F$3000</f>
        <v>71.7692997942464</v>
      </c>
      <c r="G3034" s="38" t="n">
        <f aca="false">Sens!$G$3000</f>
        <v>143.077946818676</v>
      </c>
      <c r="H3034" s="38" t="n">
        <f aca="false">Sens!$H$3000</f>
        <v>159.943992478063</v>
      </c>
      <c r="I3034" s="38" t="n">
        <f aca="false">Sens!$I$3000</f>
        <v>175.17920379248</v>
      </c>
      <c r="J3034" s="38" t="n">
        <f aca="false">Sens!$J$3000</f>
        <v>187.901892489002</v>
      </c>
      <c r="K3034" s="38" t="n">
        <f aca="false">Sens!$K$3000</f>
        <v>197.296987113453</v>
      </c>
      <c r="L3034" s="38" t="n">
        <f aca="false">Sens!$L$3000</f>
        <v>207.161836469125</v>
      </c>
      <c r="M3034" s="38" t="n">
        <f aca="false">Sens!$M$3000</f>
        <v>217.519928292582</v>
      </c>
      <c r="N3034" s="38" t="n">
        <f aca="false">Sens!$N$3000</f>
        <v>57.0936804689721</v>
      </c>
      <c r="O3034" s="38" t="n">
        <f aca="false">Sens!$O$3000</f>
        <v>62.9275494423768</v>
      </c>
      <c r="P3034" s="8" t="s">
        <v>686</v>
      </c>
    </row>
    <row r="3035" customFormat="false" ht="17.15" hidden="false" customHeight="false" outlineLevel="0" collapsed="false">
      <c r="A3035" s="1" t="s">
        <v>513</v>
      </c>
      <c r="B3035" s="8" t="s">
        <v>86</v>
      </c>
      <c r="C3035" s="38" t="n">
        <f aca="false">Q!$D$7</f>
        <v>107.556</v>
      </c>
      <c r="D3035" s="38" t="n">
        <f aca="false">Q!$E$7</f>
        <v>128.725</v>
      </c>
      <c r="E3035" s="38" t="n">
        <f aca="false">Q!$P$7</f>
        <v>79.819</v>
      </c>
      <c r="F3035" s="38" t="n">
        <f aca="false">Sens!$F$3033+Sens!$F$3034</f>
        <v>86.7327334389669</v>
      </c>
      <c r="G3035" s="38" t="n">
        <f aca="false">Sens!$G$3033+Sens!$G$3034</f>
        <v>166.551733438967</v>
      </c>
      <c r="H3035" s="38" t="n">
        <f aca="false">Sens!$H$3033+Sens!$H$3034</f>
        <v>220.109883227838</v>
      </c>
      <c r="I3035" s="38" t="n">
        <f aca="false">Sens!$I$3033+Sens!$I$3034</f>
        <v>276.682902928912</v>
      </c>
      <c r="J3035" s="38" t="n">
        <f aca="false">Sens!$J$3033+Sens!$J$3034</f>
        <v>330.927299640281</v>
      </c>
      <c r="K3035" s="38" t="n">
        <f aca="false">Sens!$K$3033+Sens!$K$3034</f>
        <v>375.745107496632</v>
      </c>
      <c r="L3035" s="38" t="n">
        <f aca="false">Sens!$L$3033+Sens!$L$3034</f>
        <v>408.889938271522</v>
      </c>
      <c r="M3035" s="38" t="n">
        <f aca="false">Sens!$M$3033+Sens!$M$3034</f>
        <v>430.355369661447</v>
      </c>
      <c r="N3035" s="38" t="n">
        <f aca="false">Q!$N$7</f>
        <v>60.14</v>
      </c>
      <c r="O3035" s="38" t="n">
        <f aca="false">Q!$O$7</f>
        <v>68.585</v>
      </c>
      <c r="P3035" s="5" t="s">
        <v>688</v>
      </c>
    </row>
    <row r="3036" customFormat="false" ht="15" hidden="false" customHeight="false" outlineLevel="0" collapsed="false">
      <c r="A3036" s="3" t="s">
        <v>689</v>
      </c>
      <c r="B3036" s="8" t="s">
        <v>86</v>
      </c>
      <c r="C3036" s="38" t="n">
        <f aca="false">Q!$D$8</f>
        <v>637.959</v>
      </c>
      <c r="D3036" s="38" t="n">
        <f aca="false">Q!$E$8</f>
        <v>716.924</v>
      </c>
      <c r="E3036" s="38" t="n">
        <f aca="false">Q!$P$8</f>
        <v>382.125</v>
      </c>
      <c r="F3036" s="38" t="n">
        <f aca="false">Sens!$F$2968+Sens!$F$3035</f>
        <v>435.780975084504</v>
      </c>
      <c r="G3036" s="38" t="n">
        <f aca="false">Sens!$G$2968+Sens!$G$3035</f>
        <v>817.905975084504</v>
      </c>
      <c r="H3036" s="38" t="n">
        <f aca="false">Sens!$H$2968+Sens!$H$3035</f>
        <v>941.206772749224</v>
      </c>
      <c r="I3036" s="38" t="n">
        <f aca="false">Sens!$I$2968+Sens!$I$3035</f>
        <v>1065.21229408144</v>
      </c>
      <c r="J3036" s="38" t="n">
        <f aca="false">Sens!$J$2968+Sens!$J$3035</f>
        <v>1182.03570538172</v>
      </c>
      <c r="K3036" s="38" t="n">
        <f aca="false">Sens!$K$2968+Sens!$K$3035</f>
        <v>1281.92156292772</v>
      </c>
      <c r="L3036" s="38" t="n">
        <f aca="false">Sens!$L$2968+Sens!$L$3035</f>
        <v>1373.98304474711</v>
      </c>
      <c r="M3036" s="38" t="n">
        <f aca="false">Sens!$M$2968+Sens!$M$3035</f>
        <v>1458.50327760833</v>
      </c>
      <c r="N3036" s="38" t="n">
        <f aca="false">Q!$N$8</f>
        <v>323.369</v>
      </c>
      <c r="O3036" s="38" t="n">
        <f aca="false">Q!$O$8</f>
        <v>393.555</v>
      </c>
    </row>
    <row r="3037" customFormat="false" ht="17.15" hidden="false" customHeight="false" outlineLevel="0" collapsed="false">
      <c r="A3037" s="24" t="s">
        <v>697</v>
      </c>
      <c r="B3037" s="25" t="s">
        <v>86</v>
      </c>
      <c r="C3037" s="41" t="n">
        <f aca="false">Sens!$C$2968-(Sens!$C$2970+Sens!$C$2971)</f>
        <v>0</v>
      </c>
      <c r="D3037" s="41" t="n">
        <f aca="false">Sens!$D$2968-(Sens!$D$2970+Sens!$D$2971)</f>
        <v>0</v>
      </c>
      <c r="E3037" s="41" t="n">
        <f aca="false">Sens!$E$2968-(Sens!$E$2970+Sens!$E$2971)</f>
        <v>0</v>
      </c>
      <c r="F3037" s="41" t="n">
        <f aca="false">Sens!$F$2968-(Sens!$F$2970+Sens!$F$2971)</f>
        <v>0</v>
      </c>
      <c r="G3037" s="41" t="n">
        <f aca="false">Sens!$G$2968-(Sens!$G$2970+Sens!$G$2971)</f>
        <v>0</v>
      </c>
      <c r="H3037" s="41" t="n">
        <f aca="false">Sens!$H$2968-(Sens!$H$2970+Sens!$H$2971)</f>
        <v>0</v>
      </c>
      <c r="I3037" s="41" t="n">
        <f aca="false">Sens!$I$2968-(Sens!$I$2970+Sens!$I$2971)</f>
        <v>0</v>
      </c>
      <c r="J3037" s="41" t="n">
        <f aca="false">Sens!$J$2968-(Sens!$J$2970+Sens!$J$2971)</f>
        <v>0</v>
      </c>
      <c r="K3037" s="41" t="n">
        <f aca="false">Sens!$K$2968-(Sens!$K$2970+Sens!$K$2971)</f>
        <v>0</v>
      </c>
      <c r="L3037" s="41" t="n">
        <f aca="false">Sens!$L$2968-(Sens!$L$2970+Sens!$L$2971)</f>
        <v>0</v>
      </c>
      <c r="M3037" s="41" t="n">
        <f aca="false">Sens!$M$2968-(Sens!$M$2970+Sens!$M$2971)</f>
        <v>0</v>
      </c>
      <c r="N3037" s="41" t="n">
        <f aca="false">Sens!$N$2968-(Sens!$N$2970+Sens!$N$2971)</f>
        <v>0</v>
      </c>
      <c r="O3037" s="41" t="n">
        <f aca="false">Sens!$O$2968-(Sens!$O$2970+Sens!$O$2971)</f>
        <v>0</v>
      </c>
    </row>
    <row r="3038" customFormat="false" ht="17.15" hidden="false" customHeight="false" outlineLevel="0" collapsed="false">
      <c r="A3038" s="24" t="s">
        <v>698</v>
      </c>
      <c r="B3038" s="25" t="s">
        <v>86</v>
      </c>
      <c r="C3038" s="41" t="n">
        <f aca="false">Sens!$C$3033+Sens!$C$3034-Sens!$C$3035</f>
        <v>0</v>
      </c>
      <c r="D3038" s="41" t="n">
        <f aca="false">Sens!$D$3033+Sens!$D$3034-Sens!$D$3035</f>
        <v>0</v>
      </c>
      <c r="E3038" s="41" t="n">
        <f aca="false">Sens!$E$3033+Sens!$E$3034-Sens!$E$3035</f>
        <v>0</v>
      </c>
      <c r="F3038" s="41" t="n">
        <f aca="false">Sens!$F$3033+Sens!$F$3034-Sens!$F$3035</f>
        <v>0</v>
      </c>
      <c r="G3038" s="41" t="n">
        <f aca="false">Sens!$G$3033+Sens!$G$3034-Sens!$G$3035</f>
        <v>0</v>
      </c>
      <c r="H3038" s="41" t="n">
        <f aca="false">Sens!$H$3033+Sens!$H$3034-Sens!$H$3035</f>
        <v>0</v>
      </c>
      <c r="I3038" s="41" t="n">
        <f aca="false">Sens!$I$3033+Sens!$I$3034-Sens!$I$3035</f>
        <v>0</v>
      </c>
      <c r="J3038" s="41" t="n">
        <f aca="false">Sens!$J$3033+Sens!$J$3034-Sens!$J$3035</f>
        <v>0</v>
      </c>
      <c r="K3038" s="41" t="n">
        <f aca="false">Sens!$K$3033+Sens!$K$3034-Sens!$K$3035</f>
        <v>0</v>
      </c>
      <c r="L3038" s="41" t="n">
        <f aca="false">Sens!$L$3033+Sens!$L$3034-Sens!$L$3035</f>
        <v>0</v>
      </c>
      <c r="M3038" s="41" t="n">
        <f aca="false">Sens!$M$3033+Sens!$M$3034-Sens!$M$3035</f>
        <v>0</v>
      </c>
      <c r="N3038" s="41" t="n">
        <f aca="false">Sens!$N$3033+Sens!$N$3034-Sens!$N$3035</f>
        <v>0</v>
      </c>
      <c r="O3038" s="41" t="n">
        <f aca="false">Sens!$O$3033+Sens!$O$3034-Sens!$O$3035</f>
        <v>0</v>
      </c>
    </row>
    <row r="3039" customFormat="false" ht="17.15" hidden="false" customHeight="false" outlineLevel="0" collapsed="false">
      <c r="A3039" s="24" t="s">
        <v>699</v>
      </c>
      <c r="B3039" s="25" t="s">
        <v>86</v>
      </c>
      <c r="C3039" s="41" t="n">
        <f aca="false">Sens!$C$2970+Sens!$C$2971+Sens!$C$3035-Sens!$C$3036</f>
        <v>0</v>
      </c>
      <c r="D3039" s="41" t="n">
        <f aca="false">Sens!$D$2970+Sens!$D$2971+Sens!$D$3035-Sens!$D$3036</f>
        <v>0</v>
      </c>
      <c r="E3039" s="41" t="n">
        <f aca="false">Sens!$E$2970+Sens!$E$2971+Sens!$E$3035-Sens!$E$3036</f>
        <v>0</v>
      </c>
      <c r="F3039" s="41" t="n">
        <f aca="false">Sens!$F$2970+Sens!$F$2971+Sens!$F$3035-Sens!$F$3036</f>
        <v>0</v>
      </c>
      <c r="G3039" s="41" t="n">
        <f aca="false">Sens!$G$2970+Sens!$G$2971+Sens!$G$3035-Sens!$G$3036</f>
        <v>0</v>
      </c>
      <c r="H3039" s="41" t="n">
        <f aca="false">Sens!$H$2970+Sens!$H$2971+Sens!$H$3035-Sens!$H$3036</f>
        <v>0</v>
      </c>
      <c r="I3039" s="41" t="n">
        <f aca="false">Sens!$I$2970+Sens!$I$2971+Sens!$I$3035-Sens!$I$3036</f>
        <v>0</v>
      </c>
      <c r="J3039" s="41" t="n">
        <f aca="false">Sens!$J$2970+Sens!$J$2971+Sens!$J$3035-Sens!$J$3036</f>
        <v>0</v>
      </c>
      <c r="K3039" s="41" t="n">
        <f aca="false">Sens!$K$2970+Sens!$K$2971+Sens!$K$3035-Sens!$K$3036</f>
        <v>0</v>
      </c>
      <c r="L3039" s="41" t="n">
        <f aca="false">Sens!$L$2970+Sens!$L$2971+Sens!$L$3035-Sens!$L$3036</f>
        <v>0</v>
      </c>
      <c r="M3039" s="41" t="n">
        <f aca="false">Sens!$M$2970+Sens!$M$2971+Sens!$M$3035-Sens!$M$3036</f>
        <v>0</v>
      </c>
      <c r="N3039" s="41" t="n">
        <f aca="false">Sens!$N$2970+Sens!$N$2971+Sens!$N$3035-Sens!$N$3036</f>
        <v>0</v>
      </c>
      <c r="O3039" s="41" t="n">
        <f aca="false">Sens!$O$2970+Sens!$O$2971+Sens!$O$3035-Sens!$O$3036</f>
        <v>0</v>
      </c>
    </row>
    <row r="3040" customFormat="false" ht="15" hidden="false" customHeight="false" outlineLevel="0" collapsed="false">
      <c r="A3040" s="5" t="s">
        <v>693</v>
      </c>
      <c r="B3040" s="0" t="s">
        <v>52</v>
      </c>
      <c r="G3040" s="13" t="n">
        <f aca="false">Sens!$G$3036/Sens!$D$3036-1</f>
        <v>0.140854504918937</v>
      </c>
      <c r="H3040" s="13" t="n">
        <f aca="false">Sens!$H$3036/Sens!$G$3036-1</f>
        <v>0.150751799620953</v>
      </c>
      <c r="I3040" s="13" t="n">
        <f aca="false">Sens!$I$3036/Sens!$H$3036-1</f>
        <v>0.131751624534113</v>
      </c>
      <c r="J3040" s="13" t="n">
        <f aca="false">Sens!$J$3036/Sens!$I$3036-1</f>
        <v>0.109671482341479</v>
      </c>
      <c r="K3040" s="13" t="n">
        <f aca="false">Sens!$K$3036/Sens!$J$3036-1</f>
        <v>0.0845032490061204</v>
      </c>
      <c r="L3040" s="13" t="n">
        <f aca="false">Sens!$L$3036/Sens!$K$3036-1</f>
        <v>0.071815222149112</v>
      </c>
      <c r="M3040" s="13" t="n">
        <f aca="false">Sens!$M$3036/Sens!$L$3036-1</f>
        <v>0.061514756811849</v>
      </c>
    </row>
    <row r="3041" customFormat="false" ht="17.15" hidden="false" customHeight="false" outlineLevel="0" collapsed="false">
      <c r="A3041" s="0" t="s">
        <v>694</v>
      </c>
      <c r="B3041" s="0" t="s">
        <v>52</v>
      </c>
      <c r="C3041" s="13" t="n">
        <f aca="false">Sens!$C$3035/Sens!$C$3036</f>
        <v>0.168593906504964</v>
      </c>
      <c r="D3041" s="13" t="n">
        <f aca="false">Sens!$D$3035/Sens!$D$3036</f>
        <v>0.179551807444025</v>
      </c>
      <c r="E3041" s="13" t="n">
        <f aca="false">Sens!$E$3035/Sens!$E$3036</f>
        <v>0.208881910369643</v>
      </c>
      <c r="F3041" s="13" t="n">
        <f aca="false">Sens!$F$3035/Sens!$F$3036</f>
        <v>0.199028269699356</v>
      </c>
      <c r="G3041" s="13" t="n">
        <f aca="false">Sens!$G$3035/Sens!$G$3036</f>
        <v>0.203631882529968</v>
      </c>
      <c r="H3041" s="13" t="n">
        <f aca="false">Sens!$H$3035/Sens!$H$3036</f>
        <v>0.23385922158731</v>
      </c>
      <c r="I3041" s="13" t="n">
        <f aca="false">Sens!$I$3035/Sens!$I$3036</f>
        <v>0.259744376277127</v>
      </c>
      <c r="J3041" s="13" t="n">
        <f aca="false">Sens!$J$3035/Sens!$J$3036</f>
        <v>0.279963877684568</v>
      </c>
      <c r="K3041" s="13" t="n">
        <f aca="false">Sens!$K$3035/Sens!$K$3036</f>
        <v>0.293110841070873</v>
      </c>
      <c r="L3041" s="13" t="n">
        <f aca="false">Sens!$L$3035/Sens!$L$3036</f>
        <v>0.297594602666134</v>
      </c>
      <c r="M3041" s="13" t="n">
        <f aca="false">Sens!$M$3035/Sens!$M$3036</f>
        <v>0.295066439869197</v>
      </c>
      <c r="N3041" s="13" t="n">
        <f aca="false">Sens!$N$3035/Sens!$N$3036</f>
        <v>0.185979484737251</v>
      </c>
      <c r="O3041" s="13" t="n">
        <f aca="false">Sens!$O$3035/Sens!$O$3036</f>
        <v>0.174270432341096</v>
      </c>
    </row>
    <row r="3042" customFormat="false" ht="17.15" hidden="false" customHeight="false" outlineLevel="0" collapsed="false">
      <c r="A3042" s="0" t="s">
        <v>695</v>
      </c>
      <c r="B3042" s="0" t="s">
        <v>52</v>
      </c>
      <c r="C3042" s="13" t="n">
        <f aca="false">Sens!$C$3033/Sens!$C$3035</f>
        <v>0.0215795060896058</v>
      </c>
      <c r="D3042" s="13" t="n">
        <f aca="false">Sens!$D$3033/Sens!$D$3035</f>
        <v>0.0676152269462122</v>
      </c>
      <c r="E3042" s="13" t="n">
        <f aca="false">Sens!$E$3033/Sens!$E$3035</f>
        <v>0.106620641395783</v>
      </c>
      <c r="F3042" s="13" t="n">
        <f aca="false">Sens!$F$3033/Sens!$F$3035</f>
        <v>0.172523487401099</v>
      </c>
      <c r="G3042" s="13" t="n">
        <f aca="false">Sens!$G$3033/Sens!$G$3035</f>
        <v>0.140939911795589</v>
      </c>
      <c r="H3042" s="13" t="n">
        <f aca="false">Sens!$H$3033/Sens!$H$3035</f>
        <v>0.273344794279393</v>
      </c>
      <c r="I3042" s="13" t="n">
        <f aca="false">Sens!$I$3033/Sens!$I$3035</f>
        <v>0.36685931100886</v>
      </c>
      <c r="J3042" s="13" t="n">
        <f aca="false">Sens!$J$3033/Sens!$J$3035</f>
        <v>0.432195854819918</v>
      </c>
      <c r="K3042" s="13" t="n">
        <f aca="false">Sens!$K$3033/Sens!$K$3035</f>
        <v>0.474918014427584</v>
      </c>
      <c r="L3042" s="13" t="n">
        <f aca="false">Sens!$L$3033/Sens!$L$3035</f>
        <v>0.493355504552523</v>
      </c>
      <c r="M3042" s="13" t="n">
        <f aca="false">Sens!$M$3033/Sens!$M$3035</f>
        <v>0.494557420153254</v>
      </c>
      <c r="N3042" s="13" t="n">
        <f aca="false">Sens!$N$3033/Sens!$N$3035</f>
        <v>0.0506537999838362</v>
      </c>
      <c r="O3042" s="13" t="n">
        <f aca="false">Sens!$O$3033/Sens!$O$3035</f>
        <v>0.0824881615167056</v>
      </c>
    </row>
    <row r="3045" customFormat="false" ht="19.4" hidden="false" customHeight="false" outlineLevel="0" collapsed="false">
      <c r="A3045" s="31" t="s">
        <v>1189</v>
      </c>
    </row>
    <row r="3046" customFormat="false" ht="17.15" hidden="false" customHeight="false" outlineLevel="0" collapsed="false">
      <c r="A3046" s="6" t="s">
        <v>16</v>
      </c>
      <c r="B3046" s="6" t="s">
        <v>17</v>
      </c>
      <c r="C3046" s="20" t="s">
        <v>494</v>
      </c>
      <c r="D3046" s="20" t="s">
        <v>495</v>
      </c>
      <c r="E3046" s="20" t="s">
        <v>577</v>
      </c>
      <c r="F3046" s="20" t="s">
        <v>578</v>
      </c>
      <c r="G3046" s="20" t="s">
        <v>579</v>
      </c>
      <c r="H3046" s="20" t="s">
        <v>580</v>
      </c>
      <c r="I3046" s="20" t="s">
        <v>581</v>
      </c>
      <c r="J3046" s="20" t="s">
        <v>582</v>
      </c>
      <c r="K3046" s="20" t="s">
        <v>583</v>
      </c>
      <c r="L3046" s="20" t="s">
        <v>584</v>
      </c>
      <c r="M3046" s="20" t="s">
        <v>585</v>
      </c>
      <c r="N3046" s="20" t="s">
        <v>586</v>
      </c>
      <c r="O3046" s="20" t="s">
        <v>587</v>
      </c>
      <c r="P3046" s="6" t="s">
        <v>23</v>
      </c>
      <c r="R3046" s="20" t="n">
        <v>2023</v>
      </c>
      <c r="S3046" s="20" t="n">
        <v>2024</v>
      </c>
      <c r="T3046" s="20" t="n">
        <v>2025</v>
      </c>
      <c r="U3046" s="20" t="n">
        <v>2026</v>
      </c>
      <c r="V3046" s="20" t="n">
        <v>2027</v>
      </c>
      <c r="W3046" s="20" t="n">
        <v>2028</v>
      </c>
      <c r="X3046" s="20" t="n">
        <v>2029</v>
      </c>
      <c r="Y3046" s="20" t="n">
        <v>2030</v>
      </c>
      <c r="Z3046" s="20" t="n">
        <v>2031</v>
      </c>
      <c r="AA3046" s="20" t="n">
        <v>2032</v>
      </c>
    </row>
    <row r="3047" customFormat="false" ht="17.15" hidden="false" customHeight="false" outlineLevel="0" collapsed="false">
      <c r="A3047" s="1" t="s">
        <v>710</v>
      </c>
    </row>
    <row r="3048" customFormat="false" ht="15" hidden="false" customHeight="false" outlineLevel="0" collapsed="false">
      <c r="A3048" s="0" t="s">
        <v>516</v>
      </c>
      <c r="B3048" s="0" t="s">
        <v>86</v>
      </c>
      <c r="C3048" s="38" t="n">
        <f aca="false">Sens!$C$2955</f>
        <v>247.029</v>
      </c>
      <c r="D3048" s="38" t="n">
        <f aca="false">Sens!$D$2955</f>
        <v>269.287</v>
      </c>
      <c r="E3048" s="38" t="n">
        <f aca="false">Sens!$E$2955</f>
        <v>134.686</v>
      </c>
      <c r="F3048" s="38" t="n">
        <f aca="false">Sens!$F$2955</f>
        <v>158.293876822267</v>
      </c>
      <c r="G3048" s="38" t="n">
        <f aca="false">Sens!$G$2955</f>
        <v>292.979876822267</v>
      </c>
      <c r="H3048" s="38" t="n">
        <f aca="false">Sens!$H$2955</f>
        <v>318.184543087396</v>
      </c>
      <c r="I3048" s="38" t="n">
        <f aca="false">Sens!$I$2955</f>
        <v>341.736278761793</v>
      </c>
      <c r="J3048" s="38" t="n">
        <f aca="false">Sens!$J$2955</f>
        <v>362.927192787048</v>
      </c>
      <c r="K3048" s="38" t="n">
        <f aca="false">Sens!$K$2955</f>
        <v>381.0735524264</v>
      </c>
      <c r="L3048" s="38" t="n">
        <f aca="false">Sens!$L$2955</f>
        <v>400.12723004772</v>
      </c>
      <c r="M3048" s="38" t="n">
        <f aca="false">Sens!$M$2955</f>
        <v>420.133591550106</v>
      </c>
      <c r="N3048" s="38" t="n">
        <f aca="false">Sens!$N$2955</f>
        <v>118.892</v>
      </c>
      <c r="O3048" s="38" t="n">
        <f aca="false">Sens!$O$2955</f>
        <v>150.395</v>
      </c>
    </row>
    <row r="3049" customFormat="false" ht="15" hidden="false" customHeight="false" outlineLevel="0" collapsed="false">
      <c r="A3049" s="0" t="s">
        <v>517</v>
      </c>
      <c r="B3049" s="0" t="s">
        <v>86</v>
      </c>
      <c r="C3049" s="38" t="n">
        <f aca="false">Sens!$C$2957</f>
        <v>21.215</v>
      </c>
      <c r="D3049" s="38" t="n">
        <f aca="false">Sens!$D$2957</f>
        <v>22.561</v>
      </c>
      <c r="E3049" s="38" t="n">
        <f aca="false">Sens!$E$2957</f>
        <v>11.579</v>
      </c>
      <c r="F3049" s="38" t="n">
        <f aca="false">Sens!$F$2957</f>
        <v>11.5938724610325</v>
      </c>
      <c r="G3049" s="38" t="n">
        <f aca="false">Sens!$G$2957</f>
        <v>23.1728724610325</v>
      </c>
      <c r="H3049" s="38" t="n">
        <f aca="false">Sens!$H$2957</f>
        <v>24.353392759506</v>
      </c>
      <c r="I3049" s="38" t="n">
        <f aca="false">Sens!$I$2957</f>
        <v>25.4240338872015</v>
      </c>
      <c r="J3049" s="38" t="n">
        <f aca="false">Sens!$J$2957</f>
        <v>26.3642491017174</v>
      </c>
      <c r="K3049" s="38" t="n">
        <f aca="false">Sens!$K$2957</f>
        <v>27.155176574769</v>
      </c>
      <c r="L3049" s="38" t="n">
        <f aca="false">Sens!$L$2957</f>
        <v>27.969831872012</v>
      </c>
      <c r="M3049" s="38" t="n">
        <f aca="false">Sens!$M$2957</f>
        <v>28.8089268281724</v>
      </c>
      <c r="N3049" s="38" t="n">
        <f aca="false">Sens!$N$2957</f>
        <v>11.128</v>
      </c>
      <c r="O3049" s="38" t="n">
        <f aca="false">Sens!$O$2957</f>
        <v>11.433</v>
      </c>
    </row>
    <row r="3050" customFormat="false" ht="15" hidden="false" customHeight="false" outlineLevel="0" collapsed="false">
      <c r="A3050" s="0" t="s">
        <v>518</v>
      </c>
      <c r="B3050" s="0" t="s">
        <v>86</v>
      </c>
      <c r="C3050" s="38" t="n">
        <f aca="false">Sens!$C$2959</f>
        <v>156.146</v>
      </c>
      <c r="D3050" s="38" t="n">
        <f aca="false">Sens!$D$2959</f>
        <v>172.162</v>
      </c>
      <c r="E3050" s="38" t="n">
        <f aca="false">Sens!$E$2959</f>
        <v>88.358</v>
      </c>
      <c r="F3050" s="38" t="n">
        <f aca="false">Sens!$F$2959</f>
        <v>102.004388260171</v>
      </c>
      <c r="G3050" s="38" t="n">
        <f aca="false">Sens!$G$2959</f>
        <v>190.362388260171</v>
      </c>
      <c r="H3050" s="38" t="n">
        <f aca="false">Sens!$H$2959</f>
        <v>210.343106588311</v>
      </c>
      <c r="I3050" s="38" t="n">
        <f aca="false">Sens!$I$2959</f>
        <v>229.969728494648</v>
      </c>
      <c r="J3050" s="38" t="n">
        <f aca="false">Sens!$J$2959</f>
        <v>248.747636972598</v>
      </c>
      <c r="K3050" s="38" t="n">
        <f aca="false">Sens!$K$2959</f>
        <v>266.15997156068</v>
      </c>
      <c r="L3050" s="38" t="n">
        <f aca="false">Sens!$L$2959</f>
        <v>284.791169569927</v>
      </c>
      <c r="M3050" s="38" t="n">
        <f aca="false">Sens!$M$2959</f>
        <v>304.726551439822</v>
      </c>
      <c r="N3050" s="38" t="n">
        <f aca="false">Sens!$N$2959</f>
        <v>76.86</v>
      </c>
      <c r="O3050" s="38" t="n">
        <f aca="false">Sens!$O$2959</f>
        <v>95.302</v>
      </c>
    </row>
    <row r="3051" customFormat="false" ht="15" hidden="false" customHeight="false" outlineLevel="0" collapsed="false">
      <c r="A3051" s="0" t="s">
        <v>519</v>
      </c>
      <c r="B3051" s="0" t="s">
        <v>86</v>
      </c>
      <c r="C3051" s="38" t="n">
        <f aca="false">Sens!$C$2961</f>
        <v>56.214</v>
      </c>
      <c r="D3051" s="38" t="n">
        <f aca="false">Sens!$D$2961</f>
        <v>68.635</v>
      </c>
      <c r="E3051" s="38" t="n">
        <f aca="false">Sens!$E$2961</f>
        <v>37.052</v>
      </c>
      <c r="F3051" s="38" t="n">
        <f aca="false">Sens!$F$2961</f>
        <v>46.1572219944148</v>
      </c>
      <c r="G3051" s="38" t="n">
        <f aca="false">Sens!$G$2961</f>
        <v>83.2092219944148</v>
      </c>
      <c r="H3051" s="38" t="n">
        <f aca="false">Sens!$H$2961</f>
        <v>99.8969223878976</v>
      </c>
      <c r="I3051" s="38" t="n">
        <f aca="false">Sens!$I$2961</f>
        <v>116.583111095496</v>
      </c>
      <c r="J3051" s="38" t="n">
        <f aca="false">Sens!$J$2961</f>
        <v>132.148941941952</v>
      </c>
      <c r="K3051" s="38" t="n">
        <f aca="false">Sens!$K$2961</f>
        <v>145.363836136147</v>
      </c>
      <c r="L3051" s="38" t="n">
        <f aca="false">Sens!$L$2961</f>
        <v>159.900219749762</v>
      </c>
      <c r="M3051" s="38" t="n">
        <f aca="false">Sens!$M$2961</f>
        <v>175.890241724738</v>
      </c>
      <c r="N3051" s="38" t="n">
        <f aca="false">Sens!$N$2961</f>
        <v>29.615</v>
      </c>
      <c r="O3051" s="38" t="n">
        <f aca="false">Sens!$O$2961</f>
        <v>39.02</v>
      </c>
    </row>
    <row r="3052" customFormat="false" ht="15" hidden="false" customHeight="false" outlineLevel="0" collapsed="false">
      <c r="A3052" s="0" t="s">
        <v>520</v>
      </c>
      <c r="B3052" s="0" t="s">
        <v>86</v>
      </c>
      <c r="C3052" s="38" t="n">
        <f aca="false">Sens!$C$2963</f>
        <v>44.374</v>
      </c>
      <c r="D3052" s="38" t="n">
        <f aca="false">Sens!$D$2963</f>
        <v>49.619</v>
      </c>
      <c r="E3052" s="38" t="n">
        <f aca="false">Sens!$E$2963</f>
        <v>27.157</v>
      </c>
      <c r="F3052" s="38" t="n">
        <f aca="false">Sens!$F$2963</f>
        <v>27.7764165988154</v>
      </c>
      <c r="G3052" s="38" t="n">
        <f aca="false">Sens!$G$2963</f>
        <v>54.9334165988154</v>
      </c>
      <c r="H3052" s="38" t="n">
        <f aca="false">Sens!$H$2963</f>
        <v>61.1564112561829</v>
      </c>
      <c r="I3052" s="38" t="n">
        <f aca="false">Sens!$I$2963</f>
        <v>67.2020282103945</v>
      </c>
      <c r="J3052" s="38" t="n">
        <f aca="false">Sens!$J$2963</f>
        <v>72.8757274028885</v>
      </c>
      <c r="K3052" s="38" t="n">
        <f aca="false">Sens!$K$2963</f>
        <v>77.9770283210907</v>
      </c>
      <c r="L3052" s="38" t="n">
        <f aca="false">Sens!$L$2963</f>
        <v>83.4354203035671</v>
      </c>
      <c r="M3052" s="38" t="n">
        <f aca="false">Sens!$M$2963</f>
        <v>89.2758997248168</v>
      </c>
      <c r="N3052" s="38" t="n">
        <f aca="false">Sens!$N$2963</f>
        <v>23.923</v>
      </c>
      <c r="O3052" s="38" t="n">
        <f aca="false">Sens!$O$2963</f>
        <v>25.696</v>
      </c>
    </row>
    <row r="3053" customFormat="false" ht="15" hidden="false" customHeight="false" outlineLevel="0" collapsed="false">
      <c r="A3053" s="0" t="s">
        <v>521</v>
      </c>
      <c r="B3053" s="0" t="s">
        <v>86</v>
      </c>
      <c r="C3053" s="38" t="n">
        <f aca="false">Sens!$C$2965</f>
        <v>5.425</v>
      </c>
      <c r="D3053" s="38" t="n">
        <f aca="false">Sens!$D$2965</f>
        <v>5.935</v>
      </c>
      <c r="E3053" s="38" t="n">
        <f aca="false">Sens!$E$2965</f>
        <v>3.474</v>
      </c>
      <c r="F3053" s="38" t="n">
        <f aca="false">Sens!$F$2965</f>
        <v>3.22246550883619</v>
      </c>
      <c r="G3053" s="38" t="n">
        <f aca="false">Sens!$G$2965</f>
        <v>6.69646550883619</v>
      </c>
      <c r="H3053" s="38" t="n">
        <f aca="false">Sens!$H$2965</f>
        <v>7.16251344209196</v>
      </c>
      <c r="I3053" s="38" t="n">
        <f aca="false">Sens!$I$2965</f>
        <v>7.61421070299826</v>
      </c>
      <c r="J3053" s="38" t="n">
        <f aca="false">Sens!$J$2965</f>
        <v>8.04465753523932</v>
      </c>
      <c r="K3053" s="38" t="n">
        <f aca="false">Sens!$K$2965</f>
        <v>8.44689041200128</v>
      </c>
      <c r="L3053" s="38" t="n">
        <f aca="false">Sens!$L$2965</f>
        <v>8.86923493260135</v>
      </c>
      <c r="M3053" s="38" t="n">
        <f aca="false">Sens!$M$2965</f>
        <v>9.31269667923142</v>
      </c>
      <c r="N3053" s="38" t="n">
        <f aca="false">Sens!$N$2965</f>
        <v>2.811</v>
      </c>
      <c r="O3053" s="38" t="n">
        <f aca="false">Sens!$O$2965</f>
        <v>3.124</v>
      </c>
    </row>
    <row r="3054" customFormat="false" ht="17.15" hidden="false" customHeight="false" outlineLevel="0" collapsed="false">
      <c r="A3054" s="0" t="s">
        <v>711</v>
      </c>
      <c r="B3054" s="0" t="s">
        <v>86</v>
      </c>
      <c r="C3054" s="38" t="n">
        <f aca="false">Sens!$C$3035</f>
        <v>107.556</v>
      </c>
      <c r="D3054" s="38" t="n">
        <f aca="false">Sens!$D$3035</f>
        <v>128.725</v>
      </c>
      <c r="E3054" s="38" t="n">
        <f aca="false">Sens!$E$3035</f>
        <v>79.819</v>
      </c>
      <c r="F3054" s="38" t="n">
        <f aca="false">Sens!$F$3035</f>
        <v>86.7327334389669</v>
      </c>
      <c r="G3054" s="38" t="n">
        <f aca="false">Sens!$G$3035</f>
        <v>166.551733438967</v>
      </c>
      <c r="H3054" s="38" t="n">
        <f aca="false">Sens!$H$3035</f>
        <v>220.109883227838</v>
      </c>
      <c r="I3054" s="38" t="n">
        <f aca="false">Sens!$I$3035</f>
        <v>276.682902928912</v>
      </c>
      <c r="J3054" s="38" t="n">
        <f aca="false">Sens!$J$3035</f>
        <v>330.927299640281</v>
      </c>
      <c r="K3054" s="38" t="n">
        <f aca="false">Sens!$K$3035</f>
        <v>375.745107496632</v>
      </c>
      <c r="L3054" s="38" t="n">
        <f aca="false">Sens!$L$3035</f>
        <v>408.889938271522</v>
      </c>
      <c r="M3054" s="38" t="n">
        <f aca="false">Sens!$M$3035</f>
        <v>430.355369661447</v>
      </c>
      <c r="N3054" s="38" t="n">
        <f aca="false">Sens!$N$3035</f>
        <v>60.14</v>
      </c>
      <c r="O3054" s="38" t="n">
        <f aca="false">Sens!$O$3035</f>
        <v>68.585</v>
      </c>
    </row>
    <row r="3055" customFormat="false" ht="15" hidden="false" customHeight="false" outlineLevel="0" collapsed="false">
      <c r="A3055" s="1" t="s">
        <v>509</v>
      </c>
      <c r="B3055" s="8" t="s">
        <v>86</v>
      </c>
      <c r="C3055" s="38" t="n">
        <f aca="false">Sens!$C$2970</f>
        <v>387.497</v>
      </c>
      <c r="D3055" s="38" t="n">
        <f aca="false">Sens!$D$2970</f>
        <v>426.305</v>
      </c>
      <c r="E3055" s="38" t="n">
        <f aca="false">Sens!$E$2970</f>
        <v>220.32</v>
      </c>
      <c r="F3055" s="38" t="n">
        <f aca="false">Sens!$F$2970</f>
        <v>250.639773480586</v>
      </c>
      <c r="G3055" s="38" t="n">
        <f aca="false">Sens!$G$2970</f>
        <v>470.959773480586</v>
      </c>
      <c r="H3055" s="38" t="n">
        <f aca="false">Sens!$H$2970</f>
        <v>521.386990416437</v>
      </c>
      <c r="I3055" s="38" t="n">
        <f aca="false">Sens!$I$2970</f>
        <v>570.143862887555</v>
      </c>
      <c r="J3055" s="38" t="n">
        <f aca="false">Sens!$J$2970</f>
        <v>615.391435791933</v>
      </c>
      <c r="K3055" s="38" t="n">
        <f aca="false">Sens!$K$2970</f>
        <v>655.208227561543</v>
      </c>
      <c r="L3055" s="38" t="n">
        <f aca="false">Sens!$L$2970</f>
        <v>697.807739249767</v>
      </c>
      <c r="M3055" s="38" t="n">
        <f aca="false">Sens!$M$2970</f>
        <v>743.399328463592</v>
      </c>
      <c r="N3055" s="38" t="n">
        <f aca="false">Sens!$N$2970</f>
        <v>192.955</v>
      </c>
      <c r="O3055" s="38" t="n">
        <f aca="false">Sens!$O$2970</f>
        <v>233.35</v>
      </c>
    </row>
    <row r="3056" customFormat="false" ht="15" hidden="false" customHeight="false" outlineLevel="0" collapsed="false">
      <c r="A3056" s="1" t="s">
        <v>512</v>
      </c>
      <c r="B3056" s="8" t="s">
        <v>86</v>
      </c>
      <c r="C3056" s="38" t="n">
        <f aca="false">Sens!$C$2971</f>
        <v>142.906</v>
      </c>
      <c r="D3056" s="38" t="n">
        <f aca="false">Sens!$D$2971</f>
        <v>161.894</v>
      </c>
      <c r="E3056" s="38" t="n">
        <f aca="false">Sens!$E$2971</f>
        <v>81.986</v>
      </c>
      <c r="F3056" s="38" t="n">
        <f aca="false">Sens!$F$2971</f>
        <v>98.408468164951</v>
      </c>
      <c r="G3056" s="38" t="n">
        <f aca="false">Sens!$G$2971</f>
        <v>180.394468164951</v>
      </c>
      <c r="H3056" s="38" t="n">
        <f aca="false">Sens!$H$2971</f>
        <v>199.709899104949</v>
      </c>
      <c r="I3056" s="38" t="n">
        <f aca="false">Sens!$I$2971</f>
        <v>218.385528264976</v>
      </c>
      <c r="J3056" s="38" t="n">
        <f aca="false">Sens!$J$2971</f>
        <v>235.71696994951</v>
      </c>
      <c r="K3056" s="38" t="n">
        <f aca="false">Sens!$K$2971</f>
        <v>250.968227869545</v>
      </c>
      <c r="L3056" s="38" t="n">
        <f aca="false">Sens!$L$2971</f>
        <v>267.285367225822</v>
      </c>
      <c r="M3056" s="38" t="n">
        <f aca="false">Sens!$M$2971</f>
        <v>284.748579483295</v>
      </c>
      <c r="N3056" s="38" t="n">
        <f aca="false">Sens!$N$2971</f>
        <v>70.274</v>
      </c>
      <c r="O3056" s="38" t="n">
        <f aca="false">Sens!$O$2971</f>
        <v>91.62</v>
      </c>
    </row>
    <row r="3057" customFormat="false" ht="15" hidden="false" customHeight="false" outlineLevel="0" collapsed="false">
      <c r="A3057" s="1" t="s">
        <v>513</v>
      </c>
      <c r="B3057" s="8" t="s">
        <v>86</v>
      </c>
      <c r="C3057" s="38" t="n">
        <f aca="false">Sens!$C$3035</f>
        <v>107.556</v>
      </c>
      <c r="D3057" s="38" t="n">
        <f aca="false">Sens!$D$3035</f>
        <v>128.725</v>
      </c>
      <c r="E3057" s="38" t="n">
        <f aca="false">Sens!$E$3035</f>
        <v>79.819</v>
      </c>
      <c r="F3057" s="38" t="n">
        <f aca="false">Sens!$F$3035</f>
        <v>86.7327334389669</v>
      </c>
      <c r="G3057" s="38" t="n">
        <f aca="false">Sens!$G$3035</f>
        <v>166.551733438967</v>
      </c>
      <c r="H3057" s="38" t="n">
        <f aca="false">Sens!$H$3035</f>
        <v>220.109883227838</v>
      </c>
      <c r="I3057" s="38" t="n">
        <f aca="false">Sens!$I$3035</f>
        <v>276.682902928912</v>
      </c>
      <c r="J3057" s="38" t="n">
        <f aca="false">Sens!$J$3035</f>
        <v>330.927299640281</v>
      </c>
      <c r="K3057" s="38" t="n">
        <f aca="false">Sens!$K$3035</f>
        <v>375.745107496632</v>
      </c>
      <c r="L3057" s="38" t="n">
        <f aca="false">Sens!$L$3035</f>
        <v>408.889938271522</v>
      </c>
      <c r="M3057" s="38" t="n">
        <f aca="false">Sens!$M$3035</f>
        <v>430.355369661447</v>
      </c>
      <c r="N3057" s="38" t="n">
        <f aca="false">Sens!$N$3035</f>
        <v>60.14</v>
      </c>
      <c r="O3057" s="38" t="n">
        <f aca="false">Sens!$O$3035</f>
        <v>68.585</v>
      </c>
    </row>
    <row r="3058" customFormat="false" ht="17.15" hidden="false" customHeight="false" outlineLevel="0" collapsed="false">
      <c r="A3058" s="0" t="s">
        <v>685</v>
      </c>
      <c r="B3058" s="0" t="s">
        <v>86</v>
      </c>
      <c r="C3058" s="38" t="n">
        <f aca="false">Sens!$C$3033</f>
        <v>2.32100535697364</v>
      </c>
      <c r="D3058" s="38" t="n">
        <f aca="false">Sens!$D$3033</f>
        <v>8.70377008865116</v>
      </c>
      <c r="E3058" s="38" t="n">
        <f aca="false">Sens!$E$3033</f>
        <v>8.51035297557002</v>
      </c>
      <c r="F3058" s="38" t="n">
        <f aca="false">Sens!$F$3033</f>
        <v>14.9634336447205</v>
      </c>
      <c r="G3058" s="38" t="n">
        <f aca="false">Sens!$G$3033</f>
        <v>23.4737866202905</v>
      </c>
      <c r="H3058" s="38" t="n">
        <f aca="false">Sens!$H$3033</f>
        <v>60.1658907497746</v>
      </c>
      <c r="I3058" s="38" t="n">
        <f aca="false">Sens!$I$3033</f>
        <v>101.503699136432</v>
      </c>
      <c r="J3058" s="38" t="n">
        <f aca="false">Sens!$J$3033</f>
        <v>143.025407151278</v>
      </c>
      <c r="K3058" s="38" t="n">
        <f aca="false">Sens!$K$3033</f>
        <v>178.44812038318</v>
      </c>
      <c r="L3058" s="38" t="n">
        <f aca="false">Sens!$L$3033</f>
        <v>201.728101802396</v>
      </c>
      <c r="M3058" s="38" t="n">
        <f aca="false">Sens!$M$3033</f>
        <v>212.835441368865</v>
      </c>
      <c r="N3058" s="38" t="n">
        <f aca="false">Sens!$N$3033</f>
        <v>3.04631953102791</v>
      </c>
      <c r="O3058" s="38" t="n">
        <f aca="false">Sens!$O$3033</f>
        <v>5.65745055762326</v>
      </c>
    </row>
    <row r="3059" customFormat="false" ht="17.15" hidden="false" customHeight="false" outlineLevel="0" collapsed="false">
      <c r="A3059" s="0" t="s">
        <v>687</v>
      </c>
      <c r="B3059" s="0" t="s">
        <v>86</v>
      </c>
      <c r="C3059" s="38" t="n">
        <f aca="false">Sens!$C$3034</f>
        <v>105.234994643026</v>
      </c>
      <c r="D3059" s="38" t="n">
        <f aca="false">Sens!$D$3034</f>
        <v>120.021229911349</v>
      </c>
      <c r="E3059" s="38" t="n">
        <f aca="false">Sens!$E$3034</f>
        <v>71.30864702443</v>
      </c>
      <c r="F3059" s="38" t="n">
        <f aca="false">Sens!$F$3034</f>
        <v>71.7692997942464</v>
      </c>
      <c r="G3059" s="38" t="n">
        <f aca="false">Sens!$G$3034</f>
        <v>143.077946818676</v>
      </c>
      <c r="H3059" s="38" t="n">
        <f aca="false">Sens!$H$3034</f>
        <v>159.943992478063</v>
      </c>
      <c r="I3059" s="38" t="n">
        <f aca="false">Sens!$I$3034</f>
        <v>175.17920379248</v>
      </c>
      <c r="J3059" s="38" t="n">
        <f aca="false">Sens!$J$3034</f>
        <v>187.901892489002</v>
      </c>
      <c r="K3059" s="38" t="n">
        <f aca="false">Sens!$K$3034</f>
        <v>197.296987113453</v>
      </c>
      <c r="L3059" s="38" t="n">
        <f aca="false">Sens!$L$3034</f>
        <v>207.161836469125</v>
      </c>
      <c r="M3059" s="38" t="n">
        <f aca="false">Sens!$M$3034</f>
        <v>217.519928292582</v>
      </c>
      <c r="N3059" s="38" t="n">
        <f aca="false">Sens!$N$3034</f>
        <v>57.0936804689721</v>
      </c>
      <c r="O3059" s="38" t="n">
        <f aca="false">Sens!$O$3034</f>
        <v>62.9275494423768</v>
      </c>
    </row>
    <row r="3060" customFormat="false" ht="15" hidden="false" customHeight="false" outlineLevel="0" collapsed="false">
      <c r="A3060" s="3" t="s">
        <v>514</v>
      </c>
      <c r="B3060" s="8" t="s">
        <v>86</v>
      </c>
      <c r="C3060" s="38" t="n">
        <f aca="false">Sens!$C$3036</f>
        <v>637.959</v>
      </c>
      <c r="D3060" s="38" t="n">
        <f aca="false">Sens!$D$3036</f>
        <v>716.924</v>
      </c>
      <c r="E3060" s="38" t="n">
        <f aca="false">Sens!$E$3036</f>
        <v>382.125</v>
      </c>
      <c r="F3060" s="38" t="n">
        <f aca="false">Sens!$F$3036</f>
        <v>435.780975084504</v>
      </c>
      <c r="G3060" s="38" t="n">
        <f aca="false">Sens!$G$3036</f>
        <v>817.905975084504</v>
      </c>
      <c r="H3060" s="38" t="n">
        <f aca="false">Sens!$H$3036</f>
        <v>941.206772749224</v>
      </c>
      <c r="I3060" s="38" t="n">
        <f aca="false">Sens!$I$3036</f>
        <v>1065.21229408144</v>
      </c>
      <c r="J3060" s="38" t="n">
        <f aca="false">Sens!$J$3036</f>
        <v>1182.03570538172</v>
      </c>
      <c r="K3060" s="38" t="n">
        <f aca="false">Sens!$K$3036</f>
        <v>1281.92156292772</v>
      </c>
      <c r="L3060" s="38" t="n">
        <f aca="false">Sens!$L$3036</f>
        <v>1373.98304474711</v>
      </c>
      <c r="M3060" s="38" t="n">
        <f aca="false">Sens!$M$3036</f>
        <v>1458.50327760833</v>
      </c>
      <c r="N3060" s="38" t="n">
        <f aca="false">Sens!$N$3036</f>
        <v>323.369</v>
      </c>
      <c r="O3060" s="38" t="n">
        <f aca="false">Sens!$O$3036</f>
        <v>393.555</v>
      </c>
    </row>
    <row r="3061" customFormat="false" ht="17.15" hidden="false" customHeight="false" outlineLevel="0" collapsed="false">
      <c r="A3061" s="24" t="s">
        <v>697</v>
      </c>
      <c r="B3061" s="25" t="s">
        <v>86</v>
      </c>
      <c r="C3061" s="41" t="n">
        <f aca="false">Sens!$C$3048+Sens!$C$3049+Sens!$C$3050+Sens!$C$3051+Sens!$C$3052+Sens!$C$3053-(Sens!$C$3055+Sens!$C$3056)</f>
        <v>0</v>
      </c>
      <c r="D3061" s="41" t="n">
        <f aca="false">Sens!$D$3048+Sens!$D$3049+Sens!$D$3050+Sens!$D$3051+Sens!$D$3052+Sens!$D$3053-(Sens!$D$3055+Sens!$D$3056)</f>
        <v>0</v>
      </c>
      <c r="E3061" s="41" t="n">
        <f aca="false">Sens!$E$3048+Sens!$E$3049+Sens!$E$3050+Sens!$E$3051+Sens!$E$3052+Sens!$E$3053-(Sens!$E$3055+Sens!$E$3056)</f>
        <v>0</v>
      </c>
      <c r="F3061" s="41" t="n">
        <f aca="false">Sens!$F$3048+Sens!$F$3049+Sens!$F$3050+Sens!$F$3051+Sens!$F$3052+Sens!$F$3053-(Sens!$F$3055+Sens!$F$3056)</f>
        <v>0</v>
      </c>
      <c r="G3061" s="41" t="n">
        <f aca="false">Sens!$G$3048+Sens!$G$3049+Sens!$G$3050+Sens!$G$3051+Sens!$G$3052+Sens!$G$3053-(Sens!$G$3055+Sens!$G$3056)</f>
        <v>0</v>
      </c>
      <c r="H3061" s="41" t="n">
        <f aca="false">Sens!$H$3048+Sens!$H$3049+Sens!$H$3050+Sens!$H$3051+Sens!$H$3052+Sens!$H$3053-(Sens!$H$3055+Sens!$H$3056)</f>
        <v>0</v>
      </c>
      <c r="I3061" s="41" t="n">
        <f aca="false">Sens!$I$3048+Sens!$I$3049+Sens!$I$3050+Sens!$I$3051+Sens!$I$3052+Sens!$I$3053-(Sens!$I$3055+Sens!$I$3056)</f>
        <v>0</v>
      </c>
      <c r="J3061" s="41" t="n">
        <f aca="false">Sens!$J$3048+Sens!$J$3049+Sens!$J$3050+Sens!$J$3051+Sens!$J$3052+Sens!$J$3053-(Sens!$J$3055+Sens!$J$3056)</f>
        <v>0</v>
      </c>
      <c r="K3061" s="41" t="n">
        <f aca="false">Sens!$K$3048+Sens!$K$3049+Sens!$K$3050+Sens!$K$3051+Sens!$K$3052+Sens!$K$3053-(Sens!$K$3055+Sens!$K$3056)</f>
        <v>0</v>
      </c>
      <c r="L3061" s="41" t="n">
        <f aca="false">Sens!$L$3048+Sens!$L$3049+Sens!$L$3050+Sens!$L$3051+Sens!$L$3052+Sens!$L$3053-(Sens!$L$3055+Sens!$L$3056)</f>
        <v>0</v>
      </c>
      <c r="M3061" s="41" t="n">
        <f aca="false">Sens!$M$3048+Sens!$M$3049+Sens!$M$3050+Sens!$M$3051+Sens!$M$3052+Sens!$M$3053-(Sens!$M$3055+Sens!$M$3056)</f>
        <v>0</v>
      </c>
      <c r="N3061" s="41" t="n">
        <f aca="false">Sens!$N$3048+Sens!$N$3049+Sens!$N$3050+Sens!$N$3051+Sens!$N$3052+Sens!$N$3053-(Sens!$N$3055+Sens!$N$3056)</f>
        <v>0</v>
      </c>
      <c r="O3061" s="41" t="n">
        <f aca="false">Sens!$O$3048+Sens!$O$3049+Sens!$O$3050+Sens!$O$3051+Sens!$O$3052+Sens!$O$3053-(Sens!$O$3055+Sens!$O$3056)</f>
        <v>0</v>
      </c>
    </row>
    <row r="3062" customFormat="false" ht="17.15" hidden="false" customHeight="false" outlineLevel="0" collapsed="false">
      <c r="A3062" s="24" t="s">
        <v>698</v>
      </c>
      <c r="B3062" s="25" t="s">
        <v>86</v>
      </c>
      <c r="C3062" s="41" t="n">
        <f aca="false">Sens!$C$3058+Sens!$C$3059-Sens!$C$3057</f>
        <v>0</v>
      </c>
      <c r="D3062" s="41" t="n">
        <f aca="false">Sens!$D$3058+Sens!$D$3059-Sens!$D$3057</f>
        <v>0</v>
      </c>
      <c r="E3062" s="41" t="n">
        <f aca="false">Sens!$E$3058+Sens!$E$3059-Sens!$E$3057</f>
        <v>0</v>
      </c>
      <c r="F3062" s="41" t="n">
        <f aca="false">Sens!$F$3058+Sens!$F$3059-Sens!$F$3057</f>
        <v>0</v>
      </c>
      <c r="G3062" s="41" t="n">
        <f aca="false">Sens!$G$3058+Sens!$G$3059-Sens!$G$3057</f>
        <v>0</v>
      </c>
      <c r="H3062" s="41" t="n">
        <f aca="false">Sens!$H$3058+Sens!$H$3059-Sens!$H$3057</f>
        <v>0</v>
      </c>
      <c r="I3062" s="41" t="n">
        <f aca="false">Sens!$I$3058+Sens!$I$3059-Sens!$I$3057</f>
        <v>0</v>
      </c>
      <c r="J3062" s="41" t="n">
        <f aca="false">Sens!$J$3058+Sens!$J$3059-Sens!$J$3057</f>
        <v>0</v>
      </c>
      <c r="K3062" s="41" t="n">
        <f aca="false">Sens!$K$3058+Sens!$K$3059-Sens!$K$3057</f>
        <v>0</v>
      </c>
      <c r="L3062" s="41" t="n">
        <f aca="false">Sens!$L$3058+Sens!$L$3059-Sens!$L$3057</f>
        <v>0</v>
      </c>
      <c r="M3062" s="41" t="n">
        <f aca="false">Sens!$M$3058+Sens!$M$3059-Sens!$M$3057</f>
        <v>0</v>
      </c>
      <c r="N3062" s="41" t="n">
        <f aca="false">Sens!$N$3058+Sens!$N$3059-Sens!$N$3057</f>
        <v>0</v>
      </c>
      <c r="O3062" s="41" t="n">
        <f aca="false">Sens!$O$3058+Sens!$O$3059-Sens!$O$3057</f>
        <v>0</v>
      </c>
    </row>
    <row r="3063" customFormat="false" ht="17.15" hidden="false" customHeight="false" outlineLevel="0" collapsed="false">
      <c r="A3063" s="24" t="s">
        <v>757</v>
      </c>
      <c r="B3063" s="25" t="s">
        <v>86</v>
      </c>
      <c r="C3063" s="41" t="n">
        <f aca="false">Sens!$C$3048+Sens!$C$3049+Sens!$C$3050+Sens!$C$3051+Sens!$C$3052+Sens!$C$3053+Sens!$C$3054-Sens!$C$3060</f>
        <v>0</v>
      </c>
      <c r="D3063" s="41" t="n">
        <f aca="false">Sens!$D$3048+Sens!$D$3049+Sens!$D$3050+Sens!$D$3051+Sens!$D$3052+Sens!$D$3053+Sens!$D$3054-Sens!$D$3060</f>
        <v>0</v>
      </c>
      <c r="E3063" s="41" t="n">
        <f aca="false">Sens!$E$3048+Sens!$E$3049+Sens!$E$3050+Sens!$E$3051+Sens!$E$3052+Sens!$E$3053+Sens!$E$3054-Sens!$E$3060</f>
        <v>0</v>
      </c>
      <c r="F3063" s="41" t="n">
        <f aca="false">Sens!$F$3048+Sens!$F$3049+Sens!$F$3050+Sens!$F$3051+Sens!$F$3052+Sens!$F$3053+Sens!$F$3054-Sens!$F$3060</f>
        <v>0</v>
      </c>
      <c r="G3063" s="41" t="n">
        <f aca="false">Sens!$G$3048+Sens!$G$3049+Sens!$G$3050+Sens!$G$3051+Sens!$G$3052+Sens!$G$3053+Sens!$G$3054-Sens!$G$3060</f>
        <v>0</v>
      </c>
      <c r="H3063" s="41" t="n">
        <f aca="false">Sens!$H$3048+Sens!$H$3049+Sens!$H$3050+Sens!$H$3051+Sens!$H$3052+Sens!$H$3053+Sens!$H$3054-Sens!$H$3060</f>
        <v>0</v>
      </c>
      <c r="I3063" s="41" t="n">
        <f aca="false">Sens!$I$3048+Sens!$I$3049+Sens!$I$3050+Sens!$I$3051+Sens!$I$3052+Sens!$I$3053+Sens!$I$3054-Sens!$I$3060</f>
        <v>0</v>
      </c>
      <c r="J3063" s="41" t="n">
        <f aca="false">Sens!$J$3048+Sens!$J$3049+Sens!$J$3050+Sens!$J$3051+Sens!$J$3052+Sens!$J$3053+Sens!$J$3054-Sens!$J$3060</f>
        <v>0</v>
      </c>
      <c r="K3063" s="41" t="n">
        <f aca="false">Sens!$K$3048+Sens!$K$3049+Sens!$K$3050+Sens!$K$3051+Sens!$K$3052+Sens!$K$3053+Sens!$K$3054-Sens!$K$3060</f>
        <v>0</v>
      </c>
      <c r="L3063" s="41" t="n">
        <f aca="false">Sens!$L$3048+Sens!$L$3049+Sens!$L$3050+Sens!$L$3051+Sens!$L$3052+Sens!$L$3053+Sens!$L$3054-Sens!$L$3060</f>
        <v>0</v>
      </c>
      <c r="M3063" s="41" t="n">
        <f aca="false">Sens!$M$3048+Sens!$M$3049+Sens!$M$3050+Sens!$M$3051+Sens!$M$3052+Sens!$M$3053+Sens!$M$3054-Sens!$M$3060</f>
        <v>0</v>
      </c>
      <c r="N3063" s="41" t="n">
        <f aca="false">Sens!$N$3048+Sens!$N$3049+Sens!$N$3050+Sens!$N$3051+Sens!$N$3052+Sens!$N$3053+Sens!$N$3054-Sens!$N$3060</f>
        <v>0</v>
      </c>
      <c r="O3063" s="41" t="n">
        <f aca="false">Sens!$O$3048+Sens!$O$3049+Sens!$O$3050+Sens!$O$3051+Sens!$O$3052+Sens!$O$3053+Sens!$O$3054-Sens!$O$3060</f>
        <v>0</v>
      </c>
    </row>
    <row r="3064" customFormat="false" ht="17.15" hidden="false" customHeight="false" outlineLevel="0" collapsed="false">
      <c r="A3064" s="24" t="s">
        <v>699</v>
      </c>
      <c r="B3064" s="25" t="s">
        <v>86</v>
      </c>
      <c r="C3064" s="41" t="n">
        <f aca="false">Sens!$C$3055+Sens!$C$3056+Sens!$C$3057-Sens!$C$3060</f>
        <v>0</v>
      </c>
      <c r="D3064" s="41" t="n">
        <f aca="false">Sens!$D$3055+Sens!$D$3056+Sens!$D$3057-Sens!$D$3060</f>
        <v>0</v>
      </c>
      <c r="E3064" s="41" t="n">
        <f aca="false">Sens!$E$3055+Sens!$E$3056+Sens!$E$3057-Sens!$E$3060</f>
        <v>0</v>
      </c>
      <c r="F3064" s="41" t="n">
        <f aca="false">Sens!$F$3055+Sens!$F$3056+Sens!$F$3057-Sens!$F$3060</f>
        <v>0</v>
      </c>
      <c r="G3064" s="41" t="n">
        <f aca="false">Sens!$G$3055+Sens!$G$3056+Sens!$G$3057-Sens!$G$3060</f>
        <v>0</v>
      </c>
      <c r="H3064" s="41" t="n">
        <f aca="false">Sens!$H$3055+Sens!$H$3056+Sens!$H$3057-Sens!$H$3060</f>
        <v>0</v>
      </c>
      <c r="I3064" s="41" t="n">
        <f aca="false">Sens!$I$3055+Sens!$I$3056+Sens!$I$3057-Sens!$I$3060</f>
        <v>0</v>
      </c>
      <c r="J3064" s="41" t="n">
        <f aca="false">Sens!$J$3055+Sens!$J$3056+Sens!$J$3057-Sens!$J$3060</f>
        <v>0</v>
      </c>
      <c r="K3064" s="41" t="n">
        <f aca="false">Sens!$K$3055+Sens!$K$3056+Sens!$K$3057-Sens!$K$3060</f>
        <v>0</v>
      </c>
      <c r="L3064" s="41" t="n">
        <f aca="false">Sens!$L$3055+Sens!$L$3056+Sens!$L$3057-Sens!$L$3060</f>
        <v>0</v>
      </c>
      <c r="M3064" s="41" t="n">
        <f aca="false">Sens!$M$3055+Sens!$M$3056+Sens!$M$3057-Sens!$M$3060</f>
        <v>0</v>
      </c>
      <c r="N3064" s="41" t="n">
        <f aca="false">Sens!$N$3055+Sens!$N$3056+Sens!$N$3057-Sens!$N$3060</f>
        <v>0</v>
      </c>
      <c r="O3064" s="41" t="n">
        <f aca="false">Sens!$O$3055+Sens!$O$3056+Sens!$O$3057-Sens!$O$3060</f>
        <v>0</v>
      </c>
    </row>
    <row r="3065" customFormat="false" ht="17.15" hidden="false" customHeight="false" outlineLevel="0" collapsed="false">
      <c r="A3065" s="1" t="s">
        <v>713</v>
      </c>
    </row>
    <row r="3066" customFormat="false" ht="17.15" hidden="false" customHeight="false" outlineLevel="0" collapsed="false">
      <c r="A3066" s="0" t="s">
        <v>714</v>
      </c>
      <c r="B3066" s="0" t="s">
        <v>86</v>
      </c>
      <c r="C3066" s="38" t="n">
        <f aca="false">Sens!$C$2972*m_ad</f>
        <v>20.5341564414228</v>
      </c>
      <c r="D3066" s="38" t="n">
        <f aca="false">Sens!$D$2972*m_ad</f>
        <v>24.8720617299587</v>
      </c>
      <c r="E3066" s="38" t="n">
        <f aca="false">Sens!$E$2972*m_ad</f>
        <v>13.5017112462207</v>
      </c>
      <c r="F3066" s="38" t="n">
        <f aca="false">Sens!$F$2972*m_ad</f>
        <v>16.5719724165257</v>
      </c>
      <c r="G3066" s="38" t="n">
        <f aca="false">Sens!$G$2972*m_ad</f>
        <v>30.0820919220415</v>
      </c>
      <c r="H3066" s="38" t="n">
        <f aca="false">Sens!$H$2972*m_ad</f>
        <v>36.1150883276314</v>
      </c>
      <c r="I3066" s="38" t="n">
        <f aca="false">Sens!$I$2972*m_ad</f>
        <v>42.1475382231996</v>
      </c>
      <c r="J3066" s="38" t="n">
        <f aca="false">Sens!$J$2972*m_ad</f>
        <v>47.7749523864693</v>
      </c>
      <c r="K3066" s="38" t="n">
        <f aca="false">Sens!$K$2972*m_ad</f>
        <v>52.5524476251162</v>
      </c>
      <c r="L3066" s="38" t="n">
        <f aca="false">Sens!$L$2972*m_ad</f>
        <v>57.8076923876279</v>
      </c>
      <c r="M3066" s="38" t="n">
        <f aca="false">Sens!$M$2972*m_ad</f>
        <v>63.5884616263907</v>
      </c>
      <c r="N3066" s="38" t="n">
        <f aca="false">Sens!$N$2972*m_ad</f>
        <v>10.8543555706248</v>
      </c>
      <c r="O3066" s="38" t="n">
        <f aca="false">Sens!$O$2972*m_ad</f>
        <v>14.0094731821399</v>
      </c>
    </row>
    <row r="3067" customFormat="false" ht="17.15" hidden="false" customHeight="false" outlineLevel="0" collapsed="false">
      <c r="A3067" s="0" t="s">
        <v>715</v>
      </c>
      <c r="B3067" s="0" t="s">
        <v>86</v>
      </c>
      <c r="C3067" s="38" t="n">
        <f aca="false">Sens!$C$2970-Sens!$C$2972</f>
        <v>346.428687117154</v>
      </c>
      <c r="D3067" s="38" t="n">
        <f aca="false">Sens!$D$2970-Sens!$D$2972</f>
        <v>376.560876540083</v>
      </c>
      <c r="E3067" s="38" t="n">
        <f aca="false">Sens!$E$2970-Sens!$E$2972</f>
        <v>193.316577507559</v>
      </c>
      <c r="F3067" s="38" t="n">
        <f aca="false">Sens!$F$2970-Sens!$F$2972</f>
        <v>217.495828647535</v>
      </c>
      <c r="G3067" s="38" t="n">
        <f aca="false">Sens!$G$2970-Sens!$G$2972</f>
        <v>410.795589636503</v>
      </c>
      <c r="H3067" s="38" t="n">
        <f aca="false">Sens!$H$2970-Sens!$H$2972</f>
        <v>449.156813761174</v>
      </c>
      <c r="I3067" s="38" t="n">
        <f aca="false">Sens!$I$2970-Sens!$I$2972</f>
        <v>485.848786441156</v>
      </c>
      <c r="J3067" s="38" t="n">
        <f aca="false">Sens!$J$2970-Sens!$J$2972</f>
        <v>519.841531018994</v>
      </c>
      <c r="K3067" s="38" t="n">
        <f aca="false">Sens!$K$2970-Sens!$K$2972</f>
        <v>550.103332311311</v>
      </c>
      <c r="L3067" s="38" t="n">
        <f aca="false">Sens!$L$2970-Sens!$L$2972</f>
        <v>582.192354474511</v>
      </c>
      <c r="M3067" s="38" t="n">
        <f aca="false">Sens!$M$2970-Sens!$M$2972</f>
        <v>616.22240521081</v>
      </c>
      <c r="N3067" s="38" t="n">
        <f aca="false">Sens!$N$2970-Sens!$N$2972</f>
        <v>171.24628885875</v>
      </c>
      <c r="O3067" s="38" t="n">
        <f aca="false">Sens!$O$2970-Sens!$O$2972</f>
        <v>205.33105363572</v>
      </c>
    </row>
    <row r="3068" customFormat="false" ht="17.15" hidden="false" customHeight="false" outlineLevel="0" collapsed="false">
      <c r="A3068" s="0" t="s">
        <v>716</v>
      </c>
      <c r="B3068" s="0" t="s">
        <v>86</v>
      </c>
      <c r="C3068" s="38" t="n">
        <f aca="false">Sens!$C$3019*Sens!$C$2969</f>
        <v>0.123617442257179</v>
      </c>
      <c r="D3068" s="38" t="n">
        <f aca="false">Sens!$D$3019*Sens!$D$2969</f>
        <v>0.874366899302609</v>
      </c>
      <c r="E3068" s="38" t="n">
        <f aca="false">Sens!$E$3019*Sens!$E$2969</f>
        <v>1.29318830502574</v>
      </c>
      <c r="F3068" s="38" t="n">
        <f aca="false">Sens!$F$3019*Sens!$F$2969</f>
        <v>1.51802024162534</v>
      </c>
      <c r="G3068" s="38" t="n">
        <f aca="false">Sens!$G$3019*Sens!$G$2969</f>
        <v>2.81153363597665</v>
      </c>
      <c r="H3068" s="38" t="n">
        <f aca="false">Sens!$H$3019*Sens!$H$2969</f>
        <v>7.39027704264226</v>
      </c>
      <c r="I3068" s="38" t="n">
        <f aca="false">Sens!$I$3019*Sens!$I$2969</f>
        <v>12.899807643047</v>
      </c>
      <c r="J3068" s="38" t="n">
        <f aca="false">Sens!$J$3019*Sens!$J$2969</f>
        <v>18.5585322471382</v>
      </c>
      <c r="K3068" s="38" t="n">
        <f aca="false">Sens!$K$3019*Sens!$K$2969</f>
        <v>24.0966749520672</v>
      </c>
      <c r="L3068" s="38" t="n">
        <f aca="false">Sens!$L$3019*Sens!$L$2969</f>
        <v>27.686623551477</v>
      </c>
      <c r="M3068" s="38" t="n">
        <f aca="false">Sens!$M$3019*Sens!$M$2969</f>
        <v>29.7238645537022</v>
      </c>
      <c r="N3068" s="38" t="n">
        <f aca="false">Sens!$N$3019*Sens!$N$2969</f>
        <v>0.389180508437431</v>
      </c>
      <c r="O3068" s="38" t="n">
        <f aca="false">Sens!$O$3019*Sens!$O$2969</f>
        <v>0.485052120082802</v>
      </c>
    </row>
    <row r="3069" customFormat="false" ht="17.15" hidden="false" customHeight="false" outlineLevel="0" collapsed="false">
      <c r="A3069" s="0" t="s">
        <v>717</v>
      </c>
      <c r="B3069" s="0" t="s">
        <v>52</v>
      </c>
      <c r="C3069" s="28" t="n">
        <f aca="false">(Sens!$C$3070-Sens!$C$3066+Sens!$C$3068)/Sens!$C$3067</f>
        <v>0.0131526665379575</v>
      </c>
      <c r="D3069" s="28" t="n">
        <f aca="false">(Sens!$D$3070-Sens!$D$3066+Sens!$D$3068)/Sens!$D$3067</f>
        <v>0.0149280116962589</v>
      </c>
      <c r="E3069" s="28" t="n">
        <f aca="false">(Sens!$E$3070-Sens!$E$3066+Sens!$E$3068)/Sens!$E$3067</f>
        <v>0.0268030663774938</v>
      </c>
      <c r="F3069" s="28" t="n">
        <f aca="false">Sens!$O$3069+(Sens!$E$3069-Sens!$N$3069)</f>
        <v>0.0232379346966962</v>
      </c>
      <c r="G3069" s="28" t="n">
        <f aca="false">(Sens!$G$3070-Sens!$G$3066+Sens!$G$3068)/Sens!$G$3067</f>
        <v>0.0248969268652583</v>
      </c>
      <c r="H3069" s="28" t="n">
        <f aca="false">Sens!$G$3069+step_na</f>
        <v>0.0278969268652583</v>
      </c>
      <c r="I3069" s="28" t="n">
        <f aca="false">Sens!$H$3069+step_na</f>
        <v>0.0308969268652583</v>
      </c>
      <c r="J3069" s="28" t="n">
        <f aca="false">Sens!$I$3069+step_na</f>
        <v>0.0338969268652583</v>
      </c>
      <c r="K3069" s="28" t="n">
        <f aca="false">Sens!$J$3069+step_na</f>
        <v>0.0368969268652584</v>
      </c>
      <c r="L3069" s="28" t="n">
        <f aca="false">Sens!$K$3069</f>
        <v>0.0368969268652584</v>
      </c>
      <c r="M3069" s="28" t="n">
        <f aca="false">Sens!$L$3069</f>
        <v>0.0368969268652584</v>
      </c>
      <c r="N3069" s="28" t="n">
        <f aca="false">(Sens!$N$3070-Sens!$N$3066+Sens!$N$3068)/Sens!$N$3067</f>
        <v>0.0168927744775755</v>
      </c>
      <c r="O3069" s="28" t="n">
        <f aca="false">(Sens!$O$3070-Sens!$O$3066+Sens!$O$3068)/Sens!$O$3067</f>
        <v>0.0133276427967779</v>
      </c>
      <c r="P3069" s="8" t="s">
        <v>718</v>
      </c>
    </row>
    <row r="3070" customFormat="false" ht="17.15" hidden="false" customHeight="false" outlineLevel="0" collapsed="false">
      <c r="A3070" s="1" t="s">
        <v>719</v>
      </c>
      <c r="B3070" s="8" t="s">
        <v>86</v>
      </c>
      <c r="C3070" s="38" t="n">
        <f aca="false">Q!$D$22</f>
        <v>24.967</v>
      </c>
      <c r="D3070" s="38" t="n">
        <f aca="false">Q!$E$22</f>
        <v>29.619</v>
      </c>
      <c r="E3070" s="38" t="n">
        <f aca="false">Q!$P$22</f>
        <v>17.39</v>
      </c>
      <c r="F3070" s="38" t="n">
        <f aca="false">Sens!$F$3066+Sens!$F$3067*Sens!$F$3069-Sens!$F$3068</f>
        <v>20.1081060378156</v>
      </c>
      <c r="G3070" s="38" t="n">
        <f aca="false">Sens!$E$3070+Sens!$F$3070</f>
        <v>37.4981060378156</v>
      </c>
      <c r="H3070" s="38" t="n">
        <f aca="false">Sens!$H$3066+Sens!$H$3067*Sens!$H$3069-Sens!$H$3068</f>
        <v>41.2549060695171</v>
      </c>
      <c r="I3070" s="38" t="n">
        <f aca="false">Sens!$I$3066+Sens!$I$3067*Sens!$I$3069-Sens!$I$3068</f>
        <v>44.2589650023995</v>
      </c>
      <c r="J3070" s="38" t="n">
        <f aca="false">Sens!$J$3066+Sens!$J$3067*Sens!$J$3069-Sens!$J$3068</f>
        <v>46.8374504978059</v>
      </c>
      <c r="K3070" s="38" t="n">
        <f aca="false">Sens!$K$3066+Sens!$K$3067*Sens!$K$3069-Sens!$K$3068</f>
        <v>48.7528950936744</v>
      </c>
      <c r="L3070" s="38" t="n">
        <f aca="false">Sens!$L$3066+Sens!$L$3067*Sens!$L$3069-Sens!$L$3068</f>
        <v>51.6021775607095</v>
      </c>
      <c r="M3070" s="38" t="n">
        <f aca="false">Sens!$M$3066+Sens!$M$3067*Sens!$M$3069-Sens!$M$3068</f>
        <v>56.6013100904853</v>
      </c>
      <c r="N3070" s="38" t="n">
        <f aca="false">Q!$N$22</f>
        <v>13.358</v>
      </c>
      <c r="O3070" s="38" t="n">
        <f aca="false">Q!$O$22</f>
        <v>16.261</v>
      </c>
    </row>
    <row r="3071" customFormat="false" ht="17.15" hidden="false" customHeight="false" outlineLevel="0" collapsed="false">
      <c r="A3071" s="0" t="s">
        <v>720</v>
      </c>
      <c r="B3071" s="0" t="s">
        <v>86</v>
      </c>
      <c r="C3071" s="38" t="n">
        <f aca="false">Sens!$C$2973*m_ad</f>
        <v>7.57284355857716</v>
      </c>
      <c r="D3071" s="38" t="n">
        <f aca="false">Sens!$D$2973*m_ad</f>
        <v>9.44543827004127</v>
      </c>
      <c r="E3071" s="38" t="n">
        <f aca="false">Sens!$E$2973*m_ad</f>
        <v>5.02428875377928</v>
      </c>
      <c r="F3071" s="38" t="n">
        <f aca="false">Sens!$F$2973*m_ad</f>
        <v>6.50663858068173</v>
      </c>
      <c r="G3071" s="38" t="n">
        <f aca="false">Sens!$G$2973*m_ad</f>
        <v>11.5225190751659</v>
      </c>
      <c r="H3071" s="38" t="n">
        <f aca="false">Sens!$H$2973*m_ad</f>
        <v>13.8333728663174</v>
      </c>
      <c r="I3071" s="38" t="n">
        <f aca="false">Sens!$I$2973*m_ad</f>
        <v>16.1440173245485</v>
      </c>
      <c r="J3071" s="38" t="n">
        <f aca="false">Sens!$J$2973*m_ad</f>
        <v>18.2995185845066</v>
      </c>
      <c r="K3071" s="38" t="n">
        <f aca="false">Sens!$K$2973*m_ad</f>
        <v>20.1294704429572</v>
      </c>
      <c r="L3071" s="38" t="n">
        <f aca="false">Sens!$L$2973*m_ad</f>
        <v>22.142417487253</v>
      </c>
      <c r="M3071" s="38" t="n">
        <f aca="false">Sens!$M$2973*m_ad</f>
        <v>24.3566592359783</v>
      </c>
      <c r="N3071" s="38" t="n">
        <f aca="false">Sens!$N$2973*m_ad</f>
        <v>3.95314442937518</v>
      </c>
      <c r="O3071" s="38" t="n">
        <f aca="false">Sens!$O$2973*m_ad</f>
        <v>5.50052681786011</v>
      </c>
    </row>
    <row r="3072" customFormat="false" ht="17.15" hidden="false" customHeight="false" outlineLevel="0" collapsed="false">
      <c r="A3072" s="0" t="s">
        <v>721</v>
      </c>
      <c r="B3072" s="0" t="s">
        <v>86</v>
      </c>
      <c r="C3072" s="38" t="n">
        <f aca="false">Sens!$C$2971-Sens!$C$2973</f>
        <v>127.760312882846</v>
      </c>
      <c r="D3072" s="38" t="n">
        <f aca="false">Sens!$D$2971-Sens!$D$2973</f>
        <v>143.003123459917</v>
      </c>
      <c r="E3072" s="38" t="n">
        <f aca="false">Sens!$E$2971-Sens!$E$2973</f>
        <v>71.9374224924414</v>
      </c>
      <c r="F3072" s="38" t="n">
        <f aca="false">Sens!$F$2971-Sens!$F$2973</f>
        <v>85.3951910035875</v>
      </c>
      <c r="G3072" s="38" t="n">
        <f aca="false">Sens!$G$2971-Sens!$G$2973</f>
        <v>157.349430014619</v>
      </c>
      <c r="H3072" s="38" t="n">
        <f aca="false">Sens!$H$2971-Sens!$H$2973</f>
        <v>172.043153372315</v>
      </c>
      <c r="I3072" s="38" t="n">
        <f aca="false">Sens!$I$2971-Sens!$I$2973</f>
        <v>186.097493615879</v>
      </c>
      <c r="J3072" s="38" t="n">
        <f aca="false">Sens!$J$2971-Sens!$J$2973</f>
        <v>199.117932780497</v>
      </c>
      <c r="K3072" s="38" t="n">
        <f aca="false">Sens!$K$2971-Sens!$K$2973</f>
        <v>210.70928698363</v>
      </c>
      <c r="L3072" s="38" t="n">
        <f aca="false">Sens!$L$2971-Sens!$L$2973</f>
        <v>223.000532251316</v>
      </c>
      <c r="M3072" s="38" t="n">
        <f aca="false">Sens!$M$2971-Sens!$M$2973</f>
        <v>236.035261011339</v>
      </c>
      <c r="N3072" s="38" t="n">
        <f aca="false">Sens!$N$2971-Sens!$N$2973</f>
        <v>62.3677111412496</v>
      </c>
      <c r="O3072" s="38" t="n">
        <f aca="false">Sens!$O$2971-Sens!$O$2973</f>
        <v>80.6189463642798</v>
      </c>
    </row>
    <row r="3073" customFormat="false" ht="17.15" hidden="false" customHeight="false" outlineLevel="0" collapsed="false">
      <c r="A3073" s="0" t="s">
        <v>722</v>
      </c>
      <c r="B3073" s="0" t="s">
        <v>86</v>
      </c>
      <c r="C3073" s="38" t="n">
        <f aca="false">Sens!$C$3019*(1-Sens!$C$2969)</f>
        <v>0.0455891896019953</v>
      </c>
      <c r="D3073" s="38" t="n">
        <f aca="false">Sens!$D$3019*(1-Sens!$D$2969)</f>
        <v>0.332050421167231</v>
      </c>
      <c r="E3073" s="38" t="n">
        <f aca="false">Sens!$E$3019*(1-Sens!$E$2969)</f>
        <v>0.481224293644882</v>
      </c>
      <c r="F3073" s="38" t="n">
        <f aca="false">Sens!$F$3019*(1-Sens!$F$2969)</f>
        <v>0.596018918096053</v>
      </c>
      <c r="G3073" s="38" t="n">
        <f aca="false">Sens!$G$3019*(1-Sens!$G$2969)</f>
        <v>1.07691812241537</v>
      </c>
      <c r="H3073" s="38" t="n">
        <f aca="false">Sens!$H$3019*(1-Sens!$H$2969)</f>
        <v>2.83074090775622</v>
      </c>
      <c r="I3073" s="38" t="n">
        <f aca="false">Sens!$I$3019*(1-Sens!$I$2969)</f>
        <v>4.94108853926048</v>
      </c>
      <c r="J3073" s="38" t="n">
        <f aca="false">Sens!$J$3019*(1-Sens!$J$2969)</f>
        <v>7.10858281993502</v>
      </c>
      <c r="K3073" s="38" t="n">
        <f aca="false">Sens!$K$3019*(1-Sens!$K$2969)</f>
        <v>9.2298899126701</v>
      </c>
      <c r="L3073" s="38" t="n">
        <f aca="false">Sens!$L$3019*(1-Sens!$L$2969)</f>
        <v>10.6049688574045</v>
      </c>
      <c r="M3073" s="38" t="n">
        <f aca="false">Sens!$M$3019*(1-Sens!$M$2969)</f>
        <v>11.3853051574758</v>
      </c>
      <c r="N3073" s="38" t="n">
        <f aca="false">Sens!$N$3019*(1-Sens!$N$2969)</f>
        <v>0.141739115596548</v>
      </c>
      <c r="O3073" s="38" t="n">
        <f aca="false">Sens!$O$3019*(1-Sens!$O$2969)</f>
        <v>0.190445576353059</v>
      </c>
    </row>
    <row r="3074" customFormat="false" ht="17.15" hidden="false" customHeight="false" outlineLevel="0" collapsed="false">
      <c r="A3074" s="0" t="s">
        <v>723</v>
      </c>
      <c r="B3074" s="0" t="s">
        <v>52</v>
      </c>
      <c r="C3074" s="28" t="n">
        <f aca="false">(Sens!$C$3075-Sens!$C$3071+Sens!$C$3073)/Sens!$C$3072</f>
        <v>-0.0292364215826579</v>
      </c>
      <c r="D3074" s="28" t="n">
        <f aca="false">(Sens!$D$3075-Sens!$D$3071+Sens!$D$3073)/Sens!$D$3072</f>
        <v>-0.0305125352740778</v>
      </c>
      <c r="E3074" s="28" t="n">
        <f aca="false">(Sens!$E$3075-Sens!$E$3071+Sens!$E$3073)/Sens!$E$3072</f>
        <v>-0.019490056934994</v>
      </c>
      <c r="F3074" s="28" t="n">
        <f aca="false">Sens!$O$3074+(Sens!$E$3074-Sens!$N$3074)</f>
        <v>-0.0367332293992226</v>
      </c>
      <c r="G3074" s="28" t="n">
        <f aca="false">(Sens!$G$3075-Sens!$G$3071+Sens!$G$3073)/Sens!$G$3072</f>
        <v>-0.0287946542321067</v>
      </c>
      <c r="H3074" s="28" t="n">
        <f aca="false">Sens!$G$3074+step_in</f>
        <v>-0.0287946542321067</v>
      </c>
      <c r="I3074" s="28" t="n">
        <f aca="false">Sens!$H$3074+step_in</f>
        <v>-0.0287946542321067</v>
      </c>
      <c r="J3074" s="28" t="n">
        <f aca="false">Sens!$I$3074+step_in</f>
        <v>-0.0287946542321067</v>
      </c>
      <c r="K3074" s="28" t="n">
        <f aca="false">Sens!$J$3074+step_in</f>
        <v>-0.0287946542321067</v>
      </c>
      <c r="L3074" s="28" t="n">
        <f aca="false">Sens!$K$3074</f>
        <v>-0.0287946542321067</v>
      </c>
      <c r="M3074" s="28" t="n">
        <f aca="false">Sens!$L$3074</f>
        <v>-0.0287946542321067</v>
      </c>
      <c r="N3074" s="28" t="n">
        <f aca="false">(Sens!$N$3075-Sens!$N$3071+Sens!$N$3073)/Sens!$N$3072</f>
        <v>-0.02085061789158</v>
      </c>
      <c r="O3074" s="28" t="n">
        <f aca="false">(Sens!$O$3075-Sens!$O$3071+Sens!$O$3073)/Sens!$O$3072</f>
        <v>-0.0380937903558086</v>
      </c>
      <c r="P3074" s="8" t="s">
        <v>718</v>
      </c>
    </row>
    <row r="3075" customFormat="false" ht="17.15" hidden="false" customHeight="false" outlineLevel="0" collapsed="false">
      <c r="A3075" s="1" t="s">
        <v>724</v>
      </c>
      <c r="B3075" s="8" t="s">
        <v>86</v>
      </c>
      <c r="C3075" s="38" t="n">
        <f aca="false">Q!$D$23</f>
        <v>3.792</v>
      </c>
      <c r="D3075" s="38" t="n">
        <f aca="false">Q!$E$23</f>
        <v>4.75</v>
      </c>
      <c r="E3075" s="38" t="n">
        <f aca="false">Q!$P$23</f>
        <v>3.141</v>
      </c>
      <c r="F3075" s="38" t="n">
        <f aca="false">Sens!$F$3071+Sens!$F$3072*Sens!$F$3074-Sens!$F$3073</f>
        <v>2.77377852186047</v>
      </c>
      <c r="G3075" s="38" t="n">
        <f aca="false">Sens!$E$3075+Sens!$F$3075</f>
        <v>5.91477852186047</v>
      </c>
      <c r="H3075" s="38" t="n">
        <f aca="false">Sens!$H$3071+Sens!$H$3072*Sens!$H$3074-Sens!$H$3073</f>
        <v>6.04870884420403</v>
      </c>
      <c r="I3075" s="38" t="n">
        <f aca="false">Sens!$I$3071+Sens!$I$3072*Sens!$I$3074-Sens!$I$3073</f>
        <v>5.84431580315713</v>
      </c>
      <c r="J3075" s="38" t="n">
        <f aca="false">Sens!$J$3071+Sens!$J$3072*Sens!$J$3074-Sens!$J$3073</f>
        <v>5.45740373874528</v>
      </c>
      <c r="K3075" s="38" t="n">
        <f aca="false">Sens!$K$3071+Sens!$K$3072*Sens!$K$3074-Sens!$K$3073</f>
        <v>4.83227946809976</v>
      </c>
      <c r="L3075" s="38" t="n">
        <f aca="false">Sens!$L$3071+Sens!$L$3072*Sens!$L$3074-Sens!$L$3073</f>
        <v>5.11622541009601</v>
      </c>
      <c r="M3075" s="38" t="n">
        <f aca="false">Sens!$M$3071+Sens!$M$3072*Sens!$M$3074-Sens!$M$3073</f>
        <v>6.17480035109588</v>
      </c>
      <c r="N3075" s="38" t="n">
        <f aca="false">Q!$N$23</f>
        <v>2.511</v>
      </c>
      <c r="O3075" s="38" t="n">
        <f aca="false">Q!$O$23</f>
        <v>2.239</v>
      </c>
    </row>
    <row r="3076" customFormat="false" ht="17.15" hidden="false" customHeight="false" outlineLevel="0" collapsed="false">
      <c r="A3076" s="0" t="s">
        <v>725</v>
      </c>
      <c r="B3076" s="0" t="s">
        <v>86</v>
      </c>
      <c r="C3076" s="38" t="n">
        <f aca="false">Sens!$C$3016</f>
        <v>1.64417882953695</v>
      </c>
      <c r="D3076" s="38" t="n">
        <f aca="false">Sens!$D$3016</f>
        <v>3.8781008067718</v>
      </c>
      <c r="E3076" s="38" t="n">
        <f aca="false">Sens!$E$3016</f>
        <v>1.41270258088753</v>
      </c>
      <c r="F3076" s="38" t="n">
        <f aca="false">Sens!$F$3016</f>
        <v>6.50727700583486</v>
      </c>
      <c r="G3076" s="38" t="n">
        <f aca="false">Sens!$G$3016</f>
        <v>7.9199795867224</v>
      </c>
      <c r="H3076" s="38" t="n">
        <f aca="false">Sens!$H$3016</f>
        <v>19.2818189481807</v>
      </c>
      <c r="I3076" s="38" t="n">
        <f aca="false">Sens!$I$3016</f>
        <v>30.140114407202</v>
      </c>
      <c r="J3076" s="38" t="n">
        <f aca="false">Sens!$J$3016</f>
        <v>40.3569468829854</v>
      </c>
      <c r="K3076" s="38" t="n">
        <f aca="false">Sens!$K$3016</f>
        <v>45.1418609242305</v>
      </c>
      <c r="L3076" s="38" t="n">
        <f aca="false">Sens!$L$3016</f>
        <v>48.5617321668703</v>
      </c>
      <c r="M3076" s="38" t="n">
        <f aca="false">Sens!$M$3016</f>
        <v>48.3987625241529</v>
      </c>
      <c r="N3076" s="38" t="n">
        <f aca="false">Sens!$N$3016</f>
        <v>0.92264103489199</v>
      </c>
      <c r="O3076" s="38" t="n">
        <f aca="false">Sens!$O$3016</f>
        <v>2.95545977187981</v>
      </c>
    </row>
    <row r="3077" customFormat="false" ht="17.15" hidden="false" customHeight="false" outlineLevel="0" collapsed="false">
      <c r="A3077" s="0" t="s">
        <v>643</v>
      </c>
      <c r="B3077" s="0" t="s">
        <v>86</v>
      </c>
      <c r="C3077" s="38" t="n">
        <f aca="false">Sens!$C$3021</f>
        <v>38.1898211704631</v>
      </c>
      <c r="D3077" s="38" t="n">
        <f aca="false">Sens!$D$3021</f>
        <v>41.7278991932282</v>
      </c>
      <c r="E3077" s="38" t="n">
        <f aca="false">Sens!$E$3021</f>
        <v>29.3692974191125</v>
      </c>
      <c r="F3077" s="38" t="n">
        <f aca="false">Sens!$F$3021</f>
        <v>26.8997276714137</v>
      </c>
      <c r="G3077" s="38" t="n">
        <f aca="false">Sens!$G$3021</f>
        <v>56.2690250905262</v>
      </c>
      <c r="H3077" s="38" t="n">
        <f aca="false">Sens!$H$3021</f>
        <v>59.9483324021988</v>
      </c>
      <c r="I3077" s="38" t="n">
        <f aca="false">Sens!$I$3021</f>
        <v>65.6586157204026</v>
      </c>
      <c r="J3077" s="38" t="n">
        <f aca="false">Sens!$J$3021</f>
        <v>70.427184762678</v>
      </c>
      <c r="K3077" s="38" t="n">
        <f aca="false">Sens!$K$3021</f>
        <v>73.948544000812</v>
      </c>
      <c r="L3077" s="38" t="n">
        <f aca="false">Sens!$L$3021</f>
        <v>77.6459712008526</v>
      </c>
      <c r="M3077" s="38" t="n">
        <f aca="false">Sens!$M$3021</f>
        <v>81.5282697608952</v>
      </c>
      <c r="N3077" s="38" t="n">
        <f aca="false">Sens!$N$3021</f>
        <v>20.784358965108</v>
      </c>
      <c r="O3077" s="38" t="n">
        <f aca="false">Sens!$O$3021</f>
        <v>20.9435402281202</v>
      </c>
    </row>
    <row r="3078" customFormat="false" ht="17.15" hidden="false" customHeight="false" outlineLevel="0" collapsed="false">
      <c r="A3078" s="1" t="s">
        <v>726</v>
      </c>
      <c r="B3078" s="8" t="s">
        <v>86</v>
      </c>
      <c r="C3078" s="38" t="n">
        <f aca="false">Q!$D$24</f>
        <v>39.834</v>
      </c>
      <c r="D3078" s="38" t="n">
        <f aca="false">Q!$E$24</f>
        <v>45.606</v>
      </c>
      <c r="E3078" s="38" t="n">
        <f aca="false">Q!$P$24</f>
        <v>30.782</v>
      </c>
      <c r="F3078" s="38" t="n">
        <f aca="false">Sens!$F$3076+Sens!$F$3077</f>
        <v>33.4070046772486</v>
      </c>
      <c r="G3078" s="38" t="n">
        <f aca="false">Sens!$G$3076+Sens!$G$3077</f>
        <v>64.1890046772486</v>
      </c>
      <c r="H3078" s="38" t="n">
        <f aca="false">Sens!$H$3076+Sens!$H$3077</f>
        <v>79.2301513503794</v>
      </c>
      <c r="I3078" s="38" t="n">
        <f aca="false">Sens!$I$3076+Sens!$I$3077</f>
        <v>95.7987301276047</v>
      </c>
      <c r="J3078" s="38" t="n">
        <f aca="false">Sens!$J$3076+Sens!$J$3077</f>
        <v>110.784131645663</v>
      </c>
      <c r="K3078" s="38" t="n">
        <f aca="false">Sens!$K$3076+Sens!$K$3077</f>
        <v>119.090404925042</v>
      </c>
      <c r="L3078" s="38" t="n">
        <f aca="false">Sens!$L$3076+Sens!$L$3077</f>
        <v>126.207703367723</v>
      </c>
      <c r="M3078" s="38" t="n">
        <f aca="false">Sens!$M$3076+Sens!$M$3077</f>
        <v>129.927032285048</v>
      </c>
      <c r="N3078" s="38" t="n">
        <f aca="false">Q!$N$24</f>
        <v>21.707</v>
      </c>
      <c r="O3078" s="38" t="n">
        <f aca="false">Q!$O$24</f>
        <v>23.899</v>
      </c>
    </row>
    <row r="3079" customFormat="false" ht="17.15" hidden="false" customHeight="false" outlineLevel="0" collapsed="false">
      <c r="A3079" s="5" t="s">
        <v>727</v>
      </c>
      <c r="B3079" s="0" t="s">
        <v>86</v>
      </c>
      <c r="C3079" s="38" t="n">
        <f aca="false">Q!$D$26</f>
        <v>0</v>
      </c>
      <c r="D3079" s="38" t="n">
        <f aca="false">Q!$E$26</f>
        <v>0</v>
      </c>
      <c r="E3079" s="38" t="n">
        <f aca="false">Q!$P$26</f>
        <v>0</v>
      </c>
      <c r="F3079" s="39" t="n">
        <v>0</v>
      </c>
      <c r="G3079" s="38" t="n">
        <f aca="false">Sens!$E$3079+Sens!$F$3079</f>
        <v>0</v>
      </c>
      <c r="H3079" s="39" t="n">
        <v>0</v>
      </c>
      <c r="I3079" s="39" t="n">
        <v>0</v>
      </c>
      <c r="J3079" s="39" t="n">
        <v>0</v>
      </c>
      <c r="K3079" s="39" t="n">
        <v>0</v>
      </c>
      <c r="L3079" s="39" t="n">
        <v>0</v>
      </c>
      <c r="M3079" s="39" t="n">
        <v>0</v>
      </c>
      <c r="N3079" s="38" t="n">
        <f aca="false">Q!$N$26</f>
        <v>0</v>
      </c>
      <c r="O3079" s="38" t="n">
        <f aca="false">Q!$O$26</f>
        <v>0</v>
      </c>
    </row>
    <row r="3080" customFormat="false" ht="15" hidden="false" customHeight="false" outlineLevel="0" collapsed="false">
      <c r="A3080" s="3" t="s">
        <v>531</v>
      </c>
      <c r="B3080" s="8" t="s">
        <v>86</v>
      </c>
      <c r="C3080" s="38" t="n">
        <f aca="false">Q!$D$25</f>
        <v>68.593</v>
      </c>
      <c r="D3080" s="38" t="n">
        <f aca="false">Q!$E$25</f>
        <v>79.975</v>
      </c>
      <c r="E3080" s="38" t="n">
        <f aca="false">Q!$P$25</f>
        <v>51.313</v>
      </c>
      <c r="F3080" s="38" t="n">
        <f aca="false">Sens!$F$3070+Sens!$F$3075+Sens!$F$3078+Sens!$F$3079</f>
        <v>56.2888892369246</v>
      </c>
      <c r="G3080" s="38" t="n">
        <f aca="false">Sens!$G$3070+Sens!$G$3075+Sens!$G$3078+Sens!$G$3079</f>
        <v>107.601889236925</v>
      </c>
      <c r="H3080" s="38" t="n">
        <f aca="false">Sens!$H$3070+Sens!$H$3075+Sens!$H$3078+Sens!$H$3079</f>
        <v>126.533766264101</v>
      </c>
      <c r="I3080" s="38" t="n">
        <f aca="false">Sens!$I$3070+Sens!$I$3075+Sens!$I$3078+Sens!$I$3079</f>
        <v>145.902010933161</v>
      </c>
      <c r="J3080" s="38" t="n">
        <f aca="false">Sens!$J$3070+Sens!$J$3075+Sens!$J$3078+Sens!$J$3079</f>
        <v>163.078985882215</v>
      </c>
      <c r="K3080" s="38" t="n">
        <f aca="false">Sens!$K$3070+Sens!$K$3075+Sens!$K$3078+Sens!$K$3079</f>
        <v>172.675579486817</v>
      </c>
      <c r="L3080" s="38" t="n">
        <f aca="false">Sens!$L$3070+Sens!$L$3075+Sens!$L$3078+Sens!$L$3079</f>
        <v>182.926106338528</v>
      </c>
      <c r="M3080" s="38" t="n">
        <f aca="false">Sens!$M$3070+Sens!$M$3075+Sens!$M$3078+Sens!$M$3079</f>
        <v>192.703142726629</v>
      </c>
      <c r="N3080" s="38" t="n">
        <f aca="false">Q!$N$25</f>
        <v>37.576</v>
      </c>
      <c r="O3080" s="38" t="n">
        <f aca="false">Q!$O$25</f>
        <v>42.399</v>
      </c>
    </row>
    <row r="3081" customFormat="false" ht="17.15" hidden="false" customHeight="false" outlineLevel="0" collapsed="false">
      <c r="A3081" s="24" t="s">
        <v>758</v>
      </c>
      <c r="B3081" s="25" t="s">
        <v>86</v>
      </c>
      <c r="C3081" s="41" t="n">
        <f aca="false">Sens!$C$3070+Sens!$C$3075+Sens!$C$3078+Sens!$C$3079-Sens!$C$3080</f>
        <v>0</v>
      </c>
      <c r="D3081" s="41" t="n">
        <f aca="false">Sens!$D$3070+Sens!$D$3075+Sens!$D$3078+Sens!$D$3079-Sens!$D$3080</f>
        <v>0</v>
      </c>
      <c r="E3081" s="41" t="n">
        <f aca="false">Sens!$E$3070+Sens!$E$3075+Sens!$E$3078+Sens!$E$3079-Sens!$E$3080</f>
        <v>0</v>
      </c>
      <c r="F3081" s="41" t="n">
        <f aca="false">Sens!$F$3070+Sens!$F$3075+Sens!$F$3078+Sens!$F$3079-Sens!$F$3080</f>
        <v>0</v>
      </c>
      <c r="G3081" s="41" t="n">
        <f aca="false">Sens!$G$3070+Sens!$G$3075+Sens!$G$3078+Sens!$G$3079-Sens!$G$3080</f>
        <v>0</v>
      </c>
      <c r="H3081" s="41" t="n">
        <f aca="false">Sens!$H$3070+Sens!$H$3075+Sens!$H$3078+Sens!$H$3079-Sens!$H$3080</f>
        <v>0</v>
      </c>
      <c r="I3081" s="41" t="n">
        <f aca="false">Sens!$I$3070+Sens!$I$3075+Sens!$I$3078+Sens!$I$3079-Sens!$I$3080</f>
        <v>0</v>
      </c>
      <c r="J3081" s="41" t="n">
        <f aca="false">Sens!$J$3070+Sens!$J$3075+Sens!$J$3078+Sens!$J$3079-Sens!$J$3080</f>
        <v>0</v>
      </c>
      <c r="K3081" s="41" t="n">
        <f aca="false">Sens!$K$3070+Sens!$K$3075+Sens!$K$3078+Sens!$K$3079-Sens!$K$3080</f>
        <v>0</v>
      </c>
      <c r="L3081" s="41" t="n">
        <f aca="false">Sens!$L$3070+Sens!$L$3075+Sens!$L$3078+Sens!$L$3079-Sens!$L$3080</f>
        <v>0</v>
      </c>
      <c r="M3081" s="41" t="n">
        <f aca="false">Sens!$M$3070+Sens!$M$3075+Sens!$M$3078+Sens!$M$3079-Sens!$M$3080</f>
        <v>0</v>
      </c>
      <c r="N3081" s="41" t="n">
        <f aca="false">Sens!$N$3070+Sens!$N$3075+Sens!$N$3078+Sens!$N$3079-Sens!$N$3080</f>
        <v>0</v>
      </c>
      <c r="O3081" s="41" t="n">
        <f aca="false">Sens!$O$3070+Sens!$O$3075+Sens!$O$3078+Sens!$O$3079-Sens!$O$3080</f>
        <v>0</v>
      </c>
    </row>
    <row r="3082" customFormat="false" ht="17.15" hidden="false" customHeight="false" outlineLevel="0" collapsed="false">
      <c r="A3082" s="5" t="s">
        <v>729</v>
      </c>
      <c r="B3082" s="0" t="s">
        <v>86</v>
      </c>
      <c r="C3082" s="38" t="n">
        <f aca="false">Sens!$C$3018</f>
        <v>0</v>
      </c>
      <c r="D3082" s="38" t="n">
        <f aca="false">Sens!$D$3018</f>
        <v>0</v>
      </c>
      <c r="E3082" s="38" t="n">
        <f aca="false">Sens!$E$3018</f>
        <v>0</v>
      </c>
      <c r="F3082" s="38" t="n">
        <f aca="false">Sens!$F$3018</f>
        <v>3.77122048175818</v>
      </c>
      <c r="G3082" s="38" t="n">
        <f aca="false">Sens!$G$3018</f>
        <v>3.77122048175818</v>
      </c>
      <c r="H3082" s="38" t="n">
        <f aca="false">Sens!$H$3018</f>
        <v>15.1635543609893</v>
      </c>
      <c r="I3082" s="38" t="n">
        <f aca="false">Sens!$I$3018</f>
        <v>25.5818843619889</v>
      </c>
      <c r="J3082" s="38" t="n">
        <f aca="false">Sens!$J$3018</f>
        <v>36.0465624179122</v>
      </c>
      <c r="K3082" s="38" t="n">
        <f aca="false">Sens!$K$3018</f>
        <v>44.9741164026038</v>
      </c>
      <c r="L3082" s="38" t="n">
        <f aca="false">Sens!$L$3018</f>
        <v>50.8413488057813</v>
      </c>
      <c r="M3082" s="38" t="n">
        <f aca="false">Sens!$M$3018</f>
        <v>53.6407214274315</v>
      </c>
      <c r="N3082" s="38" t="n">
        <f aca="false">Sens!$N$3018</f>
        <v>0</v>
      </c>
      <c r="O3082" s="38" t="n">
        <f aca="false">Sens!$O$3018</f>
        <v>0</v>
      </c>
      <c r="P3082" s="5" t="s">
        <v>730</v>
      </c>
    </row>
    <row r="3083" customFormat="false" ht="17.15" hidden="false" customHeight="false" outlineLevel="0" collapsed="false">
      <c r="A3083" s="5" t="s">
        <v>731</v>
      </c>
      <c r="B3083" s="0" t="s">
        <v>86</v>
      </c>
      <c r="C3083" s="38" t="n">
        <f aca="false">Sens!$C$3080+Sens!$C$3082</f>
        <v>68.593</v>
      </c>
      <c r="D3083" s="38" t="n">
        <f aca="false">Sens!$D$3080+Sens!$D$3082</f>
        <v>79.975</v>
      </c>
      <c r="E3083" s="38" t="n">
        <f aca="false">Sens!$E$3080+Sens!$E$3082</f>
        <v>51.313</v>
      </c>
      <c r="F3083" s="38" t="n">
        <f aca="false">Sens!$F$3080+Sens!$F$3082</f>
        <v>60.0601097186828</v>
      </c>
      <c r="G3083" s="38" t="n">
        <f aca="false">Sens!$G$3080+Sens!$G$3082</f>
        <v>111.373109718683</v>
      </c>
      <c r="H3083" s="38" t="n">
        <f aca="false">Sens!$H$3080+Sens!$H$3082</f>
        <v>141.69732062509</v>
      </c>
      <c r="I3083" s="38" t="n">
        <f aca="false">Sens!$I$3080+Sens!$I$3082</f>
        <v>171.48389529515</v>
      </c>
      <c r="J3083" s="38" t="n">
        <f aca="false">Sens!$J$3080+Sens!$J$3082</f>
        <v>199.125548300127</v>
      </c>
      <c r="K3083" s="38" t="n">
        <f aca="false">Sens!$K$3080+Sens!$K$3082</f>
        <v>217.64969588942</v>
      </c>
      <c r="L3083" s="38" t="n">
        <f aca="false">Sens!$L$3080+Sens!$L$3082</f>
        <v>233.76745514431</v>
      </c>
      <c r="M3083" s="38" t="n">
        <f aca="false">Sens!$M$3080+Sens!$M$3082</f>
        <v>246.343864154061</v>
      </c>
      <c r="N3083" s="38" t="n">
        <f aca="false">Sens!$N$3080+Sens!$N$3082</f>
        <v>37.576</v>
      </c>
      <c r="O3083" s="38" t="n">
        <f aca="false">Sens!$O$3080+Sens!$O$3082</f>
        <v>42.399</v>
      </c>
    </row>
    <row r="3084" customFormat="false" ht="17.15" hidden="false" customHeight="false" outlineLevel="0" collapsed="false">
      <c r="A3084" s="0" t="s">
        <v>732</v>
      </c>
      <c r="B3084" s="0" t="s">
        <v>52</v>
      </c>
      <c r="C3084" s="13" t="n">
        <f aca="false">Sens!$C$3070/Sens!$C$3055</f>
        <v>0.0644314665661928</v>
      </c>
      <c r="D3084" s="13" t="n">
        <f aca="false">Sens!$D$3070/Sens!$D$3055</f>
        <v>0.0694784250712518</v>
      </c>
      <c r="E3084" s="13" t="n">
        <f aca="false">Sens!$E$3070/Sens!$E$3055</f>
        <v>0.0789306463326071</v>
      </c>
      <c r="F3084" s="13" t="n">
        <f aca="false">Sens!$F$3070/Sens!$F$3055</f>
        <v>0.0802271154277638</v>
      </c>
      <c r="G3084" s="13" t="n">
        <f aca="false">Sens!$G$3070/Sens!$G$3055</f>
        <v>0.0796206133714758</v>
      </c>
      <c r="H3084" s="13" t="n">
        <f aca="false">Sens!$H$3070/Sens!$H$3055</f>
        <v>0.0791253077422711</v>
      </c>
      <c r="I3084" s="13" t="n">
        <f aca="false">Sens!$I$3070/Sens!$I$3055</f>
        <v>0.0776277144828766</v>
      </c>
      <c r="J3084" s="13" t="n">
        <f aca="false">Sens!$J$3070/Sens!$J$3055</f>
        <v>0.0761100135193333</v>
      </c>
      <c r="K3084" s="13" t="n">
        <f aca="false">Sens!$K$3070/Sens!$K$3055</f>
        <v>0.074408246177121</v>
      </c>
      <c r="L3084" s="13" t="n">
        <f aca="false">Sens!$L$3070/Sens!$L$3055</f>
        <v>0.0739489900415671</v>
      </c>
      <c r="M3084" s="13" t="n">
        <f aca="false">Sens!$M$3070/Sens!$M$3055</f>
        <v>0.076138500430805</v>
      </c>
      <c r="N3084" s="13" t="n">
        <f aca="false">Sens!$N$3070/Sens!$N$3055</f>
        <v>0.069228576611127</v>
      </c>
      <c r="O3084" s="13" t="n">
        <f aca="false">Sens!$O$3070/Sens!$O$3055</f>
        <v>0.069685022498393</v>
      </c>
    </row>
    <row r="3085" customFormat="false" ht="17.15" hidden="false" customHeight="false" outlineLevel="0" collapsed="false">
      <c r="A3085" s="0" t="s">
        <v>733</v>
      </c>
      <c r="B3085" s="0" t="s">
        <v>52</v>
      </c>
      <c r="C3085" s="13" t="n">
        <f aca="false">Sens!$C$3075/Sens!$C$3056</f>
        <v>0.026534925055631</v>
      </c>
      <c r="D3085" s="13" t="n">
        <f aca="false">Sens!$D$3075/Sens!$D$3056</f>
        <v>0.0293401855535103</v>
      </c>
      <c r="E3085" s="13" t="n">
        <f aca="false">Sens!$E$3075/Sens!$E$3056</f>
        <v>0.03831141902276</v>
      </c>
      <c r="F3085" s="13" t="n">
        <f aca="false">Sens!$F$3075/Sens!$F$3056</f>
        <v>0.028186380436398</v>
      </c>
      <c r="G3085" s="13" t="n">
        <f aca="false">Sens!$G$3075/Sens!$G$3056</f>
        <v>0.0327880260521739</v>
      </c>
      <c r="H3085" s="13" t="n">
        <f aca="false">Sens!$H$3075/Sens!$H$3056</f>
        <v>0.0302874763409969</v>
      </c>
      <c r="I3085" s="13" t="n">
        <f aca="false">Sens!$I$3075/Sens!$I$3056</f>
        <v>0.0267614610253202</v>
      </c>
      <c r="J3085" s="13" t="n">
        <f aca="false">Sens!$J$3075/Sens!$J$3056</f>
        <v>0.0231523582706593</v>
      </c>
      <c r="K3085" s="13" t="n">
        <f aca="false">Sens!$K$3075/Sens!$K$3056</f>
        <v>0.0192545467174101</v>
      </c>
      <c r="L3085" s="13" t="n">
        <f aca="false">Sens!$L$3075/Sens!$L$3056</f>
        <v>0.0191414347264789</v>
      </c>
      <c r="M3085" s="13" t="n">
        <f aca="false">Sens!$M$3075/Sens!$M$3056</f>
        <v>0.0216850962428001</v>
      </c>
      <c r="N3085" s="13" t="n">
        <f aca="false">Sens!$N$3075/Sens!$N$3056</f>
        <v>0.0357315650169337</v>
      </c>
      <c r="O3085" s="13" t="n">
        <f aca="false">Sens!$O$3075/Sens!$O$3056</f>
        <v>0.0244378956559703</v>
      </c>
    </row>
    <row r="3086" customFormat="false" ht="17.15" hidden="false" customHeight="false" outlineLevel="0" collapsed="false">
      <c r="A3086" s="14" t="s">
        <v>734</v>
      </c>
      <c r="B3086" s="14" t="s">
        <v>52</v>
      </c>
      <c r="C3086" s="17" t="n">
        <f aca="false">Sens!$C$3078/Sens!$C$3057</f>
        <v>0.370355907620217</v>
      </c>
      <c r="D3086" s="17" t="n">
        <f aca="false">Sens!$D$3078/Sens!$D$3057</f>
        <v>0.35429015342785</v>
      </c>
      <c r="E3086" s="17" t="n">
        <f aca="false">Sens!$E$3078/Sens!$E$3057</f>
        <v>0.385647527531039</v>
      </c>
      <c r="F3086" s="17" t="n">
        <f aca="false">Sens!$F$3078/Sens!$F$3057</f>
        <v>0.385171818673936</v>
      </c>
      <c r="G3086" s="17" t="n">
        <f aca="false">Sens!$G$3078/Sens!$G$3057</f>
        <v>0.385399799520974</v>
      </c>
      <c r="H3086" s="17" t="n">
        <f aca="false">Sens!$H$3078/Sens!$H$3057</f>
        <v>0.359957264019661</v>
      </c>
      <c r="I3086" s="17" t="n">
        <f aca="false">Sens!$I$3078/Sens!$I$3057</f>
        <v>0.346240151138714</v>
      </c>
      <c r="J3086" s="17" t="n">
        <f aca="false">Sens!$J$3078/Sens!$J$3057</f>
        <v>0.334768789900641</v>
      </c>
      <c r="K3086" s="17" t="n">
        <f aca="false">Sens!$K$3078/Sens!$K$3057</f>
        <v>0.31694465888983</v>
      </c>
      <c r="L3086" s="17" t="n">
        <f aca="false">Sens!$L$3078/Sens!$L$3057</f>
        <v>0.308659351954792</v>
      </c>
      <c r="M3086" s="17" t="n">
        <f aca="false">Sens!$M$3078/Sens!$M$3057</f>
        <v>0.30190638120133</v>
      </c>
      <c r="N3086" s="17" t="n">
        <f aca="false">Sens!$N$3078/Sens!$N$3057</f>
        <v>0.360941137346192</v>
      </c>
      <c r="O3086" s="17" t="n">
        <f aca="false">Sens!$O$3078/Sens!$O$3057</f>
        <v>0.348458117664212</v>
      </c>
    </row>
    <row r="3087" customFormat="false" ht="17.15" hidden="false" customHeight="false" outlineLevel="0" collapsed="false">
      <c r="A3087" s="0" t="s">
        <v>735</v>
      </c>
      <c r="B3087" s="0" t="s">
        <v>52</v>
      </c>
      <c r="C3087" s="13" t="n">
        <f aca="false">Sens!$C$3076/Sens!$C$3058</f>
        <v>0.708390794789371</v>
      </c>
      <c r="D3087" s="13" t="n">
        <f aca="false">Sens!$D$3076/Sens!$D$3058</f>
        <v>0.445565630441968</v>
      </c>
      <c r="E3087" s="13" t="n">
        <f aca="false">Sens!$E$3076/Sens!$E$3058</f>
        <v>0.165998118402711</v>
      </c>
      <c r="F3087" s="13" t="n">
        <f aca="false">Sens!$F$3076/Sens!$F$3058</f>
        <v>0.434878595403858</v>
      </c>
      <c r="G3087" s="13" t="n">
        <f aca="false">Sens!$G$3076/Sens!$G$3058</f>
        <v>0.3373967615381</v>
      </c>
      <c r="H3087" s="13" t="n">
        <f aca="false">Sens!$H$3076/Sens!$H$3058</f>
        <v>0.320477578041224</v>
      </c>
      <c r="I3087" s="13" t="n">
        <f aca="false">Sens!$I$3076/Sens!$I$3058</f>
        <v>0.296936118226494</v>
      </c>
      <c r="J3087" s="13" t="n">
        <f aca="false">Sens!$J$3076/Sens!$J$3058</f>
        <v>0.282166278613001</v>
      </c>
      <c r="K3087" s="13" t="n">
        <f aca="false">Sens!$K$3076/Sens!$K$3058</f>
        <v>0.252969102881543</v>
      </c>
      <c r="L3087" s="13" t="n">
        <f aca="false">Sens!$L$3076/Sens!$L$3058</f>
        <v>0.240728642826566</v>
      </c>
      <c r="M3087" s="13" t="n">
        <f aca="false">Sens!$M$3076/Sens!$M$3058</f>
        <v>0.227399920863147</v>
      </c>
      <c r="N3087" s="13" t="n">
        <f aca="false">Sens!$N$3076/Sens!$N$3058</f>
        <v>0.302870734830849</v>
      </c>
      <c r="O3087" s="13" t="n">
        <f aca="false">Sens!$O$3076/Sens!$O$3058</f>
        <v>0.52240134346334</v>
      </c>
    </row>
    <row r="3088" customFormat="false" ht="15" hidden="false" customHeight="false" outlineLevel="0" collapsed="false">
      <c r="A3088" s="5" t="s">
        <v>736</v>
      </c>
      <c r="B3088" s="0" t="s">
        <v>52</v>
      </c>
      <c r="C3088" s="13" t="n">
        <f aca="false">Sens!$C$3080/Sens!$C$3060</f>
        <v>0.107519448742004</v>
      </c>
      <c r="D3088" s="13" t="n">
        <f aca="false">Sens!$D$3080/Sens!$D$3060</f>
        <v>0.111552967957552</v>
      </c>
      <c r="E3088" s="13" t="n">
        <f aca="false">Sens!$E$3080/Sens!$E$3060</f>
        <v>0.13428328426562</v>
      </c>
      <c r="F3088" s="13" t="n">
        <f aca="false">Sens!$F$3080/Sens!$F$3060</f>
        <v>0.129167844525589</v>
      </c>
      <c r="G3088" s="13" t="n">
        <f aca="false">Sens!$G$3080/Sens!$G$3060</f>
        <v>0.131557773771988</v>
      </c>
      <c r="H3088" s="13" t="n">
        <f aca="false">Sens!$H$3080/Sens!$H$3060</f>
        <v>0.134437798290062</v>
      </c>
      <c r="I3088" s="13" t="n">
        <f aca="false">Sens!$I$3080/Sens!$I$3060</f>
        <v>0.136969890174781</v>
      </c>
      <c r="J3088" s="13" t="n">
        <f aca="false">Sens!$J$3080/Sens!$J$3060</f>
        <v>0.137964517602749</v>
      </c>
      <c r="K3088" s="13" t="n">
        <f aca="false">Sens!$K$3080/Sens!$K$3060</f>
        <v>0.134700581127952</v>
      </c>
      <c r="L3088" s="13" t="n">
        <f aca="false">Sens!$L$3080/Sens!$L$3060</f>
        <v>0.133135635871108</v>
      </c>
      <c r="M3088" s="13" t="n">
        <f aca="false">Sens!$M$3080/Sens!$M$3060</f>
        <v>0.132123901046438</v>
      </c>
      <c r="N3088" s="13" t="n">
        <f aca="false">Sens!$N$3080/Sens!$N$3060</f>
        <v>0.116201614873411</v>
      </c>
      <c r="O3088" s="13" t="n">
        <f aca="false">Sens!$O$3080/Sens!$O$3060</f>
        <v>0.107733353660861</v>
      </c>
    </row>
    <row r="3089" customFormat="false" ht="17.15" hidden="false" customHeight="false" outlineLevel="0" collapsed="false">
      <c r="A3089" s="1" t="s">
        <v>737</v>
      </c>
    </row>
    <row r="3090" customFormat="false" ht="17.15" hidden="false" customHeight="false" outlineLevel="0" collapsed="false">
      <c r="A3090" s="5" t="s">
        <v>738</v>
      </c>
      <c r="B3090" s="0" t="s">
        <v>52</v>
      </c>
      <c r="D3090" s="28" t="n">
        <f aca="false">(Q!$E$29+Q!$E$30-(1-ext_sh)*Sens!$D$3012)/Sens!$D$2968</f>
        <v>0.0334674312393194</v>
      </c>
    </row>
    <row r="3091" customFormat="false" ht="17.15" hidden="false" customHeight="false" outlineLevel="0" collapsed="false">
      <c r="A3091" s="0" t="s">
        <v>535</v>
      </c>
      <c r="B3091" s="0" t="s">
        <v>86</v>
      </c>
      <c r="C3091" s="38" t="n">
        <f aca="false">Q!$D$29</f>
        <v>14.285</v>
      </c>
      <c r="D3091" s="38" t="n">
        <f aca="false">Q!$E$29</f>
        <v>15.503</v>
      </c>
      <c r="E3091" s="38" t="n">
        <f aca="false">Q!$P$29</f>
        <v>8.78</v>
      </c>
      <c r="F3091" s="38" t="n">
        <f aca="false">(Sens!$D$3090*Sens!$F$2968+(1-ext_sh)*Sens!$F$3012)*Sens!$F$2969</f>
        <v>9.32404990199157</v>
      </c>
      <c r="G3091" s="38" t="n">
        <f aca="false">Sens!$E$3091+Sens!$F$3091</f>
        <v>18.1040499019916</v>
      </c>
      <c r="H3091" s="38" t="n">
        <f aca="false">(Sens!$D$3090*Sens!$H$2968+(1-ext_sh)*Sens!$H$3012)*Sens!$H$2969</f>
        <v>22.5533556752937</v>
      </c>
      <c r="I3091" s="38" t="n">
        <f aca="false">(Sens!$D$3090*Sens!$I$2968+(1-ext_sh)*Sens!$I$3012)*Sens!$I$2969</f>
        <v>28.1941479903215</v>
      </c>
      <c r="J3091" s="38" t="n">
        <f aca="false">(Sens!$D$3090*Sens!$J$2968+(1-ext_sh)*Sens!$J$3012)*Sens!$J$2969</f>
        <v>33.8639126241465</v>
      </c>
      <c r="K3091" s="38" t="n">
        <f aca="false">(Sens!$D$3090*Sens!$K$2968+(1-ext_sh)*Sens!$K$3012)*Sens!$K$2969</f>
        <v>39.4516429979446</v>
      </c>
      <c r="L3091" s="38" t="n">
        <f aca="false">(Sens!$D$3090*Sens!$L$2968+(1-ext_sh)*Sens!$L$3012)*Sens!$L$2969</f>
        <v>43.6240799619622</v>
      </c>
      <c r="M3091" s="38" t="n">
        <f aca="false">(Sens!$D$3090*Sens!$M$2968+(1-ext_sh)*Sens!$M$3012)*Sens!$M$2969</f>
        <v>46.7841679303704</v>
      </c>
      <c r="N3091" s="38" t="n">
        <f aca="false">Q!$N$29</f>
        <v>7.272</v>
      </c>
      <c r="O3091" s="38" t="n">
        <f aca="false">Q!$O$29</f>
        <v>8.231</v>
      </c>
    </row>
    <row r="3092" customFormat="false" ht="17.15" hidden="false" customHeight="false" outlineLevel="0" collapsed="false">
      <c r="A3092" s="0" t="s">
        <v>537</v>
      </c>
      <c r="B3092" s="0" t="s">
        <v>86</v>
      </c>
      <c r="C3092" s="38" t="n">
        <f aca="false">Q!$D$30</f>
        <v>4.462</v>
      </c>
      <c r="D3092" s="38" t="n">
        <f aca="false">Q!$E$30</f>
        <v>4.907</v>
      </c>
      <c r="E3092" s="38" t="n">
        <f aca="false">Q!$P$30</f>
        <v>2.57</v>
      </c>
      <c r="F3092" s="38" t="n">
        <f aca="false">(Sens!$D$3090*Sens!$F$2968+(1-ext_sh)*Sens!$F$3012)*(1-Sens!$F$2969)</f>
        <v>3.66089330199472</v>
      </c>
      <c r="G3092" s="38" t="n">
        <f aca="false">Sens!$E$3092+Sens!$F$3092</f>
        <v>6.23089330199472</v>
      </c>
      <c r="H3092" s="38" t="n">
        <f aca="false">(Sens!$D$3090*Sens!$H$2968+(1-ext_sh)*Sens!$H$3012)*(1-Sens!$H$2969)</f>
        <v>8.63874333111657</v>
      </c>
      <c r="I3092" s="38" t="n">
        <f aca="false">(Sens!$D$3090*Sens!$I$2968+(1-ext_sh)*Sens!$I$3012)*(1-Sens!$I$2969)</f>
        <v>10.7993689025494</v>
      </c>
      <c r="J3092" s="38" t="n">
        <f aca="false">(Sens!$D$3090*Sens!$J$2968+(1-ext_sh)*Sens!$J$3012)*(1-Sens!$J$2969)</f>
        <v>12.9710919101865</v>
      </c>
      <c r="K3092" s="38" t="n">
        <f aca="false">(Sens!$D$3090*Sens!$K$2968+(1-ext_sh)*Sens!$K$3012)*(1-Sens!$K$2969)</f>
        <v>15.1113928568702</v>
      </c>
      <c r="L3092" s="38" t="n">
        <f aca="false">(Sens!$D$3090*Sens!$L$2968+(1-ext_sh)*Sens!$L$3012)*(1-Sens!$L$2969)</f>
        <v>16.7095857163433</v>
      </c>
      <c r="M3092" s="38" t="n">
        <f aca="false">(Sens!$D$3090*Sens!$M$2968+(1-ext_sh)*Sens!$M$3012)*(1-Sens!$M$2969)</f>
        <v>17.9200126371023</v>
      </c>
      <c r="N3092" s="38" t="n">
        <f aca="false">Q!$N$30</f>
        <v>2.316</v>
      </c>
      <c r="O3092" s="38" t="n">
        <f aca="false">Q!$O$30</f>
        <v>2.591</v>
      </c>
    </row>
    <row r="3093" customFormat="false" ht="17.15" hidden="false" customHeight="false" outlineLevel="0" collapsed="false">
      <c r="A3093" s="0" t="s">
        <v>538</v>
      </c>
      <c r="B3093" s="0" t="s">
        <v>86</v>
      </c>
      <c r="C3093" s="38" t="n">
        <f aca="false">Sens!$C$3024</f>
        <v>13.32</v>
      </c>
      <c r="D3093" s="38" t="n">
        <f aca="false">Sens!$D$3024</f>
        <v>21.45</v>
      </c>
      <c r="E3093" s="38" t="n">
        <f aca="false">Sens!$E$3024</f>
        <v>15.353</v>
      </c>
      <c r="F3093" s="38" t="n">
        <f aca="false">Sens!$F$3024</f>
        <v>16.3063747611001</v>
      </c>
      <c r="G3093" s="38" t="n">
        <f aca="false">Sens!$G$3024</f>
        <v>31.6593747611001</v>
      </c>
      <c r="H3093" s="38" t="n">
        <f aca="false">Sens!$H$3024</f>
        <v>52.9583722148507</v>
      </c>
      <c r="I3093" s="38" t="n">
        <f aca="false">Sens!$I$3024</f>
        <v>77.4918252237955</v>
      </c>
      <c r="J3093" s="38" t="n">
        <f aca="false">Sens!$J$3024</f>
        <v>102.446924136985</v>
      </c>
      <c r="K3093" s="38" t="n">
        <f aca="false">Sens!$K$3024</f>
        <v>127.43933246228</v>
      </c>
      <c r="L3093" s="38" t="n">
        <f aca="false">Sens!$L$3024</f>
        <v>144.159534980228</v>
      </c>
      <c r="M3093" s="38" t="n">
        <f aca="false">Sens!$M$3024</f>
        <v>154.801546656152</v>
      </c>
      <c r="N3093" s="38" t="n">
        <f aca="false">Sens!$N$3024</f>
        <v>9.234</v>
      </c>
      <c r="O3093" s="38" t="n">
        <f aca="false">Sens!$O$3024</f>
        <v>12.216</v>
      </c>
    </row>
    <row r="3094" customFormat="false" ht="17.15" hidden="false" customHeight="false" outlineLevel="0" collapsed="false">
      <c r="A3094" s="5" t="s">
        <v>739</v>
      </c>
      <c r="B3094" s="0" t="s">
        <v>86</v>
      </c>
      <c r="C3094" s="38" t="n">
        <f aca="false">Sens!$C$3091+Sens!$C$3092+Sens!$C$3093</f>
        <v>32.067</v>
      </c>
      <c r="D3094" s="38" t="n">
        <f aca="false">Sens!$D$3091+Sens!$D$3092+Sens!$D$3093</f>
        <v>41.86</v>
      </c>
      <c r="E3094" s="38" t="n">
        <f aca="false">Sens!$E$3091+Sens!$E$3092+Sens!$E$3093</f>
        <v>26.703</v>
      </c>
      <c r="F3094" s="38" t="n">
        <f aca="false">Sens!$F$3091+Sens!$F$3092+Sens!$F$3093</f>
        <v>29.2913179650864</v>
      </c>
      <c r="G3094" s="38" t="n">
        <f aca="false">Sens!$G$3091+Sens!$G$3092+Sens!$G$3093</f>
        <v>55.9943179650864</v>
      </c>
      <c r="H3094" s="38" t="n">
        <f aca="false">Sens!$H$3091+Sens!$H$3092+Sens!$H$3093</f>
        <v>84.150471221261</v>
      </c>
      <c r="I3094" s="38" t="n">
        <f aca="false">Sens!$I$3091+Sens!$I$3092+Sens!$I$3093</f>
        <v>116.485342116666</v>
      </c>
      <c r="J3094" s="38" t="n">
        <f aca="false">Sens!$J$3091+Sens!$J$3092+Sens!$J$3093</f>
        <v>149.281928671318</v>
      </c>
      <c r="K3094" s="38" t="n">
        <f aca="false">Sens!$K$3091+Sens!$K$3092+Sens!$K$3093</f>
        <v>182.002368317095</v>
      </c>
      <c r="L3094" s="38" t="n">
        <f aca="false">Sens!$L$3091+Sens!$L$3092+Sens!$L$3093</f>
        <v>204.493200658534</v>
      </c>
      <c r="M3094" s="38" t="n">
        <f aca="false">Sens!$M$3091+Sens!$M$3092+Sens!$M$3093</f>
        <v>219.505727223624</v>
      </c>
      <c r="N3094" s="38" t="n">
        <f aca="false">Sens!$N$3091+Sens!$N$3092+Sens!$N$3093</f>
        <v>18.822</v>
      </c>
      <c r="O3094" s="38" t="n">
        <f aca="false">Sens!$O$3091+Sens!$O$3092+Sens!$O$3093</f>
        <v>23.038</v>
      </c>
    </row>
    <row r="3095" customFormat="false" ht="17.15" hidden="false" customHeight="false" outlineLevel="0" collapsed="false">
      <c r="A3095" s="0" t="s">
        <v>740</v>
      </c>
      <c r="B3095" s="0" t="s">
        <v>86</v>
      </c>
      <c r="C3095" s="38" t="n">
        <f aca="false">Sens!$C$3066+Sens!$C$3071</f>
        <v>28.107</v>
      </c>
      <c r="D3095" s="38" t="n">
        <f aca="false">Sens!$D$3066+Sens!$D$3071</f>
        <v>34.3175</v>
      </c>
      <c r="E3095" s="38" t="n">
        <f aca="false">Sens!$E$3066+Sens!$E$3071</f>
        <v>18.526</v>
      </c>
      <c r="F3095" s="38" t="n">
        <f aca="false">Sens!$F$3066+Sens!$F$3071</f>
        <v>23.0786109972074</v>
      </c>
      <c r="G3095" s="38" t="n">
        <f aca="false">Sens!$G$3066+Sens!$G$3071</f>
        <v>41.6046109972074</v>
      </c>
      <c r="H3095" s="38" t="n">
        <f aca="false">Sens!$H$3066+Sens!$H$3071</f>
        <v>49.9484611939488</v>
      </c>
      <c r="I3095" s="38" t="n">
        <f aca="false">Sens!$I$3066+Sens!$I$3071</f>
        <v>58.2915555477481</v>
      </c>
      <c r="J3095" s="38" t="n">
        <f aca="false">Sens!$J$3066+Sens!$J$3071</f>
        <v>66.0744709709759</v>
      </c>
      <c r="K3095" s="38" t="n">
        <f aca="false">Sens!$K$3066+Sens!$K$3071</f>
        <v>72.6819180680735</v>
      </c>
      <c r="L3095" s="38" t="n">
        <f aca="false">Sens!$L$3066+Sens!$L$3071</f>
        <v>79.9501098748808</v>
      </c>
      <c r="M3095" s="38" t="n">
        <f aca="false">Sens!$M$3066+Sens!$M$3071</f>
        <v>87.9451208623689</v>
      </c>
      <c r="N3095" s="38" t="n">
        <f aca="false">Sens!$N$3066+Sens!$N$3071</f>
        <v>14.8075</v>
      </c>
      <c r="O3095" s="38" t="n">
        <f aca="false">Sens!$O$3066+Sens!$O$3071</f>
        <v>19.51</v>
      </c>
    </row>
    <row r="3096" customFormat="false" ht="17.15" hidden="false" customHeight="false" outlineLevel="0" collapsed="false">
      <c r="A3096" s="0" t="s">
        <v>741</v>
      </c>
      <c r="B3096" s="0" t="s">
        <v>86</v>
      </c>
      <c r="C3096" s="38" t="n">
        <f aca="false">Sens!$C$3070+Sens!$C$3075+Sens!$C$3091+Sens!$C$3092-Sens!$C$3095</f>
        <v>19.399</v>
      </c>
      <c r="D3096" s="38" t="n">
        <f aca="false">Sens!$D$3070+Sens!$D$3075+Sens!$D$3091+Sens!$D$3092-Sens!$D$3095</f>
        <v>20.4615</v>
      </c>
      <c r="E3096" s="38" t="n">
        <f aca="false">Sens!$E$3070+Sens!$E$3075+Sens!$E$3091+Sens!$E$3092-Sens!$E$3095</f>
        <v>13.355</v>
      </c>
      <c r="F3096" s="38" t="n">
        <f aca="false">Sens!$F$3070+Sens!$F$3075+Sens!$F$3091+Sens!$F$3092-Sens!$F$3095</f>
        <v>12.7882167664549</v>
      </c>
      <c r="G3096" s="38" t="n">
        <f aca="false">Sens!$G$3070+Sens!$G$3075+Sens!$G$3091+Sens!$G$3092-Sens!$G$3095</f>
        <v>26.1432167664549</v>
      </c>
      <c r="H3096" s="38" t="n">
        <f aca="false">Sens!$H$3070+Sens!$H$3075+Sens!$H$3091+Sens!$H$3092-Sens!$H$3095</f>
        <v>28.5472527261826</v>
      </c>
      <c r="I3096" s="38" t="n">
        <f aca="false">Sens!$I$3070+Sens!$I$3075+Sens!$I$3091+Sens!$I$3092-Sens!$I$3095</f>
        <v>30.8052421506794</v>
      </c>
      <c r="J3096" s="38" t="n">
        <f aca="false">Sens!$J$3070+Sens!$J$3075+Sens!$J$3091+Sens!$J$3092-Sens!$J$3095</f>
        <v>33.0553877999083</v>
      </c>
      <c r="K3096" s="38" t="n">
        <f aca="false">Sens!$K$3070+Sens!$K$3075+Sens!$K$3091+Sens!$K$3092-Sens!$K$3095</f>
        <v>35.4662923485155</v>
      </c>
      <c r="L3096" s="38" t="n">
        <f aca="false">Sens!$L$3070+Sens!$L$3075+Sens!$L$3091+Sens!$L$3092-Sens!$L$3095</f>
        <v>37.1019587742301</v>
      </c>
      <c r="M3096" s="38" t="n">
        <f aca="false">Sens!$M$3070+Sens!$M$3075+Sens!$M$3091+Sens!$M$3092-Sens!$M$3095</f>
        <v>39.5351701466849</v>
      </c>
      <c r="N3096" s="38" t="n">
        <f aca="false">Sens!$N$3070+Sens!$N$3075+Sens!$N$3091+Sens!$N$3092-Sens!$N$3095</f>
        <v>10.6495</v>
      </c>
      <c r="O3096" s="38" t="n">
        <f aca="false">Sens!$O$3070+Sens!$O$3075+Sens!$O$3091+Sens!$O$3092-Sens!$O$3095</f>
        <v>9.81200000000001</v>
      </c>
    </row>
    <row r="3097" customFormat="false" ht="17.15" hidden="false" customHeight="false" outlineLevel="0" collapsed="false">
      <c r="A3097" s="0" t="s">
        <v>742</v>
      </c>
      <c r="B3097" s="0" t="s">
        <v>86</v>
      </c>
      <c r="C3097" s="38" t="n">
        <f aca="false">Sens!$C$3077+Sens!$C$3093-ext_sh*Sens!$C$3012</f>
        <v>51.3470500115664</v>
      </c>
      <c r="D3097" s="38" t="n">
        <f aca="false">Sens!$D$3077+Sens!$D$3093-ext_sh*Sens!$D$3012</f>
        <v>60.2799375433739</v>
      </c>
      <c r="E3097" s="38" t="n">
        <f aca="false">Sens!$E$3077+Sens!$E$3093-ext_sh*Sens!$E$3012</f>
        <v>39.5095167090767</v>
      </c>
      <c r="F3097" s="38" t="n">
        <f aca="false">Sens!$F$3077+Sens!$F$3093-ext_sh*Sens!$F$3012</f>
        <v>37.993321722478</v>
      </c>
      <c r="G3097" s="38" t="n">
        <f aca="false">Sens!$G$3077+Sens!$G$3093-ext_sh*Sens!$G$3012</f>
        <v>77.5028384315548</v>
      </c>
      <c r="H3097" s="38" t="n">
        <f aca="false">Sens!$H$3077+Sens!$H$3093-ext_sh*Sens!$H$3012</f>
        <v>84.6713508591848</v>
      </c>
      <c r="I3097" s="38" t="n">
        <f aca="false">Sens!$I$3077+Sens!$I$3093-ext_sh*Sens!$I$3012</f>
        <v>92.7365860870334</v>
      </c>
      <c r="J3097" s="38" t="n">
        <f aca="false">Sens!$J$3077+Sens!$J$3093-ext_sh*Sens!$J$3012</f>
        <v>99.4717389477649</v>
      </c>
      <c r="K3097" s="38" t="n">
        <f aca="false">Sens!$K$3077+Sens!$K$3093-ext_sh*Sens!$K$3012</f>
        <v>104.445325895153</v>
      </c>
      <c r="L3097" s="38" t="n">
        <f aca="false">Sens!$L$3077+Sens!$L$3093-ext_sh*Sens!$L$3012</f>
        <v>109.667592189911</v>
      </c>
      <c r="M3097" s="38" t="n">
        <f aca="false">Sens!$M$3077+Sens!$M$3093-ext_sh*Sens!$M$3012</f>
        <v>115.150971799406</v>
      </c>
      <c r="N3097" s="38" t="n">
        <f aca="false">Sens!$N$3077+Sens!$N$3093-ext_sh*Sens!$N$3012</f>
        <v>28.5693781401809</v>
      </c>
      <c r="O3097" s="38" t="n">
        <f aca="false">Sens!$O$3077+Sens!$O$3093-ext_sh*Sens!$O$3012</f>
        <v>31.7105594031931</v>
      </c>
    </row>
    <row r="3098" customFormat="false" ht="17.15" hidden="false" customHeight="false" outlineLevel="0" collapsed="false">
      <c r="A3098" s="0" t="s">
        <v>743</v>
      </c>
      <c r="B3098" s="0" t="s">
        <v>86</v>
      </c>
      <c r="C3098" s="38" t="n">
        <f aca="false">Sens!$C$3015</f>
        <v>1.80694998843362</v>
      </c>
      <c r="D3098" s="38" t="n">
        <f aca="false">Sens!$D$3015</f>
        <v>6.77606245662607</v>
      </c>
      <c r="E3098" s="38" t="n">
        <f aca="false">Sens!$E$3015</f>
        <v>6.62548329092326</v>
      </c>
      <c r="F3098" s="38" t="n">
        <f aca="false">Sens!$F$3015</f>
        <v>11.7200577158706</v>
      </c>
      <c r="G3098" s="38" t="n">
        <f aca="false">Sens!$G$3015</f>
        <v>18.3455410067939</v>
      </c>
      <c r="H3098" s="38" t="n">
        <f aca="false">Sens!$H$3015</f>
        <v>47.5171727060453</v>
      </c>
      <c r="I3098" s="38" t="n">
        <f aca="false">Sens!$I$3015</f>
        <v>80.5539692643667</v>
      </c>
      <c r="J3098" s="38" t="n">
        <f aca="false">Sens!$J$3015</f>
        <v>113.759316834883</v>
      </c>
      <c r="K3098" s="38" t="n">
        <f aca="false">Sens!$K$3015</f>
        <v>142.084411492169</v>
      </c>
      <c r="L3098" s="38" t="n">
        <f aca="false">Sens!$L$3015</f>
        <v>160.69964615804</v>
      </c>
      <c r="M3098" s="38" t="n">
        <f aca="false">Sens!$M$3015</f>
        <v>169.577607141793</v>
      </c>
      <c r="N3098" s="38" t="n">
        <f aca="false">Sens!$N$3015</f>
        <v>2.37162185981912</v>
      </c>
      <c r="O3098" s="38" t="n">
        <f aca="false">Sens!$O$3015</f>
        <v>4.40444059680694</v>
      </c>
    </row>
    <row r="3099" customFormat="false" ht="17.15" hidden="false" customHeight="false" outlineLevel="0" collapsed="false">
      <c r="A3099" s="0" t="s">
        <v>744</v>
      </c>
      <c r="B3099" s="0" t="s">
        <v>86</v>
      </c>
      <c r="C3099" s="38" t="n">
        <f aca="false">Sens!$C$3080+Sens!$C$3094</f>
        <v>100.66</v>
      </c>
      <c r="D3099" s="38" t="n">
        <f aca="false">Sens!$D$3080+Sens!$D$3094</f>
        <v>121.835</v>
      </c>
      <c r="E3099" s="38" t="n">
        <f aca="false">Sens!$E$3080+Sens!$E$3094</f>
        <v>78.016</v>
      </c>
      <c r="F3099" s="38" t="n">
        <f aca="false">Sens!$F$3080+Sens!$F$3094</f>
        <v>85.580207202011</v>
      </c>
      <c r="G3099" s="38" t="n">
        <f aca="false">Sens!$G$3080+Sens!$G$3094</f>
        <v>163.596207202011</v>
      </c>
      <c r="H3099" s="38" t="n">
        <f aca="false">Sens!$H$3080+Sens!$H$3094</f>
        <v>210.684237485362</v>
      </c>
      <c r="I3099" s="38" t="n">
        <f aca="false">Sens!$I$3080+Sens!$I$3094</f>
        <v>262.387353049828</v>
      </c>
      <c r="J3099" s="38" t="n">
        <f aca="false">Sens!$J$3080+Sens!$J$3094</f>
        <v>312.360914553532</v>
      </c>
      <c r="K3099" s="38" t="n">
        <f aca="false">Sens!$K$3080+Sens!$K$3094</f>
        <v>354.677947803912</v>
      </c>
      <c r="L3099" s="38" t="n">
        <f aca="false">Sens!$L$3080+Sens!$L$3094</f>
        <v>387.419306997062</v>
      </c>
      <c r="M3099" s="38" t="n">
        <f aca="false">Sens!$M$3080+Sens!$M$3094</f>
        <v>412.208869950253</v>
      </c>
      <c r="N3099" s="38" t="n">
        <f aca="false">Sens!$N$3080+Sens!$N$3094</f>
        <v>56.398</v>
      </c>
      <c r="O3099" s="38" t="n">
        <f aca="false">Sens!$O$3080+Sens!$O$3094</f>
        <v>65.437</v>
      </c>
    </row>
    <row r="3100" customFormat="false" ht="17.15" hidden="false" customHeight="false" outlineLevel="0" collapsed="false">
      <c r="A3100" s="1" t="s">
        <v>745</v>
      </c>
    </row>
    <row r="3101" customFormat="false" ht="15" hidden="false" customHeight="false" outlineLevel="0" collapsed="false">
      <c r="A3101" s="5" t="s">
        <v>541</v>
      </c>
      <c r="B3101" s="0" t="s">
        <v>86</v>
      </c>
      <c r="C3101" s="38" t="n">
        <f aca="false">Q!$D$34</f>
        <v>2.406</v>
      </c>
      <c r="D3101" s="38" t="n">
        <f aca="false">Q!$E$34</f>
        <v>2.274</v>
      </c>
      <c r="E3101" s="38" t="n">
        <f aca="false">Q!$P$34</f>
        <v>2.114</v>
      </c>
      <c r="F3101" s="38" t="n">
        <f aca="false">Sens!$F$3139</f>
        <v>3.24888962733561</v>
      </c>
      <c r="G3101" s="38" t="n">
        <f aca="false">Sens!$E$3101+Sens!$F$3101</f>
        <v>5.36288962733561</v>
      </c>
      <c r="H3101" s="38" t="n">
        <f aca="false">Sens!$H$3139</f>
        <v>7.42354172302123</v>
      </c>
      <c r="I3101" s="38" t="n">
        <f aca="false">Sens!$I$3139</f>
        <v>8.31363444599521</v>
      </c>
      <c r="J3101" s="38" t="n">
        <f aca="false">Sens!$J$3139</f>
        <v>9.36717015076725</v>
      </c>
      <c r="K3101" s="38" t="n">
        <f aca="false">Sens!$K$3139</f>
        <v>9.36717015076725</v>
      </c>
      <c r="L3101" s="38" t="n">
        <f aca="false">Sens!$L$3139</f>
        <v>9.36717015076725</v>
      </c>
      <c r="M3101" s="38" t="n">
        <f aca="false">Sens!$M$3139</f>
        <v>9.36717015076725</v>
      </c>
      <c r="N3101" s="38" t="n">
        <f aca="false">Q!$N$34</f>
        <v>1.057</v>
      </c>
      <c r="O3101" s="38" t="n">
        <f aca="false">Q!$O$34</f>
        <v>1.217</v>
      </c>
    </row>
    <row r="3102" customFormat="false" ht="15" hidden="false" customHeight="false" outlineLevel="0" collapsed="false">
      <c r="A3102" s="5" t="s">
        <v>746</v>
      </c>
      <c r="B3102" s="0" t="s">
        <v>86</v>
      </c>
      <c r="F3102" s="38" t="n">
        <f aca="false">Sens!$F$3140</f>
        <v>2.59</v>
      </c>
      <c r="H3102" s="38" t="n">
        <f aca="false">Sens!$H$3140</f>
        <v>3.80133635330174</v>
      </c>
      <c r="I3102" s="38" t="n">
        <f aca="false">Sens!$I$3140</f>
        <v>2.10589651022864</v>
      </c>
      <c r="J3102" s="38" t="n">
        <f aca="false">Sens!$J$3140</f>
        <v>2.10589651022864</v>
      </c>
      <c r="K3102" s="38" t="n">
        <f aca="false">Sens!$K$3140</f>
        <v>3.04548631681362</v>
      </c>
      <c r="L3102" s="38" t="n">
        <f aca="false">Sens!$L$3140</f>
        <v>7.97047072137225</v>
      </c>
      <c r="M3102" s="38" t="n">
        <f aca="false">Sens!$M$3140</f>
        <v>15.2624218871739</v>
      </c>
    </row>
    <row r="3103" customFormat="false" ht="17.15" hidden="false" customHeight="false" outlineLevel="0" collapsed="false">
      <c r="A3103" s="5" t="s">
        <v>747</v>
      </c>
      <c r="B3103" s="0" t="s">
        <v>86</v>
      </c>
      <c r="C3103" s="38" t="n">
        <f aca="false">Q!$D$39</f>
        <v>2.427</v>
      </c>
      <c r="D3103" s="38" t="n">
        <f aca="false">Q!$E$39</f>
        <v>19.61</v>
      </c>
      <c r="E3103" s="38" t="n">
        <f aca="false">Q!$P$39</f>
        <v>71.492</v>
      </c>
      <c r="F3103" s="39" t="n">
        <v>0</v>
      </c>
      <c r="G3103" s="38" t="n">
        <f aca="false">Sens!$E$3103+Sens!$F$3103</f>
        <v>71.492</v>
      </c>
      <c r="H3103" s="39" t="n">
        <v>0</v>
      </c>
      <c r="I3103" s="39" t="n">
        <v>0</v>
      </c>
      <c r="J3103" s="39" t="n">
        <v>0</v>
      </c>
      <c r="K3103" s="39" t="n">
        <v>0</v>
      </c>
      <c r="L3103" s="39" t="n">
        <v>0</v>
      </c>
      <c r="M3103" s="39" t="n">
        <v>0</v>
      </c>
      <c r="N3103" s="38" t="n">
        <f aca="false">Q!$N$39</f>
        <v>6.017</v>
      </c>
      <c r="O3103" s="38" t="n">
        <f aca="false">Q!$O$39</f>
        <v>13.593</v>
      </c>
      <c r="P3103" s="5" t="s">
        <v>748</v>
      </c>
    </row>
    <row r="3104" customFormat="false" ht="15" hidden="false" customHeight="false" outlineLevel="0" collapsed="false">
      <c r="A3104" s="5" t="s">
        <v>544</v>
      </c>
      <c r="B3104" s="0" t="s">
        <v>86</v>
      </c>
      <c r="C3104" s="38" t="n">
        <f aca="false">Q!$D$36</f>
        <v>68.614</v>
      </c>
      <c r="D3104" s="38" t="n">
        <f aca="false">Q!$E$36</f>
        <v>97.311</v>
      </c>
      <c r="E3104" s="38" t="n">
        <f aca="false">Q!$P$36</f>
        <v>120.691</v>
      </c>
      <c r="F3104" s="38" t="n">
        <f aca="false">Sens!$F$3080-Sens!$F$3101+Sens!$F$3102+Sens!$F$3103</f>
        <v>55.629999609589</v>
      </c>
      <c r="G3104" s="38" t="n">
        <f aca="false">Sens!$E$3104+Sens!$F$3104</f>
        <v>176.320999609589</v>
      </c>
      <c r="H3104" s="38" t="n">
        <f aca="false">Sens!$H$3080-Sens!$H$3101+Sens!$H$3102+Sens!$H$3103</f>
        <v>122.911560894381</v>
      </c>
      <c r="I3104" s="38" t="n">
        <f aca="false">Sens!$I$3080-Sens!$I$3101+Sens!$I$3102+Sens!$I$3103</f>
        <v>139.694272997395</v>
      </c>
      <c r="J3104" s="38" t="n">
        <f aca="false">Sens!$J$3080-Sens!$J$3101+Sens!$J$3102+Sens!$J$3103</f>
        <v>155.817712241676</v>
      </c>
      <c r="K3104" s="38" t="n">
        <f aca="false">Sens!$K$3080-Sens!$K$3101+Sens!$K$3102+Sens!$K$3103</f>
        <v>166.353895652863</v>
      </c>
      <c r="L3104" s="38" t="n">
        <f aca="false">Sens!$L$3080-Sens!$L$3101+Sens!$L$3102+Sens!$L$3103</f>
        <v>181.529406909133</v>
      </c>
      <c r="M3104" s="38" t="n">
        <f aca="false">Sens!$M$3080-Sens!$M$3101+Sens!$M$3102+Sens!$M$3103</f>
        <v>198.598394463036</v>
      </c>
      <c r="N3104" s="38" t="n">
        <f aca="false">Q!$N$36</f>
        <v>42.536</v>
      </c>
      <c r="O3104" s="38" t="n">
        <f aca="false">Q!$O$36</f>
        <v>54.775</v>
      </c>
    </row>
    <row r="3105" customFormat="false" ht="15" hidden="false" customHeight="false" outlineLevel="0" collapsed="false">
      <c r="A3105" s="5" t="s">
        <v>545</v>
      </c>
      <c r="B3105" s="0" t="s">
        <v>86</v>
      </c>
      <c r="C3105" s="38" t="n">
        <f aca="false">Q!$D$37</f>
        <v>9.265</v>
      </c>
      <c r="D3105" s="38" t="n">
        <f aca="false">Q!$E$37</f>
        <v>19.087</v>
      </c>
      <c r="E3105" s="38" t="n">
        <f aca="false">Q!$P$37</f>
        <v>27.759</v>
      </c>
      <c r="F3105" s="38" t="n">
        <f aca="false">Sens!$F$3104*tax</f>
        <v>9.65650714815835</v>
      </c>
      <c r="G3105" s="38" t="n">
        <f aca="false">Sens!$E$3105+Sens!$F$3105</f>
        <v>37.4155071481584</v>
      </c>
      <c r="H3105" s="38" t="n">
        <f aca="false">Sens!$H$3104*tax</f>
        <v>21.3355451141025</v>
      </c>
      <c r="I3105" s="38" t="n">
        <f aca="false">Sens!$I$3104*tax</f>
        <v>24.2487642499211</v>
      </c>
      <c r="J3105" s="38" t="n">
        <f aca="false">Sens!$J$3104*tax</f>
        <v>27.0475438186426</v>
      </c>
      <c r="K3105" s="38" t="n">
        <f aca="false">Sens!$K$3104*tax</f>
        <v>28.8764622284657</v>
      </c>
      <c r="L3105" s="38" t="n">
        <f aca="false">Sens!$L$3104*tax</f>
        <v>31.5106961661175</v>
      </c>
      <c r="M3105" s="38" t="n">
        <f aca="false">Sens!$M$3104*tax</f>
        <v>34.4736082905618</v>
      </c>
      <c r="N3105" s="38" t="n">
        <f aca="false">Q!$N$37</f>
        <v>7.231</v>
      </c>
      <c r="O3105" s="38" t="n">
        <f aca="false">Q!$O$37</f>
        <v>11.856</v>
      </c>
    </row>
    <row r="3106" customFormat="false" ht="15" hidden="false" customHeight="false" outlineLevel="0" collapsed="false">
      <c r="A3106" s="3" t="s">
        <v>546</v>
      </c>
      <c r="B3106" s="8" t="s">
        <v>86</v>
      </c>
      <c r="C3106" s="38" t="n">
        <f aca="false">Q!$D$38</f>
        <v>59.248</v>
      </c>
      <c r="D3106" s="38" t="n">
        <f aca="false">Q!$E$38</f>
        <v>77.67</v>
      </c>
      <c r="E3106" s="38" t="n">
        <f aca="false">Q!$P$38</f>
        <v>92.902</v>
      </c>
      <c r="F3106" s="38" t="n">
        <f aca="false">Sens!$F$3104-Sens!$F$3105</f>
        <v>45.9734924614306</v>
      </c>
      <c r="G3106" s="38" t="n">
        <f aca="false">Sens!$E$3106+Sens!$F$3106</f>
        <v>138.875492461431</v>
      </c>
      <c r="H3106" s="38" t="n">
        <f aca="false">Sens!$H$3104-Sens!$H$3105</f>
        <v>101.576015780279</v>
      </c>
      <c r="I3106" s="38" t="n">
        <f aca="false">Sens!$I$3104-Sens!$I$3105</f>
        <v>115.445508747474</v>
      </c>
      <c r="J3106" s="38" t="n">
        <f aca="false">Sens!$J$3104-Sens!$J$3105</f>
        <v>128.770168423033</v>
      </c>
      <c r="K3106" s="38" t="n">
        <f aca="false">Sens!$K$3104-Sens!$K$3105</f>
        <v>137.477433424397</v>
      </c>
      <c r="L3106" s="38" t="n">
        <f aca="false">Sens!$L$3104-Sens!$L$3105</f>
        <v>150.018710743016</v>
      </c>
      <c r="M3106" s="38" t="n">
        <f aca="false">Sens!$M$3104-Sens!$M$3105</f>
        <v>164.124786172474</v>
      </c>
      <c r="N3106" s="38" t="n">
        <f aca="false">Q!$N$38</f>
        <v>35.291</v>
      </c>
      <c r="O3106" s="38" t="n">
        <f aca="false">Q!$O$38</f>
        <v>42.379</v>
      </c>
    </row>
    <row r="3107" customFormat="false" ht="17.15" hidden="false" customHeight="false" outlineLevel="0" collapsed="false">
      <c r="A3107" s="5" t="s">
        <v>549</v>
      </c>
      <c r="B3107" s="5" t="s">
        <v>33</v>
      </c>
      <c r="C3107" s="22" t="n">
        <f aca="false">Q!$D$41</f>
        <v>10.721</v>
      </c>
      <c r="D3107" s="22" t="n">
        <f aca="false">Q!$E$41</f>
        <v>10.827</v>
      </c>
      <c r="E3107" s="22" t="n">
        <f aca="false">(Q!$L$41+Q!$M$41)/2</f>
        <v>10.8885</v>
      </c>
      <c r="F3107" s="22" t="n">
        <f aca="false">Sens!$G$3107</f>
        <v>10.924806</v>
      </c>
      <c r="G3107" s="22" t="n">
        <f aca="false">Q!$M$41*(1+sh_g*0.25)</f>
        <v>10.924806</v>
      </c>
      <c r="H3107" s="22" t="n">
        <f aca="false">Sens!$G$3107*(1+sh_g)</f>
        <v>11.012204448</v>
      </c>
      <c r="I3107" s="22" t="n">
        <f aca="false">Sens!$H$3107*(1+sh_g)</f>
        <v>11.100302083584</v>
      </c>
      <c r="J3107" s="22" t="n">
        <f aca="false">Sens!$I$3107*(1+sh_g)</f>
        <v>11.1891045002527</v>
      </c>
      <c r="K3107" s="22" t="n">
        <f aca="false">Sens!$J$3107*(1+sh_g)</f>
        <v>11.2786173362547</v>
      </c>
      <c r="L3107" s="22" t="n">
        <f aca="false">Sens!$K$3107*(1+sh_g)</f>
        <v>11.3688462749447</v>
      </c>
      <c r="M3107" s="22" t="n">
        <f aca="false">Sens!$L$3107*(1+sh_g)</f>
        <v>11.4597970451443</v>
      </c>
      <c r="P3107" s="5" t="s">
        <v>749</v>
      </c>
    </row>
    <row r="3108" customFormat="false" ht="17.15" hidden="false" customHeight="false" outlineLevel="0" collapsed="false">
      <c r="A3108" s="5" t="s">
        <v>750</v>
      </c>
      <c r="B3108" s="0" t="s">
        <v>86</v>
      </c>
      <c r="C3108" s="38" t="n">
        <f aca="false">Sens!$C$3106+Sens!$C$3082*(1-tax)</f>
        <v>59.248</v>
      </c>
      <c r="D3108" s="38" t="n">
        <f aca="false">Sens!$D$3106+Sens!$D$3082*(1-tax)</f>
        <v>77.67</v>
      </c>
      <c r="E3108" s="38" t="n">
        <f aca="false">Sens!$E$3106+Sens!$E$3082*(1-tax)</f>
        <v>92.902</v>
      </c>
      <c r="F3108" s="38" t="n">
        <f aca="false">Sens!$F$3106+Sens!$F$3082*(1-tax)</f>
        <v>49.0900874210793</v>
      </c>
      <c r="G3108" s="38" t="n">
        <f aca="false">Sens!$G$3106+Sens!$G$3082*(1-tax)</f>
        <v>141.992087421079</v>
      </c>
      <c r="H3108" s="38" t="n">
        <f aca="false">Sens!$H$3106+Sens!$H$3082*(1-tax)</f>
        <v>114.107411735623</v>
      </c>
      <c r="I3108" s="38" t="n">
        <f aca="false">Sens!$I$3106+Sens!$I$3082*(1-tax)</f>
        <v>136.586773822413</v>
      </c>
      <c r="J3108" s="38" t="n">
        <f aca="false">Sens!$J$3106+Sens!$J$3082*(1-tax)</f>
        <v>158.559605367317</v>
      </c>
      <c r="K3108" s="38" t="n">
        <f aca="false">Sens!$K$3106+Sens!$K$3082*(1-tax)</f>
        <v>174.644739121056</v>
      </c>
      <c r="L3108" s="38" t="n">
        <f aca="false">Sens!$L$3106+Sens!$L$3082*(1-tax)</f>
        <v>192.034788083571</v>
      </c>
      <c r="M3108" s="38" t="n">
        <f aca="false">Sens!$M$3106+Sens!$M$3082*(1-tax)</f>
        <v>208.454308363314</v>
      </c>
      <c r="N3108" s="38" t="n">
        <f aca="false">Sens!$N$3106+Sens!$N$3082*(1-tax)</f>
        <v>35.291</v>
      </c>
      <c r="O3108" s="38" t="n">
        <f aca="false">Sens!$O$3106+Sens!$O$3082*(1-tax)</f>
        <v>42.379</v>
      </c>
    </row>
    <row r="3109" customFormat="false" ht="17.15" hidden="false" customHeight="false" outlineLevel="0" collapsed="false">
      <c r="A3109" s="43" t="s">
        <v>751</v>
      </c>
      <c r="B3109" s="14" t="s">
        <v>27</v>
      </c>
      <c r="C3109" s="44" t="n">
        <f aca="false">Sens!$C$3108/Sens!$C$3107</f>
        <v>5.52635015390355</v>
      </c>
      <c r="D3109" s="44" t="n">
        <f aca="false">Sens!$D$3108/Sens!$D$3107</f>
        <v>7.1737323358271</v>
      </c>
      <c r="E3109" s="44" t="n">
        <f aca="false">Sens!$E$3108/Sens!$E$3107</f>
        <v>8.53212104513937</v>
      </c>
      <c r="F3109" s="14"/>
      <c r="G3109" s="44" t="n">
        <f aca="false">Sens!$G$3108/Sens!$G$3107</f>
        <v>12.9972182042481</v>
      </c>
      <c r="H3109" s="44" t="n">
        <f aca="false">Sens!$H$3108/Sens!$H$3107</f>
        <v>10.3619045827239</v>
      </c>
      <c r="I3109" s="44" t="n">
        <f aca="false">Sens!$I$3108/Sens!$I$3107</f>
        <v>12.3047798874238</v>
      </c>
      <c r="J3109" s="44" t="n">
        <f aca="false">Sens!$J$3108/Sens!$J$3107</f>
        <v>14.170893243846</v>
      </c>
      <c r="K3109" s="44" t="n">
        <f aca="false">Sens!$K$3108/Sens!$K$3107</f>
        <v>15.4845876860869</v>
      </c>
      <c r="L3109" s="44" t="n">
        <f aca="false">Sens!$L$3108/Sens!$L$3107</f>
        <v>16.8913171521008</v>
      </c>
      <c r="M3109" s="44" t="n">
        <f aca="false">Sens!$M$3108/Sens!$M$3107</f>
        <v>18.1900523667337</v>
      </c>
      <c r="N3109" s="14"/>
      <c r="O3109" s="14"/>
    </row>
    <row r="3110" customFormat="false" ht="17.15" hidden="false" customHeight="false" outlineLevel="0" collapsed="false">
      <c r="A3110" s="0" t="s">
        <v>752</v>
      </c>
      <c r="B3110" s="0" t="s">
        <v>27</v>
      </c>
      <c r="C3110" s="30" t="n">
        <f aca="false">Sens!$C$3106/Sens!$C$3107</f>
        <v>5.52635015390355</v>
      </c>
      <c r="D3110" s="30" t="n">
        <f aca="false">Sens!$D$3106/Sens!$D$3107</f>
        <v>7.1737323358271</v>
      </c>
      <c r="E3110" s="30" t="n">
        <f aca="false">Sens!$E$3106/Sens!$E$3107</f>
        <v>8.53212104513937</v>
      </c>
      <c r="G3110" s="30" t="n">
        <f aca="false">Sens!$G$3106/Sens!$G$3107</f>
        <v>12.7119412886078</v>
      </c>
      <c r="H3110" s="30" t="n">
        <f aca="false">Sens!$H$3106/Sens!$H$3107</f>
        <v>9.2239493245811</v>
      </c>
      <c r="I3110" s="30" t="n">
        <f aca="false">Sens!$I$3106/Sens!$I$3107</f>
        <v>10.4002132444849</v>
      </c>
      <c r="J3110" s="30" t="n">
        <f aca="false">Sens!$J$3106/Sens!$J$3107</f>
        <v>11.5085321099759</v>
      </c>
      <c r="K3110" s="30" t="n">
        <f aca="false">Sens!$K$3106/Sens!$K$3107</f>
        <v>12.1892098406851</v>
      </c>
      <c r="L3110" s="30" t="n">
        <f aca="false">Sens!$L$3106/Sens!$L$3107</f>
        <v>13.1955967311859</v>
      </c>
      <c r="M3110" s="30" t="n">
        <f aca="false">Sens!$M$3106/Sens!$M$3107</f>
        <v>14.3217882067132</v>
      </c>
    </row>
    <row r="3111" customFormat="false" ht="17.15" hidden="false" customHeight="false" outlineLevel="0" collapsed="false">
      <c r="A3111" s="0" t="s">
        <v>753</v>
      </c>
      <c r="B3111" s="0" t="s">
        <v>27</v>
      </c>
      <c r="C3111" s="30" t="n">
        <f aca="false">(Sens!$C$3106-Sens!$C$3103*(1-tax))/Sens!$C$3107</f>
        <v>5.33926775917445</v>
      </c>
      <c r="D3111" s="30" t="n">
        <f aca="false">(Sens!$D$3106-Sens!$D$3103*(1-tax))/Sens!$D$3107</f>
        <v>5.67691812755503</v>
      </c>
      <c r="E3111" s="30" t="n">
        <f aca="false">(Sens!$E$3106-Sens!$E$3103*(1-tax))/Sens!$E$3107</f>
        <v>3.10602057006846</v>
      </c>
      <c r="G3111" s="30" t="n">
        <f aca="false">(Sens!$G$3106-Sens!$G$3103*(1-tax))/Sens!$G$3107</f>
        <v>7.30387317071086</v>
      </c>
      <c r="H3111" s="30" t="n">
        <f aca="false">(Sens!$H$3106-Sens!$H$3103*(1-tax))/Sens!$H$3107</f>
        <v>9.2239493245811</v>
      </c>
      <c r="I3111" s="30" t="n">
        <f aca="false">(Sens!$I$3106-Sens!$I$3103*(1-tax))/Sens!$I$3107</f>
        <v>10.4002132444849</v>
      </c>
      <c r="J3111" s="30" t="n">
        <f aca="false">(Sens!$J$3106-Sens!$J$3103*(1-tax))/Sens!$J$3107</f>
        <v>11.5085321099759</v>
      </c>
      <c r="K3111" s="30" t="n">
        <f aca="false">(Sens!$K$3106-Sens!$K$3103*(1-tax))/Sens!$K$3107</f>
        <v>12.1892098406851</v>
      </c>
      <c r="L3111" s="30" t="n">
        <f aca="false">(Sens!$L$3106-Sens!$L$3103*(1-tax))/Sens!$L$3107</f>
        <v>13.1955967311859</v>
      </c>
      <c r="M3111" s="30" t="n">
        <f aca="false">(Sens!$M$3106-Sens!$M$3103*(1-tax))/Sens!$M$3107</f>
        <v>14.3217882067132</v>
      </c>
      <c r="P3111" s="5" t="s">
        <v>754</v>
      </c>
    </row>
    <row r="3112" customFormat="false" ht="17.15" hidden="false" customHeight="false" outlineLevel="0" collapsed="false">
      <c r="A3112" s="0" t="s">
        <v>755</v>
      </c>
      <c r="B3112" s="0" t="s">
        <v>52</v>
      </c>
      <c r="H3112" s="13" t="n">
        <f aca="false">Sens!$H$3109/Sens!$G$3109-1</f>
        <v>-0.20275981984075</v>
      </c>
      <c r="I3112" s="13" t="n">
        <f aca="false">Sens!$I$3109/Sens!$H$3109-1</f>
        <v>0.187501755993703</v>
      </c>
      <c r="J3112" s="13" t="n">
        <f aca="false">Sens!$J$3109/Sens!$I$3109-1</f>
        <v>0.151657597575512</v>
      </c>
      <c r="K3112" s="13" t="n">
        <f aca="false">Sens!$K$3109/Sens!$J$3109-1</f>
        <v>0.0927037145531726</v>
      </c>
      <c r="L3112" s="13" t="n">
        <f aca="false">Sens!$L$3109/Sens!$K$3109-1</f>
        <v>0.0908470728786537</v>
      </c>
      <c r="M3112" s="13" t="n">
        <f aca="false">Sens!$M$3109/Sens!$L$3109-1</f>
        <v>0.0768877407805564</v>
      </c>
    </row>
    <row r="3115" customFormat="false" ht="19.4" hidden="false" customHeight="false" outlineLevel="0" collapsed="false">
      <c r="A3115" s="31" t="s">
        <v>1190</v>
      </c>
    </row>
    <row r="3116" customFormat="false" ht="17.15" hidden="false" customHeight="false" outlineLevel="0" collapsed="false">
      <c r="A3116" s="6" t="s">
        <v>16</v>
      </c>
      <c r="B3116" s="6" t="s">
        <v>17</v>
      </c>
      <c r="C3116" s="20" t="s">
        <v>494</v>
      </c>
      <c r="D3116" s="20" t="s">
        <v>495</v>
      </c>
      <c r="E3116" s="20" t="s">
        <v>577</v>
      </c>
      <c r="F3116" s="20" t="s">
        <v>578</v>
      </c>
      <c r="G3116" s="20" t="s">
        <v>579</v>
      </c>
      <c r="H3116" s="20" t="s">
        <v>580</v>
      </c>
      <c r="I3116" s="20" t="s">
        <v>581</v>
      </c>
      <c r="J3116" s="20" t="s">
        <v>582</v>
      </c>
      <c r="K3116" s="20" t="s">
        <v>583</v>
      </c>
      <c r="L3116" s="20" t="s">
        <v>584</v>
      </c>
      <c r="M3116" s="20" t="s">
        <v>585</v>
      </c>
      <c r="N3116" s="20" t="s">
        <v>586</v>
      </c>
      <c r="O3116" s="20" t="s">
        <v>587</v>
      </c>
      <c r="P3116" s="6" t="s">
        <v>23</v>
      </c>
      <c r="R3116" s="20" t="n">
        <v>2023</v>
      </c>
      <c r="S3116" s="20" t="n">
        <v>2024</v>
      </c>
      <c r="T3116" s="20" t="n">
        <v>2025</v>
      </c>
      <c r="U3116" s="20" t="n">
        <v>2026</v>
      </c>
      <c r="V3116" s="20" t="n">
        <v>2027</v>
      </c>
      <c r="W3116" s="20" t="n">
        <v>2028</v>
      </c>
      <c r="X3116" s="20" t="n">
        <v>2029</v>
      </c>
      <c r="Y3116" s="20" t="n">
        <v>2030</v>
      </c>
      <c r="Z3116" s="20" t="n">
        <v>2031</v>
      </c>
      <c r="AA3116" s="20" t="n">
        <v>2032</v>
      </c>
    </row>
    <row r="3117" customFormat="false" ht="15" hidden="false" customHeight="false" outlineLevel="0" collapsed="false">
      <c r="A3117" s="5" t="s">
        <v>546</v>
      </c>
      <c r="B3117" s="0" t="s">
        <v>86</v>
      </c>
      <c r="C3117" s="38" t="n">
        <f aca="false">Sens!$C$3106</f>
        <v>59.248</v>
      </c>
      <c r="D3117" s="38" t="n">
        <f aca="false">Sens!$D$3106</f>
        <v>77.67</v>
      </c>
      <c r="E3117" s="38" t="n">
        <f aca="false">Sens!$E$3106</f>
        <v>92.902</v>
      </c>
      <c r="F3117" s="38" t="n">
        <f aca="false">Sens!$F$3106</f>
        <v>45.9734924614306</v>
      </c>
      <c r="G3117" s="38" t="n">
        <f aca="false">Sens!$G$3106</f>
        <v>138.875492461431</v>
      </c>
      <c r="H3117" s="38" t="n">
        <f aca="false">Sens!$H$3106</f>
        <v>101.576015780279</v>
      </c>
      <c r="I3117" s="38" t="n">
        <f aca="false">Sens!$I$3106</f>
        <v>115.445508747474</v>
      </c>
      <c r="J3117" s="38" t="n">
        <f aca="false">Sens!$J$3106</f>
        <v>128.770168423033</v>
      </c>
      <c r="K3117" s="38" t="n">
        <f aca="false">Sens!$K$3106</f>
        <v>137.477433424397</v>
      </c>
      <c r="L3117" s="38" t="n">
        <f aca="false">Sens!$L$3106</f>
        <v>150.018710743016</v>
      </c>
      <c r="M3117" s="38" t="n">
        <f aca="false">Sens!$M$3106</f>
        <v>164.124786172474</v>
      </c>
    </row>
    <row r="3118" customFormat="false" ht="17.15" hidden="false" customHeight="false" outlineLevel="0" collapsed="false">
      <c r="A3118" s="5" t="s">
        <v>778</v>
      </c>
      <c r="B3118" s="0" t="s">
        <v>86</v>
      </c>
      <c r="C3118" s="38" t="n">
        <f aca="false">Sens!$C$3094</f>
        <v>32.067</v>
      </c>
      <c r="D3118" s="38" t="n">
        <f aca="false">Sens!$D$3094</f>
        <v>41.86</v>
      </c>
      <c r="E3118" s="38" t="n">
        <f aca="false">Sens!$E$3094</f>
        <v>26.703</v>
      </c>
      <c r="F3118" s="38" t="n">
        <f aca="false">Sens!$F$3094</f>
        <v>29.2913179650864</v>
      </c>
      <c r="G3118" s="38" t="n">
        <f aca="false">Sens!$G$3094</f>
        <v>55.9943179650864</v>
      </c>
      <c r="H3118" s="38" t="n">
        <f aca="false">Sens!$H$3094</f>
        <v>84.150471221261</v>
      </c>
      <c r="I3118" s="38" t="n">
        <f aca="false">Sens!$I$3094</f>
        <v>116.485342116666</v>
      </c>
      <c r="J3118" s="38" t="n">
        <f aca="false">Sens!$J$3094</f>
        <v>149.281928671318</v>
      </c>
      <c r="K3118" s="38" t="n">
        <f aca="false">Sens!$K$3094</f>
        <v>182.002368317095</v>
      </c>
      <c r="L3118" s="38" t="n">
        <f aca="false">Sens!$L$3094</f>
        <v>204.493200658534</v>
      </c>
      <c r="M3118" s="38" t="n">
        <f aca="false">Sens!$M$3094</f>
        <v>219.505727223624</v>
      </c>
    </row>
    <row r="3119" customFormat="false" ht="15" hidden="false" customHeight="false" outlineLevel="0" collapsed="false">
      <c r="A3119" s="5" t="s">
        <v>779</v>
      </c>
      <c r="B3119" s="0" t="s">
        <v>86</v>
      </c>
      <c r="C3119" s="38" t="n">
        <f aca="false">Q!$D$48</f>
        <v>22.011</v>
      </c>
      <c r="D3119" s="38" t="n">
        <f aca="false">Q!$E$48</f>
        <v>19.467</v>
      </c>
      <c r="E3119" s="38" t="n">
        <f aca="false">Q!$P$48</f>
        <v>10.07</v>
      </c>
      <c r="F3119" s="38" t="n">
        <f aca="false">sbc_r*Sens!$F$3036</f>
        <v>10.8507035798037</v>
      </c>
      <c r="G3119" s="38" t="n">
        <f aca="false">Sens!$E$3119+Sens!$F$3119</f>
        <v>20.9207035798037</v>
      </c>
      <c r="H3119" s="38" t="n">
        <f aca="false">sbc_r*Sens!$H$3036</f>
        <v>23.4355244545154</v>
      </c>
      <c r="I3119" s="38" t="n">
        <f aca="false">sbc_r*Sens!$I$3036</f>
        <v>26.5231928732067</v>
      </c>
      <c r="J3119" s="38" t="n">
        <f aca="false">sbc_r*Sens!$J$3036</f>
        <v>29.4320307520403</v>
      </c>
      <c r="K3119" s="38" t="n">
        <f aca="false">sbc_r*Sens!$K$3036</f>
        <v>31.9191329754357</v>
      </c>
      <c r="L3119" s="38" t="n">
        <f aca="false">sbc_r*Sens!$L$3036</f>
        <v>34.2114126008737</v>
      </c>
      <c r="M3119" s="38" t="n">
        <f aca="false">sbc_r*Sens!$M$3036</f>
        <v>36.3159193272063</v>
      </c>
    </row>
    <row r="3120" customFormat="false" ht="17.15" hidden="false" customHeight="false" outlineLevel="0" collapsed="false">
      <c r="A3120" s="5" t="s">
        <v>780</v>
      </c>
      <c r="B3120" s="0" t="s">
        <v>86</v>
      </c>
      <c r="C3120" s="38" t="n">
        <f aca="false">Q!$D$44-Sens!$C$3117-Sens!$C$3118-Sens!$C$3119</f>
        <v>2.551</v>
      </c>
      <c r="D3120" s="38" t="n">
        <f aca="false">Q!$E$44-Sens!$D$3117-Sens!$D$3118-Sens!$D$3119</f>
        <v>0.51700000000001</v>
      </c>
      <c r="E3120" s="38" t="n">
        <f aca="false">Q!$P$44-Sens!$E$3117-Sens!$E$3118-Sens!$E$3119</f>
        <v>-58.256</v>
      </c>
      <c r="F3120" s="38" t="n">
        <f aca="false">oth_r*Sens!$F$3036</f>
        <v>5.22265251035878</v>
      </c>
      <c r="G3120" s="38" t="n">
        <f aca="false">Sens!$E$3120+Sens!$F$3120</f>
        <v>-53.0333474896412</v>
      </c>
      <c r="H3120" s="38" t="n">
        <f aca="false">oth_r*Sens!$H$3036</f>
        <v>11.2799690567314</v>
      </c>
      <c r="I3120" s="38" t="n">
        <f aca="false">oth_r*Sens!$I$3036</f>
        <v>12.7661233046502</v>
      </c>
      <c r="J3120" s="38" t="n">
        <f aca="false">oth_r*Sens!$J$3036</f>
        <v>14.1662029712253</v>
      </c>
      <c r="K3120" s="38" t="n">
        <f aca="false">oth_r*Sens!$K$3036</f>
        <v>15.363293148374</v>
      </c>
      <c r="L3120" s="38" t="n">
        <f aca="false">oth_r*Sens!$L$3036</f>
        <v>16.4666114587664</v>
      </c>
      <c r="M3120" s="38" t="n">
        <f aca="false">oth_r*Sens!$M$3036</f>
        <v>17.4795510581677</v>
      </c>
      <c r="P3120" s="8" t="s">
        <v>781</v>
      </c>
    </row>
    <row r="3121" customFormat="false" ht="15" hidden="false" customHeight="false" outlineLevel="0" collapsed="false">
      <c r="A3121" s="3" t="s">
        <v>552</v>
      </c>
      <c r="B3121" s="8" t="s">
        <v>86</v>
      </c>
      <c r="C3121" s="38" t="n">
        <f aca="false">Q!$D$44</f>
        <v>115.877</v>
      </c>
      <c r="D3121" s="38" t="n">
        <f aca="false">Q!$E$44</f>
        <v>139.514</v>
      </c>
      <c r="E3121" s="38" t="n">
        <f aca="false">Q!$P$44</f>
        <v>71.419</v>
      </c>
      <c r="F3121" s="38" t="n">
        <f aca="false">Sens!$F$3117+Sens!$F$3118+Sens!$F$3119+Sens!$F$3120</f>
        <v>91.3381665166794</v>
      </c>
      <c r="G3121" s="38" t="n">
        <f aca="false">Sens!$E$3121+Sens!$F$3121</f>
        <v>162.757166516679</v>
      </c>
      <c r="H3121" s="38" t="n">
        <f aca="false">Sens!$H$3117+Sens!$H$3118+Sens!$H$3119+Sens!$H$3120</f>
        <v>220.441980512786</v>
      </c>
      <c r="I3121" s="38" t="n">
        <f aca="false">Sens!$I$3117+Sens!$I$3118+Sens!$I$3119+Sens!$I$3120</f>
        <v>271.220167041997</v>
      </c>
      <c r="J3121" s="38" t="n">
        <f aca="false">Sens!$J$3117+Sens!$J$3118+Sens!$J$3119+Sens!$J$3120</f>
        <v>321.650330817617</v>
      </c>
      <c r="K3121" s="38" t="n">
        <f aca="false">Sens!$K$3117+Sens!$K$3118+Sens!$K$3119+Sens!$K$3120</f>
        <v>366.762227865302</v>
      </c>
      <c r="L3121" s="38" t="n">
        <f aca="false">Sens!$L$3117+Sens!$L$3118+Sens!$L$3119+Sens!$L$3120</f>
        <v>405.18993546119</v>
      </c>
      <c r="M3121" s="38" t="n">
        <f aca="false">Sens!$M$3117+Sens!$M$3118+Sens!$M$3119+Sens!$M$3120</f>
        <v>437.425983781472</v>
      </c>
    </row>
    <row r="3122" customFormat="false" ht="17.15" hidden="false" customHeight="false" outlineLevel="0" collapsed="false">
      <c r="A3122" s="5" t="s">
        <v>782</v>
      </c>
      <c r="B3122" s="0" t="s">
        <v>86</v>
      </c>
      <c r="C3122" s="38" t="n">
        <f aca="false">Sens!$C$3005</f>
        <v>25.2781053077374</v>
      </c>
      <c r="D3122" s="38" t="n">
        <f aca="false">Sens!$D$3005</f>
        <v>69.5686316310026</v>
      </c>
      <c r="E3122" s="38" t="n">
        <f aca="false">Sens!$E$3005</f>
        <v>64.1899206485108</v>
      </c>
      <c r="F3122" s="38" t="n">
        <f aca="false">Sens!$F$3005</f>
        <v>96.2481299895</v>
      </c>
      <c r="G3122" s="38" t="n">
        <f aca="false">Sens!$G$3005</f>
        <v>160.438050638011</v>
      </c>
      <c r="H3122" s="38" t="n">
        <f aca="false">Sens!$H$3005</f>
        <v>198.57136494475</v>
      </c>
      <c r="I3122" s="38" t="n">
        <f aca="false">Sens!$I$3005</f>
        <v>204.6464699105</v>
      </c>
      <c r="J3122" s="38" t="n">
        <f aca="false">Sens!$J$3005</f>
        <v>209.8832381105</v>
      </c>
      <c r="K3122" s="38" t="n">
        <f aca="false">Sens!$K$3005</f>
        <v>155.238385275201</v>
      </c>
      <c r="L3122" s="38" t="n">
        <f aca="false">Sens!$L$3005</f>
        <v>132.014141639902</v>
      </c>
      <c r="M3122" s="38" t="n">
        <f aca="false">Sens!$M$3005</f>
        <v>132.230981659852</v>
      </c>
    </row>
    <row r="3123" customFormat="false" ht="17.15" hidden="false" customHeight="false" outlineLevel="0" collapsed="false">
      <c r="A3123" s="5" t="s">
        <v>783</v>
      </c>
      <c r="B3123" s="0" t="s">
        <v>86</v>
      </c>
      <c r="C3123" s="38" t="n">
        <f aca="false">cx_awso*Sens!$C$3034</f>
        <v>21.0469989286053</v>
      </c>
      <c r="D3123" s="38" t="n">
        <f aca="false">cx_awso*Sens!$D$3034</f>
        <v>24.0042459822698</v>
      </c>
      <c r="E3123" s="38" t="n">
        <f aca="false">cx_awso*Sens!$E$3034</f>
        <v>14.261729404886</v>
      </c>
      <c r="F3123" s="38" t="n">
        <f aca="false">cx_awso*Sens!$F$3034</f>
        <v>14.3538599588493</v>
      </c>
      <c r="G3123" s="38" t="n">
        <f aca="false">Sens!$E$3123+Sens!$F$3123</f>
        <v>28.6155893637353</v>
      </c>
      <c r="H3123" s="38" t="n">
        <f aca="false">cx_awso*Sens!$H$3034</f>
        <v>31.9887984956126</v>
      </c>
      <c r="I3123" s="38" t="n">
        <f aca="false">cx_awso*Sens!$I$3034</f>
        <v>35.035840758496</v>
      </c>
      <c r="J3123" s="38" t="n">
        <f aca="false">cx_awso*Sens!$J$3034</f>
        <v>37.5803784978005</v>
      </c>
      <c r="K3123" s="38" t="n">
        <f aca="false">cx_awso*Sens!$K$3034</f>
        <v>39.4593974226905</v>
      </c>
      <c r="L3123" s="38" t="n">
        <f aca="false">cx_awso*Sens!$L$3034</f>
        <v>41.4323672938251</v>
      </c>
      <c r="M3123" s="38" t="n">
        <f aca="false">cx_awso*Sens!$M$3034</f>
        <v>43.5039856585163</v>
      </c>
    </row>
    <row r="3124" customFormat="false" ht="17.15" hidden="false" customHeight="false" outlineLevel="0" collapsed="false">
      <c r="A3124" s="5" t="s">
        <v>784</v>
      </c>
      <c r="B3124" s="0" t="s">
        <v>86</v>
      </c>
      <c r="C3124" s="38" t="n">
        <f aca="false">Q!$D$46-Sens!$C$3122-Sens!$C$3123</f>
        <v>31.3328957636573</v>
      </c>
      <c r="D3124" s="38" t="n">
        <f aca="false">Q!$E$46-Sens!$D$3122-Sens!$D$3123</f>
        <v>34.7471223867276</v>
      </c>
      <c r="E3124" s="38" t="n">
        <f aca="false">Q!$P$46-Sens!$E$3122-Sens!$E$3123</f>
        <v>17.8583499466032</v>
      </c>
      <c r="F3124" s="38" t="n">
        <f aca="false">cx_rt*Sens!$F$2968</f>
        <v>20.6195895799373</v>
      </c>
      <c r="G3124" s="38" t="n">
        <f aca="false">Sens!$E$3124+Sens!$F$3124</f>
        <v>38.4779395265405</v>
      </c>
      <c r="H3124" s="38" t="n">
        <f aca="false">cx_rt*Sens!$H$2968</f>
        <v>42.5978994743075</v>
      </c>
      <c r="I3124" s="38" t="n">
        <f aca="false">cx_rt*Sens!$I$2968</f>
        <v>46.5813904136335</v>
      </c>
      <c r="J3124" s="38" t="n">
        <f aca="false">cx_rt*Sens!$J$2968</f>
        <v>50.2781676586844</v>
      </c>
      <c r="K3124" s="38" t="n">
        <f aca="false">cx_rt*Sens!$K$2968</f>
        <v>53.5312440191755</v>
      </c>
      <c r="L3124" s="38" t="n">
        <f aca="false">cx_rt*Sens!$L$2968</f>
        <v>57.0116717051447</v>
      </c>
      <c r="M3124" s="38" t="n">
        <f aca="false">cx_rt*Sens!$M$2968</f>
        <v>60.7365554669226</v>
      </c>
    </row>
    <row r="3125" customFormat="false" ht="15" hidden="false" customHeight="false" outlineLevel="0" collapsed="false">
      <c r="A3125" s="3" t="s">
        <v>785</v>
      </c>
      <c r="B3125" s="8" t="s">
        <v>86</v>
      </c>
      <c r="C3125" s="38" t="n">
        <f aca="false">Q!$D$46</f>
        <v>77.658</v>
      </c>
      <c r="D3125" s="38" t="n">
        <f aca="false">Q!$E$46</f>
        <v>128.32</v>
      </c>
      <c r="E3125" s="38" t="n">
        <f aca="false">Q!$P$46</f>
        <v>96.31</v>
      </c>
      <c r="F3125" s="38" t="n">
        <f aca="false">Sens!$F$3122+Sens!$F$3123+Sens!$F$3124</f>
        <v>131.221579528287</v>
      </c>
      <c r="G3125" s="38" t="n">
        <f aca="false">Sens!$E$3125+Sens!$F$3125</f>
        <v>227.531579528287</v>
      </c>
      <c r="H3125" s="38" t="n">
        <f aca="false">Sens!$H$3122+Sens!$H$3123+Sens!$H$3124</f>
        <v>273.15806291467</v>
      </c>
      <c r="I3125" s="38" t="n">
        <f aca="false">Sens!$I$3122+Sens!$I$3123+Sens!$I$3124</f>
        <v>286.26370108263</v>
      </c>
      <c r="J3125" s="38" t="n">
        <f aca="false">Sens!$J$3122+Sens!$J$3123+Sens!$J$3124</f>
        <v>297.741784266985</v>
      </c>
      <c r="K3125" s="38" t="n">
        <f aca="false">Sens!$K$3122+Sens!$K$3123+Sens!$K$3124</f>
        <v>248.229026717067</v>
      </c>
      <c r="L3125" s="38" t="n">
        <f aca="false">Sens!$L$3122+Sens!$L$3123+Sens!$L$3124</f>
        <v>230.458180638872</v>
      </c>
      <c r="M3125" s="38" t="n">
        <f aca="false">Sens!$M$3122+Sens!$M$3123+Sens!$M$3124</f>
        <v>236.471522785291</v>
      </c>
    </row>
    <row r="3126" customFormat="false" ht="17.15" hidden="false" customHeight="false" outlineLevel="0" collapsed="false">
      <c r="A3126" s="5" t="s">
        <v>560</v>
      </c>
      <c r="B3126" s="0" t="s">
        <v>86</v>
      </c>
      <c r="C3126" s="38" t="n">
        <f aca="false">Q!$D$50</f>
        <v>2.043</v>
      </c>
      <c r="D3126" s="38" t="n">
        <f aca="false">Q!$E$50</f>
        <v>1.557</v>
      </c>
      <c r="E3126" s="38" t="n">
        <f aca="false">lease_pr/2</f>
        <v>0.8</v>
      </c>
      <c r="F3126" s="38" t="n">
        <f aca="false">lease_pr/2</f>
        <v>0.8</v>
      </c>
      <c r="G3126" s="38" t="n">
        <f aca="false">Sens!$E$3126+Sens!$F$3126</f>
        <v>1.6</v>
      </c>
      <c r="H3126" s="38" t="n">
        <f aca="false">lease_pr</f>
        <v>1.6</v>
      </c>
      <c r="I3126" s="38" t="n">
        <f aca="false">lease_pr</f>
        <v>1.6</v>
      </c>
      <c r="J3126" s="38" t="n">
        <f aca="false">lease_pr</f>
        <v>1.6</v>
      </c>
      <c r="K3126" s="38" t="n">
        <f aca="false">lease_pr</f>
        <v>1.6</v>
      </c>
      <c r="L3126" s="38" t="n">
        <f aca="false">lease_pr</f>
        <v>1.6</v>
      </c>
      <c r="M3126" s="38" t="n">
        <f aca="false">lease_pr</f>
        <v>1.6</v>
      </c>
      <c r="P3126" s="8" t="s">
        <v>786</v>
      </c>
    </row>
    <row r="3127" customFormat="false" ht="15" hidden="false" customHeight="false" outlineLevel="0" collapsed="false">
      <c r="A3127" s="47" t="s">
        <v>787</v>
      </c>
      <c r="B3127" s="14" t="s">
        <v>86</v>
      </c>
      <c r="C3127" s="48" t="n">
        <f aca="false">Sens!$C$3121-Sens!$C$3125-Sens!$C$3126</f>
        <v>36.176</v>
      </c>
      <c r="D3127" s="48" t="n">
        <f aca="false">Sens!$D$3121-Sens!$D$3125-Sens!$D$3126</f>
        <v>9.63700000000002</v>
      </c>
      <c r="E3127" s="48" t="n">
        <f aca="false">Sens!$E$3121-Sens!$E$3125-Sens!$E$3126</f>
        <v>-25.691</v>
      </c>
      <c r="F3127" s="48" t="n">
        <f aca="false">Sens!$F$3121-Sens!$F$3125-Sens!$F$3126</f>
        <v>-40.6834130116072</v>
      </c>
      <c r="G3127" s="48" t="n">
        <f aca="false">Sens!$G$3121-Sens!$G$3125-Sens!$G$3126</f>
        <v>-66.3744130116072</v>
      </c>
      <c r="H3127" s="48" t="n">
        <f aca="false">Sens!$H$3121-Sens!$H$3125-Sens!$H$3126</f>
        <v>-54.3160824018838</v>
      </c>
      <c r="I3127" s="48" t="n">
        <f aca="false">Sens!$I$3121-Sens!$I$3125-Sens!$I$3126</f>
        <v>-16.6435340406326</v>
      </c>
      <c r="J3127" s="48" t="n">
        <f aca="false">Sens!$J$3121-Sens!$J$3125-Sens!$J$3126</f>
        <v>22.3085465506319</v>
      </c>
      <c r="K3127" s="48" t="n">
        <f aca="false">Sens!$K$3121-Sens!$K$3125-Sens!$K$3126</f>
        <v>116.933201148235</v>
      </c>
      <c r="L3127" s="48" t="n">
        <f aca="false">Sens!$L$3121-Sens!$L$3125-Sens!$L$3126</f>
        <v>173.131754822318</v>
      </c>
      <c r="M3127" s="48" t="n">
        <f aca="false">Sens!$M$3121-Sens!$M$3125-Sens!$M$3126</f>
        <v>199.354460996181</v>
      </c>
      <c r="N3127" s="14"/>
      <c r="O3127" s="14"/>
    </row>
    <row r="3128" customFormat="false" ht="17.15" hidden="false" customHeight="false" outlineLevel="0" collapsed="false">
      <c r="A3128" s="5" t="s">
        <v>788</v>
      </c>
      <c r="B3128" s="0" t="s">
        <v>86</v>
      </c>
      <c r="C3128" s="38" t="n">
        <f aca="false">dps*Sens!$C$3107</f>
        <v>0</v>
      </c>
      <c r="D3128" s="38" t="n">
        <f aca="false">dps*Sens!$D$3107</f>
        <v>0</v>
      </c>
      <c r="E3128" s="38" t="n">
        <f aca="false">dps*Sens!$E$3107</f>
        <v>0</v>
      </c>
      <c r="F3128" s="38" t="n">
        <f aca="false">0</f>
        <v>0</v>
      </c>
      <c r="G3128" s="38" t="n">
        <f aca="false">dps*Sens!$G$3107</f>
        <v>0</v>
      </c>
      <c r="H3128" s="38" t="n">
        <f aca="false">dps*Sens!$H$3107</f>
        <v>0</v>
      </c>
      <c r="I3128" s="38" t="n">
        <f aca="false">dps*Sens!$I$3107</f>
        <v>0</v>
      </c>
      <c r="J3128" s="38" t="n">
        <f aca="false">dps*Sens!$J$3107</f>
        <v>0</v>
      </c>
      <c r="K3128" s="38" t="n">
        <f aca="false">dps*Sens!$K$3107</f>
        <v>0</v>
      </c>
      <c r="L3128" s="38" t="n">
        <f aca="false">dps*Sens!$L$3107</f>
        <v>0</v>
      </c>
      <c r="M3128" s="38" t="n">
        <f aca="false">dps*Sens!$M$3107</f>
        <v>0</v>
      </c>
      <c r="P3128" s="8" t="s">
        <v>789</v>
      </c>
    </row>
    <row r="3129" customFormat="false" ht="17.15" hidden="false" customHeight="false" outlineLevel="0" collapsed="false">
      <c r="A3129" s="5" t="s">
        <v>790</v>
      </c>
      <c r="B3129" s="0" t="s">
        <v>86</v>
      </c>
      <c r="C3129" s="38" t="n">
        <f aca="false">0</f>
        <v>0</v>
      </c>
      <c r="D3129" s="38" t="n">
        <f aca="false">0</f>
        <v>0</v>
      </c>
      <c r="E3129" s="38" t="n">
        <f aca="false">0</f>
        <v>0</v>
      </c>
      <c r="F3129" s="38" t="n">
        <f aca="false">0</f>
        <v>0</v>
      </c>
      <c r="G3129" s="38" t="n">
        <f aca="false">0</f>
        <v>0</v>
      </c>
      <c r="H3129" s="38" t="n">
        <f aca="false">0</f>
        <v>0</v>
      </c>
      <c r="I3129" s="38" t="n">
        <f aca="false">0</f>
        <v>0</v>
      </c>
      <c r="J3129" s="38" t="n">
        <f aca="false">0</f>
        <v>0</v>
      </c>
      <c r="K3129" s="38" t="n">
        <f aca="false">0</f>
        <v>0</v>
      </c>
      <c r="L3129" s="38" t="n">
        <f aca="false">0</f>
        <v>0</v>
      </c>
      <c r="M3129" s="38" t="n">
        <f aca="false">0</f>
        <v>0</v>
      </c>
      <c r="P3129" s="8" t="s">
        <v>791</v>
      </c>
    </row>
    <row r="3130" customFormat="false" ht="15" hidden="false" customHeight="false" outlineLevel="0" collapsed="false">
      <c r="A3130" s="3" t="s">
        <v>792</v>
      </c>
      <c r="B3130" s="8" t="s">
        <v>86</v>
      </c>
      <c r="C3130" s="38" t="n">
        <f aca="false">Sens!$C$3127-Sens!$C$3128</f>
        <v>36.176</v>
      </c>
      <c r="D3130" s="38" t="n">
        <f aca="false">Sens!$D$3127-Sens!$D$3128</f>
        <v>9.63700000000002</v>
      </c>
      <c r="E3130" s="38" t="n">
        <f aca="false">Sens!$E$3127-Sens!$E$3128</f>
        <v>-25.691</v>
      </c>
      <c r="F3130" s="38" t="n">
        <f aca="false">Sens!$F$3127-Sens!$F$3128</f>
        <v>-40.6834130116072</v>
      </c>
      <c r="G3130" s="38" t="n">
        <f aca="false">Sens!$G$3127-Sens!$G$3128</f>
        <v>-66.3744130116072</v>
      </c>
      <c r="H3130" s="38" t="n">
        <f aca="false">Sens!$H$3127-Sens!$H$3128</f>
        <v>-54.3160824018838</v>
      </c>
      <c r="I3130" s="38" t="n">
        <f aca="false">Sens!$I$3127-Sens!$I$3128</f>
        <v>-16.6435340406326</v>
      </c>
      <c r="J3130" s="38" t="n">
        <f aca="false">Sens!$J$3127-Sens!$J$3128</f>
        <v>22.3085465506319</v>
      </c>
      <c r="K3130" s="38" t="n">
        <f aca="false">Sens!$K$3127-Sens!$K$3128</f>
        <v>116.933201148235</v>
      </c>
      <c r="L3130" s="38" t="n">
        <f aca="false">Sens!$L$3127-Sens!$L$3128</f>
        <v>173.131754822318</v>
      </c>
      <c r="M3130" s="38" t="n">
        <f aca="false">Sens!$M$3127-Sens!$M$3128</f>
        <v>199.354460996181</v>
      </c>
    </row>
    <row r="3131" customFormat="false" ht="17.15" hidden="false" customHeight="false" outlineLevel="0" collapsed="false">
      <c r="A3131" s="5" t="s">
        <v>793</v>
      </c>
      <c r="B3131" s="0" t="s">
        <v>86</v>
      </c>
      <c r="E3131" s="38" t="n">
        <f aca="false">Q!$P$53</f>
        <v>39.767</v>
      </c>
      <c r="F3131" s="38" t="n">
        <f aca="false">inv_2h26</f>
        <v>21.3</v>
      </c>
      <c r="G3131" s="38" t="n">
        <f aca="false">Sens!$E$3131+Sens!$F$3131</f>
        <v>61.067</v>
      </c>
      <c r="H3131" s="39" t="n">
        <v>0</v>
      </c>
      <c r="I3131" s="39" t="n">
        <v>0</v>
      </c>
      <c r="J3131" s="39" t="n">
        <v>0</v>
      </c>
      <c r="K3131" s="39" t="n">
        <v>0</v>
      </c>
      <c r="L3131" s="39" t="n">
        <v>0</v>
      </c>
      <c r="M3131" s="39" t="n">
        <v>0</v>
      </c>
    </row>
    <row r="3132" customFormat="false" ht="17.15" hidden="false" customHeight="false" outlineLevel="0" collapsed="false">
      <c r="A3132" s="5" t="s">
        <v>794</v>
      </c>
      <c r="B3132" s="0" t="s">
        <v>86</v>
      </c>
      <c r="F3132" s="38" t="n">
        <f aca="false">iss_2h26</f>
        <v>29.249999</v>
      </c>
      <c r="G3132" s="38" t="n">
        <f aca="false">Sens!$F$3132</f>
        <v>29.249999</v>
      </c>
      <c r="H3132" s="39" t="n">
        <v>0</v>
      </c>
      <c r="I3132" s="39" t="n">
        <v>0</v>
      </c>
      <c r="J3132" s="39" t="n">
        <v>0</v>
      </c>
      <c r="K3132" s="39" t="n">
        <v>0</v>
      </c>
      <c r="L3132" s="39" t="n">
        <v>0</v>
      </c>
      <c r="M3132" s="39" t="n">
        <v>0</v>
      </c>
    </row>
    <row r="3133" customFormat="false" ht="17.15" hidden="false" customHeight="false" outlineLevel="0" collapsed="false">
      <c r="A3133" s="5" t="s">
        <v>795</v>
      </c>
      <c r="B3133" s="0" t="s">
        <v>86</v>
      </c>
      <c r="F3133" s="38" t="n">
        <f aca="false">cash_q2</f>
        <v>122.988</v>
      </c>
      <c r="G3133" s="38" t="n">
        <f aca="false">cash_q2</f>
        <v>122.988</v>
      </c>
      <c r="H3133" s="38" t="n">
        <f aca="false">Sens!$G$3136</f>
        <v>90.2545859883928</v>
      </c>
      <c r="I3133" s="38" t="n">
        <f aca="false">Sens!$H$3136</f>
        <v>50</v>
      </c>
      <c r="J3133" s="38" t="n">
        <f aca="false">Sens!$I$3136</f>
        <v>50</v>
      </c>
      <c r="K3133" s="38" t="n">
        <f aca="false">Sens!$J$3136</f>
        <v>72.3085465506319</v>
      </c>
      <c r="L3133" s="38" t="n">
        <f aca="false">Sens!$K$3136</f>
        <v>189.241747698867</v>
      </c>
      <c r="M3133" s="38" t="n">
        <f aca="false">Sens!$L$3136</f>
        <v>362.373502521185</v>
      </c>
    </row>
    <row r="3134" customFormat="false" ht="15" hidden="false" customHeight="false" outlineLevel="0" collapsed="false">
      <c r="A3134" s="5" t="s">
        <v>796</v>
      </c>
      <c r="B3134" s="0" t="s">
        <v>86</v>
      </c>
      <c r="F3134" s="38" t="n">
        <f aca="false">Sens!$F$3133+Sens!$F$3130-Sens!$F$3129-Sens!$F$3131+Sens!$F$3132</f>
        <v>90.2545859883928</v>
      </c>
      <c r="H3134" s="38" t="n">
        <f aca="false">Sens!$H$3133+Sens!$H$3130-Sens!$H$3129-Sens!$H$3131+Sens!$H$3132</f>
        <v>35.938503586509</v>
      </c>
      <c r="I3134" s="38" t="n">
        <f aca="false">Sens!$I$3133+Sens!$I$3130-Sens!$I$3129-Sens!$I$3131+Sens!$I$3132</f>
        <v>33.3564659593674</v>
      </c>
      <c r="J3134" s="38" t="n">
        <f aca="false">Sens!$J$3133+Sens!$J$3130-Sens!$J$3129-Sens!$J$3131+Sens!$J$3132</f>
        <v>72.3085465506319</v>
      </c>
      <c r="K3134" s="38" t="n">
        <f aca="false">Sens!$K$3133+Sens!$K$3130-Sens!$K$3129-Sens!$K$3131+Sens!$K$3132</f>
        <v>189.241747698867</v>
      </c>
      <c r="L3134" s="38" t="n">
        <f aca="false">Sens!$L$3133+Sens!$L$3130-Sens!$L$3129-Sens!$L$3131+Sens!$L$3132</f>
        <v>362.373502521185</v>
      </c>
      <c r="M3134" s="38" t="n">
        <f aca="false">Sens!$M$3133+Sens!$M$3130-Sens!$M$3129-Sens!$M$3131+Sens!$M$3132</f>
        <v>561.727963517366</v>
      </c>
    </row>
    <row r="3135" customFormat="false" ht="17.15" hidden="false" customHeight="false" outlineLevel="0" collapsed="false">
      <c r="A3135" s="5" t="s">
        <v>797</v>
      </c>
      <c r="B3135" s="0" t="s">
        <v>86</v>
      </c>
      <c r="F3135" s="38" t="n">
        <f aca="false">MAX(0,min_cash-Sens!$F$3134)</f>
        <v>0</v>
      </c>
      <c r="G3135" s="38" t="n">
        <f aca="false">Sens!$F$3135</f>
        <v>0</v>
      </c>
      <c r="H3135" s="38" t="n">
        <f aca="false">MAX(0,min_cash-Sens!$H$3134)</f>
        <v>14.061496413491</v>
      </c>
      <c r="I3135" s="38" t="n">
        <f aca="false">MAX(0,min_cash-Sens!$I$3134)</f>
        <v>16.6435340406326</v>
      </c>
      <c r="J3135" s="38" t="n">
        <f aca="false">MAX(0,min_cash-Sens!$J$3134)</f>
        <v>0</v>
      </c>
      <c r="K3135" s="38" t="n">
        <f aca="false">MAX(0,min_cash-Sens!$K$3134)</f>
        <v>0</v>
      </c>
      <c r="L3135" s="38" t="n">
        <f aca="false">MAX(0,min_cash-Sens!$L$3134)</f>
        <v>0</v>
      </c>
      <c r="M3135" s="38" t="n">
        <f aca="false">MAX(0,min_cash-Sens!$M$3134)</f>
        <v>0</v>
      </c>
      <c r="P3135" s="5" t="s">
        <v>798</v>
      </c>
    </row>
    <row r="3136" customFormat="false" ht="15" hidden="false" customHeight="false" outlineLevel="0" collapsed="false">
      <c r="A3136" s="5" t="s">
        <v>799</v>
      </c>
      <c r="B3136" s="0" t="s">
        <v>86</v>
      </c>
      <c r="D3136" s="38" t="n">
        <f aca="false">Q!$E$61</f>
        <v>123.029</v>
      </c>
      <c r="E3136" s="38" t="n">
        <f aca="false">Q!$M$61</f>
        <v>122.988</v>
      </c>
      <c r="F3136" s="38" t="n">
        <f aca="false">Sens!$F$3134+Sens!$F$3135</f>
        <v>90.2545859883928</v>
      </c>
      <c r="G3136" s="38" t="n">
        <f aca="false">Sens!$F$3136</f>
        <v>90.2545859883928</v>
      </c>
      <c r="H3136" s="38" t="n">
        <f aca="false">Sens!$H$3134+Sens!$H$3135</f>
        <v>50</v>
      </c>
      <c r="I3136" s="38" t="n">
        <f aca="false">Sens!$I$3134+Sens!$I$3135</f>
        <v>50</v>
      </c>
      <c r="J3136" s="38" t="n">
        <f aca="false">Sens!$J$3134+Sens!$J$3135</f>
        <v>72.3085465506319</v>
      </c>
      <c r="K3136" s="38" t="n">
        <f aca="false">Sens!$K$3134+Sens!$K$3135</f>
        <v>189.241747698867</v>
      </c>
      <c r="L3136" s="38" t="n">
        <f aca="false">Sens!$L$3134+Sens!$L$3135</f>
        <v>362.373502521185</v>
      </c>
      <c r="M3136" s="38" t="n">
        <f aca="false">Sens!$M$3134+Sens!$M$3135</f>
        <v>561.727963517366</v>
      </c>
    </row>
    <row r="3137" customFormat="false" ht="15" hidden="false" customHeight="false" outlineLevel="0" collapsed="false">
      <c r="A3137" s="5" t="s">
        <v>800</v>
      </c>
      <c r="B3137" s="0" t="s">
        <v>86</v>
      </c>
      <c r="D3137" s="38" t="n">
        <f aca="false">Q!$E$62</f>
        <v>68.836</v>
      </c>
      <c r="E3137" s="38" t="n">
        <f aca="false">Q!$M$62</f>
        <v>132.995</v>
      </c>
      <c r="F3137" s="38" t="n">
        <f aca="false">debt_q2+Sens!$F$3132+Sens!$F$3135</f>
        <v>162.244999</v>
      </c>
      <c r="G3137" s="38" t="n">
        <f aca="false">Sens!$F$3137</f>
        <v>162.244999</v>
      </c>
      <c r="H3137" s="38" t="n">
        <f aca="false">Sens!$G$3137+Sens!$H$3135</f>
        <v>176.306495413491</v>
      </c>
      <c r="I3137" s="38" t="n">
        <f aca="false">Sens!$H$3137+Sens!$I$3135</f>
        <v>192.950029454124</v>
      </c>
      <c r="J3137" s="38" t="n">
        <f aca="false">Sens!$I$3137+Sens!$J$3135</f>
        <v>192.950029454124</v>
      </c>
      <c r="K3137" s="38" t="n">
        <f aca="false">Sens!$J$3137+Sens!$K$3135</f>
        <v>192.950029454124</v>
      </c>
      <c r="L3137" s="38" t="n">
        <f aca="false">Sens!$K$3137+Sens!$L$3135</f>
        <v>192.950029454124</v>
      </c>
      <c r="M3137" s="38" t="n">
        <f aca="false">Sens!$L$3137+Sens!$M$3135</f>
        <v>192.950029454124</v>
      </c>
    </row>
    <row r="3138" customFormat="false" ht="15" hidden="false" customHeight="false" outlineLevel="0" collapsed="false">
      <c r="A3138" s="5" t="s">
        <v>801</v>
      </c>
      <c r="B3138" s="0" t="s">
        <v>86</v>
      </c>
      <c r="D3138" s="38" t="n">
        <f aca="false">Sens!$D$3137-Sens!$D$3136</f>
        <v>-54.193</v>
      </c>
      <c r="E3138" s="38" t="n">
        <f aca="false">Sens!$E$3137-Sens!$E$3136</f>
        <v>10.007</v>
      </c>
      <c r="F3138" s="38" t="n">
        <f aca="false">Sens!$F$3137-Sens!$F$3136</f>
        <v>71.9904130116072</v>
      </c>
      <c r="G3138" s="38" t="n">
        <f aca="false">Sens!$G$3137-Sens!$G$3136</f>
        <v>71.9904130116072</v>
      </c>
      <c r="H3138" s="38" t="n">
        <f aca="false">Sens!$H$3137-Sens!$H$3136</f>
        <v>126.306495413491</v>
      </c>
      <c r="I3138" s="38" t="n">
        <f aca="false">Sens!$I$3137-Sens!$I$3136</f>
        <v>142.950029454124</v>
      </c>
      <c r="J3138" s="38" t="n">
        <f aca="false">Sens!$J$3137-Sens!$J$3136</f>
        <v>120.641482903492</v>
      </c>
      <c r="K3138" s="38" t="n">
        <f aca="false">Sens!$K$3137-Sens!$K$3136</f>
        <v>3.70828175525674</v>
      </c>
      <c r="L3138" s="38" t="n">
        <f aca="false">Sens!$L$3137-Sens!$L$3136</f>
        <v>-169.423473067061</v>
      </c>
      <c r="M3138" s="38" t="n">
        <f aca="false">Sens!$M$3137-Sens!$M$3136</f>
        <v>-368.777934063242</v>
      </c>
    </row>
    <row r="3139" customFormat="false" ht="17.15" hidden="false" customHeight="false" outlineLevel="0" collapsed="false">
      <c r="A3139" s="5" t="s">
        <v>802</v>
      </c>
      <c r="B3139" s="0" t="s">
        <v>86</v>
      </c>
      <c r="F3139" s="38" t="n">
        <f aca="false">debt_q2*kd_book*0.5+iss_2h26*kd_new*iss_t</f>
        <v>3.24888962733561</v>
      </c>
      <c r="H3139" s="38" t="n">
        <f aca="false">debt_q2*kd_book+(Sens!$G$3137-debt_q2)*kd_new</f>
        <v>7.42354172302123</v>
      </c>
      <c r="I3139" s="38" t="n">
        <f aca="false">debt_q2*kd_book+(Sens!$H$3137-debt_q2)*kd_new</f>
        <v>8.31363444599521</v>
      </c>
      <c r="J3139" s="38" t="n">
        <f aca="false">debt_q2*kd_book+(Sens!$I$3137-debt_q2)*kd_new</f>
        <v>9.36717015076725</v>
      </c>
      <c r="K3139" s="38" t="n">
        <f aca="false">debt_q2*kd_book+(Sens!$J$3137-debt_q2)*kd_new</f>
        <v>9.36717015076725</v>
      </c>
      <c r="L3139" s="38" t="n">
        <f aca="false">debt_q2*kd_book+(Sens!$K$3137-debt_q2)*kd_new</f>
        <v>9.36717015076725</v>
      </c>
      <c r="M3139" s="38" t="n">
        <f aca="false">debt_q2*kd_book+(Sens!$L$3137-debt_q2)*kd_new</f>
        <v>9.36717015076725</v>
      </c>
    </row>
    <row r="3140" customFormat="false" ht="17.15" hidden="false" customHeight="false" outlineLevel="0" collapsed="false">
      <c r="A3140" s="5" t="s">
        <v>803</v>
      </c>
      <c r="B3140" s="0" t="s">
        <v>86</v>
      </c>
      <c r="F3140" s="38" t="n">
        <f aca="false">cash_q2*y_cash*0.5</f>
        <v>2.59</v>
      </c>
      <c r="H3140" s="38" t="n">
        <f aca="false">Sens!$G$3136*y_cash</f>
        <v>3.80133635330174</v>
      </c>
      <c r="I3140" s="38" t="n">
        <f aca="false">Sens!$H$3136*y_cash</f>
        <v>2.10589651022864</v>
      </c>
      <c r="J3140" s="38" t="n">
        <f aca="false">Sens!$I$3136*y_cash</f>
        <v>2.10589651022864</v>
      </c>
      <c r="K3140" s="38" t="n">
        <f aca="false">Sens!$J$3136*y_cash</f>
        <v>3.04548631681362</v>
      </c>
      <c r="L3140" s="38" t="n">
        <f aca="false">Sens!$K$3136*y_cash</f>
        <v>7.97047072137225</v>
      </c>
      <c r="M3140" s="38" t="n">
        <f aca="false">Sens!$L$3136*y_cash</f>
        <v>15.2624218871739</v>
      </c>
    </row>
    <row r="3141" customFormat="false" ht="17.15" hidden="false" customHeight="false" outlineLevel="0" collapsed="false">
      <c r="A3141" s="47" t="s">
        <v>804</v>
      </c>
      <c r="B3141" s="14" t="s">
        <v>86</v>
      </c>
      <c r="C3141" s="14"/>
      <c r="D3141" s="14"/>
      <c r="E3141" s="14"/>
      <c r="F3141" s="14"/>
      <c r="G3141" s="48" t="n">
        <f aca="false">SUM(Sens!$G$3130:$K$3130)</f>
        <v>1.90771824474325</v>
      </c>
      <c r="H3141" s="14"/>
      <c r="I3141" s="14"/>
      <c r="J3141" s="14"/>
      <c r="K3141" s="14"/>
      <c r="L3141" s="14"/>
      <c r="M3141" s="14"/>
      <c r="N3141" s="14"/>
      <c r="O3141" s="14"/>
    </row>
    <row r="3142" customFormat="false" ht="17.15" hidden="false" customHeight="false" outlineLevel="0" collapsed="false">
      <c r="A3142" s="0" t="s">
        <v>770</v>
      </c>
      <c r="B3142" s="0" t="s">
        <v>86</v>
      </c>
      <c r="G3142" s="38" t="n">
        <f aca="false">SUM(Sens!$G$3135:$K$3135)</f>
        <v>30.7050304541236</v>
      </c>
    </row>
    <row r="3143" customFormat="false" ht="17.15" hidden="false" customHeight="false" outlineLevel="0" collapsed="false">
      <c r="A3143" s="24" t="s">
        <v>807</v>
      </c>
      <c r="B3143" s="25" t="s">
        <v>86</v>
      </c>
      <c r="C3143" s="25"/>
      <c r="D3143" s="25"/>
      <c r="E3143" s="25"/>
      <c r="F3143" s="25"/>
      <c r="G3143" s="41" t="n">
        <f aca="false">Sens!$G$3141-(Sens!$G$3130+Sens!$H$3130+Sens!$I$3130+Sens!$J$3130+Sens!$K$3130)</f>
        <v>-2.8421709430404E-014</v>
      </c>
      <c r="H3143" s="25"/>
      <c r="I3143" s="25"/>
      <c r="J3143" s="25"/>
      <c r="K3143" s="25"/>
      <c r="L3143" s="25"/>
      <c r="M3143" s="25"/>
      <c r="N3143" s="25"/>
      <c r="O3143" s="25"/>
    </row>
    <row r="3146" customFormat="false" ht="19.4" hidden="false" customHeight="false" outlineLevel="0" collapsed="false">
      <c r="A3146" s="31" t="s">
        <v>1191</v>
      </c>
    </row>
    <row r="3147" customFormat="false" ht="17.15" hidden="false" customHeight="false" outlineLevel="0" collapsed="false">
      <c r="A3147" s="6" t="s">
        <v>16</v>
      </c>
      <c r="B3147" s="6" t="s">
        <v>17</v>
      </c>
      <c r="C3147" s="20" t="s">
        <v>494</v>
      </c>
      <c r="D3147" s="20" t="s">
        <v>495</v>
      </c>
      <c r="E3147" s="20" t="s">
        <v>577</v>
      </c>
      <c r="F3147" s="20" t="s">
        <v>578</v>
      </c>
      <c r="G3147" s="20" t="s">
        <v>579</v>
      </c>
      <c r="H3147" s="20" t="s">
        <v>580</v>
      </c>
      <c r="I3147" s="20" t="s">
        <v>581</v>
      </c>
      <c r="J3147" s="20" t="s">
        <v>582</v>
      </c>
      <c r="K3147" s="20" t="s">
        <v>583</v>
      </c>
      <c r="L3147" s="20" t="s">
        <v>584</v>
      </c>
      <c r="M3147" s="20" t="s">
        <v>585</v>
      </c>
      <c r="N3147" s="20" t="s">
        <v>586</v>
      </c>
      <c r="O3147" s="20" t="s">
        <v>587</v>
      </c>
      <c r="P3147" s="6" t="s">
        <v>23</v>
      </c>
      <c r="R3147" s="20" t="n">
        <v>2023</v>
      </c>
      <c r="S3147" s="20" t="n">
        <v>2024</v>
      </c>
      <c r="T3147" s="20" t="n">
        <v>2025</v>
      </c>
      <c r="U3147" s="20" t="n">
        <v>2026</v>
      </c>
      <c r="V3147" s="20" t="n">
        <v>2027</v>
      </c>
      <c r="W3147" s="20" t="n">
        <v>2028</v>
      </c>
      <c r="X3147" s="20" t="n">
        <v>2029</v>
      </c>
      <c r="Y3147" s="20" t="n">
        <v>2030</v>
      </c>
      <c r="Z3147" s="20" t="n">
        <v>2031</v>
      </c>
      <c r="AA3147" s="20" t="n">
        <v>2032</v>
      </c>
    </row>
    <row r="3148" customFormat="false" ht="17.15" hidden="false" customHeight="false" outlineLevel="0" collapsed="false">
      <c r="A3148" s="1" t="s">
        <v>909</v>
      </c>
    </row>
    <row r="3149" customFormat="false" ht="17.15" hidden="false" customHeight="false" outlineLevel="0" collapsed="false">
      <c r="A3149" s="0" t="s">
        <v>910</v>
      </c>
      <c r="B3149" s="0" t="s">
        <v>86</v>
      </c>
      <c r="H3149" s="38" t="n">
        <f aca="false">Sens!$H$3083*(1-tax)</f>
        <v>117.100858300916</v>
      </c>
      <c r="I3149" s="38" t="n">
        <f aca="false">Sens!$I$3083*(1-tax)</f>
        <v>141.716944507212</v>
      </c>
      <c r="J3149" s="38" t="n">
        <f aca="false">Sens!$J$3083*(1-tax)</f>
        <v>164.560434260297</v>
      </c>
      <c r="K3149" s="38" t="n">
        <f aca="false">Sens!$K$3083*(1-tax)</f>
        <v>179.869076459245</v>
      </c>
      <c r="L3149" s="38" t="n">
        <f aca="false">Sens!$L$3083*(1-tax)</f>
        <v>193.189042103683</v>
      </c>
      <c r="M3149" s="38" t="n">
        <f aca="false">Sens!$M$3083*(1-tax)</f>
        <v>203.582381108884</v>
      </c>
    </row>
    <row r="3150" customFormat="false" ht="15" hidden="false" customHeight="false" outlineLevel="0" collapsed="false">
      <c r="A3150" s="5" t="s">
        <v>911</v>
      </c>
      <c r="B3150" s="0" t="s">
        <v>86</v>
      </c>
      <c r="H3150" s="38" t="n">
        <f aca="false">Sens!$H$3094</f>
        <v>84.150471221261</v>
      </c>
      <c r="I3150" s="38" t="n">
        <f aca="false">Sens!$I$3094</f>
        <v>116.485342116666</v>
      </c>
      <c r="J3150" s="38" t="n">
        <f aca="false">Sens!$J$3094</f>
        <v>149.281928671318</v>
      </c>
      <c r="K3150" s="38" t="n">
        <f aca="false">Sens!$K$3094</f>
        <v>182.002368317095</v>
      </c>
      <c r="L3150" s="38" t="n">
        <f aca="false">Sens!$L$3094</f>
        <v>204.493200658534</v>
      </c>
      <c r="M3150" s="38" t="n">
        <f aca="false">Sens!$M$3094</f>
        <v>219.505727223624</v>
      </c>
    </row>
    <row r="3151" customFormat="false" ht="15" hidden="false" customHeight="false" outlineLevel="0" collapsed="false">
      <c r="A3151" s="5" t="s">
        <v>912</v>
      </c>
      <c r="B3151" s="0" t="s">
        <v>86</v>
      </c>
      <c r="H3151" s="38" t="n">
        <f aca="false">Sens!$H$3125</f>
        <v>273.15806291467</v>
      </c>
      <c r="I3151" s="38" t="n">
        <f aca="false">Sens!$I$3125</f>
        <v>286.26370108263</v>
      </c>
      <c r="J3151" s="38" t="n">
        <f aca="false">Sens!$J$3125</f>
        <v>297.741784266985</v>
      </c>
      <c r="K3151" s="38" t="n">
        <f aca="false">Sens!$K$3125</f>
        <v>248.229026717067</v>
      </c>
      <c r="L3151" s="38" t="n">
        <f aca="false">Sens!$L$3125</f>
        <v>230.458180638872</v>
      </c>
      <c r="M3151" s="38" t="n">
        <f aca="false">Sens!$M$3125</f>
        <v>236.471522785291</v>
      </c>
    </row>
    <row r="3152" customFormat="false" ht="15" hidden="false" customHeight="false" outlineLevel="0" collapsed="false">
      <c r="A3152" s="5" t="s">
        <v>913</v>
      </c>
      <c r="B3152" s="0" t="s">
        <v>86</v>
      </c>
      <c r="H3152" s="38" t="n">
        <f aca="false">Sens!$H$3126</f>
        <v>1.6</v>
      </c>
      <c r="I3152" s="38" t="n">
        <f aca="false">Sens!$I$3126</f>
        <v>1.6</v>
      </c>
      <c r="J3152" s="38" t="n">
        <f aca="false">Sens!$J$3126</f>
        <v>1.6</v>
      </c>
      <c r="K3152" s="38" t="n">
        <f aca="false">Sens!$K$3126</f>
        <v>1.6</v>
      </c>
      <c r="L3152" s="38" t="n">
        <f aca="false">Sens!$L$3126</f>
        <v>1.6</v>
      </c>
      <c r="M3152" s="38" t="n">
        <f aca="false">Sens!$M$3126</f>
        <v>1.6</v>
      </c>
    </row>
    <row r="3153" customFormat="false" ht="15" hidden="false" customHeight="false" outlineLevel="0" collapsed="false">
      <c r="A3153" s="5" t="s">
        <v>914</v>
      </c>
      <c r="B3153" s="0" t="s">
        <v>86</v>
      </c>
      <c r="H3153" s="38" t="n">
        <f aca="false">Sens!$H$3120</f>
        <v>11.2799690567314</v>
      </c>
      <c r="I3153" s="38" t="n">
        <f aca="false">Sens!$I$3120</f>
        <v>12.7661233046502</v>
      </c>
      <c r="J3153" s="38" t="n">
        <f aca="false">Sens!$J$3120</f>
        <v>14.1662029712253</v>
      </c>
      <c r="K3153" s="38" t="n">
        <f aca="false">Sens!$K$3120</f>
        <v>15.363293148374</v>
      </c>
      <c r="L3153" s="38" t="n">
        <f aca="false">Sens!$L$3120</f>
        <v>16.4666114587664</v>
      </c>
      <c r="M3153" s="38" t="n">
        <f aca="false">Sens!$M$3120</f>
        <v>17.4795510581677</v>
      </c>
    </row>
    <row r="3154" customFormat="false" ht="17.15" hidden="false" customHeight="false" outlineLevel="0" collapsed="false">
      <c r="A3154" s="1" t="s">
        <v>915</v>
      </c>
      <c r="B3154" s="8" t="s">
        <v>86</v>
      </c>
      <c r="H3154" s="38" t="n">
        <f aca="false">Sens!$H$3149+Sens!$H$3150-Sens!$H$3151-Sens!$H$3152+Sens!$H$3153</f>
        <v>-62.2267643357619</v>
      </c>
      <c r="I3154" s="38" t="n">
        <f aca="false">Sens!$I$3149+Sens!$I$3150-Sens!$I$3151-Sens!$I$3152+Sens!$I$3153</f>
        <v>-16.895291154101</v>
      </c>
      <c r="J3154" s="38" t="n">
        <f aca="false">Sens!$J$3149+Sens!$J$3150-Sens!$J$3151-Sens!$J$3152+Sens!$J$3153</f>
        <v>28.6667816358553</v>
      </c>
      <c r="K3154" s="38" t="n">
        <f aca="false">Sens!$K$3149+Sens!$K$3150-Sens!$K$3151-Sens!$K$3152+Sens!$K$3153</f>
        <v>127.405711207647</v>
      </c>
      <c r="L3154" s="38" t="n">
        <f aca="false">Sens!$L$3149+Sens!$L$3150-Sens!$L$3151-Sens!$L$3152+Sens!$L$3153</f>
        <v>182.090673582111</v>
      </c>
      <c r="M3154" s="38" t="n">
        <f aca="false">Sens!$M$3149+Sens!$M$3150-Sens!$M$3151-Sens!$M$3152+Sens!$M$3153</f>
        <v>202.496136605384</v>
      </c>
    </row>
    <row r="3155" customFormat="false" ht="15" hidden="false" customHeight="false" outlineLevel="0" collapsed="false">
      <c r="A3155" s="5" t="s">
        <v>916</v>
      </c>
      <c r="B3155" s="0" t="s">
        <v>57</v>
      </c>
      <c r="H3155" s="40" t="n">
        <f aca="false">1/(1+wacc)^(2027-2026-0.5)</f>
        <v>0.947751320380232</v>
      </c>
      <c r="I3155" s="40" t="n">
        <f aca="false">1/(1+wacc)^(2028-2026-0.5)</f>
        <v>0.851301099754987</v>
      </c>
      <c r="J3155" s="40" t="n">
        <f aca="false">1/(1+wacc)^(2029-2026-0.5)</f>
        <v>0.764666370660713</v>
      </c>
      <c r="K3155" s="40" t="n">
        <f aca="false">1/(1+wacc)^(2030-2026-0.5)</f>
        <v>0.686848235703811</v>
      </c>
      <c r="L3155" s="40" t="n">
        <f aca="false">1/(1+wacc)^(2031-2026-0.5)</f>
        <v>0.616949452715975</v>
      </c>
      <c r="M3155" s="40" t="n">
        <f aca="false">1/(1+wacc)^(2032-2026-0.5)</f>
        <v>0.554164089562688</v>
      </c>
    </row>
    <row r="3156" customFormat="false" ht="15" hidden="false" customHeight="false" outlineLevel="0" collapsed="false">
      <c r="A3156" s="5" t="s">
        <v>917</v>
      </c>
      <c r="B3156" s="0" t="s">
        <v>86</v>
      </c>
      <c r="H3156" s="38" t="n">
        <f aca="false">Sens!$H$3154*Sens!$H$3155</f>
        <v>-58.9754980622079</v>
      </c>
      <c r="I3156" s="38" t="n">
        <f aca="false">Sens!$I$3154*Sens!$I$3155</f>
        <v>-14.3829799401669</v>
      </c>
      <c r="J3156" s="38" t="n">
        <f aca="false">Sens!$J$3154*Sens!$J$3155</f>
        <v>21.9205238720126</v>
      </c>
      <c r="K3156" s="38" t="n">
        <f aca="false">Sens!$K$3154*Sens!$K$3155</f>
        <v>87.5083879615617</v>
      </c>
      <c r="L3156" s="38" t="n">
        <f aca="false">Sens!$L$3154*Sens!$L$3155</f>
        <v>112.340741411167</v>
      </c>
      <c r="M3156" s="38" t="n">
        <f aca="false">Sens!$M$3154*Sens!$M$3155</f>
        <v>112.216087181885</v>
      </c>
    </row>
    <row r="3157" customFormat="false" ht="15" hidden="false" customHeight="false" outlineLevel="0" collapsed="false">
      <c r="A3157" s="5" t="s">
        <v>918</v>
      </c>
      <c r="B3157" s="0" t="s">
        <v>86</v>
      </c>
      <c r="C3157" s="38" t="n">
        <f aca="false">SUM(Sens!$H$3156:$M$3156)</f>
        <v>260.627262424251</v>
      </c>
    </row>
    <row r="3158" customFormat="false" ht="17.15" hidden="false" customHeight="false" outlineLevel="0" collapsed="false">
      <c r="A3158" s="5" t="s">
        <v>919</v>
      </c>
      <c r="B3158" s="0" t="s">
        <v>86</v>
      </c>
      <c r="C3158" s="38" t="n">
        <f aca="false">Sens!$M$3149*(1+tg)*(1-tg/ronic)/(wacc-tg)</f>
        <v>1850.79101861453</v>
      </c>
    </row>
    <row r="3159" customFormat="false" ht="15" hidden="false" customHeight="false" outlineLevel="0" collapsed="false">
      <c r="A3159" s="5" t="s">
        <v>920</v>
      </c>
      <c r="B3159" s="0" t="s">
        <v>86</v>
      </c>
      <c r="C3159" s="38" t="n">
        <f aca="false">Sens!$C$3158/(1+wacc)^6</f>
        <v>972.053483729021</v>
      </c>
    </row>
    <row r="3160" customFormat="false" ht="17.15" hidden="false" customHeight="false" outlineLevel="0" collapsed="false">
      <c r="A3160" s="5" t="s">
        <v>921</v>
      </c>
      <c r="B3160" s="0" t="s">
        <v>86</v>
      </c>
      <c r="C3160" s="38" t="n">
        <f aca="false">Sens!$C$3157+Sens!$C$3159</f>
        <v>1232.68074615327</v>
      </c>
    </row>
    <row r="3161" customFormat="false" ht="17.15" hidden="false" customHeight="false" outlineLevel="0" collapsed="false">
      <c r="A3161" s="5" t="s">
        <v>922</v>
      </c>
      <c r="B3161" s="0" t="s">
        <v>52</v>
      </c>
      <c r="C3161" s="13" t="n">
        <f aca="false">Sens!$C$3159/Sens!$C$3160</f>
        <v>0.788568724515598</v>
      </c>
    </row>
    <row r="3162" customFormat="false" ht="17.15" hidden="false" customHeight="false" outlineLevel="0" collapsed="false">
      <c r="A3162" s="5" t="s">
        <v>923</v>
      </c>
      <c r="B3162" s="0" t="s">
        <v>86</v>
      </c>
      <c r="C3162" s="38" t="n">
        <f aca="false">Sens!$G$3138+fin_debt</f>
        <v>96.5114130116072</v>
      </c>
    </row>
    <row r="3163" customFormat="false" ht="17.15" hidden="false" customHeight="false" outlineLevel="0" collapsed="false">
      <c r="A3163" s="5" t="s">
        <v>924</v>
      </c>
      <c r="B3163" s="0" t="s">
        <v>86</v>
      </c>
      <c r="C3163" s="38" t="n">
        <f aca="false">(ant_val*ant_sh+oai_val*oai_sh)*(1-liq_disc)</f>
        <v>178.944</v>
      </c>
    </row>
    <row r="3164" customFormat="false" ht="15" hidden="false" customHeight="false" outlineLevel="0" collapsed="false">
      <c r="A3164" s="5" t="s">
        <v>925</v>
      </c>
      <c r="B3164" s="0" t="s">
        <v>86</v>
      </c>
      <c r="C3164" s="38" t="n">
        <f aca="false">Sens!$C$3160-Sens!$C$3162+Sens!$C$3163</f>
        <v>1315.11333314166</v>
      </c>
    </row>
    <row r="3165" customFormat="false" ht="17.15" hidden="false" customHeight="false" outlineLevel="0" collapsed="false">
      <c r="A3165" s="5" t="s">
        <v>926</v>
      </c>
      <c r="B3165" s="0" t="s">
        <v>27</v>
      </c>
      <c r="C3165" s="30" t="n">
        <f aca="false">Sens!$C$3164/sh_out</f>
        <v>121.924258198089</v>
      </c>
    </row>
    <row r="3166" customFormat="false" ht="17.15" hidden="false" customHeight="false" outlineLevel="0" collapsed="false">
      <c r="A3166" s="1" t="s">
        <v>927</v>
      </c>
      <c r="B3166" s="8" t="s">
        <v>27</v>
      </c>
      <c r="C3166" s="30" t="n">
        <f aca="false">Sens!$C$3165*(1+ke)^tp_yf-dps*tp_yf</f>
        <v>133.552034059717</v>
      </c>
    </row>
    <row r="3167" customFormat="false" ht="17.15" hidden="false" customHeight="false" outlineLevel="0" collapsed="false">
      <c r="A3167" s="3" t="s">
        <v>928</v>
      </c>
    </row>
    <row r="3168" customFormat="false" ht="17.15" hidden="false" customHeight="false" outlineLevel="0" collapsed="false">
      <c r="A3168" s="5" t="s">
        <v>929</v>
      </c>
      <c r="B3168" s="0" t="s">
        <v>86</v>
      </c>
      <c r="C3168" s="38" t="n">
        <f aca="false">(1-tp_yf)*(Sens!$H$3095+Sens!$H$3119*Sens!$H$2961/Sens!$H$3036)+tp_yf*(Sens!$I$3095+Sens!$I$3119*Sens!$I$2961/Sens!$I$3036)</f>
        <v>59.634664536349</v>
      </c>
    </row>
    <row r="3169" customFormat="false" ht="15" hidden="false" customHeight="false" outlineLevel="0" collapsed="false">
      <c r="A3169" s="5" t="s">
        <v>930</v>
      </c>
      <c r="B3169" s="0" t="s">
        <v>57</v>
      </c>
      <c r="C3169" s="30" t="n">
        <f aca="false">m_ads*m_x</f>
        <v>9.11</v>
      </c>
    </row>
    <row r="3170" customFormat="false" ht="17.15" hidden="false" customHeight="false" outlineLevel="0" collapsed="false">
      <c r="A3170" s="5" t="s">
        <v>931</v>
      </c>
      <c r="B3170" s="0" t="s">
        <v>86</v>
      </c>
      <c r="C3170" s="38" t="n">
        <f aca="false">Sens!$C$3168*Sens!$C$3169</f>
        <v>543.271793926139</v>
      </c>
    </row>
    <row r="3171" customFormat="false" ht="17.15" hidden="false" customHeight="false" outlineLevel="0" collapsed="false">
      <c r="A3171" s="5" t="s">
        <v>932</v>
      </c>
      <c r="B3171" s="0" t="s">
        <v>86</v>
      </c>
      <c r="C3171" s="38" t="n">
        <f aca="false">(1-tp_yf)*(Sens!$H$3096+Sens!$H$3119*(Sens!$H$2968-Sens!$H$2961)/Sens!$H$3036+IF(internal_ai_reading=2,1,0)*(1-ext_sh)*Sens!$H$2998)+tp_yf*(Sens!$I$3096+Sens!$I$3119*(Sens!$I$2968-Sens!$I$2961)/Sens!$I$3036+IF(internal_ai_reading=2,1,0)*(1-ext_sh)*Sens!$I$2998)</f>
        <v>51.7770728324773</v>
      </c>
    </row>
    <row r="3172" customFormat="false" ht="17.15" hidden="false" customHeight="false" outlineLevel="0" collapsed="false">
      <c r="A3172" s="5" t="s">
        <v>933</v>
      </c>
      <c r="B3172" s="0" t="s">
        <v>57</v>
      </c>
      <c r="C3172" s="30" t="n">
        <f aca="false">m_retail*m_x</f>
        <v>17.72</v>
      </c>
    </row>
    <row r="3173" customFormat="false" ht="17.15" hidden="false" customHeight="false" outlineLevel="0" collapsed="false">
      <c r="A3173" s="5" t="s">
        <v>934</v>
      </c>
      <c r="B3173" s="0" t="s">
        <v>86</v>
      </c>
      <c r="C3173" s="38" t="n">
        <f aca="false">Sens!$C$3171*Sens!$C$3172</f>
        <v>917.489730591498</v>
      </c>
    </row>
    <row r="3174" customFormat="false" ht="17.15" hidden="false" customHeight="false" outlineLevel="0" collapsed="false">
      <c r="A3174" s="0" t="s">
        <v>935</v>
      </c>
      <c r="B3174" s="0" t="s">
        <v>86</v>
      </c>
      <c r="C3174" s="38" t="n">
        <f aca="false">(1-tp_yf)*(Sens!$H$3097+Sens!$H$3119*Sens!$H$3034/Sens!$H$3036)+tp_yf*(Sens!$I$3097+Sens!$I$3119*Sens!$I$3034/Sens!$I$3036)</f>
        <v>95.5946207596118</v>
      </c>
    </row>
    <row r="3175" customFormat="false" ht="17.15" hidden="false" customHeight="false" outlineLevel="0" collapsed="false">
      <c r="A3175" s="0" t="s">
        <v>936</v>
      </c>
      <c r="B3175" s="0" t="s">
        <v>57</v>
      </c>
      <c r="C3175" s="30" t="n">
        <f aca="false">m_cloud*m_x</f>
        <v>13.82</v>
      </c>
    </row>
    <row r="3176" customFormat="false" ht="17.15" hidden="false" customHeight="false" outlineLevel="0" collapsed="false">
      <c r="A3176" s="0" t="s">
        <v>937</v>
      </c>
      <c r="B3176" s="0" t="s">
        <v>86</v>
      </c>
      <c r="C3176" s="38" t="n">
        <f aca="false">Sens!$C$3174*Sens!$C$3175</f>
        <v>1321.11765889783</v>
      </c>
    </row>
    <row r="3177" customFormat="false" ht="17.15" hidden="false" customHeight="false" outlineLevel="0" collapsed="false">
      <c r="A3177" s="0" t="s">
        <v>938</v>
      </c>
      <c r="B3177" s="0" t="s">
        <v>86</v>
      </c>
      <c r="H3177" s="38" t="n">
        <f aca="false">Sens!$H$3015-tax*Sens!$H$3016-ext_sh*Sens!$H$3005</f>
        <v>-114.686944664267</v>
      </c>
      <c r="I3177" s="38" t="n">
        <f aca="false">Sens!$I$3015-tax*Sens!$I$3016-ext_sh*Sens!$I$3005</f>
        <v>-88.3950641557111</v>
      </c>
      <c r="J3177" s="38" t="n">
        <f aca="false">Sens!$J$3015-tax*Sens!$J$3016-ext_sh*Sens!$J$3005</f>
        <v>-61.1526151740695</v>
      </c>
      <c r="K3177" s="38" t="n">
        <f aca="false">Sens!$K$3015-tax*Sens!$K$3016-ext_sh*Sens!$K$3005</f>
        <v>10.057774712684</v>
      </c>
      <c r="L3177" s="38" t="n">
        <f aca="false">Sens!$L$3015-tax*Sens!$L$3016-ext_sh*Sens!$L$3005</f>
        <v>46.6587675560356</v>
      </c>
      <c r="M3177" s="38" t="n">
        <f aca="false">Sens!$M$3015-tax*Sens!$M$3016-ext_sh*Sens!$M$3005</f>
        <v>55.3915455321129</v>
      </c>
    </row>
    <row r="3178" customFormat="false" ht="17.15" hidden="false" customHeight="false" outlineLevel="0" collapsed="false">
      <c r="A3178" s="5" t="s">
        <v>939</v>
      </c>
      <c r="B3178" s="0" t="s">
        <v>86</v>
      </c>
      <c r="H3178" s="38" t="n">
        <f aca="false">Sens!$H$3177*Sens!$H$3155</f>
        <v>-108.694703235934</v>
      </c>
      <c r="I3178" s="38" t="n">
        <f aca="false">Sens!$I$3177*Sens!$I$3155</f>
        <v>-75.2508153286695</v>
      </c>
      <c r="J3178" s="38" t="n">
        <f aca="false">Sens!$J$3177*Sens!$J$3155</f>
        <v>-46.761348301567</v>
      </c>
      <c r="K3178" s="38" t="n">
        <f aca="false">Sens!$K$3177*Sens!$K$3155</f>
        <v>6.90816481651338</v>
      </c>
      <c r="L3178" s="38" t="n">
        <f aca="false">Sens!$L$3177*Sens!$L$3155</f>
        <v>28.7861011080981</v>
      </c>
      <c r="M3178" s="38" t="n">
        <f aca="false">Sens!$M$3177*Sens!$M$3155</f>
        <v>30.6960053992735</v>
      </c>
    </row>
    <row r="3179" customFormat="false" ht="17.15" hidden="false" customHeight="false" outlineLevel="0" collapsed="false">
      <c r="A3179" s="5" t="s">
        <v>940</v>
      </c>
      <c r="B3179" s="0" t="s">
        <v>86</v>
      </c>
      <c r="C3179" s="38" t="n">
        <f aca="false">Sens!$M$3016*(1-tax)*(1+tg)*(1-tg/ronic)/(wacc-tg)</f>
        <v>363.621782500497</v>
      </c>
    </row>
    <row r="3180" customFormat="false" ht="17.15" hidden="false" customHeight="false" outlineLevel="0" collapsed="false">
      <c r="A3180" s="0" t="s">
        <v>941</v>
      </c>
      <c r="B3180" s="0" t="s">
        <v>86</v>
      </c>
      <c r="C3180" s="38" t="n">
        <f aca="false">(SUM(Sens!$H$3178:$M$3178)+Sens!$C$3179/(1+wacc)^6)*(1+wacc)^tp_yf</f>
        <v>29.1198269558345</v>
      </c>
    </row>
    <row r="3181" customFormat="false" ht="17.15" hidden="false" customHeight="false" outlineLevel="0" collapsed="false">
      <c r="A3181" s="5" t="s">
        <v>942</v>
      </c>
      <c r="B3181" s="0" t="s">
        <v>86</v>
      </c>
      <c r="C3181" s="38" t="n">
        <f aca="false">(1-tp_yf)*(Sens!$H$3098)+tp_yf*(Sens!$I$3098)</f>
        <v>74.6707041238437</v>
      </c>
    </row>
    <row r="3182" customFormat="false" ht="17.15" hidden="false" customHeight="false" outlineLevel="0" collapsed="false">
      <c r="A3182" s="5" t="s">
        <v>943</v>
      </c>
      <c r="B3182" s="0" t="s">
        <v>86</v>
      </c>
      <c r="C3182" s="38" t="n">
        <f aca="false">Sens!$C$3181*m_ai</f>
        <v>448.024224743062</v>
      </c>
    </row>
    <row r="3183" customFormat="false" ht="17.15" hidden="false" customHeight="false" outlineLevel="0" collapsed="false">
      <c r="A3183" s="0" t="s">
        <v>944</v>
      </c>
      <c r="B3183" s="0" t="s">
        <v>86</v>
      </c>
      <c r="C3183" s="38" t="n">
        <f aca="false">IF(ai_leg=1,Sens!$C$3180,Sens!$C$3182)</f>
        <v>29.1198269558345</v>
      </c>
    </row>
    <row r="3184" customFormat="false" ht="17.15" hidden="false" customHeight="false" outlineLevel="0" collapsed="false">
      <c r="A3184" s="5" t="s">
        <v>945</v>
      </c>
      <c r="B3184" s="0" t="s">
        <v>86</v>
      </c>
      <c r="C3184" s="38" t="n">
        <f aca="false">Sens!$C$3170+Sens!$C$3173+Sens!$C$3176+Sens!$C$3183</f>
        <v>2810.99901037131</v>
      </c>
    </row>
    <row r="3185" customFormat="false" ht="17.15" hidden="false" customHeight="false" outlineLevel="0" collapsed="false">
      <c r="A3185" s="5" t="s">
        <v>946</v>
      </c>
      <c r="B3185" s="0" t="s">
        <v>86</v>
      </c>
      <c r="C3185" s="38" t="n">
        <f aca="false">Sens!$H$3138+fin_debt</f>
        <v>150.827495413491</v>
      </c>
    </row>
    <row r="3186" customFormat="false" ht="15" hidden="false" customHeight="false" outlineLevel="0" collapsed="false">
      <c r="A3186" s="5" t="s">
        <v>947</v>
      </c>
      <c r="B3186" s="0" t="s">
        <v>86</v>
      </c>
      <c r="C3186" s="38" t="n">
        <f aca="false">Sens!$C$3184-Sens!$C$3185+Sens!$C$3163</f>
        <v>2839.11551495781</v>
      </c>
    </row>
    <row r="3187" customFormat="false" ht="15" hidden="false" customHeight="false" outlineLevel="0" collapsed="false">
      <c r="A3187" s="3" t="s">
        <v>948</v>
      </c>
      <c r="B3187" s="8" t="s">
        <v>27</v>
      </c>
      <c r="C3187" s="30" t="n">
        <f aca="false">Sens!$C$3186/sh_val</f>
        <v>257.392084663937</v>
      </c>
    </row>
    <row r="3188" customFormat="false" ht="17.15" hidden="false" customHeight="false" outlineLevel="0" collapsed="false">
      <c r="A3188" s="47" t="s">
        <v>949</v>
      </c>
      <c r="B3188" s="14" t="s">
        <v>27</v>
      </c>
      <c r="C3188" s="44" t="n">
        <f aca="false">w_dcf*Sens!$C$3166+(1-w_dcf)*Sens!$C$3187</f>
        <v>195.472059361827</v>
      </c>
      <c r="D3188" s="14"/>
      <c r="E3188" s="14"/>
      <c r="F3188" s="14"/>
      <c r="G3188" s="14"/>
      <c r="H3188" s="14"/>
      <c r="I3188" s="14"/>
      <c r="J3188" s="14"/>
      <c r="K3188" s="14"/>
      <c r="L3188" s="14"/>
      <c r="M3188" s="14"/>
      <c r="N3188" s="14"/>
      <c r="O3188" s="14"/>
    </row>
    <row r="3189" customFormat="false" ht="17.15" hidden="false" customHeight="false" outlineLevel="0" collapsed="false">
      <c r="A3189" s="5" t="s">
        <v>950</v>
      </c>
      <c r="B3189" s="0" t="s">
        <v>27</v>
      </c>
      <c r="C3189" s="30" t="n">
        <f aca="false">v022_wdcf*Sens!$C$3166+(1-v022_wdcf)*Sens!$C$3187</f>
        <v>201.664061892038</v>
      </c>
    </row>
    <row r="3190" customFormat="false" ht="17.15" hidden="false" customHeight="false" outlineLevel="0" collapsed="false">
      <c r="A3190" s="5" t="s">
        <v>951</v>
      </c>
      <c r="B3190" s="0" t="s">
        <v>27</v>
      </c>
      <c r="C3190" s="30" t="n">
        <f aca="false">(Sens!$C$3186-Sens!$C$3183+Sens!$C$3182)/sh_val</f>
        <v>295.369643397735</v>
      </c>
    </row>
    <row r="3193" customFormat="false" ht="19.4" hidden="false" customHeight="false" outlineLevel="0" collapsed="false">
      <c r="A3193" s="31" t="s">
        <v>1192</v>
      </c>
    </row>
    <row r="3194" customFormat="false" ht="17.15" hidden="false" customHeight="false" outlineLevel="0" collapsed="false">
      <c r="A3194" s="6" t="s">
        <v>16</v>
      </c>
      <c r="B3194" s="6" t="s">
        <v>17</v>
      </c>
      <c r="C3194" s="20" t="s">
        <v>494</v>
      </c>
      <c r="D3194" s="20" t="s">
        <v>495</v>
      </c>
      <c r="E3194" s="20" t="s">
        <v>577</v>
      </c>
      <c r="F3194" s="20" t="s">
        <v>578</v>
      </c>
      <c r="G3194" s="20" t="s">
        <v>579</v>
      </c>
      <c r="H3194" s="20" t="s">
        <v>580</v>
      </c>
      <c r="I3194" s="20" t="s">
        <v>581</v>
      </c>
      <c r="J3194" s="20" t="s">
        <v>582</v>
      </c>
      <c r="K3194" s="20" t="s">
        <v>583</v>
      </c>
      <c r="L3194" s="20" t="s">
        <v>584</v>
      </c>
      <c r="M3194" s="20" t="s">
        <v>585</v>
      </c>
      <c r="N3194" s="20" t="s">
        <v>586</v>
      </c>
      <c r="O3194" s="20" t="s">
        <v>587</v>
      </c>
      <c r="P3194" s="6" t="s">
        <v>23</v>
      </c>
      <c r="R3194" s="20" t="n">
        <v>2023</v>
      </c>
      <c r="S3194" s="20" t="n">
        <v>2024</v>
      </c>
      <c r="T3194" s="20" t="n">
        <v>2025</v>
      </c>
      <c r="U3194" s="20" t="n">
        <v>2026</v>
      </c>
      <c r="V3194" s="20" t="n">
        <v>2027</v>
      </c>
      <c r="W3194" s="20" t="n">
        <v>2028</v>
      </c>
      <c r="X3194" s="20" t="n">
        <v>2029</v>
      </c>
      <c r="Y3194" s="20" t="n">
        <v>2030</v>
      </c>
      <c r="Z3194" s="20" t="n">
        <v>2031</v>
      </c>
      <c r="AA3194" s="20" t="n">
        <v>2032</v>
      </c>
    </row>
    <row r="3195" customFormat="false" ht="17.15" hidden="false" customHeight="false" outlineLevel="0" collapsed="false">
      <c r="A3195" s="1" t="s">
        <v>660</v>
      </c>
    </row>
    <row r="3196" customFormat="false" ht="17.15" hidden="false" customHeight="false" outlineLevel="0" collapsed="false">
      <c r="A3196" s="0" t="s">
        <v>516</v>
      </c>
      <c r="B3196" s="0" t="s">
        <v>86</v>
      </c>
      <c r="C3196" s="38" t="n">
        <f aca="false">Q!$D$10</f>
        <v>247.029</v>
      </c>
      <c r="D3196" s="38" t="n">
        <f aca="false">Q!$E$10</f>
        <v>269.287</v>
      </c>
      <c r="E3196" s="38" t="n">
        <f aca="false">Q!$P$10</f>
        <v>134.686</v>
      </c>
      <c r="F3196" s="38" t="n">
        <f aca="false">Sens!$O$3196*(1+Sens!$F$3197)*Sens!$F$3208</f>
        <v>158.293876822267</v>
      </c>
      <c r="G3196" s="38" t="n">
        <f aca="false">Sens!$E$3196+Sens!$F$3196</f>
        <v>292.979876822267</v>
      </c>
      <c r="H3196" s="38" t="n">
        <f aca="false">Sens!$G$3196*(1+Sens!$H$3197)</f>
        <v>318.184543087396</v>
      </c>
      <c r="I3196" s="38" t="n">
        <f aca="false">Sens!$H$3196*(1+Sens!$I$3197)</f>
        <v>341.736278761793</v>
      </c>
      <c r="J3196" s="38" t="n">
        <f aca="false">Sens!$I$3196*(1+Sens!$J$3197)</f>
        <v>362.927192787048</v>
      </c>
      <c r="K3196" s="38" t="n">
        <f aca="false">Sens!$J$3196*(1+Sens!$K$3197)</f>
        <v>381.0735524264</v>
      </c>
      <c r="L3196" s="38" t="n">
        <f aca="false">Sens!$K$3196*(1+Sens!$L$3197)</f>
        <v>400.12723004772</v>
      </c>
      <c r="M3196" s="38" t="n">
        <f aca="false">Sens!$L$3196*(1+Sens!$M$3197)</f>
        <v>420.133591550106</v>
      </c>
      <c r="N3196" s="38" t="n">
        <f aca="false">Q!$N$10</f>
        <v>118.892</v>
      </c>
      <c r="O3196" s="38" t="n">
        <f aca="false">Q!$O$10</f>
        <v>150.395</v>
      </c>
      <c r="P3196" s="8" t="s">
        <v>661</v>
      </c>
    </row>
    <row r="3197" customFormat="false" ht="17.15" hidden="false" customHeight="false" outlineLevel="0" collapsed="false">
      <c r="A3197" s="0" t="s">
        <v>662</v>
      </c>
      <c r="B3197" s="0" t="s">
        <v>52</v>
      </c>
      <c r="E3197" s="13" t="n">
        <f aca="false">Sens!$E$3196/Sens!$N$3196-1</f>
        <v>0.132843252699929</v>
      </c>
      <c r="F3197" s="13" t="n">
        <f aca="false">Sens!$O$3196/(Q!$F$10+Q!$G$10)-1</f>
        <v>0.0980382135842941</v>
      </c>
      <c r="G3197" s="13" t="n">
        <f aca="false">Sens!$G$3196/Sens!$D$3196-1</f>
        <v>0.0879837378791657</v>
      </c>
      <c r="H3197" s="13" t="n">
        <f aca="false">Sens!$F$3197+(g_os-Sens!$F$3197)*1/4</f>
        <v>0.0860286601882206</v>
      </c>
      <c r="I3197" s="13" t="n">
        <f aca="false">Sens!$F$3197+(g_os-Sens!$F$3197)*2/4</f>
        <v>0.074019106792147</v>
      </c>
      <c r="J3197" s="13" t="n">
        <f aca="false">Sens!$F$3197+(g_os-Sens!$F$3197)*3/4</f>
        <v>0.0620095533960735</v>
      </c>
      <c r="K3197" s="13" t="n">
        <f aca="false">Sens!$F$3197+(g_os-Sens!$F$3197)*4/4</f>
        <v>0.05</v>
      </c>
      <c r="L3197" s="13" t="n">
        <f aca="false">g_os</f>
        <v>0.05</v>
      </c>
      <c r="M3197" s="13" t="n">
        <f aca="false">g_os</f>
        <v>0.05</v>
      </c>
      <c r="P3197" s="8" t="s">
        <v>663</v>
      </c>
    </row>
    <row r="3198" customFormat="false" ht="17.15" hidden="false" customHeight="false" outlineLevel="0" collapsed="false">
      <c r="A3198" s="0" t="s">
        <v>517</v>
      </c>
      <c r="B3198" s="0" t="s">
        <v>86</v>
      </c>
      <c r="C3198" s="38" t="n">
        <f aca="false">Q!$D$11</f>
        <v>21.215</v>
      </c>
      <c r="D3198" s="38" t="n">
        <f aca="false">Q!$E$11</f>
        <v>22.561</v>
      </c>
      <c r="E3198" s="38" t="n">
        <f aca="false">Q!$P$11</f>
        <v>11.579</v>
      </c>
      <c r="F3198" s="38" t="n">
        <f aca="false">Sens!$O$3198*(1+Sens!$F$3199)*Sens!$F$3208</f>
        <v>11.5938724610325</v>
      </c>
      <c r="G3198" s="38" t="n">
        <f aca="false">Sens!$E$3198+Sens!$F$3198</f>
        <v>23.1728724610325</v>
      </c>
      <c r="H3198" s="38" t="n">
        <f aca="false">Sens!$G$3198*(1+Sens!$H$3199)</f>
        <v>24.353392759506</v>
      </c>
      <c r="I3198" s="38" t="n">
        <f aca="false">Sens!$H$3198*(1+Sens!$I$3199)</f>
        <v>25.4240338872015</v>
      </c>
      <c r="J3198" s="38" t="n">
        <f aca="false">Sens!$I$3198*(1+Sens!$J$3199)</f>
        <v>26.3642491017174</v>
      </c>
      <c r="K3198" s="38" t="n">
        <f aca="false">Sens!$J$3198*(1+Sens!$K$3199)</f>
        <v>27.155176574769</v>
      </c>
      <c r="L3198" s="38" t="n">
        <f aca="false">Sens!$K$3198*(1+Sens!$L$3199)</f>
        <v>27.969831872012</v>
      </c>
      <c r="M3198" s="38" t="n">
        <f aca="false">Sens!$L$3198*(1+Sens!$M$3199)</f>
        <v>28.8089268281724</v>
      </c>
      <c r="N3198" s="38" t="n">
        <f aca="false">Q!$N$11</f>
        <v>11.128</v>
      </c>
      <c r="O3198" s="38" t="n">
        <f aca="false">Q!$O$11</f>
        <v>11.433</v>
      </c>
      <c r="P3198" s="8" t="s">
        <v>661</v>
      </c>
    </row>
    <row r="3199" customFormat="false" ht="17.15" hidden="false" customHeight="false" outlineLevel="0" collapsed="false">
      <c r="A3199" s="0" t="s">
        <v>664</v>
      </c>
      <c r="B3199" s="0" t="s">
        <v>52</v>
      </c>
      <c r="E3199" s="13" t="n">
        <f aca="false">Sens!$E$3198/Sens!$N$3198-1</f>
        <v>0.0405283968368082</v>
      </c>
      <c r="F3199" s="13" t="n">
        <f aca="false">Sens!$O$3198/(Q!$F$11+Q!$G$11)-1</f>
        <v>0.0579254187100955</v>
      </c>
      <c r="G3199" s="13" t="n">
        <f aca="false">Sens!$G$3198/Sens!$D$3198-1</f>
        <v>0.0271208040881397</v>
      </c>
      <c r="H3199" s="13" t="n">
        <f aca="false">Sens!$F$3199+(g_ps-Sens!$F$3199)*1/4</f>
        <v>0.0509440640325716</v>
      </c>
      <c r="I3199" s="13" t="n">
        <f aca="false">Sens!$F$3199+(g_ps-Sens!$F$3199)*2/4</f>
        <v>0.0439627093550477</v>
      </c>
      <c r="J3199" s="13" t="n">
        <f aca="false">Sens!$F$3199+(g_ps-Sens!$F$3199)*3/4</f>
        <v>0.0369813546775239</v>
      </c>
      <c r="K3199" s="13" t="n">
        <f aca="false">Sens!$F$3199+(g_ps-Sens!$F$3199)*4/4</f>
        <v>0.03</v>
      </c>
      <c r="L3199" s="13" t="n">
        <f aca="false">g_ps</f>
        <v>0.03</v>
      </c>
      <c r="M3199" s="13" t="n">
        <f aca="false">g_ps</f>
        <v>0.03</v>
      </c>
      <c r="P3199" s="8" t="s">
        <v>665</v>
      </c>
    </row>
    <row r="3200" customFormat="false" ht="17.15" hidden="false" customHeight="false" outlineLevel="0" collapsed="false">
      <c r="A3200" s="0" t="s">
        <v>518</v>
      </c>
      <c r="B3200" s="0" t="s">
        <v>86</v>
      </c>
      <c r="C3200" s="38" t="n">
        <f aca="false">Q!$D$12</f>
        <v>156.146</v>
      </c>
      <c r="D3200" s="38" t="n">
        <f aca="false">Q!$E$12</f>
        <v>172.162</v>
      </c>
      <c r="E3200" s="38" t="n">
        <f aca="false">Q!$P$12</f>
        <v>88.358</v>
      </c>
      <c r="F3200" s="38" t="n">
        <f aca="false">Sens!$O$3200*(1+Sens!$F$3201)*Sens!$F$3208</f>
        <v>102.004388260171</v>
      </c>
      <c r="G3200" s="38" t="n">
        <f aca="false">Sens!$E$3200+Sens!$F$3200</f>
        <v>190.362388260171</v>
      </c>
      <c r="H3200" s="38" t="n">
        <f aca="false">Sens!$G$3200*(1+Sens!$H$3201)</f>
        <v>210.343106588311</v>
      </c>
      <c r="I3200" s="38" t="n">
        <f aca="false">Sens!$H$3200*(1+Sens!$I$3201)</f>
        <v>229.969728494648</v>
      </c>
      <c r="J3200" s="38" t="n">
        <f aca="false">Sens!$I$3200*(1+Sens!$J$3201)</f>
        <v>248.747636972598</v>
      </c>
      <c r="K3200" s="38" t="n">
        <f aca="false">Sens!$J$3200*(1+Sens!$K$3201)</f>
        <v>266.15997156068</v>
      </c>
      <c r="L3200" s="38" t="n">
        <f aca="false">Sens!$K$3200*(1+Sens!$L$3201)</f>
        <v>284.791169569927</v>
      </c>
      <c r="M3200" s="38" t="n">
        <f aca="false">Sens!$L$3200*(1+Sens!$M$3201)</f>
        <v>304.726551439822</v>
      </c>
      <c r="N3200" s="38" t="n">
        <f aca="false">Q!$N$12</f>
        <v>76.86</v>
      </c>
      <c r="O3200" s="38" t="n">
        <f aca="false">Q!$O$12</f>
        <v>95.302</v>
      </c>
      <c r="P3200" s="8" t="s">
        <v>661</v>
      </c>
    </row>
    <row r="3201" customFormat="false" ht="17.15" hidden="false" customHeight="false" outlineLevel="0" collapsed="false">
      <c r="A3201" s="0" t="s">
        <v>666</v>
      </c>
      <c r="B3201" s="0" t="s">
        <v>52</v>
      </c>
      <c r="E3201" s="13" t="n">
        <f aca="false">Sens!$E$3200/Sens!$N$3200-1</f>
        <v>0.1495966692688</v>
      </c>
      <c r="F3201" s="13" t="n">
        <f aca="false">Sens!$O$3200/(Q!$F$12+Q!$G$12)-1</f>
        <v>0.11661530890813</v>
      </c>
      <c r="G3201" s="13" t="n">
        <f aca="false">Sens!$G$3200/Sens!$D$3200-1</f>
        <v>0.105716640490767</v>
      </c>
      <c r="H3201" s="13" t="n">
        <f aca="false">Sens!$F$3201+(g_sp-Sens!$F$3201)*1/4</f>
        <v>0.104961481681098</v>
      </c>
      <c r="I3201" s="13" t="n">
        <f aca="false">Sens!$F$3201+(g_sp-Sens!$F$3201)*2/4</f>
        <v>0.0933076544540651</v>
      </c>
      <c r="J3201" s="13" t="n">
        <f aca="false">Sens!$F$3201+(g_sp-Sens!$F$3201)*3/4</f>
        <v>0.0816538272270325</v>
      </c>
      <c r="K3201" s="13" t="n">
        <f aca="false">Sens!$F$3201+(g_sp-Sens!$F$3201)*4/4</f>
        <v>0.07</v>
      </c>
      <c r="L3201" s="13" t="n">
        <f aca="false">g_sp</f>
        <v>0.07</v>
      </c>
      <c r="M3201" s="13" t="n">
        <f aca="false">g_sp</f>
        <v>0.07</v>
      </c>
      <c r="P3201" s="8" t="s">
        <v>667</v>
      </c>
    </row>
    <row r="3202" customFormat="false" ht="17.15" hidden="false" customHeight="false" outlineLevel="0" collapsed="false">
      <c r="A3202" s="0" t="s">
        <v>519</v>
      </c>
      <c r="B3202" s="0" t="s">
        <v>86</v>
      </c>
      <c r="C3202" s="38" t="n">
        <f aca="false">Q!$D$13</f>
        <v>56.214</v>
      </c>
      <c r="D3202" s="38" t="n">
        <f aca="false">Q!$E$13</f>
        <v>68.635</v>
      </c>
      <c r="E3202" s="38" t="n">
        <f aca="false">Q!$P$13</f>
        <v>37.052</v>
      </c>
      <c r="F3202" s="38" t="n">
        <f aca="false">Sens!$O$3202*(1+Sens!$F$3203)*Sens!$F$3208</f>
        <v>46.1572219944148</v>
      </c>
      <c r="G3202" s="38" t="n">
        <f aca="false">Sens!$E$3202+Sens!$F$3202</f>
        <v>83.2092219944148</v>
      </c>
      <c r="H3202" s="38" t="n">
        <f aca="false">Sens!$G$3202*(1+Sens!$H$3203)</f>
        <v>99.8969223878976</v>
      </c>
      <c r="I3202" s="38" t="n">
        <f aca="false">Sens!$H$3202*(1+Sens!$I$3203)</f>
        <v>116.583111095496</v>
      </c>
      <c r="J3202" s="38" t="n">
        <f aca="false">Sens!$I$3202*(1+Sens!$J$3203)</f>
        <v>132.148941941952</v>
      </c>
      <c r="K3202" s="38" t="n">
        <f aca="false">Sens!$J$3202*(1+Sens!$K$3203)</f>
        <v>145.363836136147</v>
      </c>
      <c r="L3202" s="38" t="n">
        <f aca="false">Sens!$K$3202*(1+Sens!$L$3203)</f>
        <v>159.900219749762</v>
      </c>
      <c r="M3202" s="38" t="n">
        <f aca="false">Sens!$L$3202*(1+Sens!$M$3203)</f>
        <v>175.890241724738</v>
      </c>
      <c r="N3202" s="38" t="n">
        <f aca="false">Q!$N$13</f>
        <v>29.615</v>
      </c>
      <c r="O3202" s="38" t="n">
        <f aca="false">Q!$O$13</f>
        <v>39.02</v>
      </c>
      <c r="P3202" s="8" t="s">
        <v>661</v>
      </c>
    </row>
    <row r="3203" customFormat="false" ht="17.15" hidden="false" customHeight="false" outlineLevel="0" collapsed="false">
      <c r="A3203" s="0" t="s">
        <v>668</v>
      </c>
      <c r="B3203" s="0" t="s">
        <v>52</v>
      </c>
      <c r="E3203" s="13" t="n">
        <f aca="false">Sens!$E$3202/Sens!$N$3202-1</f>
        <v>0.25112274185379</v>
      </c>
      <c r="F3203" s="13" t="n">
        <f aca="false">Sens!$O$3202/(Q!$F$13+Q!$G$13)-1</f>
        <v>0.234068123596572</v>
      </c>
      <c r="G3203" s="13" t="n">
        <f aca="false">Sens!$G$3202/Sens!$D$3202-1</f>
        <v>0.212343876949294</v>
      </c>
      <c r="H3203" s="13" t="n">
        <f aca="false">Sens!$F$3203+(g_ad-Sens!$F$3203)*1/4</f>
        <v>0.200551092697429</v>
      </c>
      <c r="I3203" s="13" t="n">
        <f aca="false">Sens!$F$3203+(g_ad-Sens!$F$3203)*2/4</f>
        <v>0.167034061798286</v>
      </c>
      <c r="J3203" s="13" t="n">
        <f aca="false">Sens!$F$3203+(g_ad-Sens!$F$3203)*3/4</f>
        <v>0.133517030899143</v>
      </c>
      <c r="K3203" s="13" t="n">
        <f aca="false">Sens!$F$3203+(g_ad-Sens!$F$3203)*4/4</f>
        <v>0.1</v>
      </c>
      <c r="L3203" s="13" t="n">
        <f aca="false">g_ad</f>
        <v>0.1</v>
      </c>
      <c r="M3203" s="13" t="n">
        <f aca="false">g_ad</f>
        <v>0.1</v>
      </c>
      <c r="P3203" s="8" t="s">
        <v>669</v>
      </c>
    </row>
    <row r="3204" customFormat="false" ht="17.15" hidden="false" customHeight="false" outlineLevel="0" collapsed="false">
      <c r="A3204" s="0" t="s">
        <v>520</v>
      </c>
      <c r="B3204" s="0" t="s">
        <v>86</v>
      </c>
      <c r="C3204" s="38" t="n">
        <f aca="false">Q!$D$14</f>
        <v>44.374</v>
      </c>
      <c r="D3204" s="38" t="n">
        <f aca="false">Q!$E$14</f>
        <v>49.619</v>
      </c>
      <c r="E3204" s="38" t="n">
        <f aca="false">Q!$P$14</f>
        <v>27.157</v>
      </c>
      <c r="F3204" s="38" t="n">
        <f aca="false">Sens!$O$3204*(1+Sens!$F$3205)*Sens!$F$3208</f>
        <v>27.7764165988154</v>
      </c>
      <c r="G3204" s="38" t="n">
        <f aca="false">Sens!$E$3204+Sens!$F$3204</f>
        <v>54.9334165988154</v>
      </c>
      <c r="H3204" s="38" t="n">
        <f aca="false">Sens!$G$3204*(1+Sens!$H$3205)</f>
        <v>61.1564112561829</v>
      </c>
      <c r="I3204" s="38" t="n">
        <f aca="false">Sens!$H$3204*(1+Sens!$I$3205)</f>
        <v>67.2020282103945</v>
      </c>
      <c r="J3204" s="38" t="n">
        <f aca="false">Sens!$I$3204*(1+Sens!$J$3205)</f>
        <v>72.8757274028885</v>
      </c>
      <c r="K3204" s="38" t="n">
        <f aca="false">Sens!$J$3204*(1+Sens!$K$3205)</f>
        <v>77.9770283210907</v>
      </c>
      <c r="L3204" s="38" t="n">
        <f aca="false">Sens!$K$3204*(1+Sens!$L$3205)</f>
        <v>83.4354203035671</v>
      </c>
      <c r="M3204" s="38" t="n">
        <f aca="false">Sens!$L$3204*(1+Sens!$M$3205)</f>
        <v>89.2758997248168</v>
      </c>
      <c r="N3204" s="38" t="n">
        <f aca="false">Q!$N$14</f>
        <v>23.923</v>
      </c>
      <c r="O3204" s="38" t="n">
        <f aca="false">Q!$O$14</f>
        <v>25.696</v>
      </c>
      <c r="P3204" s="8" t="s">
        <v>661</v>
      </c>
    </row>
    <row r="3205" customFormat="false" ht="17.15" hidden="false" customHeight="false" outlineLevel="0" collapsed="false">
      <c r="A3205" s="0" t="s">
        <v>670</v>
      </c>
      <c r="B3205" s="0" t="s">
        <v>52</v>
      </c>
      <c r="E3205" s="13" t="n">
        <f aca="false">Sens!$E$3204/Sens!$N$3204-1</f>
        <v>0.135183714417088</v>
      </c>
      <c r="F3205" s="13" t="n">
        <f aca="false">Sens!$O$3204/(Q!$F$14+Q!$G$14)-1</f>
        <v>0.127709997366804</v>
      </c>
      <c r="G3205" s="13" t="n">
        <f aca="false">Sens!$G$3204/Sens!$D$3204-1</f>
        <v>0.107104468022641</v>
      </c>
      <c r="H3205" s="13" t="n">
        <f aca="false">Sens!$F$3205+(g_sub-Sens!$F$3205)*1/4</f>
        <v>0.113282498025103</v>
      </c>
      <c r="I3205" s="13" t="n">
        <f aca="false">Sens!$F$3205+(g_sub-Sens!$F$3205)*2/4</f>
        <v>0.0988549986834021</v>
      </c>
      <c r="J3205" s="13" t="n">
        <f aca="false">Sens!$F$3205+(g_sub-Sens!$F$3205)*3/4</f>
        <v>0.084427499341701</v>
      </c>
      <c r="K3205" s="13" t="n">
        <f aca="false">Sens!$F$3205+(g_sub-Sens!$F$3205)*4/4</f>
        <v>0.07</v>
      </c>
      <c r="L3205" s="13" t="n">
        <f aca="false">g_sub</f>
        <v>0.07</v>
      </c>
      <c r="M3205" s="13" t="n">
        <f aca="false">g_sub</f>
        <v>0.07</v>
      </c>
      <c r="P3205" s="8" t="s">
        <v>671</v>
      </c>
    </row>
    <row r="3206" customFormat="false" ht="17.15" hidden="false" customHeight="false" outlineLevel="0" collapsed="false">
      <c r="A3206" s="0" t="s">
        <v>521</v>
      </c>
      <c r="B3206" s="0" t="s">
        <v>86</v>
      </c>
      <c r="C3206" s="38" t="n">
        <f aca="false">Q!$D$15</f>
        <v>5.425</v>
      </c>
      <c r="D3206" s="38" t="n">
        <f aca="false">Q!$E$15</f>
        <v>5.935</v>
      </c>
      <c r="E3206" s="38" t="n">
        <f aca="false">Q!$P$15</f>
        <v>3.474</v>
      </c>
      <c r="F3206" s="38" t="n">
        <f aca="false">Sens!$O$3206*(1+Sens!$F$3207)*Sens!$F$3208</f>
        <v>3.22246550883619</v>
      </c>
      <c r="G3206" s="38" t="n">
        <f aca="false">Sens!$E$3206+Sens!$F$3206</f>
        <v>6.69646550883619</v>
      </c>
      <c r="H3206" s="38" t="n">
        <f aca="false">Sens!$G$3206*(1+Sens!$H$3207)</f>
        <v>7.16251344209196</v>
      </c>
      <c r="I3206" s="38" t="n">
        <f aca="false">Sens!$H$3206*(1+Sens!$I$3207)</f>
        <v>7.61421070299826</v>
      </c>
      <c r="J3206" s="38" t="n">
        <f aca="false">Sens!$I$3206*(1+Sens!$J$3207)</f>
        <v>8.04465753523932</v>
      </c>
      <c r="K3206" s="38" t="n">
        <f aca="false">Sens!$J$3206*(1+Sens!$K$3207)</f>
        <v>8.44689041200128</v>
      </c>
      <c r="L3206" s="38" t="n">
        <f aca="false">Sens!$K$3206*(1+Sens!$L$3207)</f>
        <v>8.86923493260135</v>
      </c>
      <c r="M3206" s="38" t="n">
        <f aca="false">Sens!$L$3206*(1+Sens!$M$3207)</f>
        <v>9.31269667923142</v>
      </c>
      <c r="N3206" s="38" t="n">
        <f aca="false">Q!$N$15</f>
        <v>2.811</v>
      </c>
      <c r="O3206" s="38" t="n">
        <f aca="false">Q!$O$15</f>
        <v>3.124</v>
      </c>
      <c r="P3206" s="8" t="s">
        <v>661</v>
      </c>
    </row>
    <row r="3207" customFormat="false" ht="17.15" hidden="false" customHeight="false" outlineLevel="0" collapsed="false">
      <c r="A3207" s="0" t="s">
        <v>672</v>
      </c>
      <c r="B3207" s="0" t="s">
        <v>52</v>
      </c>
      <c r="E3207" s="13" t="n">
        <f aca="false">Sens!$E$3206/Sens!$N$3206-1</f>
        <v>0.235859124866596</v>
      </c>
      <c r="F3207" s="13" t="n">
        <f aca="false">Sens!$O$3206/(Q!$F$15+Q!$G$15)-1</f>
        <v>0.0761281433000345</v>
      </c>
      <c r="G3207" s="13" t="n">
        <f aca="false">Sens!$G$3206/Sens!$D$3206-1</f>
        <v>0.128300843948811</v>
      </c>
      <c r="H3207" s="13" t="n">
        <f aca="false">Sens!$F$3207+(g_ot-Sens!$F$3207)*1/4</f>
        <v>0.0695961074750259</v>
      </c>
      <c r="I3207" s="13" t="n">
        <f aca="false">Sens!$F$3207+(g_ot-Sens!$F$3207)*2/4</f>
        <v>0.0630640716500172</v>
      </c>
      <c r="J3207" s="13" t="n">
        <f aca="false">Sens!$F$3207+(g_ot-Sens!$F$3207)*3/4</f>
        <v>0.0565320358250086</v>
      </c>
      <c r="K3207" s="13" t="n">
        <f aca="false">Sens!$F$3207+(g_ot-Sens!$F$3207)*4/4</f>
        <v>0.05</v>
      </c>
      <c r="L3207" s="13" t="n">
        <f aca="false">g_ot</f>
        <v>0.05</v>
      </c>
      <c r="M3207" s="13" t="n">
        <f aca="false">g_ot</f>
        <v>0.05</v>
      </c>
      <c r="P3207" s="8" t="s">
        <v>673</v>
      </c>
    </row>
    <row r="3208" customFormat="false" ht="17.15" hidden="false" customHeight="false" outlineLevel="0" collapsed="false">
      <c r="A3208" s="0" t="s">
        <v>674</v>
      </c>
      <c r="B3208" s="0" t="s">
        <v>57</v>
      </c>
      <c r="F3208" s="40" t="n">
        <f aca="false">(g26q3_mid*Q!$O$8/Q!$J$8-Sens!$F$3237-Sens!$F$3241)/(Sens!$O$3196*(1+Sens!$F$3197)+Sens!$O$3198*(1+Sens!$F$3199)+Sens!$O$3200*(1+Sens!$F$3201)+Sens!$O$3202*(1+Sens!$F$3203)+Sens!$O$3204*(1+Sens!$F$3205)+Sens!$O$3206*(1+Sens!$F$3207))</f>
        <v>0.958546670622329</v>
      </c>
      <c r="P3208" s="8" t="s">
        <v>675</v>
      </c>
    </row>
    <row r="3209" customFormat="false" ht="17.15" hidden="false" customHeight="false" outlineLevel="0" collapsed="false">
      <c r="A3209" s="3" t="s">
        <v>676</v>
      </c>
      <c r="B3209" s="8" t="s">
        <v>86</v>
      </c>
      <c r="C3209" s="38" t="n">
        <f aca="false">Sens!$C$3196+Sens!$C$3198+Sens!$C$3200+Sens!$C$3202+Sens!$C$3204+Sens!$C$3206</f>
        <v>530.403</v>
      </c>
      <c r="D3209" s="38" t="n">
        <f aca="false">Sens!$D$3196+Sens!$D$3198+Sens!$D$3200+Sens!$D$3202+Sens!$D$3204+Sens!$D$3206</f>
        <v>588.199</v>
      </c>
      <c r="E3209" s="38" t="n">
        <f aca="false">Sens!$E$3196+Sens!$E$3198+Sens!$E$3200+Sens!$E$3202+Sens!$E$3204+Sens!$E$3206</f>
        <v>302.306</v>
      </c>
      <c r="F3209" s="38" t="n">
        <f aca="false">Sens!$F$3196+Sens!$F$3198+Sens!$F$3200+Sens!$F$3202+Sens!$F$3204+Sens!$F$3206</f>
        <v>349.048241645537</v>
      </c>
      <c r="G3209" s="38" t="n">
        <f aca="false">Sens!$G$3196+Sens!$G$3198+Sens!$G$3200+Sens!$G$3202+Sens!$G$3204+Sens!$G$3206</f>
        <v>651.354241645537</v>
      </c>
      <c r="H3209" s="38" t="n">
        <f aca="false">Sens!$H$3196+Sens!$H$3198+Sens!$H$3200+Sens!$H$3202+Sens!$H$3204+Sens!$H$3206</f>
        <v>721.096889521386</v>
      </c>
      <c r="I3209" s="38" t="n">
        <f aca="false">Sens!$I$3196+Sens!$I$3198+Sens!$I$3200+Sens!$I$3202+Sens!$I$3204+Sens!$I$3206</f>
        <v>788.529391152531</v>
      </c>
      <c r="J3209" s="38" t="n">
        <f aca="false">Sens!$J$3196+Sens!$J$3198+Sens!$J$3200+Sens!$J$3202+Sens!$J$3204+Sens!$J$3206</f>
        <v>851.108405741443</v>
      </c>
      <c r="K3209" s="38" t="n">
        <f aca="false">Sens!$K$3196+Sens!$K$3198+Sens!$K$3200+Sens!$K$3202+Sens!$K$3204+Sens!$K$3206</f>
        <v>906.176455431088</v>
      </c>
      <c r="L3209" s="38" t="n">
        <f aca="false">Sens!$L$3196+Sens!$L$3198+Sens!$L$3200+Sens!$L$3202+Sens!$L$3204+Sens!$L$3206</f>
        <v>965.093106475589</v>
      </c>
      <c r="M3209" s="38" t="n">
        <f aca="false">Sens!$M$3196+Sens!$M$3198+Sens!$M$3200+Sens!$M$3202+Sens!$M$3204+Sens!$M$3206</f>
        <v>1028.14790794689</v>
      </c>
      <c r="N3209" s="38" t="n">
        <f aca="false">Sens!$N$3196+Sens!$N$3198+Sens!$N$3200+Sens!$N$3202+Sens!$N$3204+Sens!$N$3206</f>
        <v>263.229</v>
      </c>
      <c r="O3209" s="38" t="n">
        <f aca="false">Sens!$O$3196+Sens!$O$3198+Sens!$O$3200+Sens!$O$3202+Sens!$O$3204+Sens!$O$3206</f>
        <v>324.97</v>
      </c>
    </row>
    <row r="3210" customFormat="false" ht="17.15" hidden="false" customHeight="false" outlineLevel="0" collapsed="false">
      <c r="A3210" s="5" t="s">
        <v>677</v>
      </c>
      <c r="B3210" s="0" t="s">
        <v>52</v>
      </c>
      <c r="C3210" s="13" t="n">
        <f aca="false">Q!$D$5/(Q!$D$5+Q!$D$6)</f>
        <v>0.730570905519011</v>
      </c>
      <c r="D3210" s="13" t="n">
        <f aca="false">Q!$E$5/(Q!$E$5+Q!$E$6)</f>
        <v>0.724763217890544</v>
      </c>
      <c r="E3210" s="13" t="n">
        <f aca="false">Q!$P$5/(Q!$P$5+Q!$P$6)</f>
        <v>0.728797972914861</v>
      </c>
      <c r="F3210" s="13" t="n">
        <f aca="false">Sens!$O$3210</f>
        <v>0.718066283041511</v>
      </c>
      <c r="G3210" s="13" t="n">
        <f aca="false">Sens!$G$3211/Sens!$G$3209</f>
        <v>0.723047066202847</v>
      </c>
      <c r="H3210" s="13" t="n">
        <f aca="false">Sens!$G$3210</f>
        <v>0.723047066202847</v>
      </c>
      <c r="I3210" s="13" t="n">
        <f aca="false">Sens!$G$3210</f>
        <v>0.723047066202847</v>
      </c>
      <c r="J3210" s="13" t="n">
        <f aca="false">Sens!$G$3210</f>
        <v>0.723047066202847</v>
      </c>
      <c r="K3210" s="13" t="n">
        <f aca="false">Sens!$G$3210</f>
        <v>0.723047066202847</v>
      </c>
      <c r="L3210" s="13" t="n">
        <f aca="false">Sens!$G$3210</f>
        <v>0.723047066202847</v>
      </c>
      <c r="M3210" s="13" t="n">
        <f aca="false">Sens!$G$3210</f>
        <v>0.723047066202847</v>
      </c>
      <c r="N3210" s="13" t="n">
        <f aca="false">Q!$N$5/(Q!$N$5+Q!$N$6)</f>
        <v>0.733030935041352</v>
      </c>
      <c r="O3210" s="13" t="n">
        <f aca="false">Q!$O$5/(Q!$O$5+Q!$O$6)</f>
        <v>0.718066283041511</v>
      </c>
      <c r="P3210" s="8" t="s">
        <v>678</v>
      </c>
    </row>
    <row r="3211" customFormat="false" ht="17.15" hidden="false" customHeight="false" outlineLevel="0" collapsed="false">
      <c r="A3211" s="1" t="s">
        <v>509</v>
      </c>
      <c r="B3211" s="8" t="s">
        <v>86</v>
      </c>
      <c r="C3211" s="38" t="n">
        <f aca="false">Q!$D$5</f>
        <v>387.497</v>
      </c>
      <c r="D3211" s="38" t="n">
        <f aca="false">Q!$E$5</f>
        <v>426.305</v>
      </c>
      <c r="E3211" s="38" t="n">
        <f aca="false">Q!$P$5</f>
        <v>220.32</v>
      </c>
      <c r="F3211" s="38" t="n">
        <f aca="false">Sens!$F$3209*Sens!$F$3210</f>
        <v>250.639773480586</v>
      </c>
      <c r="G3211" s="38" t="n">
        <f aca="false">Sens!$E$3211+Sens!$F$3211</f>
        <v>470.959773480586</v>
      </c>
      <c r="H3211" s="38" t="n">
        <f aca="false">Sens!$H$3209*Sens!$H$3210</f>
        <v>521.386990416437</v>
      </c>
      <c r="I3211" s="38" t="n">
        <f aca="false">Sens!$I$3209*Sens!$I$3210</f>
        <v>570.143862887555</v>
      </c>
      <c r="J3211" s="38" t="n">
        <f aca="false">Sens!$J$3209*Sens!$J$3210</f>
        <v>615.391435791933</v>
      </c>
      <c r="K3211" s="38" t="n">
        <f aca="false">Sens!$K$3209*Sens!$K$3210</f>
        <v>655.208227561543</v>
      </c>
      <c r="L3211" s="38" t="n">
        <f aca="false">Sens!$L$3209*Sens!$L$3210</f>
        <v>697.807739249767</v>
      </c>
      <c r="M3211" s="38" t="n">
        <f aca="false">Sens!$M$3209*Sens!$M$3210</f>
        <v>743.399328463592</v>
      </c>
      <c r="N3211" s="38" t="n">
        <f aca="false">Q!$N$5</f>
        <v>192.955</v>
      </c>
      <c r="O3211" s="38" t="n">
        <f aca="false">Q!$O$5</f>
        <v>233.35</v>
      </c>
      <c r="P3211" s="5" t="s">
        <v>679</v>
      </c>
    </row>
    <row r="3212" customFormat="false" ht="17.15" hidden="false" customHeight="false" outlineLevel="0" collapsed="false">
      <c r="A3212" s="1" t="s">
        <v>512</v>
      </c>
      <c r="B3212" s="8" t="s">
        <v>86</v>
      </c>
      <c r="C3212" s="38" t="n">
        <f aca="false">Q!$D$6</f>
        <v>142.906</v>
      </c>
      <c r="D3212" s="38" t="n">
        <f aca="false">Q!$E$6</f>
        <v>161.894</v>
      </c>
      <c r="E3212" s="38" t="n">
        <f aca="false">Q!$P$6</f>
        <v>81.986</v>
      </c>
      <c r="F3212" s="38" t="n">
        <f aca="false">Sens!$F$3209*(1-Sens!$F$3210)</f>
        <v>98.408468164951</v>
      </c>
      <c r="G3212" s="38" t="n">
        <f aca="false">Sens!$E$3212+Sens!$F$3212</f>
        <v>180.394468164951</v>
      </c>
      <c r="H3212" s="38" t="n">
        <f aca="false">Sens!$H$3209*(1-Sens!$H$3210)</f>
        <v>199.709899104949</v>
      </c>
      <c r="I3212" s="38" t="n">
        <f aca="false">Sens!$I$3209*(1-Sens!$I$3210)</f>
        <v>218.385528264976</v>
      </c>
      <c r="J3212" s="38" t="n">
        <f aca="false">Sens!$J$3209*(1-Sens!$J$3210)</f>
        <v>235.71696994951</v>
      </c>
      <c r="K3212" s="38" t="n">
        <f aca="false">Sens!$K$3209*(1-Sens!$K$3210)</f>
        <v>250.968227869545</v>
      </c>
      <c r="L3212" s="38" t="n">
        <f aca="false">Sens!$L$3209*(1-Sens!$L$3210)</f>
        <v>267.285367225822</v>
      </c>
      <c r="M3212" s="38" t="n">
        <f aca="false">Sens!$M$3209*(1-Sens!$M$3210)</f>
        <v>284.748579483295</v>
      </c>
      <c r="N3212" s="38" t="n">
        <f aca="false">Q!$N$6</f>
        <v>70.274</v>
      </c>
      <c r="O3212" s="38" t="n">
        <f aca="false">Q!$O$6</f>
        <v>91.62</v>
      </c>
      <c r="P3212" s="5" t="s">
        <v>680</v>
      </c>
    </row>
    <row r="3213" customFormat="false" ht="17.15" hidden="false" customHeight="false" outlineLevel="0" collapsed="false">
      <c r="A3213" s="5" t="s">
        <v>681</v>
      </c>
      <c r="B3213" s="0" t="s">
        <v>86</v>
      </c>
      <c r="C3213" s="38" t="n">
        <f aca="false">Sens!$C$3202*Sens!$C$3210</f>
        <v>41.0683128828457</v>
      </c>
      <c r="D3213" s="38" t="n">
        <f aca="false">Sens!$D$3202*Sens!$D$3210</f>
        <v>49.7441234599175</v>
      </c>
      <c r="E3213" s="38" t="n">
        <f aca="false">Sens!$E$3202*Sens!$E$3210</f>
        <v>27.0034224924414</v>
      </c>
      <c r="F3213" s="38" t="n">
        <f aca="false">Sens!$F$3202*Sens!$F$3210</f>
        <v>33.1439448330513</v>
      </c>
      <c r="G3213" s="38" t="n">
        <f aca="false">Sens!$G$3202*Sens!$G$3210</f>
        <v>60.164183844083</v>
      </c>
      <c r="H3213" s="38" t="n">
        <f aca="false">Sens!$H$3202*Sens!$H$3210</f>
        <v>72.2301766552629</v>
      </c>
      <c r="I3213" s="38" t="n">
        <f aca="false">Sens!$I$3202*Sens!$I$3210</f>
        <v>84.2950764463991</v>
      </c>
      <c r="J3213" s="38" t="n">
        <f aca="false">Sens!$J$3202*Sens!$J$3210</f>
        <v>95.5499047729386</v>
      </c>
      <c r="K3213" s="38" t="n">
        <f aca="false">Sens!$K$3202*Sens!$K$3210</f>
        <v>105.104895250232</v>
      </c>
      <c r="L3213" s="38" t="n">
        <f aca="false">Sens!$L$3202*Sens!$L$3210</f>
        <v>115.615384775256</v>
      </c>
      <c r="M3213" s="38" t="n">
        <f aca="false">Sens!$M$3202*Sens!$M$3210</f>
        <v>127.176923252781</v>
      </c>
      <c r="N3213" s="38" t="n">
        <f aca="false">Sens!$N$3202*Sens!$N$3210</f>
        <v>21.7087111412496</v>
      </c>
      <c r="O3213" s="38" t="n">
        <f aca="false">Sens!$O$3202*Sens!$O$3210</f>
        <v>28.0189463642798</v>
      </c>
      <c r="P3213" s="5" t="s">
        <v>682</v>
      </c>
    </row>
    <row r="3214" customFormat="false" ht="15" hidden="false" customHeight="false" outlineLevel="0" collapsed="false">
      <c r="A3214" s="5" t="s">
        <v>683</v>
      </c>
      <c r="B3214" s="0" t="s">
        <v>86</v>
      </c>
      <c r="C3214" s="38" t="n">
        <f aca="false">Sens!$C$3202-Sens!$C$3213</f>
        <v>15.1456871171543</v>
      </c>
      <c r="D3214" s="38" t="n">
        <f aca="false">Sens!$D$3202-Sens!$D$3213</f>
        <v>18.8908765400825</v>
      </c>
      <c r="E3214" s="38" t="n">
        <f aca="false">Sens!$E$3202-Sens!$E$3213</f>
        <v>10.0485775075586</v>
      </c>
      <c r="F3214" s="38" t="n">
        <f aca="false">Sens!$F$3202-Sens!$F$3213</f>
        <v>13.0132771613635</v>
      </c>
      <c r="G3214" s="38" t="n">
        <f aca="false">Sens!$G$3202-Sens!$G$3213</f>
        <v>23.0450381503318</v>
      </c>
      <c r="H3214" s="38" t="n">
        <f aca="false">Sens!$H$3202-Sens!$H$3213</f>
        <v>27.6667457326347</v>
      </c>
      <c r="I3214" s="38" t="n">
        <f aca="false">Sens!$I$3202-Sens!$I$3213</f>
        <v>32.2880346490971</v>
      </c>
      <c r="J3214" s="38" t="n">
        <f aca="false">Sens!$J$3202-Sens!$J$3213</f>
        <v>36.5990371690132</v>
      </c>
      <c r="K3214" s="38" t="n">
        <f aca="false">Sens!$K$3202-Sens!$K$3213</f>
        <v>40.2589408859145</v>
      </c>
      <c r="L3214" s="38" t="n">
        <f aca="false">Sens!$L$3202-Sens!$L$3213</f>
        <v>44.2848349745059</v>
      </c>
      <c r="M3214" s="38" t="n">
        <f aca="false">Sens!$M$3202-Sens!$M$3213</f>
        <v>48.7133184719565</v>
      </c>
      <c r="N3214" s="38" t="n">
        <f aca="false">Sens!$N$3202-Sens!$N$3213</f>
        <v>7.90628885875037</v>
      </c>
      <c r="O3214" s="38" t="n">
        <f aca="false">Sens!$O$3202-Sens!$O$3213</f>
        <v>11.0010536357202</v>
      </c>
    </row>
    <row r="3215" customFormat="false" ht="19.4" hidden="false" customHeight="false" outlineLevel="0" collapsed="false">
      <c r="A3215" s="31" t="s">
        <v>1193</v>
      </c>
    </row>
    <row r="3216" customFormat="false" ht="17.15" hidden="false" customHeight="false" outlineLevel="0" collapsed="false">
      <c r="A3216" s="6" t="s">
        <v>16</v>
      </c>
      <c r="B3216" s="6" t="s">
        <v>17</v>
      </c>
      <c r="C3216" s="20" t="s">
        <v>494</v>
      </c>
      <c r="D3216" s="20" t="s">
        <v>495</v>
      </c>
      <c r="E3216" s="20" t="s">
        <v>577</v>
      </c>
      <c r="F3216" s="20" t="s">
        <v>578</v>
      </c>
      <c r="G3216" s="20" t="s">
        <v>579</v>
      </c>
      <c r="H3216" s="20" t="s">
        <v>580</v>
      </c>
      <c r="I3216" s="20" t="s">
        <v>581</v>
      </c>
      <c r="J3216" s="20" t="s">
        <v>582</v>
      </c>
      <c r="K3216" s="20" t="s">
        <v>583</v>
      </c>
      <c r="L3216" s="20" t="s">
        <v>584</v>
      </c>
      <c r="M3216" s="20" t="s">
        <v>585</v>
      </c>
      <c r="N3216" s="20" t="s">
        <v>586</v>
      </c>
      <c r="O3216" s="20" t="s">
        <v>587</v>
      </c>
      <c r="P3216" s="6" t="s">
        <v>23</v>
      </c>
      <c r="R3216" s="20" t="n">
        <v>2023</v>
      </c>
      <c r="S3216" s="20" t="n">
        <v>2024</v>
      </c>
      <c r="T3216" s="20" t="n">
        <v>2025</v>
      </c>
      <c r="U3216" s="20" t="n">
        <v>2026</v>
      </c>
      <c r="V3216" s="20" t="n">
        <v>2027</v>
      </c>
      <c r="W3216" s="20" t="n">
        <v>2028</v>
      </c>
      <c r="X3216" s="20" t="n">
        <v>2029</v>
      </c>
      <c r="Y3216" s="20" t="n">
        <v>2030</v>
      </c>
      <c r="Z3216" s="20" t="n">
        <v>2031</v>
      </c>
      <c r="AA3216" s="20" t="n">
        <v>2032</v>
      </c>
    </row>
    <row r="3217" customFormat="false" ht="17.15" hidden="false" customHeight="false" outlineLevel="0" collapsed="false">
      <c r="A3217" s="1" t="s">
        <v>588</v>
      </c>
    </row>
    <row r="3218" customFormat="false" ht="17.15" hidden="false" customHeight="false" outlineLevel="0" collapsed="false">
      <c r="A3218" s="5" t="s">
        <v>589</v>
      </c>
      <c r="B3218" s="0" t="s">
        <v>144</v>
      </c>
      <c r="H3218" s="32" t="n">
        <f aca="false">pace_B</f>
        <v>3634.3</v>
      </c>
      <c r="I3218" s="32" t="n">
        <f aca="false">pace_B</f>
        <v>3634.3</v>
      </c>
      <c r="J3218" s="32" t="n">
        <f aca="false">pace_B</f>
        <v>3634.3</v>
      </c>
      <c r="K3218" s="32" t="n">
        <f aca="false">pace_B+(Sens!$J$3219*tg-pace_B)*1/3</f>
        <v>2570.86716666667</v>
      </c>
      <c r="L3218" s="32" t="n">
        <f aca="false">pace_B+(Sens!$J$3219*tg-pace_B)*2/3</f>
        <v>1507.43433333333</v>
      </c>
      <c r="M3218" s="32" t="n">
        <f aca="false">pace_B+(Sens!$J$3219*tg-pace_B)*3/3</f>
        <v>444.0015</v>
      </c>
      <c r="P3218" s="5" t="s">
        <v>590</v>
      </c>
    </row>
    <row r="3219" customFormat="false" ht="17.15" hidden="false" customHeight="false" outlineLevel="0" collapsed="false">
      <c r="A3219" s="15" t="s">
        <v>591</v>
      </c>
      <c r="B3219" s="14" t="s">
        <v>129</v>
      </c>
      <c r="C3219" s="33" t="n">
        <f aca="false">mw_ye24</f>
        <v>360</v>
      </c>
      <c r="D3219" s="33" t="n">
        <f aca="false">mw_ye25</f>
        <v>1440</v>
      </c>
      <c r="E3219" s="33" t="n">
        <f aca="false">mw_open</f>
        <v>2080</v>
      </c>
      <c r="F3219" s="33" t="n">
        <f aca="false">Sens!$E$3219+pace_B*0.5</f>
        <v>3897.15</v>
      </c>
      <c r="G3219" s="33" t="n">
        <f aca="false">Sens!$F$3219</f>
        <v>3897.15</v>
      </c>
      <c r="H3219" s="33" t="n">
        <f aca="false">Sens!$G$3219+Sens!$H$3218</f>
        <v>7531.45</v>
      </c>
      <c r="I3219" s="33" t="n">
        <f aca="false">Sens!$H$3219+Sens!$I$3218</f>
        <v>11165.75</v>
      </c>
      <c r="J3219" s="33" t="n">
        <f aca="false">Sens!$I$3219+Sens!$J$3218</f>
        <v>14800.05</v>
      </c>
      <c r="K3219" s="33" t="n">
        <f aca="false">Sens!$J$3219+Sens!$K$3218</f>
        <v>17370.9171666667</v>
      </c>
      <c r="L3219" s="33" t="n">
        <f aca="false">Sens!$K$3219+Sens!$L$3218</f>
        <v>18878.3515</v>
      </c>
      <c r="M3219" s="33" t="n">
        <f aca="false">Sens!$L$3219+Sens!$M$3218</f>
        <v>19322.353</v>
      </c>
      <c r="N3219" s="33" t="n">
        <f aca="false">(mw_ye24+mw_ye25)/2</f>
        <v>900</v>
      </c>
      <c r="O3219" s="33" t="n">
        <f aca="false">mw_ye25</f>
        <v>1440</v>
      </c>
      <c r="P3219" s="5" t="s">
        <v>592</v>
      </c>
    </row>
    <row r="3220" customFormat="false" ht="17.15" hidden="false" customHeight="false" outlineLevel="0" collapsed="false">
      <c r="A3220" s="5" t="s">
        <v>593</v>
      </c>
      <c r="B3220" s="0" t="s">
        <v>129</v>
      </c>
      <c r="C3220" s="32" t="n">
        <f aca="false">(mw_ye23+mw_ye24)/2</f>
        <v>240</v>
      </c>
      <c r="D3220" s="32" t="n">
        <f aca="false">(Sens!$C$3219+Sens!$D$3219)/2</f>
        <v>900</v>
      </c>
      <c r="E3220" s="32" t="n">
        <f aca="false">(Sens!$D$3219+Sens!$E$3219)/2</f>
        <v>1760</v>
      </c>
      <c r="F3220" s="32" t="n">
        <f aca="false">(Sens!$E$3219+Sens!$F$3219)/2</f>
        <v>2988.575</v>
      </c>
      <c r="G3220" s="32" t="n">
        <f aca="false">(Sens!$E$3220+Sens!$F$3220)/2</f>
        <v>2374.2875</v>
      </c>
      <c r="H3220" s="32" t="n">
        <f aca="false">(Sens!$G$3219+Sens!$H$3219)/2</f>
        <v>5714.3</v>
      </c>
      <c r="I3220" s="32" t="n">
        <f aca="false">(Sens!$H$3219+Sens!$I$3219)/2</f>
        <v>9348.6</v>
      </c>
      <c r="J3220" s="32" t="n">
        <f aca="false">(Sens!$I$3219+Sens!$J$3219)/2</f>
        <v>12982.9</v>
      </c>
      <c r="K3220" s="32" t="n">
        <f aca="false">(Sens!$J$3219+Sens!$K$3219)/2</f>
        <v>16085.4835833333</v>
      </c>
      <c r="L3220" s="32" t="n">
        <f aca="false">(Sens!$K$3219+Sens!$L$3219)/2</f>
        <v>18124.6343333333</v>
      </c>
      <c r="M3220" s="32" t="n">
        <f aca="false">(Sens!$L$3219+Sens!$M$3219)/2</f>
        <v>19100.35225</v>
      </c>
      <c r="N3220" s="32" t="n">
        <f aca="false">(Sens!$C$3219+Sens!$N$3219)/2</f>
        <v>630</v>
      </c>
      <c r="O3220" s="32" t="n">
        <f aca="false">(Sens!$N$3219+Sens!$O$3219)/2</f>
        <v>1170</v>
      </c>
    </row>
    <row r="3221" customFormat="false" ht="15" hidden="false" customHeight="false" outlineLevel="0" collapsed="false">
      <c r="A3221" s="5" t="s">
        <v>594</v>
      </c>
      <c r="B3221" s="5" t="s">
        <v>123</v>
      </c>
      <c r="C3221" s="34" t="n">
        <v>1</v>
      </c>
      <c r="D3221" s="34" t="n">
        <v>1</v>
      </c>
      <c r="E3221" s="34" t="n">
        <v>0.5</v>
      </c>
      <c r="F3221" s="34" t="n">
        <v>0.5</v>
      </c>
      <c r="G3221" s="34" t="n">
        <v>1</v>
      </c>
      <c r="H3221" s="34" t="n">
        <v>1</v>
      </c>
      <c r="I3221" s="34" t="n">
        <v>1</v>
      </c>
      <c r="J3221" s="34" t="n">
        <v>1</v>
      </c>
      <c r="K3221" s="34" t="n">
        <v>1</v>
      </c>
      <c r="L3221" s="34" t="n">
        <v>1</v>
      </c>
      <c r="M3221" s="34" t="n">
        <v>1</v>
      </c>
      <c r="N3221" s="34" t="n">
        <v>0.5</v>
      </c>
      <c r="O3221" s="34" t="n">
        <v>0.5</v>
      </c>
    </row>
    <row r="3222" customFormat="false" ht="17.15" hidden="false" customHeight="false" outlineLevel="0" collapsed="false">
      <c r="A3222" s="5" t="s">
        <v>595</v>
      </c>
      <c r="B3222" s="0" t="s">
        <v>129</v>
      </c>
      <c r="C3222" s="32" t="n">
        <f aca="false">Sens!$C$3219-mw_ye23</f>
        <v>240</v>
      </c>
      <c r="D3222" s="32" t="n">
        <f aca="false">Sens!$D$3219-Sens!$C$3219</f>
        <v>1080</v>
      </c>
      <c r="E3222" s="32" t="n">
        <f aca="false">Sens!$E$3219-Sens!$D$3219</f>
        <v>640</v>
      </c>
      <c r="F3222" s="32" t="n">
        <f aca="false">Sens!$F$3219-Sens!$E$3219</f>
        <v>1817.15</v>
      </c>
      <c r="G3222" s="32" t="n">
        <f aca="false">Sens!$E$3222+Sens!$F$3222</f>
        <v>2457.15</v>
      </c>
      <c r="H3222" s="32" t="n">
        <f aca="false">Sens!$H$3219-Sens!$G$3219</f>
        <v>3634.3</v>
      </c>
      <c r="I3222" s="32" t="n">
        <f aca="false">Sens!$I$3219-Sens!$H$3219</f>
        <v>3634.3</v>
      </c>
      <c r="J3222" s="32" t="n">
        <f aca="false">Sens!$J$3219-Sens!$I$3219</f>
        <v>3634.3</v>
      </c>
      <c r="K3222" s="32" t="n">
        <f aca="false">Sens!$K$3219-Sens!$J$3219</f>
        <v>2570.86716666667</v>
      </c>
      <c r="L3222" s="32" t="n">
        <f aca="false">Sens!$L$3219-Sens!$K$3219</f>
        <v>1507.43433333333</v>
      </c>
      <c r="M3222" s="32" t="n">
        <f aca="false">Sens!$M$3219-Sens!$L$3219</f>
        <v>444.001499999999</v>
      </c>
      <c r="N3222" s="32" t="n">
        <f aca="false">Sens!$N$3219-Sens!$C$3219</f>
        <v>540</v>
      </c>
      <c r="O3222" s="32" t="n">
        <f aca="false">Sens!$O$3219-Sens!$N$3219</f>
        <v>540</v>
      </c>
    </row>
    <row r="3223" customFormat="false" ht="17.15" hidden="false" customHeight="false" outlineLevel="0" collapsed="false">
      <c r="A3223" s="5" t="s">
        <v>596</v>
      </c>
      <c r="B3223" s="0" t="s">
        <v>129</v>
      </c>
      <c r="C3223" s="32" t="n">
        <f aca="false">Sens!$C$3222/ext_sh</f>
        <v>300</v>
      </c>
      <c r="D3223" s="32" t="n">
        <f aca="false">Sens!$D$3222/ext_sh</f>
        <v>1350</v>
      </c>
      <c r="E3223" s="32" t="n">
        <f aca="false">Sens!$E$3222/ext_sh</f>
        <v>800</v>
      </c>
      <c r="F3223" s="32" t="n">
        <f aca="false">Sens!$F$3222/ext_sh</f>
        <v>2271.4375</v>
      </c>
      <c r="G3223" s="32" t="n">
        <f aca="false">Sens!$G$3222/ext_sh</f>
        <v>3071.4375</v>
      </c>
      <c r="H3223" s="32" t="n">
        <f aca="false">Sens!$H$3222/ext_sh</f>
        <v>4542.875</v>
      </c>
      <c r="I3223" s="32" t="n">
        <f aca="false">Sens!$I$3222/ext_sh</f>
        <v>4542.875</v>
      </c>
      <c r="J3223" s="32" t="n">
        <f aca="false">Sens!$J$3222/ext_sh</f>
        <v>4542.875</v>
      </c>
      <c r="K3223" s="32" t="n">
        <f aca="false">Sens!$K$3222/ext_sh</f>
        <v>3213.58395833333</v>
      </c>
      <c r="L3223" s="32" t="n">
        <f aca="false">Sens!$L$3222/ext_sh</f>
        <v>1884.29291666667</v>
      </c>
      <c r="M3223" s="32" t="n">
        <f aca="false">Sens!$M$3222/ext_sh</f>
        <v>555.001874999998</v>
      </c>
      <c r="N3223" s="32" t="n">
        <f aca="false">Sens!$N$3222/ext_sh</f>
        <v>675</v>
      </c>
      <c r="O3223" s="32" t="n">
        <f aca="false">Sens!$O$3222/ext_sh</f>
        <v>675</v>
      </c>
      <c r="P3223" s="8" t="s">
        <v>597</v>
      </c>
      <c r="R3223" s="32" t="n">
        <f aca="false">mw_ye23/ext_sh</f>
        <v>150</v>
      </c>
      <c r="S3223" s="32" t="n">
        <f aca="false">Sens!$C$3223</f>
        <v>300</v>
      </c>
      <c r="T3223" s="32" t="n">
        <f aca="false">Sens!$D$3223</f>
        <v>1350</v>
      </c>
      <c r="U3223" s="32" t="n">
        <f aca="false">Sens!$G$3223</f>
        <v>3071.4375</v>
      </c>
      <c r="V3223" s="32" t="n">
        <f aca="false">Sens!$H$3223</f>
        <v>4542.875</v>
      </c>
      <c r="W3223" s="32" t="n">
        <f aca="false">Sens!$I$3223</f>
        <v>4542.875</v>
      </c>
      <c r="X3223" s="32" t="n">
        <f aca="false">Sens!$J$3223</f>
        <v>4542.875</v>
      </c>
      <c r="Y3223" s="32" t="n">
        <f aca="false">Sens!$K$3223</f>
        <v>3213.58395833333</v>
      </c>
      <c r="Z3223" s="32" t="n">
        <f aca="false">Sens!$L$3223</f>
        <v>1884.29291666667</v>
      </c>
      <c r="AA3223" s="32" t="n">
        <f aca="false">Sens!$M$3223</f>
        <v>555.001874999998</v>
      </c>
    </row>
    <row r="3224" customFormat="false" ht="17.15" hidden="false" customHeight="false" outlineLevel="0" collapsed="false">
      <c r="A3224" s="1" t="s">
        <v>598</v>
      </c>
    </row>
    <row r="3225" customFormat="false" ht="17.15" hidden="false" customHeight="false" outlineLevel="0" collapsed="false">
      <c r="A3225" s="0" t="s">
        <v>599</v>
      </c>
      <c r="B3225" s="0" t="s">
        <v>52</v>
      </c>
      <c r="F3225" s="35" t="n">
        <f aca="false">na_vr26</f>
        <v>0</v>
      </c>
      <c r="G3225" s="35" t="n">
        <f aca="false">na_vr26</f>
        <v>0</v>
      </c>
      <c r="H3225" s="35" t="n">
        <f aca="false">na_vr27</f>
        <v>0.5</v>
      </c>
      <c r="I3225" s="35" t="n">
        <f aca="false">na_vr28</f>
        <v>1</v>
      </c>
      <c r="J3225" s="35" t="n">
        <f aca="false">na_vr28</f>
        <v>1</v>
      </c>
      <c r="K3225" s="35" t="n">
        <f aca="false">na_vr28</f>
        <v>1</v>
      </c>
      <c r="L3225" s="35" t="n">
        <f aca="false">na_vr28</f>
        <v>1</v>
      </c>
      <c r="M3225" s="35" t="n">
        <f aca="false">na_vr28</f>
        <v>1</v>
      </c>
    </row>
    <row r="3226" customFormat="false" ht="17.15" hidden="false" customHeight="false" outlineLevel="0" collapsed="false">
      <c r="A3226" s="5" t="s">
        <v>600</v>
      </c>
      <c r="B3226" s="0" t="s">
        <v>173</v>
      </c>
      <c r="F3226" s="36" t="n">
        <f aca="false">cust_sh*tk_he_gb300*cf_chip+(1-cust_sh)*((1-Sens!$F$3225)*tk_he_gb300+Sens!$F$3225*tk_he_vr200)</f>
        <v>10.8864110021101</v>
      </c>
      <c r="G3226" s="36" t="n">
        <f aca="false">cust_sh*tk_he_gb300*cf_chip+(1-cust_sh)*((1-Sens!$G$3225)*tk_he_gb300+Sens!$G$3225*tk_he_vr200)</f>
        <v>10.8864110021101</v>
      </c>
      <c r="H3226" s="36" t="n">
        <f aca="false">cust_sh*tk_he_gb300*cf_chip+(1-cust_sh)*((1-Sens!$H$3225)*tk_he_gb300+Sens!$H$3225*tk_he_vr200)</f>
        <v>11.2211760027286</v>
      </c>
      <c r="I3226" s="36" t="n">
        <f aca="false">cust_sh*tk_he_gb300*cf_chip+(1-cust_sh)*((1-Sens!$I$3225)*tk_he_gb300+Sens!$I$3225*tk_he_vr200)</f>
        <v>11.5559410033471</v>
      </c>
      <c r="J3226" s="36" t="n">
        <f aca="false">cust_sh*tk_he_gb300*cf_chip+(1-cust_sh)*((1-Sens!$J$3225)*tk_he_gb300+Sens!$J$3225*tk_he_vr200)</f>
        <v>11.5559410033471</v>
      </c>
      <c r="K3226" s="36" t="n">
        <f aca="false">cust_sh*tk_he_gb300*cf_chip+(1-cust_sh)*((1-Sens!$K$3225)*tk_he_gb300+Sens!$K$3225*tk_he_vr200)</f>
        <v>11.5559410033471</v>
      </c>
      <c r="L3226" s="36" t="n">
        <f aca="false">cust_sh*tk_he_gb300*cf_chip+(1-cust_sh)*((1-Sens!$L$3225)*tk_he_gb300+Sens!$L$3225*tk_he_vr200)</f>
        <v>11.5559410033471</v>
      </c>
      <c r="M3226" s="36" t="n">
        <f aca="false">cust_sh*tk_he_gb300*cf_chip+(1-cust_sh)*((1-Sens!$M$3225)*tk_he_gb300+Sens!$M$3225*tk_he_vr200)</f>
        <v>11.5559410033471</v>
      </c>
    </row>
    <row r="3227" customFormat="false" ht="17.15" hidden="false" customHeight="false" outlineLevel="0" collapsed="false">
      <c r="A3227" s="5" t="s">
        <v>601</v>
      </c>
      <c r="B3227" s="0" t="s">
        <v>173</v>
      </c>
      <c r="F3227" s="36" t="n">
        <f aca="false">cust_sh*tk_ox_gb300+(1-cust_sh)*((1-Sens!$F$3225)*tk_ox_gb300+Sens!$F$3225*tk_ox_vr200)</f>
        <v>1.98263481314457</v>
      </c>
      <c r="G3227" s="36" t="n">
        <f aca="false">cust_sh*tk_ox_gb300+(1-cust_sh)*((1-Sens!$G$3225)*tk_ox_gb300+Sens!$G$3225*tk_ox_vr200)</f>
        <v>1.98263481314457</v>
      </c>
      <c r="H3227" s="36" t="n">
        <f aca="false">cust_sh*tk_ox_gb300+(1-cust_sh)*((1-Sens!$H$3225)*tk_ox_gb300+Sens!$H$3225*tk_ox_vr200)</f>
        <v>2.01034999693694</v>
      </c>
      <c r="I3227" s="36" t="n">
        <f aca="false">cust_sh*tk_ox_gb300+(1-cust_sh)*((1-Sens!$I$3225)*tk_ox_gb300+Sens!$I$3225*tk_ox_vr200)</f>
        <v>2.0380651807293</v>
      </c>
      <c r="J3227" s="36" t="n">
        <f aca="false">cust_sh*tk_ox_gb300+(1-cust_sh)*((1-Sens!$J$3225)*tk_ox_gb300+Sens!$J$3225*tk_ox_vr200)</f>
        <v>2.0380651807293</v>
      </c>
      <c r="K3227" s="36" t="n">
        <f aca="false">cust_sh*tk_ox_gb300+(1-cust_sh)*((1-Sens!$K$3225)*tk_ox_gb300+Sens!$K$3225*tk_ox_vr200)</f>
        <v>2.0380651807293</v>
      </c>
      <c r="L3227" s="36" t="n">
        <f aca="false">cust_sh*tk_ox_gb300+(1-cust_sh)*((1-Sens!$L$3225)*tk_ox_gb300+Sens!$L$3225*tk_ox_vr200)</f>
        <v>2.0380651807293</v>
      </c>
      <c r="M3227" s="36" t="n">
        <f aca="false">cust_sh*tk_ox_gb300+(1-cust_sh)*((1-Sens!$M$3225)*tk_ox_gb300+Sens!$M$3225*tk_ox_vr200)</f>
        <v>2.0380651807293</v>
      </c>
    </row>
    <row r="3228" customFormat="false" ht="17.15" hidden="false" customHeight="false" outlineLevel="0" collapsed="false">
      <c r="A3228" s="5" t="s">
        <v>602</v>
      </c>
      <c r="B3228" s="0" t="s">
        <v>192</v>
      </c>
      <c r="F3228" s="36" t="n">
        <f aca="false">cust_sh*tk_cx_gb300*cf_cx+(1-cust_sh)*((1-Sens!$F$3225)*tk_cx_gb300+Sens!$F$3225*tk_cx_vr200)</f>
        <v>32.237224</v>
      </c>
      <c r="G3228" s="36" t="n">
        <f aca="false">cust_sh*tk_cx_gb300*cf_cx+(1-cust_sh)*((1-Sens!$G$3225)*tk_cx_gb300+Sens!$G$3225*tk_cx_vr200)</f>
        <v>32.237224</v>
      </c>
      <c r="H3228" s="36" t="n">
        <f aca="false">cust_sh*tk_cx_gb300*cf_cx+(1-cust_sh)*((1-Sens!$H$3225)*tk_cx_gb300+Sens!$H$3225*tk_cx_vr200)</f>
        <v>33.574506</v>
      </c>
      <c r="I3228" s="36" t="n">
        <f aca="false">cust_sh*tk_cx_gb300*cf_cx+(1-cust_sh)*((1-Sens!$I$3225)*tk_cx_gb300+Sens!$I$3225*tk_cx_vr200)</f>
        <v>34.911788</v>
      </c>
      <c r="J3228" s="36" t="n">
        <f aca="false">cust_sh*tk_cx_gb300*cf_cx+(1-cust_sh)*((1-Sens!$J$3225)*tk_cx_gb300+Sens!$J$3225*tk_cx_vr200)</f>
        <v>34.911788</v>
      </c>
      <c r="K3228" s="36" t="n">
        <f aca="false">cust_sh*tk_cx_gb300*cf_cx+(1-cust_sh)*((1-Sens!$K$3225)*tk_cx_gb300+Sens!$K$3225*tk_cx_vr200)</f>
        <v>34.911788</v>
      </c>
      <c r="L3228" s="36" t="n">
        <f aca="false">cust_sh*tk_cx_gb300*cf_cx+(1-cust_sh)*((1-Sens!$L$3225)*tk_cx_gb300+Sens!$L$3225*tk_cx_vr200)</f>
        <v>34.911788</v>
      </c>
      <c r="M3228" s="36" t="n">
        <f aca="false">cust_sh*tk_cx_gb300*cf_cx+(1-cust_sh)*((1-Sens!$M$3225)*tk_cx_gb300+Sens!$M$3225*tk_cx_vr200)</f>
        <v>34.911788</v>
      </c>
    </row>
    <row r="3229" customFormat="false" ht="17.15" hidden="false" customHeight="false" outlineLevel="0" collapsed="false">
      <c r="A3229" s="5" t="s">
        <v>603</v>
      </c>
      <c r="B3229" s="0" t="s">
        <v>129</v>
      </c>
      <c r="F3229" s="32" t="n">
        <f aca="false">Sens!$F$3219-mw_open</f>
        <v>1817.15</v>
      </c>
      <c r="G3229" s="32" t="n">
        <f aca="false">Sens!$F$3229</f>
        <v>1817.15</v>
      </c>
      <c r="H3229" s="32" t="n">
        <f aca="false">Sens!$H$3219-mw_open</f>
        <v>5451.45</v>
      </c>
      <c r="I3229" s="32" t="n">
        <f aca="false">Sens!$I$3219-mw_open</f>
        <v>9085.75</v>
      </c>
      <c r="J3229" s="32" t="n">
        <f aca="false">Sens!$J$3219-mw_open</f>
        <v>12720.05</v>
      </c>
      <c r="K3229" s="32" t="n">
        <f aca="false">Sens!$K$3219-mw_open</f>
        <v>15290.9171666667</v>
      </c>
      <c r="L3229" s="32" t="n">
        <f aca="false">Sens!$L$3219-mw_open</f>
        <v>16798.3515</v>
      </c>
      <c r="M3229" s="32" t="n">
        <f aca="false">Sens!$M$3219-mw_open</f>
        <v>17242.353</v>
      </c>
    </row>
    <row r="3230" customFormat="false" ht="17.15" hidden="false" customHeight="false" outlineLevel="0" collapsed="false">
      <c r="A3230" s="0" t="s">
        <v>604</v>
      </c>
      <c r="B3230" s="0" t="s">
        <v>605</v>
      </c>
      <c r="F3230" s="32" t="n">
        <f aca="false">Sens!$F$3222*Sens!$F$3226</f>
        <v>19782.2417524844</v>
      </c>
      <c r="G3230" s="32" t="n">
        <f aca="false">Sens!$F$3230</f>
        <v>19782.2417524844</v>
      </c>
      <c r="H3230" s="32" t="n">
        <f aca="false">Sens!$G$3230+Sens!$H$3222*Sens!$H$3226</f>
        <v>60563.3616992009</v>
      </c>
      <c r="I3230" s="32" t="n">
        <f aca="false">Sens!$H$3230+Sens!$I$3222*Sens!$I$3226</f>
        <v>102561.118087665</v>
      </c>
      <c r="J3230" s="32" t="n">
        <f aca="false">Sens!$I$3230+Sens!$J$3222*Sens!$J$3226</f>
        <v>144558.87447613</v>
      </c>
      <c r="K3230" s="32" t="n">
        <f aca="false">Sens!$J$3230+Sens!$K$3222*Sens!$K$3226</f>
        <v>174267.663781572</v>
      </c>
      <c r="L3230" s="32" t="n">
        <f aca="false">Sens!$K$3230+Sens!$L$3222*Sens!$L$3226</f>
        <v>191687.486003992</v>
      </c>
      <c r="M3230" s="32" t="n">
        <f aca="false">Sens!$L$3230+Sens!$M$3222*Sens!$M$3226</f>
        <v>196818.341143389</v>
      </c>
    </row>
    <row r="3231" customFormat="false" ht="17.15" hidden="false" customHeight="false" outlineLevel="0" collapsed="false">
      <c r="A3231" s="0" t="s">
        <v>606</v>
      </c>
      <c r="B3231" s="0" t="s">
        <v>605</v>
      </c>
      <c r="F3231" s="32" t="n">
        <f aca="false">Sens!$F$3222*Sens!$F$3227</f>
        <v>3602.74485070566</v>
      </c>
      <c r="G3231" s="32" t="n">
        <f aca="false">Sens!$F$3231</f>
        <v>3602.74485070566</v>
      </c>
      <c r="H3231" s="32" t="n">
        <f aca="false">Sens!$G$3231+Sens!$H$3222*Sens!$H$3227</f>
        <v>10908.9598445736</v>
      </c>
      <c r="I3231" s="32" t="n">
        <f aca="false">Sens!$H$3231+Sens!$I$3222*Sens!$I$3227</f>
        <v>18315.9001308981</v>
      </c>
      <c r="J3231" s="32" t="n">
        <f aca="false">Sens!$I$3231+Sens!$J$3222*Sens!$J$3227</f>
        <v>25722.8404172225</v>
      </c>
      <c r="K3231" s="32" t="n">
        <f aca="false">Sens!$J$3231+Sens!$K$3222*Sens!$K$3227</f>
        <v>30962.4352738861</v>
      </c>
      <c r="L3231" s="32" t="n">
        <f aca="false">Sens!$K$3231+Sens!$L$3222*Sens!$L$3227</f>
        <v>34034.6847008886</v>
      </c>
      <c r="M3231" s="32" t="n">
        <f aca="false">Sens!$L$3231+Sens!$M$3222*Sens!$M$3227</f>
        <v>34939.5886982302</v>
      </c>
    </row>
    <row r="3232" customFormat="false" ht="17.15" hidden="false" customHeight="false" outlineLevel="0" collapsed="false">
      <c r="A3232" s="5" t="s">
        <v>607</v>
      </c>
      <c r="B3232" s="0" t="s">
        <v>173</v>
      </c>
      <c r="F3232" s="36" t="n">
        <f aca="false">IF(Sens!$F$3229&gt;0,Sens!$F$3230/Sens!$F$3229,Sens!$F$3226)</f>
        <v>10.8864110021101</v>
      </c>
      <c r="G3232" s="36" t="n">
        <f aca="false">IF(Sens!$G$3229&gt;0,Sens!$G$3230/Sens!$G$3229,Sens!$G$3226)</f>
        <v>10.8864110021101</v>
      </c>
      <c r="H3232" s="36" t="n">
        <f aca="false">IF(Sens!$H$3229&gt;0,Sens!$H$3230/Sens!$H$3229,Sens!$H$3226)</f>
        <v>11.1095876691891</v>
      </c>
      <c r="I3232" s="36" t="n">
        <f aca="false">IF(Sens!$I$3229&gt;0,Sens!$I$3230/Sens!$I$3229,Sens!$I$3226)</f>
        <v>11.2881290028523</v>
      </c>
      <c r="J3232" s="36" t="n">
        <f aca="false">IF(Sens!$J$3229&gt;0,Sens!$J$3230/Sens!$J$3229,Sens!$J$3226)</f>
        <v>11.3646467172794</v>
      </c>
      <c r="K3232" s="36" t="n">
        <f aca="false">IF(Sens!$K$3229&gt;0,Sens!$K$3230/Sens!$K$3229,Sens!$K$3226)</f>
        <v>11.3968090914432</v>
      </c>
      <c r="L3232" s="36" t="n">
        <f aca="false">IF(Sens!$L$3229&gt;0,Sens!$L$3230/Sens!$L$3229,Sens!$L$3226)</f>
        <v>11.4110891181192</v>
      </c>
      <c r="M3232" s="36" t="n">
        <f aca="false">IF(Sens!$M$3229&gt;0,Sens!$M$3230/Sens!$M$3229,Sens!$M$3226)</f>
        <v>11.4148191458201</v>
      </c>
    </row>
    <row r="3233" customFormat="false" ht="17.15" hidden="false" customHeight="false" outlineLevel="0" collapsed="false">
      <c r="A3233" s="5" t="s">
        <v>608</v>
      </c>
      <c r="B3233" s="0" t="s">
        <v>173</v>
      </c>
      <c r="F3233" s="36" t="n">
        <f aca="false">IF(Sens!$F$3229&gt;0,Sens!$F$3231/Sens!$F$3229,Sens!$F$3227)</f>
        <v>1.98263481314457</v>
      </c>
      <c r="G3233" s="36" t="n">
        <f aca="false">IF(Sens!$G$3229&gt;0,Sens!$G$3231/Sens!$G$3229,Sens!$G$3227)</f>
        <v>1.98263481314457</v>
      </c>
      <c r="H3233" s="36" t="n">
        <f aca="false">IF(Sens!$H$3229&gt;0,Sens!$H$3231/Sens!$H$3229,Sens!$H$3227)</f>
        <v>2.00111160233948</v>
      </c>
      <c r="I3233" s="36" t="n">
        <f aca="false">IF(Sens!$I$3229&gt;0,Sens!$I$3231/Sens!$I$3229,Sens!$I$3227)</f>
        <v>2.01589303369541</v>
      </c>
      <c r="J3233" s="36" t="n">
        <f aca="false">IF(Sens!$J$3229&gt;0,Sens!$J$3231/Sens!$J$3229,Sens!$J$3227)</f>
        <v>2.02222793284795</v>
      </c>
      <c r="K3233" s="36" t="n">
        <f aca="false">IF(Sens!$K$3229&gt;0,Sens!$K$3231/Sens!$K$3229,Sens!$K$3227)</f>
        <v>2.02489065478573</v>
      </c>
      <c r="L3233" s="36" t="n">
        <f aca="false">IF(Sens!$L$3229&gt;0,Sens!$L$3231/Sens!$L$3229,Sens!$L$3227)</f>
        <v>2.0260728977417</v>
      </c>
      <c r="M3233" s="36" t="n">
        <f aca="false">IF(Sens!$M$3229&gt;0,Sens!$M$3231/Sens!$M$3229,Sens!$M$3227)</f>
        <v>2.02638170661685</v>
      </c>
    </row>
    <row r="3234" customFormat="false" ht="17.15" hidden="false" customHeight="false" outlineLevel="0" collapsed="false">
      <c r="A3234" s="15" t="s">
        <v>609</v>
      </c>
      <c r="B3234" s="14" t="s">
        <v>173</v>
      </c>
      <c r="C3234" s="14"/>
      <c r="D3234" s="14"/>
      <c r="E3234" s="14"/>
      <c r="F3234" s="37" t="n">
        <f aca="false">Sens!$F$3232*k_B</f>
        <v>10.7987645808025</v>
      </c>
      <c r="G3234" s="37" t="n">
        <f aca="false">Sens!$G$3232*k_B</f>
        <v>10.7987645808025</v>
      </c>
      <c r="H3234" s="37" t="n">
        <f aca="false">Sens!$H$3232*k_B</f>
        <v>11.0201444540452</v>
      </c>
      <c r="I3234" s="37" t="n">
        <f aca="false">Sens!$I$3232*k_B</f>
        <v>11.1972483526393</v>
      </c>
      <c r="J3234" s="37" t="n">
        <f aca="false">Sens!$J$3232*k_B</f>
        <v>11.2731500234653</v>
      </c>
      <c r="K3234" s="37" t="n">
        <f aca="false">Sens!$K$3232*k_B</f>
        <v>11.3050534585724</v>
      </c>
      <c r="L3234" s="37" t="n">
        <f aca="false">Sens!$L$3232*k_B</f>
        <v>11.3192185168503</v>
      </c>
      <c r="M3234" s="37" t="n">
        <f aca="false">Sens!$M$3232*k_B</f>
        <v>11.3229185141234</v>
      </c>
      <c r="N3234" s="14"/>
      <c r="O3234" s="14"/>
      <c r="P3234" s="5" t="s">
        <v>610</v>
      </c>
    </row>
    <row r="3235" customFormat="false" ht="17.15" hidden="false" customHeight="false" outlineLevel="0" collapsed="false">
      <c r="A3235" s="5" t="s">
        <v>611</v>
      </c>
      <c r="B3235" s="0" t="s">
        <v>129</v>
      </c>
      <c r="F3235" s="32" t="n">
        <f aca="false">Sens!$F$3229/2</f>
        <v>908.575</v>
      </c>
      <c r="H3235" s="32" t="n">
        <f aca="false">(Sens!$G$3229+Sens!$H$3229)/2</f>
        <v>3634.3</v>
      </c>
      <c r="I3235" s="32" t="n">
        <f aca="false">(Sens!$H$3229+Sens!$I$3229)/2</f>
        <v>7268.6</v>
      </c>
      <c r="J3235" s="32" t="n">
        <f aca="false">(Sens!$I$3229+Sens!$J$3229)/2</f>
        <v>10902.9</v>
      </c>
      <c r="K3235" s="32" t="n">
        <f aca="false">(Sens!$J$3229+Sens!$K$3229)/2</f>
        <v>14005.4835833333</v>
      </c>
      <c r="L3235" s="32" t="n">
        <f aca="false">(Sens!$K$3229+Sens!$L$3229)/2</f>
        <v>16044.6343333333</v>
      </c>
      <c r="M3235" s="32" t="n">
        <f aca="false">(Sens!$L$3229+Sens!$M$3229)/2</f>
        <v>17020.35225</v>
      </c>
    </row>
    <row r="3236" customFormat="false" ht="17.15" hidden="false" customHeight="false" outlineLevel="0" collapsed="false">
      <c r="A3236" s="1" t="s">
        <v>612</v>
      </c>
    </row>
    <row r="3237" customFormat="false" ht="17.15" hidden="false" customHeight="false" outlineLevel="0" collapsed="false">
      <c r="A3237" s="1" t="s">
        <v>613</v>
      </c>
      <c r="B3237" s="8" t="s">
        <v>86</v>
      </c>
      <c r="C3237" s="38" t="n">
        <f aca="false">Sens!$C$3220*rpm_open*Sens!$C$3221/1000</f>
        <v>2.32100535697364</v>
      </c>
      <c r="D3237" s="38" t="n">
        <f aca="false">Sens!$D$3220*rpm_open*Sens!$D$3221/1000</f>
        <v>8.70377008865116</v>
      </c>
      <c r="E3237" s="38" t="n">
        <f aca="false">Sens!$E$3220*rpm_open*Sens!$E$3221/1000</f>
        <v>8.51035297557002</v>
      </c>
      <c r="F3237" s="38" t="n">
        <f aca="false">(mw_open*rpm_open+Sens!$F$3235*Sens!$F$3234)*Sens!$F$3221/1000</f>
        <v>14.9634336447205</v>
      </c>
      <c r="G3237" s="38" t="n">
        <f aca="false">Sens!$E$3237+Sens!$F$3237</f>
        <v>23.4737866202905</v>
      </c>
      <c r="H3237" s="38" t="n">
        <f aca="false">(mw_open*rpm_open+Sens!$H$3235*Sens!$H$3234)/1000</f>
        <v>60.1658907497746</v>
      </c>
      <c r="I3237" s="38" t="n">
        <f aca="false">(mw_open*rpm_open+Sens!$I$3235*Sens!$I$3234)/1000</f>
        <v>101.503699136432</v>
      </c>
      <c r="J3237" s="38" t="n">
        <f aca="false">(mw_open*rpm_open+Sens!$J$3235*Sens!$J$3234)/1000</f>
        <v>143.025407151278</v>
      </c>
      <c r="K3237" s="38" t="n">
        <f aca="false">(mw_open*rpm_open+Sens!$K$3235*Sens!$K$3234)/1000</f>
        <v>178.44812038318</v>
      </c>
      <c r="L3237" s="38" t="n">
        <f aca="false">(mw_open*rpm_open+Sens!$L$3235*Sens!$L$3234)/1000</f>
        <v>201.728101802396</v>
      </c>
      <c r="M3237" s="38" t="n">
        <f aca="false">(mw_open*rpm_open+Sens!$M$3235*Sens!$M$3234)/1000</f>
        <v>212.835441368865</v>
      </c>
      <c r="N3237" s="38" t="n">
        <f aca="false">Sens!$N$3220*rpm_open*Sens!$N$3221/1000</f>
        <v>3.04631953102791</v>
      </c>
      <c r="O3237" s="38" t="n">
        <f aca="false">Sens!$O$3220*rpm_open*Sens!$O$3221/1000</f>
        <v>5.65745055762326</v>
      </c>
      <c r="P3237" s="5" t="s">
        <v>614</v>
      </c>
    </row>
    <row r="3238" customFormat="false" ht="17.15" hidden="false" customHeight="false" outlineLevel="0" collapsed="false">
      <c r="A3238" s="5" t="s">
        <v>615</v>
      </c>
      <c r="B3238" s="0" t="s">
        <v>173</v>
      </c>
      <c r="C3238" s="36" t="n">
        <f aca="false">Sens!$C$3237*1000/(Sens!$C$3220*Sens!$C$3221)</f>
        <v>9.67085565405685</v>
      </c>
      <c r="D3238" s="36" t="n">
        <f aca="false">Sens!$D$3237*1000/(Sens!$D$3220*Sens!$D$3221)</f>
        <v>9.67085565405685</v>
      </c>
      <c r="E3238" s="36" t="n">
        <f aca="false">Sens!$E$3237*1000/(Sens!$E$3220*Sens!$E$3221)</f>
        <v>9.67085565405685</v>
      </c>
      <c r="F3238" s="36" t="n">
        <f aca="false">Sens!$F$3237*1000/(Sens!$F$3220*Sens!$F$3221)</f>
        <v>10.0137581588017</v>
      </c>
      <c r="G3238" s="36" t="n">
        <f aca="false">Sens!$G$3237*1000/(Sens!$G$3220*Sens!$G$3221)</f>
        <v>9.88666562928478</v>
      </c>
      <c r="H3238" s="36" t="n">
        <f aca="false">Sens!$H$3237*1000/(Sens!$H$3220*Sens!$H$3221)</f>
        <v>10.5290045586992</v>
      </c>
      <c r="I3238" s="36" t="n">
        <f aca="false">Sens!$I$3237*1000/(Sens!$I$3220*Sens!$I$3221)</f>
        <v>10.8576363451674</v>
      </c>
      <c r="J3238" s="36" t="n">
        <f aca="false">Sens!$J$3237*1000/(Sens!$J$3220*Sens!$J$3221)</f>
        <v>11.0164452588619</v>
      </c>
      <c r="K3238" s="36" t="n">
        <f aca="false">Sens!$K$3237*1000/(Sens!$K$3220*Sens!$K$3221)</f>
        <v>11.0937367508227</v>
      </c>
      <c r="L3238" s="36" t="n">
        <f aca="false">Sens!$L$3237*1000/(Sens!$L$3220*Sens!$L$3221)</f>
        <v>11.1300508519168</v>
      </c>
      <c r="M3238" s="36" t="n">
        <f aca="false">Sens!$M$3237*1000/(Sens!$M$3220*Sens!$M$3221)</f>
        <v>11.1430113216297</v>
      </c>
      <c r="N3238" s="36" t="n">
        <f aca="false">Sens!$N$3237*1000/(Sens!$N$3220*Sens!$N$3221)</f>
        <v>9.67085565405685</v>
      </c>
      <c r="O3238" s="36" t="n">
        <f aca="false">Sens!$O$3237*1000/(Sens!$O$3220*Sens!$O$3221)</f>
        <v>9.67085565405685</v>
      </c>
    </row>
    <row r="3239" customFormat="false" ht="17.15" hidden="false" customHeight="false" outlineLevel="0" collapsed="false">
      <c r="A3239" s="0" t="s">
        <v>616</v>
      </c>
      <c r="B3239" s="0" t="s">
        <v>86</v>
      </c>
      <c r="C3239" s="38" t="n">
        <f aca="false">Sens!$C$3220/ext_sh*(ox_open+rent_mw)*Sens!$C$3221/1000</f>
        <v>0.642569210675032</v>
      </c>
      <c r="D3239" s="38" t="n">
        <f aca="false">Sens!$D$3220/ext_sh*(ox_open+rent_mw)*Sens!$D$3221/1000</f>
        <v>2.40963454003137</v>
      </c>
      <c r="E3239" s="38" t="n">
        <f aca="false">Sens!$E$3220/ext_sh*(ox_open+rent_mw)*Sens!$E$3221/1000</f>
        <v>2.35608710580845</v>
      </c>
      <c r="F3239" s="38" t="n">
        <f aca="false">((mw_open*ox_open+Sens!$F$3235*Sens!$F$3233)/ext_sh+Sens!$F$3220/ext_sh*rent_mw)*Sens!$F$3221/1000</f>
        <v>4.05421991106232</v>
      </c>
      <c r="G3239" s="38" t="n">
        <f aca="false">Sens!$E$3239+Sens!$F$3239</f>
        <v>6.41030701687077</v>
      </c>
      <c r="H3239" s="38" t="n">
        <f aca="false">((mw_open*ox_open+Sens!$H$3235*Sens!$H$3233)/ext_sh+Sens!$H$3220/ext_sh*rent_mw)*Sens!$H$3221/1000</f>
        <v>15.8108975546616</v>
      </c>
      <c r="I3239" s="38" t="n">
        <f aca="false">((mw_open*ox_open+Sens!$I$3235*Sens!$I$3233)/ext_sh+Sens!$I$3220/ext_sh*rent_mw)*Sens!$I$3221/1000</f>
        <v>26.1871623400817</v>
      </c>
      <c r="J3239" s="38" t="n">
        <f aca="false">((mw_open*ox_open+Sens!$J$3235*Sens!$J$3233)/ext_sh+Sens!$J$3220/ext_sh*rent_mw)*Sens!$J$3221/1000</f>
        <v>36.5826128954935</v>
      </c>
      <c r="K3239" s="38" t="n">
        <f aca="false">((mw_open*ox_open+Sens!$K$3235*Sens!$K$3233)/ext_sh+Sens!$K$3220/ext_sh*rent_mw)*Sens!$K$3221/1000</f>
        <v>45.4546361137628</v>
      </c>
      <c r="L3239" s="38" t="n">
        <f aca="false">((mw_open*ox_open+Sens!$L$3235*Sens!$L$3233)/ext_sh+Sens!$L$3220/ext_sh*rent_mw)*Sens!$L$3221/1000</f>
        <v>51.2855695554452</v>
      </c>
      <c r="M3239" s="38" t="n">
        <f aca="false">((mw_open*ox_open+Sens!$M$3235*Sens!$M$3233)/ext_sh+Sens!$M$3220/ext_sh*rent_mw)*Sens!$M$3221/1000</f>
        <v>54.0722927838398</v>
      </c>
      <c r="N3239" s="38" t="n">
        <f aca="false">Sens!$N$3220/ext_sh*(ox_open+rent_mw)*Sens!$N$3221/1000</f>
        <v>0.84337208901098</v>
      </c>
      <c r="O3239" s="38" t="n">
        <f aca="false">Sens!$O$3220/ext_sh*(ox_open+rent_mw)*Sens!$O$3221/1000</f>
        <v>1.56626245102039</v>
      </c>
    </row>
    <row r="3240" customFormat="false" ht="17.15" hidden="false" customHeight="false" outlineLevel="0" collapsed="false">
      <c r="A3240" s="0" t="s">
        <v>617</v>
      </c>
      <c r="B3240" s="0" t="s">
        <v>86</v>
      </c>
      <c r="C3240" s="38" t="n">
        <f aca="false">Q!$D$7</f>
        <v>107.556</v>
      </c>
      <c r="D3240" s="38" t="n">
        <f aca="false">Q!$E$7</f>
        <v>128.725</v>
      </c>
      <c r="E3240" s="38" t="n">
        <f aca="false">Q!$P$7</f>
        <v>79.819</v>
      </c>
      <c r="N3240" s="38" t="n">
        <f aca="false">Q!$N$7</f>
        <v>60.14</v>
      </c>
      <c r="O3240" s="38" t="n">
        <f aca="false">Q!$O$7</f>
        <v>68.585</v>
      </c>
    </row>
    <row r="3241" customFormat="false" ht="17.15" hidden="false" customHeight="false" outlineLevel="0" collapsed="false">
      <c r="A3241" s="1" t="s">
        <v>618</v>
      </c>
      <c r="B3241" s="8" t="s">
        <v>86</v>
      </c>
      <c r="C3241" s="38" t="n">
        <f aca="false">Sens!$C$3240-Sens!$C$3237</f>
        <v>105.234994643026</v>
      </c>
      <c r="D3241" s="38" t="n">
        <f aca="false">Sens!$D$3240-Sens!$D$3237</f>
        <v>120.021229911349</v>
      </c>
      <c r="E3241" s="38" t="n">
        <f aca="false">Sens!$E$3240-Sens!$E$3237</f>
        <v>71.30864702443</v>
      </c>
      <c r="F3241" s="38" t="n">
        <f aca="false">Sens!$O$3241*(1+Sens!$F$3242)</f>
        <v>71.7692997942464</v>
      </c>
      <c r="G3241" s="38" t="n">
        <f aca="false">Sens!$E$3241+Sens!$F$3241</f>
        <v>143.077946818676</v>
      </c>
      <c r="H3241" s="38" t="n">
        <f aca="false">Sens!$G$3241*(1+Sens!$H$3242)</f>
        <v>162.090161680343</v>
      </c>
      <c r="I3241" s="38" t="n">
        <f aca="false">Sens!$H$3241*(1+Sens!$I$3242)</f>
        <v>182.392507788469</v>
      </c>
      <c r="J3241" s="38" t="n">
        <f aca="false">Sens!$I$3241*(1+Sens!$J$3242)</f>
        <v>203.846737850887</v>
      </c>
      <c r="K3241" s="38" t="n">
        <f aca="false">Sens!$J$3241*(1+Sens!$K$3242)</f>
        <v>226.269879014485</v>
      </c>
      <c r="L3241" s="38" t="n">
        <f aca="false">Sens!$K$3241*(1+Sens!$L$3242)</f>
        <v>251.159565706078</v>
      </c>
      <c r="M3241" s="38" t="n">
        <f aca="false">Sens!$L$3241*(1+Sens!$M$3242)</f>
        <v>278.787117933747</v>
      </c>
      <c r="N3241" s="38" t="n">
        <f aca="false">Sens!$N$3240-Sens!$N$3237</f>
        <v>57.0936804689721</v>
      </c>
      <c r="O3241" s="38" t="n">
        <f aca="false">Sens!$O$3240-Sens!$O$3237</f>
        <v>62.9275494423768</v>
      </c>
      <c r="P3241" s="5" t="s">
        <v>619</v>
      </c>
    </row>
    <row r="3242" customFormat="false" ht="17.15" hidden="false" customHeight="false" outlineLevel="0" collapsed="false">
      <c r="A3242" s="0" t="s">
        <v>620</v>
      </c>
      <c r="B3242" s="0" t="s">
        <v>52</v>
      </c>
      <c r="D3242" s="13" t="n">
        <f aca="false">Sens!$D$3241/Sens!$C$3241-1</f>
        <v>0.140506827776062</v>
      </c>
      <c r="E3242" s="13" t="n">
        <f aca="false">Sens!$E$3241/Sens!$N$3241-1</f>
        <v>0.248976181579029</v>
      </c>
      <c r="F3242" s="13" t="n">
        <f aca="false">Sens!$D$3242</f>
        <v>0.140506827776062</v>
      </c>
      <c r="G3242" s="13" t="n">
        <f aca="false">Sens!$G$3241/Sens!$D$3241-1</f>
        <v>0.19210532106993</v>
      </c>
      <c r="H3242" s="13" t="n">
        <f aca="false">Sens!$F$3242+(g_awso_lt_hi-Sens!$F$3242)*1/4</f>
        <v>0.132880120832046</v>
      </c>
      <c r="I3242" s="13" t="n">
        <f aca="false">Sens!$F$3242+(g_awso_lt_hi-Sens!$F$3242)*2/4</f>
        <v>0.125253413888031</v>
      </c>
      <c r="J3242" s="13" t="n">
        <f aca="false">Sens!$F$3242+(g_awso_lt_hi-Sens!$F$3242)*3/4</f>
        <v>0.117626706944015</v>
      </c>
      <c r="K3242" s="13" t="n">
        <f aca="false">Sens!$F$3242+(g_awso_lt_hi-Sens!$F$3242)*4/4</f>
        <v>0.11</v>
      </c>
      <c r="L3242" s="13" t="n">
        <f aca="false">g_awso_lt_hi</f>
        <v>0.11</v>
      </c>
      <c r="M3242" s="13" t="n">
        <f aca="false">g_awso_lt_hi</f>
        <v>0.11</v>
      </c>
      <c r="P3242" s="5" t="s">
        <v>621</v>
      </c>
    </row>
    <row r="3243" customFormat="false" ht="17.15" hidden="false" customHeight="false" outlineLevel="0" collapsed="false">
      <c r="A3243" s="1" t="s">
        <v>622</v>
      </c>
    </row>
    <row r="3244" customFormat="false" ht="17.15" hidden="false" customHeight="false" outlineLevel="0" collapsed="false">
      <c r="A3244" s="0" t="s">
        <v>623</v>
      </c>
      <c r="B3244" s="0" t="s">
        <v>86</v>
      </c>
      <c r="F3244" s="38" t="n">
        <f aca="false">cx_rt*Sens!$F$3209+cx_awso*Sens!$F$3241</f>
        <v>34.9734495387866</v>
      </c>
    </row>
    <row r="3245" customFormat="false" ht="17.15" hidden="false" customHeight="false" outlineLevel="0" collapsed="false">
      <c r="A3245" s="0" t="s">
        <v>624</v>
      </c>
      <c r="B3245" s="0" t="s">
        <v>52</v>
      </c>
      <c r="C3245" s="13" t="n">
        <f aca="false">tk_cx_h100/(tk_cx_h100+tk_fac*(1-colo_sh))</f>
        <v>0.730756458006641</v>
      </c>
      <c r="D3245" s="13" t="n">
        <f aca="false">tk_cx_h100/(tk_cx_h100+tk_fac*(1-colo_sh))</f>
        <v>0.730756458006641</v>
      </c>
      <c r="E3245" s="13" t="n">
        <f aca="false">Sens!$F$3245</f>
        <v>0.760792334328868</v>
      </c>
      <c r="F3245" s="13" t="n">
        <f aca="false">Sens!$F$3228/(Sens!$F$3228+tk_fac*(1-colo_sh))</f>
        <v>0.760792334328868</v>
      </c>
      <c r="G3245" s="13" t="n">
        <f aca="false">Sens!$G$3228/(Sens!$G$3228+tk_fac*(1-colo_sh))</f>
        <v>0.760792334328868</v>
      </c>
      <c r="H3245" s="13" t="n">
        <f aca="false">Sens!$H$3228/(Sens!$H$3228+tk_fac*(1-colo_sh))</f>
        <v>0.768110668862996</v>
      </c>
      <c r="I3245" s="13" t="n">
        <f aca="false">Sens!$I$3228/(Sens!$I$3228+tk_fac*(1-colo_sh))</f>
        <v>0.77499450139483</v>
      </c>
      <c r="J3245" s="13" t="n">
        <f aca="false">Sens!$J$3228/(Sens!$J$3228+tk_fac*(1-colo_sh))</f>
        <v>0.77499450139483</v>
      </c>
      <c r="K3245" s="13" t="n">
        <f aca="false">Sens!$K$3228/(Sens!$K$3228+tk_fac*(1-colo_sh))</f>
        <v>0.77499450139483</v>
      </c>
      <c r="L3245" s="13" t="n">
        <f aca="false">Sens!$L$3228/(Sens!$L$3228+tk_fac*(1-colo_sh))</f>
        <v>0.77499450139483</v>
      </c>
      <c r="M3245" s="13" t="n">
        <f aca="false">Sens!$M$3228/(Sens!$M$3228+tk_fac*(1-colo_sh))</f>
        <v>0.77499450139483</v>
      </c>
    </row>
    <row r="3246" customFormat="false" ht="17.15" hidden="false" customHeight="false" outlineLevel="0" collapsed="false">
      <c r="A3246" s="1" t="s">
        <v>625</v>
      </c>
      <c r="B3246" s="8" t="s">
        <v>86</v>
      </c>
      <c r="C3246" s="38" t="n">
        <f aca="false">Q!$D$46-cx_rt*Q!$D$16-cx_awso*Sens!$C$3241</f>
        <v>25.2781053077374</v>
      </c>
      <c r="D3246" s="38" t="n">
        <f aca="false">Q!$E$46-cx_rt*Q!$E$16-cx_awso*Sens!$D$3241</f>
        <v>69.5686316310026</v>
      </c>
      <c r="E3246" s="38" t="n">
        <f aca="false">Q!$P$46-cx_rt*Q!$P$16-cx_awso*Sens!$E$3241</f>
        <v>64.1899206485108</v>
      </c>
      <c r="F3246" s="38" t="n">
        <f aca="false">MAX(Sens!$F$3223*(Sens!$F$3228+tk_fac*(1-colo_sh))/1000,capex_g26-Q!$P$46-Sens!$F$3244)</f>
        <v>96.2481299895</v>
      </c>
      <c r="G3246" s="38" t="n">
        <f aca="false">Sens!$E$3246+Sens!$F$3246</f>
        <v>160.438050638011</v>
      </c>
      <c r="H3246" s="38" t="n">
        <f aca="false">Sens!$H$3223*(Sens!$H$3228+tk_fac*(1-colo_sh))/1000+Sens!$H$3247</f>
        <v>198.57136494475</v>
      </c>
      <c r="I3246" s="38" t="n">
        <f aca="false">Sens!$I$3223*(Sens!$I$3228+tk_fac*(1-colo_sh))/1000+Sens!$I$3247</f>
        <v>204.6464699105</v>
      </c>
      <c r="J3246" s="38" t="n">
        <f aca="false">Sens!$J$3223*(Sens!$J$3228+tk_fac*(1-colo_sh))/1000+Sens!$J$3247</f>
        <v>209.8832381105</v>
      </c>
      <c r="K3246" s="38" t="n">
        <f aca="false">Sens!$K$3223*(Sens!$K$3228+tk_fac*(1-colo_sh))/1000+Sens!$K$3247</f>
        <v>155.238385275201</v>
      </c>
      <c r="L3246" s="38" t="n">
        <f aca="false">Sens!$L$3223*(Sens!$L$3228+tk_fac*(1-colo_sh))/1000+Sens!$L$3247</f>
        <v>132.014141639902</v>
      </c>
      <c r="M3246" s="38" t="n">
        <f aca="false">Sens!$M$3223*(Sens!$M$3228+tk_fac*(1-colo_sh))/1000+Sens!$M$3247</f>
        <v>132.230981659852</v>
      </c>
      <c r="P3246" s="5" t="s">
        <v>626</v>
      </c>
      <c r="R3246" s="38" t="n">
        <f aca="false">Q!$C$46-cx_rt*Q!$C$16-cx_awso*(Q!$C$7-mw_ye23/2*rpm_open/1000)</f>
        <v>1.50429979529945</v>
      </c>
      <c r="S3246" s="38" t="n">
        <f aca="false">Sens!$C$3246</f>
        <v>25.2781053077374</v>
      </c>
      <c r="T3246" s="38" t="n">
        <f aca="false">Sens!$D$3246</f>
        <v>69.5686316310026</v>
      </c>
      <c r="U3246" s="38" t="n">
        <f aca="false">Sens!$G$3246</f>
        <v>160.438050638011</v>
      </c>
      <c r="V3246" s="38" t="n">
        <f aca="false">Sens!$H$3246</f>
        <v>198.57136494475</v>
      </c>
      <c r="W3246" s="38" t="n">
        <f aca="false">Sens!$I$3246</f>
        <v>204.6464699105</v>
      </c>
      <c r="X3246" s="38" t="n">
        <f aca="false">Sens!$J$3246</f>
        <v>209.8832381105</v>
      </c>
      <c r="Y3246" s="38" t="n">
        <f aca="false">Sens!$K$3246</f>
        <v>155.238385275201</v>
      </c>
      <c r="Z3246" s="38" t="n">
        <f aca="false">Sens!$L$3246</f>
        <v>132.014141639902</v>
      </c>
      <c r="AA3246" s="38" t="n">
        <f aca="false">Sens!$M$3246</f>
        <v>132.230981659852</v>
      </c>
    </row>
    <row r="3247" customFormat="false" ht="17.15" hidden="false" customHeight="false" outlineLevel="0" collapsed="false">
      <c r="A3247" s="0" t="s">
        <v>627</v>
      </c>
      <c r="B3247" s="0" t="s">
        <v>86</v>
      </c>
      <c r="H3247" s="38" t="n">
        <f aca="false">SUMPRODUCT(--(Sens!$R$3216:$AA$3216=2027-tk_life),Sens!$R$3223:$AA$3223)*Sens!$H$3228/1000</f>
        <v>0</v>
      </c>
      <c r="I3247" s="38" t="n">
        <f aca="false">SUMPRODUCT(--(Sens!$R$3216:$AA$3216=2028-tk_life),Sens!$R$3223:$AA$3223)*Sens!$I$3228/1000</f>
        <v>0</v>
      </c>
      <c r="J3247" s="38" t="n">
        <f aca="false">SUMPRODUCT(--(Sens!$R$3216:$AA$3216=2029-tk_life),Sens!$R$3223:$AA$3223)*Sens!$J$3228/1000</f>
        <v>5.2367682</v>
      </c>
      <c r="K3247" s="38" t="n">
        <f aca="false">SUMPRODUCT(--(Sens!$R$3216:$AA$3216=2030-tk_life),Sens!$R$3223:$AA$3223)*Sens!$K$3228/1000</f>
        <v>10.4735364</v>
      </c>
      <c r="L3247" s="38" t="n">
        <f aca="false">SUMPRODUCT(--(Sens!$R$3216:$AA$3216=2031-tk_life),Sens!$R$3223:$AA$3223)*Sens!$L$3228/1000</f>
        <v>47.1309138</v>
      </c>
      <c r="M3247" s="38" t="n">
        <f aca="false">SUMPRODUCT(--(Sens!$R$3216:$AA$3216=2032-tk_life),Sens!$R$3223:$AA$3223)*Sens!$M$3228/1000</f>
        <v>107.22937485525</v>
      </c>
    </row>
    <row r="3248" customFormat="false" ht="17.15" hidden="false" customHeight="false" outlineLevel="0" collapsed="false">
      <c r="A3248" s="5" t="s">
        <v>628</v>
      </c>
      <c r="B3248" s="0" t="s">
        <v>86</v>
      </c>
      <c r="C3248" s="38" t="n">
        <f aca="false">Sens!$C$3246*Sens!$C$3245</f>
        <v>18.472138699801</v>
      </c>
      <c r="D3248" s="38" t="n">
        <f aca="false">Sens!$D$3246*Sens!$D$3245</f>
        <v>50.8377268390402</v>
      </c>
      <c r="E3248" s="38" t="n">
        <f aca="false">Sens!$E$3246*Sens!$E$3245</f>
        <v>48.8351995705653</v>
      </c>
      <c r="F3248" s="38" t="n">
        <f aca="false">Sens!$F$3246*Sens!$F$3245</f>
        <v>73.2248394895</v>
      </c>
      <c r="G3248" s="38" t="n">
        <f aca="false">Sens!$E$3248+Sens!$F$3248</f>
        <v>122.060039060065</v>
      </c>
      <c r="H3248" s="38" t="n">
        <f aca="false">(Sens!$H$3246-Sens!$H$3247)*Sens!$H$3245+Sens!$H$3247</f>
        <v>152.52478394475</v>
      </c>
      <c r="I3248" s="38" t="n">
        <f aca="false">(Sens!$I$3246-Sens!$I$3247)*Sens!$I$3245+Sens!$I$3247</f>
        <v>158.5998889105</v>
      </c>
      <c r="J3248" s="38" t="n">
        <f aca="false">(Sens!$J$3246-Sens!$J$3247)*Sens!$J$3245+Sens!$J$3247</f>
        <v>163.8366571105</v>
      </c>
      <c r="K3248" s="38" t="n">
        <f aca="false">(Sens!$K$3246-Sens!$K$3247)*Sens!$K$3245+Sens!$K$3247</f>
        <v>122.665498273534</v>
      </c>
      <c r="L3248" s="38" t="n">
        <f aca="false">(Sens!$L$3246-Sens!$L$3247)*Sens!$L$3245+Sens!$L$3247</f>
        <v>112.914948636568</v>
      </c>
      <c r="M3248" s="38" t="n">
        <f aca="false">(Sens!$M$3246-Sens!$M$3247)*Sens!$M$3245+Sens!$M$3247</f>
        <v>126.605482654852</v>
      </c>
      <c r="R3248" s="38" t="n">
        <f aca="false">Sens!$R$3246*Sens!$C$3245</f>
        <v>1.09927679019314</v>
      </c>
      <c r="S3248" s="38" t="n">
        <f aca="false">Sens!$C$3248</f>
        <v>18.472138699801</v>
      </c>
      <c r="T3248" s="38" t="n">
        <f aca="false">Sens!$D$3248</f>
        <v>50.8377268390402</v>
      </c>
      <c r="U3248" s="38" t="n">
        <f aca="false">Sens!$G$3248</f>
        <v>122.060039060065</v>
      </c>
      <c r="V3248" s="38" t="n">
        <f aca="false">Sens!$H$3248</f>
        <v>152.52478394475</v>
      </c>
      <c r="W3248" s="38" t="n">
        <f aca="false">Sens!$I$3248</f>
        <v>158.5998889105</v>
      </c>
      <c r="X3248" s="38" t="n">
        <f aca="false">Sens!$J$3248</f>
        <v>163.8366571105</v>
      </c>
      <c r="Y3248" s="38" t="n">
        <f aca="false">Sens!$K$3248</f>
        <v>122.665498273534</v>
      </c>
      <c r="Z3248" s="38" t="n">
        <f aca="false">Sens!$L$3248</f>
        <v>112.914948636568</v>
      </c>
      <c r="AA3248" s="38" t="n">
        <f aca="false">Sens!$M$3248</f>
        <v>126.605482654852</v>
      </c>
    </row>
    <row r="3249" customFormat="false" ht="15" hidden="false" customHeight="false" outlineLevel="0" collapsed="false">
      <c r="A3249" s="5" t="s">
        <v>629</v>
      </c>
      <c r="B3249" s="0" t="s">
        <v>86</v>
      </c>
      <c r="C3249" s="38" t="n">
        <f aca="false">Sens!$C$3246-Sens!$C$3248</f>
        <v>6.80596660793636</v>
      </c>
      <c r="D3249" s="38" t="n">
        <f aca="false">Sens!$D$3246-Sens!$D$3248</f>
        <v>18.7309047919624</v>
      </c>
      <c r="E3249" s="38" t="n">
        <f aca="false">Sens!$E$3246-Sens!$E$3248</f>
        <v>15.3547210779455</v>
      </c>
      <c r="F3249" s="38" t="n">
        <f aca="false">Sens!$F$3246-Sens!$F$3248</f>
        <v>23.0232905</v>
      </c>
      <c r="G3249" s="38" t="n">
        <f aca="false">Sens!$G$3246-Sens!$G$3248</f>
        <v>38.3780115779455</v>
      </c>
      <c r="H3249" s="38" t="n">
        <f aca="false">Sens!$H$3246-Sens!$H$3248</f>
        <v>46.046581</v>
      </c>
      <c r="I3249" s="38" t="n">
        <f aca="false">Sens!$I$3246-Sens!$I$3248</f>
        <v>46.046581</v>
      </c>
      <c r="J3249" s="38" t="n">
        <f aca="false">Sens!$J$3246-Sens!$J$3248</f>
        <v>46.046581</v>
      </c>
      <c r="K3249" s="38" t="n">
        <f aca="false">Sens!$K$3246-Sens!$K$3248</f>
        <v>32.5728870016667</v>
      </c>
      <c r="L3249" s="38" t="n">
        <f aca="false">Sens!$L$3246-Sens!$L$3248</f>
        <v>19.0991930033334</v>
      </c>
      <c r="M3249" s="38" t="n">
        <f aca="false">Sens!$M$3246-Sens!$M$3248</f>
        <v>5.62549900499998</v>
      </c>
      <c r="R3249" s="38" t="n">
        <f aca="false">Sens!$R$3246-Sens!$R$3248</f>
        <v>0.405023005106309</v>
      </c>
      <c r="S3249" s="38" t="n">
        <f aca="false">Sens!$S$3246-Sens!$S$3248</f>
        <v>6.80596660793636</v>
      </c>
      <c r="T3249" s="38" t="n">
        <f aca="false">Sens!$T$3246-Sens!$T$3248</f>
        <v>18.7309047919624</v>
      </c>
      <c r="U3249" s="38" t="n">
        <f aca="false">Sens!$U$3246-Sens!$U$3248</f>
        <v>38.3780115779455</v>
      </c>
      <c r="V3249" s="38" t="n">
        <f aca="false">Sens!$V$3246-Sens!$V$3248</f>
        <v>46.046581</v>
      </c>
      <c r="W3249" s="38" t="n">
        <f aca="false">Sens!$W$3246-Sens!$W$3248</f>
        <v>46.046581</v>
      </c>
      <c r="X3249" s="38" t="n">
        <f aca="false">Sens!$X$3246-Sens!$X$3248</f>
        <v>46.046581</v>
      </c>
      <c r="Y3249" s="38" t="n">
        <f aca="false">Sens!$Y$3246-Sens!$Y$3248</f>
        <v>32.5728870016667</v>
      </c>
      <c r="Z3249" s="38" t="n">
        <f aca="false">Sens!$Z$3246-Sens!$Z$3248</f>
        <v>19.0991930033334</v>
      </c>
      <c r="AA3249" s="38" t="n">
        <f aca="false">Sens!$AA$3246-Sens!$AA$3248</f>
        <v>5.62549900499998</v>
      </c>
    </row>
    <row r="3250" customFormat="false" ht="17.15" hidden="false" customHeight="false" outlineLevel="0" collapsed="false">
      <c r="A3250" s="0" t="s">
        <v>630</v>
      </c>
      <c r="B3250" s="0" t="s">
        <v>52</v>
      </c>
      <c r="C3250" s="13" t="n">
        <f aca="false">Sens!$C$3246/Sens!$C$3366</f>
        <v>0.325505489553393</v>
      </c>
      <c r="D3250" s="13" t="n">
        <f aca="false">Sens!$D$3246/Sens!$D$3366</f>
        <v>0.54214956071542</v>
      </c>
      <c r="E3250" s="13" t="n">
        <f aca="false">Sens!$E$3246/Sens!$E$3366</f>
        <v>0.666492790452817</v>
      </c>
      <c r="F3250" s="13" t="n">
        <f aca="false">Sens!$F$3246/Sens!$F$3366</f>
        <v>0.733477910687338</v>
      </c>
      <c r="G3250" s="13" t="n">
        <f aca="false">Sens!$G$3246/Sens!$G$3366</f>
        <v>0.705124321514523</v>
      </c>
      <c r="H3250" s="13" t="n">
        <f aca="false">Sens!$H$3246/Sens!$H$3366</f>
        <v>0.725806231867852</v>
      </c>
      <c r="I3250" s="13" t="n">
        <f aca="false">Sens!$I$3246/Sens!$I$3366</f>
        <v>0.711303248812262</v>
      </c>
      <c r="J3250" s="13" t="n">
        <f aca="false">Sens!$J$3246/Sens!$J$3366</f>
        <v>0.697446956754909</v>
      </c>
      <c r="K3250" s="13" t="n">
        <f aca="false">Sens!$K$3246/Sens!$K$3366</f>
        <v>0.61111795187599</v>
      </c>
      <c r="L3250" s="13" t="n">
        <f aca="false">Sens!$L$3246/Sens!$L$3366</f>
        <v>0.55176542709262</v>
      </c>
      <c r="M3250" s="13" t="n">
        <f aca="false">Sens!$M$3246/Sens!$M$3366</f>
        <v>0.531635350471129</v>
      </c>
    </row>
    <row r="3251" customFormat="false" ht="17.15" hidden="false" customHeight="false" outlineLevel="0" collapsed="false">
      <c r="A3251" s="0" t="s">
        <v>631</v>
      </c>
      <c r="B3251" s="0" t="s">
        <v>86</v>
      </c>
      <c r="C3251" s="38" t="n">
        <f aca="false">Sens!$S$3251</f>
        <v>0.183212798365523</v>
      </c>
      <c r="D3251" s="38" t="n">
        <f aca="false">Sens!$T$3251</f>
        <v>3.2619025816657</v>
      </c>
      <c r="E3251" s="38" t="n">
        <f aca="false">Sens!$G$3251/2</f>
        <v>5.86742852741953</v>
      </c>
      <c r="F3251" s="38" t="n">
        <f aca="false">Sens!$G$3251/2</f>
        <v>5.86742852741953</v>
      </c>
      <c r="G3251" s="38" t="n">
        <f aca="false">Sens!$U$3251</f>
        <v>11.7348570548391</v>
      </c>
      <c r="H3251" s="38" t="n">
        <f aca="false">Sens!$V$3251</f>
        <v>32.0781968981833</v>
      </c>
      <c r="I3251" s="38" t="n">
        <f aca="false">Sens!$W$3251</f>
        <v>57.4989942223083</v>
      </c>
      <c r="J3251" s="38" t="n">
        <f aca="false">Sens!$X$3251</f>
        <v>83.932309040725</v>
      </c>
      <c r="K3251" s="38" t="n">
        <f aca="false">Sens!$Y$3251</f>
        <v>111.055205760776</v>
      </c>
      <c r="L3251" s="38" t="n">
        <f aca="false">Sens!$Z$3251</f>
        <v>128.420765689732</v>
      </c>
      <c r="M3251" s="38" t="n">
        <f aca="false">Sens!$AA$3251</f>
        <v>138.766969322653</v>
      </c>
      <c r="N3251" s="38" t="n">
        <f aca="false">Sens!$D$3251/2</f>
        <v>1.63095129083285</v>
      </c>
      <c r="O3251" s="38" t="n">
        <f aca="false">Sens!$D$3251/2</f>
        <v>1.63095129083285</v>
      </c>
      <c r="R3251" s="38" t="n">
        <f aca="false">SUMPRODUCT(--(Sens!$R$3216:$AA$3216&lt;Sens!R$3216),--(Sens!$R$3216:$AA$3216&gt;=Sens!R$3216-tk_life),Sens!$R$3248:$AA$3248)/tk_life</f>
        <v>0</v>
      </c>
      <c r="S3251" s="38" t="n">
        <f aca="false">SUMPRODUCT(--(Sens!$R$3216:$AA$3216&lt;Sens!S$3216),--(Sens!$R$3216:$AA$3216&gt;=Sens!S$3216-tk_life),Sens!$R$3248:$AA$3248)/tk_life</f>
        <v>0.183212798365523</v>
      </c>
      <c r="T3251" s="38" t="n">
        <f aca="false">SUMPRODUCT(--(Sens!$R$3216:$AA$3216&lt;Sens!T$3216),--(Sens!$R$3216:$AA$3216&gt;=Sens!T$3216-tk_life),Sens!$R$3248:$AA$3248)/tk_life</f>
        <v>3.2619025816657</v>
      </c>
      <c r="U3251" s="38" t="n">
        <f aca="false">SUMPRODUCT(--(Sens!$R$3216:$AA$3216&lt;Sens!U$3216),--(Sens!$R$3216:$AA$3216&gt;=Sens!U$3216-tk_life),Sens!$R$3248:$AA$3248)/tk_life</f>
        <v>11.7348570548391</v>
      </c>
      <c r="V3251" s="38" t="n">
        <f aca="false">SUMPRODUCT(--(Sens!$R$3216:$AA$3216&lt;Sens!V$3216),--(Sens!$R$3216:$AA$3216&gt;=Sens!V$3216-tk_life),Sens!$R$3248:$AA$3248)/tk_life</f>
        <v>32.0781968981833</v>
      </c>
      <c r="W3251" s="38" t="n">
        <f aca="false">SUMPRODUCT(--(Sens!$R$3216:$AA$3216&lt;Sens!W$3216),--(Sens!$R$3216:$AA$3216&gt;=Sens!W$3216-tk_life),Sens!$R$3248:$AA$3248)/tk_life</f>
        <v>57.4989942223083</v>
      </c>
      <c r="X3251" s="38" t="n">
        <f aca="false">SUMPRODUCT(--(Sens!$R$3216:$AA$3216&lt;Sens!X$3216),--(Sens!$R$3216:$AA$3216&gt;=Sens!X$3216-tk_life),Sens!$R$3248:$AA$3248)/tk_life</f>
        <v>83.932309040725</v>
      </c>
      <c r="Y3251" s="38" t="n">
        <f aca="false">SUMPRODUCT(--(Sens!$R$3216:$AA$3216&lt;Sens!Y$3216),--(Sens!$R$3216:$AA$3216&gt;=Sens!Y$3216-tk_life),Sens!$R$3248:$AA$3248)/tk_life</f>
        <v>111.055205760776</v>
      </c>
      <c r="Z3251" s="38" t="n">
        <f aca="false">SUMPRODUCT(--(Sens!$R$3216:$AA$3216&lt;Sens!Z$3216),--(Sens!$R$3216:$AA$3216&gt;=Sens!Z$3216-tk_life),Sens!$R$3248:$AA$3248)/tk_life</f>
        <v>128.420765689732</v>
      </c>
      <c r="AA3251" s="38" t="n">
        <f aca="false">SUMPRODUCT(--(Sens!$R$3216:$AA$3216&lt;Sens!AA$3216),--(Sens!$R$3216:$AA$3216&gt;=Sens!AA$3216-tk_life),Sens!$R$3248:$AA$3248)/tk_life</f>
        <v>138.766969322653</v>
      </c>
    </row>
    <row r="3252" customFormat="false" ht="17.15" hidden="false" customHeight="false" outlineLevel="0" collapsed="false">
      <c r="A3252" s="0" t="s">
        <v>632</v>
      </c>
      <c r="B3252" s="0" t="s">
        <v>86</v>
      </c>
      <c r="C3252" s="38" t="n">
        <f aca="false">Sens!$S$3252</f>
        <v>0.0202511502553155</v>
      </c>
      <c r="D3252" s="38" t="n">
        <f aca="false">Sens!$T$3252</f>
        <v>0.360549480652134</v>
      </c>
      <c r="E3252" s="38" t="n">
        <f aca="false">Sens!$G$3252/2</f>
        <v>0.648547360125127</v>
      </c>
      <c r="F3252" s="38" t="n">
        <f aca="false">Sens!$G$3252/2</f>
        <v>0.648547360125127</v>
      </c>
      <c r="G3252" s="38" t="n">
        <f aca="false">Sens!$U$3252</f>
        <v>1.29709472025025</v>
      </c>
      <c r="H3252" s="38" t="n">
        <f aca="false">Sens!$V$3252</f>
        <v>3.21599529914753</v>
      </c>
      <c r="I3252" s="38" t="n">
        <f aca="false">Sens!$W$3252</f>
        <v>5.51832434914753</v>
      </c>
      <c r="J3252" s="38" t="n">
        <f aca="false">Sens!$X$3252</f>
        <v>7.82065339914753</v>
      </c>
      <c r="K3252" s="38" t="n">
        <f aca="false">Sens!$Y$3252</f>
        <v>10.1229824491475</v>
      </c>
      <c r="L3252" s="38" t="n">
        <f aca="false">Sens!$Z$3252</f>
        <v>11.7516267992309</v>
      </c>
      <c r="M3252" s="38" t="n">
        <f aca="false">Sens!$AA$3252</f>
        <v>12.7065864493975</v>
      </c>
      <c r="N3252" s="38" t="n">
        <f aca="false">Sens!$D$3252/2</f>
        <v>0.180274740326067</v>
      </c>
      <c r="O3252" s="38" t="n">
        <f aca="false">Sens!$D$3252/2</f>
        <v>0.180274740326067</v>
      </c>
      <c r="R3252" s="38" t="n">
        <f aca="false">SUMPRODUCT(--(Sens!$R$3216:$AA$3216&lt;Sens!R$3216),Sens!$R$3249:$AA$3249)/fac_life</f>
        <v>0</v>
      </c>
      <c r="S3252" s="38" t="n">
        <f aca="false">SUMPRODUCT(--(Sens!$R$3216:$AA$3216&lt;Sens!S$3216),Sens!$R$3249:$AA$3249)/fac_life</f>
        <v>0.0202511502553155</v>
      </c>
      <c r="T3252" s="38" t="n">
        <f aca="false">SUMPRODUCT(--(Sens!$R$3216:$AA$3216&lt;Sens!T$3216),Sens!$R$3249:$AA$3249)/fac_life</f>
        <v>0.360549480652134</v>
      </c>
      <c r="U3252" s="38" t="n">
        <f aca="false">SUMPRODUCT(--(Sens!$R$3216:$AA$3216&lt;Sens!U$3216),Sens!$R$3249:$AA$3249)/fac_life</f>
        <v>1.29709472025025</v>
      </c>
      <c r="V3252" s="38" t="n">
        <f aca="false">SUMPRODUCT(--(Sens!$R$3216:$AA$3216&lt;Sens!V$3216),Sens!$R$3249:$AA$3249)/fac_life</f>
        <v>3.21599529914753</v>
      </c>
      <c r="W3252" s="38" t="n">
        <f aca="false">SUMPRODUCT(--(Sens!$R$3216:$AA$3216&lt;Sens!W$3216),Sens!$R$3249:$AA$3249)/fac_life</f>
        <v>5.51832434914753</v>
      </c>
      <c r="X3252" s="38" t="n">
        <f aca="false">SUMPRODUCT(--(Sens!$R$3216:$AA$3216&lt;Sens!X$3216),Sens!$R$3249:$AA$3249)/fac_life</f>
        <v>7.82065339914753</v>
      </c>
      <c r="Y3252" s="38" t="n">
        <f aca="false">SUMPRODUCT(--(Sens!$R$3216:$AA$3216&lt;Sens!Y$3216),Sens!$R$3249:$AA$3249)/fac_life</f>
        <v>10.1229824491475</v>
      </c>
      <c r="Z3252" s="38" t="n">
        <f aca="false">SUMPRODUCT(--(Sens!$R$3216:$AA$3216&lt;Sens!Z$3216),Sens!$R$3249:$AA$3249)/fac_life</f>
        <v>11.7516267992309</v>
      </c>
      <c r="AA3252" s="38" t="n">
        <f aca="false">SUMPRODUCT(--(Sens!$R$3216:$AA$3216&lt;Sens!AA$3216),Sens!$R$3249:$AA$3249)/fac_life</f>
        <v>12.7065864493975</v>
      </c>
    </row>
    <row r="3253" customFormat="false" ht="17.15" hidden="false" customHeight="false" outlineLevel="0" collapsed="false">
      <c r="A3253" s="1" t="s">
        <v>633</v>
      </c>
      <c r="B3253" s="8" t="s">
        <v>86</v>
      </c>
      <c r="C3253" s="38" t="n">
        <f aca="false">Sens!$C$3251+Sens!$C$3252</f>
        <v>0.203463948620839</v>
      </c>
      <c r="D3253" s="38" t="n">
        <f aca="false">Sens!$D$3251+Sens!$D$3252</f>
        <v>3.62245206231783</v>
      </c>
      <c r="E3253" s="38" t="n">
        <f aca="false">Sens!$E$3251+Sens!$E$3252</f>
        <v>6.51597588754466</v>
      </c>
      <c r="F3253" s="38" t="n">
        <f aca="false">Sens!$F$3251+Sens!$F$3252</f>
        <v>6.51597588754466</v>
      </c>
      <c r="G3253" s="38" t="n">
        <f aca="false">Sens!$G$3251+Sens!$G$3252</f>
        <v>13.0319517750893</v>
      </c>
      <c r="H3253" s="38" t="n">
        <f aca="false">Sens!$H$3251+Sens!$H$3252</f>
        <v>35.2941921973308</v>
      </c>
      <c r="I3253" s="38" t="n">
        <f aca="false">Sens!$I$3251+Sens!$I$3252</f>
        <v>63.0173185714558</v>
      </c>
      <c r="J3253" s="38" t="n">
        <f aca="false">Sens!$J$3251+Sens!$J$3252</f>
        <v>91.7529624398725</v>
      </c>
      <c r="K3253" s="38" t="n">
        <f aca="false">Sens!$K$3251+Sens!$K$3252</f>
        <v>121.178188209924</v>
      </c>
      <c r="L3253" s="38" t="n">
        <f aca="false">Sens!$L$3251+Sens!$L$3252</f>
        <v>140.172392488963</v>
      </c>
      <c r="M3253" s="38" t="n">
        <f aca="false">Sens!$M$3251+Sens!$M$3252</f>
        <v>151.473555772051</v>
      </c>
      <c r="N3253" s="38" t="n">
        <f aca="false">Sens!$N$3251+Sens!$N$3252</f>
        <v>1.81122603115892</v>
      </c>
      <c r="O3253" s="38" t="n">
        <f aca="false">Sens!$O$3251+Sens!$O$3252</f>
        <v>1.81122603115892</v>
      </c>
      <c r="R3253" s="38" t="n">
        <f aca="false">Sens!$R$3251+Sens!$R$3252</f>
        <v>0</v>
      </c>
      <c r="S3253" s="38" t="n">
        <f aca="false">Sens!$S$3251+Sens!$S$3252</f>
        <v>0.203463948620839</v>
      </c>
      <c r="T3253" s="38" t="n">
        <f aca="false">Sens!$T$3251+Sens!$T$3252</f>
        <v>3.62245206231783</v>
      </c>
      <c r="U3253" s="38" t="n">
        <f aca="false">Sens!$U$3251+Sens!$U$3252</f>
        <v>13.0319517750893</v>
      </c>
      <c r="V3253" s="38" t="n">
        <f aca="false">Sens!$V$3251+Sens!$V$3252</f>
        <v>35.2941921973308</v>
      </c>
      <c r="W3253" s="38" t="n">
        <f aca="false">Sens!$W$3251+Sens!$W$3252</f>
        <v>63.0173185714558</v>
      </c>
      <c r="X3253" s="38" t="n">
        <f aca="false">Sens!$X$3251+Sens!$X$3252</f>
        <v>91.7529624398725</v>
      </c>
      <c r="Y3253" s="38" t="n">
        <f aca="false">Sens!$Y$3251+Sens!$Y$3252</f>
        <v>121.178188209924</v>
      </c>
      <c r="Z3253" s="38" t="n">
        <f aca="false">Sens!$Z$3251+Sens!$Z$3252</f>
        <v>140.172392488963</v>
      </c>
      <c r="AA3253" s="38" t="n">
        <f aca="false">Sens!$AA$3251+Sens!$AA$3252</f>
        <v>151.473555772051</v>
      </c>
    </row>
    <row r="3254" customFormat="false" ht="17.15" hidden="false" customHeight="false" outlineLevel="0" collapsed="false">
      <c r="A3254" s="0" t="s">
        <v>634</v>
      </c>
      <c r="B3254" s="0" t="s">
        <v>86</v>
      </c>
      <c r="C3254" s="38" t="n">
        <f aca="false">Sens!$S$3254</f>
        <v>26.578941154416</v>
      </c>
      <c r="D3254" s="38" t="n">
        <f aca="false">Sens!$T$3254</f>
        <v>92.5251207231008</v>
      </c>
      <c r="G3254" s="38" t="n">
        <f aca="false">Sens!$U$3254</f>
        <v>239.931219586022</v>
      </c>
      <c r="H3254" s="38" t="n">
        <f aca="false">Sens!$V$3254</f>
        <v>403.208392333442</v>
      </c>
      <c r="I3254" s="38" t="n">
        <f aca="false">Sens!$W$3254</f>
        <v>544.837543672486</v>
      </c>
      <c r="J3254" s="38" t="n">
        <f aca="false">Sens!$X$3254</f>
        <v>662.967819343113</v>
      </c>
      <c r="K3254" s="38" t="n">
        <f aca="false">Sens!$Y$3254</f>
        <v>697.028016408391</v>
      </c>
      <c r="L3254" s="38" t="n">
        <f aca="false">Sens!$Z$3254</f>
        <v>688.86976555933</v>
      </c>
      <c r="M3254" s="38" t="n">
        <f aca="false">Sens!$AA$3254</f>
        <v>669.627191447132</v>
      </c>
      <c r="R3254" s="38" t="n">
        <f aca="false">SUM(Sens!$R$3246:$R$3246)-SUM(Sens!$R$3253:$R$3253)</f>
        <v>1.50429979529945</v>
      </c>
      <c r="S3254" s="38" t="n">
        <f aca="false">SUM(Sens!$R$3246:$S$3246)-SUM(Sens!$R$3253:$S$3253)</f>
        <v>26.578941154416</v>
      </c>
      <c r="T3254" s="38" t="n">
        <f aca="false">SUM(Sens!$R$3246:$T$3246)-SUM(Sens!$R$3253:$T$3253)</f>
        <v>92.5251207231008</v>
      </c>
      <c r="U3254" s="38" t="n">
        <f aca="false">SUM(Sens!$R$3246:$U$3246)-SUM(Sens!$R$3253:$U$3253)</f>
        <v>239.931219586022</v>
      </c>
      <c r="V3254" s="38" t="n">
        <f aca="false">SUM(Sens!$R$3246:$V$3246)-SUM(Sens!$R$3253:$V$3253)</f>
        <v>403.208392333442</v>
      </c>
      <c r="W3254" s="38" t="n">
        <f aca="false">SUM(Sens!$R$3246:$W$3246)-SUM(Sens!$R$3253:$W$3253)</f>
        <v>544.837543672486</v>
      </c>
      <c r="X3254" s="38" t="n">
        <f aca="false">SUM(Sens!$R$3246:$X$3246)-SUM(Sens!$R$3253:$X$3253)</f>
        <v>662.967819343113</v>
      </c>
      <c r="Y3254" s="38" t="n">
        <f aca="false">SUM(Sens!$R$3246:$Y$3246)-SUM(Sens!$R$3253:$Y$3253)</f>
        <v>697.028016408391</v>
      </c>
      <c r="Z3254" s="38" t="n">
        <f aca="false">SUM(Sens!$R$3246:$Z$3246)-SUM(Sens!$R$3253:$Z$3253)</f>
        <v>688.86976555933</v>
      </c>
      <c r="AA3254" s="38" t="n">
        <f aca="false">SUM(Sens!$R$3246:$AA$3246)-SUM(Sens!$R$3253:$AA$3253)</f>
        <v>669.627191447132</v>
      </c>
    </row>
    <row r="3255" customFormat="false" ht="17.15" hidden="false" customHeight="false" outlineLevel="0" collapsed="false">
      <c r="A3255" s="1" t="s">
        <v>635</v>
      </c>
    </row>
    <row r="3256" customFormat="false" ht="17.15" hidden="false" customHeight="false" outlineLevel="0" collapsed="false">
      <c r="A3256" s="0" t="s">
        <v>636</v>
      </c>
      <c r="B3256" s="0" t="s">
        <v>86</v>
      </c>
      <c r="C3256" s="38" t="n">
        <f aca="false">Sens!$C$3237-ext_sh*Sens!$C$3239</f>
        <v>1.80694998843362</v>
      </c>
      <c r="D3256" s="38" t="n">
        <f aca="false">Sens!$D$3237-ext_sh*Sens!$D$3239</f>
        <v>6.77606245662607</v>
      </c>
      <c r="E3256" s="38" t="n">
        <f aca="false">Sens!$E$3237-ext_sh*Sens!$E$3239</f>
        <v>6.62548329092326</v>
      </c>
      <c r="F3256" s="38" t="n">
        <f aca="false">Sens!$F$3237-ext_sh*Sens!$F$3239</f>
        <v>11.7200577158706</v>
      </c>
      <c r="G3256" s="38" t="n">
        <f aca="false">Sens!$G$3237-ext_sh*Sens!$G$3239</f>
        <v>18.3455410067939</v>
      </c>
      <c r="H3256" s="38" t="n">
        <f aca="false">Sens!$H$3237-ext_sh*Sens!$H$3239</f>
        <v>47.5171727060453</v>
      </c>
      <c r="I3256" s="38" t="n">
        <f aca="false">Sens!$I$3237-ext_sh*Sens!$I$3239</f>
        <v>80.5539692643667</v>
      </c>
      <c r="J3256" s="38" t="n">
        <f aca="false">Sens!$J$3237-ext_sh*Sens!$J$3239</f>
        <v>113.759316834883</v>
      </c>
      <c r="K3256" s="38" t="n">
        <f aca="false">Sens!$K$3237-ext_sh*Sens!$K$3239</f>
        <v>142.084411492169</v>
      </c>
      <c r="L3256" s="38" t="n">
        <f aca="false">Sens!$L$3237-ext_sh*Sens!$L$3239</f>
        <v>160.69964615804</v>
      </c>
      <c r="M3256" s="38" t="n">
        <f aca="false">Sens!$M$3237-ext_sh*Sens!$M$3239</f>
        <v>169.577607141793</v>
      </c>
      <c r="N3256" s="38" t="n">
        <f aca="false">Sens!$N$3237-ext_sh*Sens!$N$3239</f>
        <v>2.37162185981912</v>
      </c>
      <c r="O3256" s="38" t="n">
        <f aca="false">Sens!$O$3237-ext_sh*Sens!$O$3239</f>
        <v>4.40444059680694</v>
      </c>
    </row>
    <row r="3257" customFormat="false" ht="17.15" hidden="false" customHeight="false" outlineLevel="0" collapsed="false">
      <c r="A3257" s="1" t="s">
        <v>637</v>
      </c>
      <c r="B3257" s="8" t="s">
        <v>86</v>
      </c>
      <c r="C3257" s="38" t="n">
        <f aca="false">Sens!$C$3256-ext_sh*Sens!$C$3253</f>
        <v>1.64417882953695</v>
      </c>
      <c r="D3257" s="38" t="n">
        <f aca="false">Sens!$D$3256-ext_sh*Sens!$D$3253</f>
        <v>3.8781008067718</v>
      </c>
      <c r="E3257" s="38" t="n">
        <f aca="false">Sens!$E$3256-ext_sh*Sens!$E$3253</f>
        <v>1.41270258088753</v>
      </c>
      <c r="F3257" s="38" t="n">
        <f aca="false">Sens!$F$3256-ext_sh*Sens!$F$3253</f>
        <v>6.50727700583486</v>
      </c>
      <c r="G3257" s="38" t="n">
        <f aca="false">Sens!$G$3256-ext_sh*Sens!$G$3253</f>
        <v>7.9199795867224</v>
      </c>
      <c r="H3257" s="38" t="n">
        <f aca="false">Sens!$H$3256-ext_sh*Sens!$H$3253</f>
        <v>19.2818189481807</v>
      </c>
      <c r="I3257" s="38" t="n">
        <f aca="false">Sens!$I$3256-ext_sh*Sens!$I$3253</f>
        <v>30.140114407202</v>
      </c>
      <c r="J3257" s="38" t="n">
        <f aca="false">Sens!$J$3256-ext_sh*Sens!$J$3253</f>
        <v>40.3569468829854</v>
      </c>
      <c r="K3257" s="38" t="n">
        <f aca="false">Sens!$K$3256-ext_sh*Sens!$K$3253</f>
        <v>45.1418609242305</v>
      </c>
      <c r="L3257" s="38" t="n">
        <f aca="false">Sens!$L$3256-ext_sh*Sens!$L$3253</f>
        <v>48.5617321668703</v>
      </c>
      <c r="M3257" s="38" t="n">
        <f aca="false">Sens!$M$3256-ext_sh*Sens!$M$3253</f>
        <v>48.3987625241529</v>
      </c>
      <c r="N3257" s="38" t="n">
        <f aca="false">Sens!$N$3256-ext_sh*Sens!$N$3253</f>
        <v>0.92264103489199</v>
      </c>
      <c r="O3257" s="38" t="n">
        <f aca="false">Sens!$O$3256-ext_sh*Sens!$O$3253</f>
        <v>2.95545977187981</v>
      </c>
    </row>
    <row r="3258" customFormat="false" ht="17.15" hidden="false" customHeight="false" outlineLevel="0" collapsed="false">
      <c r="A3258" s="0" t="s">
        <v>638</v>
      </c>
      <c r="B3258" s="0" t="s">
        <v>52</v>
      </c>
      <c r="C3258" s="13" t="n">
        <f aca="false">Sens!$C$3257/Sens!$C$3237</f>
        <v>0.708390794789371</v>
      </c>
      <c r="D3258" s="13" t="n">
        <f aca="false">Sens!$D$3257/Sens!$D$3237</f>
        <v>0.445565630441968</v>
      </c>
      <c r="E3258" s="13" t="n">
        <f aca="false">Sens!$E$3257/Sens!$E$3237</f>
        <v>0.165998118402711</v>
      </c>
      <c r="F3258" s="13" t="n">
        <f aca="false">Sens!$F$3257/Sens!$F$3237</f>
        <v>0.434878595403858</v>
      </c>
      <c r="G3258" s="13" t="n">
        <f aca="false">Sens!$G$3257/Sens!$G$3237</f>
        <v>0.3373967615381</v>
      </c>
      <c r="H3258" s="13" t="n">
        <f aca="false">Sens!$H$3257/Sens!$H$3237</f>
        <v>0.320477578041224</v>
      </c>
      <c r="I3258" s="13" t="n">
        <f aca="false">Sens!$I$3257/Sens!$I$3237</f>
        <v>0.296936118226494</v>
      </c>
      <c r="J3258" s="13" t="n">
        <f aca="false">Sens!$J$3257/Sens!$J$3237</f>
        <v>0.282166278613001</v>
      </c>
      <c r="K3258" s="13" t="n">
        <f aca="false">Sens!$K$3257/Sens!$K$3237</f>
        <v>0.252969102881543</v>
      </c>
      <c r="L3258" s="13" t="n">
        <f aca="false">Sens!$L$3257/Sens!$L$3237</f>
        <v>0.240728642826566</v>
      </c>
      <c r="M3258" s="13" t="n">
        <f aca="false">Sens!$M$3257/Sens!$M$3237</f>
        <v>0.227399920863147</v>
      </c>
      <c r="N3258" s="13" t="n">
        <f aca="false">Sens!$N$3257/Sens!$N$3237</f>
        <v>0.302870734830849</v>
      </c>
      <c r="O3258" s="13" t="n">
        <f aca="false">Sens!$O$3257/Sens!$O$3237</f>
        <v>0.52240134346334</v>
      </c>
    </row>
    <row r="3259" customFormat="false" ht="17.15" hidden="false" customHeight="false" outlineLevel="0" collapsed="false">
      <c r="A3259" s="5" t="s">
        <v>639</v>
      </c>
      <c r="B3259" s="0" t="s">
        <v>86</v>
      </c>
      <c r="C3259" s="39" t="n">
        <v>0</v>
      </c>
      <c r="D3259" s="39" t="n">
        <v>0</v>
      </c>
      <c r="E3259" s="39" t="n">
        <v>0</v>
      </c>
      <c r="F3259" s="38" t="n">
        <f aca="false">IF(internal_ai_reading=2,1,0)*(1-ext_sh)/ext_sh*(mw_open*he_open+Sens!$F$3235*Sens!$F$3232)*Sens!$F$3221/1000</f>
        <v>3.77122048175818</v>
      </c>
      <c r="G3259" s="38" t="n">
        <f aca="false">Sens!$E$3259+Sens!$F$3259</f>
        <v>3.77122048175818</v>
      </c>
      <c r="H3259" s="38" t="n">
        <f aca="false">IF(internal_ai_reading=2,1,0)*(1-ext_sh)/ext_sh*(mw_open*he_open+Sens!$H$3235*Sens!$H$3232)*Sens!$H$3221/1000</f>
        <v>15.1635543609893</v>
      </c>
      <c r="I3259" s="38" t="n">
        <f aca="false">IF(internal_ai_reading=2,1,0)*(1-ext_sh)/ext_sh*(mw_open*he_open+Sens!$I$3235*Sens!$I$3232)*Sens!$I$3221/1000</f>
        <v>25.5818843619889</v>
      </c>
      <c r="J3259" s="38" t="n">
        <f aca="false">IF(internal_ai_reading=2,1,0)*(1-ext_sh)/ext_sh*(mw_open*he_open+Sens!$J$3235*Sens!$J$3232)*Sens!$J$3221/1000</f>
        <v>36.0465624179122</v>
      </c>
      <c r="K3259" s="38" t="n">
        <f aca="false">IF(internal_ai_reading=2,1,0)*(1-ext_sh)/ext_sh*(mw_open*he_open+Sens!$K$3235*Sens!$K$3232)*Sens!$K$3221/1000</f>
        <v>44.9741164026038</v>
      </c>
      <c r="L3259" s="38" t="n">
        <f aca="false">IF(internal_ai_reading=2,1,0)*(1-ext_sh)/ext_sh*(mw_open*he_open+Sens!$L$3235*Sens!$L$3232)*Sens!$L$3221/1000</f>
        <v>50.8413488057813</v>
      </c>
      <c r="M3259" s="38" t="n">
        <f aca="false">IF(internal_ai_reading=2,1,0)*(1-ext_sh)/ext_sh*(mw_open*he_open+Sens!$M$3235*Sens!$M$3232)*Sens!$M$3221/1000</f>
        <v>53.6407214274315</v>
      </c>
      <c r="N3259" s="39" t="n">
        <v>0</v>
      </c>
      <c r="O3259" s="39" t="n">
        <v>0</v>
      </c>
      <c r="P3259" s="8" t="s">
        <v>640</v>
      </c>
    </row>
    <row r="3260" customFormat="false" ht="17.15" hidden="false" customHeight="false" outlineLevel="0" collapsed="false">
      <c r="A3260" s="5" t="s">
        <v>641</v>
      </c>
      <c r="B3260" s="0" t="s">
        <v>86</v>
      </c>
      <c r="C3260" s="38" t="n">
        <f aca="false">(1-ext_sh)*(Sens!$C$3239+Sens!$C$3253)</f>
        <v>0.169206631859174</v>
      </c>
      <c r="D3260" s="38" t="n">
        <f aca="false">(1-ext_sh)*(Sens!$D$3239+Sens!$D$3253)</f>
        <v>1.20641732046984</v>
      </c>
      <c r="E3260" s="38" t="n">
        <f aca="false">(1-ext_sh)*(Sens!$E$3239+Sens!$E$3253)</f>
        <v>1.77441259867062</v>
      </c>
      <c r="F3260" s="38" t="n">
        <f aca="false">(1-ext_sh)*(Sens!$F$3239+Sens!$F$3253)</f>
        <v>2.1140391597214</v>
      </c>
      <c r="G3260" s="38" t="n">
        <f aca="false">(1-ext_sh)*(Sens!$G$3239+Sens!$G$3253)</f>
        <v>3.88845175839202</v>
      </c>
      <c r="H3260" s="38" t="n">
        <f aca="false">(1-ext_sh)*(Sens!$H$3239+Sens!$H$3253)</f>
        <v>10.2210179503985</v>
      </c>
      <c r="I3260" s="38" t="n">
        <f aca="false">(1-ext_sh)*(Sens!$I$3239+Sens!$I$3253)</f>
        <v>17.8408961823075</v>
      </c>
      <c r="J3260" s="38" t="n">
        <f aca="false">(1-ext_sh)*(Sens!$J$3239+Sens!$J$3253)</f>
        <v>25.6671150670732</v>
      </c>
      <c r="K3260" s="38" t="n">
        <f aca="false">(1-ext_sh)*(Sens!$K$3239+Sens!$K$3253)</f>
        <v>33.3265648647373</v>
      </c>
      <c r="L3260" s="38" t="n">
        <f aca="false">(1-ext_sh)*(Sens!$L$3239+Sens!$L$3253)</f>
        <v>38.2915924088815</v>
      </c>
      <c r="M3260" s="38" t="n">
        <f aca="false">(1-ext_sh)*(Sens!$M$3239+Sens!$M$3253)</f>
        <v>41.1091697111781</v>
      </c>
      <c r="N3260" s="38" t="n">
        <f aca="false">(1-ext_sh)*(Sens!$N$3239+Sens!$N$3253)</f>
        <v>0.530919624033979</v>
      </c>
      <c r="O3260" s="38" t="n">
        <f aca="false">(1-ext_sh)*(Sens!$O$3239+Sens!$O$3253)</f>
        <v>0.675497696435861</v>
      </c>
    </row>
    <row r="3261" customFormat="false" ht="17.15" hidden="false" customHeight="false" outlineLevel="0" collapsed="false">
      <c r="A3261" s="0" t="s">
        <v>642</v>
      </c>
      <c r="B3261" s="0" t="s">
        <v>86</v>
      </c>
      <c r="C3261" s="38" t="n">
        <f aca="false">Q!$D$24</f>
        <v>39.834</v>
      </c>
      <c r="D3261" s="38" t="n">
        <f aca="false">Q!$E$24</f>
        <v>45.606</v>
      </c>
      <c r="E3261" s="38" t="n">
        <f aca="false">Q!$P$24</f>
        <v>30.782</v>
      </c>
      <c r="N3261" s="38" t="n">
        <f aca="false">Q!$N$24</f>
        <v>21.707</v>
      </c>
      <c r="O3261" s="38" t="n">
        <f aca="false">Q!$O$24</f>
        <v>23.899</v>
      </c>
    </row>
    <row r="3262" customFormat="false" ht="17.15" hidden="false" customHeight="false" outlineLevel="0" collapsed="false">
      <c r="A3262" s="0" t="s">
        <v>643</v>
      </c>
      <c r="B3262" s="0" t="s">
        <v>86</v>
      </c>
      <c r="C3262" s="38" t="n">
        <f aca="false">Sens!$C$3261-Sens!$C$3257</f>
        <v>38.1898211704631</v>
      </c>
      <c r="D3262" s="38" t="n">
        <f aca="false">Sens!$D$3261-Sens!$D$3257</f>
        <v>41.7278991932282</v>
      </c>
      <c r="E3262" s="38" t="n">
        <f aca="false">Sens!$E$3261-Sens!$E$3257</f>
        <v>29.3692974191125</v>
      </c>
      <c r="F3262" s="38" t="n">
        <f aca="false">Sens!$F$3241*Sens!$F$3263</f>
        <v>26.8997276714137</v>
      </c>
      <c r="G3262" s="38" t="n">
        <f aca="false">Sens!$E$3262+Sens!$F$3262</f>
        <v>56.2690250905262</v>
      </c>
      <c r="H3262" s="38" t="n">
        <f aca="false">Sens!$H$3241*Sens!$H$3263</f>
        <v>60.7527343852698</v>
      </c>
      <c r="I3262" s="38" t="n">
        <f aca="false">Sens!$I$3241*Sens!$I$3263</f>
        <v>68.3622217700576</v>
      </c>
      <c r="J3262" s="38" t="n">
        <f aca="false">Sens!$J$3241*Sens!$J$3263</f>
        <v>76.4034447962459</v>
      </c>
      <c r="K3262" s="38" t="n">
        <f aca="false">Sens!$K$3241*Sens!$K$3263</f>
        <v>84.807823723833</v>
      </c>
      <c r="L3262" s="38" t="n">
        <f aca="false">Sens!$L$3241*Sens!$L$3263</f>
        <v>94.1366843334546</v>
      </c>
      <c r="M3262" s="38" t="n">
        <f aca="false">Sens!$M$3241*Sens!$M$3263</f>
        <v>104.491719610135</v>
      </c>
      <c r="N3262" s="38" t="n">
        <f aca="false">Sens!$N$3261-Sens!$N$3257</f>
        <v>20.784358965108</v>
      </c>
      <c r="O3262" s="38" t="n">
        <f aca="false">Sens!$O$3261-Sens!$O$3257</f>
        <v>20.9435402281202</v>
      </c>
      <c r="P3262" s="5" t="s">
        <v>644</v>
      </c>
    </row>
    <row r="3263" customFormat="false" ht="17.15" hidden="false" customHeight="false" outlineLevel="0" collapsed="false">
      <c r="A3263" s="0" t="s">
        <v>645</v>
      </c>
      <c r="B3263" s="0" t="s">
        <v>52</v>
      </c>
      <c r="C3263" s="13" t="n">
        <f aca="false">Sens!$C$3262/Sens!$C$3241</f>
        <v>0.362900395443635</v>
      </c>
      <c r="D3263" s="13" t="n">
        <f aca="false">Sens!$D$3262/Sens!$D$3241</f>
        <v>0.34767098474203</v>
      </c>
      <c r="E3263" s="13" t="n">
        <f aca="false">Sens!$E$3262/Sens!$E$3241</f>
        <v>0.411861655558416</v>
      </c>
      <c r="F3263" s="13" t="n">
        <f aca="false">(Sens!$O$3262+Sens!$E$3262)/(Sens!$O$3241+Sens!$E$3241)</f>
        <v>0.37480827803158</v>
      </c>
      <c r="G3263" s="13" t="n">
        <f aca="false">Sens!$G$3262/Sens!$G$3241</f>
        <v>0.393275318395757</v>
      </c>
      <c r="H3263" s="13" t="n">
        <f aca="false">Sens!$F$3263</f>
        <v>0.37480827803158</v>
      </c>
      <c r="I3263" s="13" t="n">
        <f aca="false">Sens!$F$3263</f>
        <v>0.37480827803158</v>
      </c>
      <c r="J3263" s="13" t="n">
        <f aca="false">Sens!$F$3263</f>
        <v>0.37480827803158</v>
      </c>
      <c r="K3263" s="13" t="n">
        <f aca="false">Sens!$F$3263</f>
        <v>0.37480827803158</v>
      </c>
      <c r="L3263" s="13" t="n">
        <f aca="false">Sens!$F$3263</f>
        <v>0.37480827803158</v>
      </c>
      <c r="M3263" s="13" t="n">
        <f aca="false">Sens!$F$3263</f>
        <v>0.37480827803158</v>
      </c>
      <c r="N3263" s="13" t="n">
        <f aca="false">Sens!$N$3262/Sens!$N$3241</f>
        <v>0.364039571356823</v>
      </c>
      <c r="O3263" s="13" t="n">
        <f aca="false">Sens!$O$3262/Sens!$O$3241</f>
        <v>0.332819892300086</v>
      </c>
      <c r="P3263" s="8" t="s">
        <v>646</v>
      </c>
    </row>
    <row r="3264" customFormat="false" ht="17.15" hidden="false" customHeight="false" outlineLevel="0" collapsed="false">
      <c r="A3264" s="0" t="s">
        <v>647</v>
      </c>
      <c r="B3264" s="0" t="s">
        <v>52</v>
      </c>
      <c r="D3264" s="13" t="n">
        <f aca="false">(Q!$E$31-ext_sh*Sens!$D$3253)/Sens!$D$3241</f>
        <v>0.154572973163571</v>
      </c>
    </row>
    <row r="3265" customFormat="false" ht="17.15" hidden="false" customHeight="false" outlineLevel="0" collapsed="false">
      <c r="A3265" s="0" t="s">
        <v>648</v>
      </c>
      <c r="B3265" s="0" t="s">
        <v>86</v>
      </c>
      <c r="C3265" s="38" t="n">
        <f aca="false">Q!$D$31</f>
        <v>13.32</v>
      </c>
      <c r="D3265" s="38" t="n">
        <f aca="false">Q!$E$31</f>
        <v>21.45</v>
      </c>
      <c r="E3265" s="38" t="n">
        <f aca="false">Q!$P$31</f>
        <v>15.353</v>
      </c>
      <c r="F3265" s="38" t="n">
        <f aca="false">ext_sh*Sens!$F$3253+Sens!$D$3264*Sens!$F$3241</f>
        <v>16.3063747611001</v>
      </c>
      <c r="G3265" s="38" t="n">
        <f aca="false">Sens!$E$3265+Sens!$F$3265</f>
        <v>31.6593747611001</v>
      </c>
      <c r="H3265" s="38" t="n">
        <f aca="false">ext_sh*Sens!$H$3253+Sens!$D$3264*Sens!$H$3241</f>
        <v>53.2901119693593</v>
      </c>
      <c r="I3265" s="38" t="n">
        <f aca="false">ext_sh*Sens!$I$3253+Sens!$D$3264*Sens!$I$3241</f>
        <v>78.6068070687881</v>
      </c>
      <c r="J3265" s="38" t="n">
        <f aca="false">ext_sh*Sens!$J$3253+Sens!$D$3264*Sens!$J$3241</f>
        <v>104.911566291205</v>
      </c>
      <c r="K3265" s="38" t="n">
        <f aca="false">ext_sh*Sens!$K$3253+Sens!$D$3264*Sens!$K$3241</f>
        <v>131.917758504569</v>
      </c>
      <c r="L3265" s="38" t="n">
        <f aca="false">ext_sh*Sens!$L$3253+Sens!$D$3264*Sens!$L$3241</f>
        <v>150.96039480083</v>
      </c>
      <c r="M3265" s="38" t="n">
        <f aca="false">ext_sh*Sens!$M$3253+Sens!$D$3264*Sens!$M$3241</f>
        <v>164.271798316363</v>
      </c>
      <c r="N3265" s="38" t="n">
        <f aca="false">Q!$N$31</f>
        <v>9.234</v>
      </c>
      <c r="O3265" s="38" t="n">
        <f aca="false">Q!$O$31</f>
        <v>12.216</v>
      </c>
    </row>
    <row r="3266" customFormat="false" ht="17.15" hidden="false" customHeight="false" outlineLevel="0" collapsed="false">
      <c r="A3266" s="1" t="s">
        <v>649</v>
      </c>
    </row>
    <row r="3267" customFormat="false" ht="17.15" hidden="false" customHeight="false" outlineLevel="0" collapsed="false">
      <c r="A3267" s="15" t="s">
        <v>650</v>
      </c>
      <c r="B3267" s="14" t="s">
        <v>52</v>
      </c>
      <c r="C3267" s="14"/>
      <c r="D3267" s="14"/>
      <c r="E3267" s="14"/>
      <c r="F3267" s="14"/>
      <c r="G3267" s="17" t="n">
        <f aca="false">Sens!$G$3257*(1-tax)/(ext_sh*(Sens!$D$3254+Sens!$G$3254)/2)</f>
        <v>0.0492184452944045</v>
      </c>
      <c r="H3267" s="17" t="n">
        <f aca="false">Sens!$H$3257*(1-tax)/(ext_sh*(Sens!$G$3254+Sens!$H$3254)/2)</f>
        <v>0.0619414246858107</v>
      </c>
      <c r="I3267" s="17" t="n">
        <f aca="false">Sens!$I$3257*(1-tax)/(ext_sh*(Sens!$H$3254+Sens!$I$3254)/2)</f>
        <v>0.0656831488051666</v>
      </c>
      <c r="J3267" s="17" t="n">
        <f aca="false">Sens!$J$3257*(1-tax)/(ext_sh*(Sens!$I$3254+Sens!$J$3254)/2)</f>
        <v>0.0690334849962116</v>
      </c>
      <c r="K3267" s="17" t="n">
        <f aca="false">Sens!$K$3257*(1-tax)/(ext_sh*(Sens!$J$3254+Sens!$K$3254)/2)</f>
        <v>0.0685772915331967</v>
      </c>
      <c r="L3267" s="17" t="n">
        <f aca="false">Sens!$L$3257*(1-tax)/(ext_sh*(Sens!$K$3254+Sens!$L$3254)/2)</f>
        <v>0.0723938074635756</v>
      </c>
      <c r="M3267" s="17" t="n">
        <f aca="false">Sens!$M$3257*(1-tax)/(ext_sh*(Sens!$L$3254+Sens!$M$3254)/2)</f>
        <v>0.0736061388214139</v>
      </c>
      <c r="N3267" s="14"/>
      <c r="O3267" s="14"/>
      <c r="P3267" s="8" t="s">
        <v>651</v>
      </c>
    </row>
    <row r="3268" customFormat="false" ht="17.15" hidden="false" customHeight="false" outlineLevel="0" collapsed="false">
      <c r="A3268" s="5" t="s">
        <v>652</v>
      </c>
      <c r="B3268" s="0" t="s">
        <v>57</v>
      </c>
      <c r="H3268" s="36" t="n">
        <f aca="false">Sens!$H$3237*1000/(mw_open*he_open+Sens!$H$3235*Sens!$H$3232)</f>
        <v>0.991949006767191</v>
      </c>
      <c r="I3268" s="36" t="n">
        <f aca="false">Sens!$I$3237*1000/(mw_open*he_open+Sens!$I$3235*Sens!$I$3232)</f>
        <v>0.991949006767191</v>
      </c>
      <c r="J3268" s="36" t="n">
        <f aca="false">Sens!$J$3237*1000/(mw_open*he_open+Sens!$J$3235*Sens!$J$3232)</f>
        <v>0.991949006767191</v>
      </c>
      <c r="K3268" s="36" t="n">
        <f aca="false">Sens!$K$3237*1000/(mw_open*he_open+Sens!$K$3235*Sens!$K$3232)</f>
        <v>0.991949006767191</v>
      </c>
      <c r="L3268" s="36" t="n">
        <f aca="false">Sens!$L$3237*1000/(mw_open*he_open+Sens!$L$3235*Sens!$L$3232)</f>
        <v>0.991949006767191</v>
      </c>
      <c r="M3268" s="36" t="n">
        <f aca="false">Sens!$M$3237*1000/(mw_open*he_open+Sens!$M$3235*Sens!$M$3232)</f>
        <v>0.991949006767191</v>
      </c>
    </row>
    <row r="3269" customFormat="false" ht="17.15" hidden="false" customHeight="false" outlineLevel="0" collapsed="false">
      <c r="A3269" s="5" t="s">
        <v>653</v>
      </c>
      <c r="B3269" s="0" t="s">
        <v>57</v>
      </c>
      <c r="H3269" s="36" t="n">
        <f aca="false">Sens!$H$3268*(Sens!$H$3237+wacc*ext_sh*(Sens!$G$3254+Sens!$H$3254)/2/(1-tax)-Sens!$H$3257)/Sens!$H$3237</f>
        <v>1.25551961623259</v>
      </c>
      <c r="I3269" s="36" t="n">
        <f aca="false">Sens!$I$3268*(Sens!$I$3237+wacc*ext_sh*(Sens!$H$3254+Sens!$I$3254)/2/(1-tax)-Sens!$I$3257)/Sens!$I$3237</f>
        <v>1.2054675393263</v>
      </c>
      <c r="J3269" s="36" t="n">
        <f aca="false">Sens!$J$3268*(Sens!$J$3237+wacc*ext_sh*(Sens!$I$3254+Sens!$J$3254)/2/(1-tax)-Sens!$J$3257)/Sens!$J$3237</f>
        <v>1.17141604927023</v>
      </c>
      <c r="K3269" s="36" t="n">
        <f aca="false">Sens!$K$3268*(Sens!$K$3237+wacc*ext_sh*(Sens!$J$3254+Sens!$K$3254)/2/(1-tax)-Sens!$K$3257)/Sens!$K$3237</f>
        <v>1.15558527566281</v>
      </c>
      <c r="L3269" s="36" t="n">
        <f aca="false">Sens!$L$3268*(Sens!$L$3237+wacc*ext_sh*(Sens!$K$3254+Sens!$L$3254)/2/(1-tax)-Sens!$L$3257)/Sens!$L$3237</f>
        <v>1.12686933572495</v>
      </c>
      <c r="M3269" s="36" t="n">
        <f aca="false">Sens!$M$3268*(Sens!$M$3237+wacc*ext_sh*(Sens!$L$3254+Sens!$M$3254)/2/(1-tax)-Sens!$M$3257)/Sens!$M$3237</f>
        <v>1.11358462527531</v>
      </c>
    </row>
    <row r="3270" customFormat="false" ht="17.15" hidden="false" customHeight="false" outlineLevel="0" collapsed="false">
      <c r="A3270" s="5" t="s">
        <v>654</v>
      </c>
      <c r="B3270" s="0" t="s">
        <v>52</v>
      </c>
      <c r="C3270" s="13" t="n">
        <f aca="false">Sens!$C$3238/tk_pq</f>
        <v>0.195316432429398</v>
      </c>
      <c r="D3270" s="13" t="n">
        <f aca="false">Sens!$D$3238/tk_pq</f>
        <v>0.195316432429398</v>
      </c>
      <c r="E3270" s="13" t="n">
        <f aca="false">Sens!$E$3238/tk_pq</f>
        <v>0.195316432429398</v>
      </c>
      <c r="F3270" s="13" t="n">
        <f aca="false">Sens!$F$3238/tk_pq</f>
        <v>0.202241827274866</v>
      </c>
      <c r="G3270" s="13" t="n">
        <f aca="false">Sens!$G$3238/tk_pq</f>
        <v>0.199675016194063</v>
      </c>
      <c r="H3270" s="13" t="n">
        <f aca="false">Sens!$H$3238/tk_pq</f>
        <v>0.212647947710325</v>
      </c>
      <c r="I3270" s="13" t="n">
        <f aca="false">Sens!$I$3238/tk_pq</f>
        <v>0.219285125475351</v>
      </c>
      <c r="J3270" s="13" t="n">
        <f aca="false">Sens!$J$3238/tk_pq</f>
        <v>0.222492493217189</v>
      </c>
      <c r="K3270" s="13" t="n">
        <f aca="false">Sens!$K$3238/tk_pq</f>
        <v>0.224053502812094</v>
      </c>
      <c r="L3270" s="13" t="n">
        <f aca="false">Sens!$L$3238/tk_pq</f>
        <v>0.224786916785614</v>
      </c>
      <c r="M3270" s="13" t="n">
        <f aca="false">Sens!$M$3238/tk_pq</f>
        <v>0.225048671566937</v>
      </c>
      <c r="N3270" s="13" t="n">
        <f aca="false">Sens!$N$3238/tk_pq</f>
        <v>0.195316432429398</v>
      </c>
      <c r="O3270" s="13" t="n">
        <f aca="false">Sens!$O$3238/tk_pq</f>
        <v>0.195316432429398</v>
      </c>
      <c r="P3270" s="5" t="s">
        <v>655</v>
      </c>
    </row>
    <row r="3273" customFormat="false" ht="17.15" hidden="false" customHeight="false" outlineLevel="0" collapsed="false">
      <c r="A3273" s="1" t="s">
        <v>684</v>
      </c>
    </row>
    <row r="3274" customFormat="false" ht="17.15" hidden="false" customHeight="false" outlineLevel="0" collapsed="false">
      <c r="A3274" s="0" t="s">
        <v>685</v>
      </c>
      <c r="B3274" s="0" t="s">
        <v>86</v>
      </c>
      <c r="C3274" s="38" t="n">
        <f aca="false">Sens!$C$3237</f>
        <v>2.32100535697364</v>
      </c>
      <c r="D3274" s="38" t="n">
        <f aca="false">Sens!$D$3237</f>
        <v>8.70377008865116</v>
      </c>
      <c r="E3274" s="38" t="n">
        <f aca="false">Sens!$E$3237</f>
        <v>8.51035297557002</v>
      </c>
      <c r="F3274" s="38" t="n">
        <f aca="false">Sens!$F$3237</f>
        <v>14.9634336447205</v>
      </c>
      <c r="G3274" s="38" t="n">
        <f aca="false">Sens!$G$3237</f>
        <v>23.4737866202905</v>
      </c>
      <c r="H3274" s="38" t="n">
        <f aca="false">Sens!$H$3237</f>
        <v>60.1658907497746</v>
      </c>
      <c r="I3274" s="38" t="n">
        <f aca="false">Sens!$I$3237</f>
        <v>101.503699136432</v>
      </c>
      <c r="J3274" s="38" t="n">
        <f aca="false">Sens!$J$3237</f>
        <v>143.025407151278</v>
      </c>
      <c r="K3274" s="38" t="n">
        <f aca="false">Sens!$K$3237</f>
        <v>178.44812038318</v>
      </c>
      <c r="L3274" s="38" t="n">
        <f aca="false">Sens!$L$3237</f>
        <v>201.728101802396</v>
      </c>
      <c r="M3274" s="38" t="n">
        <f aca="false">Sens!$M$3237</f>
        <v>212.835441368865</v>
      </c>
      <c r="N3274" s="38" t="n">
        <f aca="false">Sens!$N$3237</f>
        <v>3.04631953102791</v>
      </c>
      <c r="O3274" s="38" t="n">
        <f aca="false">Sens!$O$3237</f>
        <v>5.65745055762326</v>
      </c>
      <c r="P3274" s="8" t="s">
        <v>686</v>
      </c>
    </row>
    <row r="3275" customFormat="false" ht="17.15" hidden="false" customHeight="false" outlineLevel="0" collapsed="false">
      <c r="A3275" s="0" t="s">
        <v>687</v>
      </c>
      <c r="B3275" s="0" t="s">
        <v>86</v>
      </c>
      <c r="C3275" s="38" t="n">
        <f aca="false">Sens!$C$3241</f>
        <v>105.234994643026</v>
      </c>
      <c r="D3275" s="38" t="n">
        <f aca="false">Sens!$D$3241</f>
        <v>120.021229911349</v>
      </c>
      <c r="E3275" s="38" t="n">
        <f aca="false">Sens!$E$3241</f>
        <v>71.30864702443</v>
      </c>
      <c r="F3275" s="38" t="n">
        <f aca="false">Sens!$F$3241</f>
        <v>71.7692997942464</v>
      </c>
      <c r="G3275" s="38" t="n">
        <f aca="false">Sens!$G$3241</f>
        <v>143.077946818676</v>
      </c>
      <c r="H3275" s="38" t="n">
        <f aca="false">Sens!$H$3241</f>
        <v>162.090161680343</v>
      </c>
      <c r="I3275" s="38" t="n">
        <f aca="false">Sens!$I$3241</f>
        <v>182.392507788469</v>
      </c>
      <c r="J3275" s="38" t="n">
        <f aca="false">Sens!$J$3241</f>
        <v>203.846737850887</v>
      </c>
      <c r="K3275" s="38" t="n">
        <f aca="false">Sens!$K$3241</f>
        <v>226.269879014485</v>
      </c>
      <c r="L3275" s="38" t="n">
        <f aca="false">Sens!$L$3241</f>
        <v>251.159565706078</v>
      </c>
      <c r="M3275" s="38" t="n">
        <f aca="false">Sens!$M$3241</f>
        <v>278.787117933747</v>
      </c>
      <c r="N3275" s="38" t="n">
        <f aca="false">Sens!$N$3241</f>
        <v>57.0936804689721</v>
      </c>
      <c r="O3275" s="38" t="n">
        <f aca="false">Sens!$O$3241</f>
        <v>62.9275494423768</v>
      </c>
      <c r="P3275" s="8" t="s">
        <v>686</v>
      </c>
    </row>
    <row r="3276" customFormat="false" ht="17.15" hidden="false" customHeight="false" outlineLevel="0" collapsed="false">
      <c r="A3276" s="1" t="s">
        <v>513</v>
      </c>
      <c r="B3276" s="8" t="s">
        <v>86</v>
      </c>
      <c r="C3276" s="38" t="n">
        <f aca="false">Q!$D$7</f>
        <v>107.556</v>
      </c>
      <c r="D3276" s="38" t="n">
        <f aca="false">Q!$E$7</f>
        <v>128.725</v>
      </c>
      <c r="E3276" s="38" t="n">
        <f aca="false">Q!$P$7</f>
        <v>79.819</v>
      </c>
      <c r="F3276" s="38" t="n">
        <f aca="false">Sens!$F$3274+Sens!$F$3275</f>
        <v>86.7327334389669</v>
      </c>
      <c r="G3276" s="38" t="n">
        <f aca="false">Sens!$G$3274+Sens!$G$3275</f>
        <v>166.551733438967</v>
      </c>
      <c r="H3276" s="38" t="n">
        <f aca="false">Sens!$H$3274+Sens!$H$3275</f>
        <v>222.256052430118</v>
      </c>
      <c r="I3276" s="38" t="n">
        <f aca="false">Sens!$I$3274+Sens!$I$3275</f>
        <v>283.896206924901</v>
      </c>
      <c r="J3276" s="38" t="n">
        <f aca="false">Sens!$J$3274+Sens!$J$3275</f>
        <v>346.872145002165</v>
      </c>
      <c r="K3276" s="38" t="n">
        <f aca="false">Sens!$K$3274+Sens!$K$3275</f>
        <v>404.717999397665</v>
      </c>
      <c r="L3276" s="38" t="n">
        <f aca="false">Sens!$L$3274+Sens!$L$3275</f>
        <v>452.887667508475</v>
      </c>
      <c r="M3276" s="38" t="n">
        <f aca="false">Sens!$M$3274+Sens!$M$3275</f>
        <v>491.622559302612</v>
      </c>
      <c r="N3276" s="38" t="n">
        <f aca="false">Q!$N$7</f>
        <v>60.14</v>
      </c>
      <c r="O3276" s="38" t="n">
        <f aca="false">Q!$O$7</f>
        <v>68.585</v>
      </c>
      <c r="P3276" s="5" t="s">
        <v>688</v>
      </c>
    </row>
    <row r="3277" customFormat="false" ht="15" hidden="false" customHeight="false" outlineLevel="0" collapsed="false">
      <c r="A3277" s="3" t="s">
        <v>689</v>
      </c>
      <c r="B3277" s="8" t="s">
        <v>86</v>
      </c>
      <c r="C3277" s="38" t="n">
        <f aca="false">Q!$D$8</f>
        <v>637.959</v>
      </c>
      <c r="D3277" s="38" t="n">
        <f aca="false">Q!$E$8</f>
        <v>716.924</v>
      </c>
      <c r="E3277" s="38" t="n">
        <f aca="false">Q!$P$8</f>
        <v>382.125</v>
      </c>
      <c r="F3277" s="38" t="n">
        <f aca="false">Sens!$F$3209+Sens!$F$3276</f>
        <v>435.780975084504</v>
      </c>
      <c r="G3277" s="38" t="n">
        <f aca="false">Sens!$G$3209+Sens!$G$3276</f>
        <v>817.905975084504</v>
      </c>
      <c r="H3277" s="38" t="n">
        <f aca="false">Sens!$H$3209+Sens!$H$3276</f>
        <v>943.352941951504</v>
      </c>
      <c r="I3277" s="38" t="n">
        <f aca="false">Sens!$I$3209+Sens!$I$3276</f>
        <v>1072.42559807743</v>
      </c>
      <c r="J3277" s="38" t="n">
        <f aca="false">Sens!$J$3209+Sens!$J$3276</f>
        <v>1197.98055074361</v>
      </c>
      <c r="K3277" s="38" t="n">
        <f aca="false">Sens!$K$3209+Sens!$K$3276</f>
        <v>1310.89445482875</v>
      </c>
      <c r="L3277" s="38" t="n">
        <f aca="false">Sens!$L$3209+Sens!$L$3276</f>
        <v>1417.98077398406</v>
      </c>
      <c r="M3277" s="38" t="n">
        <f aca="false">Sens!$M$3209+Sens!$M$3276</f>
        <v>1519.7704672495</v>
      </c>
      <c r="N3277" s="38" t="n">
        <f aca="false">Q!$N$8</f>
        <v>323.369</v>
      </c>
      <c r="O3277" s="38" t="n">
        <f aca="false">Q!$O$8</f>
        <v>393.555</v>
      </c>
    </row>
    <row r="3278" customFormat="false" ht="17.15" hidden="false" customHeight="false" outlineLevel="0" collapsed="false">
      <c r="A3278" s="24" t="s">
        <v>697</v>
      </c>
      <c r="B3278" s="25" t="s">
        <v>86</v>
      </c>
      <c r="C3278" s="41" t="n">
        <f aca="false">Sens!$C$3209-(Sens!$C$3211+Sens!$C$3212)</f>
        <v>0</v>
      </c>
      <c r="D3278" s="41" t="n">
        <f aca="false">Sens!$D$3209-(Sens!$D$3211+Sens!$D$3212)</f>
        <v>0</v>
      </c>
      <c r="E3278" s="41" t="n">
        <f aca="false">Sens!$E$3209-(Sens!$E$3211+Sens!$E$3212)</f>
        <v>0</v>
      </c>
      <c r="F3278" s="41" t="n">
        <f aca="false">Sens!$F$3209-(Sens!$F$3211+Sens!$F$3212)</f>
        <v>0</v>
      </c>
      <c r="G3278" s="41" t="n">
        <f aca="false">Sens!$G$3209-(Sens!$G$3211+Sens!$G$3212)</f>
        <v>0</v>
      </c>
      <c r="H3278" s="41" t="n">
        <f aca="false">Sens!$H$3209-(Sens!$H$3211+Sens!$H$3212)</f>
        <v>0</v>
      </c>
      <c r="I3278" s="41" t="n">
        <f aca="false">Sens!$I$3209-(Sens!$I$3211+Sens!$I$3212)</f>
        <v>0</v>
      </c>
      <c r="J3278" s="41" t="n">
        <f aca="false">Sens!$J$3209-(Sens!$J$3211+Sens!$J$3212)</f>
        <v>0</v>
      </c>
      <c r="K3278" s="41" t="n">
        <f aca="false">Sens!$K$3209-(Sens!$K$3211+Sens!$K$3212)</f>
        <v>0</v>
      </c>
      <c r="L3278" s="41" t="n">
        <f aca="false">Sens!$L$3209-(Sens!$L$3211+Sens!$L$3212)</f>
        <v>0</v>
      </c>
      <c r="M3278" s="41" t="n">
        <f aca="false">Sens!$M$3209-(Sens!$M$3211+Sens!$M$3212)</f>
        <v>0</v>
      </c>
      <c r="N3278" s="41" t="n">
        <f aca="false">Sens!$N$3209-(Sens!$N$3211+Sens!$N$3212)</f>
        <v>0</v>
      </c>
      <c r="O3278" s="41" t="n">
        <f aca="false">Sens!$O$3209-(Sens!$O$3211+Sens!$O$3212)</f>
        <v>0</v>
      </c>
    </row>
    <row r="3279" customFormat="false" ht="17.15" hidden="false" customHeight="false" outlineLevel="0" collapsed="false">
      <c r="A3279" s="24" t="s">
        <v>698</v>
      </c>
      <c r="B3279" s="25" t="s">
        <v>86</v>
      </c>
      <c r="C3279" s="41" t="n">
        <f aca="false">Sens!$C$3274+Sens!$C$3275-Sens!$C$3276</f>
        <v>0</v>
      </c>
      <c r="D3279" s="41" t="n">
        <f aca="false">Sens!$D$3274+Sens!$D$3275-Sens!$D$3276</f>
        <v>0</v>
      </c>
      <c r="E3279" s="41" t="n">
        <f aca="false">Sens!$E$3274+Sens!$E$3275-Sens!$E$3276</f>
        <v>0</v>
      </c>
      <c r="F3279" s="41" t="n">
        <f aca="false">Sens!$F$3274+Sens!$F$3275-Sens!$F$3276</f>
        <v>0</v>
      </c>
      <c r="G3279" s="41" t="n">
        <f aca="false">Sens!$G$3274+Sens!$G$3275-Sens!$G$3276</f>
        <v>0</v>
      </c>
      <c r="H3279" s="41" t="n">
        <f aca="false">Sens!$H$3274+Sens!$H$3275-Sens!$H$3276</f>
        <v>0</v>
      </c>
      <c r="I3279" s="41" t="n">
        <f aca="false">Sens!$I$3274+Sens!$I$3275-Sens!$I$3276</f>
        <v>0</v>
      </c>
      <c r="J3279" s="41" t="n">
        <f aca="false">Sens!$J$3274+Sens!$J$3275-Sens!$J$3276</f>
        <v>0</v>
      </c>
      <c r="K3279" s="41" t="n">
        <f aca="false">Sens!$K$3274+Sens!$K$3275-Sens!$K$3276</f>
        <v>0</v>
      </c>
      <c r="L3279" s="41" t="n">
        <f aca="false">Sens!$L$3274+Sens!$L$3275-Sens!$L$3276</f>
        <v>0</v>
      </c>
      <c r="M3279" s="41" t="n">
        <f aca="false">Sens!$M$3274+Sens!$M$3275-Sens!$M$3276</f>
        <v>0</v>
      </c>
      <c r="N3279" s="41" t="n">
        <f aca="false">Sens!$N$3274+Sens!$N$3275-Sens!$N$3276</f>
        <v>0</v>
      </c>
      <c r="O3279" s="41" t="n">
        <f aca="false">Sens!$O$3274+Sens!$O$3275-Sens!$O$3276</f>
        <v>0</v>
      </c>
    </row>
    <row r="3280" customFormat="false" ht="17.15" hidden="false" customHeight="false" outlineLevel="0" collapsed="false">
      <c r="A3280" s="24" t="s">
        <v>699</v>
      </c>
      <c r="B3280" s="25" t="s">
        <v>86</v>
      </c>
      <c r="C3280" s="41" t="n">
        <f aca="false">Sens!$C$3211+Sens!$C$3212+Sens!$C$3276-Sens!$C$3277</f>
        <v>0</v>
      </c>
      <c r="D3280" s="41" t="n">
        <f aca="false">Sens!$D$3211+Sens!$D$3212+Sens!$D$3276-Sens!$D$3277</f>
        <v>0</v>
      </c>
      <c r="E3280" s="41" t="n">
        <f aca="false">Sens!$E$3211+Sens!$E$3212+Sens!$E$3276-Sens!$E$3277</f>
        <v>0</v>
      </c>
      <c r="F3280" s="41" t="n">
        <f aca="false">Sens!$F$3211+Sens!$F$3212+Sens!$F$3276-Sens!$F$3277</f>
        <v>0</v>
      </c>
      <c r="G3280" s="41" t="n">
        <f aca="false">Sens!$G$3211+Sens!$G$3212+Sens!$G$3276-Sens!$G$3277</f>
        <v>0</v>
      </c>
      <c r="H3280" s="41" t="n">
        <f aca="false">Sens!$H$3211+Sens!$H$3212+Sens!$H$3276-Sens!$H$3277</f>
        <v>0</v>
      </c>
      <c r="I3280" s="41" t="n">
        <f aca="false">Sens!$I$3211+Sens!$I$3212+Sens!$I$3276-Sens!$I$3277</f>
        <v>0</v>
      </c>
      <c r="J3280" s="41" t="n">
        <f aca="false">Sens!$J$3211+Sens!$J$3212+Sens!$J$3276-Sens!$J$3277</f>
        <v>0</v>
      </c>
      <c r="K3280" s="41" t="n">
        <f aca="false">Sens!$K$3211+Sens!$K$3212+Sens!$K$3276-Sens!$K$3277</f>
        <v>0</v>
      </c>
      <c r="L3280" s="41" t="n">
        <f aca="false">Sens!$L$3211+Sens!$L$3212+Sens!$L$3276-Sens!$L$3277</f>
        <v>0</v>
      </c>
      <c r="M3280" s="41" t="n">
        <f aca="false">Sens!$M$3211+Sens!$M$3212+Sens!$M$3276-Sens!$M$3277</f>
        <v>0</v>
      </c>
      <c r="N3280" s="41" t="n">
        <f aca="false">Sens!$N$3211+Sens!$N$3212+Sens!$N$3276-Sens!$N$3277</f>
        <v>0</v>
      </c>
      <c r="O3280" s="41" t="n">
        <f aca="false">Sens!$O$3211+Sens!$O$3212+Sens!$O$3276-Sens!$O$3277</f>
        <v>0</v>
      </c>
    </row>
    <row r="3281" customFormat="false" ht="15" hidden="false" customHeight="false" outlineLevel="0" collapsed="false">
      <c r="A3281" s="5" t="s">
        <v>693</v>
      </c>
      <c r="B3281" s="0" t="s">
        <v>52</v>
      </c>
      <c r="G3281" s="13" t="n">
        <f aca="false">Sens!$G$3277/Sens!$D$3277-1</f>
        <v>0.140854504918937</v>
      </c>
      <c r="H3281" s="13" t="n">
        <f aca="false">Sens!$H$3277/Sens!$G$3277-1</f>
        <v>0.153375779965465</v>
      </c>
      <c r="I3281" s="13" t="n">
        <f aca="false">Sens!$I$3277/Sens!$H$3277-1</f>
        <v>0.136823293155706</v>
      </c>
      <c r="J3281" s="13" t="n">
        <f aca="false">Sens!$J$3277/Sens!$I$3277-1</f>
        <v>0.117075676756748</v>
      </c>
      <c r="K3281" s="13" t="n">
        <f aca="false">Sens!$K$3277/Sens!$J$3277-1</f>
        <v>0.094253536933514</v>
      </c>
      <c r="L3281" s="13" t="n">
        <f aca="false">Sens!$L$3277/Sens!$K$3277-1</f>
        <v>0.0816895050252546</v>
      </c>
      <c r="M3281" s="13" t="n">
        <f aca="false">Sens!$M$3277/Sens!$L$3277-1</f>
        <v>0.0717849600876033</v>
      </c>
    </row>
    <row r="3282" customFormat="false" ht="17.15" hidden="false" customHeight="false" outlineLevel="0" collapsed="false">
      <c r="A3282" s="0" t="s">
        <v>694</v>
      </c>
      <c r="B3282" s="0" t="s">
        <v>52</v>
      </c>
      <c r="C3282" s="13" t="n">
        <f aca="false">Sens!$C$3276/Sens!$C$3277</f>
        <v>0.168593906504964</v>
      </c>
      <c r="D3282" s="13" t="n">
        <f aca="false">Sens!$D$3276/Sens!$D$3277</f>
        <v>0.179551807444025</v>
      </c>
      <c r="E3282" s="13" t="n">
        <f aca="false">Sens!$E$3276/Sens!$E$3277</f>
        <v>0.208881910369643</v>
      </c>
      <c r="F3282" s="13" t="n">
        <f aca="false">Sens!$F$3276/Sens!$F$3277</f>
        <v>0.199028269699356</v>
      </c>
      <c r="G3282" s="13" t="n">
        <f aca="false">Sens!$G$3276/Sens!$G$3277</f>
        <v>0.203631882529968</v>
      </c>
      <c r="H3282" s="13" t="n">
        <f aca="false">Sens!$H$3276/Sens!$H$3277</f>
        <v>0.235602225366827</v>
      </c>
      <c r="I3282" s="13" t="n">
        <f aca="false">Sens!$I$3276/Sens!$I$3277</f>
        <v>0.264723452548923</v>
      </c>
      <c r="J3282" s="13" t="n">
        <f aca="false">Sens!$J$3276/Sens!$J$3277</f>
        <v>0.289547392724244</v>
      </c>
      <c r="K3282" s="13" t="n">
        <f aca="false">Sens!$K$3276/Sens!$K$3277</f>
        <v>0.3087342370752</v>
      </c>
      <c r="L3282" s="13" t="n">
        <f aca="false">Sens!$L$3276/Sens!$L$3277</f>
        <v>0.319389145337992</v>
      </c>
      <c r="M3282" s="13" t="n">
        <f aca="false">Sens!$M$3276/Sens!$M$3277</f>
        <v>0.323484743187803</v>
      </c>
      <c r="N3282" s="13" t="n">
        <f aca="false">Sens!$N$3276/Sens!$N$3277</f>
        <v>0.185979484737251</v>
      </c>
      <c r="O3282" s="13" t="n">
        <f aca="false">Sens!$O$3276/Sens!$O$3277</f>
        <v>0.174270432341096</v>
      </c>
    </row>
    <row r="3283" customFormat="false" ht="17.15" hidden="false" customHeight="false" outlineLevel="0" collapsed="false">
      <c r="A3283" s="0" t="s">
        <v>695</v>
      </c>
      <c r="B3283" s="0" t="s">
        <v>52</v>
      </c>
      <c r="C3283" s="13" t="n">
        <f aca="false">Sens!$C$3274/Sens!$C$3276</f>
        <v>0.0215795060896058</v>
      </c>
      <c r="D3283" s="13" t="n">
        <f aca="false">Sens!$D$3274/Sens!$D$3276</f>
        <v>0.0676152269462122</v>
      </c>
      <c r="E3283" s="13" t="n">
        <f aca="false">Sens!$E$3274/Sens!$E$3276</f>
        <v>0.106620641395783</v>
      </c>
      <c r="F3283" s="13" t="n">
        <f aca="false">Sens!$F$3274/Sens!$F$3276</f>
        <v>0.172523487401099</v>
      </c>
      <c r="G3283" s="13" t="n">
        <f aca="false">Sens!$G$3274/Sens!$G$3276</f>
        <v>0.140939911795589</v>
      </c>
      <c r="H3283" s="13" t="n">
        <f aca="false">Sens!$H$3274/Sens!$H$3276</f>
        <v>0.270705297299798</v>
      </c>
      <c r="I3283" s="13" t="n">
        <f aca="false">Sens!$I$3274/Sens!$I$3276</f>
        <v>0.3575380602506</v>
      </c>
      <c r="J3283" s="13" t="n">
        <f aca="false">Sens!$J$3274/Sens!$J$3276</f>
        <v>0.412328891818008</v>
      </c>
      <c r="K3283" s="13" t="n">
        <f aca="false">Sens!$K$3274/Sens!$K$3276</f>
        <v>0.440919654299441</v>
      </c>
      <c r="L3283" s="13" t="n">
        <f aca="false">Sens!$L$3274/Sens!$L$3276</f>
        <v>0.445426352437874</v>
      </c>
      <c r="M3283" s="13" t="n">
        <f aca="false">Sens!$M$3274/Sens!$M$3276</f>
        <v>0.432924481070969</v>
      </c>
      <c r="N3283" s="13" t="n">
        <f aca="false">Sens!$N$3274/Sens!$N$3276</f>
        <v>0.0506537999838362</v>
      </c>
      <c r="O3283" s="13" t="n">
        <f aca="false">Sens!$O$3274/Sens!$O$3276</f>
        <v>0.0824881615167056</v>
      </c>
    </row>
    <row r="3286" customFormat="false" ht="19.4" hidden="false" customHeight="false" outlineLevel="0" collapsed="false">
      <c r="A3286" s="31" t="s">
        <v>1194</v>
      </c>
    </row>
    <row r="3287" customFormat="false" ht="17.15" hidden="false" customHeight="false" outlineLevel="0" collapsed="false">
      <c r="A3287" s="6" t="s">
        <v>16</v>
      </c>
      <c r="B3287" s="6" t="s">
        <v>17</v>
      </c>
      <c r="C3287" s="20" t="s">
        <v>494</v>
      </c>
      <c r="D3287" s="20" t="s">
        <v>495</v>
      </c>
      <c r="E3287" s="20" t="s">
        <v>577</v>
      </c>
      <c r="F3287" s="20" t="s">
        <v>578</v>
      </c>
      <c r="G3287" s="20" t="s">
        <v>579</v>
      </c>
      <c r="H3287" s="20" t="s">
        <v>580</v>
      </c>
      <c r="I3287" s="20" t="s">
        <v>581</v>
      </c>
      <c r="J3287" s="20" t="s">
        <v>582</v>
      </c>
      <c r="K3287" s="20" t="s">
        <v>583</v>
      </c>
      <c r="L3287" s="20" t="s">
        <v>584</v>
      </c>
      <c r="M3287" s="20" t="s">
        <v>585</v>
      </c>
      <c r="N3287" s="20" t="s">
        <v>586</v>
      </c>
      <c r="O3287" s="20" t="s">
        <v>587</v>
      </c>
      <c r="P3287" s="6" t="s">
        <v>23</v>
      </c>
      <c r="R3287" s="20" t="n">
        <v>2023</v>
      </c>
      <c r="S3287" s="20" t="n">
        <v>2024</v>
      </c>
      <c r="T3287" s="20" t="n">
        <v>2025</v>
      </c>
      <c r="U3287" s="20" t="n">
        <v>2026</v>
      </c>
      <c r="V3287" s="20" t="n">
        <v>2027</v>
      </c>
      <c r="W3287" s="20" t="n">
        <v>2028</v>
      </c>
      <c r="X3287" s="20" t="n">
        <v>2029</v>
      </c>
      <c r="Y3287" s="20" t="n">
        <v>2030</v>
      </c>
      <c r="Z3287" s="20" t="n">
        <v>2031</v>
      </c>
      <c r="AA3287" s="20" t="n">
        <v>2032</v>
      </c>
    </row>
    <row r="3288" customFormat="false" ht="17.15" hidden="false" customHeight="false" outlineLevel="0" collapsed="false">
      <c r="A3288" s="1" t="s">
        <v>710</v>
      </c>
    </row>
    <row r="3289" customFormat="false" ht="15" hidden="false" customHeight="false" outlineLevel="0" collapsed="false">
      <c r="A3289" s="0" t="s">
        <v>516</v>
      </c>
      <c r="B3289" s="0" t="s">
        <v>86</v>
      </c>
      <c r="C3289" s="38" t="n">
        <f aca="false">Sens!$C$3196</f>
        <v>247.029</v>
      </c>
      <c r="D3289" s="38" t="n">
        <f aca="false">Sens!$D$3196</f>
        <v>269.287</v>
      </c>
      <c r="E3289" s="38" t="n">
        <f aca="false">Sens!$E$3196</f>
        <v>134.686</v>
      </c>
      <c r="F3289" s="38" t="n">
        <f aca="false">Sens!$F$3196</f>
        <v>158.293876822267</v>
      </c>
      <c r="G3289" s="38" t="n">
        <f aca="false">Sens!$G$3196</f>
        <v>292.979876822267</v>
      </c>
      <c r="H3289" s="38" t="n">
        <f aca="false">Sens!$H$3196</f>
        <v>318.184543087396</v>
      </c>
      <c r="I3289" s="38" t="n">
        <f aca="false">Sens!$I$3196</f>
        <v>341.736278761793</v>
      </c>
      <c r="J3289" s="38" t="n">
        <f aca="false">Sens!$J$3196</f>
        <v>362.927192787048</v>
      </c>
      <c r="K3289" s="38" t="n">
        <f aca="false">Sens!$K$3196</f>
        <v>381.0735524264</v>
      </c>
      <c r="L3289" s="38" t="n">
        <f aca="false">Sens!$L$3196</f>
        <v>400.12723004772</v>
      </c>
      <c r="M3289" s="38" t="n">
        <f aca="false">Sens!$M$3196</f>
        <v>420.133591550106</v>
      </c>
      <c r="N3289" s="38" t="n">
        <f aca="false">Sens!$N$3196</f>
        <v>118.892</v>
      </c>
      <c r="O3289" s="38" t="n">
        <f aca="false">Sens!$O$3196</f>
        <v>150.395</v>
      </c>
    </row>
    <row r="3290" customFormat="false" ht="15" hidden="false" customHeight="false" outlineLevel="0" collapsed="false">
      <c r="A3290" s="0" t="s">
        <v>517</v>
      </c>
      <c r="B3290" s="0" t="s">
        <v>86</v>
      </c>
      <c r="C3290" s="38" t="n">
        <f aca="false">Sens!$C$3198</f>
        <v>21.215</v>
      </c>
      <c r="D3290" s="38" t="n">
        <f aca="false">Sens!$D$3198</f>
        <v>22.561</v>
      </c>
      <c r="E3290" s="38" t="n">
        <f aca="false">Sens!$E$3198</f>
        <v>11.579</v>
      </c>
      <c r="F3290" s="38" t="n">
        <f aca="false">Sens!$F$3198</f>
        <v>11.5938724610325</v>
      </c>
      <c r="G3290" s="38" t="n">
        <f aca="false">Sens!$G$3198</f>
        <v>23.1728724610325</v>
      </c>
      <c r="H3290" s="38" t="n">
        <f aca="false">Sens!$H$3198</f>
        <v>24.353392759506</v>
      </c>
      <c r="I3290" s="38" t="n">
        <f aca="false">Sens!$I$3198</f>
        <v>25.4240338872015</v>
      </c>
      <c r="J3290" s="38" t="n">
        <f aca="false">Sens!$J$3198</f>
        <v>26.3642491017174</v>
      </c>
      <c r="K3290" s="38" t="n">
        <f aca="false">Sens!$K$3198</f>
        <v>27.155176574769</v>
      </c>
      <c r="L3290" s="38" t="n">
        <f aca="false">Sens!$L$3198</f>
        <v>27.969831872012</v>
      </c>
      <c r="M3290" s="38" t="n">
        <f aca="false">Sens!$M$3198</f>
        <v>28.8089268281724</v>
      </c>
      <c r="N3290" s="38" t="n">
        <f aca="false">Sens!$N$3198</f>
        <v>11.128</v>
      </c>
      <c r="O3290" s="38" t="n">
        <f aca="false">Sens!$O$3198</f>
        <v>11.433</v>
      </c>
    </row>
    <row r="3291" customFormat="false" ht="15" hidden="false" customHeight="false" outlineLevel="0" collapsed="false">
      <c r="A3291" s="0" t="s">
        <v>518</v>
      </c>
      <c r="B3291" s="0" t="s">
        <v>86</v>
      </c>
      <c r="C3291" s="38" t="n">
        <f aca="false">Sens!$C$3200</f>
        <v>156.146</v>
      </c>
      <c r="D3291" s="38" t="n">
        <f aca="false">Sens!$D$3200</f>
        <v>172.162</v>
      </c>
      <c r="E3291" s="38" t="n">
        <f aca="false">Sens!$E$3200</f>
        <v>88.358</v>
      </c>
      <c r="F3291" s="38" t="n">
        <f aca="false">Sens!$F$3200</f>
        <v>102.004388260171</v>
      </c>
      <c r="G3291" s="38" t="n">
        <f aca="false">Sens!$G$3200</f>
        <v>190.362388260171</v>
      </c>
      <c r="H3291" s="38" t="n">
        <f aca="false">Sens!$H$3200</f>
        <v>210.343106588311</v>
      </c>
      <c r="I3291" s="38" t="n">
        <f aca="false">Sens!$I$3200</f>
        <v>229.969728494648</v>
      </c>
      <c r="J3291" s="38" t="n">
        <f aca="false">Sens!$J$3200</f>
        <v>248.747636972598</v>
      </c>
      <c r="K3291" s="38" t="n">
        <f aca="false">Sens!$K$3200</f>
        <v>266.15997156068</v>
      </c>
      <c r="L3291" s="38" t="n">
        <f aca="false">Sens!$L$3200</f>
        <v>284.791169569927</v>
      </c>
      <c r="M3291" s="38" t="n">
        <f aca="false">Sens!$M$3200</f>
        <v>304.726551439822</v>
      </c>
      <c r="N3291" s="38" t="n">
        <f aca="false">Sens!$N$3200</f>
        <v>76.86</v>
      </c>
      <c r="O3291" s="38" t="n">
        <f aca="false">Sens!$O$3200</f>
        <v>95.302</v>
      </c>
    </row>
    <row r="3292" customFormat="false" ht="15" hidden="false" customHeight="false" outlineLevel="0" collapsed="false">
      <c r="A3292" s="0" t="s">
        <v>519</v>
      </c>
      <c r="B3292" s="0" t="s">
        <v>86</v>
      </c>
      <c r="C3292" s="38" t="n">
        <f aca="false">Sens!$C$3202</f>
        <v>56.214</v>
      </c>
      <c r="D3292" s="38" t="n">
        <f aca="false">Sens!$D$3202</f>
        <v>68.635</v>
      </c>
      <c r="E3292" s="38" t="n">
        <f aca="false">Sens!$E$3202</f>
        <v>37.052</v>
      </c>
      <c r="F3292" s="38" t="n">
        <f aca="false">Sens!$F$3202</f>
        <v>46.1572219944148</v>
      </c>
      <c r="G3292" s="38" t="n">
        <f aca="false">Sens!$G$3202</f>
        <v>83.2092219944148</v>
      </c>
      <c r="H3292" s="38" t="n">
        <f aca="false">Sens!$H$3202</f>
        <v>99.8969223878976</v>
      </c>
      <c r="I3292" s="38" t="n">
        <f aca="false">Sens!$I$3202</f>
        <v>116.583111095496</v>
      </c>
      <c r="J3292" s="38" t="n">
        <f aca="false">Sens!$J$3202</f>
        <v>132.148941941952</v>
      </c>
      <c r="K3292" s="38" t="n">
        <f aca="false">Sens!$K$3202</f>
        <v>145.363836136147</v>
      </c>
      <c r="L3292" s="38" t="n">
        <f aca="false">Sens!$L$3202</f>
        <v>159.900219749762</v>
      </c>
      <c r="M3292" s="38" t="n">
        <f aca="false">Sens!$M$3202</f>
        <v>175.890241724738</v>
      </c>
      <c r="N3292" s="38" t="n">
        <f aca="false">Sens!$N$3202</f>
        <v>29.615</v>
      </c>
      <c r="O3292" s="38" t="n">
        <f aca="false">Sens!$O$3202</f>
        <v>39.02</v>
      </c>
    </row>
    <row r="3293" customFormat="false" ht="15" hidden="false" customHeight="false" outlineLevel="0" collapsed="false">
      <c r="A3293" s="0" t="s">
        <v>520</v>
      </c>
      <c r="B3293" s="0" t="s">
        <v>86</v>
      </c>
      <c r="C3293" s="38" t="n">
        <f aca="false">Sens!$C$3204</f>
        <v>44.374</v>
      </c>
      <c r="D3293" s="38" t="n">
        <f aca="false">Sens!$D$3204</f>
        <v>49.619</v>
      </c>
      <c r="E3293" s="38" t="n">
        <f aca="false">Sens!$E$3204</f>
        <v>27.157</v>
      </c>
      <c r="F3293" s="38" t="n">
        <f aca="false">Sens!$F$3204</f>
        <v>27.7764165988154</v>
      </c>
      <c r="G3293" s="38" t="n">
        <f aca="false">Sens!$G$3204</f>
        <v>54.9334165988154</v>
      </c>
      <c r="H3293" s="38" t="n">
        <f aca="false">Sens!$H$3204</f>
        <v>61.1564112561829</v>
      </c>
      <c r="I3293" s="38" t="n">
        <f aca="false">Sens!$I$3204</f>
        <v>67.2020282103945</v>
      </c>
      <c r="J3293" s="38" t="n">
        <f aca="false">Sens!$J$3204</f>
        <v>72.8757274028885</v>
      </c>
      <c r="K3293" s="38" t="n">
        <f aca="false">Sens!$K$3204</f>
        <v>77.9770283210907</v>
      </c>
      <c r="L3293" s="38" t="n">
        <f aca="false">Sens!$L$3204</f>
        <v>83.4354203035671</v>
      </c>
      <c r="M3293" s="38" t="n">
        <f aca="false">Sens!$M$3204</f>
        <v>89.2758997248168</v>
      </c>
      <c r="N3293" s="38" t="n">
        <f aca="false">Sens!$N$3204</f>
        <v>23.923</v>
      </c>
      <c r="O3293" s="38" t="n">
        <f aca="false">Sens!$O$3204</f>
        <v>25.696</v>
      </c>
    </row>
    <row r="3294" customFormat="false" ht="15" hidden="false" customHeight="false" outlineLevel="0" collapsed="false">
      <c r="A3294" s="0" t="s">
        <v>521</v>
      </c>
      <c r="B3294" s="0" t="s">
        <v>86</v>
      </c>
      <c r="C3294" s="38" t="n">
        <f aca="false">Sens!$C$3206</f>
        <v>5.425</v>
      </c>
      <c r="D3294" s="38" t="n">
        <f aca="false">Sens!$D$3206</f>
        <v>5.935</v>
      </c>
      <c r="E3294" s="38" t="n">
        <f aca="false">Sens!$E$3206</f>
        <v>3.474</v>
      </c>
      <c r="F3294" s="38" t="n">
        <f aca="false">Sens!$F$3206</f>
        <v>3.22246550883619</v>
      </c>
      <c r="G3294" s="38" t="n">
        <f aca="false">Sens!$G$3206</f>
        <v>6.69646550883619</v>
      </c>
      <c r="H3294" s="38" t="n">
        <f aca="false">Sens!$H$3206</f>
        <v>7.16251344209196</v>
      </c>
      <c r="I3294" s="38" t="n">
        <f aca="false">Sens!$I$3206</f>
        <v>7.61421070299826</v>
      </c>
      <c r="J3294" s="38" t="n">
        <f aca="false">Sens!$J$3206</f>
        <v>8.04465753523932</v>
      </c>
      <c r="K3294" s="38" t="n">
        <f aca="false">Sens!$K$3206</f>
        <v>8.44689041200128</v>
      </c>
      <c r="L3294" s="38" t="n">
        <f aca="false">Sens!$L$3206</f>
        <v>8.86923493260135</v>
      </c>
      <c r="M3294" s="38" t="n">
        <f aca="false">Sens!$M$3206</f>
        <v>9.31269667923142</v>
      </c>
      <c r="N3294" s="38" t="n">
        <f aca="false">Sens!$N$3206</f>
        <v>2.811</v>
      </c>
      <c r="O3294" s="38" t="n">
        <f aca="false">Sens!$O$3206</f>
        <v>3.124</v>
      </c>
    </row>
    <row r="3295" customFormat="false" ht="17.15" hidden="false" customHeight="false" outlineLevel="0" collapsed="false">
      <c r="A3295" s="0" t="s">
        <v>711</v>
      </c>
      <c r="B3295" s="0" t="s">
        <v>86</v>
      </c>
      <c r="C3295" s="38" t="n">
        <f aca="false">Sens!$C$3276</f>
        <v>107.556</v>
      </c>
      <c r="D3295" s="38" t="n">
        <f aca="false">Sens!$D$3276</f>
        <v>128.725</v>
      </c>
      <c r="E3295" s="38" t="n">
        <f aca="false">Sens!$E$3276</f>
        <v>79.819</v>
      </c>
      <c r="F3295" s="38" t="n">
        <f aca="false">Sens!$F$3276</f>
        <v>86.7327334389669</v>
      </c>
      <c r="G3295" s="38" t="n">
        <f aca="false">Sens!$G$3276</f>
        <v>166.551733438967</v>
      </c>
      <c r="H3295" s="38" t="n">
        <f aca="false">Sens!$H$3276</f>
        <v>222.256052430118</v>
      </c>
      <c r="I3295" s="38" t="n">
        <f aca="false">Sens!$I$3276</f>
        <v>283.896206924901</v>
      </c>
      <c r="J3295" s="38" t="n">
        <f aca="false">Sens!$J$3276</f>
        <v>346.872145002165</v>
      </c>
      <c r="K3295" s="38" t="n">
        <f aca="false">Sens!$K$3276</f>
        <v>404.717999397665</v>
      </c>
      <c r="L3295" s="38" t="n">
        <f aca="false">Sens!$L$3276</f>
        <v>452.887667508475</v>
      </c>
      <c r="M3295" s="38" t="n">
        <f aca="false">Sens!$M$3276</f>
        <v>491.622559302612</v>
      </c>
      <c r="N3295" s="38" t="n">
        <f aca="false">Sens!$N$3276</f>
        <v>60.14</v>
      </c>
      <c r="O3295" s="38" t="n">
        <f aca="false">Sens!$O$3276</f>
        <v>68.585</v>
      </c>
    </row>
    <row r="3296" customFormat="false" ht="15" hidden="false" customHeight="false" outlineLevel="0" collapsed="false">
      <c r="A3296" s="1" t="s">
        <v>509</v>
      </c>
      <c r="B3296" s="8" t="s">
        <v>86</v>
      </c>
      <c r="C3296" s="38" t="n">
        <f aca="false">Sens!$C$3211</f>
        <v>387.497</v>
      </c>
      <c r="D3296" s="38" t="n">
        <f aca="false">Sens!$D$3211</f>
        <v>426.305</v>
      </c>
      <c r="E3296" s="38" t="n">
        <f aca="false">Sens!$E$3211</f>
        <v>220.32</v>
      </c>
      <c r="F3296" s="38" t="n">
        <f aca="false">Sens!$F$3211</f>
        <v>250.639773480586</v>
      </c>
      <c r="G3296" s="38" t="n">
        <f aca="false">Sens!$G$3211</f>
        <v>470.959773480586</v>
      </c>
      <c r="H3296" s="38" t="n">
        <f aca="false">Sens!$H$3211</f>
        <v>521.386990416437</v>
      </c>
      <c r="I3296" s="38" t="n">
        <f aca="false">Sens!$I$3211</f>
        <v>570.143862887555</v>
      </c>
      <c r="J3296" s="38" t="n">
        <f aca="false">Sens!$J$3211</f>
        <v>615.391435791933</v>
      </c>
      <c r="K3296" s="38" t="n">
        <f aca="false">Sens!$K$3211</f>
        <v>655.208227561543</v>
      </c>
      <c r="L3296" s="38" t="n">
        <f aca="false">Sens!$L$3211</f>
        <v>697.807739249767</v>
      </c>
      <c r="M3296" s="38" t="n">
        <f aca="false">Sens!$M$3211</f>
        <v>743.399328463592</v>
      </c>
      <c r="N3296" s="38" t="n">
        <f aca="false">Sens!$N$3211</f>
        <v>192.955</v>
      </c>
      <c r="O3296" s="38" t="n">
        <f aca="false">Sens!$O$3211</f>
        <v>233.35</v>
      </c>
    </row>
    <row r="3297" customFormat="false" ht="15" hidden="false" customHeight="false" outlineLevel="0" collapsed="false">
      <c r="A3297" s="1" t="s">
        <v>512</v>
      </c>
      <c r="B3297" s="8" t="s">
        <v>86</v>
      </c>
      <c r="C3297" s="38" t="n">
        <f aca="false">Sens!$C$3212</f>
        <v>142.906</v>
      </c>
      <c r="D3297" s="38" t="n">
        <f aca="false">Sens!$D$3212</f>
        <v>161.894</v>
      </c>
      <c r="E3297" s="38" t="n">
        <f aca="false">Sens!$E$3212</f>
        <v>81.986</v>
      </c>
      <c r="F3297" s="38" t="n">
        <f aca="false">Sens!$F$3212</f>
        <v>98.408468164951</v>
      </c>
      <c r="G3297" s="38" t="n">
        <f aca="false">Sens!$G$3212</f>
        <v>180.394468164951</v>
      </c>
      <c r="H3297" s="38" t="n">
        <f aca="false">Sens!$H$3212</f>
        <v>199.709899104949</v>
      </c>
      <c r="I3297" s="38" t="n">
        <f aca="false">Sens!$I$3212</f>
        <v>218.385528264976</v>
      </c>
      <c r="J3297" s="38" t="n">
        <f aca="false">Sens!$J$3212</f>
        <v>235.71696994951</v>
      </c>
      <c r="K3297" s="38" t="n">
        <f aca="false">Sens!$K$3212</f>
        <v>250.968227869545</v>
      </c>
      <c r="L3297" s="38" t="n">
        <f aca="false">Sens!$L$3212</f>
        <v>267.285367225822</v>
      </c>
      <c r="M3297" s="38" t="n">
        <f aca="false">Sens!$M$3212</f>
        <v>284.748579483295</v>
      </c>
      <c r="N3297" s="38" t="n">
        <f aca="false">Sens!$N$3212</f>
        <v>70.274</v>
      </c>
      <c r="O3297" s="38" t="n">
        <f aca="false">Sens!$O$3212</f>
        <v>91.62</v>
      </c>
    </row>
    <row r="3298" customFormat="false" ht="15" hidden="false" customHeight="false" outlineLevel="0" collapsed="false">
      <c r="A3298" s="1" t="s">
        <v>513</v>
      </c>
      <c r="B3298" s="8" t="s">
        <v>86</v>
      </c>
      <c r="C3298" s="38" t="n">
        <f aca="false">Sens!$C$3276</f>
        <v>107.556</v>
      </c>
      <c r="D3298" s="38" t="n">
        <f aca="false">Sens!$D$3276</f>
        <v>128.725</v>
      </c>
      <c r="E3298" s="38" t="n">
        <f aca="false">Sens!$E$3276</f>
        <v>79.819</v>
      </c>
      <c r="F3298" s="38" t="n">
        <f aca="false">Sens!$F$3276</f>
        <v>86.7327334389669</v>
      </c>
      <c r="G3298" s="38" t="n">
        <f aca="false">Sens!$G$3276</f>
        <v>166.551733438967</v>
      </c>
      <c r="H3298" s="38" t="n">
        <f aca="false">Sens!$H$3276</f>
        <v>222.256052430118</v>
      </c>
      <c r="I3298" s="38" t="n">
        <f aca="false">Sens!$I$3276</f>
        <v>283.896206924901</v>
      </c>
      <c r="J3298" s="38" t="n">
        <f aca="false">Sens!$J$3276</f>
        <v>346.872145002165</v>
      </c>
      <c r="K3298" s="38" t="n">
        <f aca="false">Sens!$K$3276</f>
        <v>404.717999397665</v>
      </c>
      <c r="L3298" s="38" t="n">
        <f aca="false">Sens!$L$3276</f>
        <v>452.887667508475</v>
      </c>
      <c r="M3298" s="38" t="n">
        <f aca="false">Sens!$M$3276</f>
        <v>491.622559302612</v>
      </c>
      <c r="N3298" s="38" t="n">
        <f aca="false">Sens!$N$3276</f>
        <v>60.14</v>
      </c>
      <c r="O3298" s="38" t="n">
        <f aca="false">Sens!$O$3276</f>
        <v>68.585</v>
      </c>
    </row>
    <row r="3299" customFormat="false" ht="17.15" hidden="false" customHeight="false" outlineLevel="0" collapsed="false">
      <c r="A3299" s="0" t="s">
        <v>685</v>
      </c>
      <c r="B3299" s="0" t="s">
        <v>86</v>
      </c>
      <c r="C3299" s="38" t="n">
        <f aca="false">Sens!$C$3274</f>
        <v>2.32100535697364</v>
      </c>
      <c r="D3299" s="38" t="n">
        <f aca="false">Sens!$D$3274</f>
        <v>8.70377008865116</v>
      </c>
      <c r="E3299" s="38" t="n">
        <f aca="false">Sens!$E$3274</f>
        <v>8.51035297557002</v>
      </c>
      <c r="F3299" s="38" t="n">
        <f aca="false">Sens!$F$3274</f>
        <v>14.9634336447205</v>
      </c>
      <c r="G3299" s="38" t="n">
        <f aca="false">Sens!$G$3274</f>
        <v>23.4737866202905</v>
      </c>
      <c r="H3299" s="38" t="n">
        <f aca="false">Sens!$H$3274</f>
        <v>60.1658907497746</v>
      </c>
      <c r="I3299" s="38" t="n">
        <f aca="false">Sens!$I$3274</f>
        <v>101.503699136432</v>
      </c>
      <c r="J3299" s="38" t="n">
        <f aca="false">Sens!$J$3274</f>
        <v>143.025407151278</v>
      </c>
      <c r="K3299" s="38" t="n">
        <f aca="false">Sens!$K$3274</f>
        <v>178.44812038318</v>
      </c>
      <c r="L3299" s="38" t="n">
        <f aca="false">Sens!$L$3274</f>
        <v>201.728101802396</v>
      </c>
      <c r="M3299" s="38" t="n">
        <f aca="false">Sens!$M$3274</f>
        <v>212.835441368865</v>
      </c>
      <c r="N3299" s="38" t="n">
        <f aca="false">Sens!$N$3274</f>
        <v>3.04631953102791</v>
      </c>
      <c r="O3299" s="38" t="n">
        <f aca="false">Sens!$O$3274</f>
        <v>5.65745055762326</v>
      </c>
    </row>
    <row r="3300" customFormat="false" ht="17.15" hidden="false" customHeight="false" outlineLevel="0" collapsed="false">
      <c r="A3300" s="0" t="s">
        <v>687</v>
      </c>
      <c r="B3300" s="0" t="s">
        <v>86</v>
      </c>
      <c r="C3300" s="38" t="n">
        <f aca="false">Sens!$C$3275</f>
        <v>105.234994643026</v>
      </c>
      <c r="D3300" s="38" t="n">
        <f aca="false">Sens!$D$3275</f>
        <v>120.021229911349</v>
      </c>
      <c r="E3300" s="38" t="n">
        <f aca="false">Sens!$E$3275</f>
        <v>71.30864702443</v>
      </c>
      <c r="F3300" s="38" t="n">
        <f aca="false">Sens!$F$3275</f>
        <v>71.7692997942464</v>
      </c>
      <c r="G3300" s="38" t="n">
        <f aca="false">Sens!$G$3275</f>
        <v>143.077946818676</v>
      </c>
      <c r="H3300" s="38" t="n">
        <f aca="false">Sens!$H$3275</f>
        <v>162.090161680343</v>
      </c>
      <c r="I3300" s="38" t="n">
        <f aca="false">Sens!$I$3275</f>
        <v>182.392507788469</v>
      </c>
      <c r="J3300" s="38" t="n">
        <f aca="false">Sens!$J$3275</f>
        <v>203.846737850887</v>
      </c>
      <c r="K3300" s="38" t="n">
        <f aca="false">Sens!$K$3275</f>
        <v>226.269879014485</v>
      </c>
      <c r="L3300" s="38" t="n">
        <f aca="false">Sens!$L$3275</f>
        <v>251.159565706078</v>
      </c>
      <c r="M3300" s="38" t="n">
        <f aca="false">Sens!$M$3275</f>
        <v>278.787117933747</v>
      </c>
      <c r="N3300" s="38" t="n">
        <f aca="false">Sens!$N$3275</f>
        <v>57.0936804689721</v>
      </c>
      <c r="O3300" s="38" t="n">
        <f aca="false">Sens!$O$3275</f>
        <v>62.9275494423768</v>
      </c>
    </row>
    <row r="3301" customFormat="false" ht="15" hidden="false" customHeight="false" outlineLevel="0" collapsed="false">
      <c r="A3301" s="3" t="s">
        <v>514</v>
      </c>
      <c r="B3301" s="8" t="s">
        <v>86</v>
      </c>
      <c r="C3301" s="38" t="n">
        <f aca="false">Sens!$C$3277</f>
        <v>637.959</v>
      </c>
      <c r="D3301" s="38" t="n">
        <f aca="false">Sens!$D$3277</f>
        <v>716.924</v>
      </c>
      <c r="E3301" s="38" t="n">
        <f aca="false">Sens!$E$3277</f>
        <v>382.125</v>
      </c>
      <c r="F3301" s="38" t="n">
        <f aca="false">Sens!$F$3277</f>
        <v>435.780975084504</v>
      </c>
      <c r="G3301" s="38" t="n">
        <f aca="false">Sens!$G$3277</f>
        <v>817.905975084504</v>
      </c>
      <c r="H3301" s="38" t="n">
        <f aca="false">Sens!$H$3277</f>
        <v>943.352941951504</v>
      </c>
      <c r="I3301" s="38" t="n">
        <f aca="false">Sens!$I$3277</f>
        <v>1072.42559807743</v>
      </c>
      <c r="J3301" s="38" t="n">
        <f aca="false">Sens!$J$3277</f>
        <v>1197.98055074361</v>
      </c>
      <c r="K3301" s="38" t="n">
        <f aca="false">Sens!$K$3277</f>
        <v>1310.89445482875</v>
      </c>
      <c r="L3301" s="38" t="n">
        <f aca="false">Sens!$L$3277</f>
        <v>1417.98077398406</v>
      </c>
      <c r="M3301" s="38" t="n">
        <f aca="false">Sens!$M$3277</f>
        <v>1519.7704672495</v>
      </c>
      <c r="N3301" s="38" t="n">
        <f aca="false">Sens!$N$3277</f>
        <v>323.369</v>
      </c>
      <c r="O3301" s="38" t="n">
        <f aca="false">Sens!$O$3277</f>
        <v>393.555</v>
      </c>
    </row>
    <row r="3302" customFormat="false" ht="17.15" hidden="false" customHeight="false" outlineLevel="0" collapsed="false">
      <c r="A3302" s="24" t="s">
        <v>697</v>
      </c>
      <c r="B3302" s="25" t="s">
        <v>86</v>
      </c>
      <c r="C3302" s="41" t="n">
        <f aca="false">Sens!$C$3289+Sens!$C$3290+Sens!$C$3291+Sens!$C$3292+Sens!$C$3293+Sens!$C$3294-(Sens!$C$3296+Sens!$C$3297)</f>
        <v>0</v>
      </c>
      <c r="D3302" s="41" t="n">
        <f aca="false">Sens!$D$3289+Sens!$D$3290+Sens!$D$3291+Sens!$D$3292+Sens!$D$3293+Sens!$D$3294-(Sens!$D$3296+Sens!$D$3297)</f>
        <v>0</v>
      </c>
      <c r="E3302" s="41" t="n">
        <f aca="false">Sens!$E$3289+Sens!$E$3290+Sens!$E$3291+Sens!$E$3292+Sens!$E$3293+Sens!$E$3294-(Sens!$E$3296+Sens!$E$3297)</f>
        <v>0</v>
      </c>
      <c r="F3302" s="41" t="n">
        <f aca="false">Sens!$F$3289+Sens!$F$3290+Sens!$F$3291+Sens!$F$3292+Sens!$F$3293+Sens!$F$3294-(Sens!$F$3296+Sens!$F$3297)</f>
        <v>0</v>
      </c>
      <c r="G3302" s="41" t="n">
        <f aca="false">Sens!$G$3289+Sens!$G$3290+Sens!$G$3291+Sens!$G$3292+Sens!$G$3293+Sens!$G$3294-(Sens!$G$3296+Sens!$G$3297)</f>
        <v>0</v>
      </c>
      <c r="H3302" s="41" t="n">
        <f aca="false">Sens!$H$3289+Sens!$H$3290+Sens!$H$3291+Sens!$H$3292+Sens!$H$3293+Sens!$H$3294-(Sens!$H$3296+Sens!$H$3297)</f>
        <v>0</v>
      </c>
      <c r="I3302" s="41" t="n">
        <f aca="false">Sens!$I$3289+Sens!$I$3290+Sens!$I$3291+Sens!$I$3292+Sens!$I$3293+Sens!$I$3294-(Sens!$I$3296+Sens!$I$3297)</f>
        <v>0</v>
      </c>
      <c r="J3302" s="41" t="n">
        <f aca="false">Sens!$J$3289+Sens!$J$3290+Sens!$J$3291+Sens!$J$3292+Sens!$J$3293+Sens!$J$3294-(Sens!$J$3296+Sens!$J$3297)</f>
        <v>0</v>
      </c>
      <c r="K3302" s="41" t="n">
        <f aca="false">Sens!$K$3289+Sens!$K$3290+Sens!$K$3291+Sens!$K$3292+Sens!$K$3293+Sens!$K$3294-(Sens!$K$3296+Sens!$K$3297)</f>
        <v>0</v>
      </c>
      <c r="L3302" s="41" t="n">
        <f aca="false">Sens!$L$3289+Sens!$L$3290+Sens!$L$3291+Sens!$L$3292+Sens!$L$3293+Sens!$L$3294-(Sens!$L$3296+Sens!$L$3297)</f>
        <v>0</v>
      </c>
      <c r="M3302" s="41" t="n">
        <f aca="false">Sens!$M$3289+Sens!$M$3290+Sens!$M$3291+Sens!$M$3292+Sens!$M$3293+Sens!$M$3294-(Sens!$M$3296+Sens!$M$3297)</f>
        <v>0</v>
      </c>
      <c r="N3302" s="41" t="n">
        <f aca="false">Sens!$N$3289+Sens!$N$3290+Sens!$N$3291+Sens!$N$3292+Sens!$N$3293+Sens!$N$3294-(Sens!$N$3296+Sens!$N$3297)</f>
        <v>0</v>
      </c>
      <c r="O3302" s="41" t="n">
        <f aca="false">Sens!$O$3289+Sens!$O$3290+Sens!$O$3291+Sens!$O$3292+Sens!$O$3293+Sens!$O$3294-(Sens!$O$3296+Sens!$O$3297)</f>
        <v>0</v>
      </c>
    </row>
    <row r="3303" customFormat="false" ht="17.15" hidden="false" customHeight="false" outlineLevel="0" collapsed="false">
      <c r="A3303" s="24" t="s">
        <v>698</v>
      </c>
      <c r="B3303" s="25" t="s">
        <v>86</v>
      </c>
      <c r="C3303" s="41" t="n">
        <f aca="false">Sens!$C$3299+Sens!$C$3300-Sens!$C$3298</f>
        <v>0</v>
      </c>
      <c r="D3303" s="41" t="n">
        <f aca="false">Sens!$D$3299+Sens!$D$3300-Sens!$D$3298</f>
        <v>0</v>
      </c>
      <c r="E3303" s="41" t="n">
        <f aca="false">Sens!$E$3299+Sens!$E$3300-Sens!$E$3298</f>
        <v>0</v>
      </c>
      <c r="F3303" s="41" t="n">
        <f aca="false">Sens!$F$3299+Sens!$F$3300-Sens!$F$3298</f>
        <v>0</v>
      </c>
      <c r="G3303" s="41" t="n">
        <f aca="false">Sens!$G$3299+Sens!$G$3300-Sens!$G$3298</f>
        <v>0</v>
      </c>
      <c r="H3303" s="41" t="n">
        <f aca="false">Sens!$H$3299+Sens!$H$3300-Sens!$H$3298</f>
        <v>0</v>
      </c>
      <c r="I3303" s="41" t="n">
        <f aca="false">Sens!$I$3299+Sens!$I$3300-Sens!$I$3298</f>
        <v>0</v>
      </c>
      <c r="J3303" s="41" t="n">
        <f aca="false">Sens!$J$3299+Sens!$J$3300-Sens!$J$3298</f>
        <v>0</v>
      </c>
      <c r="K3303" s="41" t="n">
        <f aca="false">Sens!$K$3299+Sens!$K$3300-Sens!$K$3298</f>
        <v>0</v>
      </c>
      <c r="L3303" s="41" t="n">
        <f aca="false">Sens!$L$3299+Sens!$L$3300-Sens!$L$3298</f>
        <v>0</v>
      </c>
      <c r="M3303" s="41" t="n">
        <f aca="false">Sens!$M$3299+Sens!$M$3300-Sens!$M$3298</f>
        <v>0</v>
      </c>
      <c r="N3303" s="41" t="n">
        <f aca="false">Sens!$N$3299+Sens!$N$3300-Sens!$N$3298</f>
        <v>0</v>
      </c>
      <c r="O3303" s="41" t="n">
        <f aca="false">Sens!$O$3299+Sens!$O$3300-Sens!$O$3298</f>
        <v>0</v>
      </c>
    </row>
    <row r="3304" customFormat="false" ht="17.15" hidden="false" customHeight="false" outlineLevel="0" collapsed="false">
      <c r="A3304" s="24" t="s">
        <v>757</v>
      </c>
      <c r="B3304" s="25" t="s">
        <v>86</v>
      </c>
      <c r="C3304" s="41" t="n">
        <f aca="false">Sens!$C$3289+Sens!$C$3290+Sens!$C$3291+Sens!$C$3292+Sens!$C$3293+Sens!$C$3294+Sens!$C$3295-Sens!$C$3301</f>
        <v>0</v>
      </c>
      <c r="D3304" s="41" t="n">
        <f aca="false">Sens!$D$3289+Sens!$D$3290+Sens!$D$3291+Sens!$D$3292+Sens!$D$3293+Sens!$D$3294+Sens!$D$3295-Sens!$D$3301</f>
        <v>0</v>
      </c>
      <c r="E3304" s="41" t="n">
        <f aca="false">Sens!$E$3289+Sens!$E$3290+Sens!$E$3291+Sens!$E$3292+Sens!$E$3293+Sens!$E$3294+Sens!$E$3295-Sens!$E$3301</f>
        <v>0</v>
      </c>
      <c r="F3304" s="41" t="n">
        <f aca="false">Sens!$F$3289+Sens!$F$3290+Sens!$F$3291+Sens!$F$3292+Sens!$F$3293+Sens!$F$3294+Sens!$F$3295-Sens!$F$3301</f>
        <v>0</v>
      </c>
      <c r="G3304" s="41" t="n">
        <f aca="false">Sens!$G$3289+Sens!$G$3290+Sens!$G$3291+Sens!$G$3292+Sens!$G$3293+Sens!$G$3294+Sens!$G$3295-Sens!$G$3301</f>
        <v>0</v>
      </c>
      <c r="H3304" s="41" t="n">
        <f aca="false">Sens!$H$3289+Sens!$H$3290+Sens!$H$3291+Sens!$H$3292+Sens!$H$3293+Sens!$H$3294+Sens!$H$3295-Sens!$H$3301</f>
        <v>0</v>
      </c>
      <c r="I3304" s="41" t="n">
        <f aca="false">Sens!$I$3289+Sens!$I$3290+Sens!$I$3291+Sens!$I$3292+Sens!$I$3293+Sens!$I$3294+Sens!$I$3295-Sens!$I$3301</f>
        <v>0</v>
      </c>
      <c r="J3304" s="41" t="n">
        <f aca="false">Sens!$J$3289+Sens!$J$3290+Sens!$J$3291+Sens!$J$3292+Sens!$J$3293+Sens!$J$3294+Sens!$J$3295-Sens!$J$3301</f>
        <v>0</v>
      </c>
      <c r="K3304" s="41" t="n">
        <f aca="false">Sens!$K$3289+Sens!$K$3290+Sens!$K$3291+Sens!$K$3292+Sens!$K$3293+Sens!$K$3294+Sens!$K$3295-Sens!$K$3301</f>
        <v>0</v>
      </c>
      <c r="L3304" s="41" t="n">
        <f aca="false">Sens!$L$3289+Sens!$L$3290+Sens!$L$3291+Sens!$L$3292+Sens!$L$3293+Sens!$L$3294+Sens!$L$3295-Sens!$L$3301</f>
        <v>0</v>
      </c>
      <c r="M3304" s="41" t="n">
        <f aca="false">Sens!$M$3289+Sens!$M$3290+Sens!$M$3291+Sens!$M$3292+Sens!$M$3293+Sens!$M$3294+Sens!$M$3295-Sens!$M$3301</f>
        <v>0</v>
      </c>
      <c r="N3304" s="41" t="n">
        <f aca="false">Sens!$N$3289+Sens!$N$3290+Sens!$N$3291+Sens!$N$3292+Sens!$N$3293+Sens!$N$3294+Sens!$N$3295-Sens!$N$3301</f>
        <v>0</v>
      </c>
      <c r="O3304" s="41" t="n">
        <f aca="false">Sens!$O$3289+Sens!$O$3290+Sens!$O$3291+Sens!$O$3292+Sens!$O$3293+Sens!$O$3294+Sens!$O$3295-Sens!$O$3301</f>
        <v>0</v>
      </c>
    </row>
    <row r="3305" customFormat="false" ht="17.15" hidden="false" customHeight="false" outlineLevel="0" collapsed="false">
      <c r="A3305" s="24" t="s">
        <v>699</v>
      </c>
      <c r="B3305" s="25" t="s">
        <v>86</v>
      </c>
      <c r="C3305" s="41" t="n">
        <f aca="false">Sens!$C$3296+Sens!$C$3297+Sens!$C$3298-Sens!$C$3301</f>
        <v>0</v>
      </c>
      <c r="D3305" s="41" t="n">
        <f aca="false">Sens!$D$3296+Sens!$D$3297+Sens!$D$3298-Sens!$D$3301</f>
        <v>0</v>
      </c>
      <c r="E3305" s="41" t="n">
        <f aca="false">Sens!$E$3296+Sens!$E$3297+Sens!$E$3298-Sens!$E$3301</f>
        <v>0</v>
      </c>
      <c r="F3305" s="41" t="n">
        <f aca="false">Sens!$F$3296+Sens!$F$3297+Sens!$F$3298-Sens!$F$3301</f>
        <v>0</v>
      </c>
      <c r="G3305" s="41" t="n">
        <f aca="false">Sens!$G$3296+Sens!$G$3297+Sens!$G$3298-Sens!$G$3301</f>
        <v>0</v>
      </c>
      <c r="H3305" s="41" t="n">
        <f aca="false">Sens!$H$3296+Sens!$H$3297+Sens!$H$3298-Sens!$H$3301</f>
        <v>0</v>
      </c>
      <c r="I3305" s="41" t="n">
        <f aca="false">Sens!$I$3296+Sens!$I$3297+Sens!$I$3298-Sens!$I$3301</f>
        <v>0</v>
      </c>
      <c r="J3305" s="41" t="n">
        <f aca="false">Sens!$J$3296+Sens!$J$3297+Sens!$J$3298-Sens!$J$3301</f>
        <v>0</v>
      </c>
      <c r="K3305" s="41" t="n">
        <f aca="false">Sens!$K$3296+Sens!$K$3297+Sens!$K$3298-Sens!$K$3301</f>
        <v>0</v>
      </c>
      <c r="L3305" s="41" t="n">
        <f aca="false">Sens!$L$3296+Sens!$L$3297+Sens!$L$3298-Sens!$L$3301</f>
        <v>0</v>
      </c>
      <c r="M3305" s="41" t="n">
        <f aca="false">Sens!$M$3296+Sens!$M$3297+Sens!$M$3298-Sens!$M$3301</f>
        <v>0</v>
      </c>
      <c r="N3305" s="41" t="n">
        <f aca="false">Sens!$N$3296+Sens!$N$3297+Sens!$N$3298-Sens!$N$3301</f>
        <v>0</v>
      </c>
      <c r="O3305" s="41" t="n">
        <f aca="false">Sens!$O$3296+Sens!$O$3297+Sens!$O$3298-Sens!$O$3301</f>
        <v>0</v>
      </c>
    </row>
    <row r="3306" customFormat="false" ht="17.15" hidden="false" customHeight="false" outlineLevel="0" collapsed="false">
      <c r="A3306" s="1" t="s">
        <v>713</v>
      </c>
    </row>
    <row r="3307" customFormat="false" ht="17.15" hidden="false" customHeight="false" outlineLevel="0" collapsed="false">
      <c r="A3307" s="0" t="s">
        <v>714</v>
      </c>
      <c r="B3307" s="0" t="s">
        <v>86</v>
      </c>
      <c r="C3307" s="38" t="n">
        <f aca="false">Sens!$C$3213*m_ad</f>
        <v>20.5341564414228</v>
      </c>
      <c r="D3307" s="38" t="n">
        <f aca="false">Sens!$D$3213*m_ad</f>
        <v>24.8720617299587</v>
      </c>
      <c r="E3307" s="38" t="n">
        <f aca="false">Sens!$E$3213*m_ad</f>
        <v>13.5017112462207</v>
      </c>
      <c r="F3307" s="38" t="n">
        <f aca="false">Sens!$F$3213*m_ad</f>
        <v>16.5719724165257</v>
      </c>
      <c r="G3307" s="38" t="n">
        <f aca="false">Sens!$G$3213*m_ad</f>
        <v>30.0820919220415</v>
      </c>
      <c r="H3307" s="38" t="n">
        <f aca="false">Sens!$H$3213*m_ad</f>
        <v>36.1150883276314</v>
      </c>
      <c r="I3307" s="38" t="n">
        <f aca="false">Sens!$I$3213*m_ad</f>
        <v>42.1475382231996</v>
      </c>
      <c r="J3307" s="38" t="n">
        <f aca="false">Sens!$J$3213*m_ad</f>
        <v>47.7749523864693</v>
      </c>
      <c r="K3307" s="38" t="n">
        <f aca="false">Sens!$K$3213*m_ad</f>
        <v>52.5524476251162</v>
      </c>
      <c r="L3307" s="38" t="n">
        <f aca="false">Sens!$L$3213*m_ad</f>
        <v>57.8076923876279</v>
      </c>
      <c r="M3307" s="38" t="n">
        <f aca="false">Sens!$M$3213*m_ad</f>
        <v>63.5884616263907</v>
      </c>
      <c r="N3307" s="38" t="n">
        <f aca="false">Sens!$N$3213*m_ad</f>
        <v>10.8543555706248</v>
      </c>
      <c r="O3307" s="38" t="n">
        <f aca="false">Sens!$O$3213*m_ad</f>
        <v>14.0094731821399</v>
      </c>
    </row>
    <row r="3308" customFormat="false" ht="17.15" hidden="false" customHeight="false" outlineLevel="0" collapsed="false">
      <c r="A3308" s="0" t="s">
        <v>715</v>
      </c>
      <c r="B3308" s="0" t="s">
        <v>86</v>
      </c>
      <c r="C3308" s="38" t="n">
        <f aca="false">Sens!$C$3211-Sens!$C$3213</f>
        <v>346.428687117154</v>
      </c>
      <c r="D3308" s="38" t="n">
        <f aca="false">Sens!$D$3211-Sens!$D$3213</f>
        <v>376.560876540083</v>
      </c>
      <c r="E3308" s="38" t="n">
        <f aca="false">Sens!$E$3211-Sens!$E$3213</f>
        <v>193.316577507559</v>
      </c>
      <c r="F3308" s="38" t="n">
        <f aca="false">Sens!$F$3211-Sens!$F$3213</f>
        <v>217.495828647535</v>
      </c>
      <c r="G3308" s="38" t="n">
        <f aca="false">Sens!$G$3211-Sens!$G$3213</f>
        <v>410.795589636503</v>
      </c>
      <c r="H3308" s="38" t="n">
        <f aca="false">Sens!$H$3211-Sens!$H$3213</f>
        <v>449.156813761174</v>
      </c>
      <c r="I3308" s="38" t="n">
        <f aca="false">Sens!$I$3211-Sens!$I$3213</f>
        <v>485.848786441156</v>
      </c>
      <c r="J3308" s="38" t="n">
        <f aca="false">Sens!$J$3211-Sens!$J$3213</f>
        <v>519.841531018994</v>
      </c>
      <c r="K3308" s="38" t="n">
        <f aca="false">Sens!$K$3211-Sens!$K$3213</f>
        <v>550.103332311311</v>
      </c>
      <c r="L3308" s="38" t="n">
        <f aca="false">Sens!$L$3211-Sens!$L$3213</f>
        <v>582.192354474511</v>
      </c>
      <c r="M3308" s="38" t="n">
        <f aca="false">Sens!$M$3211-Sens!$M$3213</f>
        <v>616.22240521081</v>
      </c>
      <c r="N3308" s="38" t="n">
        <f aca="false">Sens!$N$3211-Sens!$N$3213</f>
        <v>171.24628885875</v>
      </c>
      <c r="O3308" s="38" t="n">
        <f aca="false">Sens!$O$3211-Sens!$O$3213</f>
        <v>205.33105363572</v>
      </c>
    </row>
    <row r="3309" customFormat="false" ht="17.15" hidden="false" customHeight="false" outlineLevel="0" collapsed="false">
      <c r="A3309" s="0" t="s">
        <v>716</v>
      </c>
      <c r="B3309" s="0" t="s">
        <v>86</v>
      </c>
      <c r="C3309" s="38" t="n">
        <f aca="false">Sens!$C$3260*Sens!$C$3210</f>
        <v>0.123617442257179</v>
      </c>
      <c r="D3309" s="38" t="n">
        <f aca="false">Sens!$D$3260*Sens!$D$3210</f>
        <v>0.874366899302609</v>
      </c>
      <c r="E3309" s="38" t="n">
        <f aca="false">Sens!$E$3260*Sens!$E$3210</f>
        <v>1.29318830502574</v>
      </c>
      <c r="F3309" s="38" t="n">
        <f aca="false">Sens!$F$3260*Sens!$F$3210</f>
        <v>1.51802024162534</v>
      </c>
      <c r="G3309" s="38" t="n">
        <f aca="false">Sens!$G$3260*Sens!$G$3210</f>
        <v>2.81153363597665</v>
      </c>
      <c r="H3309" s="38" t="n">
        <f aca="false">Sens!$H$3260*Sens!$H$3210</f>
        <v>7.39027704264226</v>
      </c>
      <c r="I3309" s="38" t="n">
        <f aca="false">Sens!$I$3260*Sens!$I$3210</f>
        <v>12.899807643047</v>
      </c>
      <c r="J3309" s="38" t="n">
        <f aca="false">Sens!$J$3260*Sens!$J$3210</f>
        <v>18.5585322471382</v>
      </c>
      <c r="K3309" s="38" t="n">
        <f aca="false">Sens!$K$3260*Sens!$K$3210</f>
        <v>24.0966749520672</v>
      </c>
      <c r="L3309" s="38" t="n">
        <f aca="false">Sens!$L$3260*Sens!$L$3210</f>
        <v>27.686623551477</v>
      </c>
      <c r="M3309" s="38" t="n">
        <f aca="false">Sens!$M$3260*Sens!$M$3210</f>
        <v>29.7238645537022</v>
      </c>
      <c r="N3309" s="38" t="n">
        <f aca="false">Sens!$N$3260*Sens!$N$3210</f>
        <v>0.389180508437431</v>
      </c>
      <c r="O3309" s="38" t="n">
        <f aca="false">Sens!$O$3260*Sens!$O$3210</f>
        <v>0.485052120082802</v>
      </c>
    </row>
    <row r="3310" customFormat="false" ht="17.15" hidden="false" customHeight="false" outlineLevel="0" collapsed="false">
      <c r="A3310" s="0" t="s">
        <v>717</v>
      </c>
      <c r="B3310" s="0" t="s">
        <v>52</v>
      </c>
      <c r="C3310" s="28" t="n">
        <f aca="false">(Sens!$C$3311-Sens!$C$3307+Sens!$C$3309)/Sens!$C$3308</f>
        <v>0.0131526665379575</v>
      </c>
      <c r="D3310" s="28" t="n">
        <f aca="false">(Sens!$D$3311-Sens!$D$3307+Sens!$D$3309)/Sens!$D$3308</f>
        <v>0.0149280116962589</v>
      </c>
      <c r="E3310" s="28" t="n">
        <f aca="false">(Sens!$E$3311-Sens!$E$3307+Sens!$E$3309)/Sens!$E$3308</f>
        <v>0.0268030663774938</v>
      </c>
      <c r="F3310" s="28" t="n">
        <f aca="false">Sens!$O$3310+(Sens!$E$3310-Sens!$N$3310)</f>
        <v>0.0232379346966962</v>
      </c>
      <c r="G3310" s="28" t="n">
        <f aca="false">(Sens!$G$3311-Sens!$G$3307+Sens!$G$3309)/Sens!$G$3308</f>
        <v>0.0248969268652583</v>
      </c>
      <c r="H3310" s="28" t="n">
        <f aca="false">Sens!$G$3310+step_na</f>
        <v>0.0278969268652583</v>
      </c>
      <c r="I3310" s="28" t="n">
        <f aca="false">Sens!$H$3310+step_na</f>
        <v>0.0308969268652583</v>
      </c>
      <c r="J3310" s="28" t="n">
        <f aca="false">Sens!$I$3310+step_na</f>
        <v>0.0338969268652583</v>
      </c>
      <c r="K3310" s="28" t="n">
        <f aca="false">Sens!$J$3310+step_na</f>
        <v>0.0368969268652584</v>
      </c>
      <c r="L3310" s="28" t="n">
        <f aca="false">Sens!$K$3310</f>
        <v>0.0368969268652584</v>
      </c>
      <c r="M3310" s="28" t="n">
        <f aca="false">Sens!$L$3310</f>
        <v>0.0368969268652584</v>
      </c>
      <c r="N3310" s="28" t="n">
        <f aca="false">(Sens!$N$3311-Sens!$N$3307+Sens!$N$3309)/Sens!$N$3308</f>
        <v>0.0168927744775755</v>
      </c>
      <c r="O3310" s="28" t="n">
        <f aca="false">(Sens!$O$3311-Sens!$O$3307+Sens!$O$3309)/Sens!$O$3308</f>
        <v>0.0133276427967779</v>
      </c>
      <c r="P3310" s="8" t="s">
        <v>718</v>
      </c>
    </row>
    <row r="3311" customFormat="false" ht="17.15" hidden="false" customHeight="false" outlineLevel="0" collapsed="false">
      <c r="A3311" s="1" t="s">
        <v>719</v>
      </c>
      <c r="B3311" s="8" t="s">
        <v>86</v>
      </c>
      <c r="C3311" s="38" t="n">
        <f aca="false">Q!$D$22</f>
        <v>24.967</v>
      </c>
      <c r="D3311" s="38" t="n">
        <f aca="false">Q!$E$22</f>
        <v>29.619</v>
      </c>
      <c r="E3311" s="38" t="n">
        <f aca="false">Q!$P$22</f>
        <v>17.39</v>
      </c>
      <c r="F3311" s="38" t="n">
        <f aca="false">Sens!$F$3307+Sens!$F$3308*Sens!$F$3310-Sens!$F$3309</f>
        <v>20.1081060378156</v>
      </c>
      <c r="G3311" s="38" t="n">
        <f aca="false">Sens!$E$3311+Sens!$F$3311</f>
        <v>37.4981060378156</v>
      </c>
      <c r="H3311" s="38" t="n">
        <f aca="false">Sens!$H$3307+Sens!$H$3308*Sens!$H$3310-Sens!$H$3309</f>
        <v>41.2549060695171</v>
      </c>
      <c r="I3311" s="38" t="n">
        <f aca="false">Sens!$I$3307+Sens!$I$3308*Sens!$I$3310-Sens!$I$3309</f>
        <v>44.2589650023995</v>
      </c>
      <c r="J3311" s="38" t="n">
        <f aca="false">Sens!$J$3307+Sens!$J$3308*Sens!$J$3310-Sens!$J$3309</f>
        <v>46.8374504978059</v>
      </c>
      <c r="K3311" s="38" t="n">
        <f aca="false">Sens!$K$3307+Sens!$K$3308*Sens!$K$3310-Sens!$K$3309</f>
        <v>48.7528950936744</v>
      </c>
      <c r="L3311" s="38" t="n">
        <f aca="false">Sens!$L$3307+Sens!$L$3308*Sens!$L$3310-Sens!$L$3309</f>
        <v>51.6021775607095</v>
      </c>
      <c r="M3311" s="38" t="n">
        <f aca="false">Sens!$M$3307+Sens!$M$3308*Sens!$M$3310-Sens!$M$3309</f>
        <v>56.6013100904853</v>
      </c>
      <c r="N3311" s="38" t="n">
        <f aca="false">Q!$N$22</f>
        <v>13.358</v>
      </c>
      <c r="O3311" s="38" t="n">
        <f aca="false">Q!$O$22</f>
        <v>16.261</v>
      </c>
    </row>
    <row r="3312" customFormat="false" ht="17.15" hidden="false" customHeight="false" outlineLevel="0" collapsed="false">
      <c r="A3312" s="0" t="s">
        <v>720</v>
      </c>
      <c r="B3312" s="0" t="s">
        <v>86</v>
      </c>
      <c r="C3312" s="38" t="n">
        <f aca="false">Sens!$C$3214*m_ad</f>
        <v>7.57284355857716</v>
      </c>
      <c r="D3312" s="38" t="n">
        <f aca="false">Sens!$D$3214*m_ad</f>
        <v>9.44543827004127</v>
      </c>
      <c r="E3312" s="38" t="n">
        <f aca="false">Sens!$E$3214*m_ad</f>
        <v>5.02428875377928</v>
      </c>
      <c r="F3312" s="38" t="n">
        <f aca="false">Sens!$F$3214*m_ad</f>
        <v>6.50663858068173</v>
      </c>
      <c r="G3312" s="38" t="n">
        <f aca="false">Sens!$G$3214*m_ad</f>
        <v>11.5225190751659</v>
      </c>
      <c r="H3312" s="38" t="n">
        <f aca="false">Sens!$H$3214*m_ad</f>
        <v>13.8333728663174</v>
      </c>
      <c r="I3312" s="38" t="n">
        <f aca="false">Sens!$I$3214*m_ad</f>
        <v>16.1440173245485</v>
      </c>
      <c r="J3312" s="38" t="n">
        <f aca="false">Sens!$J$3214*m_ad</f>
        <v>18.2995185845066</v>
      </c>
      <c r="K3312" s="38" t="n">
        <f aca="false">Sens!$K$3214*m_ad</f>
        <v>20.1294704429572</v>
      </c>
      <c r="L3312" s="38" t="n">
        <f aca="false">Sens!$L$3214*m_ad</f>
        <v>22.142417487253</v>
      </c>
      <c r="M3312" s="38" t="n">
        <f aca="false">Sens!$M$3214*m_ad</f>
        <v>24.3566592359783</v>
      </c>
      <c r="N3312" s="38" t="n">
        <f aca="false">Sens!$N$3214*m_ad</f>
        <v>3.95314442937518</v>
      </c>
      <c r="O3312" s="38" t="n">
        <f aca="false">Sens!$O$3214*m_ad</f>
        <v>5.50052681786011</v>
      </c>
    </row>
    <row r="3313" customFormat="false" ht="17.15" hidden="false" customHeight="false" outlineLevel="0" collapsed="false">
      <c r="A3313" s="0" t="s">
        <v>721</v>
      </c>
      <c r="B3313" s="0" t="s">
        <v>86</v>
      </c>
      <c r="C3313" s="38" t="n">
        <f aca="false">Sens!$C$3212-Sens!$C$3214</f>
        <v>127.760312882846</v>
      </c>
      <c r="D3313" s="38" t="n">
        <f aca="false">Sens!$D$3212-Sens!$D$3214</f>
        <v>143.003123459917</v>
      </c>
      <c r="E3313" s="38" t="n">
        <f aca="false">Sens!$E$3212-Sens!$E$3214</f>
        <v>71.9374224924414</v>
      </c>
      <c r="F3313" s="38" t="n">
        <f aca="false">Sens!$F$3212-Sens!$F$3214</f>
        <v>85.3951910035875</v>
      </c>
      <c r="G3313" s="38" t="n">
        <f aca="false">Sens!$G$3212-Sens!$G$3214</f>
        <v>157.349430014619</v>
      </c>
      <c r="H3313" s="38" t="n">
        <f aca="false">Sens!$H$3212-Sens!$H$3214</f>
        <v>172.043153372315</v>
      </c>
      <c r="I3313" s="38" t="n">
        <f aca="false">Sens!$I$3212-Sens!$I$3214</f>
        <v>186.097493615879</v>
      </c>
      <c r="J3313" s="38" t="n">
        <f aca="false">Sens!$J$3212-Sens!$J$3214</f>
        <v>199.117932780497</v>
      </c>
      <c r="K3313" s="38" t="n">
        <f aca="false">Sens!$K$3212-Sens!$K$3214</f>
        <v>210.70928698363</v>
      </c>
      <c r="L3313" s="38" t="n">
        <f aca="false">Sens!$L$3212-Sens!$L$3214</f>
        <v>223.000532251316</v>
      </c>
      <c r="M3313" s="38" t="n">
        <f aca="false">Sens!$M$3212-Sens!$M$3214</f>
        <v>236.035261011339</v>
      </c>
      <c r="N3313" s="38" t="n">
        <f aca="false">Sens!$N$3212-Sens!$N$3214</f>
        <v>62.3677111412496</v>
      </c>
      <c r="O3313" s="38" t="n">
        <f aca="false">Sens!$O$3212-Sens!$O$3214</f>
        <v>80.6189463642798</v>
      </c>
    </row>
    <row r="3314" customFormat="false" ht="17.15" hidden="false" customHeight="false" outlineLevel="0" collapsed="false">
      <c r="A3314" s="0" t="s">
        <v>722</v>
      </c>
      <c r="B3314" s="0" t="s">
        <v>86</v>
      </c>
      <c r="C3314" s="38" t="n">
        <f aca="false">Sens!$C$3260*(1-Sens!$C$3210)</f>
        <v>0.0455891896019953</v>
      </c>
      <c r="D3314" s="38" t="n">
        <f aca="false">Sens!$D$3260*(1-Sens!$D$3210)</f>
        <v>0.332050421167231</v>
      </c>
      <c r="E3314" s="38" t="n">
        <f aca="false">Sens!$E$3260*(1-Sens!$E$3210)</f>
        <v>0.481224293644882</v>
      </c>
      <c r="F3314" s="38" t="n">
        <f aca="false">Sens!$F$3260*(1-Sens!$F$3210)</f>
        <v>0.596018918096053</v>
      </c>
      <c r="G3314" s="38" t="n">
        <f aca="false">Sens!$G$3260*(1-Sens!$G$3210)</f>
        <v>1.07691812241537</v>
      </c>
      <c r="H3314" s="38" t="n">
        <f aca="false">Sens!$H$3260*(1-Sens!$H$3210)</f>
        <v>2.83074090775622</v>
      </c>
      <c r="I3314" s="38" t="n">
        <f aca="false">Sens!$I$3260*(1-Sens!$I$3210)</f>
        <v>4.94108853926048</v>
      </c>
      <c r="J3314" s="38" t="n">
        <f aca="false">Sens!$J$3260*(1-Sens!$J$3210)</f>
        <v>7.10858281993502</v>
      </c>
      <c r="K3314" s="38" t="n">
        <f aca="false">Sens!$K$3260*(1-Sens!$K$3210)</f>
        <v>9.2298899126701</v>
      </c>
      <c r="L3314" s="38" t="n">
        <f aca="false">Sens!$L$3260*(1-Sens!$L$3210)</f>
        <v>10.6049688574045</v>
      </c>
      <c r="M3314" s="38" t="n">
        <f aca="false">Sens!$M$3260*(1-Sens!$M$3210)</f>
        <v>11.3853051574758</v>
      </c>
      <c r="N3314" s="38" t="n">
        <f aca="false">Sens!$N$3260*(1-Sens!$N$3210)</f>
        <v>0.141739115596548</v>
      </c>
      <c r="O3314" s="38" t="n">
        <f aca="false">Sens!$O$3260*(1-Sens!$O$3210)</f>
        <v>0.190445576353059</v>
      </c>
    </row>
    <row r="3315" customFormat="false" ht="17.15" hidden="false" customHeight="false" outlineLevel="0" collapsed="false">
      <c r="A3315" s="0" t="s">
        <v>723</v>
      </c>
      <c r="B3315" s="0" t="s">
        <v>52</v>
      </c>
      <c r="C3315" s="28" t="n">
        <f aca="false">(Sens!$C$3316-Sens!$C$3312+Sens!$C$3314)/Sens!$C$3313</f>
        <v>-0.0292364215826579</v>
      </c>
      <c r="D3315" s="28" t="n">
        <f aca="false">(Sens!$D$3316-Sens!$D$3312+Sens!$D$3314)/Sens!$D$3313</f>
        <v>-0.0305125352740778</v>
      </c>
      <c r="E3315" s="28" t="n">
        <f aca="false">(Sens!$E$3316-Sens!$E$3312+Sens!$E$3314)/Sens!$E$3313</f>
        <v>-0.019490056934994</v>
      </c>
      <c r="F3315" s="28" t="n">
        <f aca="false">Sens!$O$3315+(Sens!$E$3315-Sens!$N$3315)</f>
        <v>-0.0367332293992226</v>
      </c>
      <c r="G3315" s="28" t="n">
        <f aca="false">(Sens!$G$3316-Sens!$G$3312+Sens!$G$3314)/Sens!$G$3313</f>
        <v>-0.0287946542321067</v>
      </c>
      <c r="H3315" s="28" t="n">
        <f aca="false">Sens!$G$3315+step_in</f>
        <v>-0.0287946542321067</v>
      </c>
      <c r="I3315" s="28" t="n">
        <f aca="false">Sens!$H$3315+step_in</f>
        <v>-0.0287946542321067</v>
      </c>
      <c r="J3315" s="28" t="n">
        <f aca="false">Sens!$I$3315+step_in</f>
        <v>-0.0287946542321067</v>
      </c>
      <c r="K3315" s="28" t="n">
        <f aca="false">Sens!$J$3315+step_in</f>
        <v>-0.0287946542321067</v>
      </c>
      <c r="L3315" s="28" t="n">
        <f aca="false">Sens!$K$3315</f>
        <v>-0.0287946542321067</v>
      </c>
      <c r="M3315" s="28" t="n">
        <f aca="false">Sens!$L$3315</f>
        <v>-0.0287946542321067</v>
      </c>
      <c r="N3315" s="28" t="n">
        <f aca="false">(Sens!$N$3316-Sens!$N$3312+Sens!$N$3314)/Sens!$N$3313</f>
        <v>-0.02085061789158</v>
      </c>
      <c r="O3315" s="28" t="n">
        <f aca="false">(Sens!$O$3316-Sens!$O$3312+Sens!$O$3314)/Sens!$O$3313</f>
        <v>-0.0380937903558086</v>
      </c>
      <c r="P3315" s="8" t="s">
        <v>718</v>
      </c>
    </row>
    <row r="3316" customFormat="false" ht="17.15" hidden="false" customHeight="false" outlineLevel="0" collapsed="false">
      <c r="A3316" s="1" t="s">
        <v>724</v>
      </c>
      <c r="B3316" s="8" t="s">
        <v>86</v>
      </c>
      <c r="C3316" s="38" t="n">
        <f aca="false">Q!$D$23</f>
        <v>3.792</v>
      </c>
      <c r="D3316" s="38" t="n">
        <f aca="false">Q!$E$23</f>
        <v>4.75</v>
      </c>
      <c r="E3316" s="38" t="n">
        <f aca="false">Q!$P$23</f>
        <v>3.141</v>
      </c>
      <c r="F3316" s="38" t="n">
        <f aca="false">Sens!$F$3312+Sens!$F$3313*Sens!$F$3315-Sens!$F$3314</f>
        <v>2.77377852186047</v>
      </c>
      <c r="G3316" s="38" t="n">
        <f aca="false">Sens!$E$3316+Sens!$F$3316</f>
        <v>5.91477852186047</v>
      </c>
      <c r="H3316" s="38" t="n">
        <f aca="false">Sens!$H$3312+Sens!$H$3313*Sens!$H$3315-Sens!$H$3314</f>
        <v>6.04870884420403</v>
      </c>
      <c r="I3316" s="38" t="n">
        <f aca="false">Sens!$I$3312+Sens!$I$3313*Sens!$I$3315-Sens!$I$3314</f>
        <v>5.84431580315713</v>
      </c>
      <c r="J3316" s="38" t="n">
        <f aca="false">Sens!$J$3312+Sens!$J$3313*Sens!$J$3315-Sens!$J$3314</f>
        <v>5.45740373874528</v>
      </c>
      <c r="K3316" s="38" t="n">
        <f aca="false">Sens!$K$3312+Sens!$K$3313*Sens!$K$3315-Sens!$K$3314</f>
        <v>4.83227946809976</v>
      </c>
      <c r="L3316" s="38" t="n">
        <f aca="false">Sens!$L$3312+Sens!$L$3313*Sens!$L$3315-Sens!$L$3314</f>
        <v>5.11622541009601</v>
      </c>
      <c r="M3316" s="38" t="n">
        <f aca="false">Sens!$M$3312+Sens!$M$3313*Sens!$M$3315-Sens!$M$3314</f>
        <v>6.17480035109588</v>
      </c>
      <c r="N3316" s="38" t="n">
        <f aca="false">Q!$N$23</f>
        <v>2.511</v>
      </c>
      <c r="O3316" s="38" t="n">
        <f aca="false">Q!$O$23</f>
        <v>2.239</v>
      </c>
    </row>
    <row r="3317" customFormat="false" ht="17.15" hidden="false" customHeight="false" outlineLevel="0" collapsed="false">
      <c r="A3317" s="0" t="s">
        <v>725</v>
      </c>
      <c r="B3317" s="0" t="s">
        <v>86</v>
      </c>
      <c r="C3317" s="38" t="n">
        <f aca="false">Sens!$C$3257</f>
        <v>1.64417882953695</v>
      </c>
      <c r="D3317" s="38" t="n">
        <f aca="false">Sens!$D$3257</f>
        <v>3.8781008067718</v>
      </c>
      <c r="E3317" s="38" t="n">
        <f aca="false">Sens!$E$3257</f>
        <v>1.41270258088753</v>
      </c>
      <c r="F3317" s="38" t="n">
        <f aca="false">Sens!$F$3257</f>
        <v>6.50727700583486</v>
      </c>
      <c r="G3317" s="38" t="n">
        <f aca="false">Sens!$G$3257</f>
        <v>7.9199795867224</v>
      </c>
      <c r="H3317" s="38" t="n">
        <f aca="false">Sens!$H$3257</f>
        <v>19.2818189481807</v>
      </c>
      <c r="I3317" s="38" t="n">
        <f aca="false">Sens!$I$3257</f>
        <v>30.140114407202</v>
      </c>
      <c r="J3317" s="38" t="n">
        <f aca="false">Sens!$J$3257</f>
        <v>40.3569468829854</v>
      </c>
      <c r="K3317" s="38" t="n">
        <f aca="false">Sens!$K$3257</f>
        <v>45.1418609242305</v>
      </c>
      <c r="L3317" s="38" t="n">
        <f aca="false">Sens!$L$3257</f>
        <v>48.5617321668703</v>
      </c>
      <c r="M3317" s="38" t="n">
        <f aca="false">Sens!$M$3257</f>
        <v>48.3987625241529</v>
      </c>
      <c r="N3317" s="38" t="n">
        <f aca="false">Sens!$N$3257</f>
        <v>0.92264103489199</v>
      </c>
      <c r="O3317" s="38" t="n">
        <f aca="false">Sens!$O$3257</f>
        <v>2.95545977187981</v>
      </c>
    </row>
    <row r="3318" customFormat="false" ht="17.15" hidden="false" customHeight="false" outlineLevel="0" collapsed="false">
      <c r="A3318" s="0" t="s">
        <v>643</v>
      </c>
      <c r="B3318" s="0" t="s">
        <v>86</v>
      </c>
      <c r="C3318" s="38" t="n">
        <f aca="false">Sens!$C$3262</f>
        <v>38.1898211704631</v>
      </c>
      <c r="D3318" s="38" t="n">
        <f aca="false">Sens!$D$3262</f>
        <v>41.7278991932282</v>
      </c>
      <c r="E3318" s="38" t="n">
        <f aca="false">Sens!$E$3262</f>
        <v>29.3692974191125</v>
      </c>
      <c r="F3318" s="38" t="n">
        <f aca="false">Sens!$F$3262</f>
        <v>26.8997276714137</v>
      </c>
      <c r="G3318" s="38" t="n">
        <f aca="false">Sens!$G$3262</f>
        <v>56.2690250905262</v>
      </c>
      <c r="H3318" s="38" t="n">
        <f aca="false">Sens!$H$3262</f>
        <v>60.7527343852698</v>
      </c>
      <c r="I3318" s="38" t="n">
        <f aca="false">Sens!$I$3262</f>
        <v>68.3622217700576</v>
      </c>
      <c r="J3318" s="38" t="n">
        <f aca="false">Sens!$J$3262</f>
        <v>76.4034447962459</v>
      </c>
      <c r="K3318" s="38" t="n">
        <f aca="false">Sens!$K$3262</f>
        <v>84.807823723833</v>
      </c>
      <c r="L3318" s="38" t="n">
        <f aca="false">Sens!$L$3262</f>
        <v>94.1366843334546</v>
      </c>
      <c r="M3318" s="38" t="n">
        <f aca="false">Sens!$M$3262</f>
        <v>104.491719610135</v>
      </c>
      <c r="N3318" s="38" t="n">
        <f aca="false">Sens!$N$3262</f>
        <v>20.784358965108</v>
      </c>
      <c r="O3318" s="38" t="n">
        <f aca="false">Sens!$O$3262</f>
        <v>20.9435402281202</v>
      </c>
    </row>
    <row r="3319" customFormat="false" ht="17.15" hidden="false" customHeight="false" outlineLevel="0" collapsed="false">
      <c r="A3319" s="1" t="s">
        <v>726</v>
      </c>
      <c r="B3319" s="8" t="s">
        <v>86</v>
      </c>
      <c r="C3319" s="38" t="n">
        <f aca="false">Q!$D$24</f>
        <v>39.834</v>
      </c>
      <c r="D3319" s="38" t="n">
        <f aca="false">Q!$E$24</f>
        <v>45.606</v>
      </c>
      <c r="E3319" s="38" t="n">
        <f aca="false">Q!$P$24</f>
        <v>30.782</v>
      </c>
      <c r="F3319" s="38" t="n">
        <f aca="false">Sens!$F$3317+Sens!$F$3318</f>
        <v>33.4070046772486</v>
      </c>
      <c r="G3319" s="38" t="n">
        <f aca="false">Sens!$G$3317+Sens!$G$3318</f>
        <v>64.1890046772486</v>
      </c>
      <c r="H3319" s="38" t="n">
        <f aca="false">Sens!$H$3317+Sens!$H$3318</f>
        <v>80.0345533334504</v>
      </c>
      <c r="I3319" s="38" t="n">
        <f aca="false">Sens!$I$3317+Sens!$I$3318</f>
        <v>98.5023361772596</v>
      </c>
      <c r="J3319" s="38" t="n">
        <f aca="false">Sens!$J$3317+Sens!$J$3318</f>
        <v>116.760391679231</v>
      </c>
      <c r="K3319" s="38" t="n">
        <f aca="false">Sens!$K$3317+Sens!$K$3318</f>
        <v>129.949684648063</v>
      </c>
      <c r="L3319" s="38" t="n">
        <f aca="false">Sens!$L$3317+Sens!$L$3318</f>
        <v>142.698416500325</v>
      </c>
      <c r="M3319" s="38" t="n">
        <f aca="false">Sens!$M$3317+Sens!$M$3318</f>
        <v>152.890482134288</v>
      </c>
      <c r="N3319" s="38" t="n">
        <f aca="false">Q!$N$24</f>
        <v>21.707</v>
      </c>
      <c r="O3319" s="38" t="n">
        <f aca="false">Q!$O$24</f>
        <v>23.899</v>
      </c>
    </row>
    <row r="3320" customFormat="false" ht="17.15" hidden="false" customHeight="false" outlineLevel="0" collapsed="false">
      <c r="A3320" s="5" t="s">
        <v>727</v>
      </c>
      <c r="B3320" s="0" t="s">
        <v>86</v>
      </c>
      <c r="C3320" s="38" t="n">
        <f aca="false">Q!$D$26</f>
        <v>0</v>
      </c>
      <c r="D3320" s="38" t="n">
        <f aca="false">Q!$E$26</f>
        <v>0</v>
      </c>
      <c r="E3320" s="38" t="n">
        <f aca="false">Q!$P$26</f>
        <v>0</v>
      </c>
      <c r="F3320" s="39" t="n">
        <v>0</v>
      </c>
      <c r="G3320" s="38" t="n">
        <f aca="false">Sens!$E$3320+Sens!$F$3320</f>
        <v>0</v>
      </c>
      <c r="H3320" s="39" t="n">
        <v>0</v>
      </c>
      <c r="I3320" s="39" t="n">
        <v>0</v>
      </c>
      <c r="J3320" s="39" t="n">
        <v>0</v>
      </c>
      <c r="K3320" s="39" t="n">
        <v>0</v>
      </c>
      <c r="L3320" s="39" t="n">
        <v>0</v>
      </c>
      <c r="M3320" s="39" t="n">
        <v>0</v>
      </c>
      <c r="N3320" s="38" t="n">
        <f aca="false">Q!$N$26</f>
        <v>0</v>
      </c>
      <c r="O3320" s="38" t="n">
        <f aca="false">Q!$O$26</f>
        <v>0</v>
      </c>
    </row>
    <row r="3321" customFormat="false" ht="15" hidden="false" customHeight="false" outlineLevel="0" collapsed="false">
      <c r="A3321" s="3" t="s">
        <v>531</v>
      </c>
      <c r="B3321" s="8" t="s">
        <v>86</v>
      </c>
      <c r="C3321" s="38" t="n">
        <f aca="false">Q!$D$25</f>
        <v>68.593</v>
      </c>
      <c r="D3321" s="38" t="n">
        <f aca="false">Q!$E$25</f>
        <v>79.975</v>
      </c>
      <c r="E3321" s="38" t="n">
        <f aca="false">Q!$P$25</f>
        <v>51.313</v>
      </c>
      <c r="F3321" s="38" t="n">
        <f aca="false">Sens!$F$3311+Sens!$F$3316+Sens!$F$3319+Sens!$F$3320</f>
        <v>56.2888892369246</v>
      </c>
      <c r="G3321" s="38" t="n">
        <f aca="false">Sens!$G$3311+Sens!$G$3316+Sens!$G$3319+Sens!$G$3320</f>
        <v>107.601889236925</v>
      </c>
      <c r="H3321" s="38" t="n">
        <f aca="false">Sens!$H$3311+Sens!$H$3316+Sens!$H$3319+Sens!$H$3320</f>
        <v>127.338168247172</v>
      </c>
      <c r="I3321" s="38" t="n">
        <f aca="false">Sens!$I$3311+Sens!$I$3316+Sens!$I$3319+Sens!$I$3320</f>
        <v>148.605616982816</v>
      </c>
      <c r="J3321" s="38" t="n">
        <f aca="false">Sens!$J$3311+Sens!$J$3316+Sens!$J$3319+Sens!$J$3320</f>
        <v>169.055245915783</v>
      </c>
      <c r="K3321" s="38" t="n">
        <f aca="false">Sens!$K$3311+Sens!$K$3316+Sens!$K$3319+Sens!$K$3320</f>
        <v>183.534859209838</v>
      </c>
      <c r="L3321" s="38" t="n">
        <f aca="false">Sens!$L$3311+Sens!$L$3316+Sens!$L$3319+Sens!$L$3320</f>
        <v>199.41681947113</v>
      </c>
      <c r="M3321" s="38" t="n">
        <f aca="false">Sens!$M$3311+Sens!$M$3316+Sens!$M$3319+Sens!$M$3320</f>
        <v>215.666592575869</v>
      </c>
      <c r="N3321" s="38" t="n">
        <f aca="false">Q!$N$25</f>
        <v>37.576</v>
      </c>
      <c r="O3321" s="38" t="n">
        <f aca="false">Q!$O$25</f>
        <v>42.399</v>
      </c>
    </row>
    <row r="3322" customFormat="false" ht="17.15" hidden="false" customHeight="false" outlineLevel="0" collapsed="false">
      <c r="A3322" s="24" t="s">
        <v>758</v>
      </c>
      <c r="B3322" s="25" t="s">
        <v>86</v>
      </c>
      <c r="C3322" s="41" t="n">
        <f aca="false">Sens!$C$3311+Sens!$C$3316+Sens!$C$3319+Sens!$C$3320-Sens!$C$3321</f>
        <v>0</v>
      </c>
      <c r="D3322" s="41" t="n">
        <f aca="false">Sens!$D$3311+Sens!$D$3316+Sens!$D$3319+Sens!$D$3320-Sens!$D$3321</f>
        <v>0</v>
      </c>
      <c r="E3322" s="41" t="n">
        <f aca="false">Sens!$E$3311+Sens!$E$3316+Sens!$E$3319+Sens!$E$3320-Sens!$E$3321</f>
        <v>0</v>
      </c>
      <c r="F3322" s="41" t="n">
        <f aca="false">Sens!$F$3311+Sens!$F$3316+Sens!$F$3319+Sens!$F$3320-Sens!$F$3321</f>
        <v>0</v>
      </c>
      <c r="G3322" s="41" t="n">
        <f aca="false">Sens!$G$3311+Sens!$G$3316+Sens!$G$3319+Sens!$G$3320-Sens!$G$3321</f>
        <v>0</v>
      </c>
      <c r="H3322" s="41" t="n">
        <f aca="false">Sens!$H$3311+Sens!$H$3316+Sens!$H$3319+Sens!$H$3320-Sens!$H$3321</f>
        <v>0</v>
      </c>
      <c r="I3322" s="41" t="n">
        <f aca="false">Sens!$I$3311+Sens!$I$3316+Sens!$I$3319+Sens!$I$3320-Sens!$I$3321</f>
        <v>0</v>
      </c>
      <c r="J3322" s="41" t="n">
        <f aca="false">Sens!$J$3311+Sens!$J$3316+Sens!$J$3319+Sens!$J$3320-Sens!$J$3321</f>
        <v>0</v>
      </c>
      <c r="K3322" s="41" t="n">
        <f aca="false">Sens!$K$3311+Sens!$K$3316+Sens!$K$3319+Sens!$K$3320-Sens!$K$3321</f>
        <v>0</v>
      </c>
      <c r="L3322" s="41" t="n">
        <f aca="false">Sens!$L$3311+Sens!$L$3316+Sens!$L$3319+Sens!$L$3320-Sens!$L$3321</f>
        <v>0</v>
      </c>
      <c r="M3322" s="41" t="n">
        <f aca="false">Sens!$M$3311+Sens!$M$3316+Sens!$M$3319+Sens!$M$3320-Sens!$M$3321</f>
        <v>0</v>
      </c>
      <c r="N3322" s="41" t="n">
        <f aca="false">Sens!$N$3311+Sens!$N$3316+Sens!$N$3319+Sens!$N$3320-Sens!$N$3321</f>
        <v>0</v>
      </c>
      <c r="O3322" s="41" t="n">
        <f aca="false">Sens!$O$3311+Sens!$O$3316+Sens!$O$3319+Sens!$O$3320-Sens!$O$3321</f>
        <v>0</v>
      </c>
    </row>
    <row r="3323" customFormat="false" ht="17.15" hidden="false" customHeight="false" outlineLevel="0" collapsed="false">
      <c r="A3323" s="5" t="s">
        <v>729</v>
      </c>
      <c r="B3323" s="0" t="s">
        <v>86</v>
      </c>
      <c r="C3323" s="38" t="n">
        <f aca="false">Sens!$C$3259</f>
        <v>0</v>
      </c>
      <c r="D3323" s="38" t="n">
        <f aca="false">Sens!$D$3259</f>
        <v>0</v>
      </c>
      <c r="E3323" s="38" t="n">
        <f aca="false">Sens!$E$3259</f>
        <v>0</v>
      </c>
      <c r="F3323" s="38" t="n">
        <f aca="false">Sens!$F$3259</f>
        <v>3.77122048175818</v>
      </c>
      <c r="G3323" s="38" t="n">
        <f aca="false">Sens!$G$3259</f>
        <v>3.77122048175818</v>
      </c>
      <c r="H3323" s="38" t="n">
        <f aca="false">Sens!$H$3259</f>
        <v>15.1635543609893</v>
      </c>
      <c r="I3323" s="38" t="n">
        <f aca="false">Sens!$I$3259</f>
        <v>25.5818843619889</v>
      </c>
      <c r="J3323" s="38" t="n">
        <f aca="false">Sens!$J$3259</f>
        <v>36.0465624179122</v>
      </c>
      <c r="K3323" s="38" t="n">
        <f aca="false">Sens!$K$3259</f>
        <v>44.9741164026038</v>
      </c>
      <c r="L3323" s="38" t="n">
        <f aca="false">Sens!$L$3259</f>
        <v>50.8413488057813</v>
      </c>
      <c r="M3323" s="38" t="n">
        <f aca="false">Sens!$M$3259</f>
        <v>53.6407214274315</v>
      </c>
      <c r="N3323" s="38" t="n">
        <f aca="false">Sens!$N$3259</f>
        <v>0</v>
      </c>
      <c r="O3323" s="38" t="n">
        <f aca="false">Sens!$O$3259</f>
        <v>0</v>
      </c>
      <c r="P3323" s="5" t="s">
        <v>730</v>
      </c>
    </row>
    <row r="3324" customFormat="false" ht="17.15" hidden="false" customHeight="false" outlineLevel="0" collapsed="false">
      <c r="A3324" s="5" t="s">
        <v>731</v>
      </c>
      <c r="B3324" s="0" t="s">
        <v>86</v>
      </c>
      <c r="C3324" s="38" t="n">
        <f aca="false">Sens!$C$3321+Sens!$C$3323</f>
        <v>68.593</v>
      </c>
      <c r="D3324" s="38" t="n">
        <f aca="false">Sens!$D$3321+Sens!$D$3323</f>
        <v>79.975</v>
      </c>
      <c r="E3324" s="38" t="n">
        <f aca="false">Sens!$E$3321+Sens!$E$3323</f>
        <v>51.313</v>
      </c>
      <c r="F3324" s="38" t="n">
        <f aca="false">Sens!$F$3321+Sens!$F$3323</f>
        <v>60.0601097186828</v>
      </c>
      <c r="G3324" s="38" t="n">
        <f aca="false">Sens!$G$3321+Sens!$G$3323</f>
        <v>111.373109718683</v>
      </c>
      <c r="H3324" s="38" t="n">
        <f aca="false">Sens!$H$3321+Sens!$H$3323</f>
        <v>142.501722608161</v>
      </c>
      <c r="I3324" s="38" t="n">
        <f aca="false">Sens!$I$3321+Sens!$I$3323</f>
        <v>174.187501344805</v>
      </c>
      <c r="J3324" s="38" t="n">
        <f aca="false">Sens!$J$3321+Sens!$J$3323</f>
        <v>205.101808333695</v>
      </c>
      <c r="K3324" s="38" t="n">
        <f aca="false">Sens!$K$3321+Sens!$K$3323</f>
        <v>228.508975612441</v>
      </c>
      <c r="L3324" s="38" t="n">
        <f aca="false">Sens!$L$3321+Sens!$L$3323</f>
        <v>250.258168276912</v>
      </c>
      <c r="M3324" s="38" t="n">
        <f aca="false">Sens!$M$3321+Sens!$M$3323</f>
        <v>269.3073140033</v>
      </c>
      <c r="N3324" s="38" t="n">
        <f aca="false">Sens!$N$3321+Sens!$N$3323</f>
        <v>37.576</v>
      </c>
      <c r="O3324" s="38" t="n">
        <f aca="false">Sens!$O$3321+Sens!$O$3323</f>
        <v>42.399</v>
      </c>
    </row>
    <row r="3325" customFormat="false" ht="17.15" hidden="false" customHeight="false" outlineLevel="0" collapsed="false">
      <c r="A3325" s="0" t="s">
        <v>732</v>
      </c>
      <c r="B3325" s="0" t="s">
        <v>52</v>
      </c>
      <c r="C3325" s="13" t="n">
        <f aca="false">Sens!$C$3311/Sens!$C$3296</f>
        <v>0.0644314665661928</v>
      </c>
      <c r="D3325" s="13" t="n">
        <f aca="false">Sens!$D$3311/Sens!$D$3296</f>
        <v>0.0694784250712518</v>
      </c>
      <c r="E3325" s="13" t="n">
        <f aca="false">Sens!$E$3311/Sens!$E$3296</f>
        <v>0.0789306463326071</v>
      </c>
      <c r="F3325" s="13" t="n">
        <f aca="false">Sens!$F$3311/Sens!$F$3296</f>
        <v>0.0802271154277638</v>
      </c>
      <c r="G3325" s="13" t="n">
        <f aca="false">Sens!$G$3311/Sens!$G$3296</f>
        <v>0.0796206133714758</v>
      </c>
      <c r="H3325" s="13" t="n">
        <f aca="false">Sens!$H$3311/Sens!$H$3296</f>
        <v>0.0791253077422711</v>
      </c>
      <c r="I3325" s="13" t="n">
        <f aca="false">Sens!$I$3311/Sens!$I$3296</f>
        <v>0.0776277144828766</v>
      </c>
      <c r="J3325" s="13" t="n">
        <f aca="false">Sens!$J$3311/Sens!$J$3296</f>
        <v>0.0761100135193333</v>
      </c>
      <c r="K3325" s="13" t="n">
        <f aca="false">Sens!$K$3311/Sens!$K$3296</f>
        <v>0.074408246177121</v>
      </c>
      <c r="L3325" s="13" t="n">
        <f aca="false">Sens!$L$3311/Sens!$L$3296</f>
        <v>0.0739489900415671</v>
      </c>
      <c r="M3325" s="13" t="n">
        <f aca="false">Sens!$M$3311/Sens!$M$3296</f>
        <v>0.076138500430805</v>
      </c>
      <c r="N3325" s="13" t="n">
        <f aca="false">Sens!$N$3311/Sens!$N$3296</f>
        <v>0.069228576611127</v>
      </c>
      <c r="O3325" s="13" t="n">
        <f aca="false">Sens!$O$3311/Sens!$O$3296</f>
        <v>0.069685022498393</v>
      </c>
    </row>
    <row r="3326" customFormat="false" ht="17.15" hidden="false" customHeight="false" outlineLevel="0" collapsed="false">
      <c r="A3326" s="0" t="s">
        <v>733</v>
      </c>
      <c r="B3326" s="0" t="s">
        <v>52</v>
      </c>
      <c r="C3326" s="13" t="n">
        <f aca="false">Sens!$C$3316/Sens!$C$3297</f>
        <v>0.026534925055631</v>
      </c>
      <c r="D3326" s="13" t="n">
        <f aca="false">Sens!$D$3316/Sens!$D$3297</f>
        <v>0.0293401855535103</v>
      </c>
      <c r="E3326" s="13" t="n">
        <f aca="false">Sens!$E$3316/Sens!$E$3297</f>
        <v>0.03831141902276</v>
      </c>
      <c r="F3326" s="13" t="n">
        <f aca="false">Sens!$F$3316/Sens!$F$3297</f>
        <v>0.028186380436398</v>
      </c>
      <c r="G3326" s="13" t="n">
        <f aca="false">Sens!$G$3316/Sens!$G$3297</f>
        <v>0.0327880260521739</v>
      </c>
      <c r="H3326" s="13" t="n">
        <f aca="false">Sens!$H$3316/Sens!$H$3297</f>
        <v>0.0302874763409969</v>
      </c>
      <c r="I3326" s="13" t="n">
        <f aca="false">Sens!$I$3316/Sens!$I$3297</f>
        <v>0.0267614610253202</v>
      </c>
      <c r="J3326" s="13" t="n">
        <f aca="false">Sens!$J$3316/Sens!$J$3297</f>
        <v>0.0231523582706593</v>
      </c>
      <c r="K3326" s="13" t="n">
        <f aca="false">Sens!$K$3316/Sens!$K$3297</f>
        <v>0.0192545467174101</v>
      </c>
      <c r="L3326" s="13" t="n">
        <f aca="false">Sens!$L$3316/Sens!$L$3297</f>
        <v>0.0191414347264789</v>
      </c>
      <c r="M3326" s="13" t="n">
        <f aca="false">Sens!$M$3316/Sens!$M$3297</f>
        <v>0.0216850962428001</v>
      </c>
      <c r="N3326" s="13" t="n">
        <f aca="false">Sens!$N$3316/Sens!$N$3297</f>
        <v>0.0357315650169337</v>
      </c>
      <c r="O3326" s="13" t="n">
        <f aca="false">Sens!$O$3316/Sens!$O$3297</f>
        <v>0.0244378956559703</v>
      </c>
    </row>
    <row r="3327" customFormat="false" ht="17.15" hidden="false" customHeight="false" outlineLevel="0" collapsed="false">
      <c r="A3327" s="14" t="s">
        <v>734</v>
      </c>
      <c r="B3327" s="14" t="s">
        <v>52</v>
      </c>
      <c r="C3327" s="17" t="n">
        <f aca="false">Sens!$C$3319/Sens!$C$3298</f>
        <v>0.370355907620217</v>
      </c>
      <c r="D3327" s="17" t="n">
        <f aca="false">Sens!$D$3319/Sens!$D$3298</f>
        <v>0.35429015342785</v>
      </c>
      <c r="E3327" s="17" t="n">
        <f aca="false">Sens!$E$3319/Sens!$E$3298</f>
        <v>0.385647527531039</v>
      </c>
      <c r="F3327" s="17" t="n">
        <f aca="false">Sens!$F$3319/Sens!$F$3298</f>
        <v>0.385171818673936</v>
      </c>
      <c r="G3327" s="17" t="n">
        <f aca="false">Sens!$G$3319/Sens!$G$3298</f>
        <v>0.385399799520974</v>
      </c>
      <c r="H3327" s="17" t="n">
        <f aca="false">Sens!$H$3319/Sens!$H$3298</f>
        <v>0.360100669738184</v>
      </c>
      <c r="I3327" s="17" t="n">
        <f aca="false">Sens!$I$3319/Sens!$I$3298</f>
        <v>0.346966017067345</v>
      </c>
      <c r="J3327" s="17" t="n">
        <f aca="false">Sens!$J$3319/Sens!$J$3298</f>
        <v>0.336609305075512</v>
      </c>
      <c r="K3327" s="17" t="n">
        <f aca="false">Sens!$K$3319/Sens!$K$3298</f>
        <v>0.321086991044296</v>
      </c>
      <c r="L3327" s="17" t="n">
        <f aca="false">Sens!$L$3319/Sens!$L$3298</f>
        <v>0.31508567518601</v>
      </c>
      <c r="M3327" s="17" t="n">
        <f aca="false">Sens!$M$3319/Sens!$M$3298</f>
        <v>0.310991591498912</v>
      </c>
      <c r="N3327" s="17" t="n">
        <f aca="false">Sens!$N$3319/Sens!$N$3298</f>
        <v>0.360941137346192</v>
      </c>
      <c r="O3327" s="17" t="n">
        <f aca="false">Sens!$O$3319/Sens!$O$3298</f>
        <v>0.348458117664212</v>
      </c>
    </row>
    <row r="3328" customFormat="false" ht="17.15" hidden="false" customHeight="false" outlineLevel="0" collapsed="false">
      <c r="A3328" s="0" t="s">
        <v>735</v>
      </c>
      <c r="B3328" s="0" t="s">
        <v>52</v>
      </c>
      <c r="C3328" s="13" t="n">
        <f aca="false">Sens!$C$3317/Sens!$C$3299</f>
        <v>0.708390794789371</v>
      </c>
      <c r="D3328" s="13" t="n">
        <f aca="false">Sens!$D$3317/Sens!$D$3299</f>
        <v>0.445565630441968</v>
      </c>
      <c r="E3328" s="13" t="n">
        <f aca="false">Sens!$E$3317/Sens!$E$3299</f>
        <v>0.165998118402711</v>
      </c>
      <c r="F3328" s="13" t="n">
        <f aca="false">Sens!$F$3317/Sens!$F$3299</f>
        <v>0.434878595403858</v>
      </c>
      <c r="G3328" s="13" t="n">
        <f aca="false">Sens!$G$3317/Sens!$G$3299</f>
        <v>0.3373967615381</v>
      </c>
      <c r="H3328" s="13" t="n">
        <f aca="false">Sens!$H$3317/Sens!$H$3299</f>
        <v>0.320477578041224</v>
      </c>
      <c r="I3328" s="13" t="n">
        <f aca="false">Sens!$I$3317/Sens!$I$3299</f>
        <v>0.296936118226494</v>
      </c>
      <c r="J3328" s="13" t="n">
        <f aca="false">Sens!$J$3317/Sens!$J$3299</f>
        <v>0.282166278613001</v>
      </c>
      <c r="K3328" s="13" t="n">
        <f aca="false">Sens!$K$3317/Sens!$K$3299</f>
        <v>0.252969102881543</v>
      </c>
      <c r="L3328" s="13" t="n">
        <f aca="false">Sens!$L$3317/Sens!$L$3299</f>
        <v>0.240728642826566</v>
      </c>
      <c r="M3328" s="13" t="n">
        <f aca="false">Sens!$M$3317/Sens!$M$3299</f>
        <v>0.227399920863147</v>
      </c>
      <c r="N3328" s="13" t="n">
        <f aca="false">Sens!$N$3317/Sens!$N$3299</f>
        <v>0.302870734830849</v>
      </c>
      <c r="O3328" s="13" t="n">
        <f aca="false">Sens!$O$3317/Sens!$O$3299</f>
        <v>0.52240134346334</v>
      </c>
    </row>
    <row r="3329" customFormat="false" ht="15" hidden="false" customHeight="false" outlineLevel="0" collapsed="false">
      <c r="A3329" s="5" t="s">
        <v>736</v>
      </c>
      <c r="B3329" s="0" t="s">
        <v>52</v>
      </c>
      <c r="C3329" s="13" t="n">
        <f aca="false">Sens!$C$3321/Sens!$C$3301</f>
        <v>0.107519448742004</v>
      </c>
      <c r="D3329" s="13" t="n">
        <f aca="false">Sens!$D$3321/Sens!$D$3301</f>
        <v>0.111552967957552</v>
      </c>
      <c r="E3329" s="13" t="n">
        <f aca="false">Sens!$E$3321/Sens!$E$3301</f>
        <v>0.13428328426562</v>
      </c>
      <c r="F3329" s="13" t="n">
        <f aca="false">Sens!$F$3321/Sens!$F$3301</f>
        <v>0.129167844525589</v>
      </c>
      <c r="G3329" s="13" t="n">
        <f aca="false">Sens!$G$3321/Sens!$G$3301</f>
        <v>0.131557773771988</v>
      </c>
      <c r="H3329" s="13" t="n">
        <f aca="false">Sens!$H$3321/Sens!$H$3301</f>
        <v>0.134984651644536</v>
      </c>
      <c r="I3329" s="13" t="n">
        <f aca="false">Sens!$I$3321/Sens!$I$3301</f>
        <v>0.138569628745552</v>
      </c>
      <c r="J3329" s="13" t="n">
        <f aca="false">Sens!$J$3321/Sens!$J$3301</f>
        <v>0.14111685353393</v>
      </c>
      <c r="K3329" s="13" t="n">
        <f aca="false">Sens!$K$3321/Sens!$K$3301</f>
        <v>0.140007350350577</v>
      </c>
      <c r="L3329" s="13" t="n">
        <f aca="false">Sens!$L$3321/Sens!$L$3301</f>
        <v>0.140634360585041</v>
      </c>
      <c r="M3329" s="13" t="n">
        <f aca="false">Sens!$M$3321/Sens!$M$3301</f>
        <v>0.141907345367873</v>
      </c>
      <c r="N3329" s="13" t="n">
        <f aca="false">Sens!$N$3321/Sens!$N$3301</f>
        <v>0.116201614873411</v>
      </c>
      <c r="O3329" s="13" t="n">
        <f aca="false">Sens!$O$3321/Sens!$O$3301</f>
        <v>0.107733353660861</v>
      </c>
    </row>
    <row r="3330" customFormat="false" ht="17.15" hidden="false" customHeight="false" outlineLevel="0" collapsed="false">
      <c r="A3330" s="1" t="s">
        <v>737</v>
      </c>
    </row>
    <row r="3331" customFormat="false" ht="17.15" hidden="false" customHeight="false" outlineLevel="0" collapsed="false">
      <c r="A3331" s="5" t="s">
        <v>738</v>
      </c>
      <c r="B3331" s="0" t="s">
        <v>52</v>
      </c>
      <c r="D3331" s="28" t="n">
        <f aca="false">(Q!$E$29+Q!$E$30-(1-ext_sh)*Sens!$D$3253)/Sens!$D$3209</f>
        <v>0.0334674312393194</v>
      </c>
    </row>
    <row r="3332" customFormat="false" ht="17.15" hidden="false" customHeight="false" outlineLevel="0" collapsed="false">
      <c r="A3332" s="0" t="s">
        <v>535</v>
      </c>
      <c r="B3332" s="0" t="s">
        <v>86</v>
      </c>
      <c r="C3332" s="38" t="n">
        <f aca="false">Q!$D$29</f>
        <v>14.285</v>
      </c>
      <c r="D3332" s="38" t="n">
        <f aca="false">Q!$E$29</f>
        <v>15.503</v>
      </c>
      <c r="E3332" s="38" t="n">
        <f aca="false">Q!$P$29</f>
        <v>8.78</v>
      </c>
      <c r="F3332" s="38" t="n">
        <f aca="false">(Sens!$D$3331*Sens!$F$3209+(1-ext_sh)*Sens!$F$3253)*Sens!$F$3210</f>
        <v>9.32404990199157</v>
      </c>
      <c r="G3332" s="38" t="n">
        <f aca="false">Sens!$E$3332+Sens!$F$3332</f>
        <v>18.1040499019916</v>
      </c>
      <c r="H3332" s="38" t="n">
        <f aca="false">(Sens!$D$3331*Sens!$H$3209+(1-ext_sh)*Sens!$H$3253)*Sens!$H$3210</f>
        <v>22.5533556752937</v>
      </c>
      <c r="I3332" s="38" t="n">
        <f aca="false">(Sens!$D$3331*Sens!$I$3209+(1-ext_sh)*Sens!$I$3253)*Sens!$I$3210</f>
        <v>28.1941479903215</v>
      </c>
      <c r="J3332" s="38" t="n">
        <f aca="false">(Sens!$D$3331*Sens!$J$3209+(1-ext_sh)*Sens!$J$3253)*Sens!$J$3210</f>
        <v>33.8639126241465</v>
      </c>
      <c r="K3332" s="38" t="n">
        <f aca="false">(Sens!$D$3331*Sens!$K$3209+(1-ext_sh)*Sens!$K$3253)*Sens!$K$3210</f>
        <v>39.4516429979446</v>
      </c>
      <c r="L3332" s="38" t="n">
        <f aca="false">(Sens!$D$3331*Sens!$L$3209+(1-ext_sh)*Sens!$L$3253)*Sens!$L$3210</f>
        <v>43.6240799619622</v>
      </c>
      <c r="M3332" s="38" t="n">
        <f aca="false">(Sens!$D$3331*Sens!$M$3209+(1-ext_sh)*Sens!$M$3253)*Sens!$M$3210</f>
        <v>46.7841679303704</v>
      </c>
      <c r="N3332" s="38" t="n">
        <f aca="false">Q!$N$29</f>
        <v>7.272</v>
      </c>
      <c r="O3332" s="38" t="n">
        <f aca="false">Q!$O$29</f>
        <v>8.231</v>
      </c>
    </row>
    <row r="3333" customFormat="false" ht="17.15" hidden="false" customHeight="false" outlineLevel="0" collapsed="false">
      <c r="A3333" s="0" t="s">
        <v>537</v>
      </c>
      <c r="B3333" s="0" t="s">
        <v>86</v>
      </c>
      <c r="C3333" s="38" t="n">
        <f aca="false">Q!$D$30</f>
        <v>4.462</v>
      </c>
      <c r="D3333" s="38" t="n">
        <f aca="false">Q!$E$30</f>
        <v>4.907</v>
      </c>
      <c r="E3333" s="38" t="n">
        <f aca="false">Q!$P$30</f>
        <v>2.57</v>
      </c>
      <c r="F3333" s="38" t="n">
        <f aca="false">(Sens!$D$3331*Sens!$F$3209+(1-ext_sh)*Sens!$F$3253)*(1-Sens!$F$3210)</f>
        <v>3.66089330199472</v>
      </c>
      <c r="G3333" s="38" t="n">
        <f aca="false">Sens!$E$3333+Sens!$F$3333</f>
        <v>6.23089330199472</v>
      </c>
      <c r="H3333" s="38" t="n">
        <f aca="false">(Sens!$D$3331*Sens!$H$3209+(1-ext_sh)*Sens!$H$3253)*(1-Sens!$H$3210)</f>
        <v>8.63874333111657</v>
      </c>
      <c r="I3333" s="38" t="n">
        <f aca="false">(Sens!$D$3331*Sens!$I$3209+(1-ext_sh)*Sens!$I$3253)*(1-Sens!$I$3210)</f>
        <v>10.7993689025494</v>
      </c>
      <c r="J3333" s="38" t="n">
        <f aca="false">(Sens!$D$3331*Sens!$J$3209+(1-ext_sh)*Sens!$J$3253)*(1-Sens!$J$3210)</f>
        <v>12.9710919101865</v>
      </c>
      <c r="K3333" s="38" t="n">
        <f aca="false">(Sens!$D$3331*Sens!$K$3209+(1-ext_sh)*Sens!$K$3253)*(1-Sens!$K$3210)</f>
        <v>15.1113928568702</v>
      </c>
      <c r="L3333" s="38" t="n">
        <f aca="false">(Sens!$D$3331*Sens!$L$3209+(1-ext_sh)*Sens!$L$3253)*(1-Sens!$L$3210)</f>
        <v>16.7095857163433</v>
      </c>
      <c r="M3333" s="38" t="n">
        <f aca="false">(Sens!$D$3331*Sens!$M$3209+(1-ext_sh)*Sens!$M$3253)*(1-Sens!$M$3210)</f>
        <v>17.9200126371023</v>
      </c>
      <c r="N3333" s="38" t="n">
        <f aca="false">Q!$N$30</f>
        <v>2.316</v>
      </c>
      <c r="O3333" s="38" t="n">
        <f aca="false">Q!$O$30</f>
        <v>2.591</v>
      </c>
    </row>
    <row r="3334" customFormat="false" ht="17.15" hidden="false" customHeight="false" outlineLevel="0" collapsed="false">
      <c r="A3334" s="0" t="s">
        <v>538</v>
      </c>
      <c r="B3334" s="0" t="s">
        <v>86</v>
      </c>
      <c r="C3334" s="38" t="n">
        <f aca="false">Sens!$C$3265</f>
        <v>13.32</v>
      </c>
      <c r="D3334" s="38" t="n">
        <f aca="false">Sens!$D$3265</f>
        <v>21.45</v>
      </c>
      <c r="E3334" s="38" t="n">
        <f aca="false">Sens!$E$3265</f>
        <v>15.353</v>
      </c>
      <c r="F3334" s="38" t="n">
        <f aca="false">Sens!$F$3265</f>
        <v>16.3063747611001</v>
      </c>
      <c r="G3334" s="38" t="n">
        <f aca="false">Sens!$G$3265</f>
        <v>31.6593747611001</v>
      </c>
      <c r="H3334" s="38" t="n">
        <f aca="false">Sens!$H$3265</f>
        <v>53.2901119693593</v>
      </c>
      <c r="I3334" s="38" t="n">
        <f aca="false">Sens!$I$3265</f>
        <v>78.6068070687881</v>
      </c>
      <c r="J3334" s="38" t="n">
        <f aca="false">Sens!$J$3265</f>
        <v>104.911566291205</v>
      </c>
      <c r="K3334" s="38" t="n">
        <f aca="false">Sens!$K$3265</f>
        <v>131.917758504569</v>
      </c>
      <c r="L3334" s="38" t="n">
        <f aca="false">Sens!$L$3265</f>
        <v>150.96039480083</v>
      </c>
      <c r="M3334" s="38" t="n">
        <f aca="false">Sens!$M$3265</f>
        <v>164.271798316363</v>
      </c>
      <c r="N3334" s="38" t="n">
        <f aca="false">Sens!$N$3265</f>
        <v>9.234</v>
      </c>
      <c r="O3334" s="38" t="n">
        <f aca="false">Sens!$O$3265</f>
        <v>12.216</v>
      </c>
    </row>
    <row r="3335" customFormat="false" ht="17.15" hidden="false" customHeight="false" outlineLevel="0" collapsed="false">
      <c r="A3335" s="5" t="s">
        <v>739</v>
      </c>
      <c r="B3335" s="0" t="s">
        <v>86</v>
      </c>
      <c r="C3335" s="38" t="n">
        <f aca="false">Sens!$C$3332+Sens!$C$3333+Sens!$C$3334</f>
        <v>32.067</v>
      </c>
      <c r="D3335" s="38" t="n">
        <f aca="false">Sens!$D$3332+Sens!$D$3333+Sens!$D$3334</f>
        <v>41.86</v>
      </c>
      <c r="E3335" s="38" t="n">
        <f aca="false">Sens!$E$3332+Sens!$E$3333+Sens!$E$3334</f>
        <v>26.703</v>
      </c>
      <c r="F3335" s="38" t="n">
        <f aca="false">Sens!$F$3332+Sens!$F$3333+Sens!$F$3334</f>
        <v>29.2913179650864</v>
      </c>
      <c r="G3335" s="38" t="n">
        <f aca="false">Sens!$G$3332+Sens!$G$3333+Sens!$G$3334</f>
        <v>55.9943179650864</v>
      </c>
      <c r="H3335" s="38" t="n">
        <f aca="false">Sens!$H$3332+Sens!$H$3333+Sens!$H$3334</f>
        <v>84.4822109757695</v>
      </c>
      <c r="I3335" s="38" t="n">
        <f aca="false">Sens!$I$3332+Sens!$I$3333+Sens!$I$3334</f>
        <v>117.600323961659</v>
      </c>
      <c r="J3335" s="38" t="n">
        <f aca="false">Sens!$J$3332+Sens!$J$3333+Sens!$J$3334</f>
        <v>151.746570825538</v>
      </c>
      <c r="K3335" s="38" t="n">
        <f aca="false">Sens!$K$3332+Sens!$K$3333+Sens!$K$3334</f>
        <v>186.480794359384</v>
      </c>
      <c r="L3335" s="38" t="n">
        <f aca="false">Sens!$L$3332+Sens!$L$3333+Sens!$L$3334</f>
        <v>211.294060479135</v>
      </c>
      <c r="M3335" s="38" t="n">
        <f aca="false">Sens!$M$3332+Sens!$M$3333+Sens!$M$3334</f>
        <v>228.975978883835</v>
      </c>
      <c r="N3335" s="38" t="n">
        <f aca="false">Sens!$N$3332+Sens!$N$3333+Sens!$N$3334</f>
        <v>18.822</v>
      </c>
      <c r="O3335" s="38" t="n">
        <f aca="false">Sens!$O$3332+Sens!$O$3333+Sens!$O$3334</f>
        <v>23.038</v>
      </c>
    </row>
    <row r="3336" customFormat="false" ht="17.15" hidden="false" customHeight="false" outlineLevel="0" collapsed="false">
      <c r="A3336" s="0" t="s">
        <v>740</v>
      </c>
      <c r="B3336" s="0" t="s">
        <v>86</v>
      </c>
      <c r="C3336" s="38" t="n">
        <f aca="false">Sens!$C$3307+Sens!$C$3312</f>
        <v>28.107</v>
      </c>
      <c r="D3336" s="38" t="n">
        <f aca="false">Sens!$D$3307+Sens!$D$3312</f>
        <v>34.3175</v>
      </c>
      <c r="E3336" s="38" t="n">
        <f aca="false">Sens!$E$3307+Sens!$E$3312</f>
        <v>18.526</v>
      </c>
      <c r="F3336" s="38" t="n">
        <f aca="false">Sens!$F$3307+Sens!$F$3312</f>
        <v>23.0786109972074</v>
      </c>
      <c r="G3336" s="38" t="n">
        <f aca="false">Sens!$G$3307+Sens!$G$3312</f>
        <v>41.6046109972074</v>
      </c>
      <c r="H3336" s="38" t="n">
        <f aca="false">Sens!$H$3307+Sens!$H$3312</f>
        <v>49.9484611939488</v>
      </c>
      <c r="I3336" s="38" t="n">
        <f aca="false">Sens!$I$3307+Sens!$I$3312</f>
        <v>58.2915555477481</v>
      </c>
      <c r="J3336" s="38" t="n">
        <f aca="false">Sens!$J$3307+Sens!$J$3312</f>
        <v>66.0744709709759</v>
      </c>
      <c r="K3336" s="38" t="n">
        <f aca="false">Sens!$K$3307+Sens!$K$3312</f>
        <v>72.6819180680735</v>
      </c>
      <c r="L3336" s="38" t="n">
        <f aca="false">Sens!$L$3307+Sens!$L$3312</f>
        <v>79.9501098748808</v>
      </c>
      <c r="M3336" s="38" t="n">
        <f aca="false">Sens!$M$3307+Sens!$M$3312</f>
        <v>87.9451208623689</v>
      </c>
      <c r="N3336" s="38" t="n">
        <f aca="false">Sens!$N$3307+Sens!$N$3312</f>
        <v>14.8075</v>
      </c>
      <c r="O3336" s="38" t="n">
        <f aca="false">Sens!$O$3307+Sens!$O$3312</f>
        <v>19.51</v>
      </c>
    </row>
    <row r="3337" customFormat="false" ht="17.15" hidden="false" customHeight="false" outlineLevel="0" collapsed="false">
      <c r="A3337" s="0" t="s">
        <v>741</v>
      </c>
      <c r="B3337" s="0" t="s">
        <v>86</v>
      </c>
      <c r="C3337" s="38" t="n">
        <f aca="false">Sens!$C$3311+Sens!$C$3316+Sens!$C$3332+Sens!$C$3333-Sens!$C$3336</f>
        <v>19.399</v>
      </c>
      <c r="D3337" s="38" t="n">
        <f aca="false">Sens!$D$3311+Sens!$D$3316+Sens!$D$3332+Sens!$D$3333-Sens!$D$3336</f>
        <v>20.4615</v>
      </c>
      <c r="E3337" s="38" t="n">
        <f aca="false">Sens!$E$3311+Sens!$E$3316+Sens!$E$3332+Sens!$E$3333-Sens!$E$3336</f>
        <v>13.355</v>
      </c>
      <c r="F3337" s="38" t="n">
        <f aca="false">Sens!$F$3311+Sens!$F$3316+Sens!$F$3332+Sens!$F$3333-Sens!$F$3336</f>
        <v>12.7882167664549</v>
      </c>
      <c r="G3337" s="38" t="n">
        <f aca="false">Sens!$G$3311+Sens!$G$3316+Sens!$G$3332+Sens!$G$3333-Sens!$G$3336</f>
        <v>26.1432167664549</v>
      </c>
      <c r="H3337" s="38" t="n">
        <f aca="false">Sens!$H$3311+Sens!$H$3316+Sens!$H$3332+Sens!$H$3333-Sens!$H$3336</f>
        <v>28.5472527261826</v>
      </c>
      <c r="I3337" s="38" t="n">
        <f aca="false">Sens!$I$3311+Sens!$I$3316+Sens!$I$3332+Sens!$I$3333-Sens!$I$3336</f>
        <v>30.8052421506794</v>
      </c>
      <c r="J3337" s="38" t="n">
        <f aca="false">Sens!$J$3311+Sens!$J$3316+Sens!$J$3332+Sens!$J$3333-Sens!$J$3336</f>
        <v>33.0553877999083</v>
      </c>
      <c r="K3337" s="38" t="n">
        <f aca="false">Sens!$K$3311+Sens!$K$3316+Sens!$K$3332+Sens!$K$3333-Sens!$K$3336</f>
        <v>35.4662923485155</v>
      </c>
      <c r="L3337" s="38" t="n">
        <f aca="false">Sens!$L$3311+Sens!$L$3316+Sens!$L$3332+Sens!$L$3333-Sens!$L$3336</f>
        <v>37.1019587742301</v>
      </c>
      <c r="M3337" s="38" t="n">
        <f aca="false">Sens!$M$3311+Sens!$M$3316+Sens!$M$3332+Sens!$M$3333-Sens!$M$3336</f>
        <v>39.5351701466849</v>
      </c>
      <c r="N3337" s="38" t="n">
        <f aca="false">Sens!$N$3311+Sens!$N$3316+Sens!$N$3332+Sens!$N$3333-Sens!$N$3336</f>
        <v>10.6495</v>
      </c>
      <c r="O3337" s="38" t="n">
        <f aca="false">Sens!$O$3311+Sens!$O$3316+Sens!$O$3332+Sens!$O$3333-Sens!$O$3336</f>
        <v>9.81200000000001</v>
      </c>
    </row>
    <row r="3338" customFormat="false" ht="17.15" hidden="false" customHeight="false" outlineLevel="0" collapsed="false">
      <c r="A3338" s="0" t="s">
        <v>742</v>
      </c>
      <c r="B3338" s="0" t="s">
        <v>86</v>
      </c>
      <c r="C3338" s="38" t="n">
        <f aca="false">Sens!$C$3318+Sens!$C$3334-ext_sh*Sens!$C$3253</f>
        <v>51.3470500115664</v>
      </c>
      <c r="D3338" s="38" t="n">
        <f aca="false">Sens!$D$3318+Sens!$D$3334-ext_sh*Sens!$D$3253</f>
        <v>60.2799375433739</v>
      </c>
      <c r="E3338" s="38" t="n">
        <f aca="false">Sens!$E$3318+Sens!$E$3334-ext_sh*Sens!$E$3253</f>
        <v>39.5095167090767</v>
      </c>
      <c r="F3338" s="38" t="n">
        <f aca="false">Sens!$F$3318+Sens!$F$3334-ext_sh*Sens!$F$3253</f>
        <v>37.993321722478</v>
      </c>
      <c r="G3338" s="38" t="n">
        <f aca="false">Sens!$G$3318+Sens!$G$3334-ext_sh*Sens!$G$3253</f>
        <v>77.5028384315548</v>
      </c>
      <c r="H3338" s="38" t="n">
        <f aca="false">Sens!$H$3318+Sens!$H$3334-ext_sh*Sens!$H$3253</f>
        <v>85.8074925967644</v>
      </c>
      <c r="I3338" s="38" t="n">
        <f aca="false">Sens!$I$3318+Sens!$I$3334-ext_sh*Sens!$I$3253</f>
        <v>96.555173981681</v>
      </c>
      <c r="J3338" s="38" t="n">
        <f aca="false">Sens!$J$3318+Sens!$J$3334-ext_sh*Sens!$J$3253</f>
        <v>107.912641135553</v>
      </c>
      <c r="K3338" s="38" t="n">
        <f aca="false">Sens!$K$3318+Sens!$K$3334-ext_sh*Sens!$K$3253</f>
        <v>119.783031660463</v>
      </c>
      <c r="L3338" s="38" t="n">
        <f aca="false">Sens!$L$3318+Sens!$L$3334-ext_sh*Sens!$L$3253</f>
        <v>132.959165143114</v>
      </c>
      <c r="M3338" s="38" t="n">
        <f aca="false">Sens!$M$3318+Sens!$M$3334-ext_sh*Sens!$M$3253</f>
        <v>147.584673308857</v>
      </c>
      <c r="N3338" s="38" t="n">
        <f aca="false">Sens!$N$3318+Sens!$N$3334-ext_sh*Sens!$N$3253</f>
        <v>28.5693781401809</v>
      </c>
      <c r="O3338" s="38" t="n">
        <f aca="false">Sens!$O$3318+Sens!$O$3334-ext_sh*Sens!$O$3253</f>
        <v>31.7105594031931</v>
      </c>
    </row>
    <row r="3339" customFormat="false" ht="17.15" hidden="false" customHeight="false" outlineLevel="0" collapsed="false">
      <c r="A3339" s="0" t="s">
        <v>743</v>
      </c>
      <c r="B3339" s="0" t="s">
        <v>86</v>
      </c>
      <c r="C3339" s="38" t="n">
        <f aca="false">Sens!$C$3256</f>
        <v>1.80694998843362</v>
      </c>
      <c r="D3339" s="38" t="n">
        <f aca="false">Sens!$D$3256</f>
        <v>6.77606245662607</v>
      </c>
      <c r="E3339" s="38" t="n">
        <f aca="false">Sens!$E$3256</f>
        <v>6.62548329092326</v>
      </c>
      <c r="F3339" s="38" t="n">
        <f aca="false">Sens!$F$3256</f>
        <v>11.7200577158706</v>
      </c>
      <c r="G3339" s="38" t="n">
        <f aca="false">Sens!$G$3256</f>
        <v>18.3455410067939</v>
      </c>
      <c r="H3339" s="38" t="n">
        <f aca="false">Sens!$H$3256</f>
        <v>47.5171727060453</v>
      </c>
      <c r="I3339" s="38" t="n">
        <f aca="false">Sens!$I$3256</f>
        <v>80.5539692643667</v>
      </c>
      <c r="J3339" s="38" t="n">
        <f aca="false">Sens!$J$3256</f>
        <v>113.759316834883</v>
      </c>
      <c r="K3339" s="38" t="n">
        <f aca="false">Sens!$K$3256</f>
        <v>142.084411492169</v>
      </c>
      <c r="L3339" s="38" t="n">
        <f aca="false">Sens!$L$3256</f>
        <v>160.69964615804</v>
      </c>
      <c r="M3339" s="38" t="n">
        <f aca="false">Sens!$M$3256</f>
        <v>169.577607141793</v>
      </c>
      <c r="N3339" s="38" t="n">
        <f aca="false">Sens!$N$3256</f>
        <v>2.37162185981912</v>
      </c>
      <c r="O3339" s="38" t="n">
        <f aca="false">Sens!$O$3256</f>
        <v>4.40444059680694</v>
      </c>
    </row>
    <row r="3340" customFormat="false" ht="17.15" hidden="false" customHeight="false" outlineLevel="0" collapsed="false">
      <c r="A3340" s="0" t="s">
        <v>744</v>
      </c>
      <c r="B3340" s="0" t="s">
        <v>86</v>
      </c>
      <c r="C3340" s="38" t="n">
        <f aca="false">Sens!$C$3321+Sens!$C$3335</f>
        <v>100.66</v>
      </c>
      <c r="D3340" s="38" t="n">
        <f aca="false">Sens!$D$3321+Sens!$D$3335</f>
        <v>121.835</v>
      </c>
      <c r="E3340" s="38" t="n">
        <f aca="false">Sens!$E$3321+Sens!$E$3335</f>
        <v>78.016</v>
      </c>
      <c r="F3340" s="38" t="n">
        <f aca="false">Sens!$F$3321+Sens!$F$3335</f>
        <v>85.580207202011</v>
      </c>
      <c r="G3340" s="38" t="n">
        <f aca="false">Sens!$G$3321+Sens!$G$3335</f>
        <v>163.596207202011</v>
      </c>
      <c r="H3340" s="38" t="n">
        <f aca="false">Sens!$H$3321+Sens!$H$3335</f>
        <v>211.820379222941</v>
      </c>
      <c r="I3340" s="38" t="n">
        <f aca="false">Sens!$I$3321+Sens!$I$3335</f>
        <v>266.205940944475</v>
      </c>
      <c r="J3340" s="38" t="n">
        <f aca="false">Sens!$J$3321+Sens!$J$3335</f>
        <v>320.80181674132</v>
      </c>
      <c r="K3340" s="38" t="n">
        <f aca="false">Sens!$K$3321+Sens!$K$3335</f>
        <v>370.015653569222</v>
      </c>
      <c r="L3340" s="38" t="n">
        <f aca="false">Sens!$L$3321+Sens!$L$3335</f>
        <v>410.710879950266</v>
      </c>
      <c r="M3340" s="38" t="n">
        <f aca="false">Sens!$M$3321+Sens!$M$3335</f>
        <v>444.642571459704</v>
      </c>
      <c r="N3340" s="38" t="n">
        <f aca="false">Sens!$N$3321+Sens!$N$3335</f>
        <v>56.398</v>
      </c>
      <c r="O3340" s="38" t="n">
        <f aca="false">Sens!$O$3321+Sens!$O$3335</f>
        <v>65.437</v>
      </c>
    </row>
    <row r="3341" customFormat="false" ht="17.15" hidden="false" customHeight="false" outlineLevel="0" collapsed="false">
      <c r="A3341" s="1" t="s">
        <v>745</v>
      </c>
    </row>
    <row r="3342" customFormat="false" ht="15" hidden="false" customHeight="false" outlineLevel="0" collapsed="false">
      <c r="A3342" s="5" t="s">
        <v>541</v>
      </c>
      <c r="B3342" s="0" t="s">
        <v>86</v>
      </c>
      <c r="C3342" s="38" t="n">
        <f aca="false">Q!$D$34</f>
        <v>2.406</v>
      </c>
      <c r="D3342" s="38" t="n">
        <f aca="false">Q!$E$34</f>
        <v>2.274</v>
      </c>
      <c r="E3342" s="38" t="n">
        <f aca="false">Q!$P$34</f>
        <v>2.114</v>
      </c>
      <c r="F3342" s="38" t="n">
        <f aca="false">Sens!$F$3380</f>
        <v>3.24888962733561</v>
      </c>
      <c r="G3342" s="38" t="n">
        <f aca="false">Sens!$E$3342+Sens!$F$3342</f>
        <v>5.36288962733561</v>
      </c>
      <c r="H3342" s="38" t="n">
        <f aca="false">Sens!$H$3380</f>
        <v>7.42354172302123</v>
      </c>
      <c r="I3342" s="38" t="n">
        <f aca="false">Sens!$I$3380</f>
        <v>8.27271507778398</v>
      </c>
      <c r="J3342" s="38" t="n">
        <f aca="false">Sens!$J$3380</f>
        <v>9.18657964916161</v>
      </c>
      <c r="K3342" s="38" t="n">
        <f aca="false">Sens!$K$3380</f>
        <v>9.18657964916161</v>
      </c>
      <c r="L3342" s="38" t="n">
        <f aca="false">Sens!$L$3380</f>
        <v>9.18657964916161</v>
      </c>
      <c r="M3342" s="38" t="n">
        <f aca="false">Sens!$M$3380</f>
        <v>9.18657964916161</v>
      </c>
      <c r="N3342" s="38" t="n">
        <f aca="false">Q!$N$34</f>
        <v>1.057</v>
      </c>
      <c r="O3342" s="38" t="n">
        <f aca="false">Q!$O$34</f>
        <v>1.217</v>
      </c>
    </row>
    <row r="3343" customFormat="false" ht="15" hidden="false" customHeight="false" outlineLevel="0" collapsed="false">
      <c r="A3343" s="5" t="s">
        <v>746</v>
      </c>
      <c r="B3343" s="0" t="s">
        <v>86</v>
      </c>
      <c r="F3343" s="38" t="n">
        <f aca="false">Sens!$F$3381</f>
        <v>2.59</v>
      </c>
      <c r="H3343" s="38" t="n">
        <f aca="false">Sens!$H$3381</f>
        <v>3.80133635330174</v>
      </c>
      <c r="I3343" s="38" t="n">
        <f aca="false">Sens!$I$3381</f>
        <v>2.10589651022864</v>
      </c>
      <c r="J3343" s="38" t="n">
        <f aca="false">Sens!$J$3381</f>
        <v>2.10589651022864</v>
      </c>
      <c r="K3343" s="38" t="n">
        <f aca="false">Sens!$K$3381</f>
        <v>3.25405008257938</v>
      </c>
      <c r="L3343" s="38" t="n">
        <f aca="false">Sens!$L$3381</f>
        <v>8.56013286794969</v>
      </c>
      <c r="M3343" s="38" t="n">
        <f aca="false">Sens!$M$3381</f>
        <v>16.4370539222635</v>
      </c>
    </row>
    <row r="3344" customFormat="false" ht="17.15" hidden="false" customHeight="false" outlineLevel="0" collapsed="false">
      <c r="A3344" s="5" t="s">
        <v>747</v>
      </c>
      <c r="B3344" s="0" t="s">
        <v>86</v>
      </c>
      <c r="C3344" s="38" t="n">
        <f aca="false">Q!$D$39</f>
        <v>2.427</v>
      </c>
      <c r="D3344" s="38" t="n">
        <f aca="false">Q!$E$39</f>
        <v>19.61</v>
      </c>
      <c r="E3344" s="38" t="n">
        <f aca="false">Q!$P$39</f>
        <v>71.492</v>
      </c>
      <c r="F3344" s="39" t="n">
        <v>0</v>
      </c>
      <c r="G3344" s="38" t="n">
        <f aca="false">Sens!$E$3344+Sens!$F$3344</f>
        <v>71.492</v>
      </c>
      <c r="H3344" s="39" t="n">
        <v>0</v>
      </c>
      <c r="I3344" s="39" t="n">
        <v>0</v>
      </c>
      <c r="J3344" s="39" t="n">
        <v>0</v>
      </c>
      <c r="K3344" s="39" t="n">
        <v>0</v>
      </c>
      <c r="L3344" s="39" t="n">
        <v>0</v>
      </c>
      <c r="M3344" s="39" t="n">
        <v>0</v>
      </c>
      <c r="N3344" s="38" t="n">
        <f aca="false">Q!$N$39</f>
        <v>6.017</v>
      </c>
      <c r="O3344" s="38" t="n">
        <f aca="false">Q!$O$39</f>
        <v>13.593</v>
      </c>
      <c r="P3344" s="5" t="s">
        <v>748</v>
      </c>
    </row>
    <row r="3345" customFormat="false" ht="15" hidden="false" customHeight="false" outlineLevel="0" collapsed="false">
      <c r="A3345" s="5" t="s">
        <v>544</v>
      </c>
      <c r="B3345" s="0" t="s">
        <v>86</v>
      </c>
      <c r="C3345" s="38" t="n">
        <f aca="false">Q!$D$36</f>
        <v>68.614</v>
      </c>
      <c r="D3345" s="38" t="n">
        <f aca="false">Q!$E$36</f>
        <v>97.311</v>
      </c>
      <c r="E3345" s="38" t="n">
        <f aca="false">Q!$P$36</f>
        <v>120.691</v>
      </c>
      <c r="F3345" s="38" t="n">
        <f aca="false">Sens!$F$3321-Sens!$F$3342+Sens!$F$3343+Sens!$F$3344</f>
        <v>55.629999609589</v>
      </c>
      <c r="G3345" s="38" t="n">
        <f aca="false">Sens!$E$3345+Sens!$F$3345</f>
        <v>176.320999609589</v>
      </c>
      <c r="H3345" s="38" t="n">
        <f aca="false">Sens!$H$3321-Sens!$H$3342+Sens!$H$3343+Sens!$H$3344</f>
        <v>123.715962877452</v>
      </c>
      <c r="I3345" s="38" t="n">
        <f aca="false">Sens!$I$3321-Sens!$I$3342+Sens!$I$3343+Sens!$I$3344</f>
        <v>142.438798415261</v>
      </c>
      <c r="J3345" s="38" t="n">
        <f aca="false">Sens!$J$3321-Sens!$J$3342+Sens!$J$3343+Sens!$J$3344</f>
        <v>161.97456277685</v>
      </c>
      <c r="K3345" s="38" t="n">
        <f aca="false">Sens!$K$3321-Sens!$K$3342+Sens!$K$3343+Sens!$K$3344</f>
        <v>177.602329643255</v>
      </c>
      <c r="L3345" s="38" t="n">
        <f aca="false">Sens!$L$3321-Sens!$L$3342+Sens!$L$3343+Sens!$L$3344</f>
        <v>198.790372689918</v>
      </c>
      <c r="M3345" s="38" t="n">
        <f aca="false">Sens!$M$3321-Sens!$M$3342+Sens!$M$3343+Sens!$M$3344</f>
        <v>222.917066848971</v>
      </c>
      <c r="N3345" s="38" t="n">
        <f aca="false">Q!$N$36</f>
        <v>42.536</v>
      </c>
      <c r="O3345" s="38" t="n">
        <f aca="false">Q!$O$36</f>
        <v>54.775</v>
      </c>
    </row>
    <row r="3346" customFormat="false" ht="15" hidden="false" customHeight="false" outlineLevel="0" collapsed="false">
      <c r="A3346" s="5" t="s">
        <v>545</v>
      </c>
      <c r="B3346" s="0" t="s">
        <v>86</v>
      </c>
      <c r="C3346" s="38" t="n">
        <f aca="false">Q!$D$37</f>
        <v>9.265</v>
      </c>
      <c r="D3346" s="38" t="n">
        <f aca="false">Q!$E$37</f>
        <v>19.087</v>
      </c>
      <c r="E3346" s="38" t="n">
        <f aca="false">Q!$P$37</f>
        <v>27.759</v>
      </c>
      <c r="F3346" s="38" t="n">
        <f aca="false">Sens!$F$3345*tax</f>
        <v>9.65650714815835</v>
      </c>
      <c r="G3346" s="38" t="n">
        <f aca="false">Sens!$E$3346+Sens!$F$3346</f>
        <v>37.4155071481584</v>
      </c>
      <c r="H3346" s="38" t="n">
        <f aca="false">Sens!$H$3345*tax</f>
        <v>21.4751768515469</v>
      </c>
      <c r="I3346" s="38" t="n">
        <f aca="false">Sens!$I$3345*tax</f>
        <v>24.7251713953808</v>
      </c>
      <c r="J3346" s="38" t="n">
        <f aca="false">Sens!$J$3345*tax</f>
        <v>28.1162778042671</v>
      </c>
      <c r="K3346" s="38" t="n">
        <f aca="false">Sens!$K$3345*tax</f>
        <v>30.8290163179159</v>
      </c>
      <c r="L3346" s="38" t="n">
        <f aca="false">Sens!$L$3345*tax</f>
        <v>34.5069327401968</v>
      </c>
      <c r="M3346" s="38" t="n">
        <f aca="false">Sens!$M$3345*tax</f>
        <v>38.6949535247261</v>
      </c>
      <c r="N3346" s="38" t="n">
        <f aca="false">Q!$N$37</f>
        <v>7.231</v>
      </c>
      <c r="O3346" s="38" t="n">
        <f aca="false">Q!$O$37</f>
        <v>11.856</v>
      </c>
    </row>
    <row r="3347" customFormat="false" ht="15" hidden="false" customHeight="false" outlineLevel="0" collapsed="false">
      <c r="A3347" s="3" t="s">
        <v>546</v>
      </c>
      <c r="B3347" s="8" t="s">
        <v>86</v>
      </c>
      <c r="C3347" s="38" t="n">
        <f aca="false">Q!$D$38</f>
        <v>59.248</v>
      </c>
      <c r="D3347" s="38" t="n">
        <f aca="false">Q!$E$38</f>
        <v>77.67</v>
      </c>
      <c r="E3347" s="38" t="n">
        <f aca="false">Q!$P$38</f>
        <v>92.902</v>
      </c>
      <c r="F3347" s="38" t="n">
        <f aca="false">Sens!$F$3345-Sens!$F$3346</f>
        <v>45.9734924614306</v>
      </c>
      <c r="G3347" s="38" t="n">
        <f aca="false">Sens!$E$3347+Sens!$F$3347</f>
        <v>138.875492461431</v>
      </c>
      <c r="H3347" s="38" t="n">
        <f aca="false">Sens!$H$3345-Sens!$H$3346</f>
        <v>102.240786025905</v>
      </c>
      <c r="I3347" s="38" t="n">
        <f aca="false">Sens!$I$3345-Sens!$I$3346</f>
        <v>117.71362701988</v>
      </c>
      <c r="J3347" s="38" t="n">
        <f aca="false">Sens!$J$3345-Sens!$J$3346</f>
        <v>133.858284972582</v>
      </c>
      <c r="K3347" s="38" t="n">
        <f aca="false">Sens!$K$3345-Sens!$K$3346</f>
        <v>146.77331332534</v>
      </c>
      <c r="L3347" s="38" t="n">
        <f aca="false">Sens!$L$3345-Sens!$L$3346</f>
        <v>164.283439949722</v>
      </c>
      <c r="M3347" s="38" t="n">
        <f aca="false">Sens!$M$3345-Sens!$M$3346</f>
        <v>184.222113324244</v>
      </c>
      <c r="N3347" s="38" t="n">
        <f aca="false">Q!$N$38</f>
        <v>35.291</v>
      </c>
      <c r="O3347" s="38" t="n">
        <f aca="false">Q!$O$38</f>
        <v>42.379</v>
      </c>
    </row>
    <row r="3348" customFormat="false" ht="17.15" hidden="false" customHeight="false" outlineLevel="0" collapsed="false">
      <c r="A3348" s="5" t="s">
        <v>549</v>
      </c>
      <c r="B3348" s="5" t="s">
        <v>33</v>
      </c>
      <c r="C3348" s="22" t="n">
        <f aca="false">Q!$D$41</f>
        <v>10.721</v>
      </c>
      <c r="D3348" s="22" t="n">
        <f aca="false">Q!$E$41</f>
        <v>10.827</v>
      </c>
      <c r="E3348" s="22" t="n">
        <f aca="false">(Q!$L$41+Q!$M$41)/2</f>
        <v>10.8885</v>
      </c>
      <c r="F3348" s="22" t="n">
        <f aca="false">Sens!$G$3348</f>
        <v>10.924806</v>
      </c>
      <c r="G3348" s="22" t="n">
        <f aca="false">Q!$M$41*(1+sh_g*0.25)</f>
        <v>10.924806</v>
      </c>
      <c r="H3348" s="22" t="n">
        <f aca="false">Sens!$G$3348*(1+sh_g)</f>
        <v>11.012204448</v>
      </c>
      <c r="I3348" s="22" t="n">
        <f aca="false">Sens!$H$3348*(1+sh_g)</f>
        <v>11.100302083584</v>
      </c>
      <c r="J3348" s="22" t="n">
        <f aca="false">Sens!$I$3348*(1+sh_g)</f>
        <v>11.1891045002527</v>
      </c>
      <c r="K3348" s="22" t="n">
        <f aca="false">Sens!$J$3348*(1+sh_g)</f>
        <v>11.2786173362547</v>
      </c>
      <c r="L3348" s="22" t="n">
        <f aca="false">Sens!$K$3348*(1+sh_g)</f>
        <v>11.3688462749447</v>
      </c>
      <c r="M3348" s="22" t="n">
        <f aca="false">Sens!$L$3348*(1+sh_g)</f>
        <v>11.4597970451443</v>
      </c>
      <c r="P3348" s="5" t="s">
        <v>749</v>
      </c>
    </row>
    <row r="3349" customFormat="false" ht="17.15" hidden="false" customHeight="false" outlineLevel="0" collapsed="false">
      <c r="A3349" s="5" t="s">
        <v>750</v>
      </c>
      <c r="B3349" s="0" t="s">
        <v>86</v>
      </c>
      <c r="C3349" s="38" t="n">
        <f aca="false">Sens!$C$3347+Sens!$C$3323*(1-tax)</f>
        <v>59.248</v>
      </c>
      <c r="D3349" s="38" t="n">
        <f aca="false">Sens!$D$3347+Sens!$D$3323*(1-tax)</f>
        <v>77.67</v>
      </c>
      <c r="E3349" s="38" t="n">
        <f aca="false">Sens!$E$3347+Sens!$E$3323*(1-tax)</f>
        <v>92.902</v>
      </c>
      <c r="F3349" s="38" t="n">
        <f aca="false">Sens!$F$3347+Sens!$F$3323*(1-tax)</f>
        <v>49.0900874210793</v>
      </c>
      <c r="G3349" s="38" t="n">
        <f aca="false">Sens!$G$3347+Sens!$G$3323*(1-tax)</f>
        <v>141.992087421079</v>
      </c>
      <c r="H3349" s="38" t="n">
        <f aca="false">Sens!$H$3347+Sens!$H$3323*(1-tax)</f>
        <v>114.77218198125</v>
      </c>
      <c r="I3349" s="38" t="n">
        <f aca="false">Sens!$I$3347+Sens!$I$3323*(1-tax)</f>
        <v>138.854892094819</v>
      </c>
      <c r="J3349" s="38" t="n">
        <f aca="false">Sens!$J$3347+Sens!$J$3323*(1-tax)</f>
        <v>163.647721916866</v>
      </c>
      <c r="K3349" s="38" t="n">
        <f aca="false">Sens!$K$3347+Sens!$K$3323*(1-tax)</f>
        <v>183.940619021998</v>
      </c>
      <c r="L3349" s="38" t="n">
        <f aca="false">Sens!$L$3347+Sens!$L$3323*(1-tax)</f>
        <v>206.299517290277</v>
      </c>
      <c r="M3349" s="38" t="n">
        <f aca="false">Sens!$M$3347+Sens!$M$3323*(1-tax)</f>
        <v>228.551635515085</v>
      </c>
      <c r="N3349" s="38" t="n">
        <f aca="false">Sens!$N$3347+Sens!$N$3323*(1-tax)</f>
        <v>35.291</v>
      </c>
      <c r="O3349" s="38" t="n">
        <f aca="false">Sens!$O$3347+Sens!$O$3323*(1-tax)</f>
        <v>42.379</v>
      </c>
    </row>
    <row r="3350" customFormat="false" ht="17.15" hidden="false" customHeight="false" outlineLevel="0" collapsed="false">
      <c r="A3350" s="43" t="s">
        <v>751</v>
      </c>
      <c r="B3350" s="14" t="s">
        <v>27</v>
      </c>
      <c r="C3350" s="44" t="n">
        <f aca="false">Sens!$C$3349/Sens!$C$3348</f>
        <v>5.52635015390355</v>
      </c>
      <c r="D3350" s="44" t="n">
        <f aca="false">Sens!$D$3349/Sens!$D$3348</f>
        <v>7.1737323358271</v>
      </c>
      <c r="E3350" s="44" t="n">
        <f aca="false">Sens!$E$3349/Sens!$E$3348</f>
        <v>8.53212104513937</v>
      </c>
      <c r="F3350" s="14"/>
      <c r="G3350" s="44" t="n">
        <f aca="false">Sens!$G$3349/Sens!$G$3348</f>
        <v>12.9972182042481</v>
      </c>
      <c r="H3350" s="44" t="n">
        <f aca="false">Sens!$H$3349/Sens!$H$3348</f>
        <v>10.4222712648687</v>
      </c>
      <c r="I3350" s="44" t="n">
        <f aca="false">Sens!$I$3349/Sens!$I$3348</f>
        <v>12.5091093061484</v>
      </c>
      <c r="J3350" s="44" t="n">
        <f aca="false">Sens!$J$3349/Sens!$J$3348</f>
        <v>14.6256317396241</v>
      </c>
      <c r="K3350" s="44" t="n">
        <f aca="false">Sens!$K$3349/Sens!$K$3348</f>
        <v>16.3087915422689</v>
      </c>
      <c r="L3350" s="44" t="n">
        <f aca="false">Sens!$L$3349/Sens!$L$3348</f>
        <v>18.1460380676385</v>
      </c>
      <c r="M3350" s="44" t="n">
        <f aca="false">Sens!$M$3349/Sens!$M$3348</f>
        <v>19.943776893669</v>
      </c>
      <c r="N3350" s="14"/>
      <c r="O3350" s="14"/>
    </row>
    <row r="3351" customFormat="false" ht="17.15" hidden="false" customHeight="false" outlineLevel="0" collapsed="false">
      <c r="A3351" s="0" t="s">
        <v>752</v>
      </c>
      <c r="B3351" s="0" t="s">
        <v>27</v>
      </c>
      <c r="C3351" s="30" t="n">
        <f aca="false">Sens!$C$3347/Sens!$C$3348</f>
        <v>5.52635015390355</v>
      </c>
      <c r="D3351" s="30" t="n">
        <f aca="false">Sens!$D$3347/Sens!$D$3348</f>
        <v>7.1737323358271</v>
      </c>
      <c r="E3351" s="30" t="n">
        <f aca="false">Sens!$E$3347/Sens!$E$3348</f>
        <v>8.53212104513937</v>
      </c>
      <c r="G3351" s="30" t="n">
        <f aca="false">Sens!$G$3347/Sens!$G$3348</f>
        <v>12.7119412886078</v>
      </c>
      <c r="H3351" s="30" t="n">
        <f aca="false">Sens!$H$3347/Sens!$H$3348</f>
        <v>9.28431600672596</v>
      </c>
      <c r="I3351" s="30" t="n">
        <f aca="false">Sens!$I$3347/Sens!$I$3348</f>
        <v>10.6045426632095</v>
      </c>
      <c r="J3351" s="30" t="n">
        <f aca="false">Sens!$J$3347/Sens!$J$3348</f>
        <v>11.963270605754</v>
      </c>
      <c r="K3351" s="30" t="n">
        <f aca="false">Sens!$K$3347/Sens!$K$3348</f>
        <v>13.0134136968671</v>
      </c>
      <c r="L3351" s="30" t="n">
        <f aca="false">Sens!$L$3347/Sens!$L$3348</f>
        <v>14.4503176467236</v>
      </c>
      <c r="M3351" s="30" t="n">
        <f aca="false">Sens!$M$3347/Sens!$M$3348</f>
        <v>16.0755127336485</v>
      </c>
    </row>
    <row r="3352" customFormat="false" ht="17.15" hidden="false" customHeight="false" outlineLevel="0" collapsed="false">
      <c r="A3352" s="0" t="s">
        <v>753</v>
      </c>
      <c r="B3352" s="0" t="s">
        <v>27</v>
      </c>
      <c r="C3352" s="30" t="n">
        <f aca="false">(Sens!$C$3347-Sens!$C$3344*(1-tax))/Sens!$C$3348</f>
        <v>5.33926775917445</v>
      </c>
      <c r="D3352" s="30" t="n">
        <f aca="false">(Sens!$D$3347-Sens!$D$3344*(1-tax))/Sens!$D$3348</f>
        <v>5.67691812755503</v>
      </c>
      <c r="E3352" s="30" t="n">
        <f aca="false">(Sens!$E$3347-Sens!$E$3344*(1-tax))/Sens!$E$3348</f>
        <v>3.10602057006846</v>
      </c>
      <c r="G3352" s="30" t="n">
        <f aca="false">(Sens!$G$3347-Sens!$G$3344*(1-tax))/Sens!$G$3348</f>
        <v>7.30387317071086</v>
      </c>
      <c r="H3352" s="30" t="n">
        <f aca="false">(Sens!$H$3347-Sens!$H$3344*(1-tax))/Sens!$H$3348</f>
        <v>9.28431600672596</v>
      </c>
      <c r="I3352" s="30" t="n">
        <f aca="false">(Sens!$I$3347-Sens!$I$3344*(1-tax))/Sens!$I$3348</f>
        <v>10.6045426632095</v>
      </c>
      <c r="J3352" s="30" t="n">
        <f aca="false">(Sens!$J$3347-Sens!$J$3344*(1-tax))/Sens!$J$3348</f>
        <v>11.963270605754</v>
      </c>
      <c r="K3352" s="30" t="n">
        <f aca="false">(Sens!$K$3347-Sens!$K$3344*(1-tax))/Sens!$K$3348</f>
        <v>13.0134136968671</v>
      </c>
      <c r="L3352" s="30" t="n">
        <f aca="false">(Sens!$L$3347-Sens!$L$3344*(1-tax))/Sens!$L$3348</f>
        <v>14.4503176467236</v>
      </c>
      <c r="M3352" s="30" t="n">
        <f aca="false">(Sens!$M$3347-Sens!$M$3344*(1-tax))/Sens!$M$3348</f>
        <v>16.0755127336485</v>
      </c>
      <c r="P3352" s="5" t="s">
        <v>754</v>
      </c>
    </row>
    <row r="3353" customFormat="false" ht="17.15" hidden="false" customHeight="false" outlineLevel="0" collapsed="false">
      <c r="A3353" s="0" t="s">
        <v>755</v>
      </c>
      <c r="B3353" s="0" t="s">
        <v>52</v>
      </c>
      <c r="H3353" s="13" t="n">
        <f aca="false">Sens!$H$3350/Sens!$G$3350-1</f>
        <v>-0.198115235038355</v>
      </c>
      <c r="I3353" s="13" t="n">
        <f aca="false">Sens!$I$3350/Sens!$H$3350-1</f>
        <v>0.200228720616204</v>
      </c>
      <c r="J3353" s="13" t="n">
        <f aca="false">Sens!$J$3350/Sens!$I$3350-1</f>
        <v>0.169198492208822</v>
      </c>
      <c r="K3353" s="13" t="n">
        <f aca="false">Sens!$K$3350/Sens!$J$3350-1</f>
        <v>0.115082878648231</v>
      </c>
      <c r="L3353" s="13" t="n">
        <f aca="false">Sens!$L$3350/Sens!$K$3350-1</f>
        <v>0.112653750010095</v>
      </c>
      <c r="M3353" s="13" t="n">
        <f aca="false">Sens!$M$3350/Sens!$L$3350-1</f>
        <v>0.0990705970818282</v>
      </c>
    </row>
    <row r="3356" customFormat="false" ht="19.4" hidden="false" customHeight="false" outlineLevel="0" collapsed="false">
      <c r="A3356" s="31" t="s">
        <v>1195</v>
      </c>
    </row>
    <row r="3357" customFormat="false" ht="17.15" hidden="false" customHeight="false" outlineLevel="0" collapsed="false">
      <c r="A3357" s="6" t="s">
        <v>16</v>
      </c>
      <c r="B3357" s="6" t="s">
        <v>17</v>
      </c>
      <c r="C3357" s="20" t="s">
        <v>494</v>
      </c>
      <c r="D3357" s="20" t="s">
        <v>495</v>
      </c>
      <c r="E3357" s="20" t="s">
        <v>577</v>
      </c>
      <c r="F3357" s="20" t="s">
        <v>578</v>
      </c>
      <c r="G3357" s="20" t="s">
        <v>579</v>
      </c>
      <c r="H3357" s="20" t="s">
        <v>580</v>
      </c>
      <c r="I3357" s="20" t="s">
        <v>581</v>
      </c>
      <c r="J3357" s="20" t="s">
        <v>582</v>
      </c>
      <c r="K3357" s="20" t="s">
        <v>583</v>
      </c>
      <c r="L3357" s="20" t="s">
        <v>584</v>
      </c>
      <c r="M3357" s="20" t="s">
        <v>585</v>
      </c>
      <c r="N3357" s="20" t="s">
        <v>586</v>
      </c>
      <c r="O3357" s="20" t="s">
        <v>587</v>
      </c>
      <c r="P3357" s="6" t="s">
        <v>23</v>
      </c>
      <c r="R3357" s="20" t="n">
        <v>2023</v>
      </c>
      <c r="S3357" s="20" t="n">
        <v>2024</v>
      </c>
      <c r="T3357" s="20" t="n">
        <v>2025</v>
      </c>
      <c r="U3357" s="20" t="n">
        <v>2026</v>
      </c>
      <c r="V3357" s="20" t="n">
        <v>2027</v>
      </c>
      <c r="W3357" s="20" t="n">
        <v>2028</v>
      </c>
      <c r="X3357" s="20" t="n">
        <v>2029</v>
      </c>
      <c r="Y3357" s="20" t="n">
        <v>2030</v>
      </c>
      <c r="Z3357" s="20" t="n">
        <v>2031</v>
      </c>
      <c r="AA3357" s="20" t="n">
        <v>2032</v>
      </c>
    </row>
    <row r="3358" customFormat="false" ht="15" hidden="false" customHeight="false" outlineLevel="0" collapsed="false">
      <c r="A3358" s="5" t="s">
        <v>546</v>
      </c>
      <c r="B3358" s="0" t="s">
        <v>86</v>
      </c>
      <c r="C3358" s="38" t="n">
        <f aca="false">Sens!$C$3347</f>
        <v>59.248</v>
      </c>
      <c r="D3358" s="38" t="n">
        <f aca="false">Sens!$D$3347</f>
        <v>77.67</v>
      </c>
      <c r="E3358" s="38" t="n">
        <f aca="false">Sens!$E$3347</f>
        <v>92.902</v>
      </c>
      <c r="F3358" s="38" t="n">
        <f aca="false">Sens!$F$3347</f>
        <v>45.9734924614306</v>
      </c>
      <c r="G3358" s="38" t="n">
        <f aca="false">Sens!$G$3347</f>
        <v>138.875492461431</v>
      </c>
      <c r="H3358" s="38" t="n">
        <f aca="false">Sens!$H$3347</f>
        <v>102.240786025905</v>
      </c>
      <c r="I3358" s="38" t="n">
        <f aca="false">Sens!$I$3347</f>
        <v>117.71362701988</v>
      </c>
      <c r="J3358" s="38" t="n">
        <f aca="false">Sens!$J$3347</f>
        <v>133.858284972582</v>
      </c>
      <c r="K3358" s="38" t="n">
        <f aca="false">Sens!$K$3347</f>
        <v>146.77331332534</v>
      </c>
      <c r="L3358" s="38" t="n">
        <f aca="false">Sens!$L$3347</f>
        <v>164.283439949722</v>
      </c>
      <c r="M3358" s="38" t="n">
        <f aca="false">Sens!$M$3347</f>
        <v>184.222113324244</v>
      </c>
    </row>
    <row r="3359" customFormat="false" ht="17.15" hidden="false" customHeight="false" outlineLevel="0" collapsed="false">
      <c r="A3359" s="5" t="s">
        <v>778</v>
      </c>
      <c r="B3359" s="0" t="s">
        <v>86</v>
      </c>
      <c r="C3359" s="38" t="n">
        <f aca="false">Sens!$C$3335</f>
        <v>32.067</v>
      </c>
      <c r="D3359" s="38" t="n">
        <f aca="false">Sens!$D$3335</f>
        <v>41.86</v>
      </c>
      <c r="E3359" s="38" t="n">
        <f aca="false">Sens!$E$3335</f>
        <v>26.703</v>
      </c>
      <c r="F3359" s="38" t="n">
        <f aca="false">Sens!$F$3335</f>
        <v>29.2913179650864</v>
      </c>
      <c r="G3359" s="38" t="n">
        <f aca="false">Sens!$G$3335</f>
        <v>55.9943179650864</v>
      </c>
      <c r="H3359" s="38" t="n">
        <f aca="false">Sens!$H$3335</f>
        <v>84.4822109757695</v>
      </c>
      <c r="I3359" s="38" t="n">
        <f aca="false">Sens!$I$3335</f>
        <v>117.600323961659</v>
      </c>
      <c r="J3359" s="38" t="n">
        <f aca="false">Sens!$J$3335</f>
        <v>151.746570825538</v>
      </c>
      <c r="K3359" s="38" t="n">
        <f aca="false">Sens!$K$3335</f>
        <v>186.480794359384</v>
      </c>
      <c r="L3359" s="38" t="n">
        <f aca="false">Sens!$L$3335</f>
        <v>211.294060479135</v>
      </c>
      <c r="M3359" s="38" t="n">
        <f aca="false">Sens!$M$3335</f>
        <v>228.975978883835</v>
      </c>
    </row>
    <row r="3360" customFormat="false" ht="15" hidden="false" customHeight="false" outlineLevel="0" collapsed="false">
      <c r="A3360" s="5" t="s">
        <v>779</v>
      </c>
      <c r="B3360" s="0" t="s">
        <v>86</v>
      </c>
      <c r="C3360" s="38" t="n">
        <f aca="false">Q!$D$48</f>
        <v>22.011</v>
      </c>
      <c r="D3360" s="38" t="n">
        <f aca="false">Q!$E$48</f>
        <v>19.467</v>
      </c>
      <c r="E3360" s="38" t="n">
        <f aca="false">Q!$P$48</f>
        <v>10.07</v>
      </c>
      <c r="F3360" s="38" t="n">
        <f aca="false">sbc_r*Sens!$F$3277</f>
        <v>10.8507035798037</v>
      </c>
      <c r="G3360" s="38" t="n">
        <f aca="false">Sens!$E$3360+Sens!$F$3360</f>
        <v>20.9207035798037</v>
      </c>
      <c r="H3360" s="38" t="n">
        <f aca="false">sbc_r*Sens!$H$3277</f>
        <v>23.4889628723847</v>
      </c>
      <c r="I3360" s="38" t="n">
        <f aca="false">sbc_r*Sens!$I$3277</f>
        <v>26.7028001253965</v>
      </c>
      <c r="J3360" s="38" t="n">
        <f aca="false">sbc_r*Sens!$J$3277</f>
        <v>29.8290485213774</v>
      </c>
      <c r="K3360" s="38" t="n">
        <f aca="false">sbc_r*Sens!$K$3277</f>
        <v>32.6405418478787</v>
      </c>
      <c r="L3360" s="38" t="n">
        <f aca="false">sbc_r*Sens!$L$3277</f>
        <v>35.306931555188</v>
      </c>
      <c r="M3360" s="38" t="n">
        <f aca="false">sbc_r*Sens!$M$3277</f>
        <v>37.8414382276929</v>
      </c>
    </row>
    <row r="3361" customFormat="false" ht="17.15" hidden="false" customHeight="false" outlineLevel="0" collapsed="false">
      <c r="A3361" s="5" t="s">
        <v>780</v>
      </c>
      <c r="B3361" s="0" t="s">
        <v>86</v>
      </c>
      <c r="C3361" s="38" t="n">
        <f aca="false">Q!$D$44-Sens!$C$3358-Sens!$C$3359-Sens!$C$3360</f>
        <v>2.551</v>
      </c>
      <c r="D3361" s="38" t="n">
        <f aca="false">Q!$E$44-Sens!$D$3358-Sens!$D$3359-Sens!$D$3360</f>
        <v>0.51700000000001</v>
      </c>
      <c r="E3361" s="38" t="n">
        <f aca="false">Q!$P$44-Sens!$E$3358-Sens!$E$3359-Sens!$E$3360</f>
        <v>-58.256</v>
      </c>
      <c r="F3361" s="38" t="n">
        <f aca="false">oth_r*Sens!$F$3277</f>
        <v>5.22265251035878</v>
      </c>
      <c r="G3361" s="38" t="n">
        <f aca="false">Sens!$E$3361+Sens!$F$3361</f>
        <v>-53.0333474896412</v>
      </c>
      <c r="H3361" s="38" t="n">
        <f aca="false">oth_r*Sens!$H$3277</f>
        <v>11.3056899959481</v>
      </c>
      <c r="I3361" s="38" t="n">
        <f aca="false">oth_r*Sens!$I$3277</f>
        <v>12.8525717325912</v>
      </c>
      <c r="J3361" s="38" t="n">
        <f aca="false">oth_r*Sens!$J$3277</f>
        <v>14.357295266249</v>
      </c>
      <c r="K3361" s="38" t="n">
        <f aca="false">oth_r*Sens!$K$3277</f>
        <v>15.7105211258917</v>
      </c>
      <c r="L3361" s="38" t="n">
        <f aca="false">oth_r*Sens!$L$3277</f>
        <v>16.9939058203546</v>
      </c>
      <c r="M3361" s="38" t="n">
        <f aca="false">oth_r*Sens!$M$3277</f>
        <v>18.2138126714013</v>
      </c>
      <c r="P3361" s="8" t="s">
        <v>781</v>
      </c>
    </row>
    <row r="3362" customFormat="false" ht="15" hidden="false" customHeight="false" outlineLevel="0" collapsed="false">
      <c r="A3362" s="3" t="s">
        <v>552</v>
      </c>
      <c r="B3362" s="8" t="s">
        <v>86</v>
      </c>
      <c r="C3362" s="38" t="n">
        <f aca="false">Q!$D$44</f>
        <v>115.877</v>
      </c>
      <c r="D3362" s="38" t="n">
        <f aca="false">Q!$E$44</f>
        <v>139.514</v>
      </c>
      <c r="E3362" s="38" t="n">
        <f aca="false">Q!$P$44</f>
        <v>71.419</v>
      </c>
      <c r="F3362" s="38" t="n">
        <f aca="false">Sens!$F$3358+Sens!$F$3359+Sens!$F$3360+Sens!$F$3361</f>
        <v>91.3381665166794</v>
      </c>
      <c r="G3362" s="38" t="n">
        <f aca="false">Sens!$E$3362+Sens!$F$3362</f>
        <v>162.757166516679</v>
      </c>
      <c r="H3362" s="38" t="n">
        <f aca="false">Sens!$H$3358+Sens!$H$3359+Sens!$H$3360+Sens!$H$3361</f>
        <v>221.517649870007</v>
      </c>
      <c r="I3362" s="38" t="n">
        <f aca="false">Sens!$I$3358+Sens!$I$3359+Sens!$I$3360+Sens!$I$3361</f>
        <v>274.869322839527</v>
      </c>
      <c r="J3362" s="38" t="n">
        <f aca="false">Sens!$J$3358+Sens!$J$3359+Sens!$J$3360+Sens!$J$3361</f>
        <v>329.791199585747</v>
      </c>
      <c r="K3362" s="38" t="n">
        <f aca="false">Sens!$K$3358+Sens!$K$3359+Sens!$K$3360+Sens!$K$3361</f>
        <v>381.605170658494</v>
      </c>
      <c r="L3362" s="38" t="n">
        <f aca="false">Sens!$L$3358+Sens!$L$3359+Sens!$L$3360+Sens!$L$3361</f>
        <v>427.878337804399</v>
      </c>
      <c r="M3362" s="38" t="n">
        <f aca="false">Sens!$M$3358+Sens!$M$3359+Sens!$M$3360+Sens!$M$3361</f>
        <v>469.253343107174</v>
      </c>
    </row>
    <row r="3363" customFormat="false" ht="17.15" hidden="false" customHeight="false" outlineLevel="0" collapsed="false">
      <c r="A3363" s="5" t="s">
        <v>782</v>
      </c>
      <c r="B3363" s="0" t="s">
        <v>86</v>
      </c>
      <c r="C3363" s="38" t="n">
        <f aca="false">Sens!$C$3246</f>
        <v>25.2781053077374</v>
      </c>
      <c r="D3363" s="38" t="n">
        <f aca="false">Sens!$D$3246</f>
        <v>69.5686316310026</v>
      </c>
      <c r="E3363" s="38" t="n">
        <f aca="false">Sens!$E$3246</f>
        <v>64.1899206485108</v>
      </c>
      <c r="F3363" s="38" t="n">
        <f aca="false">Sens!$F$3246</f>
        <v>96.2481299895</v>
      </c>
      <c r="G3363" s="38" t="n">
        <f aca="false">Sens!$G$3246</f>
        <v>160.438050638011</v>
      </c>
      <c r="H3363" s="38" t="n">
        <f aca="false">Sens!$H$3246</f>
        <v>198.57136494475</v>
      </c>
      <c r="I3363" s="38" t="n">
        <f aca="false">Sens!$I$3246</f>
        <v>204.6464699105</v>
      </c>
      <c r="J3363" s="38" t="n">
        <f aca="false">Sens!$J$3246</f>
        <v>209.8832381105</v>
      </c>
      <c r="K3363" s="38" t="n">
        <f aca="false">Sens!$K$3246</f>
        <v>155.238385275201</v>
      </c>
      <c r="L3363" s="38" t="n">
        <f aca="false">Sens!$L$3246</f>
        <v>132.014141639902</v>
      </c>
      <c r="M3363" s="38" t="n">
        <f aca="false">Sens!$M$3246</f>
        <v>132.230981659852</v>
      </c>
    </row>
    <row r="3364" customFormat="false" ht="17.15" hidden="false" customHeight="false" outlineLevel="0" collapsed="false">
      <c r="A3364" s="5" t="s">
        <v>783</v>
      </c>
      <c r="B3364" s="0" t="s">
        <v>86</v>
      </c>
      <c r="C3364" s="38" t="n">
        <f aca="false">cx_awso*Sens!$C$3275</f>
        <v>21.0469989286053</v>
      </c>
      <c r="D3364" s="38" t="n">
        <f aca="false">cx_awso*Sens!$D$3275</f>
        <v>24.0042459822698</v>
      </c>
      <c r="E3364" s="38" t="n">
        <f aca="false">cx_awso*Sens!$E$3275</f>
        <v>14.261729404886</v>
      </c>
      <c r="F3364" s="38" t="n">
        <f aca="false">cx_awso*Sens!$F$3275</f>
        <v>14.3538599588493</v>
      </c>
      <c r="G3364" s="38" t="n">
        <f aca="false">Sens!$E$3364+Sens!$F$3364</f>
        <v>28.6155893637353</v>
      </c>
      <c r="H3364" s="38" t="n">
        <f aca="false">cx_awso*Sens!$H$3275</f>
        <v>32.4180323360686</v>
      </c>
      <c r="I3364" s="38" t="n">
        <f aca="false">cx_awso*Sens!$I$3275</f>
        <v>36.4785015576938</v>
      </c>
      <c r="J3364" s="38" t="n">
        <f aca="false">cx_awso*Sens!$J$3275</f>
        <v>40.7693475701775</v>
      </c>
      <c r="K3364" s="38" t="n">
        <f aca="false">cx_awso*Sens!$K$3275</f>
        <v>45.253975802897</v>
      </c>
      <c r="L3364" s="38" t="n">
        <f aca="false">cx_awso*Sens!$L$3275</f>
        <v>50.2319131412157</v>
      </c>
      <c r="M3364" s="38" t="n">
        <f aca="false">cx_awso*Sens!$M$3275</f>
        <v>55.7574235867494</v>
      </c>
    </row>
    <row r="3365" customFormat="false" ht="17.15" hidden="false" customHeight="false" outlineLevel="0" collapsed="false">
      <c r="A3365" s="5" t="s">
        <v>784</v>
      </c>
      <c r="B3365" s="0" t="s">
        <v>86</v>
      </c>
      <c r="C3365" s="38" t="n">
        <f aca="false">Q!$D$46-Sens!$C$3363-Sens!$C$3364</f>
        <v>31.3328957636573</v>
      </c>
      <c r="D3365" s="38" t="n">
        <f aca="false">Q!$E$46-Sens!$D$3363-Sens!$D$3364</f>
        <v>34.7471223867276</v>
      </c>
      <c r="E3365" s="38" t="n">
        <f aca="false">Q!$P$46-Sens!$E$3363-Sens!$E$3364</f>
        <v>17.8583499466032</v>
      </c>
      <c r="F3365" s="38" t="n">
        <f aca="false">cx_rt*Sens!$F$3209</f>
        <v>20.6195895799373</v>
      </c>
      <c r="G3365" s="38" t="n">
        <f aca="false">Sens!$E$3365+Sens!$F$3365</f>
        <v>38.4779395265405</v>
      </c>
      <c r="H3365" s="38" t="n">
        <f aca="false">cx_rt*Sens!$H$3209</f>
        <v>42.5978994743075</v>
      </c>
      <c r="I3365" s="38" t="n">
        <f aca="false">cx_rt*Sens!$I$3209</f>
        <v>46.5813904136335</v>
      </c>
      <c r="J3365" s="38" t="n">
        <f aca="false">cx_rt*Sens!$J$3209</f>
        <v>50.2781676586844</v>
      </c>
      <c r="K3365" s="38" t="n">
        <f aca="false">cx_rt*Sens!$K$3209</f>
        <v>53.5312440191755</v>
      </c>
      <c r="L3365" s="38" t="n">
        <f aca="false">cx_rt*Sens!$L$3209</f>
        <v>57.0116717051447</v>
      </c>
      <c r="M3365" s="38" t="n">
        <f aca="false">cx_rt*Sens!$M$3209</f>
        <v>60.7365554669226</v>
      </c>
    </row>
    <row r="3366" customFormat="false" ht="15" hidden="false" customHeight="false" outlineLevel="0" collapsed="false">
      <c r="A3366" s="3" t="s">
        <v>785</v>
      </c>
      <c r="B3366" s="8" t="s">
        <v>86</v>
      </c>
      <c r="C3366" s="38" t="n">
        <f aca="false">Q!$D$46</f>
        <v>77.658</v>
      </c>
      <c r="D3366" s="38" t="n">
        <f aca="false">Q!$E$46</f>
        <v>128.32</v>
      </c>
      <c r="E3366" s="38" t="n">
        <f aca="false">Q!$P$46</f>
        <v>96.31</v>
      </c>
      <c r="F3366" s="38" t="n">
        <f aca="false">Sens!$F$3363+Sens!$F$3364+Sens!$F$3365</f>
        <v>131.221579528287</v>
      </c>
      <c r="G3366" s="38" t="n">
        <f aca="false">Sens!$E$3366+Sens!$F$3366</f>
        <v>227.531579528287</v>
      </c>
      <c r="H3366" s="38" t="n">
        <f aca="false">Sens!$H$3363+Sens!$H$3364+Sens!$H$3365</f>
        <v>273.587296755126</v>
      </c>
      <c r="I3366" s="38" t="n">
        <f aca="false">Sens!$I$3363+Sens!$I$3364+Sens!$I$3365</f>
        <v>287.706361881827</v>
      </c>
      <c r="J3366" s="38" t="n">
        <f aca="false">Sens!$J$3363+Sens!$J$3364+Sens!$J$3365</f>
        <v>300.930753339362</v>
      </c>
      <c r="K3366" s="38" t="n">
        <f aca="false">Sens!$K$3363+Sens!$K$3364+Sens!$K$3365</f>
        <v>254.023605097273</v>
      </c>
      <c r="L3366" s="38" t="n">
        <f aca="false">Sens!$L$3363+Sens!$L$3364+Sens!$L$3365</f>
        <v>239.257726486262</v>
      </c>
      <c r="M3366" s="38" t="n">
        <f aca="false">Sens!$M$3363+Sens!$M$3364+Sens!$M$3365</f>
        <v>248.724960713524</v>
      </c>
    </row>
    <row r="3367" customFormat="false" ht="17.15" hidden="false" customHeight="false" outlineLevel="0" collapsed="false">
      <c r="A3367" s="5" t="s">
        <v>560</v>
      </c>
      <c r="B3367" s="0" t="s">
        <v>86</v>
      </c>
      <c r="C3367" s="38" t="n">
        <f aca="false">Q!$D$50</f>
        <v>2.043</v>
      </c>
      <c r="D3367" s="38" t="n">
        <f aca="false">Q!$E$50</f>
        <v>1.557</v>
      </c>
      <c r="E3367" s="38" t="n">
        <f aca="false">lease_pr/2</f>
        <v>0.8</v>
      </c>
      <c r="F3367" s="38" t="n">
        <f aca="false">lease_pr/2</f>
        <v>0.8</v>
      </c>
      <c r="G3367" s="38" t="n">
        <f aca="false">Sens!$E$3367+Sens!$F$3367</f>
        <v>1.6</v>
      </c>
      <c r="H3367" s="38" t="n">
        <f aca="false">lease_pr</f>
        <v>1.6</v>
      </c>
      <c r="I3367" s="38" t="n">
        <f aca="false">lease_pr</f>
        <v>1.6</v>
      </c>
      <c r="J3367" s="38" t="n">
        <f aca="false">lease_pr</f>
        <v>1.6</v>
      </c>
      <c r="K3367" s="38" t="n">
        <f aca="false">lease_pr</f>
        <v>1.6</v>
      </c>
      <c r="L3367" s="38" t="n">
        <f aca="false">lease_pr</f>
        <v>1.6</v>
      </c>
      <c r="M3367" s="38" t="n">
        <f aca="false">lease_pr</f>
        <v>1.6</v>
      </c>
      <c r="P3367" s="8" t="s">
        <v>786</v>
      </c>
    </row>
    <row r="3368" customFormat="false" ht="15" hidden="false" customHeight="false" outlineLevel="0" collapsed="false">
      <c r="A3368" s="47" t="s">
        <v>787</v>
      </c>
      <c r="B3368" s="14" t="s">
        <v>86</v>
      </c>
      <c r="C3368" s="48" t="n">
        <f aca="false">Sens!$C$3362-Sens!$C$3366-Sens!$C$3367</f>
        <v>36.176</v>
      </c>
      <c r="D3368" s="48" t="n">
        <f aca="false">Sens!$D$3362-Sens!$D$3366-Sens!$D$3367</f>
        <v>9.63700000000002</v>
      </c>
      <c r="E3368" s="48" t="n">
        <f aca="false">Sens!$E$3362-Sens!$E$3366-Sens!$E$3367</f>
        <v>-25.691</v>
      </c>
      <c r="F3368" s="48" t="n">
        <f aca="false">Sens!$F$3362-Sens!$F$3366-Sens!$F$3367</f>
        <v>-40.6834130116072</v>
      </c>
      <c r="G3368" s="48" t="n">
        <f aca="false">Sens!$G$3362-Sens!$G$3366-Sens!$G$3367</f>
        <v>-66.3744130116072</v>
      </c>
      <c r="H3368" s="48" t="n">
        <f aca="false">Sens!$H$3362-Sens!$H$3366-Sens!$H$3367</f>
        <v>-53.6696468851188</v>
      </c>
      <c r="I3368" s="48" t="n">
        <f aca="false">Sens!$I$3362-Sens!$I$3366-Sens!$I$3367</f>
        <v>-14.4370390423005</v>
      </c>
      <c r="J3368" s="48" t="n">
        <f aca="false">Sens!$J$3362-Sens!$J$3366-Sens!$J$3367</f>
        <v>27.2604462463847</v>
      </c>
      <c r="K3368" s="48" t="n">
        <f aca="false">Sens!$K$3362-Sens!$K$3366-Sens!$K$3367</f>
        <v>125.981565561221</v>
      </c>
      <c r="L3368" s="48" t="n">
        <f aca="false">Sens!$L$3362-Sens!$L$3366-Sens!$L$3367</f>
        <v>187.020611318137</v>
      </c>
      <c r="M3368" s="48" t="n">
        <f aca="false">Sens!$M$3362-Sens!$M$3366-Sens!$M$3367</f>
        <v>218.92838239365</v>
      </c>
      <c r="N3368" s="14"/>
      <c r="O3368" s="14"/>
    </row>
    <row r="3369" customFormat="false" ht="17.15" hidden="false" customHeight="false" outlineLevel="0" collapsed="false">
      <c r="A3369" s="5" t="s">
        <v>788</v>
      </c>
      <c r="B3369" s="0" t="s">
        <v>86</v>
      </c>
      <c r="C3369" s="38" t="n">
        <f aca="false">dps*Sens!$C$3348</f>
        <v>0</v>
      </c>
      <c r="D3369" s="38" t="n">
        <f aca="false">dps*Sens!$D$3348</f>
        <v>0</v>
      </c>
      <c r="E3369" s="38" t="n">
        <f aca="false">dps*Sens!$E$3348</f>
        <v>0</v>
      </c>
      <c r="F3369" s="38" t="n">
        <f aca="false">0</f>
        <v>0</v>
      </c>
      <c r="G3369" s="38" t="n">
        <f aca="false">dps*Sens!$G$3348</f>
        <v>0</v>
      </c>
      <c r="H3369" s="38" t="n">
        <f aca="false">dps*Sens!$H$3348</f>
        <v>0</v>
      </c>
      <c r="I3369" s="38" t="n">
        <f aca="false">dps*Sens!$I$3348</f>
        <v>0</v>
      </c>
      <c r="J3369" s="38" t="n">
        <f aca="false">dps*Sens!$J$3348</f>
        <v>0</v>
      </c>
      <c r="K3369" s="38" t="n">
        <f aca="false">dps*Sens!$K$3348</f>
        <v>0</v>
      </c>
      <c r="L3369" s="38" t="n">
        <f aca="false">dps*Sens!$L$3348</f>
        <v>0</v>
      </c>
      <c r="M3369" s="38" t="n">
        <f aca="false">dps*Sens!$M$3348</f>
        <v>0</v>
      </c>
      <c r="P3369" s="8" t="s">
        <v>789</v>
      </c>
    </row>
    <row r="3370" customFormat="false" ht="17.15" hidden="false" customHeight="false" outlineLevel="0" collapsed="false">
      <c r="A3370" s="5" t="s">
        <v>790</v>
      </c>
      <c r="B3370" s="0" t="s">
        <v>86</v>
      </c>
      <c r="C3370" s="38" t="n">
        <f aca="false">0</f>
        <v>0</v>
      </c>
      <c r="D3370" s="38" t="n">
        <f aca="false">0</f>
        <v>0</v>
      </c>
      <c r="E3370" s="38" t="n">
        <f aca="false">0</f>
        <v>0</v>
      </c>
      <c r="F3370" s="38" t="n">
        <f aca="false">0</f>
        <v>0</v>
      </c>
      <c r="G3370" s="38" t="n">
        <f aca="false">0</f>
        <v>0</v>
      </c>
      <c r="H3370" s="38" t="n">
        <f aca="false">0</f>
        <v>0</v>
      </c>
      <c r="I3370" s="38" t="n">
        <f aca="false">0</f>
        <v>0</v>
      </c>
      <c r="J3370" s="38" t="n">
        <f aca="false">0</f>
        <v>0</v>
      </c>
      <c r="K3370" s="38" t="n">
        <f aca="false">0</f>
        <v>0</v>
      </c>
      <c r="L3370" s="38" t="n">
        <f aca="false">0</f>
        <v>0</v>
      </c>
      <c r="M3370" s="38" t="n">
        <f aca="false">0</f>
        <v>0</v>
      </c>
      <c r="P3370" s="8" t="s">
        <v>791</v>
      </c>
    </row>
    <row r="3371" customFormat="false" ht="15" hidden="false" customHeight="false" outlineLevel="0" collapsed="false">
      <c r="A3371" s="3" t="s">
        <v>792</v>
      </c>
      <c r="B3371" s="8" t="s">
        <v>86</v>
      </c>
      <c r="C3371" s="38" t="n">
        <f aca="false">Sens!$C$3368-Sens!$C$3369</f>
        <v>36.176</v>
      </c>
      <c r="D3371" s="38" t="n">
        <f aca="false">Sens!$D$3368-Sens!$D$3369</f>
        <v>9.63700000000002</v>
      </c>
      <c r="E3371" s="38" t="n">
        <f aca="false">Sens!$E$3368-Sens!$E$3369</f>
        <v>-25.691</v>
      </c>
      <c r="F3371" s="38" t="n">
        <f aca="false">Sens!$F$3368-Sens!$F$3369</f>
        <v>-40.6834130116072</v>
      </c>
      <c r="G3371" s="38" t="n">
        <f aca="false">Sens!$G$3368-Sens!$G$3369</f>
        <v>-66.3744130116072</v>
      </c>
      <c r="H3371" s="38" t="n">
        <f aca="false">Sens!$H$3368-Sens!$H$3369</f>
        <v>-53.6696468851188</v>
      </c>
      <c r="I3371" s="38" t="n">
        <f aca="false">Sens!$I$3368-Sens!$I$3369</f>
        <v>-14.4370390423005</v>
      </c>
      <c r="J3371" s="38" t="n">
        <f aca="false">Sens!$J$3368-Sens!$J$3369</f>
        <v>27.2604462463847</v>
      </c>
      <c r="K3371" s="38" t="n">
        <f aca="false">Sens!$K$3368-Sens!$K$3369</f>
        <v>125.981565561221</v>
      </c>
      <c r="L3371" s="38" t="n">
        <f aca="false">Sens!$L$3368-Sens!$L$3369</f>
        <v>187.020611318137</v>
      </c>
      <c r="M3371" s="38" t="n">
        <f aca="false">Sens!$M$3368-Sens!$M$3369</f>
        <v>218.92838239365</v>
      </c>
    </row>
    <row r="3372" customFormat="false" ht="17.15" hidden="false" customHeight="false" outlineLevel="0" collapsed="false">
      <c r="A3372" s="5" t="s">
        <v>793</v>
      </c>
      <c r="B3372" s="0" t="s">
        <v>86</v>
      </c>
      <c r="E3372" s="38" t="n">
        <f aca="false">Q!$P$53</f>
        <v>39.767</v>
      </c>
      <c r="F3372" s="38" t="n">
        <f aca="false">inv_2h26</f>
        <v>21.3</v>
      </c>
      <c r="G3372" s="38" t="n">
        <f aca="false">Sens!$E$3372+Sens!$F$3372</f>
        <v>61.067</v>
      </c>
      <c r="H3372" s="39" t="n">
        <v>0</v>
      </c>
      <c r="I3372" s="39" t="n">
        <v>0</v>
      </c>
      <c r="J3372" s="39" t="n">
        <v>0</v>
      </c>
      <c r="K3372" s="39" t="n">
        <v>0</v>
      </c>
      <c r="L3372" s="39" t="n">
        <v>0</v>
      </c>
      <c r="M3372" s="39" t="n">
        <v>0</v>
      </c>
    </row>
    <row r="3373" customFormat="false" ht="17.15" hidden="false" customHeight="false" outlineLevel="0" collapsed="false">
      <c r="A3373" s="5" t="s">
        <v>794</v>
      </c>
      <c r="B3373" s="0" t="s">
        <v>86</v>
      </c>
      <c r="F3373" s="38" t="n">
        <f aca="false">iss_2h26</f>
        <v>29.249999</v>
      </c>
      <c r="G3373" s="38" t="n">
        <f aca="false">Sens!$F$3373</f>
        <v>29.249999</v>
      </c>
      <c r="H3373" s="39" t="n">
        <v>0</v>
      </c>
      <c r="I3373" s="39" t="n">
        <v>0</v>
      </c>
      <c r="J3373" s="39" t="n">
        <v>0</v>
      </c>
      <c r="K3373" s="39" t="n">
        <v>0</v>
      </c>
      <c r="L3373" s="39" t="n">
        <v>0</v>
      </c>
      <c r="M3373" s="39" t="n">
        <v>0</v>
      </c>
    </row>
    <row r="3374" customFormat="false" ht="17.15" hidden="false" customHeight="false" outlineLevel="0" collapsed="false">
      <c r="A3374" s="5" t="s">
        <v>795</v>
      </c>
      <c r="B3374" s="0" t="s">
        <v>86</v>
      </c>
      <c r="F3374" s="38" t="n">
        <f aca="false">cash_q2</f>
        <v>122.988</v>
      </c>
      <c r="G3374" s="38" t="n">
        <f aca="false">cash_q2</f>
        <v>122.988</v>
      </c>
      <c r="H3374" s="38" t="n">
        <f aca="false">Sens!$G$3377</f>
        <v>90.2545859883928</v>
      </c>
      <c r="I3374" s="38" t="n">
        <f aca="false">Sens!$H$3377</f>
        <v>50</v>
      </c>
      <c r="J3374" s="38" t="n">
        <f aca="false">Sens!$I$3377</f>
        <v>50</v>
      </c>
      <c r="K3374" s="38" t="n">
        <f aca="false">Sens!$J$3377</f>
        <v>77.2604462463847</v>
      </c>
      <c r="L3374" s="38" t="n">
        <f aca="false">Sens!$K$3377</f>
        <v>203.242011807605</v>
      </c>
      <c r="M3374" s="38" t="n">
        <f aca="false">Sens!$L$3377</f>
        <v>390.262623125743</v>
      </c>
    </row>
    <row r="3375" customFormat="false" ht="15" hidden="false" customHeight="false" outlineLevel="0" collapsed="false">
      <c r="A3375" s="5" t="s">
        <v>796</v>
      </c>
      <c r="B3375" s="0" t="s">
        <v>86</v>
      </c>
      <c r="F3375" s="38" t="n">
        <f aca="false">Sens!$F$3374+Sens!$F$3371-Sens!$F$3370-Sens!$F$3372+Sens!$F$3373</f>
        <v>90.2545859883928</v>
      </c>
      <c r="H3375" s="38" t="n">
        <f aca="false">Sens!$H$3374+Sens!$H$3371-Sens!$H$3370-Sens!$H$3372+Sens!$H$3373</f>
        <v>36.584939103274</v>
      </c>
      <c r="I3375" s="38" t="n">
        <f aca="false">Sens!$I$3374+Sens!$I$3371-Sens!$I$3370-Sens!$I$3372+Sens!$I$3373</f>
        <v>35.5629609576995</v>
      </c>
      <c r="J3375" s="38" t="n">
        <f aca="false">Sens!$J$3374+Sens!$J$3371-Sens!$J$3370-Sens!$J$3372+Sens!$J$3373</f>
        <v>77.2604462463847</v>
      </c>
      <c r="K3375" s="38" t="n">
        <f aca="false">Sens!$K$3374+Sens!$K$3371-Sens!$K$3370-Sens!$K$3372+Sens!$K$3373</f>
        <v>203.242011807605</v>
      </c>
      <c r="L3375" s="38" t="n">
        <f aca="false">Sens!$L$3374+Sens!$L$3371-Sens!$L$3370-Sens!$L$3372+Sens!$L$3373</f>
        <v>390.262623125743</v>
      </c>
      <c r="M3375" s="38" t="n">
        <f aca="false">Sens!$M$3374+Sens!$M$3371-Sens!$M$3370-Sens!$M$3372+Sens!$M$3373</f>
        <v>609.191005519393</v>
      </c>
    </row>
    <row r="3376" customFormat="false" ht="17.15" hidden="false" customHeight="false" outlineLevel="0" collapsed="false">
      <c r="A3376" s="5" t="s">
        <v>797</v>
      </c>
      <c r="B3376" s="0" t="s">
        <v>86</v>
      </c>
      <c r="F3376" s="38" t="n">
        <f aca="false">MAX(0,min_cash-Sens!$F$3375)</f>
        <v>0</v>
      </c>
      <c r="G3376" s="38" t="n">
        <f aca="false">Sens!$F$3376</f>
        <v>0</v>
      </c>
      <c r="H3376" s="38" t="n">
        <f aca="false">MAX(0,min_cash-Sens!$H$3375)</f>
        <v>13.415060896726</v>
      </c>
      <c r="I3376" s="38" t="n">
        <f aca="false">MAX(0,min_cash-Sens!$I$3375)</f>
        <v>14.4370390423005</v>
      </c>
      <c r="J3376" s="38" t="n">
        <f aca="false">MAX(0,min_cash-Sens!$J$3375)</f>
        <v>0</v>
      </c>
      <c r="K3376" s="38" t="n">
        <f aca="false">MAX(0,min_cash-Sens!$K$3375)</f>
        <v>0</v>
      </c>
      <c r="L3376" s="38" t="n">
        <f aca="false">MAX(0,min_cash-Sens!$L$3375)</f>
        <v>0</v>
      </c>
      <c r="M3376" s="38" t="n">
        <f aca="false">MAX(0,min_cash-Sens!$M$3375)</f>
        <v>0</v>
      </c>
      <c r="P3376" s="5" t="s">
        <v>798</v>
      </c>
    </row>
    <row r="3377" customFormat="false" ht="15" hidden="false" customHeight="false" outlineLevel="0" collapsed="false">
      <c r="A3377" s="5" t="s">
        <v>799</v>
      </c>
      <c r="B3377" s="0" t="s">
        <v>86</v>
      </c>
      <c r="D3377" s="38" t="n">
        <f aca="false">Q!$E$61</f>
        <v>123.029</v>
      </c>
      <c r="E3377" s="38" t="n">
        <f aca="false">Q!$M$61</f>
        <v>122.988</v>
      </c>
      <c r="F3377" s="38" t="n">
        <f aca="false">Sens!$F$3375+Sens!$F$3376</f>
        <v>90.2545859883928</v>
      </c>
      <c r="G3377" s="38" t="n">
        <f aca="false">Sens!$F$3377</f>
        <v>90.2545859883928</v>
      </c>
      <c r="H3377" s="38" t="n">
        <f aca="false">Sens!$H$3375+Sens!$H$3376</f>
        <v>50</v>
      </c>
      <c r="I3377" s="38" t="n">
        <f aca="false">Sens!$I$3375+Sens!$I$3376</f>
        <v>50</v>
      </c>
      <c r="J3377" s="38" t="n">
        <f aca="false">Sens!$J$3375+Sens!$J$3376</f>
        <v>77.2604462463847</v>
      </c>
      <c r="K3377" s="38" t="n">
        <f aca="false">Sens!$K$3375+Sens!$K$3376</f>
        <v>203.242011807605</v>
      </c>
      <c r="L3377" s="38" t="n">
        <f aca="false">Sens!$L$3375+Sens!$L$3376</f>
        <v>390.262623125743</v>
      </c>
      <c r="M3377" s="38" t="n">
        <f aca="false">Sens!$M$3375+Sens!$M$3376</f>
        <v>609.191005519393</v>
      </c>
    </row>
    <row r="3378" customFormat="false" ht="15" hidden="false" customHeight="false" outlineLevel="0" collapsed="false">
      <c r="A3378" s="5" t="s">
        <v>800</v>
      </c>
      <c r="B3378" s="0" t="s">
        <v>86</v>
      </c>
      <c r="D3378" s="38" t="n">
        <f aca="false">Q!$E$62</f>
        <v>68.836</v>
      </c>
      <c r="E3378" s="38" t="n">
        <f aca="false">Q!$M$62</f>
        <v>132.995</v>
      </c>
      <c r="F3378" s="38" t="n">
        <f aca="false">debt_q2+Sens!$F$3373+Sens!$F$3376</f>
        <v>162.244999</v>
      </c>
      <c r="G3378" s="38" t="n">
        <f aca="false">Sens!$F$3378</f>
        <v>162.244999</v>
      </c>
      <c r="H3378" s="38" t="n">
        <f aca="false">Sens!$G$3378+Sens!$H$3376</f>
        <v>175.660059896726</v>
      </c>
      <c r="I3378" s="38" t="n">
        <f aca="false">Sens!$H$3378+Sens!$I$3376</f>
        <v>190.097098939027</v>
      </c>
      <c r="J3378" s="38" t="n">
        <f aca="false">Sens!$I$3378+Sens!$J$3376</f>
        <v>190.097098939027</v>
      </c>
      <c r="K3378" s="38" t="n">
        <f aca="false">Sens!$J$3378+Sens!$K$3376</f>
        <v>190.097098939027</v>
      </c>
      <c r="L3378" s="38" t="n">
        <f aca="false">Sens!$K$3378+Sens!$L$3376</f>
        <v>190.097098939027</v>
      </c>
      <c r="M3378" s="38" t="n">
        <f aca="false">Sens!$L$3378+Sens!$M$3376</f>
        <v>190.097098939027</v>
      </c>
    </row>
    <row r="3379" customFormat="false" ht="15" hidden="false" customHeight="false" outlineLevel="0" collapsed="false">
      <c r="A3379" s="5" t="s">
        <v>801</v>
      </c>
      <c r="B3379" s="0" t="s">
        <v>86</v>
      </c>
      <c r="D3379" s="38" t="n">
        <f aca="false">Sens!$D$3378-Sens!$D$3377</f>
        <v>-54.193</v>
      </c>
      <c r="E3379" s="38" t="n">
        <f aca="false">Sens!$E$3378-Sens!$E$3377</f>
        <v>10.007</v>
      </c>
      <c r="F3379" s="38" t="n">
        <f aca="false">Sens!$F$3378-Sens!$F$3377</f>
        <v>71.9904130116072</v>
      </c>
      <c r="G3379" s="38" t="n">
        <f aca="false">Sens!$G$3378-Sens!$G$3377</f>
        <v>71.9904130116072</v>
      </c>
      <c r="H3379" s="38" t="n">
        <f aca="false">Sens!$H$3378-Sens!$H$3377</f>
        <v>125.660059896726</v>
      </c>
      <c r="I3379" s="38" t="n">
        <f aca="false">Sens!$I$3378-Sens!$I$3377</f>
        <v>140.097098939027</v>
      </c>
      <c r="J3379" s="38" t="n">
        <f aca="false">Sens!$J$3378-Sens!$J$3377</f>
        <v>112.836652692642</v>
      </c>
      <c r="K3379" s="38" t="n">
        <f aca="false">Sens!$K$3378-Sens!$K$3377</f>
        <v>-13.144912868579</v>
      </c>
      <c r="L3379" s="38" t="n">
        <f aca="false">Sens!$L$3378-Sens!$L$3377</f>
        <v>-200.165524186716</v>
      </c>
      <c r="M3379" s="38" t="n">
        <f aca="false">Sens!$M$3378-Sens!$M$3377</f>
        <v>-419.093906580366</v>
      </c>
    </row>
    <row r="3380" customFormat="false" ht="17.15" hidden="false" customHeight="false" outlineLevel="0" collapsed="false">
      <c r="A3380" s="5" t="s">
        <v>802</v>
      </c>
      <c r="B3380" s="0" t="s">
        <v>86</v>
      </c>
      <c r="F3380" s="38" t="n">
        <f aca="false">debt_q2*kd_book*0.5+iss_2h26*kd_new*iss_t</f>
        <v>3.24888962733561</v>
      </c>
      <c r="H3380" s="38" t="n">
        <f aca="false">debt_q2*kd_book+(Sens!$G$3378-debt_q2)*kd_new</f>
        <v>7.42354172302123</v>
      </c>
      <c r="I3380" s="38" t="n">
        <f aca="false">debt_q2*kd_book+(Sens!$H$3378-debt_q2)*kd_new</f>
        <v>8.27271507778398</v>
      </c>
      <c r="J3380" s="38" t="n">
        <f aca="false">debt_q2*kd_book+(Sens!$I$3378-debt_q2)*kd_new</f>
        <v>9.18657964916161</v>
      </c>
      <c r="K3380" s="38" t="n">
        <f aca="false">debt_q2*kd_book+(Sens!$J$3378-debt_q2)*kd_new</f>
        <v>9.18657964916161</v>
      </c>
      <c r="L3380" s="38" t="n">
        <f aca="false">debt_q2*kd_book+(Sens!$K$3378-debt_q2)*kd_new</f>
        <v>9.18657964916161</v>
      </c>
      <c r="M3380" s="38" t="n">
        <f aca="false">debt_q2*kd_book+(Sens!$L$3378-debt_q2)*kd_new</f>
        <v>9.18657964916161</v>
      </c>
    </row>
    <row r="3381" customFormat="false" ht="17.15" hidden="false" customHeight="false" outlineLevel="0" collapsed="false">
      <c r="A3381" s="5" t="s">
        <v>803</v>
      </c>
      <c r="B3381" s="0" t="s">
        <v>86</v>
      </c>
      <c r="F3381" s="38" t="n">
        <f aca="false">cash_q2*y_cash*0.5</f>
        <v>2.59</v>
      </c>
      <c r="H3381" s="38" t="n">
        <f aca="false">Sens!$G$3377*y_cash</f>
        <v>3.80133635330174</v>
      </c>
      <c r="I3381" s="38" t="n">
        <f aca="false">Sens!$H$3377*y_cash</f>
        <v>2.10589651022864</v>
      </c>
      <c r="J3381" s="38" t="n">
        <f aca="false">Sens!$I$3377*y_cash</f>
        <v>2.10589651022864</v>
      </c>
      <c r="K3381" s="38" t="n">
        <f aca="false">Sens!$J$3377*y_cash</f>
        <v>3.25405008257938</v>
      </c>
      <c r="L3381" s="38" t="n">
        <f aca="false">Sens!$K$3377*y_cash</f>
        <v>8.56013286794969</v>
      </c>
      <c r="M3381" s="38" t="n">
        <f aca="false">Sens!$L$3377*y_cash</f>
        <v>16.4370539222635</v>
      </c>
    </row>
    <row r="3382" customFormat="false" ht="17.15" hidden="false" customHeight="false" outlineLevel="0" collapsed="false">
      <c r="A3382" s="47" t="s">
        <v>804</v>
      </c>
      <c r="B3382" s="14" t="s">
        <v>86</v>
      </c>
      <c r="C3382" s="14"/>
      <c r="D3382" s="14"/>
      <c r="E3382" s="14"/>
      <c r="F3382" s="14"/>
      <c r="G3382" s="48" t="n">
        <f aca="false">SUM(Sens!$G$3371:$K$3371)</f>
        <v>18.760912868579</v>
      </c>
      <c r="H3382" s="14"/>
      <c r="I3382" s="14"/>
      <c r="J3382" s="14"/>
      <c r="K3382" s="14"/>
      <c r="L3382" s="14"/>
      <c r="M3382" s="14"/>
      <c r="N3382" s="14"/>
      <c r="O3382" s="14"/>
    </row>
    <row r="3383" customFormat="false" ht="17.15" hidden="false" customHeight="false" outlineLevel="0" collapsed="false">
      <c r="A3383" s="0" t="s">
        <v>770</v>
      </c>
      <c r="B3383" s="0" t="s">
        <v>86</v>
      </c>
      <c r="G3383" s="38" t="n">
        <f aca="false">SUM(Sens!$G$3376:$K$3376)</f>
        <v>27.8520999390265</v>
      </c>
    </row>
    <row r="3384" customFormat="false" ht="17.15" hidden="false" customHeight="false" outlineLevel="0" collapsed="false">
      <c r="A3384" s="24" t="s">
        <v>807</v>
      </c>
      <c r="B3384" s="25" t="s">
        <v>86</v>
      </c>
      <c r="C3384" s="25"/>
      <c r="D3384" s="25"/>
      <c r="E3384" s="25"/>
      <c r="F3384" s="25"/>
      <c r="G3384" s="41" t="n">
        <f aca="false">Sens!$G$3382-(Sens!$G$3371+Sens!$H$3371+Sens!$I$3371+Sens!$J$3371+Sens!$K$3371)</f>
        <v>0</v>
      </c>
      <c r="H3384" s="25"/>
      <c r="I3384" s="25"/>
      <c r="J3384" s="25"/>
      <c r="K3384" s="25"/>
      <c r="L3384" s="25"/>
      <c r="M3384" s="25"/>
      <c r="N3384" s="25"/>
      <c r="O3384" s="25"/>
    </row>
    <row r="3387" customFormat="false" ht="19.4" hidden="false" customHeight="false" outlineLevel="0" collapsed="false">
      <c r="A3387" s="31" t="s">
        <v>1196</v>
      </c>
    </row>
    <row r="3388" customFormat="false" ht="17.15" hidden="false" customHeight="false" outlineLevel="0" collapsed="false">
      <c r="A3388" s="6" t="s">
        <v>16</v>
      </c>
      <c r="B3388" s="6" t="s">
        <v>17</v>
      </c>
      <c r="C3388" s="20" t="s">
        <v>494</v>
      </c>
      <c r="D3388" s="20" t="s">
        <v>495</v>
      </c>
      <c r="E3388" s="20" t="s">
        <v>577</v>
      </c>
      <c r="F3388" s="20" t="s">
        <v>578</v>
      </c>
      <c r="G3388" s="20" t="s">
        <v>579</v>
      </c>
      <c r="H3388" s="20" t="s">
        <v>580</v>
      </c>
      <c r="I3388" s="20" t="s">
        <v>581</v>
      </c>
      <c r="J3388" s="20" t="s">
        <v>582</v>
      </c>
      <c r="K3388" s="20" t="s">
        <v>583</v>
      </c>
      <c r="L3388" s="20" t="s">
        <v>584</v>
      </c>
      <c r="M3388" s="20" t="s">
        <v>585</v>
      </c>
      <c r="N3388" s="20" t="s">
        <v>586</v>
      </c>
      <c r="O3388" s="20" t="s">
        <v>587</v>
      </c>
      <c r="P3388" s="6" t="s">
        <v>23</v>
      </c>
      <c r="R3388" s="20" t="n">
        <v>2023</v>
      </c>
      <c r="S3388" s="20" t="n">
        <v>2024</v>
      </c>
      <c r="T3388" s="20" t="n">
        <v>2025</v>
      </c>
      <c r="U3388" s="20" t="n">
        <v>2026</v>
      </c>
      <c r="V3388" s="20" t="n">
        <v>2027</v>
      </c>
      <c r="W3388" s="20" t="n">
        <v>2028</v>
      </c>
      <c r="X3388" s="20" t="n">
        <v>2029</v>
      </c>
      <c r="Y3388" s="20" t="n">
        <v>2030</v>
      </c>
      <c r="Z3388" s="20" t="n">
        <v>2031</v>
      </c>
      <c r="AA3388" s="20" t="n">
        <v>2032</v>
      </c>
    </row>
    <row r="3389" customFormat="false" ht="17.15" hidden="false" customHeight="false" outlineLevel="0" collapsed="false">
      <c r="A3389" s="1" t="s">
        <v>909</v>
      </c>
    </row>
    <row r="3390" customFormat="false" ht="17.15" hidden="false" customHeight="false" outlineLevel="0" collapsed="false">
      <c r="A3390" s="0" t="s">
        <v>910</v>
      </c>
      <c r="B3390" s="0" t="s">
        <v>86</v>
      </c>
      <c r="H3390" s="38" t="n">
        <f aca="false">Sens!$H$3324*(1-tax)</f>
        <v>117.765628546543</v>
      </c>
      <c r="I3390" s="38" t="n">
        <f aca="false">Sens!$I$3324*(1-tax)</f>
        <v>143.951246380568</v>
      </c>
      <c r="J3390" s="38" t="n">
        <f aca="false">Sens!$J$3324*(1-tax)</f>
        <v>169.499308024974</v>
      </c>
      <c r="K3390" s="38" t="n">
        <f aca="false">Sens!$K$3324*(1-tax)</f>
        <v>188.8433532521</v>
      </c>
      <c r="L3390" s="38" t="n">
        <f aca="false">Sens!$L$3324*(1-tax)</f>
        <v>206.817222603519</v>
      </c>
      <c r="M3390" s="38" t="n">
        <f aca="false">Sens!$M$3324*(1-tax)</f>
        <v>222.559731386457</v>
      </c>
    </row>
    <row r="3391" customFormat="false" ht="15" hidden="false" customHeight="false" outlineLevel="0" collapsed="false">
      <c r="A3391" s="5" t="s">
        <v>911</v>
      </c>
      <c r="B3391" s="0" t="s">
        <v>86</v>
      </c>
      <c r="H3391" s="38" t="n">
        <f aca="false">Sens!$H$3335</f>
        <v>84.4822109757695</v>
      </c>
      <c r="I3391" s="38" t="n">
        <f aca="false">Sens!$I$3335</f>
        <v>117.600323961659</v>
      </c>
      <c r="J3391" s="38" t="n">
        <f aca="false">Sens!$J$3335</f>
        <v>151.746570825538</v>
      </c>
      <c r="K3391" s="38" t="n">
        <f aca="false">Sens!$K$3335</f>
        <v>186.480794359384</v>
      </c>
      <c r="L3391" s="38" t="n">
        <f aca="false">Sens!$L$3335</f>
        <v>211.294060479135</v>
      </c>
      <c r="M3391" s="38" t="n">
        <f aca="false">Sens!$M$3335</f>
        <v>228.975978883835</v>
      </c>
    </row>
    <row r="3392" customFormat="false" ht="15" hidden="false" customHeight="false" outlineLevel="0" collapsed="false">
      <c r="A3392" s="5" t="s">
        <v>912</v>
      </c>
      <c r="B3392" s="0" t="s">
        <v>86</v>
      </c>
      <c r="H3392" s="38" t="n">
        <f aca="false">Sens!$H$3366</f>
        <v>273.587296755126</v>
      </c>
      <c r="I3392" s="38" t="n">
        <f aca="false">Sens!$I$3366</f>
        <v>287.706361881827</v>
      </c>
      <c r="J3392" s="38" t="n">
        <f aca="false">Sens!$J$3366</f>
        <v>300.930753339362</v>
      </c>
      <c r="K3392" s="38" t="n">
        <f aca="false">Sens!$K$3366</f>
        <v>254.023605097273</v>
      </c>
      <c r="L3392" s="38" t="n">
        <f aca="false">Sens!$L$3366</f>
        <v>239.257726486262</v>
      </c>
      <c r="M3392" s="38" t="n">
        <f aca="false">Sens!$M$3366</f>
        <v>248.724960713524</v>
      </c>
    </row>
    <row r="3393" customFormat="false" ht="15" hidden="false" customHeight="false" outlineLevel="0" collapsed="false">
      <c r="A3393" s="5" t="s">
        <v>913</v>
      </c>
      <c r="B3393" s="0" t="s">
        <v>86</v>
      </c>
      <c r="H3393" s="38" t="n">
        <f aca="false">Sens!$H$3367</f>
        <v>1.6</v>
      </c>
      <c r="I3393" s="38" t="n">
        <f aca="false">Sens!$I$3367</f>
        <v>1.6</v>
      </c>
      <c r="J3393" s="38" t="n">
        <f aca="false">Sens!$J$3367</f>
        <v>1.6</v>
      </c>
      <c r="K3393" s="38" t="n">
        <f aca="false">Sens!$K$3367</f>
        <v>1.6</v>
      </c>
      <c r="L3393" s="38" t="n">
        <f aca="false">Sens!$L$3367</f>
        <v>1.6</v>
      </c>
      <c r="M3393" s="38" t="n">
        <f aca="false">Sens!$M$3367</f>
        <v>1.6</v>
      </c>
    </row>
    <row r="3394" customFormat="false" ht="15" hidden="false" customHeight="false" outlineLevel="0" collapsed="false">
      <c r="A3394" s="5" t="s">
        <v>914</v>
      </c>
      <c r="B3394" s="0" t="s">
        <v>86</v>
      </c>
      <c r="H3394" s="38" t="n">
        <f aca="false">Sens!$H$3361</f>
        <v>11.3056899959481</v>
      </c>
      <c r="I3394" s="38" t="n">
        <f aca="false">Sens!$I$3361</f>
        <v>12.8525717325912</v>
      </c>
      <c r="J3394" s="38" t="n">
        <f aca="false">Sens!$J$3361</f>
        <v>14.357295266249</v>
      </c>
      <c r="K3394" s="38" t="n">
        <f aca="false">Sens!$K$3361</f>
        <v>15.7105211258917</v>
      </c>
      <c r="L3394" s="38" t="n">
        <f aca="false">Sens!$L$3361</f>
        <v>16.9939058203546</v>
      </c>
      <c r="M3394" s="38" t="n">
        <f aca="false">Sens!$M$3361</f>
        <v>18.2138126714013</v>
      </c>
    </row>
    <row r="3395" customFormat="false" ht="17.15" hidden="false" customHeight="false" outlineLevel="0" collapsed="false">
      <c r="A3395" s="1" t="s">
        <v>915</v>
      </c>
      <c r="B3395" s="8" t="s">
        <v>86</v>
      </c>
      <c r="H3395" s="38" t="n">
        <f aca="false">Sens!$H$3390+Sens!$H$3391-Sens!$H$3392-Sens!$H$3393+Sens!$H$3394</f>
        <v>-61.6337672368661</v>
      </c>
      <c r="I3395" s="38" t="n">
        <f aca="false">Sens!$I$3390+Sens!$I$3391-Sens!$I$3392-Sens!$I$3393+Sens!$I$3394</f>
        <v>-14.9022198070093</v>
      </c>
      <c r="J3395" s="38" t="n">
        <f aca="false">Sens!$J$3390+Sens!$J$3391-Sens!$J$3392-Sens!$J$3393+Sens!$J$3394</f>
        <v>33.0724207773986</v>
      </c>
      <c r="K3395" s="38" t="n">
        <f aca="false">Sens!$K$3390+Sens!$K$3391-Sens!$K$3392-Sens!$K$3393+Sens!$K$3394</f>
        <v>135.411063640103</v>
      </c>
      <c r="L3395" s="38" t="n">
        <f aca="false">Sens!$L$3390+Sens!$L$3391-Sens!$L$3392-Sens!$L$3393+Sens!$L$3394</f>
        <v>194.247462416747</v>
      </c>
      <c r="M3395" s="38" t="n">
        <f aca="false">Sens!$M$3390+Sens!$M$3391-Sens!$M$3392-Sens!$M$3393+Sens!$M$3394</f>
        <v>219.42456222817</v>
      </c>
    </row>
    <row r="3396" customFormat="false" ht="15" hidden="false" customHeight="false" outlineLevel="0" collapsed="false">
      <c r="A3396" s="5" t="s">
        <v>916</v>
      </c>
      <c r="B3396" s="0" t="s">
        <v>57</v>
      </c>
      <c r="H3396" s="40" t="n">
        <f aca="false">1/(1+wacc)^(2027-2026-0.5)</f>
        <v>0.947751320380232</v>
      </c>
      <c r="I3396" s="40" t="n">
        <f aca="false">1/(1+wacc)^(2028-2026-0.5)</f>
        <v>0.851301099754987</v>
      </c>
      <c r="J3396" s="40" t="n">
        <f aca="false">1/(1+wacc)^(2029-2026-0.5)</f>
        <v>0.764666370660713</v>
      </c>
      <c r="K3396" s="40" t="n">
        <f aca="false">1/(1+wacc)^(2030-2026-0.5)</f>
        <v>0.686848235703811</v>
      </c>
      <c r="L3396" s="40" t="n">
        <f aca="false">1/(1+wacc)^(2031-2026-0.5)</f>
        <v>0.616949452715975</v>
      </c>
      <c r="M3396" s="40" t="n">
        <f aca="false">1/(1+wacc)^(2032-2026-0.5)</f>
        <v>0.554164089562688</v>
      </c>
    </row>
    <row r="3397" customFormat="false" ht="15" hidden="false" customHeight="false" outlineLevel="0" collapsed="false">
      <c r="A3397" s="5" t="s">
        <v>917</v>
      </c>
      <c r="B3397" s="0" t="s">
        <v>86</v>
      </c>
      <c r="H3397" s="38" t="n">
        <f aca="false">Sens!$H$3395*Sens!$H$3396</f>
        <v>-58.4134842787478</v>
      </c>
      <c r="I3397" s="38" t="n">
        <f aca="false">Sens!$I$3395*Sens!$I$3396</f>
        <v>-12.6862761104976</v>
      </c>
      <c r="J3397" s="38" t="n">
        <f aca="false">Sens!$J$3395*Sens!$J$3396</f>
        <v>25.2893679648174</v>
      </c>
      <c r="K3397" s="38" t="n">
        <f aca="false">Sens!$K$3395*Sens!$K$3396</f>
        <v>93.0068501559811</v>
      </c>
      <c r="L3397" s="38" t="n">
        <f aca="false">Sens!$L$3395*Sens!$L$3396</f>
        <v>119.840865629479</v>
      </c>
      <c r="M3397" s="38" t="n">
        <f aca="false">Sens!$M$3395*Sens!$M$3396</f>
        <v>121.597212754865</v>
      </c>
    </row>
    <row r="3398" customFormat="false" ht="15" hidden="false" customHeight="false" outlineLevel="0" collapsed="false">
      <c r="A3398" s="5" t="s">
        <v>918</v>
      </c>
      <c r="B3398" s="0" t="s">
        <v>86</v>
      </c>
      <c r="C3398" s="38" t="n">
        <f aca="false">SUM(Sens!$H$3397:$M$3397)</f>
        <v>288.634536115897</v>
      </c>
    </row>
    <row r="3399" customFormat="false" ht="17.15" hidden="false" customHeight="false" outlineLevel="0" collapsed="false">
      <c r="A3399" s="5" t="s">
        <v>919</v>
      </c>
      <c r="B3399" s="0" t="s">
        <v>86</v>
      </c>
      <c r="C3399" s="38" t="n">
        <f aca="false">Sens!$M$3390*(1+tg)*(1-tg/ronic)/(wacc-tg)</f>
        <v>2023.31630916043</v>
      </c>
    </row>
    <row r="3400" customFormat="false" ht="15" hidden="false" customHeight="false" outlineLevel="0" collapsed="false">
      <c r="A3400" s="5" t="s">
        <v>920</v>
      </c>
      <c r="B3400" s="0" t="s">
        <v>86</v>
      </c>
      <c r="C3400" s="38" t="n">
        <f aca="false">Sens!$C$3399/(1+wacc)^6</f>
        <v>1062.66544802958</v>
      </c>
    </row>
    <row r="3401" customFormat="false" ht="17.15" hidden="false" customHeight="false" outlineLevel="0" collapsed="false">
      <c r="A3401" s="5" t="s">
        <v>921</v>
      </c>
      <c r="B3401" s="0" t="s">
        <v>86</v>
      </c>
      <c r="C3401" s="38" t="n">
        <f aca="false">Sens!$C$3398+Sens!$C$3400</f>
        <v>1351.29998414548</v>
      </c>
    </row>
    <row r="3402" customFormat="false" ht="17.15" hidden="false" customHeight="false" outlineLevel="0" collapsed="false">
      <c r="A3402" s="5" t="s">
        <v>922</v>
      </c>
      <c r="B3402" s="0" t="s">
        <v>52</v>
      </c>
      <c r="C3402" s="13" t="n">
        <f aca="false">Sens!$C$3400/Sens!$C$3401</f>
        <v>0.786402324056549</v>
      </c>
    </row>
    <row r="3403" customFormat="false" ht="17.15" hidden="false" customHeight="false" outlineLevel="0" collapsed="false">
      <c r="A3403" s="5" t="s">
        <v>923</v>
      </c>
      <c r="B3403" s="0" t="s">
        <v>86</v>
      </c>
      <c r="C3403" s="38" t="n">
        <f aca="false">Sens!$G$3379+fin_debt</f>
        <v>96.5114130116072</v>
      </c>
    </row>
    <row r="3404" customFormat="false" ht="17.15" hidden="false" customHeight="false" outlineLevel="0" collapsed="false">
      <c r="A3404" s="5" t="s">
        <v>924</v>
      </c>
      <c r="B3404" s="0" t="s">
        <v>86</v>
      </c>
      <c r="C3404" s="38" t="n">
        <f aca="false">(ant_val*ant_sh+oai_val*oai_sh)*(1-liq_disc)</f>
        <v>178.944</v>
      </c>
    </row>
    <row r="3405" customFormat="false" ht="15" hidden="false" customHeight="false" outlineLevel="0" collapsed="false">
      <c r="A3405" s="5" t="s">
        <v>925</v>
      </c>
      <c r="B3405" s="0" t="s">
        <v>86</v>
      </c>
      <c r="C3405" s="38" t="n">
        <f aca="false">Sens!$C$3401-Sens!$C$3403+Sens!$C$3404</f>
        <v>1433.73257113387</v>
      </c>
    </row>
    <row r="3406" customFormat="false" ht="17.15" hidden="false" customHeight="false" outlineLevel="0" collapsed="false">
      <c r="A3406" s="5" t="s">
        <v>926</v>
      </c>
      <c r="B3406" s="0" t="s">
        <v>27</v>
      </c>
      <c r="C3406" s="30" t="n">
        <f aca="false">Sens!$C$3405/sh_out</f>
        <v>132.921456869684</v>
      </c>
    </row>
    <row r="3407" customFormat="false" ht="17.15" hidden="false" customHeight="false" outlineLevel="0" collapsed="false">
      <c r="A3407" s="1" t="s">
        <v>927</v>
      </c>
      <c r="B3407" s="8" t="s">
        <v>27</v>
      </c>
      <c r="C3407" s="30" t="n">
        <f aca="false">Sens!$C$3406*(1+ke)^tp_yf-dps*tp_yf</f>
        <v>145.598022883074</v>
      </c>
    </row>
    <row r="3408" customFormat="false" ht="17.15" hidden="false" customHeight="false" outlineLevel="0" collapsed="false">
      <c r="A3408" s="3" t="s">
        <v>928</v>
      </c>
    </row>
    <row r="3409" customFormat="false" ht="17.15" hidden="false" customHeight="false" outlineLevel="0" collapsed="false">
      <c r="A3409" s="5" t="s">
        <v>929</v>
      </c>
      <c r="B3409" s="0" t="s">
        <v>86</v>
      </c>
      <c r="C3409" s="38" t="n">
        <f aca="false">(1-tp_yf)*(Sens!$H$3336+Sens!$H$3360*Sens!$H$3202/Sens!$H$3277)+tp_yf*(Sens!$I$3336+Sens!$I$3360*Sens!$I$3202/Sens!$I$3277)</f>
        <v>59.634664536349</v>
      </c>
    </row>
    <row r="3410" customFormat="false" ht="15" hidden="false" customHeight="false" outlineLevel="0" collapsed="false">
      <c r="A3410" s="5" t="s">
        <v>930</v>
      </c>
      <c r="B3410" s="0" t="s">
        <v>57</v>
      </c>
      <c r="C3410" s="30" t="n">
        <f aca="false">m_ads*m_x</f>
        <v>9.11</v>
      </c>
    </row>
    <row r="3411" customFormat="false" ht="17.15" hidden="false" customHeight="false" outlineLevel="0" collapsed="false">
      <c r="A3411" s="5" t="s">
        <v>931</v>
      </c>
      <c r="B3411" s="0" t="s">
        <v>86</v>
      </c>
      <c r="C3411" s="38" t="n">
        <f aca="false">Sens!$C$3409*Sens!$C$3410</f>
        <v>543.271793926139</v>
      </c>
    </row>
    <row r="3412" customFormat="false" ht="17.15" hidden="false" customHeight="false" outlineLevel="0" collapsed="false">
      <c r="A3412" s="5" t="s">
        <v>932</v>
      </c>
      <c r="B3412" s="0" t="s">
        <v>86</v>
      </c>
      <c r="C3412" s="38" t="n">
        <f aca="false">(1-tp_yf)*(Sens!$H$3337+Sens!$H$3360*(Sens!$H$3209-Sens!$H$3202)/Sens!$H$3277+IF(internal_ai_reading=2,1,0)*(1-ext_sh)*Sens!$H$3239)+tp_yf*(Sens!$I$3337+Sens!$I$3360*(Sens!$I$3209-Sens!$I$3202)/Sens!$I$3277+IF(internal_ai_reading=2,1,0)*(1-ext_sh)*Sens!$I$3239)</f>
        <v>51.7770728324773</v>
      </c>
    </row>
    <row r="3413" customFormat="false" ht="17.15" hidden="false" customHeight="false" outlineLevel="0" collapsed="false">
      <c r="A3413" s="5" t="s">
        <v>933</v>
      </c>
      <c r="B3413" s="0" t="s">
        <v>57</v>
      </c>
      <c r="C3413" s="30" t="n">
        <f aca="false">m_retail*m_x</f>
        <v>17.72</v>
      </c>
    </row>
    <row r="3414" customFormat="false" ht="17.15" hidden="false" customHeight="false" outlineLevel="0" collapsed="false">
      <c r="A3414" s="5" t="s">
        <v>934</v>
      </c>
      <c r="B3414" s="0" t="s">
        <v>86</v>
      </c>
      <c r="C3414" s="38" t="n">
        <f aca="false">Sens!$C$3412*Sens!$C$3413</f>
        <v>917.489730591498</v>
      </c>
    </row>
    <row r="3415" customFormat="false" ht="17.15" hidden="false" customHeight="false" outlineLevel="0" collapsed="false">
      <c r="A3415" s="0" t="s">
        <v>935</v>
      </c>
      <c r="B3415" s="0" t="s">
        <v>86</v>
      </c>
      <c r="C3415" s="38" t="n">
        <f aca="false">(1-tp_yf)*(Sens!$H$3338+Sens!$H$3360*Sens!$H$3275/Sens!$H$3277)+tp_yf*(Sens!$I$3338+Sens!$I$3360*Sens!$I$3275/Sens!$I$3277)</f>
        <v>99.0926515929142</v>
      </c>
    </row>
    <row r="3416" customFormat="false" ht="17.15" hidden="false" customHeight="false" outlineLevel="0" collapsed="false">
      <c r="A3416" s="0" t="s">
        <v>936</v>
      </c>
      <c r="B3416" s="0" t="s">
        <v>57</v>
      </c>
      <c r="C3416" s="30" t="n">
        <f aca="false">m_cloud*m_x</f>
        <v>13.82</v>
      </c>
    </row>
    <row r="3417" customFormat="false" ht="17.15" hidden="false" customHeight="false" outlineLevel="0" collapsed="false">
      <c r="A3417" s="0" t="s">
        <v>937</v>
      </c>
      <c r="B3417" s="0" t="s">
        <v>86</v>
      </c>
      <c r="C3417" s="38" t="n">
        <f aca="false">Sens!$C$3415*Sens!$C$3416</f>
        <v>1369.46044501407</v>
      </c>
    </row>
    <row r="3418" customFormat="false" ht="17.15" hidden="false" customHeight="false" outlineLevel="0" collapsed="false">
      <c r="A3418" s="0" t="s">
        <v>938</v>
      </c>
      <c r="B3418" s="0" t="s">
        <v>86</v>
      </c>
      <c r="H3418" s="38" t="n">
        <f aca="false">Sens!$H$3256-tax*Sens!$H$3257-ext_sh*Sens!$H$3246</f>
        <v>-114.686944664267</v>
      </c>
      <c r="I3418" s="38" t="n">
        <f aca="false">Sens!$I$3256-tax*Sens!$I$3257-ext_sh*Sens!$I$3246</f>
        <v>-88.3950641557111</v>
      </c>
      <c r="J3418" s="38" t="n">
        <f aca="false">Sens!$J$3256-tax*Sens!$J$3257-ext_sh*Sens!$J$3246</f>
        <v>-61.1526151740695</v>
      </c>
      <c r="K3418" s="38" t="n">
        <f aca="false">Sens!$K$3256-tax*Sens!$K$3257-ext_sh*Sens!$K$3246</f>
        <v>10.057774712684</v>
      </c>
      <c r="L3418" s="38" t="n">
        <f aca="false">Sens!$L$3256-tax*Sens!$L$3257-ext_sh*Sens!$L$3246</f>
        <v>46.6587675560356</v>
      </c>
      <c r="M3418" s="38" t="n">
        <f aca="false">Sens!$M$3256-tax*Sens!$M$3257-ext_sh*Sens!$M$3246</f>
        <v>55.3915455321129</v>
      </c>
    </row>
    <row r="3419" customFormat="false" ht="17.15" hidden="false" customHeight="false" outlineLevel="0" collapsed="false">
      <c r="A3419" s="5" t="s">
        <v>939</v>
      </c>
      <c r="B3419" s="0" t="s">
        <v>86</v>
      </c>
      <c r="H3419" s="38" t="n">
        <f aca="false">Sens!$H$3418*Sens!$H$3396</f>
        <v>-108.694703235934</v>
      </c>
      <c r="I3419" s="38" t="n">
        <f aca="false">Sens!$I$3418*Sens!$I$3396</f>
        <v>-75.2508153286695</v>
      </c>
      <c r="J3419" s="38" t="n">
        <f aca="false">Sens!$J$3418*Sens!$J$3396</f>
        <v>-46.761348301567</v>
      </c>
      <c r="K3419" s="38" t="n">
        <f aca="false">Sens!$K$3418*Sens!$K$3396</f>
        <v>6.90816481651338</v>
      </c>
      <c r="L3419" s="38" t="n">
        <f aca="false">Sens!$L$3418*Sens!$L$3396</f>
        <v>28.7861011080981</v>
      </c>
      <c r="M3419" s="38" t="n">
        <f aca="false">Sens!$M$3418*Sens!$M$3396</f>
        <v>30.6960053992735</v>
      </c>
    </row>
    <row r="3420" customFormat="false" ht="17.15" hidden="false" customHeight="false" outlineLevel="0" collapsed="false">
      <c r="A3420" s="5" t="s">
        <v>940</v>
      </c>
      <c r="B3420" s="0" t="s">
        <v>86</v>
      </c>
      <c r="C3420" s="38" t="n">
        <f aca="false">Sens!$M$3257*(1-tax)*(1+tg)*(1-tg/ronic)/(wacc-tg)</f>
        <v>363.621782500497</v>
      </c>
    </row>
    <row r="3421" customFormat="false" ht="17.15" hidden="false" customHeight="false" outlineLevel="0" collapsed="false">
      <c r="A3421" s="0" t="s">
        <v>941</v>
      </c>
      <c r="B3421" s="0" t="s">
        <v>86</v>
      </c>
      <c r="C3421" s="38" t="n">
        <f aca="false">(SUM(Sens!$H$3419:$M$3419)+Sens!$C$3420/(1+wacc)^6)*(1+wacc)^tp_yf</f>
        <v>29.1198269558345</v>
      </c>
    </row>
    <row r="3422" customFormat="false" ht="17.15" hidden="false" customHeight="false" outlineLevel="0" collapsed="false">
      <c r="A3422" s="5" t="s">
        <v>942</v>
      </c>
      <c r="B3422" s="0" t="s">
        <v>86</v>
      </c>
      <c r="C3422" s="38" t="n">
        <f aca="false">(1-tp_yf)*(Sens!$H$3339)+tp_yf*(Sens!$I$3339)</f>
        <v>74.6707041238437</v>
      </c>
    </row>
    <row r="3423" customFormat="false" ht="17.15" hidden="false" customHeight="false" outlineLevel="0" collapsed="false">
      <c r="A3423" s="5" t="s">
        <v>943</v>
      </c>
      <c r="B3423" s="0" t="s">
        <v>86</v>
      </c>
      <c r="C3423" s="38" t="n">
        <f aca="false">Sens!$C$3422*m_ai</f>
        <v>448.024224743062</v>
      </c>
    </row>
    <row r="3424" customFormat="false" ht="17.15" hidden="false" customHeight="false" outlineLevel="0" collapsed="false">
      <c r="A3424" s="0" t="s">
        <v>944</v>
      </c>
      <c r="B3424" s="0" t="s">
        <v>86</v>
      </c>
      <c r="C3424" s="38" t="n">
        <f aca="false">IF(ai_leg=1,Sens!$C$3421,Sens!$C$3423)</f>
        <v>29.1198269558345</v>
      </c>
    </row>
    <row r="3425" customFormat="false" ht="17.15" hidden="false" customHeight="false" outlineLevel="0" collapsed="false">
      <c r="A3425" s="5" t="s">
        <v>945</v>
      </c>
      <c r="B3425" s="0" t="s">
        <v>86</v>
      </c>
      <c r="C3425" s="38" t="n">
        <f aca="false">Sens!$C$3411+Sens!$C$3414+Sens!$C$3417+Sens!$C$3424</f>
        <v>2859.34179648755</v>
      </c>
    </row>
    <row r="3426" customFormat="false" ht="17.15" hidden="false" customHeight="false" outlineLevel="0" collapsed="false">
      <c r="A3426" s="5" t="s">
        <v>946</v>
      </c>
      <c r="B3426" s="0" t="s">
        <v>86</v>
      </c>
      <c r="C3426" s="38" t="n">
        <f aca="false">Sens!$H$3379+fin_debt</f>
        <v>150.181059896726</v>
      </c>
    </row>
    <row r="3427" customFormat="false" ht="15" hidden="false" customHeight="false" outlineLevel="0" collapsed="false">
      <c r="A3427" s="5" t="s">
        <v>947</v>
      </c>
      <c r="B3427" s="0" t="s">
        <v>86</v>
      </c>
      <c r="C3427" s="38" t="n">
        <f aca="false">Sens!$C$3425-Sens!$C$3426+Sens!$C$3404</f>
        <v>2888.10473659082</v>
      </c>
    </row>
    <row r="3428" customFormat="false" ht="15" hidden="false" customHeight="false" outlineLevel="0" collapsed="false">
      <c r="A3428" s="3" t="s">
        <v>948</v>
      </c>
      <c r="B3428" s="8" t="s">
        <v>27</v>
      </c>
      <c r="C3428" s="30" t="n">
        <f aca="false">Sens!$C$3427/sh_val</f>
        <v>261.833410779677</v>
      </c>
    </row>
    <row r="3429" customFormat="false" ht="17.15" hidden="false" customHeight="false" outlineLevel="0" collapsed="false">
      <c r="A3429" s="47" t="s">
        <v>949</v>
      </c>
      <c r="B3429" s="14" t="s">
        <v>27</v>
      </c>
      <c r="C3429" s="44" t="n">
        <f aca="false">w_dcf*Sens!$C$3407+(1-w_dcf)*Sens!$C$3428</f>
        <v>203.715716831375</v>
      </c>
      <c r="D3429" s="14"/>
      <c r="E3429" s="14"/>
      <c r="F3429" s="14"/>
      <c r="G3429" s="14"/>
      <c r="H3429" s="14"/>
      <c r="I3429" s="14"/>
      <c r="J3429" s="14"/>
      <c r="K3429" s="14"/>
      <c r="L3429" s="14"/>
      <c r="M3429" s="14"/>
      <c r="N3429" s="14"/>
      <c r="O3429" s="14"/>
    </row>
    <row r="3430" customFormat="false" ht="17.15" hidden="false" customHeight="false" outlineLevel="0" collapsed="false">
      <c r="A3430" s="5" t="s">
        <v>950</v>
      </c>
      <c r="B3430" s="0" t="s">
        <v>27</v>
      </c>
      <c r="C3430" s="30" t="n">
        <f aca="false">v022_wdcf*Sens!$C$3407+(1-v022_wdcf)*Sens!$C$3428</f>
        <v>209.527486226205</v>
      </c>
    </row>
    <row r="3431" customFormat="false" ht="17.15" hidden="false" customHeight="false" outlineLevel="0" collapsed="false">
      <c r="A3431" s="5" t="s">
        <v>951</v>
      </c>
      <c r="B3431" s="0" t="s">
        <v>27</v>
      </c>
      <c r="C3431" s="30" t="n">
        <f aca="false">(Sens!$C$3427-Sens!$C$3424+Sens!$C$3423)/sh_val</f>
        <v>299.810969513474</v>
      </c>
    </row>
    <row r="3434" customFormat="false" ht="19.4" hidden="false" customHeight="false" outlineLevel="0" collapsed="false">
      <c r="A3434" s="31" t="s">
        <v>1197</v>
      </c>
    </row>
    <row r="3435" customFormat="false" ht="17.15" hidden="false" customHeight="false" outlineLevel="0" collapsed="false">
      <c r="A3435" s="6" t="s">
        <v>16</v>
      </c>
      <c r="B3435" s="6" t="s">
        <v>17</v>
      </c>
      <c r="C3435" s="20" t="s">
        <v>494</v>
      </c>
      <c r="D3435" s="20" t="s">
        <v>495</v>
      </c>
      <c r="E3435" s="20" t="s">
        <v>577</v>
      </c>
      <c r="F3435" s="20" t="s">
        <v>578</v>
      </c>
      <c r="G3435" s="20" t="s">
        <v>579</v>
      </c>
      <c r="H3435" s="20" t="s">
        <v>580</v>
      </c>
      <c r="I3435" s="20" t="s">
        <v>581</v>
      </c>
      <c r="J3435" s="20" t="s">
        <v>582</v>
      </c>
      <c r="K3435" s="20" t="s">
        <v>583</v>
      </c>
      <c r="L3435" s="20" t="s">
        <v>584</v>
      </c>
      <c r="M3435" s="20" t="s">
        <v>585</v>
      </c>
      <c r="N3435" s="20" t="s">
        <v>586</v>
      </c>
      <c r="O3435" s="20" t="s">
        <v>587</v>
      </c>
      <c r="P3435" s="6" t="s">
        <v>23</v>
      </c>
      <c r="R3435" s="20" t="n">
        <v>2023</v>
      </c>
      <c r="S3435" s="20" t="n">
        <v>2024</v>
      </c>
      <c r="T3435" s="20" t="n">
        <v>2025</v>
      </c>
      <c r="U3435" s="20" t="n">
        <v>2026</v>
      </c>
      <c r="V3435" s="20" t="n">
        <v>2027</v>
      </c>
      <c r="W3435" s="20" t="n">
        <v>2028</v>
      </c>
      <c r="X3435" s="20" t="n">
        <v>2029</v>
      </c>
      <c r="Y3435" s="20" t="n">
        <v>2030</v>
      </c>
      <c r="Z3435" s="20" t="n">
        <v>2031</v>
      </c>
      <c r="AA3435" s="20" t="n">
        <v>2032</v>
      </c>
    </row>
    <row r="3436" customFormat="false" ht="17.15" hidden="false" customHeight="false" outlineLevel="0" collapsed="false">
      <c r="A3436" s="1" t="s">
        <v>660</v>
      </c>
    </row>
    <row r="3437" customFormat="false" ht="17.15" hidden="false" customHeight="false" outlineLevel="0" collapsed="false">
      <c r="A3437" s="0" t="s">
        <v>516</v>
      </c>
      <c r="B3437" s="0" t="s">
        <v>86</v>
      </c>
      <c r="C3437" s="38" t="n">
        <f aca="false">Q!$D$10</f>
        <v>247.029</v>
      </c>
      <c r="D3437" s="38" t="n">
        <f aca="false">Q!$E$10</f>
        <v>269.287</v>
      </c>
      <c r="E3437" s="38" t="n">
        <f aca="false">Q!$P$10</f>
        <v>134.686</v>
      </c>
      <c r="F3437" s="38" t="n">
        <f aca="false">Sens!$O$3437*(1+Sens!$F$3438)*Sens!$F$3449</f>
        <v>158.293876822267</v>
      </c>
      <c r="G3437" s="38" t="n">
        <f aca="false">Sens!$E$3437+Sens!$F$3437</f>
        <v>292.979876822267</v>
      </c>
      <c r="H3437" s="38" t="n">
        <f aca="false">Sens!$G$3437*(1+Sens!$H$3438)</f>
        <v>318.184543087396</v>
      </c>
      <c r="I3437" s="38" t="n">
        <f aca="false">Sens!$H$3437*(1+Sens!$I$3438)</f>
        <v>341.736278761793</v>
      </c>
      <c r="J3437" s="38" t="n">
        <f aca="false">Sens!$I$3437*(1+Sens!$J$3438)</f>
        <v>362.927192787048</v>
      </c>
      <c r="K3437" s="38" t="n">
        <f aca="false">Sens!$J$3437*(1+Sens!$K$3438)</f>
        <v>381.0735524264</v>
      </c>
      <c r="L3437" s="38" t="n">
        <f aca="false">Sens!$K$3437*(1+Sens!$L$3438)</f>
        <v>400.12723004772</v>
      </c>
      <c r="M3437" s="38" t="n">
        <f aca="false">Sens!$L$3437*(1+Sens!$M$3438)</f>
        <v>420.133591550106</v>
      </c>
      <c r="N3437" s="38" t="n">
        <f aca="false">Q!$N$10</f>
        <v>118.892</v>
      </c>
      <c r="O3437" s="38" t="n">
        <f aca="false">Q!$O$10</f>
        <v>150.395</v>
      </c>
      <c r="P3437" s="8" t="s">
        <v>661</v>
      </c>
    </row>
    <row r="3438" customFormat="false" ht="17.15" hidden="false" customHeight="false" outlineLevel="0" collapsed="false">
      <c r="A3438" s="0" t="s">
        <v>662</v>
      </c>
      <c r="B3438" s="0" t="s">
        <v>52</v>
      </c>
      <c r="E3438" s="13" t="n">
        <f aca="false">Sens!$E$3437/Sens!$N$3437-1</f>
        <v>0.132843252699929</v>
      </c>
      <c r="F3438" s="13" t="n">
        <f aca="false">Sens!$O$3437/(Q!$F$10+Q!$G$10)-1</f>
        <v>0.0980382135842941</v>
      </c>
      <c r="G3438" s="13" t="n">
        <f aca="false">Sens!$G$3437/Sens!$D$3437-1</f>
        <v>0.0879837378791657</v>
      </c>
      <c r="H3438" s="13" t="n">
        <f aca="false">Sens!$F$3438+(g_os-Sens!$F$3438)*1/4</f>
        <v>0.0860286601882206</v>
      </c>
      <c r="I3438" s="13" t="n">
        <f aca="false">Sens!$F$3438+(g_os-Sens!$F$3438)*2/4</f>
        <v>0.074019106792147</v>
      </c>
      <c r="J3438" s="13" t="n">
        <f aca="false">Sens!$F$3438+(g_os-Sens!$F$3438)*3/4</f>
        <v>0.0620095533960735</v>
      </c>
      <c r="K3438" s="13" t="n">
        <f aca="false">Sens!$F$3438+(g_os-Sens!$F$3438)*4/4</f>
        <v>0.05</v>
      </c>
      <c r="L3438" s="13" t="n">
        <f aca="false">g_os</f>
        <v>0.05</v>
      </c>
      <c r="M3438" s="13" t="n">
        <f aca="false">g_os</f>
        <v>0.05</v>
      </c>
      <c r="P3438" s="8" t="s">
        <v>663</v>
      </c>
    </row>
    <row r="3439" customFormat="false" ht="17.15" hidden="false" customHeight="false" outlineLevel="0" collapsed="false">
      <c r="A3439" s="0" t="s">
        <v>517</v>
      </c>
      <c r="B3439" s="0" t="s">
        <v>86</v>
      </c>
      <c r="C3439" s="38" t="n">
        <f aca="false">Q!$D$11</f>
        <v>21.215</v>
      </c>
      <c r="D3439" s="38" t="n">
        <f aca="false">Q!$E$11</f>
        <v>22.561</v>
      </c>
      <c r="E3439" s="38" t="n">
        <f aca="false">Q!$P$11</f>
        <v>11.579</v>
      </c>
      <c r="F3439" s="38" t="n">
        <f aca="false">Sens!$O$3439*(1+Sens!$F$3440)*Sens!$F$3449</f>
        <v>11.5938724610325</v>
      </c>
      <c r="G3439" s="38" t="n">
        <f aca="false">Sens!$E$3439+Sens!$F$3439</f>
        <v>23.1728724610325</v>
      </c>
      <c r="H3439" s="38" t="n">
        <f aca="false">Sens!$G$3439*(1+Sens!$H$3440)</f>
        <v>24.353392759506</v>
      </c>
      <c r="I3439" s="38" t="n">
        <f aca="false">Sens!$H$3439*(1+Sens!$I$3440)</f>
        <v>25.4240338872015</v>
      </c>
      <c r="J3439" s="38" t="n">
        <f aca="false">Sens!$I$3439*(1+Sens!$J$3440)</f>
        <v>26.3642491017174</v>
      </c>
      <c r="K3439" s="38" t="n">
        <f aca="false">Sens!$J$3439*(1+Sens!$K$3440)</f>
        <v>27.155176574769</v>
      </c>
      <c r="L3439" s="38" t="n">
        <f aca="false">Sens!$K$3439*(1+Sens!$L$3440)</f>
        <v>27.969831872012</v>
      </c>
      <c r="M3439" s="38" t="n">
        <f aca="false">Sens!$L$3439*(1+Sens!$M$3440)</f>
        <v>28.8089268281724</v>
      </c>
      <c r="N3439" s="38" t="n">
        <f aca="false">Q!$N$11</f>
        <v>11.128</v>
      </c>
      <c r="O3439" s="38" t="n">
        <f aca="false">Q!$O$11</f>
        <v>11.433</v>
      </c>
      <c r="P3439" s="8" t="s">
        <v>661</v>
      </c>
    </row>
    <row r="3440" customFormat="false" ht="17.15" hidden="false" customHeight="false" outlineLevel="0" collapsed="false">
      <c r="A3440" s="0" t="s">
        <v>664</v>
      </c>
      <c r="B3440" s="0" t="s">
        <v>52</v>
      </c>
      <c r="E3440" s="13" t="n">
        <f aca="false">Sens!$E$3439/Sens!$N$3439-1</f>
        <v>0.0405283968368082</v>
      </c>
      <c r="F3440" s="13" t="n">
        <f aca="false">Sens!$O$3439/(Q!$F$11+Q!$G$11)-1</f>
        <v>0.0579254187100955</v>
      </c>
      <c r="G3440" s="13" t="n">
        <f aca="false">Sens!$G$3439/Sens!$D$3439-1</f>
        <v>0.0271208040881397</v>
      </c>
      <c r="H3440" s="13" t="n">
        <f aca="false">Sens!$F$3440+(g_ps-Sens!$F$3440)*1/4</f>
        <v>0.0509440640325716</v>
      </c>
      <c r="I3440" s="13" t="n">
        <f aca="false">Sens!$F$3440+(g_ps-Sens!$F$3440)*2/4</f>
        <v>0.0439627093550477</v>
      </c>
      <c r="J3440" s="13" t="n">
        <f aca="false">Sens!$F$3440+(g_ps-Sens!$F$3440)*3/4</f>
        <v>0.0369813546775239</v>
      </c>
      <c r="K3440" s="13" t="n">
        <f aca="false">Sens!$F$3440+(g_ps-Sens!$F$3440)*4/4</f>
        <v>0.03</v>
      </c>
      <c r="L3440" s="13" t="n">
        <f aca="false">g_ps</f>
        <v>0.03</v>
      </c>
      <c r="M3440" s="13" t="n">
        <f aca="false">g_ps</f>
        <v>0.03</v>
      </c>
      <c r="P3440" s="8" t="s">
        <v>665</v>
      </c>
    </row>
    <row r="3441" customFormat="false" ht="17.15" hidden="false" customHeight="false" outlineLevel="0" collapsed="false">
      <c r="A3441" s="0" t="s">
        <v>518</v>
      </c>
      <c r="B3441" s="0" t="s">
        <v>86</v>
      </c>
      <c r="C3441" s="38" t="n">
        <f aca="false">Q!$D$12</f>
        <v>156.146</v>
      </c>
      <c r="D3441" s="38" t="n">
        <f aca="false">Q!$E$12</f>
        <v>172.162</v>
      </c>
      <c r="E3441" s="38" t="n">
        <f aca="false">Q!$P$12</f>
        <v>88.358</v>
      </c>
      <c r="F3441" s="38" t="n">
        <f aca="false">Sens!$O$3441*(1+Sens!$F$3442)*Sens!$F$3449</f>
        <v>102.004388260171</v>
      </c>
      <c r="G3441" s="38" t="n">
        <f aca="false">Sens!$E$3441+Sens!$F$3441</f>
        <v>190.362388260171</v>
      </c>
      <c r="H3441" s="38" t="n">
        <f aca="false">Sens!$G$3441*(1+Sens!$H$3442)</f>
        <v>210.343106588311</v>
      </c>
      <c r="I3441" s="38" t="n">
        <f aca="false">Sens!$H$3441*(1+Sens!$I$3442)</f>
        <v>229.969728494648</v>
      </c>
      <c r="J3441" s="38" t="n">
        <f aca="false">Sens!$I$3441*(1+Sens!$J$3442)</f>
        <v>248.747636972598</v>
      </c>
      <c r="K3441" s="38" t="n">
        <f aca="false">Sens!$J$3441*(1+Sens!$K$3442)</f>
        <v>266.15997156068</v>
      </c>
      <c r="L3441" s="38" t="n">
        <f aca="false">Sens!$K$3441*(1+Sens!$L$3442)</f>
        <v>284.791169569927</v>
      </c>
      <c r="M3441" s="38" t="n">
        <f aca="false">Sens!$L$3441*(1+Sens!$M$3442)</f>
        <v>304.726551439822</v>
      </c>
      <c r="N3441" s="38" t="n">
        <f aca="false">Q!$N$12</f>
        <v>76.86</v>
      </c>
      <c r="O3441" s="38" t="n">
        <f aca="false">Q!$O$12</f>
        <v>95.302</v>
      </c>
      <c r="P3441" s="8" t="s">
        <v>661</v>
      </c>
    </row>
    <row r="3442" customFormat="false" ht="17.15" hidden="false" customHeight="false" outlineLevel="0" collapsed="false">
      <c r="A3442" s="0" t="s">
        <v>666</v>
      </c>
      <c r="B3442" s="0" t="s">
        <v>52</v>
      </c>
      <c r="E3442" s="13" t="n">
        <f aca="false">Sens!$E$3441/Sens!$N$3441-1</f>
        <v>0.1495966692688</v>
      </c>
      <c r="F3442" s="13" t="n">
        <f aca="false">Sens!$O$3441/(Q!$F$12+Q!$G$12)-1</f>
        <v>0.11661530890813</v>
      </c>
      <c r="G3442" s="13" t="n">
        <f aca="false">Sens!$G$3441/Sens!$D$3441-1</f>
        <v>0.105716640490767</v>
      </c>
      <c r="H3442" s="13" t="n">
        <f aca="false">Sens!$F$3442+(g_sp-Sens!$F$3442)*1/4</f>
        <v>0.104961481681098</v>
      </c>
      <c r="I3442" s="13" t="n">
        <f aca="false">Sens!$F$3442+(g_sp-Sens!$F$3442)*2/4</f>
        <v>0.0933076544540651</v>
      </c>
      <c r="J3442" s="13" t="n">
        <f aca="false">Sens!$F$3442+(g_sp-Sens!$F$3442)*3/4</f>
        <v>0.0816538272270325</v>
      </c>
      <c r="K3442" s="13" t="n">
        <f aca="false">Sens!$F$3442+(g_sp-Sens!$F$3442)*4/4</f>
        <v>0.07</v>
      </c>
      <c r="L3442" s="13" t="n">
        <f aca="false">g_sp</f>
        <v>0.07</v>
      </c>
      <c r="M3442" s="13" t="n">
        <f aca="false">g_sp</f>
        <v>0.07</v>
      </c>
      <c r="P3442" s="8" t="s">
        <v>667</v>
      </c>
    </row>
    <row r="3443" customFormat="false" ht="17.15" hidden="false" customHeight="false" outlineLevel="0" collapsed="false">
      <c r="A3443" s="0" t="s">
        <v>519</v>
      </c>
      <c r="B3443" s="0" t="s">
        <v>86</v>
      </c>
      <c r="C3443" s="38" t="n">
        <f aca="false">Q!$D$13</f>
        <v>56.214</v>
      </c>
      <c r="D3443" s="38" t="n">
        <f aca="false">Q!$E$13</f>
        <v>68.635</v>
      </c>
      <c r="E3443" s="38" t="n">
        <f aca="false">Q!$P$13</f>
        <v>37.052</v>
      </c>
      <c r="F3443" s="38" t="n">
        <f aca="false">Sens!$O$3443*(1+Sens!$F$3444)*Sens!$F$3449</f>
        <v>46.1572219944148</v>
      </c>
      <c r="G3443" s="38" t="n">
        <f aca="false">Sens!$E$3443+Sens!$F$3443</f>
        <v>83.2092219944148</v>
      </c>
      <c r="H3443" s="38" t="n">
        <f aca="false">Sens!$G$3443*(1+Sens!$H$3444)</f>
        <v>99.8969223878976</v>
      </c>
      <c r="I3443" s="38" t="n">
        <f aca="false">Sens!$H$3443*(1+Sens!$I$3444)</f>
        <v>116.583111095496</v>
      </c>
      <c r="J3443" s="38" t="n">
        <f aca="false">Sens!$I$3443*(1+Sens!$J$3444)</f>
        <v>132.148941941952</v>
      </c>
      <c r="K3443" s="38" t="n">
        <f aca="false">Sens!$J$3443*(1+Sens!$K$3444)</f>
        <v>145.363836136147</v>
      </c>
      <c r="L3443" s="38" t="n">
        <f aca="false">Sens!$K$3443*(1+Sens!$L$3444)</f>
        <v>159.900219749762</v>
      </c>
      <c r="M3443" s="38" t="n">
        <f aca="false">Sens!$L$3443*(1+Sens!$M$3444)</f>
        <v>175.890241724738</v>
      </c>
      <c r="N3443" s="38" t="n">
        <f aca="false">Q!$N$13</f>
        <v>29.615</v>
      </c>
      <c r="O3443" s="38" t="n">
        <f aca="false">Q!$O$13</f>
        <v>39.02</v>
      </c>
      <c r="P3443" s="8" t="s">
        <v>661</v>
      </c>
    </row>
    <row r="3444" customFormat="false" ht="17.15" hidden="false" customHeight="false" outlineLevel="0" collapsed="false">
      <c r="A3444" s="0" t="s">
        <v>668</v>
      </c>
      <c r="B3444" s="0" t="s">
        <v>52</v>
      </c>
      <c r="E3444" s="13" t="n">
        <f aca="false">Sens!$E$3443/Sens!$N$3443-1</f>
        <v>0.25112274185379</v>
      </c>
      <c r="F3444" s="13" t="n">
        <f aca="false">Sens!$O$3443/(Q!$F$13+Q!$G$13)-1</f>
        <v>0.234068123596572</v>
      </c>
      <c r="G3444" s="13" t="n">
        <f aca="false">Sens!$G$3443/Sens!$D$3443-1</f>
        <v>0.212343876949294</v>
      </c>
      <c r="H3444" s="13" t="n">
        <f aca="false">Sens!$F$3444+(g_ad-Sens!$F$3444)*1/4</f>
        <v>0.200551092697429</v>
      </c>
      <c r="I3444" s="13" t="n">
        <f aca="false">Sens!$F$3444+(g_ad-Sens!$F$3444)*2/4</f>
        <v>0.167034061798286</v>
      </c>
      <c r="J3444" s="13" t="n">
        <f aca="false">Sens!$F$3444+(g_ad-Sens!$F$3444)*3/4</f>
        <v>0.133517030899143</v>
      </c>
      <c r="K3444" s="13" t="n">
        <f aca="false">Sens!$F$3444+(g_ad-Sens!$F$3444)*4/4</f>
        <v>0.1</v>
      </c>
      <c r="L3444" s="13" t="n">
        <f aca="false">g_ad</f>
        <v>0.1</v>
      </c>
      <c r="M3444" s="13" t="n">
        <f aca="false">g_ad</f>
        <v>0.1</v>
      </c>
      <c r="P3444" s="8" t="s">
        <v>669</v>
      </c>
    </row>
    <row r="3445" customFormat="false" ht="17.15" hidden="false" customHeight="false" outlineLevel="0" collapsed="false">
      <c r="A3445" s="0" t="s">
        <v>520</v>
      </c>
      <c r="B3445" s="0" t="s">
        <v>86</v>
      </c>
      <c r="C3445" s="38" t="n">
        <f aca="false">Q!$D$14</f>
        <v>44.374</v>
      </c>
      <c r="D3445" s="38" t="n">
        <f aca="false">Q!$E$14</f>
        <v>49.619</v>
      </c>
      <c r="E3445" s="38" t="n">
        <f aca="false">Q!$P$14</f>
        <v>27.157</v>
      </c>
      <c r="F3445" s="38" t="n">
        <f aca="false">Sens!$O$3445*(1+Sens!$F$3446)*Sens!$F$3449</f>
        <v>27.7764165988154</v>
      </c>
      <c r="G3445" s="38" t="n">
        <f aca="false">Sens!$E$3445+Sens!$F$3445</f>
        <v>54.9334165988154</v>
      </c>
      <c r="H3445" s="38" t="n">
        <f aca="false">Sens!$G$3445*(1+Sens!$H$3446)</f>
        <v>61.1564112561829</v>
      </c>
      <c r="I3445" s="38" t="n">
        <f aca="false">Sens!$H$3445*(1+Sens!$I$3446)</f>
        <v>67.2020282103945</v>
      </c>
      <c r="J3445" s="38" t="n">
        <f aca="false">Sens!$I$3445*(1+Sens!$J$3446)</f>
        <v>72.8757274028885</v>
      </c>
      <c r="K3445" s="38" t="n">
        <f aca="false">Sens!$J$3445*(1+Sens!$K$3446)</f>
        <v>77.9770283210907</v>
      </c>
      <c r="L3445" s="38" t="n">
        <f aca="false">Sens!$K$3445*(1+Sens!$L$3446)</f>
        <v>83.4354203035671</v>
      </c>
      <c r="M3445" s="38" t="n">
        <f aca="false">Sens!$L$3445*(1+Sens!$M$3446)</f>
        <v>89.2758997248168</v>
      </c>
      <c r="N3445" s="38" t="n">
        <f aca="false">Q!$N$14</f>
        <v>23.923</v>
      </c>
      <c r="O3445" s="38" t="n">
        <f aca="false">Q!$O$14</f>
        <v>25.696</v>
      </c>
      <c r="P3445" s="8" t="s">
        <v>661</v>
      </c>
    </row>
    <row r="3446" customFormat="false" ht="17.15" hidden="false" customHeight="false" outlineLevel="0" collapsed="false">
      <c r="A3446" s="0" t="s">
        <v>670</v>
      </c>
      <c r="B3446" s="0" t="s">
        <v>52</v>
      </c>
      <c r="E3446" s="13" t="n">
        <f aca="false">Sens!$E$3445/Sens!$N$3445-1</f>
        <v>0.135183714417088</v>
      </c>
      <c r="F3446" s="13" t="n">
        <f aca="false">Sens!$O$3445/(Q!$F$14+Q!$G$14)-1</f>
        <v>0.127709997366804</v>
      </c>
      <c r="G3446" s="13" t="n">
        <f aca="false">Sens!$G$3445/Sens!$D$3445-1</f>
        <v>0.107104468022641</v>
      </c>
      <c r="H3446" s="13" t="n">
        <f aca="false">Sens!$F$3446+(g_sub-Sens!$F$3446)*1/4</f>
        <v>0.113282498025103</v>
      </c>
      <c r="I3446" s="13" t="n">
        <f aca="false">Sens!$F$3446+(g_sub-Sens!$F$3446)*2/4</f>
        <v>0.0988549986834021</v>
      </c>
      <c r="J3446" s="13" t="n">
        <f aca="false">Sens!$F$3446+(g_sub-Sens!$F$3446)*3/4</f>
        <v>0.084427499341701</v>
      </c>
      <c r="K3446" s="13" t="n">
        <f aca="false">Sens!$F$3446+(g_sub-Sens!$F$3446)*4/4</f>
        <v>0.07</v>
      </c>
      <c r="L3446" s="13" t="n">
        <f aca="false">g_sub</f>
        <v>0.07</v>
      </c>
      <c r="M3446" s="13" t="n">
        <f aca="false">g_sub</f>
        <v>0.07</v>
      </c>
      <c r="P3446" s="8" t="s">
        <v>671</v>
      </c>
    </row>
    <row r="3447" customFormat="false" ht="17.15" hidden="false" customHeight="false" outlineLevel="0" collapsed="false">
      <c r="A3447" s="0" t="s">
        <v>521</v>
      </c>
      <c r="B3447" s="0" t="s">
        <v>86</v>
      </c>
      <c r="C3447" s="38" t="n">
        <f aca="false">Q!$D$15</f>
        <v>5.425</v>
      </c>
      <c r="D3447" s="38" t="n">
        <f aca="false">Q!$E$15</f>
        <v>5.935</v>
      </c>
      <c r="E3447" s="38" t="n">
        <f aca="false">Q!$P$15</f>
        <v>3.474</v>
      </c>
      <c r="F3447" s="38" t="n">
        <f aca="false">Sens!$O$3447*(1+Sens!$F$3448)*Sens!$F$3449</f>
        <v>3.22246550883619</v>
      </c>
      <c r="G3447" s="38" t="n">
        <f aca="false">Sens!$E$3447+Sens!$F$3447</f>
        <v>6.69646550883619</v>
      </c>
      <c r="H3447" s="38" t="n">
        <f aca="false">Sens!$G$3447*(1+Sens!$H$3448)</f>
        <v>7.16251344209196</v>
      </c>
      <c r="I3447" s="38" t="n">
        <f aca="false">Sens!$H$3447*(1+Sens!$I$3448)</f>
        <v>7.61421070299826</v>
      </c>
      <c r="J3447" s="38" t="n">
        <f aca="false">Sens!$I$3447*(1+Sens!$J$3448)</f>
        <v>8.04465753523932</v>
      </c>
      <c r="K3447" s="38" t="n">
        <f aca="false">Sens!$J$3447*(1+Sens!$K$3448)</f>
        <v>8.44689041200128</v>
      </c>
      <c r="L3447" s="38" t="n">
        <f aca="false">Sens!$K$3447*(1+Sens!$L$3448)</f>
        <v>8.86923493260135</v>
      </c>
      <c r="M3447" s="38" t="n">
        <f aca="false">Sens!$L$3447*(1+Sens!$M$3448)</f>
        <v>9.31269667923142</v>
      </c>
      <c r="N3447" s="38" t="n">
        <f aca="false">Q!$N$15</f>
        <v>2.811</v>
      </c>
      <c r="O3447" s="38" t="n">
        <f aca="false">Q!$O$15</f>
        <v>3.124</v>
      </c>
      <c r="P3447" s="8" t="s">
        <v>661</v>
      </c>
    </row>
    <row r="3448" customFormat="false" ht="17.15" hidden="false" customHeight="false" outlineLevel="0" collapsed="false">
      <c r="A3448" s="0" t="s">
        <v>672</v>
      </c>
      <c r="B3448" s="0" t="s">
        <v>52</v>
      </c>
      <c r="E3448" s="13" t="n">
        <f aca="false">Sens!$E$3447/Sens!$N$3447-1</f>
        <v>0.235859124866596</v>
      </c>
      <c r="F3448" s="13" t="n">
        <f aca="false">Sens!$O$3447/(Q!$F$15+Q!$G$15)-1</f>
        <v>0.0761281433000345</v>
      </c>
      <c r="G3448" s="13" t="n">
        <f aca="false">Sens!$G$3447/Sens!$D$3447-1</f>
        <v>0.128300843948811</v>
      </c>
      <c r="H3448" s="13" t="n">
        <f aca="false">Sens!$F$3448+(g_ot-Sens!$F$3448)*1/4</f>
        <v>0.0695961074750259</v>
      </c>
      <c r="I3448" s="13" t="n">
        <f aca="false">Sens!$F$3448+(g_ot-Sens!$F$3448)*2/4</f>
        <v>0.0630640716500172</v>
      </c>
      <c r="J3448" s="13" t="n">
        <f aca="false">Sens!$F$3448+(g_ot-Sens!$F$3448)*3/4</f>
        <v>0.0565320358250086</v>
      </c>
      <c r="K3448" s="13" t="n">
        <f aca="false">Sens!$F$3448+(g_ot-Sens!$F$3448)*4/4</f>
        <v>0.05</v>
      </c>
      <c r="L3448" s="13" t="n">
        <f aca="false">g_ot</f>
        <v>0.05</v>
      </c>
      <c r="M3448" s="13" t="n">
        <f aca="false">g_ot</f>
        <v>0.05</v>
      </c>
      <c r="P3448" s="8" t="s">
        <v>673</v>
      </c>
    </row>
    <row r="3449" customFormat="false" ht="17.15" hidden="false" customHeight="false" outlineLevel="0" collapsed="false">
      <c r="A3449" s="0" t="s">
        <v>674</v>
      </c>
      <c r="B3449" s="0" t="s">
        <v>57</v>
      </c>
      <c r="F3449" s="40" t="n">
        <f aca="false">(g26q3_mid*Q!$O$8/Q!$J$8-Sens!$F$3478-Sens!$F$3482)/(Sens!$O$3437*(1+Sens!$F$3438)+Sens!$O$3439*(1+Sens!$F$3440)+Sens!$O$3441*(1+Sens!$F$3442)+Sens!$O$3443*(1+Sens!$F$3444)+Sens!$O$3445*(1+Sens!$F$3446)+Sens!$O$3447*(1+Sens!$F$3448))</f>
        <v>0.958546670622329</v>
      </c>
      <c r="P3449" s="8" t="s">
        <v>675</v>
      </c>
    </row>
    <row r="3450" customFormat="false" ht="17.15" hidden="false" customHeight="false" outlineLevel="0" collapsed="false">
      <c r="A3450" s="3" t="s">
        <v>676</v>
      </c>
      <c r="B3450" s="8" t="s">
        <v>86</v>
      </c>
      <c r="C3450" s="38" t="n">
        <f aca="false">Sens!$C$3437+Sens!$C$3439+Sens!$C$3441+Sens!$C$3443+Sens!$C$3445+Sens!$C$3447</f>
        <v>530.403</v>
      </c>
      <c r="D3450" s="38" t="n">
        <f aca="false">Sens!$D$3437+Sens!$D$3439+Sens!$D$3441+Sens!$D$3443+Sens!$D$3445+Sens!$D$3447</f>
        <v>588.199</v>
      </c>
      <c r="E3450" s="38" t="n">
        <f aca="false">Sens!$E$3437+Sens!$E$3439+Sens!$E$3441+Sens!$E$3443+Sens!$E$3445+Sens!$E$3447</f>
        <v>302.306</v>
      </c>
      <c r="F3450" s="38" t="n">
        <f aca="false">Sens!$F$3437+Sens!$F$3439+Sens!$F$3441+Sens!$F$3443+Sens!$F$3445+Sens!$F$3447</f>
        <v>349.048241645537</v>
      </c>
      <c r="G3450" s="38" t="n">
        <f aca="false">Sens!$G$3437+Sens!$G$3439+Sens!$G$3441+Sens!$G$3443+Sens!$G$3445+Sens!$G$3447</f>
        <v>651.354241645537</v>
      </c>
      <c r="H3450" s="38" t="n">
        <f aca="false">Sens!$H$3437+Sens!$H$3439+Sens!$H$3441+Sens!$H$3443+Sens!$H$3445+Sens!$H$3447</f>
        <v>721.096889521386</v>
      </c>
      <c r="I3450" s="38" t="n">
        <f aca="false">Sens!$I$3437+Sens!$I$3439+Sens!$I$3441+Sens!$I$3443+Sens!$I$3445+Sens!$I$3447</f>
        <v>788.529391152531</v>
      </c>
      <c r="J3450" s="38" t="n">
        <f aca="false">Sens!$J$3437+Sens!$J$3439+Sens!$J$3441+Sens!$J$3443+Sens!$J$3445+Sens!$J$3447</f>
        <v>851.108405741443</v>
      </c>
      <c r="K3450" s="38" t="n">
        <f aca="false">Sens!$K$3437+Sens!$K$3439+Sens!$K$3441+Sens!$K$3443+Sens!$K$3445+Sens!$K$3447</f>
        <v>906.176455431088</v>
      </c>
      <c r="L3450" s="38" t="n">
        <f aca="false">Sens!$L$3437+Sens!$L$3439+Sens!$L$3441+Sens!$L$3443+Sens!$L$3445+Sens!$L$3447</f>
        <v>965.093106475589</v>
      </c>
      <c r="M3450" s="38" t="n">
        <f aca="false">Sens!$M$3437+Sens!$M$3439+Sens!$M$3441+Sens!$M$3443+Sens!$M$3445+Sens!$M$3447</f>
        <v>1028.14790794689</v>
      </c>
      <c r="N3450" s="38" t="n">
        <f aca="false">Sens!$N$3437+Sens!$N$3439+Sens!$N$3441+Sens!$N$3443+Sens!$N$3445+Sens!$N$3447</f>
        <v>263.229</v>
      </c>
      <c r="O3450" s="38" t="n">
        <f aca="false">Sens!$O$3437+Sens!$O$3439+Sens!$O$3441+Sens!$O$3443+Sens!$O$3445+Sens!$O$3447</f>
        <v>324.97</v>
      </c>
    </row>
    <row r="3451" customFormat="false" ht="17.15" hidden="false" customHeight="false" outlineLevel="0" collapsed="false">
      <c r="A3451" s="5" t="s">
        <v>677</v>
      </c>
      <c r="B3451" s="0" t="s">
        <v>52</v>
      </c>
      <c r="C3451" s="13" t="n">
        <f aca="false">Q!$D$5/(Q!$D$5+Q!$D$6)</f>
        <v>0.730570905519011</v>
      </c>
      <c r="D3451" s="13" t="n">
        <f aca="false">Q!$E$5/(Q!$E$5+Q!$E$6)</f>
        <v>0.724763217890544</v>
      </c>
      <c r="E3451" s="13" t="n">
        <f aca="false">Q!$P$5/(Q!$P$5+Q!$P$6)</f>
        <v>0.728797972914861</v>
      </c>
      <c r="F3451" s="13" t="n">
        <f aca="false">Sens!$O$3451</f>
        <v>0.718066283041511</v>
      </c>
      <c r="G3451" s="13" t="n">
        <f aca="false">Sens!$G$3452/Sens!$G$3450</f>
        <v>0.723047066202847</v>
      </c>
      <c r="H3451" s="13" t="n">
        <f aca="false">Sens!$G$3451</f>
        <v>0.723047066202847</v>
      </c>
      <c r="I3451" s="13" t="n">
        <f aca="false">Sens!$G$3451</f>
        <v>0.723047066202847</v>
      </c>
      <c r="J3451" s="13" t="n">
        <f aca="false">Sens!$G$3451</f>
        <v>0.723047066202847</v>
      </c>
      <c r="K3451" s="13" t="n">
        <f aca="false">Sens!$G$3451</f>
        <v>0.723047066202847</v>
      </c>
      <c r="L3451" s="13" t="n">
        <f aca="false">Sens!$G$3451</f>
        <v>0.723047066202847</v>
      </c>
      <c r="M3451" s="13" t="n">
        <f aca="false">Sens!$G$3451</f>
        <v>0.723047066202847</v>
      </c>
      <c r="N3451" s="13" t="n">
        <f aca="false">Q!$N$5/(Q!$N$5+Q!$N$6)</f>
        <v>0.733030935041352</v>
      </c>
      <c r="O3451" s="13" t="n">
        <f aca="false">Q!$O$5/(Q!$O$5+Q!$O$6)</f>
        <v>0.718066283041511</v>
      </c>
      <c r="P3451" s="8" t="s">
        <v>678</v>
      </c>
    </row>
    <row r="3452" customFormat="false" ht="17.15" hidden="false" customHeight="false" outlineLevel="0" collapsed="false">
      <c r="A3452" s="1" t="s">
        <v>509</v>
      </c>
      <c r="B3452" s="8" t="s">
        <v>86</v>
      </c>
      <c r="C3452" s="38" t="n">
        <f aca="false">Q!$D$5</f>
        <v>387.497</v>
      </c>
      <c r="D3452" s="38" t="n">
        <f aca="false">Q!$E$5</f>
        <v>426.305</v>
      </c>
      <c r="E3452" s="38" t="n">
        <f aca="false">Q!$P$5</f>
        <v>220.32</v>
      </c>
      <c r="F3452" s="38" t="n">
        <f aca="false">Sens!$F$3450*Sens!$F$3451</f>
        <v>250.639773480586</v>
      </c>
      <c r="G3452" s="38" t="n">
        <f aca="false">Sens!$E$3452+Sens!$F$3452</f>
        <v>470.959773480586</v>
      </c>
      <c r="H3452" s="38" t="n">
        <f aca="false">Sens!$H$3450*Sens!$H$3451</f>
        <v>521.386990416437</v>
      </c>
      <c r="I3452" s="38" t="n">
        <f aca="false">Sens!$I$3450*Sens!$I$3451</f>
        <v>570.143862887555</v>
      </c>
      <c r="J3452" s="38" t="n">
        <f aca="false">Sens!$J$3450*Sens!$J$3451</f>
        <v>615.391435791933</v>
      </c>
      <c r="K3452" s="38" t="n">
        <f aca="false">Sens!$K$3450*Sens!$K$3451</f>
        <v>655.208227561543</v>
      </c>
      <c r="L3452" s="38" t="n">
        <f aca="false">Sens!$L$3450*Sens!$L$3451</f>
        <v>697.807739249767</v>
      </c>
      <c r="M3452" s="38" t="n">
        <f aca="false">Sens!$M$3450*Sens!$M$3451</f>
        <v>743.399328463592</v>
      </c>
      <c r="N3452" s="38" t="n">
        <f aca="false">Q!$N$5</f>
        <v>192.955</v>
      </c>
      <c r="O3452" s="38" t="n">
        <f aca="false">Q!$O$5</f>
        <v>233.35</v>
      </c>
      <c r="P3452" s="5" t="s">
        <v>679</v>
      </c>
    </row>
    <row r="3453" customFormat="false" ht="17.15" hidden="false" customHeight="false" outlineLevel="0" collapsed="false">
      <c r="A3453" s="1" t="s">
        <v>512</v>
      </c>
      <c r="B3453" s="8" t="s">
        <v>86</v>
      </c>
      <c r="C3453" s="38" t="n">
        <f aca="false">Q!$D$6</f>
        <v>142.906</v>
      </c>
      <c r="D3453" s="38" t="n">
        <f aca="false">Q!$E$6</f>
        <v>161.894</v>
      </c>
      <c r="E3453" s="38" t="n">
        <f aca="false">Q!$P$6</f>
        <v>81.986</v>
      </c>
      <c r="F3453" s="38" t="n">
        <f aca="false">Sens!$F$3450*(1-Sens!$F$3451)</f>
        <v>98.408468164951</v>
      </c>
      <c r="G3453" s="38" t="n">
        <f aca="false">Sens!$E$3453+Sens!$F$3453</f>
        <v>180.394468164951</v>
      </c>
      <c r="H3453" s="38" t="n">
        <f aca="false">Sens!$H$3450*(1-Sens!$H$3451)</f>
        <v>199.709899104949</v>
      </c>
      <c r="I3453" s="38" t="n">
        <f aca="false">Sens!$I$3450*(1-Sens!$I$3451)</f>
        <v>218.385528264976</v>
      </c>
      <c r="J3453" s="38" t="n">
        <f aca="false">Sens!$J$3450*(1-Sens!$J$3451)</f>
        <v>235.71696994951</v>
      </c>
      <c r="K3453" s="38" t="n">
        <f aca="false">Sens!$K$3450*(1-Sens!$K$3451)</f>
        <v>250.968227869545</v>
      </c>
      <c r="L3453" s="38" t="n">
        <f aca="false">Sens!$L$3450*(1-Sens!$L$3451)</f>
        <v>267.285367225822</v>
      </c>
      <c r="M3453" s="38" t="n">
        <f aca="false">Sens!$M$3450*(1-Sens!$M$3451)</f>
        <v>284.748579483295</v>
      </c>
      <c r="N3453" s="38" t="n">
        <f aca="false">Q!$N$6</f>
        <v>70.274</v>
      </c>
      <c r="O3453" s="38" t="n">
        <f aca="false">Q!$O$6</f>
        <v>91.62</v>
      </c>
      <c r="P3453" s="5" t="s">
        <v>680</v>
      </c>
    </row>
    <row r="3454" customFormat="false" ht="17.15" hidden="false" customHeight="false" outlineLevel="0" collapsed="false">
      <c r="A3454" s="5" t="s">
        <v>681</v>
      </c>
      <c r="B3454" s="0" t="s">
        <v>86</v>
      </c>
      <c r="C3454" s="38" t="n">
        <f aca="false">Sens!$C$3443*Sens!$C$3451</f>
        <v>41.0683128828457</v>
      </c>
      <c r="D3454" s="38" t="n">
        <f aca="false">Sens!$D$3443*Sens!$D$3451</f>
        <v>49.7441234599175</v>
      </c>
      <c r="E3454" s="38" t="n">
        <f aca="false">Sens!$E$3443*Sens!$E$3451</f>
        <v>27.0034224924414</v>
      </c>
      <c r="F3454" s="38" t="n">
        <f aca="false">Sens!$F$3443*Sens!$F$3451</f>
        <v>33.1439448330513</v>
      </c>
      <c r="G3454" s="38" t="n">
        <f aca="false">Sens!$G$3443*Sens!$G$3451</f>
        <v>60.164183844083</v>
      </c>
      <c r="H3454" s="38" t="n">
        <f aca="false">Sens!$H$3443*Sens!$H$3451</f>
        <v>72.2301766552629</v>
      </c>
      <c r="I3454" s="38" t="n">
        <f aca="false">Sens!$I$3443*Sens!$I$3451</f>
        <v>84.2950764463991</v>
      </c>
      <c r="J3454" s="38" t="n">
        <f aca="false">Sens!$J$3443*Sens!$J$3451</f>
        <v>95.5499047729386</v>
      </c>
      <c r="K3454" s="38" t="n">
        <f aca="false">Sens!$K$3443*Sens!$K$3451</f>
        <v>105.104895250232</v>
      </c>
      <c r="L3454" s="38" t="n">
        <f aca="false">Sens!$L$3443*Sens!$L$3451</f>
        <v>115.615384775256</v>
      </c>
      <c r="M3454" s="38" t="n">
        <f aca="false">Sens!$M$3443*Sens!$M$3451</f>
        <v>127.176923252781</v>
      </c>
      <c r="N3454" s="38" t="n">
        <f aca="false">Sens!$N$3443*Sens!$N$3451</f>
        <v>21.7087111412496</v>
      </c>
      <c r="O3454" s="38" t="n">
        <f aca="false">Sens!$O$3443*Sens!$O$3451</f>
        <v>28.0189463642798</v>
      </c>
      <c r="P3454" s="5" t="s">
        <v>682</v>
      </c>
    </row>
    <row r="3455" customFormat="false" ht="15" hidden="false" customHeight="false" outlineLevel="0" collapsed="false">
      <c r="A3455" s="5" t="s">
        <v>683</v>
      </c>
      <c r="B3455" s="0" t="s">
        <v>86</v>
      </c>
      <c r="C3455" s="38" t="n">
        <f aca="false">Sens!$C$3443-Sens!$C$3454</f>
        <v>15.1456871171543</v>
      </c>
      <c r="D3455" s="38" t="n">
        <f aca="false">Sens!$D$3443-Sens!$D$3454</f>
        <v>18.8908765400825</v>
      </c>
      <c r="E3455" s="38" t="n">
        <f aca="false">Sens!$E$3443-Sens!$E$3454</f>
        <v>10.0485775075586</v>
      </c>
      <c r="F3455" s="38" t="n">
        <f aca="false">Sens!$F$3443-Sens!$F$3454</f>
        <v>13.0132771613635</v>
      </c>
      <c r="G3455" s="38" t="n">
        <f aca="false">Sens!$G$3443-Sens!$G$3454</f>
        <v>23.0450381503318</v>
      </c>
      <c r="H3455" s="38" t="n">
        <f aca="false">Sens!$H$3443-Sens!$H$3454</f>
        <v>27.6667457326347</v>
      </c>
      <c r="I3455" s="38" t="n">
        <f aca="false">Sens!$I$3443-Sens!$I$3454</f>
        <v>32.2880346490971</v>
      </c>
      <c r="J3455" s="38" t="n">
        <f aca="false">Sens!$J$3443-Sens!$J$3454</f>
        <v>36.5990371690132</v>
      </c>
      <c r="K3455" s="38" t="n">
        <f aca="false">Sens!$K$3443-Sens!$K$3454</f>
        <v>40.2589408859145</v>
      </c>
      <c r="L3455" s="38" t="n">
        <f aca="false">Sens!$L$3443-Sens!$L$3454</f>
        <v>44.2848349745059</v>
      </c>
      <c r="M3455" s="38" t="n">
        <f aca="false">Sens!$M$3443-Sens!$M$3454</f>
        <v>48.7133184719565</v>
      </c>
      <c r="N3455" s="38" t="n">
        <f aca="false">Sens!$N$3443-Sens!$N$3454</f>
        <v>7.90628885875037</v>
      </c>
      <c r="O3455" s="38" t="n">
        <f aca="false">Sens!$O$3443-Sens!$O$3454</f>
        <v>11.0010536357202</v>
      </c>
    </row>
    <row r="3456" customFormat="false" ht="19.4" hidden="false" customHeight="false" outlineLevel="0" collapsed="false">
      <c r="A3456" s="31" t="s">
        <v>1198</v>
      </c>
    </row>
    <row r="3457" customFormat="false" ht="17.15" hidden="false" customHeight="false" outlineLevel="0" collapsed="false">
      <c r="A3457" s="6" t="s">
        <v>16</v>
      </c>
      <c r="B3457" s="6" t="s">
        <v>17</v>
      </c>
      <c r="C3457" s="20" t="s">
        <v>494</v>
      </c>
      <c r="D3457" s="20" t="s">
        <v>495</v>
      </c>
      <c r="E3457" s="20" t="s">
        <v>577</v>
      </c>
      <c r="F3457" s="20" t="s">
        <v>578</v>
      </c>
      <c r="G3457" s="20" t="s">
        <v>579</v>
      </c>
      <c r="H3457" s="20" t="s">
        <v>580</v>
      </c>
      <c r="I3457" s="20" t="s">
        <v>581</v>
      </c>
      <c r="J3457" s="20" t="s">
        <v>582</v>
      </c>
      <c r="K3457" s="20" t="s">
        <v>583</v>
      </c>
      <c r="L3457" s="20" t="s">
        <v>584</v>
      </c>
      <c r="M3457" s="20" t="s">
        <v>585</v>
      </c>
      <c r="N3457" s="20" t="s">
        <v>586</v>
      </c>
      <c r="O3457" s="20" t="s">
        <v>587</v>
      </c>
      <c r="P3457" s="6" t="s">
        <v>23</v>
      </c>
      <c r="R3457" s="20" t="n">
        <v>2023</v>
      </c>
      <c r="S3457" s="20" t="n">
        <v>2024</v>
      </c>
      <c r="T3457" s="20" t="n">
        <v>2025</v>
      </c>
      <c r="U3457" s="20" t="n">
        <v>2026</v>
      </c>
      <c r="V3457" s="20" t="n">
        <v>2027</v>
      </c>
      <c r="W3457" s="20" t="n">
        <v>2028</v>
      </c>
      <c r="X3457" s="20" t="n">
        <v>2029</v>
      </c>
      <c r="Y3457" s="20" t="n">
        <v>2030</v>
      </c>
      <c r="Z3457" s="20" t="n">
        <v>2031</v>
      </c>
      <c r="AA3457" s="20" t="n">
        <v>2032</v>
      </c>
    </row>
    <row r="3458" customFormat="false" ht="17.15" hidden="false" customHeight="false" outlineLevel="0" collapsed="false">
      <c r="A3458" s="1" t="s">
        <v>588</v>
      </c>
    </row>
    <row r="3459" customFormat="false" ht="17.15" hidden="false" customHeight="false" outlineLevel="0" collapsed="false">
      <c r="A3459" s="5" t="s">
        <v>589</v>
      </c>
      <c r="B3459" s="0" t="s">
        <v>144</v>
      </c>
      <c r="H3459" s="32" t="n">
        <f aca="false">pace_B</f>
        <v>3634.3</v>
      </c>
      <c r="I3459" s="32" t="n">
        <f aca="false">pace_B</f>
        <v>3634.3</v>
      </c>
      <c r="J3459" s="32" t="n">
        <f aca="false">pace_B</f>
        <v>3634.3</v>
      </c>
      <c r="K3459" s="32" t="n">
        <f aca="false">pace_B+(Sens!$J$3460*tg-pace_B)*1/3</f>
        <v>2570.86716666667</v>
      </c>
      <c r="L3459" s="32" t="n">
        <f aca="false">pace_B+(Sens!$J$3460*tg-pace_B)*2/3</f>
        <v>1507.43433333333</v>
      </c>
      <c r="M3459" s="32" t="n">
        <f aca="false">pace_B+(Sens!$J$3460*tg-pace_B)*3/3</f>
        <v>444.0015</v>
      </c>
      <c r="P3459" s="5" t="s">
        <v>590</v>
      </c>
    </row>
    <row r="3460" customFormat="false" ht="17.15" hidden="false" customHeight="false" outlineLevel="0" collapsed="false">
      <c r="A3460" s="15" t="s">
        <v>591</v>
      </c>
      <c r="B3460" s="14" t="s">
        <v>129</v>
      </c>
      <c r="C3460" s="33" t="n">
        <f aca="false">mw_ye24</f>
        <v>360</v>
      </c>
      <c r="D3460" s="33" t="n">
        <f aca="false">mw_ye25</f>
        <v>1440</v>
      </c>
      <c r="E3460" s="33" t="n">
        <f aca="false">mw_open</f>
        <v>2080</v>
      </c>
      <c r="F3460" s="33" t="n">
        <f aca="false">Sens!$E$3460+pace_B*0.5</f>
        <v>3897.15</v>
      </c>
      <c r="G3460" s="33" t="n">
        <f aca="false">Sens!$F$3460</f>
        <v>3897.15</v>
      </c>
      <c r="H3460" s="33" t="n">
        <f aca="false">Sens!$G$3460+Sens!$H$3459</f>
        <v>7531.45</v>
      </c>
      <c r="I3460" s="33" t="n">
        <f aca="false">Sens!$H$3460+Sens!$I$3459</f>
        <v>11165.75</v>
      </c>
      <c r="J3460" s="33" t="n">
        <f aca="false">Sens!$I$3460+Sens!$J$3459</f>
        <v>14800.05</v>
      </c>
      <c r="K3460" s="33" t="n">
        <f aca="false">Sens!$J$3460+Sens!$K$3459</f>
        <v>17370.9171666667</v>
      </c>
      <c r="L3460" s="33" t="n">
        <f aca="false">Sens!$K$3460+Sens!$L$3459</f>
        <v>18878.3515</v>
      </c>
      <c r="M3460" s="33" t="n">
        <f aca="false">Sens!$L$3460+Sens!$M$3459</f>
        <v>19322.353</v>
      </c>
      <c r="N3460" s="33" t="n">
        <f aca="false">(mw_ye24+mw_ye25)/2</f>
        <v>900</v>
      </c>
      <c r="O3460" s="33" t="n">
        <f aca="false">mw_ye25</f>
        <v>1440</v>
      </c>
      <c r="P3460" s="5" t="s">
        <v>592</v>
      </c>
    </row>
    <row r="3461" customFormat="false" ht="17.15" hidden="false" customHeight="false" outlineLevel="0" collapsed="false">
      <c r="A3461" s="5" t="s">
        <v>593</v>
      </c>
      <c r="B3461" s="0" t="s">
        <v>129</v>
      </c>
      <c r="C3461" s="32" t="n">
        <f aca="false">(mw_ye23+mw_ye24)/2</f>
        <v>240</v>
      </c>
      <c r="D3461" s="32" t="n">
        <f aca="false">(Sens!$C$3460+Sens!$D$3460)/2</f>
        <v>900</v>
      </c>
      <c r="E3461" s="32" t="n">
        <f aca="false">(Sens!$D$3460+Sens!$E$3460)/2</f>
        <v>1760</v>
      </c>
      <c r="F3461" s="32" t="n">
        <f aca="false">(Sens!$E$3460+Sens!$F$3460)/2</f>
        <v>2988.575</v>
      </c>
      <c r="G3461" s="32" t="n">
        <f aca="false">(Sens!$E$3461+Sens!$F$3461)/2</f>
        <v>2374.2875</v>
      </c>
      <c r="H3461" s="32" t="n">
        <f aca="false">(Sens!$G$3460+Sens!$H$3460)/2</f>
        <v>5714.3</v>
      </c>
      <c r="I3461" s="32" t="n">
        <f aca="false">(Sens!$H$3460+Sens!$I$3460)/2</f>
        <v>9348.6</v>
      </c>
      <c r="J3461" s="32" t="n">
        <f aca="false">(Sens!$I$3460+Sens!$J$3460)/2</f>
        <v>12982.9</v>
      </c>
      <c r="K3461" s="32" t="n">
        <f aca="false">(Sens!$J$3460+Sens!$K$3460)/2</f>
        <v>16085.4835833333</v>
      </c>
      <c r="L3461" s="32" t="n">
        <f aca="false">(Sens!$K$3460+Sens!$L$3460)/2</f>
        <v>18124.6343333333</v>
      </c>
      <c r="M3461" s="32" t="n">
        <f aca="false">(Sens!$L$3460+Sens!$M$3460)/2</f>
        <v>19100.35225</v>
      </c>
      <c r="N3461" s="32" t="n">
        <f aca="false">(Sens!$C$3460+Sens!$N$3460)/2</f>
        <v>630</v>
      </c>
      <c r="O3461" s="32" t="n">
        <f aca="false">(Sens!$N$3460+Sens!$O$3460)/2</f>
        <v>1170</v>
      </c>
    </row>
    <row r="3462" customFormat="false" ht="15" hidden="false" customHeight="false" outlineLevel="0" collapsed="false">
      <c r="A3462" s="5" t="s">
        <v>594</v>
      </c>
      <c r="B3462" s="5" t="s">
        <v>123</v>
      </c>
      <c r="C3462" s="34" t="n">
        <v>1</v>
      </c>
      <c r="D3462" s="34" t="n">
        <v>1</v>
      </c>
      <c r="E3462" s="34" t="n">
        <v>0.5</v>
      </c>
      <c r="F3462" s="34" t="n">
        <v>0.5</v>
      </c>
      <c r="G3462" s="34" t="n">
        <v>1</v>
      </c>
      <c r="H3462" s="34" t="n">
        <v>1</v>
      </c>
      <c r="I3462" s="34" t="n">
        <v>1</v>
      </c>
      <c r="J3462" s="34" t="n">
        <v>1</v>
      </c>
      <c r="K3462" s="34" t="n">
        <v>1</v>
      </c>
      <c r="L3462" s="34" t="n">
        <v>1</v>
      </c>
      <c r="M3462" s="34" t="n">
        <v>1</v>
      </c>
      <c r="N3462" s="34" t="n">
        <v>0.5</v>
      </c>
      <c r="O3462" s="34" t="n">
        <v>0.5</v>
      </c>
    </row>
    <row r="3463" customFormat="false" ht="17.15" hidden="false" customHeight="false" outlineLevel="0" collapsed="false">
      <c r="A3463" s="5" t="s">
        <v>595</v>
      </c>
      <c r="B3463" s="0" t="s">
        <v>129</v>
      </c>
      <c r="C3463" s="32" t="n">
        <f aca="false">Sens!$C$3460-mw_ye23</f>
        <v>240</v>
      </c>
      <c r="D3463" s="32" t="n">
        <f aca="false">Sens!$D$3460-Sens!$C$3460</f>
        <v>1080</v>
      </c>
      <c r="E3463" s="32" t="n">
        <f aca="false">Sens!$E$3460-Sens!$D$3460</f>
        <v>640</v>
      </c>
      <c r="F3463" s="32" t="n">
        <f aca="false">Sens!$F$3460-Sens!$E$3460</f>
        <v>1817.15</v>
      </c>
      <c r="G3463" s="32" t="n">
        <f aca="false">Sens!$E$3463+Sens!$F$3463</f>
        <v>2457.15</v>
      </c>
      <c r="H3463" s="32" t="n">
        <f aca="false">Sens!$H$3460-Sens!$G$3460</f>
        <v>3634.3</v>
      </c>
      <c r="I3463" s="32" t="n">
        <f aca="false">Sens!$I$3460-Sens!$H$3460</f>
        <v>3634.3</v>
      </c>
      <c r="J3463" s="32" t="n">
        <f aca="false">Sens!$J$3460-Sens!$I$3460</f>
        <v>3634.3</v>
      </c>
      <c r="K3463" s="32" t="n">
        <f aca="false">Sens!$K$3460-Sens!$J$3460</f>
        <v>2570.86716666667</v>
      </c>
      <c r="L3463" s="32" t="n">
        <f aca="false">Sens!$L$3460-Sens!$K$3460</f>
        <v>1507.43433333333</v>
      </c>
      <c r="M3463" s="32" t="n">
        <f aca="false">Sens!$M$3460-Sens!$L$3460</f>
        <v>444.001499999999</v>
      </c>
      <c r="N3463" s="32" t="n">
        <f aca="false">Sens!$N$3460-Sens!$C$3460</f>
        <v>540</v>
      </c>
      <c r="O3463" s="32" t="n">
        <f aca="false">Sens!$O$3460-Sens!$N$3460</f>
        <v>540</v>
      </c>
    </row>
    <row r="3464" customFormat="false" ht="17.15" hidden="false" customHeight="false" outlineLevel="0" collapsed="false">
      <c r="A3464" s="5" t="s">
        <v>596</v>
      </c>
      <c r="B3464" s="0" t="s">
        <v>129</v>
      </c>
      <c r="C3464" s="32" t="n">
        <f aca="false">Sens!$C$3463/ext_sh</f>
        <v>300</v>
      </c>
      <c r="D3464" s="32" t="n">
        <f aca="false">Sens!$D$3463/ext_sh</f>
        <v>1350</v>
      </c>
      <c r="E3464" s="32" t="n">
        <f aca="false">Sens!$E$3463/ext_sh</f>
        <v>800</v>
      </c>
      <c r="F3464" s="32" t="n">
        <f aca="false">Sens!$F$3463/ext_sh</f>
        <v>2271.4375</v>
      </c>
      <c r="G3464" s="32" t="n">
        <f aca="false">Sens!$G$3463/ext_sh</f>
        <v>3071.4375</v>
      </c>
      <c r="H3464" s="32" t="n">
        <f aca="false">Sens!$H$3463/ext_sh</f>
        <v>4542.875</v>
      </c>
      <c r="I3464" s="32" t="n">
        <f aca="false">Sens!$I$3463/ext_sh</f>
        <v>4542.875</v>
      </c>
      <c r="J3464" s="32" t="n">
        <f aca="false">Sens!$J$3463/ext_sh</f>
        <v>4542.875</v>
      </c>
      <c r="K3464" s="32" t="n">
        <f aca="false">Sens!$K$3463/ext_sh</f>
        <v>3213.58395833333</v>
      </c>
      <c r="L3464" s="32" t="n">
        <f aca="false">Sens!$L$3463/ext_sh</f>
        <v>1884.29291666667</v>
      </c>
      <c r="M3464" s="32" t="n">
        <f aca="false">Sens!$M$3463/ext_sh</f>
        <v>555.001874999998</v>
      </c>
      <c r="N3464" s="32" t="n">
        <f aca="false">Sens!$N$3463/ext_sh</f>
        <v>675</v>
      </c>
      <c r="O3464" s="32" t="n">
        <f aca="false">Sens!$O$3463/ext_sh</f>
        <v>675</v>
      </c>
      <c r="P3464" s="8" t="s">
        <v>597</v>
      </c>
      <c r="R3464" s="32" t="n">
        <f aca="false">mw_ye23/ext_sh</f>
        <v>150</v>
      </c>
      <c r="S3464" s="32" t="n">
        <f aca="false">Sens!$C$3464</f>
        <v>300</v>
      </c>
      <c r="T3464" s="32" t="n">
        <f aca="false">Sens!$D$3464</f>
        <v>1350</v>
      </c>
      <c r="U3464" s="32" t="n">
        <f aca="false">Sens!$G$3464</f>
        <v>3071.4375</v>
      </c>
      <c r="V3464" s="32" t="n">
        <f aca="false">Sens!$H$3464</f>
        <v>4542.875</v>
      </c>
      <c r="W3464" s="32" t="n">
        <f aca="false">Sens!$I$3464</f>
        <v>4542.875</v>
      </c>
      <c r="X3464" s="32" t="n">
        <f aca="false">Sens!$J$3464</f>
        <v>4542.875</v>
      </c>
      <c r="Y3464" s="32" t="n">
        <f aca="false">Sens!$K$3464</f>
        <v>3213.58395833333</v>
      </c>
      <c r="Z3464" s="32" t="n">
        <f aca="false">Sens!$L$3464</f>
        <v>1884.29291666667</v>
      </c>
      <c r="AA3464" s="32" t="n">
        <f aca="false">Sens!$M$3464</f>
        <v>555.001874999998</v>
      </c>
    </row>
    <row r="3465" customFormat="false" ht="17.15" hidden="false" customHeight="false" outlineLevel="0" collapsed="false">
      <c r="A3465" s="1" t="s">
        <v>598</v>
      </c>
    </row>
    <row r="3466" customFormat="false" ht="17.15" hidden="false" customHeight="false" outlineLevel="0" collapsed="false">
      <c r="A3466" s="0" t="s">
        <v>599</v>
      </c>
      <c r="B3466" s="0" t="s">
        <v>52</v>
      </c>
      <c r="F3466" s="35" t="n">
        <f aca="false">na_vr26</f>
        <v>0</v>
      </c>
      <c r="G3466" s="35" t="n">
        <f aca="false">na_vr26</f>
        <v>0</v>
      </c>
      <c r="H3466" s="35" t="n">
        <f aca="false">na_vr27</f>
        <v>0.5</v>
      </c>
      <c r="I3466" s="35" t="n">
        <f aca="false">na_vr28</f>
        <v>1</v>
      </c>
      <c r="J3466" s="35" t="n">
        <f aca="false">na_vr28</f>
        <v>1</v>
      </c>
      <c r="K3466" s="35" t="n">
        <f aca="false">na_vr28</f>
        <v>1</v>
      </c>
      <c r="L3466" s="35" t="n">
        <f aca="false">na_vr28</f>
        <v>1</v>
      </c>
      <c r="M3466" s="35" t="n">
        <f aca="false">na_vr28</f>
        <v>1</v>
      </c>
    </row>
    <row r="3467" customFormat="false" ht="17.15" hidden="false" customHeight="false" outlineLevel="0" collapsed="false">
      <c r="A3467" s="5" t="s">
        <v>600</v>
      </c>
      <c r="B3467" s="0" t="s">
        <v>173</v>
      </c>
      <c r="F3467" s="36" t="n">
        <f aca="false">cust_sh*tk_he_gb300*cf_chip+(1-cust_sh)*((1-Sens!$F$3466)*tk_he_gb300+Sens!$F$3466*tk_he_vr200)</f>
        <v>10.8864110021101</v>
      </c>
      <c r="G3467" s="36" t="n">
        <f aca="false">cust_sh*tk_he_gb300*cf_chip+(1-cust_sh)*((1-Sens!$G$3466)*tk_he_gb300+Sens!$G$3466*tk_he_vr200)</f>
        <v>10.8864110021101</v>
      </c>
      <c r="H3467" s="36" t="n">
        <f aca="false">cust_sh*tk_he_gb300*cf_chip+(1-cust_sh)*((1-Sens!$H$3466)*tk_he_gb300+Sens!$H$3466*tk_he_vr200)</f>
        <v>11.2211760027286</v>
      </c>
      <c r="I3467" s="36" t="n">
        <f aca="false">cust_sh*tk_he_gb300*cf_chip+(1-cust_sh)*((1-Sens!$I$3466)*tk_he_gb300+Sens!$I$3466*tk_he_vr200)</f>
        <v>11.5559410033471</v>
      </c>
      <c r="J3467" s="36" t="n">
        <f aca="false">cust_sh*tk_he_gb300*cf_chip+(1-cust_sh)*((1-Sens!$J$3466)*tk_he_gb300+Sens!$J$3466*tk_he_vr200)</f>
        <v>11.5559410033471</v>
      </c>
      <c r="K3467" s="36" t="n">
        <f aca="false">cust_sh*tk_he_gb300*cf_chip+(1-cust_sh)*((1-Sens!$K$3466)*tk_he_gb300+Sens!$K$3466*tk_he_vr200)</f>
        <v>11.5559410033471</v>
      </c>
      <c r="L3467" s="36" t="n">
        <f aca="false">cust_sh*tk_he_gb300*cf_chip+(1-cust_sh)*((1-Sens!$L$3466)*tk_he_gb300+Sens!$L$3466*tk_he_vr200)</f>
        <v>11.5559410033471</v>
      </c>
      <c r="M3467" s="36" t="n">
        <f aca="false">cust_sh*tk_he_gb300*cf_chip+(1-cust_sh)*((1-Sens!$M$3466)*tk_he_gb300+Sens!$M$3466*tk_he_vr200)</f>
        <v>11.5559410033471</v>
      </c>
    </row>
    <row r="3468" customFormat="false" ht="17.15" hidden="false" customHeight="false" outlineLevel="0" collapsed="false">
      <c r="A3468" s="5" t="s">
        <v>601</v>
      </c>
      <c r="B3468" s="0" t="s">
        <v>173</v>
      </c>
      <c r="F3468" s="36" t="n">
        <f aca="false">cust_sh*tk_ox_gb300+(1-cust_sh)*((1-Sens!$F$3466)*tk_ox_gb300+Sens!$F$3466*tk_ox_vr200)</f>
        <v>1.98263481314457</v>
      </c>
      <c r="G3468" s="36" t="n">
        <f aca="false">cust_sh*tk_ox_gb300+(1-cust_sh)*((1-Sens!$G$3466)*tk_ox_gb300+Sens!$G$3466*tk_ox_vr200)</f>
        <v>1.98263481314457</v>
      </c>
      <c r="H3468" s="36" t="n">
        <f aca="false">cust_sh*tk_ox_gb300+(1-cust_sh)*((1-Sens!$H$3466)*tk_ox_gb300+Sens!$H$3466*tk_ox_vr200)</f>
        <v>2.01034999693694</v>
      </c>
      <c r="I3468" s="36" t="n">
        <f aca="false">cust_sh*tk_ox_gb300+(1-cust_sh)*((1-Sens!$I$3466)*tk_ox_gb300+Sens!$I$3466*tk_ox_vr200)</f>
        <v>2.0380651807293</v>
      </c>
      <c r="J3468" s="36" t="n">
        <f aca="false">cust_sh*tk_ox_gb300+(1-cust_sh)*((1-Sens!$J$3466)*tk_ox_gb300+Sens!$J$3466*tk_ox_vr200)</f>
        <v>2.0380651807293</v>
      </c>
      <c r="K3468" s="36" t="n">
        <f aca="false">cust_sh*tk_ox_gb300+(1-cust_sh)*((1-Sens!$K$3466)*tk_ox_gb300+Sens!$K$3466*tk_ox_vr200)</f>
        <v>2.0380651807293</v>
      </c>
      <c r="L3468" s="36" t="n">
        <f aca="false">cust_sh*tk_ox_gb300+(1-cust_sh)*((1-Sens!$L$3466)*tk_ox_gb300+Sens!$L$3466*tk_ox_vr200)</f>
        <v>2.0380651807293</v>
      </c>
      <c r="M3468" s="36" t="n">
        <f aca="false">cust_sh*tk_ox_gb300+(1-cust_sh)*((1-Sens!$M$3466)*tk_ox_gb300+Sens!$M$3466*tk_ox_vr200)</f>
        <v>2.0380651807293</v>
      </c>
    </row>
    <row r="3469" customFormat="false" ht="17.15" hidden="false" customHeight="false" outlineLevel="0" collapsed="false">
      <c r="A3469" s="5" t="s">
        <v>602</v>
      </c>
      <c r="B3469" s="0" t="s">
        <v>192</v>
      </c>
      <c r="F3469" s="36" t="n">
        <f aca="false">cust_sh*tk_cx_gb300*cf_cx+(1-cust_sh)*((1-Sens!$F$3466)*tk_cx_gb300+Sens!$F$3466*tk_cx_vr200)</f>
        <v>32.237224</v>
      </c>
      <c r="G3469" s="36" t="n">
        <f aca="false">cust_sh*tk_cx_gb300*cf_cx+(1-cust_sh)*((1-Sens!$G$3466)*tk_cx_gb300+Sens!$G$3466*tk_cx_vr200)</f>
        <v>32.237224</v>
      </c>
      <c r="H3469" s="36" t="n">
        <f aca="false">cust_sh*tk_cx_gb300*cf_cx+(1-cust_sh)*((1-Sens!$H$3466)*tk_cx_gb300+Sens!$H$3466*tk_cx_vr200)</f>
        <v>33.574506</v>
      </c>
      <c r="I3469" s="36" t="n">
        <f aca="false">cust_sh*tk_cx_gb300*cf_cx+(1-cust_sh)*((1-Sens!$I$3466)*tk_cx_gb300+Sens!$I$3466*tk_cx_vr200)</f>
        <v>34.911788</v>
      </c>
      <c r="J3469" s="36" t="n">
        <f aca="false">cust_sh*tk_cx_gb300*cf_cx+(1-cust_sh)*((1-Sens!$J$3466)*tk_cx_gb300+Sens!$J$3466*tk_cx_vr200)</f>
        <v>34.911788</v>
      </c>
      <c r="K3469" s="36" t="n">
        <f aca="false">cust_sh*tk_cx_gb300*cf_cx+(1-cust_sh)*((1-Sens!$K$3466)*tk_cx_gb300+Sens!$K$3466*tk_cx_vr200)</f>
        <v>34.911788</v>
      </c>
      <c r="L3469" s="36" t="n">
        <f aca="false">cust_sh*tk_cx_gb300*cf_cx+(1-cust_sh)*((1-Sens!$L$3466)*tk_cx_gb300+Sens!$L$3466*tk_cx_vr200)</f>
        <v>34.911788</v>
      </c>
      <c r="M3469" s="36" t="n">
        <f aca="false">cust_sh*tk_cx_gb300*cf_cx+(1-cust_sh)*((1-Sens!$M$3466)*tk_cx_gb300+Sens!$M$3466*tk_cx_vr200)</f>
        <v>34.911788</v>
      </c>
    </row>
    <row r="3470" customFormat="false" ht="17.15" hidden="false" customHeight="false" outlineLevel="0" collapsed="false">
      <c r="A3470" s="5" t="s">
        <v>603</v>
      </c>
      <c r="B3470" s="0" t="s">
        <v>129</v>
      </c>
      <c r="F3470" s="32" t="n">
        <f aca="false">Sens!$F$3460-mw_open</f>
        <v>1817.15</v>
      </c>
      <c r="G3470" s="32" t="n">
        <f aca="false">Sens!$F$3470</f>
        <v>1817.15</v>
      </c>
      <c r="H3470" s="32" t="n">
        <f aca="false">Sens!$H$3460-mw_open</f>
        <v>5451.45</v>
      </c>
      <c r="I3470" s="32" t="n">
        <f aca="false">Sens!$I$3460-mw_open</f>
        <v>9085.75</v>
      </c>
      <c r="J3470" s="32" t="n">
        <f aca="false">Sens!$J$3460-mw_open</f>
        <v>12720.05</v>
      </c>
      <c r="K3470" s="32" t="n">
        <f aca="false">Sens!$K$3460-mw_open</f>
        <v>15290.9171666667</v>
      </c>
      <c r="L3470" s="32" t="n">
        <f aca="false">Sens!$L$3460-mw_open</f>
        <v>16798.3515</v>
      </c>
      <c r="M3470" s="32" t="n">
        <f aca="false">Sens!$M$3460-mw_open</f>
        <v>17242.353</v>
      </c>
    </row>
    <row r="3471" customFormat="false" ht="17.15" hidden="false" customHeight="false" outlineLevel="0" collapsed="false">
      <c r="A3471" s="0" t="s">
        <v>604</v>
      </c>
      <c r="B3471" s="0" t="s">
        <v>605</v>
      </c>
      <c r="F3471" s="32" t="n">
        <f aca="false">Sens!$F$3463*Sens!$F$3467</f>
        <v>19782.2417524844</v>
      </c>
      <c r="G3471" s="32" t="n">
        <f aca="false">Sens!$F$3471</f>
        <v>19782.2417524844</v>
      </c>
      <c r="H3471" s="32" t="n">
        <f aca="false">Sens!$G$3471+Sens!$H$3463*Sens!$H$3467</f>
        <v>60563.3616992009</v>
      </c>
      <c r="I3471" s="32" t="n">
        <f aca="false">Sens!$H$3471+Sens!$I$3463*Sens!$I$3467</f>
        <v>102561.118087665</v>
      </c>
      <c r="J3471" s="32" t="n">
        <f aca="false">Sens!$I$3471+Sens!$J$3463*Sens!$J$3467</f>
        <v>144558.87447613</v>
      </c>
      <c r="K3471" s="32" t="n">
        <f aca="false">Sens!$J$3471+Sens!$K$3463*Sens!$K$3467</f>
        <v>174267.663781572</v>
      </c>
      <c r="L3471" s="32" t="n">
        <f aca="false">Sens!$K$3471+Sens!$L$3463*Sens!$L$3467</f>
        <v>191687.486003992</v>
      </c>
      <c r="M3471" s="32" t="n">
        <f aca="false">Sens!$L$3471+Sens!$M$3463*Sens!$M$3467</f>
        <v>196818.341143389</v>
      </c>
    </row>
    <row r="3472" customFormat="false" ht="17.15" hidden="false" customHeight="false" outlineLevel="0" collapsed="false">
      <c r="A3472" s="0" t="s">
        <v>606</v>
      </c>
      <c r="B3472" s="0" t="s">
        <v>605</v>
      </c>
      <c r="F3472" s="32" t="n">
        <f aca="false">Sens!$F$3463*Sens!$F$3468</f>
        <v>3602.74485070566</v>
      </c>
      <c r="G3472" s="32" t="n">
        <f aca="false">Sens!$F$3472</f>
        <v>3602.74485070566</v>
      </c>
      <c r="H3472" s="32" t="n">
        <f aca="false">Sens!$G$3472+Sens!$H$3463*Sens!$H$3468</f>
        <v>10908.9598445736</v>
      </c>
      <c r="I3472" s="32" t="n">
        <f aca="false">Sens!$H$3472+Sens!$I$3463*Sens!$I$3468</f>
        <v>18315.9001308981</v>
      </c>
      <c r="J3472" s="32" t="n">
        <f aca="false">Sens!$I$3472+Sens!$J$3463*Sens!$J$3468</f>
        <v>25722.8404172225</v>
      </c>
      <c r="K3472" s="32" t="n">
        <f aca="false">Sens!$J$3472+Sens!$K$3463*Sens!$K$3468</f>
        <v>30962.4352738861</v>
      </c>
      <c r="L3472" s="32" t="n">
        <f aca="false">Sens!$K$3472+Sens!$L$3463*Sens!$L$3468</f>
        <v>34034.6847008886</v>
      </c>
      <c r="M3472" s="32" t="n">
        <f aca="false">Sens!$L$3472+Sens!$M$3463*Sens!$M$3468</f>
        <v>34939.5886982302</v>
      </c>
    </row>
    <row r="3473" customFormat="false" ht="17.15" hidden="false" customHeight="false" outlineLevel="0" collapsed="false">
      <c r="A3473" s="5" t="s">
        <v>607</v>
      </c>
      <c r="B3473" s="0" t="s">
        <v>173</v>
      </c>
      <c r="F3473" s="36" t="n">
        <f aca="false">IF(Sens!$F$3470&gt;0,Sens!$F$3471/Sens!$F$3470,Sens!$F$3467)</f>
        <v>10.8864110021101</v>
      </c>
      <c r="G3473" s="36" t="n">
        <f aca="false">IF(Sens!$G$3470&gt;0,Sens!$G$3471/Sens!$G$3470,Sens!$G$3467)</f>
        <v>10.8864110021101</v>
      </c>
      <c r="H3473" s="36" t="n">
        <f aca="false">IF(Sens!$H$3470&gt;0,Sens!$H$3471/Sens!$H$3470,Sens!$H$3467)</f>
        <v>11.1095876691891</v>
      </c>
      <c r="I3473" s="36" t="n">
        <f aca="false">IF(Sens!$I$3470&gt;0,Sens!$I$3471/Sens!$I$3470,Sens!$I$3467)</f>
        <v>11.2881290028523</v>
      </c>
      <c r="J3473" s="36" t="n">
        <f aca="false">IF(Sens!$J$3470&gt;0,Sens!$J$3471/Sens!$J$3470,Sens!$J$3467)</f>
        <v>11.3646467172794</v>
      </c>
      <c r="K3473" s="36" t="n">
        <f aca="false">IF(Sens!$K$3470&gt;0,Sens!$K$3471/Sens!$K$3470,Sens!$K$3467)</f>
        <v>11.3968090914432</v>
      </c>
      <c r="L3473" s="36" t="n">
        <f aca="false">IF(Sens!$L$3470&gt;0,Sens!$L$3471/Sens!$L$3470,Sens!$L$3467)</f>
        <v>11.4110891181192</v>
      </c>
      <c r="M3473" s="36" t="n">
        <f aca="false">IF(Sens!$M$3470&gt;0,Sens!$M$3471/Sens!$M$3470,Sens!$M$3467)</f>
        <v>11.4148191458201</v>
      </c>
    </row>
    <row r="3474" customFormat="false" ht="17.15" hidden="false" customHeight="false" outlineLevel="0" collapsed="false">
      <c r="A3474" s="5" t="s">
        <v>608</v>
      </c>
      <c r="B3474" s="0" t="s">
        <v>173</v>
      </c>
      <c r="F3474" s="36" t="n">
        <f aca="false">IF(Sens!$F$3470&gt;0,Sens!$F$3472/Sens!$F$3470,Sens!$F$3468)</f>
        <v>1.98263481314457</v>
      </c>
      <c r="G3474" s="36" t="n">
        <f aca="false">IF(Sens!$G$3470&gt;0,Sens!$G$3472/Sens!$G$3470,Sens!$G$3468)</f>
        <v>1.98263481314457</v>
      </c>
      <c r="H3474" s="36" t="n">
        <f aca="false">IF(Sens!$H$3470&gt;0,Sens!$H$3472/Sens!$H$3470,Sens!$H$3468)</f>
        <v>2.00111160233948</v>
      </c>
      <c r="I3474" s="36" t="n">
        <f aca="false">IF(Sens!$I$3470&gt;0,Sens!$I$3472/Sens!$I$3470,Sens!$I$3468)</f>
        <v>2.01589303369541</v>
      </c>
      <c r="J3474" s="36" t="n">
        <f aca="false">IF(Sens!$J$3470&gt;0,Sens!$J$3472/Sens!$J$3470,Sens!$J$3468)</f>
        <v>2.02222793284795</v>
      </c>
      <c r="K3474" s="36" t="n">
        <f aca="false">IF(Sens!$K$3470&gt;0,Sens!$K$3472/Sens!$K$3470,Sens!$K$3468)</f>
        <v>2.02489065478573</v>
      </c>
      <c r="L3474" s="36" t="n">
        <f aca="false">IF(Sens!$L$3470&gt;0,Sens!$L$3472/Sens!$L$3470,Sens!$L$3468)</f>
        <v>2.0260728977417</v>
      </c>
      <c r="M3474" s="36" t="n">
        <f aca="false">IF(Sens!$M$3470&gt;0,Sens!$M$3472/Sens!$M$3470,Sens!$M$3468)</f>
        <v>2.02638170661685</v>
      </c>
    </row>
    <row r="3475" customFormat="false" ht="17.15" hidden="false" customHeight="false" outlineLevel="0" collapsed="false">
      <c r="A3475" s="15" t="s">
        <v>609</v>
      </c>
      <c r="B3475" s="14" t="s">
        <v>173</v>
      </c>
      <c r="C3475" s="14"/>
      <c r="D3475" s="14"/>
      <c r="E3475" s="14"/>
      <c r="F3475" s="37" t="n">
        <f aca="false">Sens!$F$3473*k_B</f>
        <v>10.7987645808025</v>
      </c>
      <c r="G3475" s="37" t="n">
        <f aca="false">Sens!$G$3473*k_B</f>
        <v>10.7987645808025</v>
      </c>
      <c r="H3475" s="37" t="n">
        <f aca="false">Sens!$H$3473*k_B</f>
        <v>11.0201444540452</v>
      </c>
      <c r="I3475" s="37" t="n">
        <f aca="false">Sens!$I$3473*k_B</f>
        <v>11.1972483526393</v>
      </c>
      <c r="J3475" s="37" t="n">
        <f aca="false">Sens!$J$3473*k_B</f>
        <v>11.2731500234653</v>
      </c>
      <c r="K3475" s="37" t="n">
        <f aca="false">Sens!$K$3473*k_B</f>
        <v>11.3050534585724</v>
      </c>
      <c r="L3475" s="37" t="n">
        <f aca="false">Sens!$L$3473*k_B</f>
        <v>11.3192185168503</v>
      </c>
      <c r="M3475" s="37" t="n">
        <f aca="false">Sens!$M$3473*k_B</f>
        <v>11.3229185141234</v>
      </c>
      <c r="N3475" s="14"/>
      <c r="O3475" s="14"/>
      <c r="P3475" s="5" t="s">
        <v>610</v>
      </c>
    </row>
    <row r="3476" customFormat="false" ht="17.15" hidden="false" customHeight="false" outlineLevel="0" collapsed="false">
      <c r="A3476" s="5" t="s">
        <v>611</v>
      </c>
      <c r="B3476" s="0" t="s">
        <v>129</v>
      </c>
      <c r="F3476" s="32" t="n">
        <f aca="false">Sens!$F$3470/2</f>
        <v>908.575</v>
      </c>
      <c r="H3476" s="32" t="n">
        <f aca="false">(Sens!$G$3470+Sens!$H$3470)/2</f>
        <v>3634.3</v>
      </c>
      <c r="I3476" s="32" t="n">
        <f aca="false">(Sens!$H$3470+Sens!$I$3470)/2</f>
        <v>7268.6</v>
      </c>
      <c r="J3476" s="32" t="n">
        <f aca="false">(Sens!$I$3470+Sens!$J$3470)/2</f>
        <v>10902.9</v>
      </c>
      <c r="K3476" s="32" t="n">
        <f aca="false">(Sens!$J$3470+Sens!$K$3470)/2</f>
        <v>14005.4835833333</v>
      </c>
      <c r="L3476" s="32" t="n">
        <f aca="false">(Sens!$K$3470+Sens!$L$3470)/2</f>
        <v>16044.6343333333</v>
      </c>
      <c r="M3476" s="32" t="n">
        <f aca="false">(Sens!$L$3470+Sens!$M$3470)/2</f>
        <v>17020.35225</v>
      </c>
    </row>
    <row r="3477" customFormat="false" ht="17.15" hidden="false" customHeight="false" outlineLevel="0" collapsed="false">
      <c r="A3477" s="1" t="s">
        <v>612</v>
      </c>
    </row>
    <row r="3478" customFormat="false" ht="17.15" hidden="false" customHeight="false" outlineLevel="0" collapsed="false">
      <c r="A3478" s="1" t="s">
        <v>613</v>
      </c>
      <c r="B3478" s="8" t="s">
        <v>86</v>
      </c>
      <c r="C3478" s="38" t="n">
        <f aca="false">Sens!$C$3461*rpm_open*Sens!$C$3462/1000</f>
        <v>2.32100535697364</v>
      </c>
      <c r="D3478" s="38" t="n">
        <f aca="false">Sens!$D$3461*rpm_open*Sens!$D$3462/1000</f>
        <v>8.70377008865116</v>
      </c>
      <c r="E3478" s="38" t="n">
        <f aca="false">Sens!$E$3461*rpm_open*Sens!$E$3462/1000</f>
        <v>8.51035297557002</v>
      </c>
      <c r="F3478" s="38" t="n">
        <f aca="false">(mw_open*rpm_open+Sens!$F$3476*Sens!$F$3475)*Sens!$F$3462/1000</f>
        <v>14.9634336447205</v>
      </c>
      <c r="G3478" s="38" t="n">
        <f aca="false">Sens!$E$3478+Sens!$F$3478</f>
        <v>23.4737866202905</v>
      </c>
      <c r="H3478" s="38" t="n">
        <f aca="false">(mw_open*rpm_open+Sens!$H$3476*Sens!$H$3475)/1000</f>
        <v>60.1658907497746</v>
      </c>
      <c r="I3478" s="38" t="n">
        <f aca="false">(mw_open*rpm_open+Sens!$I$3476*Sens!$I$3475)/1000</f>
        <v>101.503699136432</v>
      </c>
      <c r="J3478" s="38" t="n">
        <f aca="false">(mw_open*rpm_open+Sens!$J$3476*Sens!$J$3475)/1000</f>
        <v>143.025407151278</v>
      </c>
      <c r="K3478" s="38" t="n">
        <f aca="false">(mw_open*rpm_open+Sens!$K$3476*Sens!$K$3475)/1000</f>
        <v>178.44812038318</v>
      </c>
      <c r="L3478" s="38" t="n">
        <f aca="false">(mw_open*rpm_open+Sens!$L$3476*Sens!$L$3475)/1000</f>
        <v>201.728101802396</v>
      </c>
      <c r="M3478" s="38" t="n">
        <f aca="false">(mw_open*rpm_open+Sens!$M$3476*Sens!$M$3475)/1000</f>
        <v>212.835441368865</v>
      </c>
      <c r="N3478" s="38" t="n">
        <f aca="false">Sens!$N$3461*rpm_open*Sens!$N$3462/1000</f>
        <v>3.04631953102791</v>
      </c>
      <c r="O3478" s="38" t="n">
        <f aca="false">Sens!$O$3461*rpm_open*Sens!$O$3462/1000</f>
        <v>5.65745055762326</v>
      </c>
      <c r="P3478" s="5" t="s">
        <v>614</v>
      </c>
    </row>
    <row r="3479" customFormat="false" ht="17.15" hidden="false" customHeight="false" outlineLevel="0" collapsed="false">
      <c r="A3479" s="5" t="s">
        <v>615</v>
      </c>
      <c r="B3479" s="0" t="s">
        <v>173</v>
      </c>
      <c r="C3479" s="36" t="n">
        <f aca="false">Sens!$C$3478*1000/(Sens!$C$3461*Sens!$C$3462)</f>
        <v>9.67085565405685</v>
      </c>
      <c r="D3479" s="36" t="n">
        <f aca="false">Sens!$D$3478*1000/(Sens!$D$3461*Sens!$D$3462)</f>
        <v>9.67085565405685</v>
      </c>
      <c r="E3479" s="36" t="n">
        <f aca="false">Sens!$E$3478*1000/(Sens!$E$3461*Sens!$E$3462)</f>
        <v>9.67085565405685</v>
      </c>
      <c r="F3479" s="36" t="n">
        <f aca="false">Sens!$F$3478*1000/(Sens!$F$3461*Sens!$F$3462)</f>
        <v>10.0137581588017</v>
      </c>
      <c r="G3479" s="36" t="n">
        <f aca="false">Sens!$G$3478*1000/(Sens!$G$3461*Sens!$G$3462)</f>
        <v>9.88666562928478</v>
      </c>
      <c r="H3479" s="36" t="n">
        <f aca="false">Sens!$H$3478*1000/(Sens!$H$3461*Sens!$H$3462)</f>
        <v>10.5290045586992</v>
      </c>
      <c r="I3479" s="36" t="n">
        <f aca="false">Sens!$I$3478*1000/(Sens!$I$3461*Sens!$I$3462)</f>
        <v>10.8576363451674</v>
      </c>
      <c r="J3479" s="36" t="n">
        <f aca="false">Sens!$J$3478*1000/(Sens!$J$3461*Sens!$J$3462)</f>
        <v>11.0164452588619</v>
      </c>
      <c r="K3479" s="36" t="n">
        <f aca="false">Sens!$K$3478*1000/(Sens!$K$3461*Sens!$K$3462)</f>
        <v>11.0937367508227</v>
      </c>
      <c r="L3479" s="36" t="n">
        <f aca="false">Sens!$L$3478*1000/(Sens!$L$3461*Sens!$L$3462)</f>
        <v>11.1300508519168</v>
      </c>
      <c r="M3479" s="36" t="n">
        <f aca="false">Sens!$M$3478*1000/(Sens!$M$3461*Sens!$M$3462)</f>
        <v>11.1430113216297</v>
      </c>
      <c r="N3479" s="36" t="n">
        <f aca="false">Sens!$N$3478*1000/(Sens!$N$3461*Sens!$N$3462)</f>
        <v>9.67085565405685</v>
      </c>
      <c r="O3479" s="36" t="n">
        <f aca="false">Sens!$O$3478*1000/(Sens!$O$3461*Sens!$O$3462)</f>
        <v>9.67085565405685</v>
      </c>
    </row>
    <row r="3480" customFormat="false" ht="17.15" hidden="false" customHeight="false" outlineLevel="0" collapsed="false">
      <c r="A3480" s="0" t="s">
        <v>616</v>
      </c>
      <c r="B3480" s="0" t="s">
        <v>86</v>
      </c>
      <c r="C3480" s="38" t="n">
        <f aca="false">Sens!$C$3461/ext_sh*(ox_open+rent_mw)*Sens!$C$3462/1000</f>
        <v>0.642569210675032</v>
      </c>
      <c r="D3480" s="38" t="n">
        <f aca="false">Sens!$D$3461/ext_sh*(ox_open+rent_mw)*Sens!$D$3462/1000</f>
        <v>2.40963454003137</v>
      </c>
      <c r="E3480" s="38" t="n">
        <f aca="false">Sens!$E$3461/ext_sh*(ox_open+rent_mw)*Sens!$E$3462/1000</f>
        <v>2.35608710580845</v>
      </c>
      <c r="F3480" s="38" t="n">
        <f aca="false">((mw_open*ox_open+Sens!$F$3476*Sens!$F$3474)/ext_sh+Sens!$F$3461/ext_sh*rent_mw)*Sens!$F$3462/1000</f>
        <v>4.05421991106232</v>
      </c>
      <c r="G3480" s="38" t="n">
        <f aca="false">Sens!$E$3480+Sens!$F$3480</f>
        <v>6.41030701687077</v>
      </c>
      <c r="H3480" s="38" t="n">
        <f aca="false">((mw_open*ox_open+Sens!$H$3476*Sens!$H$3474)/ext_sh+Sens!$H$3461/ext_sh*rent_mw)*Sens!$H$3462/1000</f>
        <v>15.8108975546616</v>
      </c>
      <c r="I3480" s="38" t="n">
        <f aca="false">((mw_open*ox_open+Sens!$I$3476*Sens!$I$3474)/ext_sh+Sens!$I$3461/ext_sh*rent_mw)*Sens!$I$3462/1000</f>
        <v>26.1871623400817</v>
      </c>
      <c r="J3480" s="38" t="n">
        <f aca="false">((mw_open*ox_open+Sens!$J$3476*Sens!$J$3474)/ext_sh+Sens!$J$3461/ext_sh*rent_mw)*Sens!$J$3462/1000</f>
        <v>36.5826128954935</v>
      </c>
      <c r="K3480" s="38" t="n">
        <f aca="false">((mw_open*ox_open+Sens!$K$3476*Sens!$K$3474)/ext_sh+Sens!$K$3461/ext_sh*rent_mw)*Sens!$K$3462/1000</f>
        <v>45.4546361137628</v>
      </c>
      <c r="L3480" s="38" t="n">
        <f aca="false">((mw_open*ox_open+Sens!$L$3476*Sens!$L$3474)/ext_sh+Sens!$L$3461/ext_sh*rent_mw)*Sens!$L$3462/1000</f>
        <v>51.2855695554452</v>
      </c>
      <c r="M3480" s="38" t="n">
        <f aca="false">((mw_open*ox_open+Sens!$M$3476*Sens!$M$3474)/ext_sh+Sens!$M$3461/ext_sh*rent_mw)*Sens!$M$3462/1000</f>
        <v>54.0722927838398</v>
      </c>
      <c r="N3480" s="38" t="n">
        <f aca="false">Sens!$N$3461/ext_sh*(ox_open+rent_mw)*Sens!$N$3462/1000</f>
        <v>0.84337208901098</v>
      </c>
      <c r="O3480" s="38" t="n">
        <f aca="false">Sens!$O$3461/ext_sh*(ox_open+rent_mw)*Sens!$O$3462/1000</f>
        <v>1.56626245102039</v>
      </c>
    </row>
    <row r="3481" customFormat="false" ht="17.15" hidden="false" customHeight="false" outlineLevel="0" collapsed="false">
      <c r="A3481" s="0" t="s">
        <v>617</v>
      </c>
      <c r="B3481" s="0" t="s">
        <v>86</v>
      </c>
      <c r="C3481" s="38" t="n">
        <f aca="false">Q!$D$7</f>
        <v>107.556</v>
      </c>
      <c r="D3481" s="38" t="n">
        <f aca="false">Q!$E$7</f>
        <v>128.725</v>
      </c>
      <c r="E3481" s="38" t="n">
        <f aca="false">Q!$P$7</f>
        <v>79.819</v>
      </c>
      <c r="N3481" s="38" t="n">
        <f aca="false">Q!$N$7</f>
        <v>60.14</v>
      </c>
      <c r="O3481" s="38" t="n">
        <f aca="false">Q!$O$7</f>
        <v>68.585</v>
      </c>
    </row>
    <row r="3482" customFormat="false" ht="17.15" hidden="false" customHeight="false" outlineLevel="0" collapsed="false">
      <c r="A3482" s="1" t="s">
        <v>618</v>
      </c>
      <c r="B3482" s="8" t="s">
        <v>86</v>
      </c>
      <c r="C3482" s="38" t="n">
        <f aca="false">Sens!$C$3481-Sens!$C$3478</f>
        <v>105.234994643026</v>
      </c>
      <c r="D3482" s="38" t="n">
        <f aca="false">Sens!$D$3481-Sens!$D$3478</f>
        <v>120.021229911349</v>
      </c>
      <c r="E3482" s="38" t="n">
        <f aca="false">Sens!$E$3481-Sens!$E$3478</f>
        <v>71.30864702443</v>
      </c>
      <c r="F3482" s="38" t="n">
        <f aca="false">Sens!$O$3482*(1+Sens!$F$3483)</f>
        <v>71.7692997942464</v>
      </c>
      <c r="G3482" s="38" t="n">
        <f aca="false">Sens!$E$3482+Sens!$F$3482</f>
        <v>143.077946818676</v>
      </c>
      <c r="H3482" s="38" t="n">
        <f aca="false">Sens!$G$3482*(1+Sens!$H$3483)</f>
        <v>161.017077079203</v>
      </c>
      <c r="I3482" s="38" t="n">
        <f aca="false">Sens!$H$3482*(1+Sens!$I$3483)</f>
        <v>178.769759521457</v>
      </c>
      <c r="J3482" s="38" t="n">
        <f aca="false">Sens!$I$3482*(1+Sens!$J$3483)</f>
        <v>195.775538045907</v>
      </c>
      <c r="K3482" s="38" t="n">
        <f aca="false">Sens!$J$3482*(1+Sens!$K$3483)</f>
        <v>211.43758108958</v>
      </c>
      <c r="L3482" s="38" t="n">
        <f aca="false">Sens!$K$3482*(1+Sens!$L$3483)</f>
        <v>228.352587576746</v>
      </c>
      <c r="M3482" s="38" t="n">
        <f aca="false">Sens!$L$3482*(1+Sens!$M$3483)</f>
        <v>246.620794582886</v>
      </c>
      <c r="N3482" s="38" t="n">
        <f aca="false">Sens!$N$3481-Sens!$N$3478</f>
        <v>57.0936804689721</v>
      </c>
      <c r="O3482" s="38" t="n">
        <f aca="false">Sens!$O$3481-Sens!$O$3478</f>
        <v>62.9275494423768</v>
      </c>
      <c r="P3482" s="5" t="s">
        <v>619</v>
      </c>
    </row>
    <row r="3483" customFormat="false" ht="17.15" hidden="false" customHeight="false" outlineLevel="0" collapsed="false">
      <c r="A3483" s="0" t="s">
        <v>620</v>
      </c>
      <c r="B3483" s="0" t="s">
        <v>52</v>
      </c>
      <c r="D3483" s="13" t="n">
        <f aca="false">Sens!$D$3482/Sens!$C$3482-1</f>
        <v>0.140506827776062</v>
      </c>
      <c r="E3483" s="13" t="n">
        <f aca="false">Sens!$E$3482/Sens!$N$3482-1</f>
        <v>0.248976181579029</v>
      </c>
      <c r="F3483" s="13" t="n">
        <f aca="false">Sens!$D$3483</f>
        <v>0.140506827776062</v>
      </c>
      <c r="G3483" s="13" t="n">
        <f aca="false">Sens!$G$3482/Sens!$D$3482-1</f>
        <v>0.19210532106993</v>
      </c>
      <c r="H3483" s="13" t="n">
        <f aca="false">Sens!$F$3483+(g_awso_lt-Sens!$F$3483)*1/4</f>
        <v>0.125380120832046</v>
      </c>
      <c r="I3483" s="13" t="n">
        <f aca="false">Sens!$F$3483+(g_awso_lt-Sens!$F$3483)*2/4</f>
        <v>0.110253413888031</v>
      </c>
      <c r="J3483" s="13" t="n">
        <f aca="false">Sens!$F$3483+(g_awso_lt-Sens!$F$3483)*3/4</f>
        <v>0.0951267069440154</v>
      </c>
      <c r="K3483" s="13" t="n">
        <f aca="false">Sens!$F$3483+(g_awso_lt-Sens!$F$3483)*4/4</f>
        <v>0.08</v>
      </c>
      <c r="L3483" s="13" t="n">
        <f aca="false">g_awso_lt</f>
        <v>0.08</v>
      </c>
      <c r="M3483" s="13" t="n">
        <f aca="false">g_awso_lt</f>
        <v>0.08</v>
      </c>
      <c r="P3483" s="5" t="s">
        <v>621</v>
      </c>
    </row>
    <row r="3484" customFormat="false" ht="17.15" hidden="false" customHeight="false" outlineLevel="0" collapsed="false">
      <c r="A3484" s="1" t="s">
        <v>622</v>
      </c>
    </row>
    <row r="3485" customFormat="false" ht="17.15" hidden="false" customHeight="false" outlineLevel="0" collapsed="false">
      <c r="A3485" s="0" t="s">
        <v>623</v>
      </c>
      <c r="B3485" s="0" t="s">
        <v>86</v>
      </c>
      <c r="F3485" s="38" t="n">
        <f aca="false">cx_rt*Sens!$F$3450+cx_awso*Sens!$F$3482</f>
        <v>34.9734495387866</v>
      </c>
    </row>
    <row r="3486" customFormat="false" ht="17.15" hidden="false" customHeight="false" outlineLevel="0" collapsed="false">
      <c r="A3486" s="0" t="s">
        <v>624</v>
      </c>
      <c r="B3486" s="0" t="s">
        <v>52</v>
      </c>
      <c r="C3486" s="13" t="n">
        <f aca="false">tk_cx_h100/(tk_cx_h100+tk_fac*(1-colo_sh))</f>
        <v>0.730756458006641</v>
      </c>
      <c r="D3486" s="13" t="n">
        <f aca="false">tk_cx_h100/(tk_cx_h100+tk_fac*(1-colo_sh))</f>
        <v>0.730756458006641</v>
      </c>
      <c r="E3486" s="13" t="n">
        <f aca="false">Sens!$F$3486</f>
        <v>0.760792334328868</v>
      </c>
      <c r="F3486" s="13" t="n">
        <f aca="false">Sens!$F$3469/(Sens!$F$3469+tk_fac*(1-colo_sh))</f>
        <v>0.760792334328868</v>
      </c>
      <c r="G3486" s="13" t="n">
        <f aca="false">Sens!$G$3469/(Sens!$G$3469+tk_fac*(1-colo_sh))</f>
        <v>0.760792334328868</v>
      </c>
      <c r="H3486" s="13" t="n">
        <f aca="false">Sens!$H$3469/(Sens!$H$3469+tk_fac*(1-colo_sh))</f>
        <v>0.768110668862996</v>
      </c>
      <c r="I3486" s="13" t="n">
        <f aca="false">Sens!$I$3469/(Sens!$I$3469+tk_fac*(1-colo_sh))</f>
        <v>0.77499450139483</v>
      </c>
      <c r="J3486" s="13" t="n">
        <f aca="false">Sens!$J$3469/(Sens!$J$3469+tk_fac*(1-colo_sh))</f>
        <v>0.77499450139483</v>
      </c>
      <c r="K3486" s="13" t="n">
        <f aca="false">Sens!$K$3469/(Sens!$K$3469+tk_fac*(1-colo_sh))</f>
        <v>0.77499450139483</v>
      </c>
      <c r="L3486" s="13" t="n">
        <f aca="false">Sens!$L$3469/(Sens!$L$3469+tk_fac*(1-colo_sh))</f>
        <v>0.77499450139483</v>
      </c>
      <c r="M3486" s="13" t="n">
        <f aca="false">Sens!$M$3469/(Sens!$M$3469+tk_fac*(1-colo_sh))</f>
        <v>0.77499450139483</v>
      </c>
    </row>
    <row r="3487" customFormat="false" ht="17.15" hidden="false" customHeight="false" outlineLevel="0" collapsed="false">
      <c r="A3487" s="1" t="s">
        <v>625</v>
      </c>
      <c r="B3487" s="8" t="s">
        <v>86</v>
      </c>
      <c r="C3487" s="38" t="n">
        <f aca="false">Q!$D$46-cx_rt*Q!$D$16-cx_awso*Sens!$C$3482</f>
        <v>25.2781053077374</v>
      </c>
      <c r="D3487" s="38" t="n">
        <f aca="false">Q!$E$46-cx_rt*Q!$E$16-cx_awso*Sens!$D$3482</f>
        <v>69.5686316310026</v>
      </c>
      <c r="E3487" s="38" t="n">
        <f aca="false">Q!$P$46-cx_rt*Q!$P$16-cx_awso*Sens!$E$3482</f>
        <v>64.1899206485108</v>
      </c>
      <c r="F3487" s="38" t="n">
        <f aca="false">MAX(Sens!$F$3464*(Sens!$F$3469+tk_fac*(1-colo_sh))/1000,capex_g26-Q!$P$46-Sens!$F$3485)</f>
        <v>96.2481299895</v>
      </c>
      <c r="G3487" s="38" t="n">
        <f aca="false">Sens!$E$3487+Sens!$F$3487</f>
        <v>160.438050638011</v>
      </c>
      <c r="H3487" s="38" t="n">
        <f aca="false">Sens!$H$3464*(Sens!$H$3469+tk_fac*(1-colo_sh))/1000+Sens!$H$3488</f>
        <v>198.57136494475</v>
      </c>
      <c r="I3487" s="38" t="n">
        <f aca="false">Sens!$I$3464*(Sens!$I$3469+tk_fac*(1-colo_sh))/1000+Sens!$I$3488</f>
        <v>204.6464699105</v>
      </c>
      <c r="J3487" s="38" t="n">
        <f aca="false">Sens!$J$3464*(Sens!$J$3469+tk_fac*(1-colo_sh))/1000+Sens!$J$3488</f>
        <v>209.8832381105</v>
      </c>
      <c r="K3487" s="38" t="n">
        <f aca="false">Sens!$K$3464*(Sens!$K$3469+tk_fac*(1-colo_sh))/1000+Sens!$K$3488</f>
        <v>155.238385275201</v>
      </c>
      <c r="L3487" s="38" t="n">
        <f aca="false">Sens!$L$3464*(Sens!$L$3469+tk_fac*(1-colo_sh))/1000+Sens!$L$3488</f>
        <v>132.014141639902</v>
      </c>
      <c r="M3487" s="38" t="n">
        <f aca="false">Sens!$M$3464*(Sens!$M$3469+tk_fac*(1-colo_sh))/1000+Sens!$M$3488</f>
        <v>132.230981659852</v>
      </c>
      <c r="P3487" s="5" t="s">
        <v>626</v>
      </c>
      <c r="R3487" s="38" t="n">
        <f aca="false">Q!$C$46-cx_rt*Q!$C$16-cx_awso*(Q!$C$7-mw_ye23/2*rpm_open/1000)</f>
        <v>1.50429979529945</v>
      </c>
      <c r="S3487" s="38" t="n">
        <f aca="false">Sens!$C$3487</f>
        <v>25.2781053077374</v>
      </c>
      <c r="T3487" s="38" t="n">
        <f aca="false">Sens!$D$3487</f>
        <v>69.5686316310026</v>
      </c>
      <c r="U3487" s="38" t="n">
        <f aca="false">Sens!$G$3487</f>
        <v>160.438050638011</v>
      </c>
      <c r="V3487" s="38" t="n">
        <f aca="false">Sens!$H$3487</f>
        <v>198.57136494475</v>
      </c>
      <c r="W3487" s="38" t="n">
        <f aca="false">Sens!$I$3487</f>
        <v>204.6464699105</v>
      </c>
      <c r="X3487" s="38" t="n">
        <f aca="false">Sens!$J$3487</f>
        <v>209.8832381105</v>
      </c>
      <c r="Y3487" s="38" t="n">
        <f aca="false">Sens!$K$3487</f>
        <v>155.238385275201</v>
      </c>
      <c r="Z3487" s="38" t="n">
        <f aca="false">Sens!$L$3487</f>
        <v>132.014141639902</v>
      </c>
      <c r="AA3487" s="38" t="n">
        <f aca="false">Sens!$M$3487</f>
        <v>132.230981659852</v>
      </c>
    </row>
    <row r="3488" customFormat="false" ht="17.15" hidden="false" customHeight="false" outlineLevel="0" collapsed="false">
      <c r="A3488" s="0" t="s">
        <v>627</v>
      </c>
      <c r="B3488" s="0" t="s">
        <v>86</v>
      </c>
      <c r="H3488" s="38" t="n">
        <f aca="false">SUMPRODUCT(--(Sens!$R$3457:$AA$3457=2027-tk_life),Sens!$R$3464:$AA$3464)*Sens!$H$3469/1000</f>
        <v>0</v>
      </c>
      <c r="I3488" s="38" t="n">
        <f aca="false">SUMPRODUCT(--(Sens!$R$3457:$AA$3457=2028-tk_life),Sens!$R$3464:$AA$3464)*Sens!$I$3469/1000</f>
        <v>0</v>
      </c>
      <c r="J3488" s="38" t="n">
        <f aca="false">SUMPRODUCT(--(Sens!$R$3457:$AA$3457=2029-tk_life),Sens!$R$3464:$AA$3464)*Sens!$J$3469/1000</f>
        <v>5.2367682</v>
      </c>
      <c r="K3488" s="38" t="n">
        <f aca="false">SUMPRODUCT(--(Sens!$R$3457:$AA$3457=2030-tk_life),Sens!$R$3464:$AA$3464)*Sens!$K$3469/1000</f>
        <v>10.4735364</v>
      </c>
      <c r="L3488" s="38" t="n">
        <f aca="false">SUMPRODUCT(--(Sens!$R$3457:$AA$3457=2031-tk_life),Sens!$R$3464:$AA$3464)*Sens!$L$3469/1000</f>
        <v>47.1309138</v>
      </c>
      <c r="M3488" s="38" t="n">
        <f aca="false">SUMPRODUCT(--(Sens!$R$3457:$AA$3457=2032-tk_life),Sens!$R$3464:$AA$3464)*Sens!$M$3469/1000</f>
        <v>107.22937485525</v>
      </c>
    </row>
    <row r="3489" customFormat="false" ht="17.15" hidden="false" customHeight="false" outlineLevel="0" collapsed="false">
      <c r="A3489" s="5" t="s">
        <v>628</v>
      </c>
      <c r="B3489" s="0" t="s">
        <v>86</v>
      </c>
      <c r="C3489" s="38" t="n">
        <f aca="false">Sens!$C$3487*Sens!$C$3486</f>
        <v>18.472138699801</v>
      </c>
      <c r="D3489" s="38" t="n">
        <f aca="false">Sens!$D$3487*Sens!$D$3486</f>
        <v>50.8377268390402</v>
      </c>
      <c r="E3489" s="38" t="n">
        <f aca="false">Sens!$E$3487*Sens!$E$3486</f>
        <v>48.8351995705653</v>
      </c>
      <c r="F3489" s="38" t="n">
        <f aca="false">Sens!$F$3487*Sens!$F$3486</f>
        <v>73.2248394895</v>
      </c>
      <c r="G3489" s="38" t="n">
        <f aca="false">Sens!$E$3489+Sens!$F$3489</f>
        <v>122.060039060065</v>
      </c>
      <c r="H3489" s="38" t="n">
        <f aca="false">(Sens!$H$3487-Sens!$H$3488)*Sens!$H$3486+Sens!$H$3488</f>
        <v>152.52478394475</v>
      </c>
      <c r="I3489" s="38" t="n">
        <f aca="false">(Sens!$I$3487-Sens!$I$3488)*Sens!$I$3486+Sens!$I$3488</f>
        <v>158.5998889105</v>
      </c>
      <c r="J3489" s="38" t="n">
        <f aca="false">(Sens!$J$3487-Sens!$J$3488)*Sens!$J$3486+Sens!$J$3488</f>
        <v>163.8366571105</v>
      </c>
      <c r="K3489" s="38" t="n">
        <f aca="false">(Sens!$K$3487-Sens!$K$3488)*Sens!$K$3486+Sens!$K$3488</f>
        <v>122.665498273534</v>
      </c>
      <c r="L3489" s="38" t="n">
        <f aca="false">(Sens!$L$3487-Sens!$L$3488)*Sens!$L$3486+Sens!$L$3488</f>
        <v>112.914948636568</v>
      </c>
      <c r="M3489" s="38" t="n">
        <f aca="false">(Sens!$M$3487-Sens!$M$3488)*Sens!$M$3486+Sens!$M$3488</f>
        <v>126.605482654852</v>
      </c>
      <c r="R3489" s="38" t="n">
        <f aca="false">Sens!$R$3487*Sens!$C$3486</f>
        <v>1.09927679019314</v>
      </c>
      <c r="S3489" s="38" t="n">
        <f aca="false">Sens!$C$3489</f>
        <v>18.472138699801</v>
      </c>
      <c r="T3489" s="38" t="n">
        <f aca="false">Sens!$D$3489</f>
        <v>50.8377268390402</v>
      </c>
      <c r="U3489" s="38" t="n">
        <f aca="false">Sens!$G$3489</f>
        <v>122.060039060065</v>
      </c>
      <c r="V3489" s="38" t="n">
        <f aca="false">Sens!$H$3489</f>
        <v>152.52478394475</v>
      </c>
      <c r="W3489" s="38" t="n">
        <f aca="false">Sens!$I$3489</f>
        <v>158.5998889105</v>
      </c>
      <c r="X3489" s="38" t="n">
        <f aca="false">Sens!$J$3489</f>
        <v>163.8366571105</v>
      </c>
      <c r="Y3489" s="38" t="n">
        <f aca="false">Sens!$K$3489</f>
        <v>122.665498273534</v>
      </c>
      <c r="Z3489" s="38" t="n">
        <f aca="false">Sens!$L$3489</f>
        <v>112.914948636568</v>
      </c>
      <c r="AA3489" s="38" t="n">
        <f aca="false">Sens!$M$3489</f>
        <v>126.605482654852</v>
      </c>
    </row>
    <row r="3490" customFormat="false" ht="15" hidden="false" customHeight="false" outlineLevel="0" collapsed="false">
      <c r="A3490" s="5" t="s">
        <v>629</v>
      </c>
      <c r="B3490" s="0" t="s">
        <v>86</v>
      </c>
      <c r="C3490" s="38" t="n">
        <f aca="false">Sens!$C$3487-Sens!$C$3489</f>
        <v>6.80596660793636</v>
      </c>
      <c r="D3490" s="38" t="n">
        <f aca="false">Sens!$D$3487-Sens!$D$3489</f>
        <v>18.7309047919624</v>
      </c>
      <c r="E3490" s="38" t="n">
        <f aca="false">Sens!$E$3487-Sens!$E$3489</f>
        <v>15.3547210779455</v>
      </c>
      <c r="F3490" s="38" t="n">
        <f aca="false">Sens!$F$3487-Sens!$F$3489</f>
        <v>23.0232905</v>
      </c>
      <c r="G3490" s="38" t="n">
        <f aca="false">Sens!$G$3487-Sens!$G$3489</f>
        <v>38.3780115779455</v>
      </c>
      <c r="H3490" s="38" t="n">
        <f aca="false">Sens!$H$3487-Sens!$H$3489</f>
        <v>46.046581</v>
      </c>
      <c r="I3490" s="38" t="n">
        <f aca="false">Sens!$I$3487-Sens!$I$3489</f>
        <v>46.046581</v>
      </c>
      <c r="J3490" s="38" t="n">
        <f aca="false">Sens!$J$3487-Sens!$J$3489</f>
        <v>46.046581</v>
      </c>
      <c r="K3490" s="38" t="n">
        <f aca="false">Sens!$K$3487-Sens!$K$3489</f>
        <v>32.5728870016667</v>
      </c>
      <c r="L3490" s="38" t="n">
        <f aca="false">Sens!$L$3487-Sens!$L$3489</f>
        <v>19.0991930033334</v>
      </c>
      <c r="M3490" s="38" t="n">
        <f aca="false">Sens!$M$3487-Sens!$M$3489</f>
        <v>5.62549900499998</v>
      </c>
      <c r="R3490" s="38" t="n">
        <f aca="false">Sens!$R$3487-Sens!$R$3489</f>
        <v>0.405023005106309</v>
      </c>
      <c r="S3490" s="38" t="n">
        <f aca="false">Sens!$S$3487-Sens!$S$3489</f>
        <v>6.80596660793636</v>
      </c>
      <c r="T3490" s="38" t="n">
        <f aca="false">Sens!$T$3487-Sens!$T$3489</f>
        <v>18.7309047919624</v>
      </c>
      <c r="U3490" s="38" t="n">
        <f aca="false">Sens!$U$3487-Sens!$U$3489</f>
        <v>38.3780115779455</v>
      </c>
      <c r="V3490" s="38" t="n">
        <f aca="false">Sens!$V$3487-Sens!$V$3489</f>
        <v>46.046581</v>
      </c>
      <c r="W3490" s="38" t="n">
        <f aca="false">Sens!$W$3487-Sens!$W$3489</f>
        <v>46.046581</v>
      </c>
      <c r="X3490" s="38" t="n">
        <f aca="false">Sens!$X$3487-Sens!$X$3489</f>
        <v>46.046581</v>
      </c>
      <c r="Y3490" s="38" t="n">
        <f aca="false">Sens!$Y$3487-Sens!$Y$3489</f>
        <v>32.5728870016667</v>
      </c>
      <c r="Z3490" s="38" t="n">
        <f aca="false">Sens!$Z$3487-Sens!$Z$3489</f>
        <v>19.0991930033334</v>
      </c>
      <c r="AA3490" s="38" t="n">
        <f aca="false">Sens!$AA$3487-Sens!$AA$3489</f>
        <v>5.62549900499998</v>
      </c>
    </row>
    <row r="3491" customFormat="false" ht="17.15" hidden="false" customHeight="false" outlineLevel="0" collapsed="false">
      <c r="A3491" s="0" t="s">
        <v>630</v>
      </c>
      <c r="B3491" s="0" t="s">
        <v>52</v>
      </c>
      <c r="C3491" s="13" t="n">
        <f aca="false">Sens!$C$3487/Sens!$C$3607</f>
        <v>0.325505489553393</v>
      </c>
      <c r="D3491" s="13" t="n">
        <f aca="false">Sens!$D$3487/Sens!$D$3607</f>
        <v>0.54214956071542</v>
      </c>
      <c r="E3491" s="13" t="n">
        <f aca="false">Sens!$E$3487/Sens!$E$3607</f>
        <v>0.666492790452817</v>
      </c>
      <c r="F3491" s="13" t="n">
        <f aca="false">Sens!$F$3487/Sens!$F$3607</f>
        <v>0.733477910687338</v>
      </c>
      <c r="G3491" s="13" t="n">
        <f aca="false">Sens!$G$3487/Sens!$G$3607</f>
        <v>0.705124321514523</v>
      </c>
      <c r="H3491" s="13" t="n">
        <f aca="false">Sens!$H$3487/Sens!$H$3607</f>
        <v>0.726376041178204</v>
      </c>
      <c r="I3491" s="13" t="n">
        <f aca="false">Sens!$I$3487/Sens!$I$3607</f>
        <v>0.713099092661699</v>
      </c>
      <c r="J3491" s="13" t="n">
        <f aca="false">Sens!$J$3487/Sens!$J$3607</f>
        <v>0.701208348786245</v>
      </c>
      <c r="K3491" s="13" t="n">
        <f aca="false">Sens!$K$3487/Sens!$K$3607</f>
        <v>0.618338844562383</v>
      </c>
      <c r="L3491" s="13" t="n">
        <f aca="false">Sens!$L$3487/Sens!$L$3607</f>
        <v>0.562489158462506</v>
      </c>
      <c r="M3491" s="13" t="n">
        <f aca="false">Sens!$M$3487/Sens!$M$3607</f>
        <v>0.545751190895923</v>
      </c>
    </row>
    <row r="3492" customFormat="false" ht="17.15" hidden="false" customHeight="false" outlineLevel="0" collapsed="false">
      <c r="A3492" s="0" t="s">
        <v>631</v>
      </c>
      <c r="B3492" s="0" t="s">
        <v>86</v>
      </c>
      <c r="C3492" s="38" t="n">
        <f aca="false">Sens!$S$3492</f>
        <v>0.183212798365523</v>
      </c>
      <c r="D3492" s="38" t="n">
        <f aca="false">Sens!$T$3492</f>
        <v>3.2619025816657</v>
      </c>
      <c r="E3492" s="38" t="n">
        <f aca="false">Sens!$G$3492/2</f>
        <v>5.86742852741953</v>
      </c>
      <c r="F3492" s="38" t="n">
        <f aca="false">Sens!$G$3492/2</f>
        <v>5.86742852741953</v>
      </c>
      <c r="G3492" s="38" t="n">
        <f aca="false">Sens!$U$3492</f>
        <v>11.7348570548391</v>
      </c>
      <c r="H3492" s="38" t="n">
        <f aca="false">Sens!$V$3492</f>
        <v>32.0781968981833</v>
      </c>
      <c r="I3492" s="38" t="n">
        <f aca="false">Sens!$W$3492</f>
        <v>57.4989942223083</v>
      </c>
      <c r="J3492" s="38" t="n">
        <f aca="false">Sens!$X$3492</f>
        <v>83.932309040725</v>
      </c>
      <c r="K3492" s="38" t="n">
        <f aca="false">Sens!$Y$3492</f>
        <v>111.055205760776</v>
      </c>
      <c r="L3492" s="38" t="n">
        <f aca="false">Sens!$Z$3492</f>
        <v>128.420765689732</v>
      </c>
      <c r="M3492" s="38" t="n">
        <f aca="false">Sens!$AA$3492</f>
        <v>138.766969322653</v>
      </c>
      <c r="N3492" s="38" t="n">
        <f aca="false">Sens!$D$3492/2</f>
        <v>1.63095129083285</v>
      </c>
      <c r="O3492" s="38" t="n">
        <f aca="false">Sens!$D$3492/2</f>
        <v>1.63095129083285</v>
      </c>
      <c r="R3492" s="38" t="n">
        <f aca="false">SUMPRODUCT(--(Sens!$R$3457:$AA$3457&lt;Sens!R$3457),--(Sens!$R$3457:$AA$3457&gt;=Sens!R$3457-tk_life),Sens!$R$3489:$AA$3489)/tk_life</f>
        <v>0</v>
      </c>
      <c r="S3492" s="38" t="n">
        <f aca="false">SUMPRODUCT(--(Sens!$R$3457:$AA$3457&lt;Sens!S$3457),--(Sens!$R$3457:$AA$3457&gt;=Sens!S$3457-tk_life),Sens!$R$3489:$AA$3489)/tk_life</f>
        <v>0.183212798365523</v>
      </c>
      <c r="T3492" s="38" t="n">
        <f aca="false">SUMPRODUCT(--(Sens!$R$3457:$AA$3457&lt;Sens!T$3457),--(Sens!$R$3457:$AA$3457&gt;=Sens!T$3457-tk_life),Sens!$R$3489:$AA$3489)/tk_life</f>
        <v>3.2619025816657</v>
      </c>
      <c r="U3492" s="38" t="n">
        <f aca="false">SUMPRODUCT(--(Sens!$R$3457:$AA$3457&lt;Sens!U$3457),--(Sens!$R$3457:$AA$3457&gt;=Sens!U$3457-tk_life),Sens!$R$3489:$AA$3489)/tk_life</f>
        <v>11.7348570548391</v>
      </c>
      <c r="V3492" s="38" t="n">
        <f aca="false">SUMPRODUCT(--(Sens!$R$3457:$AA$3457&lt;Sens!V$3457),--(Sens!$R$3457:$AA$3457&gt;=Sens!V$3457-tk_life),Sens!$R$3489:$AA$3489)/tk_life</f>
        <v>32.0781968981833</v>
      </c>
      <c r="W3492" s="38" t="n">
        <f aca="false">SUMPRODUCT(--(Sens!$R$3457:$AA$3457&lt;Sens!W$3457),--(Sens!$R$3457:$AA$3457&gt;=Sens!W$3457-tk_life),Sens!$R$3489:$AA$3489)/tk_life</f>
        <v>57.4989942223083</v>
      </c>
      <c r="X3492" s="38" t="n">
        <f aca="false">SUMPRODUCT(--(Sens!$R$3457:$AA$3457&lt;Sens!X$3457),--(Sens!$R$3457:$AA$3457&gt;=Sens!X$3457-tk_life),Sens!$R$3489:$AA$3489)/tk_life</f>
        <v>83.932309040725</v>
      </c>
      <c r="Y3492" s="38" t="n">
        <f aca="false">SUMPRODUCT(--(Sens!$R$3457:$AA$3457&lt;Sens!Y$3457),--(Sens!$R$3457:$AA$3457&gt;=Sens!Y$3457-tk_life),Sens!$R$3489:$AA$3489)/tk_life</f>
        <v>111.055205760776</v>
      </c>
      <c r="Z3492" s="38" t="n">
        <f aca="false">SUMPRODUCT(--(Sens!$R$3457:$AA$3457&lt;Sens!Z$3457),--(Sens!$R$3457:$AA$3457&gt;=Sens!Z$3457-tk_life),Sens!$R$3489:$AA$3489)/tk_life</f>
        <v>128.420765689732</v>
      </c>
      <c r="AA3492" s="38" t="n">
        <f aca="false">SUMPRODUCT(--(Sens!$R$3457:$AA$3457&lt;Sens!AA$3457),--(Sens!$R$3457:$AA$3457&gt;=Sens!AA$3457-tk_life),Sens!$R$3489:$AA$3489)/tk_life</f>
        <v>138.766969322653</v>
      </c>
    </row>
    <row r="3493" customFormat="false" ht="17.15" hidden="false" customHeight="false" outlineLevel="0" collapsed="false">
      <c r="A3493" s="0" t="s">
        <v>632</v>
      </c>
      <c r="B3493" s="0" t="s">
        <v>86</v>
      </c>
      <c r="C3493" s="38" t="n">
        <f aca="false">Sens!$S$3493</f>
        <v>0.0202511502553155</v>
      </c>
      <c r="D3493" s="38" t="n">
        <f aca="false">Sens!$T$3493</f>
        <v>0.360549480652134</v>
      </c>
      <c r="E3493" s="38" t="n">
        <f aca="false">Sens!$G$3493/2</f>
        <v>0.648547360125127</v>
      </c>
      <c r="F3493" s="38" t="n">
        <f aca="false">Sens!$G$3493/2</f>
        <v>0.648547360125127</v>
      </c>
      <c r="G3493" s="38" t="n">
        <f aca="false">Sens!$U$3493</f>
        <v>1.29709472025025</v>
      </c>
      <c r="H3493" s="38" t="n">
        <f aca="false">Sens!$V$3493</f>
        <v>3.21599529914753</v>
      </c>
      <c r="I3493" s="38" t="n">
        <f aca="false">Sens!$W$3493</f>
        <v>5.51832434914753</v>
      </c>
      <c r="J3493" s="38" t="n">
        <f aca="false">Sens!$X$3493</f>
        <v>7.82065339914753</v>
      </c>
      <c r="K3493" s="38" t="n">
        <f aca="false">Sens!$Y$3493</f>
        <v>10.1229824491475</v>
      </c>
      <c r="L3493" s="38" t="n">
        <f aca="false">Sens!$Z$3493</f>
        <v>11.7516267992309</v>
      </c>
      <c r="M3493" s="38" t="n">
        <f aca="false">Sens!$AA$3493</f>
        <v>12.7065864493975</v>
      </c>
      <c r="N3493" s="38" t="n">
        <f aca="false">Sens!$D$3493/2</f>
        <v>0.180274740326067</v>
      </c>
      <c r="O3493" s="38" t="n">
        <f aca="false">Sens!$D$3493/2</f>
        <v>0.180274740326067</v>
      </c>
      <c r="R3493" s="38" t="n">
        <f aca="false">SUMPRODUCT(--(Sens!$R$3457:$AA$3457&lt;Sens!R$3457),Sens!$R$3490:$AA$3490)/fac_life</f>
        <v>0</v>
      </c>
      <c r="S3493" s="38" t="n">
        <f aca="false">SUMPRODUCT(--(Sens!$R$3457:$AA$3457&lt;Sens!S$3457),Sens!$R$3490:$AA$3490)/fac_life</f>
        <v>0.0202511502553155</v>
      </c>
      <c r="T3493" s="38" t="n">
        <f aca="false">SUMPRODUCT(--(Sens!$R$3457:$AA$3457&lt;Sens!T$3457),Sens!$R$3490:$AA$3490)/fac_life</f>
        <v>0.360549480652134</v>
      </c>
      <c r="U3493" s="38" t="n">
        <f aca="false">SUMPRODUCT(--(Sens!$R$3457:$AA$3457&lt;Sens!U$3457),Sens!$R$3490:$AA$3490)/fac_life</f>
        <v>1.29709472025025</v>
      </c>
      <c r="V3493" s="38" t="n">
        <f aca="false">SUMPRODUCT(--(Sens!$R$3457:$AA$3457&lt;Sens!V$3457),Sens!$R$3490:$AA$3490)/fac_life</f>
        <v>3.21599529914753</v>
      </c>
      <c r="W3493" s="38" t="n">
        <f aca="false">SUMPRODUCT(--(Sens!$R$3457:$AA$3457&lt;Sens!W$3457),Sens!$R$3490:$AA$3490)/fac_life</f>
        <v>5.51832434914753</v>
      </c>
      <c r="X3493" s="38" t="n">
        <f aca="false">SUMPRODUCT(--(Sens!$R$3457:$AA$3457&lt;Sens!X$3457),Sens!$R$3490:$AA$3490)/fac_life</f>
        <v>7.82065339914753</v>
      </c>
      <c r="Y3493" s="38" t="n">
        <f aca="false">SUMPRODUCT(--(Sens!$R$3457:$AA$3457&lt;Sens!Y$3457),Sens!$R$3490:$AA$3490)/fac_life</f>
        <v>10.1229824491475</v>
      </c>
      <c r="Z3493" s="38" t="n">
        <f aca="false">SUMPRODUCT(--(Sens!$R$3457:$AA$3457&lt;Sens!Z$3457),Sens!$R$3490:$AA$3490)/fac_life</f>
        <v>11.7516267992309</v>
      </c>
      <c r="AA3493" s="38" t="n">
        <f aca="false">SUMPRODUCT(--(Sens!$R$3457:$AA$3457&lt;Sens!AA$3457),Sens!$R$3490:$AA$3490)/fac_life</f>
        <v>12.7065864493975</v>
      </c>
    </row>
    <row r="3494" customFormat="false" ht="17.15" hidden="false" customHeight="false" outlineLevel="0" collapsed="false">
      <c r="A3494" s="1" t="s">
        <v>633</v>
      </c>
      <c r="B3494" s="8" t="s">
        <v>86</v>
      </c>
      <c r="C3494" s="38" t="n">
        <f aca="false">Sens!$C$3492+Sens!$C$3493</f>
        <v>0.203463948620839</v>
      </c>
      <c r="D3494" s="38" t="n">
        <f aca="false">Sens!$D$3492+Sens!$D$3493</f>
        <v>3.62245206231783</v>
      </c>
      <c r="E3494" s="38" t="n">
        <f aca="false">Sens!$E$3492+Sens!$E$3493</f>
        <v>6.51597588754466</v>
      </c>
      <c r="F3494" s="38" t="n">
        <f aca="false">Sens!$F$3492+Sens!$F$3493</f>
        <v>6.51597588754466</v>
      </c>
      <c r="G3494" s="38" t="n">
        <f aca="false">Sens!$G$3492+Sens!$G$3493</f>
        <v>13.0319517750893</v>
      </c>
      <c r="H3494" s="38" t="n">
        <f aca="false">Sens!$H$3492+Sens!$H$3493</f>
        <v>35.2941921973308</v>
      </c>
      <c r="I3494" s="38" t="n">
        <f aca="false">Sens!$I$3492+Sens!$I$3493</f>
        <v>63.0173185714558</v>
      </c>
      <c r="J3494" s="38" t="n">
        <f aca="false">Sens!$J$3492+Sens!$J$3493</f>
        <v>91.7529624398725</v>
      </c>
      <c r="K3494" s="38" t="n">
        <f aca="false">Sens!$K$3492+Sens!$K$3493</f>
        <v>121.178188209924</v>
      </c>
      <c r="L3494" s="38" t="n">
        <f aca="false">Sens!$L$3492+Sens!$L$3493</f>
        <v>140.172392488963</v>
      </c>
      <c r="M3494" s="38" t="n">
        <f aca="false">Sens!$M$3492+Sens!$M$3493</f>
        <v>151.473555772051</v>
      </c>
      <c r="N3494" s="38" t="n">
        <f aca="false">Sens!$N$3492+Sens!$N$3493</f>
        <v>1.81122603115892</v>
      </c>
      <c r="O3494" s="38" t="n">
        <f aca="false">Sens!$O$3492+Sens!$O$3493</f>
        <v>1.81122603115892</v>
      </c>
      <c r="R3494" s="38" t="n">
        <f aca="false">Sens!$R$3492+Sens!$R$3493</f>
        <v>0</v>
      </c>
      <c r="S3494" s="38" t="n">
        <f aca="false">Sens!$S$3492+Sens!$S$3493</f>
        <v>0.203463948620839</v>
      </c>
      <c r="T3494" s="38" t="n">
        <f aca="false">Sens!$T$3492+Sens!$T$3493</f>
        <v>3.62245206231783</v>
      </c>
      <c r="U3494" s="38" t="n">
        <f aca="false">Sens!$U$3492+Sens!$U$3493</f>
        <v>13.0319517750893</v>
      </c>
      <c r="V3494" s="38" t="n">
        <f aca="false">Sens!$V$3492+Sens!$V$3493</f>
        <v>35.2941921973308</v>
      </c>
      <c r="W3494" s="38" t="n">
        <f aca="false">Sens!$W$3492+Sens!$W$3493</f>
        <v>63.0173185714558</v>
      </c>
      <c r="X3494" s="38" t="n">
        <f aca="false">Sens!$X$3492+Sens!$X$3493</f>
        <v>91.7529624398725</v>
      </c>
      <c r="Y3494" s="38" t="n">
        <f aca="false">Sens!$Y$3492+Sens!$Y$3493</f>
        <v>121.178188209924</v>
      </c>
      <c r="Z3494" s="38" t="n">
        <f aca="false">Sens!$Z$3492+Sens!$Z$3493</f>
        <v>140.172392488963</v>
      </c>
      <c r="AA3494" s="38" t="n">
        <f aca="false">Sens!$AA$3492+Sens!$AA$3493</f>
        <v>151.473555772051</v>
      </c>
    </row>
    <row r="3495" customFormat="false" ht="17.15" hidden="false" customHeight="false" outlineLevel="0" collapsed="false">
      <c r="A3495" s="0" t="s">
        <v>634</v>
      </c>
      <c r="B3495" s="0" t="s">
        <v>86</v>
      </c>
      <c r="C3495" s="38" t="n">
        <f aca="false">Sens!$S$3495</f>
        <v>26.578941154416</v>
      </c>
      <c r="D3495" s="38" t="n">
        <f aca="false">Sens!$T$3495</f>
        <v>92.5251207231008</v>
      </c>
      <c r="G3495" s="38" t="n">
        <f aca="false">Sens!$U$3495</f>
        <v>239.931219586022</v>
      </c>
      <c r="H3495" s="38" t="n">
        <f aca="false">Sens!$V$3495</f>
        <v>403.208392333442</v>
      </c>
      <c r="I3495" s="38" t="n">
        <f aca="false">Sens!$W$3495</f>
        <v>544.837543672486</v>
      </c>
      <c r="J3495" s="38" t="n">
        <f aca="false">Sens!$X$3495</f>
        <v>662.967819343113</v>
      </c>
      <c r="K3495" s="38" t="n">
        <f aca="false">Sens!$Y$3495</f>
        <v>697.028016408391</v>
      </c>
      <c r="L3495" s="38" t="n">
        <f aca="false">Sens!$Z$3495</f>
        <v>688.86976555933</v>
      </c>
      <c r="M3495" s="38" t="n">
        <f aca="false">Sens!$AA$3495</f>
        <v>669.627191447132</v>
      </c>
      <c r="R3495" s="38" t="n">
        <f aca="false">SUM(Sens!$R$3487:$R$3487)-SUM(Sens!$R$3494:$R$3494)</f>
        <v>1.50429979529945</v>
      </c>
      <c r="S3495" s="38" t="n">
        <f aca="false">SUM(Sens!$R$3487:$S$3487)-SUM(Sens!$R$3494:$S$3494)</f>
        <v>26.578941154416</v>
      </c>
      <c r="T3495" s="38" t="n">
        <f aca="false">SUM(Sens!$R$3487:$T$3487)-SUM(Sens!$R$3494:$T$3494)</f>
        <v>92.5251207231008</v>
      </c>
      <c r="U3495" s="38" t="n">
        <f aca="false">SUM(Sens!$R$3487:$U$3487)-SUM(Sens!$R$3494:$U$3494)</f>
        <v>239.931219586022</v>
      </c>
      <c r="V3495" s="38" t="n">
        <f aca="false">SUM(Sens!$R$3487:$V$3487)-SUM(Sens!$R$3494:$V$3494)</f>
        <v>403.208392333442</v>
      </c>
      <c r="W3495" s="38" t="n">
        <f aca="false">SUM(Sens!$R$3487:$W$3487)-SUM(Sens!$R$3494:$W$3494)</f>
        <v>544.837543672486</v>
      </c>
      <c r="X3495" s="38" t="n">
        <f aca="false">SUM(Sens!$R$3487:$X$3487)-SUM(Sens!$R$3494:$X$3494)</f>
        <v>662.967819343113</v>
      </c>
      <c r="Y3495" s="38" t="n">
        <f aca="false">SUM(Sens!$R$3487:$Y$3487)-SUM(Sens!$R$3494:$Y$3494)</f>
        <v>697.028016408391</v>
      </c>
      <c r="Z3495" s="38" t="n">
        <f aca="false">SUM(Sens!$R$3487:$Z$3487)-SUM(Sens!$R$3494:$Z$3494)</f>
        <v>688.86976555933</v>
      </c>
      <c r="AA3495" s="38" t="n">
        <f aca="false">SUM(Sens!$R$3487:$AA$3487)-SUM(Sens!$R$3494:$AA$3494)</f>
        <v>669.627191447132</v>
      </c>
    </row>
    <row r="3496" customFormat="false" ht="17.15" hidden="false" customHeight="false" outlineLevel="0" collapsed="false">
      <c r="A3496" s="1" t="s">
        <v>635</v>
      </c>
    </row>
    <row r="3497" customFormat="false" ht="17.15" hidden="false" customHeight="false" outlineLevel="0" collapsed="false">
      <c r="A3497" s="0" t="s">
        <v>636</v>
      </c>
      <c r="B3497" s="0" t="s">
        <v>86</v>
      </c>
      <c r="C3497" s="38" t="n">
        <f aca="false">Sens!$C$3478-ext_sh*Sens!$C$3480</f>
        <v>1.80694998843362</v>
      </c>
      <c r="D3497" s="38" t="n">
        <f aca="false">Sens!$D$3478-ext_sh*Sens!$D$3480</f>
        <v>6.77606245662607</v>
      </c>
      <c r="E3497" s="38" t="n">
        <f aca="false">Sens!$E$3478-ext_sh*Sens!$E$3480</f>
        <v>6.62548329092326</v>
      </c>
      <c r="F3497" s="38" t="n">
        <f aca="false">Sens!$F$3478-ext_sh*Sens!$F$3480</f>
        <v>11.7200577158706</v>
      </c>
      <c r="G3497" s="38" t="n">
        <f aca="false">Sens!$G$3478-ext_sh*Sens!$G$3480</f>
        <v>18.3455410067939</v>
      </c>
      <c r="H3497" s="38" t="n">
        <f aca="false">Sens!$H$3478-ext_sh*Sens!$H$3480</f>
        <v>47.5171727060453</v>
      </c>
      <c r="I3497" s="38" t="n">
        <f aca="false">Sens!$I$3478-ext_sh*Sens!$I$3480</f>
        <v>80.5539692643667</v>
      </c>
      <c r="J3497" s="38" t="n">
        <f aca="false">Sens!$J$3478-ext_sh*Sens!$J$3480</f>
        <v>113.759316834883</v>
      </c>
      <c r="K3497" s="38" t="n">
        <f aca="false">Sens!$K$3478-ext_sh*Sens!$K$3480</f>
        <v>142.084411492169</v>
      </c>
      <c r="L3497" s="38" t="n">
        <f aca="false">Sens!$L$3478-ext_sh*Sens!$L$3480</f>
        <v>160.69964615804</v>
      </c>
      <c r="M3497" s="38" t="n">
        <f aca="false">Sens!$M$3478-ext_sh*Sens!$M$3480</f>
        <v>169.577607141793</v>
      </c>
      <c r="N3497" s="38" t="n">
        <f aca="false">Sens!$N$3478-ext_sh*Sens!$N$3480</f>
        <v>2.37162185981912</v>
      </c>
      <c r="O3497" s="38" t="n">
        <f aca="false">Sens!$O$3478-ext_sh*Sens!$O$3480</f>
        <v>4.40444059680694</v>
      </c>
    </row>
    <row r="3498" customFormat="false" ht="17.15" hidden="false" customHeight="false" outlineLevel="0" collapsed="false">
      <c r="A3498" s="1" t="s">
        <v>637</v>
      </c>
      <c r="B3498" s="8" t="s">
        <v>86</v>
      </c>
      <c r="C3498" s="38" t="n">
        <f aca="false">Sens!$C$3497-ext_sh*Sens!$C$3494</f>
        <v>1.64417882953695</v>
      </c>
      <c r="D3498" s="38" t="n">
        <f aca="false">Sens!$D$3497-ext_sh*Sens!$D$3494</f>
        <v>3.8781008067718</v>
      </c>
      <c r="E3498" s="38" t="n">
        <f aca="false">Sens!$E$3497-ext_sh*Sens!$E$3494</f>
        <v>1.41270258088753</v>
      </c>
      <c r="F3498" s="38" t="n">
        <f aca="false">Sens!$F$3497-ext_sh*Sens!$F$3494</f>
        <v>6.50727700583486</v>
      </c>
      <c r="G3498" s="38" t="n">
        <f aca="false">Sens!$G$3497-ext_sh*Sens!$G$3494</f>
        <v>7.9199795867224</v>
      </c>
      <c r="H3498" s="38" t="n">
        <f aca="false">Sens!$H$3497-ext_sh*Sens!$H$3494</f>
        <v>19.2818189481807</v>
      </c>
      <c r="I3498" s="38" t="n">
        <f aca="false">Sens!$I$3497-ext_sh*Sens!$I$3494</f>
        <v>30.140114407202</v>
      </c>
      <c r="J3498" s="38" t="n">
        <f aca="false">Sens!$J$3497-ext_sh*Sens!$J$3494</f>
        <v>40.3569468829854</v>
      </c>
      <c r="K3498" s="38" t="n">
        <f aca="false">Sens!$K$3497-ext_sh*Sens!$K$3494</f>
        <v>45.1418609242305</v>
      </c>
      <c r="L3498" s="38" t="n">
        <f aca="false">Sens!$L$3497-ext_sh*Sens!$L$3494</f>
        <v>48.5617321668703</v>
      </c>
      <c r="M3498" s="38" t="n">
        <f aca="false">Sens!$M$3497-ext_sh*Sens!$M$3494</f>
        <v>48.3987625241529</v>
      </c>
      <c r="N3498" s="38" t="n">
        <f aca="false">Sens!$N$3497-ext_sh*Sens!$N$3494</f>
        <v>0.92264103489199</v>
      </c>
      <c r="O3498" s="38" t="n">
        <f aca="false">Sens!$O$3497-ext_sh*Sens!$O$3494</f>
        <v>2.95545977187981</v>
      </c>
    </row>
    <row r="3499" customFormat="false" ht="17.15" hidden="false" customHeight="false" outlineLevel="0" collapsed="false">
      <c r="A3499" s="0" t="s">
        <v>638</v>
      </c>
      <c r="B3499" s="0" t="s">
        <v>52</v>
      </c>
      <c r="C3499" s="13" t="n">
        <f aca="false">Sens!$C$3498/Sens!$C$3478</f>
        <v>0.708390794789371</v>
      </c>
      <c r="D3499" s="13" t="n">
        <f aca="false">Sens!$D$3498/Sens!$D$3478</f>
        <v>0.445565630441968</v>
      </c>
      <c r="E3499" s="13" t="n">
        <f aca="false">Sens!$E$3498/Sens!$E$3478</f>
        <v>0.165998118402711</v>
      </c>
      <c r="F3499" s="13" t="n">
        <f aca="false">Sens!$F$3498/Sens!$F$3478</f>
        <v>0.434878595403858</v>
      </c>
      <c r="G3499" s="13" t="n">
        <f aca="false">Sens!$G$3498/Sens!$G$3478</f>
        <v>0.3373967615381</v>
      </c>
      <c r="H3499" s="13" t="n">
        <f aca="false">Sens!$H$3498/Sens!$H$3478</f>
        <v>0.320477578041224</v>
      </c>
      <c r="I3499" s="13" t="n">
        <f aca="false">Sens!$I$3498/Sens!$I$3478</f>
        <v>0.296936118226494</v>
      </c>
      <c r="J3499" s="13" t="n">
        <f aca="false">Sens!$J$3498/Sens!$J$3478</f>
        <v>0.282166278613001</v>
      </c>
      <c r="K3499" s="13" t="n">
        <f aca="false">Sens!$K$3498/Sens!$K$3478</f>
        <v>0.252969102881543</v>
      </c>
      <c r="L3499" s="13" t="n">
        <f aca="false">Sens!$L$3498/Sens!$L$3478</f>
        <v>0.240728642826566</v>
      </c>
      <c r="M3499" s="13" t="n">
        <f aca="false">Sens!$M$3498/Sens!$M$3478</f>
        <v>0.227399920863147</v>
      </c>
      <c r="N3499" s="13" t="n">
        <f aca="false">Sens!$N$3498/Sens!$N$3478</f>
        <v>0.302870734830849</v>
      </c>
      <c r="O3499" s="13" t="n">
        <f aca="false">Sens!$O$3498/Sens!$O$3478</f>
        <v>0.52240134346334</v>
      </c>
    </row>
    <row r="3500" customFormat="false" ht="17.15" hidden="false" customHeight="false" outlineLevel="0" collapsed="false">
      <c r="A3500" s="5" t="s">
        <v>639</v>
      </c>
      <c r="B3500" s="0" t="s">
        <v>86</v>
      </c>
      <c r="C3500" s="39" t="n">
        <v>0</v>
      </c>
      <c r="D3500" s="39" t="n">
        <v>0</v>
      </c>
      <c r="E3500" s="39" t="n">
        <v>0</v>
      </c>
      <c r="F3500" s="38" t="n">
        <f aca="false">IF(internal_ai_reading=2,1,0)*(1-ext_sh)/ext_sh*(mw_open*he_open+Sens!$F$3476*Sens!$F$3473)*Sens!$F$3462/1000</f>
        <v>3.77122048175818</v>
      </c>
      <c r="G3500" s="38" t="n">
        <f aca="false">Sens!$E$3500+Sens!$F$3500</f>
        <v>3.77122048175818</v>
      </c>
      <c r="H3500" s="38" t="n">
        <f aca="false">IF(internal_ai_reading=2,1,0)*(1-ext_sh)/ext_sh*(mw_open*he_open+Sens!$H$3476*Sens!$H$3473)*Sens!$H$3462/1000</f>
        <v>15.1635543609893</v>
      </c>
      <c r="I3500" s="38" t="n">
        <f aca="false">IF(internal_ai_reading=2,1,0)*(1-ext_sh)/ext_sh*(mw_open*he_open+Sens!$I$3476*Sens!$I$3473)*Sens!$I$3462/1000</f>
        <v>25.5818843619889</v>
      </c>
      <c r="J3500" s="38" t="n">
        <f aca="false">IF(internal_ai_reading=2,1,0)*(1-ext_sh)/ext_sh*(mw_open*he_open+Sens!$J$3476*Sens!$J$3473)*Sens!$J$3462/1000</f>
        <v>36.0465624179122</v>
      </c>
      <c r="K3500" s="38" t="n">
        <f aca="false">IF(internal_ai_reading=2,1,0)*(1-ext_sh)/ext_sh*(mw_open*he_open+Sens!$K$3476*Sens!$K$3473)*Sens!$K$3462/1000</f>
        <v>44.9741164026038</v>
      </c>
      <c r="L3500" s="38" t="n">
        <f aca="false">IF(internal_ai_reading=2,1,0)*(1-ext_sh)/ext_sh*(mw_open*he_open+Sens!$L$3476*Sens!$L$3473)*Sens!$L$3462/1000</f>
        <v>50.8413488057813</v>
      </c>
      <c r="M3500" s="38" t="n">
        <f aca="false">IF(internal_ai_reading=2,1,0)*(1-ext_sh)/ext_sh*(mw_open*he_open+Sens!$M$3476*Sens!$M$3473)*Sens!$M$3462/1000</f>
        <v>53.6407214274315</v>
      </c>
      <c r="N3500" s="39" t="n">
        <v>0</v>
      </c>
      <c r="O3500" s="39" t="n">
        <v>0</v>
      </c>
      <c r="P3500" s="8" t="s">
        <v>640</v>
      </c>
    </row>
    <row r="3501" customFormat="false" ht="17.15" hidden="false" customHeight="false" outlineLevel="0" collapsed="false">
      <c r="A3501" s="5" t="s">
        <v>641</v>
      </c>
      <c r="B3501" s="0" t="s">
        <v>86</v>
      </c>
      <c r="C3501" s="38" t="n">
        <f aca="false">(1-ext_sh)*(Sens!$C$3480+Sens!$C$3494)</f>
        <v>0.169206631859174</v>
      </c>
      <c r="D3501" s="38" t="n">
        <f aca="false">(1-ext_sh)*(Sens!$D$3480+Sens!$D$3494)</f>
        <v>1.20641732046984</v>
      </c>
      <c r="E3501" s="38" t="n">
        <f aca="false">(1-ext_sh)*(Sens!$E$3480+Sens!$E$3494)</f>
        <v>1.77441259867062</v>
      </c>
      <c r="F3501" s="38" t="n">
        <f aca="false">(1-ext_sh)*(Sens!$F$3480+Sens!$F$3494)</f>
        <v>2.1140391597214</v>
      </c>
      <c r="G3501" s="38" t="n">
        <f aca="false">(1-ext_sh)*(Sens!$G$3480+Sens!$G$3494)</f>
        <v>3.88845175839202</v>
      </c>
      <c r="H3501" s="38" t="n">
        <f aca="false">(1-ext_sh)*(Sens!$H$3480+Sens!$H$3494)</f>
        <v>10.2210179503985</v>
      </c>
      <c r="I3501" s="38" t="n">
        <f aca="false">(1-ext_sh)*(Sens!$I$3480+Sens!$I$3494)</f>
        <v>17.8408961823075</v>
      </c>
      <c r="J3501" s="38" t="n">
        <f aca="false">(1-ext_sh)*(Sens!$J$3480+Sens!$J$3494)</f>
        <v>25.6671150670732</v>
      </c>
      <c r="K3501" s="38" t="n">
        <f aca="false">(1-ext_sh)*(Sens!$K$3480+Sens!$K$3494)</f>
        <v>33.3265648647373</v>
      </c>
      <c r="L3501" s="38" t="n">
        <f aca="false">(1-ext_sh)*(Sens!$L$3480+Sens!$L$3494)</f>
        <v>38.2915924088815</v>
      </c>
      <c r="M3501" s="38" t="n">
        <f aca="false">(1-ext_sh)*(Sens!$M$3480+Sens!$M$3494)</f>
        <v>41.1091697111781</v>
      </c>
      <c r="N3501" s="38" t="n">
        <f aca="false">(1-ext_sh)*(Sens!$N$3480+Sens!$N$3494)</f>
        <v>0.530919624033979</v>
      </c>
      <c r="O3501" s="38" t="n">
        <f aca="false">(1-ext_sh)*(Sens!$O$3480+Sens!$O$3494)</f>
        <v>0.675497696435861</v>
      </c>
    </row>
    <row r="3502" customFormat="false" ht="17.15" hidden="false" customHeight="false" outlineLevel="0" collapsed="false">
      <c r="A3502" s="0" t="s">
        <v>642</v>
      </c>
      <c r="B3502" s="0" t="s">
        <v>86</v>
      </c>
      <c r="C3502" s="38" t="n">
        <f aca="false">Q!$D$24</f>
        <v>39.834</v>
      </c>
      <c r="D3502" s="38" t="n">
        <f aca="false">Q!$E$24</f>
        <v>45.606</v>
      </c>
      <c r="E3502" s="38" t="n">
        <f aca="false">Q!$P$24</f>
        <v>30.782</v>
      </c>
      <c r="N3502" s="38" t="n">
        <f aca="false">Q!$N$24</f>
        <v>21.707</v>
      </c>
      <c r="O3502" s="38" t="n">
        <f aca="false">Q!$O$24</f>
        <v>23.899</v>
      </c>
    </row>
    <row r="3503" customFormat="false" ht="17.15" hidden="false" customHeight="false" outlineLevel="0" collapsed="false">
      <c r="A3503" s="0" t="s">
        <v>643</v>
      </c>
      <c r="B3503" s="0" t="s">
        <v>86</v>
      </c>
      <c r="C3503" s="38" t="n">
        <f aca="false">Sens!$C$3502-Sens!$C$3498</f>
        <v>38.1898211704631</v>
      </c>
      <c r="D3503" s="38" t="n">
        <f aca="false">Sens!$D$3502-Sens!$D$3498</f>
        <v>41.7278991932282</v>
      </c>
      <c r="E3503" s="38" t="n">
        <f aca="false">Sens!$E$3502-Sens!$E$3498</f>
        <v>29.3692974191125</v>
      </c>
      <c r="F3503" s="38" t="n">
        <f aca="false">Sens!$F$3482*Sens!$F$3504</f>
        <v>26.8997276714137</v>
      </c>
      <c r="G3503" s="38" t="n">
        <f aca="false">Sens!$E$3503+Sens!$F$3503</f>
        <v>56.2690250905262</v>
      </c>
      <c r="H3503" s="38" t="n">
        <f aca="false">Sens!$H$3482*Sens!$H$3504</f>
        <v>60.3505333937343</v>
      </c>
      <c r="I3503" s="38" t="n">
        <f aca="false">Sens!$I$3482*Sens!$I$3504</f>
        <v>67.0043857303571</v>
      </c>
      <c r="J3503" s="38" t="n">
        <f aca="false">Sens!$J$3482*Sens!$J$3504</f>
        <v>73.3782922956925</v>
      </c>
      <c r="K3503" s="38" t="n">
        <f aca="false">Sens!$K$3482*Sens!$K$3504</f>
        <v>79.2485556793479</v>
      </c>
      <c r="L3503" s="38" t="n">
        <f aca="false">Sens!$L$3482*Sens!$L$3504</f>
        <v>85.5884401336958</v>
      </c>
      <c r="M3503" s="38" t="n">
        <f aca="false">Sens!$M$3482*Sens!$M$3504</f>
        <v>92.4355153443914</v>
      </c>
      <c r="N3503" s="38" t="n">
        <f aca="false">Sens!$N$3502-Sens!$N$3498</f>
        <v>20.784358965108</v>
      </c>
      <c r="O3503" s="38" t="n">
        <f aca="false">Sens!$O$3502-Sens!$O$3498</f>
        <v>20.9435402281202</v>
      </c>
      <c r="P3503" s="5" t="s">
        <v>644</v>
      </c>
    </row>
    <row r="3504" customFormat="false" ht="17.15" hidden="false" customHeight="false" outlineLevel="0" collapsed="false">
      <c r="A3504" s="0" t="s">
        <v>645</v>
      </c>
      <c r="B3504" s="0" t="s">
        <v>52</v>
      </c>
      <c r="C3504" s="13" t="n">
        <f aca="false">Sens!$C$3503/Sens!$C$3482</f>
        <v>0.362900395443635</v>
      </c>
      <c r="D3504" s="13" t="n">
        <f aca="false">Sens!$D$3503/Sens!$D$3482</f>
        <v>0.34767098474203</v>
      </c>
      <c r="E3504" s="13" t="n">
        <f aca="false">Sens!$E$3503/Sens!$E$3482</f>
        <v>0.411861655558416</v>
      </c>
      <c r="F3504" s="13" t="n">
        <f aca="false">(Sens!$O$3503+Sens!$E$3503)/(Sens!$O$3482+Sens!$E$3482)</f>
        <v>0.37480827803158</v>
      </c>
      <c r="G3504" s="13" t="n">
        <f aca="false">Sens!$G$3503/Sens!$G$3482</f>
        <v>0.393275318395757</v>
      </c>
      <c r="H3504" s="13" t="n">
        <f aca="false">Sens!$F$3504</f>
        <v>0.37480827803158</v>
      </c>
      <c r="I3504" s="13" t="n">
        <f aca="false">Sens!$F$3504</f>
        <v>0.37480827803158</v>
      </c>
      <c r="J3504" s="13" t="n">
        <f aca="false">Sens!$F$3504</f>
        <v>0.37480827803158</v>
      </c>
      <c r="K3504" s="13" t="n">
        <f aca="false">Sens!$F$3504</f>
        <v>0.37480827803158</v>
      </c>
      <c r="L3504" s="13" t="n">
        <f aca="false">Sens!$F$3504</f>
        <v>0.37480827803158</v>
      </c>
      <c r="M3504" s="13" t="n">
        <f aca="false">Sens!$F$3504</f>
        <v>0.37480827803158</v>
      </c>
      <c r="N3504" s="13" t="n">
        <f aca="false">Sens!$N$3503/Sens!$N$3482</f>
        <v>0.364039571356823</v>
      </c>
      <c r="O3504" s="13" t="n">
        <f aca="false">Sens!$O$3503/Sens!$O$3482</f>
        <v>0.332819892300086</v>
      </c>
      <c r="P3504" s="8" t="s">
        <v>646</v>
      </c>
    </row>
    <row r="3505" customFormat="false" ht="17.15" hidden="false" customHeight="false" outlineLevel="0" collapsed="false">
      <c r="A3505" s="0" t="s">
        <v>647</v>
      </c>
      <c r="B3505" s="0" t="s">
        <v>52</v>
      </c>
      <c r="D3505" s="13" t="n">
        <f aca="false">(Q!$E$31-ext_sh*Sens!$D$3494)/Sens!$D$3482</f>
        <v>0.154572973163571</v>
      </c>
    </row>
    <row r="3506" customFormat="false" ht="17.15" hidden="false" customHeight="false" outlineLevel="0" collapsed="false">
      <c r="A3506" s="0" t="s">
        <v>648</v>
      </c>
      <c r="B3506" s="0" t="s">
        <v>86</v>
      </c>
      <c r="C3506" s="38" t="n">
        <f aca="false">Q!$D$31</f>
        <v>13.32</v>
      </c>
      <c r="D3506" s="38" t="n">
        <f aca="false">Q!$E$31</f>
        <v>21.45</v>
      </c>
      <c r="E3506" s="38" t="n">
        <f aca="false">Q!$P$31</f>
        <v>15.353</v>
      </c>
      <c r="F3506" s="38" t="n">
        <f aca="false">ext_sh*Sens!$F$3494+Sens!$D$3505*Sens!$F$3482</f>
        <v>16.3063747611001</v>
      </c>
      <c r="G3506" s="38" t="n">
        <f aca="false">Sens!$E$3506+Sens!$F$3506</f>
        <v>31.6593747611001</v>
      </c>
      <c r="H3506" s="38" t="n">
        <f aca="false">ext_sh*Sens!$H$3494+Sens!$D$3505*Sens!$H$3482</f>
        <v>53.124242092105</v>
      </c>
      <c r="I3506" s="38" t="n">
        <f aca="false">ext_sh*Sens!$I$3494+Sens!$D$3505*Sens!$I$3482</f>
        <v>78.046828098133</v>
      </c>
      <c r="J3506" s="38" t="n">
        <f aca="false">ext_sh*Sens!$J$3494+Sens!$D$3505*Sens!$J$3482</f>
        <v>103.663976940352</v>
      </c>
      <c r="K3506" s="38" t="n">
        <f aca="false">ext_sh*Sens!$K$3494+Sens!$D$3505*Sens!$K$3482</f>
        <v>129.625086115469</v>
      </c>
      <c r="L3506" s="38" t="n">
        <f aca="false">ext_sh*Sens!$L$3494+Sens!$D$3505*Sens!$L$3482</f>
        <v>147.435052382502</v>
      </c>
      <c r="M3506" s="38" t="n">
        <f aca="false">ext_sh*Sens!$M$3494+Sens!$D$3505*Sens!$M$3482</f>
        <v>159.299754080279</v>
      </c>
      <c r="N3506" s="38" t="n">
        <f aca="false">Q!$N$31</f>
        <v>9.234</v>
      </c>
      <c r="O3506" s="38" t="n">
        <f aca="false">Q!$O$31</f>
        <v>12.216</v>
      </c>
    </row>
    <row r="3507" customFormat="false" ht="17.15" hidden="false" customHeight="false" outlineLevel="0" collapsed="false">
      <c r="A3507" s="1" t="s">
        <v>649</v>
      </c>
    </row>
    <row r="3508" customFormat="false" ht="17.15" hidden="false" customHeight="false" outlineLevel="0" collapsed="false">
      <c r="A3508" s="15" t="s">
        <v>650</v>
      </c>
      <c r="B3508" s="14" t="s">
        <v>52</v>
      </c>
      <c r="C3508" s="14"/>
      <c r="D3508" s="14"/>
      <c r="E3508" s="14"/>
      <c r="F3508" s="14"/>
      <c r="G3508" s="17" t="n">
        <f aca="false">Sens!$G$3498*(1-tax)/(ext_sh*(Sens!$D$3495+Sens!$G$3495)/2)</f>
        <v>0.0492184452944045</v>
      </c>
      <c r="H3508" s="17" t="n">
        <f aca="false">Sens!$H$3498*(1-tax)/(ext_sh*(Sens!$G$3495+Sens!$H$3495)/2)</f>
        <v>0.0619414246858107</v>
      </c>
      <c r="I3508" s="17" t="n">
        <f aca="false">Sens!$I$3498*(1-tax)/(ext_sh*(Sens!$H$3495+Sens!$I$3495)/2)</f>
        <v>0.0656831488051666</v>
      </c>
      <c r="J3508" s="17" t="n">
        <f aca="false">Sens!$J$3498*(1-tax)/(ext_sh*(Sens!$I$3495+Sens!$J$3495)/2)</f>
        <v>0.0690334849962116</v>
      </c>
      <c r="K3508" s="17" t="n">
        <f aca="false">Sens!$K$3498*(1-tax)/(ext_sh*(Sens!$J$3495+Sens!$K$3495)/2)</f>
        <v>0.0685772915331967</v>
      </c>
      <c r="L3508" s="17" t="n">
        <f aca="false">Sens!$L$3498*(1-tax)/(ext_sh*(Sens!$K$3495+Sens!$L$3495)/2)</f>
        <v>0.0723938074635756</v>
      </c>
      <c r="M3508" s="17" t="n">
        <f aca="false">Sens!$M$3498*(1-tax)/(ext_sh*(Sens!$L$3495+Sens!$M$3495)/2)</f>
        <v>0.0736061388214139</v>
      </c>
      <c r="N3508" s="14"/>
      <c r="O3508" s="14"/>
      <c r="P3508" s="8" t="s">
        <v>651</v>
      </c>
    </row>
    <row r="3509" customFormat="false" ht="17.15" hidden="false" customHeight="false" outlineLevel="0" collapsed="false">
      <c r="A3509" s="5" t="s">
        <v>652</v>
      </c>
      <c r="B3509" s="0" t="s">
        <v>57</v>
      </c>
      <c r="H3509" s="36" t="n">
        <f aca="false">Sens!$H$3478*1000/(mw_open*he_open+Sens!$H$3476*Sens!$H$3473)</f>
        <v>0.991949006767191</v>
      </c>
      <c r="I3509" s="36" t="n">
        <f aca="false">Sens!$I$3478*1000/(mw_open*he_open+Sens!$I$3476*Sens!$I$3473)</f>
        <v>0.991949006767191</v>
      </c>
      <c r="J3509" s="36" t="n">
        <f aca="false">Sens!$J$3478*1000/(mw_open*he_open+Sens!$J$3476*Sens!$J$3473)</f>
        <v>0.991949006767191</v>
      </c>
      <c r="K3509" s="36" t="n">
        <f aca="false">Sens!$K$3478*1000/(mw_open*he_open+Sens!$K$3476*Sens!$K$3473)</f>
        <v>0.991949006767191</v>
      </c>
      <c r="L3509" s="36" t="n">
        <f aca="false">Sens!$L$3478*1000/(mw_open*he_open+Sens!$L$3476*Sens!$L$3473)</f>
        <v>0.991949006767191</v>
      </c>
      <c r="M3509" s="36" t="n">
        <f aca="false">Sens!$M$3478*1000/(mw_open*he_open+Sens!$M$3476*Sens!$M$3473)</f>
        <v>0.991949006767191</v>
      </c>
    </row>
    <row r="3510" customFormat="false" ht="17.15" hidden="false" customHeight="false" outlineLevel="0" collapsed="false">
      <c r="A3510" s="5" t="s">
        <v>653</v>
      </c>
      <c r="B3510" s="0" t="s">
        <v>57</v>
      </c>
      <c r="H3510" s="36" t="n">
        <f aca="false">Sens!$H$3509*(Sens!$H$3478+wacc*ext_sh*(Sens!$G$3495+Sens!$H$3495)/2/(1-tax)-Sens!$H$3498)/Sens!$H$3478</f>
        <v>1.25551961623259</v>
      </c>
      <c r="I3510" s="36" t="n">
        <f aca="false">Sens!$I$3509*(Sens!$I$3478+wacc*ext_sh*(Sens!$H$3495+Sens!$I$3495)/2/(1-tax)-Sens!$I$3498)/Sens!$I$3478</f>
        <v>1.2054675393263</v>
      </c>
      <c r="J3510" s="36" t="n">
        <f aca="false">Sens!$J$3509*(Sens!$J$3478+wacc*ext_sh*(Sens!$I$3495+Sens!$J$3495)/2/(1-tax)-Sens!$J$3498)/Sens!$J$3478</f>
        <v>1.17141604927023</v>
      </c>
      <c r="K3510" s="36" t="n">
        <f aca="false">Sens!$K$3509*(Sens!$K$3478+wacc*ext_sh*(Sens!$J$3495+Sens!$K$3495)/2/(1-tax)-Sens!$K$3498)/Sens!$K$3478</f>
        <v>1.15558527566281</v>
      </c>
      <c r="L3510" s="36" t="n">
        <f aca="false">Sens!$L$3509*(Sens!$L$3478+wacc*ext_sh*(Sens!$K$3495+Sens!$L$3495)/2/(1-tax)-Sens!$L$3498)/Sens!$L$3478</f>
        <v>1.12686933572495</v>
      </c>
      <c r="M3510" s="36" t="n">
        <f aca="false">Sens!$M$3509*(Sens!$M$3478+wacc*ext_sh*(Sens!$L$3495+Sens!$M$3495)/2/(1-tax)-Sens!$M$3498)/Sens!$M$3478</f>
        <v>1.11358462527531</v>
      </c>
    </row>
    <row r="3511" customFormat="false" ht="17.15" hidden="false" customHeight="false" outlineLevel="0" collapsed="false">
      <c r="A3511" s="5" t="s">
        <v>654</v>
      </c>
      <c r="B3511" s="0" t="s">
        <v>52</v>
      </c>
      <c r="C3511" s="13" t="n">
        <f aca="false">Sens!$C$3479/tk_pq</f>
        <v>0.195316432429398</v>
      </c>
      <c r="D3511" s="13" t="n">
        <f aca="false">Sens!$D$3479/tk_pq</f>
        <v>0.195316432429398</v>
      </c>
      <c r="E3511" s="13" t="n">
        <f aca="false">Sens!$E$3479/tk_pq</f>
        <v>0.195316432429398</v>
      </c>
      <c r="F3511" s="13" t="n">
        <f aca="false">Sens!$F$3479/tk_pq</f>
        <v>0.202241827274866</v>
      </c>
      <c r="G3511" s="13" t="n">
        <f aca="false">Sens!$G$3479/tk_pq</f>
        <v>0.199675016194063</v>
      </c>
      <c r="H3511" s="13" t="n">
        <f aca="false">Sens!$H$3479/tk_pq</f>
        <v>0.212647947710325</v>
      </c>
      <c r="I3511" s="13" t="n">
        <f aca="false">Sens!$I$3479/tk_pq</f>
        <v>0.219285125475351</v>
      </c>
      <c r="J3511" s="13" t="n">
        <f aca="false">Sens!$J$3479/tk_pq</f>
        <v>0.222492493217189</v>
      </c>
      <c r="K3511" s="13" t="n">
        <f aca="false">Sens!$K$3479/tk_pq</f>
        <v>0.224053502812094</v>
      </c>
      <c r="L3511" s="13" t="n">
        <f aca="false">Sens!$L$3479/tk_pq</f>
        <v>0.224786916785614</v>
      </c>
      <c r="M3511" s="13" t="n">
        <f aca="false">Sens!$M$3479/tk_pq</f>
        <v>0.225048671566937</v>
      </c>
      <c r="N3511" s="13" t="n">
        <f aca="false">Sens!$N$3479/tk_pq</f>
        <v>0.195316432429398</v>
      </c>
      <c r="O3511" s="13" t="n">
        <f aca="false">Sens!$O$3479/tk_pq</f>
        <v>0.195316432429398</v>
      </c>
      <c r="P3511" s="5" t="s">
        <v>655</v>
      </c>
    </row>
    <row r="3514" customFormat="false" ht="17.15" hidden="false" customHeight="false" outlineLevel="0" collapsed="false">
      <c r="A3514" s="1" t="s">
        <v>684</v>
      </c>
    </row>
    <row r="3515" customFormat="false" ht="17.15" hidden="false" customHeight="false" outlineLevel="0" collapsed="false">
      <c r="A3515" s="0" t="s">
        <v>685</v>
      </c>
      <c r="B3515" s="0" t="s">
        <v>86</v>
      </c>
      <c r="C3515" s="38" t="n">
        <f aca="false">Sens!$C$3478</f>
        <v>2.32100535697364</v>
      </c>
      <c r="D3515" s="38" t="n">
        <f aca="false">Sens!$D$3478</f>
        <v>8.70377008865116</v>
      </c>
      <c r="E3515" s="38" t="n">
        <f aca="false">Sens!$E$3478</f>
        <v>8.51035297557002</v>
      </c>
      <c r="F3515" s="38" t="n">
        <f aca="false">Sens!$F$3478</f>
        <v>14.9634336447205</v>
      </c>
      <c r="G3515" s="38" t="n">
        <f aca="false">Sens!$G$3478</f>
        <v>23.4737866202905</v>
      </c>
      <c r="H3515" s="38" t="n">
        <f aca="false">Sens!$H$3478</f>
        <v>60.1658907497746</v>
      </c>
      <c r="I3515" s="38" t="n">
        <f aca="false">Sens!$I$3478</f>
        <v>101.503699136432</v>
      </c>
      <c r="J3515" s="38" t="n">
        <f aca="false">Sens!$J$3478</f>
        <v>143.025407151278</v>
      </c>
      <c r="K3515" s="38" t="n">
        <f aca="false">Sens!$K$3478</f>
        <v>178.44812038318</v>
      </c>
      <c r="L3515" s="38" t="n">
        <f aca="false">Sens!$L$3478</f>
        <v>201.728101802396</v>
      </c>
      <c r="M3515" s="38" t="n">
        <f aca="false">Sens!$M$3478</f>
        <v>212.835441368865</v>
      </c>
      <c r="N3515" s="38" t="n">
        <f aca="false">Sens!$N$3478</f>
        <v>3.04631953102791</v>
      </c>
      <c r="O3515" s="38" t="n">
        <f aca="false">Sens!$O$3478</f>
        <v>5.65745055762326</v>
      </c>
      <c r="P3515" s="8" t="s">
        <v>686</v>
      </c>
    </row>
    <row r="3516" customFormat="false" ht="17.15" hidden="false" customHeight="false" outlineLevel="0" collapsed="false">
      <c r="A3516" s="0" t="s">
        <v>687</v>
      </c>
      <c r="B3516" s="0" t="s">
        <v>86</v>
      </c>
      <c r="C3516" s="38" t="n">
        <f aca="false">Sens!$C$3482</f>
        <v>105.234994643026</v>
      </c>
      <c r="D3516" s="38" t="n">
        <f aca="false">Sens!$D$3482</f>
        <v>120.021229911349</v>
      </c>
      <c r="E3516" s="38" t="n">
        <f aca="false">Sens!$E$3482</f>
        <v>71.30864702443</v>
      </c>
      <c r="F3516" s="38" t="n">
        <f aca="false">Sens!$F$3482</f>
        <v>71.7692997942464</v>
      </c>
      <c r="G3516" s="38" t="n">
        <f aca="false">Sens!$G$3482</f>
        <v>143.077946818676</v>
      </c>
      <c r="H3516" s="38" t="n">
        <f aca="false">Sens!$H$3482</f>
        <v>161.017077079203</v>
      </c>
      <c r="I3516" s="38" t="n">
        <f aca="false">Sens!$I$3482</f>
        <v>178.769759521457</v>
      </c>
      <c r="J3516" s="38" t="n">
        <f aca="false">Sens!$J$3482</f>
        <v>195.775538045907</v>
      </c>
      <c r="K3516" s="38" t="n">
        <f aca="false">Sens!$K$3482</f>
        <v>211.43758108958</v>
      </c>
      <c r="L3516" s="38" t="n">
        <f aca="false">Sens!$L$3482</f>
        <v>228.352587576746</v>
      </c>
      <c r="M3516" s="38" t="n">
        <f aca="false">Sens!$M$3482</f>
        <v>246.620794582886</v>
      </c>
      <c r="N3516" s="38" t="n">
        <f aca="false">Sens!$N$3482</f>
        <v>57.0936804689721</v>
      </c>
      <c r="O3516" s="38" t="n">
        <f aca="false">Sens!$O$3482</f>
        <v>62.9275494423768</v>
      </c>
      <c r="P3516" s="8" t="s">
        <v>686</v>
      </c>
    </row>
    <row r="3517" customFormat="false" ht="17.15" hidden="false" customHeight="false" outlineLevel="0" collapsed="false">
      <c r="A3517" s="1" t="s">
        <v>513</v>
      </c>
      <c r="B3517" s="8" t="s">
        <v>86</v>
      </c>
      <c r="C3517" s="38" t="n">
        <f aca="false">Q!$D$7</f>
        <v>107.556</v>
      </c>
      <c r="D3517" s="38" t="n">
        <f aca="false">Q!$E$7</f>
        <v>128.725</v>
      </c>
      <c r="E3517" s="38" t="n">
        <f aca="false">Q!$P$7</f>
        <v>79.819</v>
      </c>
      <c r="F3517" s="38" t="n">
        <f aca="false">Sens!$F$3515+Sens!$F$3516</f>
        <v>86.7327334389669</v>
      </c>
      <c r="G3517" s="38" t="n">
        <f aca="false">Sens!$G$3515+Sens!$G$3516</f>
        <v>166.551733438967</v>
      </c>
      <c r="H3517" s="38" t="n">
        <f aca="false">Sens!$H$3515+Sens!$H$3516</f>
        <v>221.182967828978</v>
      </c>
      <c r="I3517" s="38" t="n">
        <f aca="false">Sens!$I$3515+Sens!$I$3516</f>
        <v>280.27345865789</v>
      </c>
      <c r="J3517" s="38" t="n">
        <f aca="false">Sens!$J$3515+Sens!$J$3516</f>
        <v>338.800945197185</v>
      </c>
      <c r="K3517" s="38" t="n">
        <f aca="false">Sens!$K$3515+Sens!$K$3516</f>
        <v>389.88570147276</v>
      </c>
      <c r="L3517" s="38" t="n">
        <f aca="false">Sens!$L$3515+Sens!$L$3516</f>
        <v>430.080689379143</v>
      </c>
      <c r="M3517" s="38" t="n">
        <f aca="false">Sens!$M$3515+Sens!$M$3516</f>
        <v>459.456235951751</v>
      </c>
      <c r="N3517" s="38" t="n">
        <f aca="false">Q!$N$7</f>
        <v>60.14</v>
      </c>
      <c r="O3517" s="38" t="n">
        <f aca="false">Q!$O$7</f>
        <v>68.585</v>
      </c>
      <c r="P3517" s="5" t="s">
        <v>688</v>
      </c>
    </row>
    <row r="3518" customFormat="false" ht="15" hidden="false" customHeight="false" outlineLevel="0" collapsed="false">
      <c r="A3518" s="3" t="s">
        <v>689</v>
      </c>
      <c r="B3518" s="8" t="s">
        <v>86</v>
      </c>
      <c r="C3518" s="38" t="n">
        <f aca="false">Q!$D$8</f>
        <v>637.959</v>
      </c>
      <c r="D3518" s="38" t="n">
        <f aca="false">Q!$E$8</f>
        <v>716.924</v>
      </c>
      <c r="E3518" s="38" t="n">
        <f aca="false">Q!$P$8</f>
        <v>382.125</v>
      </c>
      <c r="F3518" s="38" t="n">
        <f aca="false">Sens!$F$3450+Sens!$F$3517</f>
        <v>435.780975084504</v>
      </c>
      <c r="G3518" s="38" t="n">
        <f aca="false">Sens!$G$3450+Sens!$G$3517</f>
        <v>817.905975084504</v>
      </c>
      <c r="H3518" s="38" t="n">
        <f aca="false">Sens!$H$3450+Sens!$H$3517</f>
        <v>942.279857350364</v>
      </c>
      <c r="I3518" s="38" t="n">
        <f aca="false">Sens!$I$3450+Sens!$I$3517</f>
        <v>1068.80284981042</v>
      </c>
      <c r="J3518" s="38" t="n">
        <f aca="false">Sens!$J$3450+Sens!$J$3517</f>
        <v>1189.90935093863</v>
      </c>
      <c r="K3518" s="38" t="n">
        <f aca="false">Sens!$K$3450+Sens!$K$3517</f>
        <v>1296.06215690385</v>
      </c>
      <c r="L3518" s="38" t="n">
        <f aca="false">Sens!$L$3450+Sens!$L$3517</f>
        <v>1395.17379585473</v>
      </c>
      <c r="M3518" s="38" t="n">
        <f aca="false">Sens!$M$3450+Sens!$M$3517</f>
        <v>1487.60414389864</v>
      </c>
      <c r="N3518" s="38" t="n">
        <f aca="false">Q!$N$8</f>
        <v>323.369</v>
      </c>
      <c r="O3518" s="38" t="n">
        <f aca="false">Q!$O$8</f>
        <v>393.555</v>
      </c>
    </row>
    <row r="3519" customFormat="false" ht="17.15" hidden="false" customHeight="false" outlineLevel="0" collapsed="false">
      <c r="A3519" s="24" t="s">
        <v>697</v>
      </c>
      <c r="B3519" s="25" t="s">
        <v>86</v>
      </c>
      <c r="C3519" s="41" t="n">
        <f aca="false">Sens!$C$3450-(Sens!$C$3452+Sens!$C$3453)</f>
        <v>0</v>
      </c>
      <c r="D3519" s="41" t="n">
        <f aca="false">Sens!$D$3450-(Sens!$D$3452+Sens!$D$3453)</f>
        <v>0</v>
      </c>
      <c r="E3519" s="41" t="n">
        <f aca="false">Sens!$E$3450-(Sens!$E$3452+Sens!$E$3453)</f>
        <v>0</v>
      </c>
      <c r="F3519" s="41" t="n">
        <f aca="false">Sens!$F$3450-(Sens!$F$3452+Sens!$F$3453)</f>
        <v>0</v>
      </c>
      <c r="G3519" s="41" t="n">
        <f aca="false">Sens!$G$3450-(Sens!$G$3452+Sens!$G$3453)</f>
        <v>0</v>
      </c>
      <c r="H3519" s="41" t="n">
        <f aca="false">Sens!$H$3450-(Sens!$H$3452+Sens!$H$3453)</f>
        <v>0</v>
      </c>
      <c r="I3519" s="41" t="n">
        <f aca="false">Sens!$I$3450-(Sens!$I$3452+Sens!$I$3453)</f>
        <v>0</v>
      </c>
      <c r="J3519" s="41" t="n">
        <f aca="false">Sens!$J$3450-(Sens!$J$3452+Sens!$J$3453)</f>
        <v>0</v>
      </c>
      <c r="K3519" s="41" t="n">
        <f aca="false">Sens!$K$3450-(Sens!$K$3452+Sens!$K$3453)</f>
        <v>0</v>
      </c>
      <c r="L3519" s="41" t="n">
        <f aca="false">Sens!$L$3450-(Sens!$L$3452+Sens!$L$3453)</f>
        <v>0</v>
      </c>
      <c r="M3519" s="41" t="n">
        <f aca="false">Sens!$M$3450-(Sens!$M$3452+Sens!$M$3453)</f>
        <v>0</v>
      </c>
      <c r="N3519" s="41" t="n">
        <f aca="false">Sens!$N$3450-(Sens!$N$3452+Sens!$N$3453)</f>
        <v>0</v>
      </c>
      <c r="O3519" s="41" t="n">
        <f aca="false">Sens!$O$3450-(Sens!$O$3452+Sens!$O$3453)</f>
        <v>0</v>
      </c>
    </row>
    <row r="3520" customFormat="false" ht="17.15" hidden="false" customHeight="false" outlineLevel="0" collapsed="false">
      <c r="A3520" s="24" t="s">
        <v>698</v>
      </c>
      <c r="B3520" s="25" t="s">
        <v>86</v>
      </c>
      <c r="C3520" s="41" t="n">
        <f aca="false">Sens!$C$3515+Sens!$C$3516-Sens!$C$3517</f>
        <v>0</v>
      </c>
      <c r="D3520" s="41" t="n">
        <f aca="false">Sens!$D$3515+Sens!$D$3516-Sens!$D$3517</f>
        <v>0</v>
      </c>
      <c r="E3520" s="41" t="n">
        <f aca="false">Sens!$E$3515+Sens!$E$3516-Sens!$E$3517</f>
        <v>0</v>
      </c>
      <c r="F3520" s="41" t="n">
        <f aca="false">Sens!$F$3515+Sens!$F$3516-Sens!$F$3517</f>
        <v>0</v>
      </c>
      <c r="G3520" s="41" t="n">
        <f aca="false">Sens!$G$3515+Sens!$G$3516-Sens!$G$3517</f>
        <v>0</v>
      </c>
      <c r="H3520" s="41" t="n">
        <f aca="false">Sens!$H$3515+Sens!$H$3516-Sens!$H$3517</f>
        <v>0</v>
      </c>
      <c r="I3520" s="41" t="n">
        <f aca="false">Sens!$I$3515+Sens!$I$3516-Sens!$I$3517</f>
        <v>0</v>
      </c>
      <c r="J3520" s="41" t="n">
        <f aca="false">Sens!$J$3515+Sens!$J$3516-Sens!$J$3517</f>
        <v>0</v>
      </c>
      <c r="K3520" s="41" t="n">
        <f aca="false">Sens!$K$3515+Sens!$K$3516-Sens!$K$3517</f>
        <v>0</v>
      </c>
      <c r="L3520" s="41" t="n">
        <f aca="false">Sens!$L$3515+Sens!$L$3516-Sens!$L$3517</f>
        <v>0</v>
      </c>
      <c r="M3520" s="41" t="n">
        <f aca="false">Sens!$M$3515+Sens!$M$3516-Sens!$M$3517</f>
        <v>0</v>
      </c>
      <c r="N3520" s="41" t="n">
        <f aca="false">Sens!$N$3515+Sens!$N$3516-Sens!$N$3517</f>
        <v>0</v>
      </c>
      <c r="O3520" s="41" t="n">
        <f aca="false">Sens!$O$3515+Sens!$O$3516-Sens!$O$3517</f>
        <v>0</v>
      </c>
    </row>
    <row r="3521" customFormat="false" ht="17.15" hidden="false" customHeight="false" outlineLevel="0" collapsed="false">
      <c r="A3521" s="24" t="s">
        <v>699</v>
      </c>
      <c r="B3521" s="25" t="s">
        <v>86</v>
      </c>
      <c r="C3521" s="41" t="n">
        <f aca="false">Sens!$C$3452+Sens!$C$3453+Sens!$C$3517-Sens!$C$3518</f>
        <v>0</v>
      </c>
      <c r="D3521" s="41" t="n">
        <f aca="false">Sens!$D$3452+Sens!$D$3453+Sens!$D$3517-Sens!$D$3518</f>
        <v>0</v>
      </c>
      <c r="E3521" s="41" t="n">
        <f aca="false">Sens!$E$3452+Sens!$E$3453+Sens!$E$3517-Sens!$E$3518</f>
        <v>0</v>
      </c>
      <c r="F3521" s="41" t="n">
        <f aca="false">Sens!$F$3452+Sens!$F$3453+Sens!$F$3517-Sens!$F$3518</f>
        <v>0</v>
      </c>
      <c r="G3521" s="41" t="n">
        <f aca="false">Sens!$G$3452+Sens!$G$3453+Sens!$G$3517-Sens!$G$3518</f>
        <v>0</v>
      </c>
      <c r="H3521" s="41" t="n">
        <f aca="false">Sens!$H$3452+Sens!$H$3453+Sens!$H$3517-Sens!$H$3518</f>
        <v>0</v>
      </c>
      <c r="I3521" s="41" t="n">
        <f aca="false">Sens!$I$3452+Sens!$I$3453+Sens!$I$3517-Sens!$I$3518</f>
        <v>0</v>
      </c>
      <c r="J3521" s="41" t="n">
        <f aca="false">Sens!$J$3452+Sens!$J$3453+Sens!$J$3517-Sens!$J$3518</f>
        <v>0</v>
      </c>
      <c r="K3521" s="41" t="n">
        <f aca="false">Sens!$K$3452+Sens!$K$3453+Sens!$K$3517-Sens!$K$3518</f>
        <v>0</v>
      </c>
      <c r="L3521" s="41" t="n">
        <f aca="false">Sens!$L$3452+Sens!$L$3453+Sens!$L$3517-Sens!$L$3518</f>
        <v>0</v>
      </c>
      <c r="M3521" s="41" t="n">
        <f aca="false">Sens!$M$3452+Sens!$M$3453+Sens!$M$3517-Sens!$M$3518</f>
        <v>0</v>
      </c>
      <c r="N3521" s="41" t="n">
        <f aca="false">Sens!$N$3452+Sens!$N$3453+Sens!$N$3517-Sens!$N$3518</f>
        <v>0</v>
      </c>
      <c r="O3521" s="41" t="n">
        <f aca="false">Sens!$O$3452+Sens!$O$3453+Sens!$O$3517-Sens!$O$3518</f>
        <v>0</v>
      </c>
    </row>
    <row r="3522" customFormat="false" ht="15" hidden="false" customHeight="false" outlineLevel="0" collapsed="false">
      <c r="A3522" s="5" t="s">
        <v>693</v>
      </c>
      <c r="B3522" s="0" t="s">
        <v>52</v>
      </c>
      <c r="G3522" s="13" t="n">
        <f aca="false">Sens!$G$3518/Sens!$D$3518-1</f>
        <v>0.140854504918937</v>
      </c>
      <c r="H3522" s="13" t="n">
        <f aca="false">Sens!$H$3518/Sens!$G$3518-1</f>
        <v>0.152063789793209</v>
      </c>
      <c r="I3522" s="13" t="n">
        <f aca="false">Sens!$I$3518/Sens!$H$3518-1</f>
        <v>0.134273264437417</v>
      </c>
      <c r="J3522" s="13" t="n">
        <f aca="false">Sens!$J$3518/Sens!$I$3518-1</f>
        <v>0.113310421234083</v>
      </c>
      <c r="K3522" s="13" t="n">
        <f aca="false">Sens!$K$3518/Sens!$J$3518-1</f>
        <v>0.0892108343223652</v>
      </c>
      <c r="L3522" s="13" t="n">
        <f aca="false">Sens!$L$3518/Sens!$K$3518-1</f>
        <v>0.076471362444261</v>
      </c>
      <c r="M3522" s="13" t="n">
        <f aca="false">Sens!$M$3518/Sens!$L$3518-1</f>
        <v>0.066250060256672</v>
      </c>
    </row>
    <row r="3523" customFormat="false" ht="17.15" hidden="false" customHeight="false" outlineLevel="0" collapsed="false">
      <c r="A3523" s="0" t="s">
        <v>694</v>
      </c>
      <c r="B3523" s="0" t="s">
        <v>52</v>
      </c>
      <c r="C3523" s="13" t="n">
        <f aca="false">Sens!$C$3517/Sens!$C$3518</f>
        <v>0.168593906504964</v>
      </c>
      <c r="D3523" s="13" t="n">
        <f aca="false">Sens!$D$3517/Sens!$D$3518</f>
        <v>0.179551807444025</v>
      </c>
      <c r="E3523" s="13" t="n">
        <f aca="false">Sens!$E$3517/Sens!$E$3518</f>
        <v>0.208881910369643</v>
      </c>
      <c r="F3523" s="13" t="n">
        <f aca="false">Sens!$F$3517/Sens!$F$3518</f>
        <v>0.199028269699356</v>
      </c>
      <c r="G3523" s="13" t="n">
        <f aca="false">Sens!$G$3517/Sens!$G$3518</f>
        <v>0.203631882529968</v>
      </c>
      <c r="H3523" s="13" t="n">
        <f aca="false">Sens!$H$3517/Sens!$H$3518</f>
        <v>0.234731715958496</v>
      </c>
      <c r="I3523" s="13" t="n">
        <f aca="false">Sens!$I$3517/Sens!$I$3518</f>
        <v>0.262231204480418</v>
      </c>
      <c r="J3523" s="13" t="n">
        <f aca="false">Sens!$J$3517/Sens!$J$3518</f>
        <v>0.284728366013706</v>
      </c>
      <c r="K3523" s="13" t="n">
        <f aca="false">Sens!$K$3517/Sens!$K$3518</f>
        <v>0.300823304959505</v>
      </c>
      <c r="L3523" s="13" t="n">
        <f aca="false">Sens!$L$3517/Sens!$L$3518</f>
        <v>0.308263164529735</v>
      </c>
      <c r="M3523" s="13" t="n">
        <f aca="false">Sens!$M$3517/Sens!$M$3518</f>
        <v>0.308856517936036</v>
      </c>
      <c r="N3523" s="13" t="n">
        <f aca="false">Sens!$N$3517/Sens!$N$3518</f>
        <v>0.185979484737251</v>
      </c>
      <c r="O3523" s="13" t="n">
        <f aca="false">Sens!$O$3517/Sens!$O$3518</f>
        <v>0.174270432341096</v>
      </c>
    </row>
    <row r="3524" customFormat="false" ht="17.15" hidden="false" customHeight="false" outlineLevel="0" collapsed="false">
      <c r="A3524" s="0" t="s">
        <v>695</v>
      </c>
      <c r="B3524" s="0" t="s">
        <v>52</v>
      </c>
      <c r="C3524" s="13" t="n">
        <f aca="false">Sens!$C$3515/Sens!$C$3517</f>
        <v>0.0215795060896058</v>
      </c>
      <c r="D3524" s="13" t="n">
        <f aca="false">Sens!$D$3515/Sens!$D$3517</f>
        <v>0.0676152269462122</v>
      </c>
      <c r="E3524" s="13" t="n">
        <f aca="false">Sens!$E$3515/Sens!$E$3517</f>
        <v>0.106620641395783</v>
      </c>
      <c r="F3524" s="13" t="n">
        <f aca="false">Sens!$F$3515/Sens!$F$3517</f>
        <v>0.172523487401099</v>
      </c>
      <c r="G3524" s="13" t="n">
        <f aca="false">Sens!$G$3515/Sens!$G$3517</f>
        <v>0.140939911795589</v>
      </c>
      <c r="H3524" s="13" t="n">
        <f aca="false">Sens!$H$3515/Sens!$H$3517</f>
        <v>0.272018642937714</v>
      </c>
      <c r="I3524" s="13" t="n">
        <f aca="false">Sens!$I$3515/Sens!$I$3517</f>
        <v>0.362159512436497</v>
      </c>
      <c r="J3524" s="13" t="n">
        <f aca="false">Sens!$J$3515/Sens!$J$3517</f>
        <v>0.422151735934609</v>
      </c>
      <c r="K3524" s="13" t="n">
        <f aca="false">Sens!$K$3515/Sens!$K$3517</f>
        <v>0.45769342068485</v>
      </c>
      <c r="L3524" s="13" t="n">
        <f aca="false">Sens!$L$3515/Sens!$L$3517</f>
        <v>0.469047103913472</v>
      </c>
      <c r="M3524" s="13" t="n">
        <f aca="false">Sens!$M$3515/Sens!$M$3517</f>
        <v>0.463233328258093</v>
      </c>
      <c r="N3524" s="13" t="n">
        <f aca="false">Sens!$N$3515/Sens!$N$3517</f>
        <v>0.0506537999838362</v>
      </c>
      <c r="O3524" s="13" t="n">
        <f aca="false">Sens!$O$3515/Sens!$O$3517</f>
        <v>0.0824881615167056</v>
      </c>
    </row>
    <row r="3527" customFormat="false" ht="19.4" hidden="false" customHeight="false" outlineLevel="0" collapsed="false">
      <c r="A3527" s="31" t="s">
        <v>1199</v>
      </c>
    </row>
    <row r="3528" customFormat="false" ht="17.15" hidden="false" customHeight="false" outlineLevel="0" collapsed="false">
      <c r="A3528" s="6" t="s">
        <v>16</v>
      </c>
      <c r="B3528" s="6" t="s">
        <v>17</v>
      </c>
      <c r="C3528" s="20" t="s">
        <v>494</v>
      </c>
      <c r="D3528" s="20" t="s">
        <v>495</v>
      </c>
      <c r="E3528" s="20" t="s">
        <v>577</v>
      </c>
      <c r="F3528" s="20" t="s">
        <v>578</v>
      </c>
      <c r="G3528" s="20" t="s">
        <v>579</v>
      </c>
      <c r="H3528" s="20" t="s">
        <v>580</v>
      </c>
      <c r="I3528" s="20" t="s">
        <v>581</v>
      </c>
      <c r="J3528" s="20" t="s">
        <v>582</v>
      </c>
      <c r="K3528" s="20" t="s">
        <v>583</v>
      </c>
      <c r="L3528" s="20" t="s">
        <v>584</v>
      </c>
      <c r="M3528" s="20" t="s">
        <v>585</v>
      </c>
      <c r="N3528" s="20" t="s">
        <v>586</v>
      </c>
      <c r="O3528" s="20" t="s">
        <v>587</v>
      </c>
      <c r="P3528" s="6" t="s">
        <v>23</v>
      </c>
      <c r="R3528" s="20" t="n">
        <v>2023</v>
      </c>
      <c r="S3528" s="20" t="n">
        <v>2024</v>
      </c>
      <c r="T3528" s="20" t="n">
        <v>2025</v>
      </c>
      <c r="U3528" s="20" t="n">
        <v>2026</v>
      </c>
      <c r="V3528" s="20" t="n">
        <v>2027</v>
      </c>
      <c r="W3528" s="20" t="n">
        <v>2028</v>
      </c>
      <c r="X3528" s="20" t="n">
        <v>2029</v>
      </c>
      <c r="Y3528" s="20" t="n">
        <v>2030</v>
      </c>
      <c r="Z3528" s="20" t="n">
        <v>2031</v>
      </c>
      <c r="AA3528" s="20" t="n">
        <v>2032</v>
      </c>
    </row>
    <row r="3529" customFormat="false" ht="17.15" hidden="false" customHeight="false" outlineLevel="0" collapsed="false">
      <c r="A3529" s="1" t="s">
        <v>710</v>
      </c>
    </row>
    <row r="3530" customFormat="false" ht="15" hidden="false" customHeight="false" outlineLevel="0" collapsed="false">
      <c r="A3530" s="0" t="s">
        <v>516</v>
      </c>
      <c r="B3530" s="0" t="s">
        <v>86</v>
      </c>
      <c r="C3530" s="38" t="n">
        <f aca="false">Sens!$C$3437</f>
        <v>247.029</v>
      </c>
      <c r="D3530" s="38" t="n">
        <f aca="false">Sens!$D$3437</f>
        <v>269.287</v>
      </c>
      <c r="E3530" s="38" t="n">
        <f aca="false">Sens!$E$3437</f>
        <v>134.686</v>
      </c>
      <c r="F3530" s="38" t="n">
        <f aca="false">Sens!$F$3437</f>
        <v>158.293876822267</v>
      </c>
      <c r="G3530" s="38" t="n">
        <f aca="false">Sens!$G$3437</f>
        <v>292.979876822267</v>
      </c>
      <c r="H3530" s="38" t="n">
        <f aca="false">Sens!$H$3437</f>
        <v>318.184543087396</v>
      </c>
      <c r="I3530" s="38" t="n">
        <f aca="false">Sens!$I$3437</f>
        <v>341.736278761793</v>
      </c>
      <c r="J3530" s="38" t="n">
        <f aca="false">Sens!$J$3437</f>
        <v>362.927192787048</v>
      </c>
      <c r="K3530" s="38" t="n">
        <f aca="false">Sens!$K$3437</f>
        <v>381.0735524264</v>
      </c>
      <c r="L3530" s="38" t="n">
        <f aca="false">Sens!$L$3437</f>
        <v>400.12723004772</v>
      </c>
      <c r="M3530" s="38" t="n">
        <f aca="false">Sens!$M$3437</f>
        <v>420.133591550106</v>
      </c>
      <c r="N3530" s="38" t="n">
        <f aca="false">Sens!$N$3437</f>
        <v>118.892</v>
      </c>
      <c r="O3530" s="38" t="n">
        <f aca="false">Sens!$O$3437</f>
        <v>150.395</v>
      </c>
    </row>
    <row r="3531" customFormat="false" ht="15" hidden="false" customHeight="false" outlineLevel="0" collapsed="false">
      <c r="A3531" s="0" t="s">
        <v>517</v>
      </c>
      <c r="B3531" s="0" t="s">
        <v>86</v>
      </c>
      <c r="C3531" s="38" t="n">
        <f aca="false">Sens!$C$3439</f>
        <v>21.215</v>
      </c>
      <c r="D3531" s="38" t="n">
        <f aca="false">Sens!$D$3439</f>
        <v>22.561</v>
      </c>
      <c r="E3531" s="38" t="n">
        <f aca="false">Sens!$E$3439</f>
        <v>11.579</v>
      </c>
      <c r="F3531" s="38" t="n">
        <f aca="false">Sens!$F$3439</f>
        <v>11.5938724610325</v>
      </c>
      <c r="G3531" s="38" t="n">
        <f aca="false">Sens!$G$3439</f>
        <v>23.1728724610325</v>
      </c>
      <c r="H3531" s="38" t="n">
        <f aca="false">Sens!$H$3439</f>
        <v>24.353392759506</v>
      </c>
      <c r="I3531" s="38" t="n">
        <f aca="false">Sens!$I$3439</f>
        <v>25.4240338872015</v>
      </c>
      <c r="J3531" s="38" t="n">
        <f aca="false">Sens!$J$3439</f>
        <v>26.3642491017174</v>
      </c>
      <c r="K3531" s="38" t="n">
        <f aca="false">Sens!$K$3439</f>
        <v>27.155176574769</v>
      </c>
      <c r="L3531" s="38" t="n">
        <f aca="false">Sens!$L$3439</f>
        <v>27.969831872012</v>
      </c>
      <c r="M3531" s="38" t="n">
        <f aca="false">Sens!$M$3439</f>
        <v>28.8089268281724</v>
      </c>
      <c r="N3531" s="38" t="n">
        <f aca="false">Sens!$N$3439</f>
        <v>11.128</v>
      </c>
      <c r="O3531" s="38" t="n">
        <f aca="false">Sens!$O$3439</f>
        <v>11.433</v>
      </c>
    </row>
    <row r="3532" customFormat="false" ht="15" hidden="false" customHeight="false" outlineLevel="0" collapsed="false">
      <c r="A3532" s="0" t="s">
        <v>518</v>
      </c>
      <c r="B3532" s="0" t="s">
        <v>86</v>
      </c>
      <c r="C3532" s="38" t="n">
        <f aca="false">Sens!$C$3441</f>
        <v>156.146</v>
      </c>
      <c r="D3532" s="38" t="n">
        <f aca="false">Sens!$D$3441</f>
        <v>172.162</v>
      </c>
      <c r="E3532" s="38" t="n">
        <f aca="false">Sens!$E$3441</f>
        <v>88.358</v>
      </c>
      <c r="F3532" s="38" t="n">
        <f aca="false">Sens!$F$3441</f>
        <v>102.004388260171</v>
      </c>
      <c r="G3532" s="38" t="n">
        <f aca="false">Sens!$G$3441</f>
        <v>190.362388260171</v>
      </c>
      <c r="H3532" s="38" t="n">
        <f aca="false">Sens!$H$3441</f>
        <v>210.343106588311</v>
      </c>
      <c r="I3532" s="38" t="n">
        <f aca="false">Sens!$I$3441</f>
        <v>229.969728494648</v>
      </c>
      <c r="J3532" s="38" t="n">
        <f aca="false">Sens!$J$3441</f>
        <v>248.747636972598</v>
      </c>
      <c r="K3532" s="38" t="n">
        <f aca="false">Sens!$K$3441</f>
        <v>266.15997156068</v>
      </c>
      <c r="L3532" s="38" t="n">
        <f aca="false">Sens!$L$3441</f>
        <v>284.791169569927</v>
      </c>
      <c r="M3532" s="38" t="n">
        <f aca="false">Sens!$M$3441</f>
        <v>304.726551439822</v>
      </c>
      <c r="N3532" s="38" t="n">
        <f aca="false">Sens!$N$3441</f>
        <v>76.86</v>
      </c>
      <c r="O3532" s="38" t="n">
        <f aca="false">Sens!$O$3441</f>
        <v>95.302</v>
      </c>
    </row>
    <row r="3533" customFormat="false" ht="15" hidden="false" customHeight="false" outlineLevel="0" collapsed="false">
      <c r="A3533" s="0" t="s">
        <v>519</v>
      </c>
      <c r="B3533" s="0" t="s">
        <v>86</v>
      </c>
      <c r="C3533" s="38" t="n">
        <f aca="false">Sens!$C$3443</f>
        <v>56.214</v>
      </c>
      <c r="D3533" s="38" t="n">
        <f aca="false">Sens!$D$3443</f>
        <v>68.635</v>
      </c>
      <c r="E3533" s="38" t="n">
        <f aca="false">Sens!$E$3443</f>
        <v>37.052</v>
      </c>
      <c r="F3533" s="38" t="n">
        <f aca="false">Sens!$F$3443</f>
        <v>46.1572219944148</v>
      </c>
      <c r="G3533" s="38" t="n">
        <f aca="false">Sens!$G$3443</f>
        <v>83.2092219944148</v>
      </c>
      <c r="H3533" s="38" t="n">
        <f aca="false">Sens!$H$3443</f>
        <v>99.8969223878976</v>
      </c>
      <c r="I3533" s="38" t="n">
        <f aca="false">Sens!$I$3443</f>
        <v>116.583111095496</v>
      </c>
      <c r="J3533" s="38" t="n">
        <f aca="false">Sens!$J$3443</f>
        <v>132.148941941952</v>
      </c>
      <c r="K3533" s="38" t="n">
        <f aca="false">Sens!$K$3443</f>
        <v>145.363836136147</v>
      </c>
      <c r="L3533" s="38" t="n">
        <f aca="false">Sens!$L$3443</f>
        <v>159.900219749762</v>
      </c>
      <c r="M3533" s="38" t="n">
        <f aca="false">Sens!$M$3443</f>
        <v>175.890241724738</v>
      </c>
      <c r="N3533" s="38" t="n">
        <f aca="false">Sens!$N$3443</f>
        <v>29.615</v>
      </c>
      <c r="O3533" s="38" t="n">
        <f aca="false">Sens!$O$3443</f>
        <v>39.02</v>
      </c>
    </row>
    <row r="3534" customFormat="false" ht="15" hidden="false" customHeight="false" outlineLevel="0" collapsed="false">
      <c r="A3534" s="0" t="s">
        <v>520</v>
      </c>
      <c r="B3534" s="0" t="s">
        <v>86</v>
      </c>
      <c r="C3534" s="38" t="n">
        <f aca="false">Sens!$C$3445</f>
        <v>44.374</v>
      </c>
      <c r="D3534" s="38" t="n">
        <f aca="false">Sens!$D$3445</f>
        <v>49.619</v>
      </c>
      <c r="E3534" s="38" t="n">
        <f aca="false">Sens!$E$3445</f>
        <v>27.157</v>
      </c>
      <c r="F3534" s="38" t="n">
        <f aca="false">Sens!$F$3445</f>
        <v>27.7764165988154</v>
      </c>
      <c r="G3534" s="38" t="n">
        <f aca="false">Sens!$G$3445</f>
        <v>54.9334165988154</v>
      </c>
      <c r="H3534" s="38" t="n">
        <f aca="false">Sens!$H$3445</f>
        <v>61.1564112561829</v>
      </c>
      <c r="I3534" s="38" t="n">
        <f aca="false">Sens!$I$3445</f>
        <v>67.2020282103945</v>
      </c>
      <c r="J3534" s="38" t="n">
        <f aca="false">Sens!$J$3445</f>
        <v>72.8757274028885</v>
      </c>
      <c r="K3534" s="38" t="n">
        <f aca="false">Sens!$K$3445</f>
        <v>77.9770283210907</v>
      </c>
      <c r="L3534" s="38" t="n">
        <f aca="false">Sens!$L$3445</f>
        <v>83.4354203035671</v>
      </c>
      <c r="M3534" s="38" t="n">
        <f aca="false">Sens!$M$3445</f>
        <v>89.2758997248168</v>
      </c>
      <c r="N3534" s="38" t="n">
        <f aca="false">Sens!$N$3445</f>
        <v>23.923</v>
      </c>
      <c r="O3534" s="38" t="n">
        <f aca="false">Sens!$O$3445</f>
        <v>25.696</v>
      </c>
    </row>
    <row r="3535" customFormat="false" ht="15" hidden="false" customHeight="false" outlineLevel="0" collapsed="false">
      <c r="A3535" s="0" t="s">
        <v>521</v>
      </c>
      <c r="B3535" s="0" t="s">
        <v>86</v>
      </c>
      <c r="C3535" s="38" t="n">
        <f aca="false">Sens!$C$3447</f>
        <v>5.425</v>
      </c>
      <c r="D3535" s="38" t="n">
        <f aca="false">Sens!$D$3447</f>
        <v>5.935</v>
      </c>
      <c r="E3535" s="38" t="n">
        <f aca="false">Sens!$E$3447</f>
        <v>3.474</v>
      </c>
      <c r="F3535" s="38" t="n">
        <f aca="false">Sens!$F$3447</f>
        <v>3.22246550883619</v>
      </c>
      <c r="G3535" s="38" t="n">
        <f aca="false">Sens!$G$3447</f>
        <v>6.69646550883619</v>
      </c>
      <c r="H3535" s="38" t="n">
        <f aca="false">Sens!$H$3447</f>
        <v>7.16251344209196</v>
      </c>
      <c r="I3535" s="38" t="n">
        <f aca="false">Sens!$I$3447</f>
        <v>7.61421070299826</v>
      </c>
      <c r="J3535" s="38" t="n">
        <f aca="false">Sens!$J$3447</f>
        <v>8.04465753523932</v>
      </c>
      <c r="K3535" s="38" t="n">
        <f aca="false">Sens!$K$3447</f>
        <v>8.44689041200128</v>
      </c>
      <c r="L3535" s="38" t="n">
        <f aca="false">Sens!$L$3447</f>
        <v>8.86923493260135</v>
      </c>
      <c r="M3535" s="38" t="n">
        <f aca="false">Sens!$M$3447</f>
        <v>9.31269667923142</v>
      </c>
      <c r="N3535" s="38" t="n">
        <f aca="false">Sens!$N$3447</f>
        <v>2.811</v>
      </c>
      <c r="O3535" s="38" t="n">
        <f aca="false">Sens!$O$3447</f>
        <v>3.124</v>
      </c>
    </row>
    <row r="3536" customFormat="false" ht="17.15" hidden="false" customHeight="false" outlineLevel="0" collapsed="false">
      <c r="A3536" s="0" t="s">
        <v>711</v>
      </c>
      <c r="B3536" s="0" t="s">
        <v>86</v>
      </c>
      <c r="C3536" s="38" t="n">
        <f aca="false">Sens!$C$3517</f>
        <v>107.556</v>
      </c>
      <c r="D3536" s="38" t="n">
        <f aca="false">Sens!$D$3517</f>
        <v>128.725</v>
      </c>
      <c r="E3536" s="38" t="n">
        <f aca="false">Sens!$E$3517</f>
        <v>79.819</v>
      </c>
      <c r="F3536" s="38" t="n">
        <f aca="false">Sens!$F$3517</f>
        <v>86.7327334389669</v>
      </c>
      <c r="G3536" s="38" t="n">
        <f aca="false">Sens!$G$3517</f>
        <v>166.551733438967</v>
      </c>
      <c r="H3536" s="38" t="n">
        <f aca="false">Sens!$H$3517</f>
        <v>221.182967828978</v>
      </c>
      <c r="I3536" s="38" t="n">
        <f aca="false">Sens!$I$3517</f>
        <v>280.27345865789</v>
      </c>
      <c r="J3536" s="38" t="n">
        <f aca="false">Sens!$J$3517</f>
        <v>338.800945197185</v>
      </c>
      <c r="K3536" s="38" t="n">
        <f aca="false">Sens!$K$3517</f>
        <v>389.88570147276</v>
      </c>
      <c r="L3536" s="38" t="n">
        <f aca="false">Sens!$L$3517</f>
        <v>430.080689379143</v>
      </c>
      <c r="M3536" s="38" t="n">
        <f aca="false">Sens!$M$3517</f>
        <v>459.456235951751</v>
      </c>
      <c r="N3536" s="38" t="n">
        <f aca="false">Sens!$N$3517</f>
        <v>60.14</v>
      </c>
      <c r="O3536" s="38" t="n">
        <f aca="false">Sens!$O$3517</f>
        <v>68.585</v>
      </c>
    </row>
    <row r="3537" customFormat="false" ht="15" hidden="false" customHeight="false" outlineLevel="0" collapsed="false">
      <c r="A3537" s="1" t="s">
        <v>509</v>
      </c>
      <c r="B3537" s="8" t="s">
        <v>86</v>
      </c>
      <c r="C3537" s="38" t="n">
        <f aca="false">Sens!$C$3452</f>
        <v>387.497</v>
      </c>
      <c r="D3537" s="38" t="n">
        <f aca="false">Sens!$D$3452</f>
        <v>426.305</v>
      </c>
      <c r="E3537" s="38" t="n">
        <f aca="false">Sens!$E$3452</f>
        <v>220.32</v>
      </c>
      <c r="F3537" s="38" t="n">
        <f aca="false">Sens!$F$3452</f>
        <v>250.639773480586</v>
      </c>
      <c r="G3537" s="38" t="n">
        <f aca="false">Sens!$G$3452</f>
        <v>470.959773480586</v>
      </c>
      <c r="H3537" s="38" t="n">
        <f aca="false">Sens!$H$3452</f>
        <v>521.386990416437</v>
      </c>
      <c r="I3537" s="38" t="n">
        <f aca="false">Sens!$I$3452</f>
        <v>570.143862887555</v>
      </c>
      <c r="J3537" s="38" t="n">
        <f aca="false">Sens!$J$3452</f>
        <v>615.391435791933</v>
      </c>
      <c r="K3537" s="38" t="n">
        <f aca="false">Sens!$K$3452</f>
        <v>655.208227561543</v>
      </c>
      <c r="L3537" s="38" t="n">
        <f aca="false">Sens!$L$3452</f>
        <v>697.807739249767</v>
      </c>
      <c r="M3537" s="38" t="n">
        <f aca="false">Sens!$M$3452</f>
        <v>743.399328463592</v>
      </c>
      <c r="N3537" s="38" t="n">
        <f aca="false">Sens!$N$3452</f>
        <v>192.955</v>
      </c>
      <c r="O3537" s="38" t="n">
        <f aca="false">Sens!$O$3452</f>
        <v>233.35</v>
      </c>
    </row>
    <row r="3538" customFormat="false" ht="15" hidden="false" customHeight="false" outlineLevel="0" collapsed="false">
      <c r="A3538" s="1" t="s">
        <v>512</v>
      </c>
      <c r="B3538" s="8" t="s">
        <v>86</v>
      </c>
      <c r="C3538" s="38" t="n">
        <f aca="false">Sens!$C$3453</f>
        <v>142.906</v>
      </c>
      <c r="D3538" s="38" t="n">
        <f aca="false">Sens!$D$3453</f>
        <v>161.894</v>
      </c>
      <c r="E3538" s="38" t="n">
        <f aca="false">Sens!$E$3453</f>
        <v>81.986</v>
      </c>
      <c r="F3538" s="38" t="n">
        <f aca="false">Sens!$F$3453</f>
        <v>98.408468164951</v>
      </c>
      <c r="G3538" s="38" t="n">
        <f aca="false">Sens!$G$3453</f>
        <v>180.394468164951</v>
      </c>
      <c r="H3538" s="38" t="n">
        <f aca="false">Sens!$H$3453</f>
        <v>199.709899104949</v>
      </c>
      <c r="I3538" s="38" t="n">
        <f aca="false">Sens!$I$3453</f>
        <v>218.385528264976</v>
      </c>
      <c r="J3538" s="38" t="n">
        <f aca="false">Sens!$J$3453</f>
        <v>235.71696994951</v>
      </c>
      <c r="K3538" s="38" t="n">
        <f aca="false">Sens!$K$3453</f>
        <v>250.968227869545</v>
      </c>
      <c r="L3538" s="38" t="n">
        <f aca="false">Sens!$L$3453</f>
        <v>267.285367225822</v>
      </c>
      <c r="M3538" s="38" t="n">
        <f aca="false">Sens!$M$3453</f>
        <v>284.748579483295</v>
      </c>
      <c r="N3538" s="38" t="n">
        <f aca="false">Sens!$N$3453</f>
        <v>70.274</v>
      </c>
      <c r="O3538" s="38" t="n">
        <f aca="false">Sens!$O$3453</f>
        <v>91.62</v>
      </c>
    </row>
    <row r="3539" customFormat="false" ht="15" hidden="false" customHeight="false" outlineLevel="0" collapsed="false">
      <c r="A3539" s="1" t="s">
        <v>513</v>
      </c>
      <c r="B3539" s="8" t="s">
        <v>86</v>
      </c>
      <c r="C3539" s="38" t="n">
        <f aca="false">Sens!$C$3517</f>
        <v>107.556</v>
      </c>
      <c r="D3539" s="38" t="n">
        <f aca="false">Sens!$D$3517</f>
        <v>128.725</v>
      </c>
      <c r="E3539" s="38" t="n">
        <f aca="false">Sens!$E$3517</f>
        <v>79.819</v>
      </c>
      <c r="F3539" s="38" t="n">
        <f aca="false">Sens!$F$3517</f>
        <v>86.7327334389669</v>
      </c>
      <c r="G3539" s="38" t="n">
        <f aca="false">Sens!$G$3517</f>
        <v>166.551733438967</v>
      </c>
      <c r="H3539" s="38" t="n">
        <f aca="false">Sens!$H$3517</f>
        <v>221.182967828978</v>
      </c>
      <c r="I3539" s="38" t="n">
        <f aca="false">Sens!$I$3517</f>
        <v>280.27345865789</v>
      </c>
      <c r="J3539" s="38" t="n">
        <f aca="false">Sens!$J$3517</f>
        <v>338.800945197185</v>
      </c>
      <c r="K3539" s="38" t="n">
        <f aca="false">Sens!$K$3517</f>
        <v>389.88570147276</v>
      </c>
      <c r="L3539" s="38" t="n">
        <f aca="false">Sens!$L$3517</f>
        <v>430.080689379143</v>
      </c>
      <c r="M3539" s="38" t="n">
        <f aca="false">Sens!$M$3517</f>
        <v>459.456235951751</v>
      </c>
      <c r="N3539" s="38" t="n">
        <f aca="false">Sens!$N$3517</f>
        <v>60.14</v>
      </c>
      <c r="O3539" s="38" t="n">
        <f aca="false">Sens!$O$3517</f>
        <v>68.585</v>
      </c>
    </row>
    <row r="3540" customFormat="false" ht="17.15" hidden="false" customHeight="false" outlineLevel="0" collapsed="false">
      <c r="A3540" s="0" t="s">
        <v>685</v>
      </c>
      <c r="B3540" s="0" t="s">
        <v>86</v>
      </c>
      <c r="C3540" s="38" t="n">
        <f aca="false">Sens!$C$3515</f>
        <v>2.32100535697364</v>
      </c>
      <c r="D3540" s="38" t="n">
        <f aca="false">Sens!$D$3515</f>
        <v>8.70377008865116</v>
      </c>
      <c r="E3540" s="38" t="n">
        <f aca="false">Sens!$E$3515</f>
        <v>8.51035297557002</v>
      </c>
      <c r="F3540" s="38" t="n">
        <f aca="false">Sens!$F$3515</f>
        <v>14.9634336447205</v>
      </c>
      <c r="G3540" s="38" t="n">
        <f aca="false">Sens!$G$3515</f>
        <v>23.4737866202905</v>
      </c>
      <c r="H3540" s="38" t="n">
        <f aca="false">Sens!$H$3515</f>
        <v>60.1658907497746</v>
      </c>
      <c r="I3540" s="38" t="n">
        <f aca="false">Sens!$I$3515</f>
        <v>101.503699136432</v>
      </c>
      <c r="J3540" s="38" t="n">
        <f aca="false">Sens!$J$3515</f>
        <v>143.025407151278</v>
      </c>
      <c r="K3540" s="38" t="n">
        <f aca="false">Sens!$K$3515</f>
        <v>178.44812038318</v>
      </c>
      <c r="L3540" s="38" t="n">
        <f aca="false">Sens!$L$3515</f>
        <v>201.728101802396</v>
      </c>
      <c r="M3540" s="38" t="n">
        <f aca="false">Sens!$M$3515</f>
        <v>212.835441368865</v>
      </c>
      <c r="N3540" s="38" t="n">
        <f aca="false">Sens!$N$3515</f>
        <v>3.04631953102791</v>
      </c>
      <c r="O3540" s="38" t="n">
        <f aca="false">Sens!$O$3515</f>
        <v>5.65745055762326</v>
      </c>
    </row>
    <row r="3541" customFormat="false" ht="17.15" hidden="false" customHeight="false" outlineLevel="0" collapsed="false">
      <c r="A3541" s="0" t="s">
        <v>687</v>
      </c>
      <c r="B3541" s="0" t="s">
        <v>86</v>
      </c>
      <c r="C3541" s="38" t="n">
        <f aca="false">Sens!$C$3516</f>
        <v>105.234994643026</v>
      </c>
      <c r="D3541" s="38" t="n">
        <f aca="false">Sens!$D$3516</f>
        <v>120.021229911349</v>
      </c>
      <c r="E3541" s="38" t="n">
        <f aca="false">Sens!$E$3516</f>
        <v>71.30864702443</v>
      </c>
      <c r="F3541" s="38" t="n">
        <f aca="false">Sens!$F$3516</f>
        <v>71.7692997942464</v>
      </c>
      <c r="G3541" s="38" t="n">
        <f aca="false">Sens!$G$3516</f>
        <v>143.077946818676</v>
      </c>
      <c r="H3541" s="38" t="n">
        <f aca="false">Sens!$H$3516</f>
        <v>161.017077079203</v>
      </c>
      <c r="I3541" s="38" t="n">
        <f aca="false">Sens!$I$3516</f>
        <v>178.769759521457</v>
      </c>
      <c r="J3541" s="38" t="n">
        <f aca="false">Sens!$J$3516</f>
        <v>195.775538045907</v>
      </c>
      <c r="K3541" s="38" t="n">
        <f aca="false">Sens!$K$3516</f>
        <v>211.43758108958</v>
      </c>
      <c r="L3541" s="38" t="n">
        <f aca="false">Sens!$L$3516</f>
        <v>228.352587576746</v>
      </c>
      <c r="M3541" s="38" t="n">
        <f aca="false">Sens!$M$3516</f>
        <v>246.620794582886</v>
      </c>
      <c r="N3541" s="38" t="n">
        <f aca="false">Sens!$N$3516</f>
        <v>57.0936804689721</v>
      </c>
      <c r="O3541" s="38" t="n">
        <f aca="false">Sens!$O$3516</f>
        <v>62.9275494423768</v>
      </c>
    </row>
    <row r="3542" customFormat="false" ht="15" hidden="false" customHeight="false" outlineLevel="0" collapsed="false">
      <c r="A3542" s="3" t="s">
        <v>514</v>
      </c>
      <c r="B3542" s="8" t="s">
        <v>86</v>
      </c>
      <c r="C3542" s="38" t="n">
        <f aca="false">Sens!$C$3518</f>
        <v>637.959</v>
      </c>
      <c r="D3542" s="38" t="n">
        <f aca="false">Sens!$D$3518</f>
        <v>716.924</v>
      </c>
      <c r="E3542" s="38" t="n">
        <f aca="false">Sens!$E$3518</f>
        <v>382.125</v>
      </c>
      <c r="F3542" s="38" t="n">
        <f aca="false">Sens!$F$3518</f>
        <v>435.780975084504</v>
      </c>
      <c r="G3542" s="38" t="n">
        <f aca="false">Sens!$G$3518</f>
        <v>817.905975084504</v>
      </c>
      <c r="H3542" s="38" t="n">
        <f aca="false">Sens!$H$3518</f>
        <v>942.279857350364</v>
      </c>
      <c r="I3542" s="38" t="n">
        <f aca="false">Sens!$I$3518</f>
        <v>1068.80284981042</v>
      </c>
      <c r="J3542" s="38" t="n">
        <f aca="false">Sens!$J$3518</f>
        <v>1189.90935093863</v>
      </c>
      <c r="K3542" s="38" t="n">
        <f aca="false">Sens!$K$3518</f>
        <v>1296.06215690385</v>
      </c>
      <c r="L3542" s="38" t="n">
        <f aca="false">Sens!$L$3518</f>
        <v>1395.17379585473</v>
      </c>
      <c r="M3542" s="38" t="n">
        <f aca="false">Sens!$M$3518</f>
        <v>1487.60414389864</v>
      </c>
      <c r="N3542" s="38" t="n">
        <f aca="false">Sens!$N$3518</f>
        <v>323.369</v>
      </c>
      <c r="O3542" s="38" t="n">
        <f aca="false">Sens!$O$3518</f>
        <v>393.555</v>
      </c>
    </row>
    <row r="3543" customFormat="false" ht="17.15" hidden="false" customHeight="false" outlineLevel="0" collapsed="false">
      <c r="A3543" s="24" t="s">
        <v>697</v>
      </c>
      <c r="B3543" s="25" t="s">
        <v>86</v>
      </c>
      <c r="C3543" s="41" t="n">
        <f aca="false">Sens!$C$3530+Sens!$C$3531+Sens!$C$3532+Sens!$C$3533+Sens!$C$3534+Sens!$C$3535-(Sens!$C$3537+Sens!$C$3538)</f>
        <v>0</v>
      </c>
      <c r="D3543" s="41" t="n">
        <f aca="false">Sens!$D$3530+Sens!$D$3531+Sens!$D$3532+Sens!$D$3533+Sens!$D$3534+Sens!$D$3535-(Sens!$D$3537+Sens!$D$3538)</f>
        <v>0</v>
      </c>
      <c r="E3543" s="41" t="n">
        <f aca="false">Sens!$E$3530+Sens!$E$3531+Sens!$E$3532+Sens!$E$3533+Sens!$E$3534+Sens!$E$3535-(Sens!$E$3537+Sens!$E$3538)</f>
        <v>0</v>
      </c>
      <c r="F3543" s="41" t="n">
        <f aca="false">Sens!$F$3530+Sens!$F$3531+Sens!$F$3532+Sens!$F$3533+Sens!$F$3534+Sens!$F$3535-(Sens!$F$3537+Sens!$F$3538)</f>
        <v>0</v>
      </c>
      <c r="G3543" s="41" t="n">
        <f aca="false">Sens!$G$3530+Sens!$G$3531+Sens!$G$3532+Sens!$G$3533+Sens!$G$3534+Sens!$G$3535-(Sens!$G$3537+Sens!$G$3538)</f>
        <v>0</v>
      </c>
      <c r="H3543" s="41" t="n">
        <f aca="false">Sens!$H$3530+Sens!$H$3531+Sens!$H$3532+Sens!$H$3533+Sens!$H$3534+Sens!$H$3535-(Sens!$H$3537+Sens!$H$3538)</f>
        <v>0</v>
      </c>
      <c r="I3543" s="41" t="n">
        <f aca="false">Sens!$I$3530+Sens!$I$3531+Sens!$I$3532+Sens!$I$3533+Sens!$I$3534+Sens!$I$3535-(Sens!$I$3537+Sens!$I$3538)</f>
        <v>0</v>
      </c>
      <c r="J3543" s="41" t="n">
        <f aca="false">Sens!$J$3530+Sens!$J$3531+Sens!$J$3532+Sens!$J$3533+Sens!$J$3534+Sens!$J$3535-(Sens!$J$3537+Sens!$J$3538)</f>
        <v>0</v>
      </c>
      <c r="K3543" s="41" t="n">
        <f aca="false">Sens!$K$3530+Sens!$K$3531+Sens!$K$3532+Sens!$K$3533+Sens!$K$3534+Sens!$K$3535-(Sens!$K$3537+Sens!$K$3538)</f>
        <v>0</v>
      </c>
      <c r="L3543" s="41" t="n">
        <f aca="false">Sens!$L$3530+Sens!$L$3531+Sens!$L$3532+Sens!$L$3533+Sens!$L$3534+Sens!$L$3535-(Sens!$L$3537+Sens!$L$3538)</f>
        <v>0</v>
      </c>
      <c r="M3543" s="41" t="n">
        <f aca="false">Sens!$M$3530+Sens!$M$3531+Sens!$M$3532+Sens!$M$3533+Sens!$M$3534+Sens!$M$3535-(Sens!$M$3537+Sens!$M$3538)</f>
        <v>0</v>
      </c>
      <c r="N3543" s="41" t="n">
        <f aca="false">Sens!$N$3530+Sens!$N$3531+Sens!$N$3532+Sens!$N$3533+Sens!$N$3534+Sens!$N$3535-(Sens!$N$3537+Sens!$N$3538)</f>
        <v>0</v>
      </c>
      <c r="O3543" s="41" t="n">
        <f aca="false">Sens!$O$3530+Sens!$O$3531+Sens!$O$3532+Sens!$O$3533+Sens!$O$3534+Sens!$O$3535-(Sens!$O$3537+Sens!$O$3538)</f>
        <v>0</v>
      </c>
    </row>
    <row r="3544" customFormat="false" ht="17.15" hidden="false" customHeight="false" outlineLevel="0" collapsed="false">
      <c r="A3544" s="24" t="s">
        <v>698</v>
      </c>
      <c r="B3544" s="25" t="s">
        <v>86</v>
      </c>
      <c r="C3544" s="41" t="n">
        <f aca="false">Sens!$C$3540+Sens!$C$3541-Sens!$C$3539</f>
        <v>0</v>
      </c>
      <c r="D3544" s="41" t="n">
        <f aca="false">Sens!$D$3540+Sens!$D$3541-Sens!$D$3539</f>
        <v>0</v>
      </c>
      <c r="E3544" s="41" t="n">
        <f aca="false">Sens!$E$3540+Sens!$E$3541-Sens!$E$3539</f>
        <v>0</v>
      </c>
      <c r="F3544" s="41" t="n">
        <f aca="false">Sens!$F$3540+Sens!$F$3541-Sens!$F$3539</f>
        <v>0</v>
      </c>
      <c r="G3544" s="41" t="n">
        <f aca="false">Sens!$G$3540+Sens!$G$3541-Sens!$G$3539</f>
        <v>0</v>
      </c>
      <c r="H3544" s="41" t="n">
        <f aca="false">Sens!$H$3540+Sens!$H$3541-Sens!$H$3539</f>
        <v>0</v>
      </c>
      <c r="I3544" s="41" t="n">
        <f aca="false">Sens!$I$3540+Sens!$I$3541-Sens!$I$3539</f>
        <v>0</v>
      </c>
      <c r="J3544" s="41" t="n">
        <f aca="false">Sens!$J$3540+Sens!$J$3541-Sens!$J$3539</f>
        <v>0</v>
      </c>
      <c r="K3544" s="41" t="n">
        <f aca="false">Sens!$K$3540+Sens!$K$3541-Sens!$K$3539</f>
        <v>0</v>
      </c>
      <c r="L3544" s="41" t="n">
        <f aca="false">Sens!$L$3540+Sens!$L$3541-Sens!$L$3539</f>
        <v>0</v>
      </c>
      <c r="M3544" s="41" t="n">
        <f aca="false">Sens!$M$3540+Sens!$M$3541-Sens!$M$3539</f>
        <v>0</v>
      </c>
      <c r="N3544" s="41" t="n">
        <f aca="false">Sens!$N$3540+Sens!$N$3541-Sens!$N$3539</f>
        <v>0</v>
      </c>
      <c r="O3544" s="41" t="n">
        <f aca="false">Sens!$O$3540+Sens!$O$3541-Sens!$O$3539</f>
        <v>0</v>
      </c>
    </row>
    <row r="3545" customFormat="false" ht="17.15" hidden="false" customHeight="false" outlineLevel="0" collapsed="false">
      <c r="A3545" s="24" t="s">
        <v>757</v>
      </c>
      <c r="B3545" s="25" t="s">
        <v>86</v>
      </c>
      <c r="C3545" s="41" t="n">
        <f aca="false">Sens!$C$3530+Sens!$C$3531+Sens!$C$3532+Sens!$C$3533+Sens!$C$3534+Sens!$C$3535+Sens!$C$3536-Sens!$C$3542</f>
        <v>0</v>
      </c>
      <c r="D3545" s="41" t="n">
        <f aca="false">Sens!$D$3530+Sens!$D$3531+Sens!$D$3532+Sens!$D$3533+Sens!$D$3534+Sens!$D$3535+Sens!$D$3536-Sens!$D$3542</f>
        <v>0</v>
      </c>
      <c r="E3545" s="41" t="n">
        <f aca="false">Sens!$E$3530+Sens!$E$3531+Sens!$E$3532+Sens!$E$3533+Sens!$E$3534+Sens!$E$3535+Sens!$E$3536-Sens!$E$3542</f>
        <v>0</v>
      </c>
      <c r="F3545" s="41" t="n">
        <f aca="false">Sens!$F$3530+Sens!$F$3531+Sens!$F$3532+Sens!$F$3533+Sens!$F$3534+Sens!$F$3535+Sens!$F$3536-Sens!$F$3542</f>
        <v>0</v>
      </c>
      <c r="G3545" s="41" t="n">
        <f aca="false">Sens!$G$3530+Sens!$G$3531+Sens!$G$3532+Sens!$G$3533+Sens!$G$3534+Sens!$G$3535+Sens!$G$3536-Sens!$G$3542</f>
        <v>0</v>
      </c>
      <c r="H3545" s="41" t="n">
        <f aca="false">Sens!$H$3530+Sens!$H$3531+Sens!$H$3532+Sens!$H$3533+Sens!$H$3534+Sens!$H$3535+Sens!$H$3536-Sens!$H$3542</f>
        <v>0</v>
      </c>
      <c r="I3545" s="41" t="n">
        <f aca="false">Sens!$I$3530+Sens!$I$3531+Sens!$I$3532+Sens!$I$3533+Sens!$I$3534+Sens!$I$3535+Sens!$I$3536-Sens!$I$3542</f>
        <v>0</v>
      </c>
      <c r="J3545" s="41" t="n">
        <f aca="false">Sens!$J$3530+Sens!$J$3531+Sens!$J$3532+Sens!$J$3533+Sens!$J$3534+Sens!$J$3535+Sens!$J$3536-Sens!$J$3542</f>
        <v>0</v>
      </c>
      <c r="K3545" s="41" t="n">
        <f aca="false">Sens!$K$3530+Sens!$K$3531+Sens!$K$3532+Sens!$K$3533+Sens!$K$3534+Sens!$K$3535+Sens!$K$3536-Sens!$K$3542</f>
        <v>0</v>
      </c>
      <c r="L3545" s="41" t="n">
        <f aca="false">Sens!$L$3530+Sens!$L$3531+Sens!$L$3532+Sens!$L$3533+Sens!$L$3534+Sens!$L$3535+Sens!$L$3536-Sens!$L$3542</f>
        <v>0</v>
      </c>
      <c r="M3545" s="41" t="n">
        <f aca="false">Sens!$M$3530+Sens!$M$3531+Sens!$M$3532+Sens!$M$3533+Sens!$M$3534+Sens!$M$3535+Sens!$M$3536-Sens!$M$3542</f>
        <v>0</v>
      </c>
      <c r="N3545" s="41" t="n">
        <f aca="false">Sens!$N$3530+Sens!$N$3531+Sens!$N$3532+Sens!$N$3533+Sens!$N$3534+Sens!$N$3535+Sens!$N$3536-Sens!$N$3542</f>
        <v>0</v>
      </c>
      <c r="O3545" s="41" t="n">
        <f aca="false">Sens!$O$3530+Sens!$O$3531+Sens!$O$3532+Sens!$O$3533+Sens!$O$3534+Sens!$O$3535+Sens!$O$3536-Sens!$O$3542</f>
        <v>0</v>
      </c>
    </row>
    <row r="3546" customFormat="false" ht="17.15" hidden="false" customHeight="false" outlineLevel="0" collapsed="false">
      <c r="A3546" s="24" t="s">
        <v>699</v>
      </c>
      <c r="B3546" s="25" t="s">
        <v>86</v>
      </c>
      <c r="C3546" s="41" t="n">
        <f aca="false">Sens!$C$3537+Sens!$C$3538+Sens!$C$3539-Sens!$C$3542</f>
        <v>0</v>
      </c>
      <c r="D3546" s="41" t="n">
        <f aca="false">Sens!$D$3537+Sens!$D$3538+Sens!$D$3539-Sens!$D$3542</f>
        <v>0</v>
      </c>
      <c r="E3546" s="41" t="n">
        <f aca="false">Sens!$E$3537+Sens!$E$3538+Sens!$E$3539-Sens!$E$3542</f>
        <v>0</v>
      </c>
      <c r="F3546" s="41" t="n">
        <f aca="false">Sens!$F$3537+Sens!$F$3538+Sens!$F$3539-Sens!$F$3542</f>
        <v>0</v>
      </c>
      <c r="G3546" s="41" t="n">
        <f aca="false">Sens!$G$3537+Sens!$G$3538+Sens!$G$3539-Sens!$G$3542</f>
        <v>0</v>
      </c>
      <c r="H3546" s="41" t="n">
        <f aca="false">Sens!$H$3537+Sens!$H$3538+Sens!$H$3539-Sens!$H$3542</f>
        <v>0</v>
      </c>
      <c r="I3546" s="41" t="n">
        <f aca="false">Sens!$I$3537+Sens!$I$3538+Sens!$I$3539-Sens!$I$3542</f>
        <v>0</v>
      </c>
      <c r="J3546" s="41" t="n">
        <f aca="false">Sens!$J$3537+Sens!$J$3538+Sens!$J$3539-Sens!$J$3542</f>
        <v>0</v>
      </c>
      <c r="K3546" s="41" t="n">
        <f aca="false">Sens!$K$3537+Sens!$K$3538+Sens!$K$3539-Sens!$K$3542</f>
        <v>0</v>
      </c>
      <c r="L3546" s="41" t="n">
        <f aca="false">Sens!$L$3537+Sens!$L$3538+Sens!$L$3539-Sens!$L$3542</f>
        <v>0</v>
      </c>
      <c r="M3546" s="41" t="n">
        <f aca="false">Sens!$M$3537+Sens!$M$3538+Sens!$M$3539-Sens!$M$3542</f>
        <v>0</v>
      </c>
      <c r="N3546" s="41" t="n">
        <f aca="false">Sens!$N$3537+Sens!$N$3538+Sens!$N$3539-Sens!$N$3542</f>
        <v>0</v>
      </c>
      <c r="O3546" s="41" t="n">
        <f aca="false">Sens!$O$3537+Sens!$O$3538+Sens!$O$3539-Sens!$O$3542</f>
        <v>0</v>
      </c>
    </row>
    <row r="3547" customFormat="false" ht="17.15" hidden="false" customHeight="false" outlineLevel="0" collapsed="false">
      <c r="A3547" s="1" t="s">
        <v>713</v>
      </c>
    </row>
    <row r="3548" customFormat="false" ht="17.15" hidden="false" customHeight="false" outlineLevel="0" collapsed="false">
      <c r="A3548" s="0" t="s">
        <v>714</v>
      </c>
      <c r="B3548" s="0" t="s">
        <v>86</v>
      </c>
      <c r="C3548" s="38" t="n">
        <f aca="false">Sens!$C$3454*m_ad_lo</f>
        <v>16.4273251531383</v>
      </c>
      <c r="D3548" s="38" t="n">
        <f aca="false">Sens!$D$3454*m_ad_lo</f>
        <v>19.897649383967</v>
      </c>
      <c r="E3548" s="38" t="n">
        <f aca="false">Sens!$E$3454*m_ad_lo</f>
        <v>10.8013689969766</v>
      </c>
      <c r="F3548" s="38" t="n">
        <f aca="false">Sens!$F$3454*m_ad_lo</f>
        <v>13.2575779332205</v>
      </c>
      <c r="G3548" s="38" t="n">
        <f aca="false">Sens!$G$3454*m_ad_lo</f>
        <v>24.0656735376332</v>
      </c>
      <c r="H3548" s="38" t="n">
        <f aca="false">Sens!$H$3454*m_ad_lo</f>
        <v>28.8920706621051</v>
      </c>
      <c r="I3548" s="38" t="n">
        <f aca="false">Sens!$I$3454*m_ad_lo</f>
        <v>33.7180305785597</v>
      </c>
      <c r="J3548" s="38" t="n">
        <f aca="false">Sens!$J$3454*m_ad_lo</f>
        <v>38.2199619091755</v>
      </c>
      <c r="K3548" s="38" t="n">
        <f aca="false">Sens!$K$3454*m_ad_lo</f>
        <v>42.041958100093</v>
      </c>
      <c r="L3548" s="38" t="n">
        <f aca="false">Sens!$L$3454*m_ad_lo</f>
        <v>46.2461539101023</v>
      </c>
      <c r="M3548" s="38" t="n">
        <f aca="false">Sens!$M$3454*m_ad_lo</f>
        <v>50.8707693011125</v>
      </c>
      <c r="N3548" s="38" t="n">
        <f aca="false">Sens!$N$3454*m_ad_lo</f>
        <v>8.68348445649986</v>
      </c>
      <c r="O3548" s="38" t="n">
        <f aca="false">Sens!$O$3454*m_ad_lo</f>
        <v>11.2075785457119</v>
      </c>
    </row>
    <row r="3549" customFormat="false" ht="17.15" hidden="false" customHeight="false" outlineLevel="0" collapsed="false">
      <c r="A3549" s="0" t="s">
        <v>715</v>
      </c>
      <c r="B3549" s="0" t="s">
        <v>86</v>
      </c>
      <c r="C3549" s="38" t="n">
        <f aca="false">Sens!$C$3452-Sens!$C$3454</f>
        <v>346.428687117154</v>
      </c>
      <c r="D3549" s="38" t="n">
        <f aca="false">Sens!$D$3452-Sens!$D$3454</f>
        <v>376.560876540083</v>
      </c>
      <c r="E3549" s="38" t="n">
        <f aca="false">Sens!$E$3452-Sens!$E$3454</f>
        <v>193.316577507559</v>
      </c>
      <c r="F3549" s="38" t="n">
        <f aca="false">Sens!$F$3452-Sens!$F$3454</f>
        <v>217.495828647535</v>
      </c>
      <c r="G3549" s="38" t="n">
        <f aca="false">Sens!$G$3452-Sens!$G$3454</f>
        <v>410.795589636503</v>
      </c>
      <c r="H3549" s="38" t="n">
        <f aca="false">Sens!$H$3452-Sens!$H$3454</f>
        <v>449.156813761174</v>
      </c>
      <c r="I3549" s="38" t="n">
        <f aca="false">Sens!$I$3452-Sens!$I$3454</f>
        <v>485.848786441156</v>
      </c>
      <c r="J3549" s="38" t="n">
        <f aca="false">Sens!$J$3452-Sens!$J$3454</f>
        <v>519.841531018994</v>
      </c>
      <c r="K3549" s="38" t="n">
        <f aca="false">Sens!$K$3452-Sens!$K$3454</f>
        <v>550.103332311311</v>
      </c>
      <c r="L3549" s="38" t="n">
        <f aca="false">Sens!$L$3452-Sens!$L$3454</f>
        <v>582.192354474511</v>
      </c>
      <c r="M3549" s="38" t="n">
        <f aca="false">Sens!$M$3452-Sens!$M$3454</f>
        <v>616.22240521081</v>
      </c>
      <c r="N3549" s="38" t="n">
        <f aca="false">Sens!$N$3452-Sens!$N$3454</f>
        <v>171.24628885875</v>
      </c>
      <c r="O3549" s="38" t="n">
        <f aca="false">Sens!$O$3452-Sens!$O$3454</f>
        <v>205.33105363572</v>
      </c>
    </row>
    <row r="3550" customFormat="false" ht="17.15" hidden="false" customHeight="false" outlineLevel="0" collapsed="false">
      <c r="A3550" s="0" t="s">
        <v>716</v>
      </c>
      <c r="B3550" s="0" t="s">
        <v>86</v>
      </c>
      <c r="C3550" s="38" t="n">
        <f aca="false">Sens!$C$3501*Sens!$C$3451</f>
        <v>0.123617442257179</v>
      </c>
      <c r="D3550" s="38" t="n">
        <f aca="false">Sens!$D$3501*Sens!$D$3451</f>
        <v>0.874366899302609</v>
      </c>
      <c r="E3550" s="38" t="n">
        <f aca="false">Sens!$E$3501*Sens!$E$3451</f>
        <v>1.29318830502574</v>
      </c>
      <c r="F3550" s="38" t="n">
        <f aca="false">Sens!$F$3501*Sens!$F$3451</f>
        <v>1.51802024162534</v>
      </c>
      <c r="G3550" s="38" t="n">
        <f aca="false">Sens!$G$3501*Sens!$G$3451</f>
        <v>2.81153363597665</v>
      </c>
      <c r="H3550" s="38" t="n">
        <f aca="false">Sens!$H$3501*Sens!$H$3451</f>
        <v>7.39027704264226</v>
      </c>
      <c r="I3550" s="38" t="n">
        <f aca="false">Sens!$I$3501*Sens!$I$3451</f>
        <v>12.899807643047</v>
      </c>
      <c r="J3550" s="38" t="n">
        <f aca="false">Sens!$J$3501*Sens!$J$3451</f>
        <v>18.5585322471382</v>
      </c>
      <c r="K3550" s="38" t="n">
        <f aca="false">Sens!$K$3501*Sens!$K$3451</f>
        <v>24.0966749520672</v>
      </c>
      <c r="L3550" s="38" t="n">
        <f aca="false">Sens!$L$3501*Sens!$L$3451</f>
        <v>27.686623551477</v>
      </c>
      <c r="M3550" s="38" t="n">
        <f aca="false">Sens!$M$3501*Sens!$M$3451</f>
        <v>29.7238645537022</v>
      </c>
      <c r="N3550" s="38" t="n">
        <f aca="false">Sens!$N$3501*Sens!$N$3451</f>
        <v>0.389180508437431</v>
      </c>
      <c r="O3550" s="38" t="n">
        <f aca="false">Sens!$O$3501*Sens!$O$3451</f>
        <v>0.485052120082802</v>
      </c>
    </row>
    <row r="3551" customFormat="false" ht="17.15" hidden="false" customHeight="false" outlineLevel="0" collapsed="false">
      <c r="A3551" s="0" t="s">
        <v>717</v>
      </c>
      <c r="B3551" s="0" t="s">
        <v>52</v>
      </c>
      <c r="C3551" s="28" t="n">
        <f aca="false">(Sens!$C$3552-Sens!$C$3548+Sens!$C$3550)/Sens!$C$3549</f>
        <v>0.0250074333081693</v>
      </c>
      <c r="D3551" s="28" t="n">
        <f aca="false">(Sens!$D$3552-Sens!$D$3548+Sens!$D$3550)/Sens!$D$3549</f>
        <v>0.0281381263308372</v>
      </c>
      <c r="E3551" s="28" t="n">
        <f aca="false">(Sens!$E$3552-Sens!$E$3548+Sens!$E$3550)/Sens!$E$3549</f>
        <v>0.0407715644962781</v>
      </c>
      <c r="F3551" s="28" t="n">
        <f aca="false">Sens!$O$3551+(Sens!$E$3551-Sens!$N$3551)</f>
        <v>0.0381752807139062</v>
      </c>
      <c r="G3551" s="28" t="n">
        <f aca="false">(Sens!$G$3552-Sens!$G$3548+Sens!$G$3550)/Sens!$G$3549</f>
        <v>0.039383047215715</v>
      </c>
      <c r="H3551" s="28" t="n">
        <f aca="false">Sens!$G$3551+step_na</f>
        <v>0.042383047215715</v>
      </c>
      <c r="I3551" s="28" t="n">
        <f aca="false">Sens!$H$3551+step_na</f>
        <v>0.045383047215715</v>
      </c>
      <c r="J3551" s="28" t="n">
        <f aca="false">Sens!$I$3551+step_na</f>
        <v>0.0483830472157151</v>
      </c>
      <c r="K3551" s="28" t="n">
        <f aca="false">Sens!$J$3551+step_na</f>
        <v>0.0513830472157151</v>
      </c>
      <c r="L3551" s="28" t="n">
        <f aca="false">Sens!$K$3551</f>
        <v>0.0513830472157151</v>
      </c>
      <c r="M3551" s="28" t="n">
        <f aca="false">Sens!$L$3551</f>
        <v>0.0513830472157151</v>
      </c>
      <c r="N3551" s="28" t="n">
        <f aca="false">(Sens!$N$3552-Sens!$N$3548+Sens!$N$3550)/Sens!$N$3549</f>
        <v>0.0295696688417831</v>
      </c>
      <c r="O3551" s="28" t="n">
        <f aca="false">(Sens!$O$3552-Sens!$O$3548+Sens!$O$3550)/Sens!$O$3549</f>
        <v>0.0269733850594112</v>
      </c>
      <c r="P3551" s="8" t="s">
        <v>718</v>
      </c>
    </row>
    <row r="3552" customFormat="false" ht="17.15" hidden="false" customHeight="false" outlineLevel="0" collapsed="false">
      <c r="A3552" s="1" t="s">
        <v>719</v>
      </c>
      <c r="B3552" s="8" t="s">
        <v>86</v>
      </c>
      <c r="C3552" s="38" t="n">
        <f aca="false">Q!$D$22</f>
        <v>24.967</v>
      </c>
      <c r="D3552" s="38" t="n">
        <f aca="false">Q!$E$22</f>
        <v>29.619</v>
      </c>
      <c r="E3552" s="38" t="n">
        <f aca="false">Q!$P$22</f>
        <v>17.39</v>
      </c>
      <c r="F3552" s="38" t="n">
        <f aca="false">Sens!$F$3548+Sens!$F$3549*Sens!$F$3551-Sens!$F$3550</f>
        <v>20.0425220043185</v>
      </c>
      <c r="G3552" s="38" t="n">
        <f aca="false">Sens!$E$3552+Sens!$F$3552</f>
        <v>37.4325220043185</v>
      </c>
      <c r="H3552" s="38" t="n">
        <f aca="false">Sens!$H$3548+Sens!$H$3549*Sens!$H$3551-Sens!$H$3550</f>
        <v>40.5384280643629</v>
      </c>
      <c r="I3552" s="38" t="n">
        <f aca="false">Sens!$I$3548+Sens!$I$3549*Sens!$I$3551-Sens!$I$3550</f>
        <v>42.8675213502695</v>
      </c>
      <c r="J3552" s="38" t="n">
        <f aca="false">Sens!$J$3548+Sens!$J$3549*Sens!$J$3551-Sens!$J$3550</f>
        <v>44.8129470020189</v>
      </c>
      <c r="K3552" s="38" t="n">
        <f aca="false">Sens!$K$3548+Sens!$K$3549*Sens!$K$3551-Sens!$K$3550</f>
        <v>46.2112686457001</v>
      </c>
      <c r="L3552" s="38" t="n">
        <f aca="false">Sens!$L$3548+Sens!$L$3549*Sens!$L$3551-Sens!$L$3550</f>
        <v>48.4743475972174</v>
      </c>
      <c r="M3552" s="38" t="n">
        <f aca="false">Sens!$M$3548+Sens!$M$3549*Sens!$M$3551-Sens!$M$3550</f>
        <v>52.8102896897388</v>
      </c>
      <c r="N3552" s="38" t="n">
        <f aca="false">Q!$N$22</f>
        <v>13.358</v>
      </c>
      <c r="O3552" s="38" t="n">
        <f aca="false">Q!$O$22</f>
        <v>16.261</v>
      </c>
    </row>
    <row r="3553" customFormat="false" ht="17.15" hidden="false" customHeight="false" outlineLevel="0" collapsed="false">
      <c r="A3553" s="0" t="s">
        <v>720</v>
      </c>
      <c r="B3553" s="0" t="s">
        <v>86</v>
      </c>
      <c r="C3553" s="38" t="n">
        <f aca="false">Sens!$C$3455*m_ad_lo</f>
        <v>6.05827484686173</v>
      </c>
      <c r="D3553" s="38" t="n">
        <f aca="false">Sens!$D$3455*m_ad_lo</f>
        <v>7.55635061603301</v>
      </c>
      <c r="E3553" s="38" t="n">
        <f aca="false">Sens!$E$3455*m_ad_lo</f>
        <v>4.01943100302343</v>
      </c>
      <c r="F3553" s="38" t="n">
        <f aca="false">Sens!$F$3455*m_ad_lo</f>
        <v>5.20531086454539</v>
      </c>
      <c r="G3553" s="38" t="n">
        <f aca="false">Sens!$G$3455*m_ad_lo</f>
        <v>9.2180152601327</v>
      </c>
      <c r="H3553" s="38" t="n">
        <f aca="false">Sens!$H$3455*m_ad_lo</f>
        <v>11.0666982930539</v>
      </c>
      <c r="I3553" s="38" t="n">
        <f aca="false">Sens!$I$3455*m_ad_lo</f>
        <v>12.9152138596388</v>
      </c>
      <c r="J3553" s="38" t="n">
        <f aca="false">Sens!$J$3455*m_ad_lo</f>
        <v>14.6396148676053</v>
      </c>
      <c r="K3553" s="38" t="n">
        <f aca="false">Sens!$K$3455*m_ad_lo</f>
        <v>16.1035763543658</v>
      </c>
      <c r="L3553" s="38" t="n">
        <f aca="false">Sens!$L$3455*m_ad_lo</f>
        <v>17.7139339898024</v>
      </c>
      <c r="M3553" s="38" t="n">
        <f aca="false">Sens!$M$3455*m_ad_lo</f>
        <v>19.4853273887826</v>
      </c>
      <c r="N3553" s="38" t="n">
        <f aca="false">Sens!$N$3455*m_ad_lo</f>
        <v>3.16251554350015</v>
      </c>
      <c r="O3553" s="38" t="n">
        <f aca="false">Sens!$O$3455*m_ad_lo</f>
        <v>4.40042145428809</v>
      </c>
    </row>
    <row r="3554" customFormat="false" ht="17.15" hidden="false" customHeight="false" outlineLevel="0" collapsed="false">
      <c r="A3554" s="0" t="s">
        <v>721</v>
      </c>
      <c r="B3554" s="0" t="s">
        <v>86</v>
      </c>
      <c r="C3554" s="38" t="n">
        <f aca="false">Sens!$C$3453-Sens!$C$3455</f>
        <v>127.760312882846</v>
      </c>
      <c r="D3554" s="38" t="n">
        <f aca="false">Sens!$D$3453-Sens!$D$3455</f>
        <v>143.003123459917</v>
      </c>
      <c r="E3554" s="38" t="n">
        <f aca="false">Sens!$E$3453-Sens!$E$3455</f>
        <v>71.9374224924414</v>
      </c>
      <c r="F3554" s="38" t="n">
        <f aca="false">Sens!$F$3453-Sens!$F$3455</f>
        <v>85.3951910035875</v>
      </c>
      <c r="G3554" s="38" t="n">
        <f aca="false">Sens!$G$3453-Sens!$G$3455</f>
        <v>157.349430014619</v>
      </c>
      <c r="H3554" s="38" t="n">
        <f aca="false">Sens!$H$3453-Sens!$H$3455</f>
        <v>172.043153372315</v>
      </c>
      <c r="I3554" s="38" t="n">
        <f aca="false">Sens!$I$3453-Sens!$I$3455</f>
        <v>186.097493615879</v>
      </c>
      <c r="J3554" s="38" t="n">
        <f aca="false">Sens!$J$3453-Sens!$J$3455</f>
        <v>199.117932780497</v>
      </c>
      <c r="K3554" s="38" t="n">
        <f aca="false">Sens!$K$3453-Sens!$K$3455</f>
        <v>210.70928698363</v>
      </c>
      <c r="L3554" s="38" t="n">
        <f aca="false">Sens!$L$3453-Sens!$L$3455</f>
        <v>223.000532251316</v>
      </c>
      <c r="M3554" s="38" t="n">
        <f aca="false">Sens!$M$3453-Sens!$M$3455</f>
        <v>236.035261011339</v>
      </c>
      <c r="N3554" s="38" t="n">
        <f aca="false">Sens!$N$3453-Sens!$N$3455</f>
        <v>62.3677111412496</v>
      </c>
      <c r="O3554" s="38" t="n">
        <f aca="false">Sens!$O$3453-Sens!$O$3455</f>
        <v>80.6189463642798</v>
      </c>
    </row>
    <row r="3555" customFormat="false" ht="17.15" hidden="false" customHeight="false" outlineLevel="0" collapsed="false">
      <c r="A3555" s="0" t="s">
        <v>722</v>
      </c>
      <c r="B3555" s="0" t="s">
        <v>86</v>
      </c>
      <c r="C3555" s="38" t="n">
        <f aca="false">Sens!$C$3501*(1-Sens!$C$3451)</f>
        <v>0.0455891896019953</v>
      </c>
      <c r="D3555" s="38" t="n">
        <f aca="false">Sens!$D$3501*(1-Sens!$D$3451)</f>
        <v>0.332050421167231</v>
      </c>
      <c r="E3555" s="38" t="n">
        <f aca="false">Sens!$E$3501*(1-Sens!$E$3451)</f>
        <v>0.481224293644882</v>
      </c>
      <c r="F3555" s="38" t="n">
        <f aca="false">Sens!$F$3501*(1-Sens!$F$3451)</f>
        <v>0.596018918096053</v>
      </c>
      <c r="G3555" s="38" t="n">
        <f aca="false">Sens!$G$3501*(1-Sens!$G$3451)</f>
        <v>1.07691812241537</v>
      </c>
      <c r="H3555" s="38" t="n">
        <f aca="false">Sens!$H$3501*(1-Sens!$H$3451)</f>
        <v>2.83074090775622</v>
      </c>
      <c r="I3555" s="38" t="n">
        <f aca="false">Sens!$I$3501*(1-Sens!$I$3451)</f>
        <v>4.94108853926048</v>
      </c>
      <c r="J3555" s="38" t="n">
        <f aca="false">Sens!$J$3501*(1-Sens!$J$3451)</f>
        <v>7.10858281993502</v>
      </c>
      <c r="K3555" s="38" t="n">
        <f aca="false">Sens!$K$3501*(1-Sens!$K$3451)</f>
        <v>9.2298899126701</v>
      </c>
      <c r="L3555" s="38" t="n">
        <f aca="false">Sens!$L$3501*(1-Sens!$L$3451)</f>
        <v>10.6049688574045</v>
      </c>
      <c r="M3555" s="38" t="n">
        <f aca="false">Sens!$M$3501*(1-Sens!$M$3451)</f>
        <v>11.3853051574758</v>
      </c>
      <c r="N3555" s="38" t="n">
        <f aca="false">Sens!$N$3501*(1-Sens!$N$3451)</f>
        <v>0.141739115596548</v>
      </c>
      <c r="O3555" s="38" t="n">
        <f aca="false">Sens!$O$3501*(1-Sens!$O$3451)</f>
        <v>0.190445576353059</v>
      </c>
    </row>
    <row r="3556" customFormat="false" ht="17.15" hidden="false" customHeight="false" outlineLevel="0" collapsed="false">
      <c r="A3556" s="0" t="s">
        <v>723</v>
      </c>
      <c r="B3556" s="0" t="s">
        <v>52</v>
      </c>
      <c r="C3556" s="28" t="n">
        <f aca="false">(Sens!$C$3557-Sens!$C$3553+Sens!$C$3555)/Sens!$C$3554</f>
        <v>-0.0173816548124461</v>
      </c>
      <c r="D3556" s="28" t="n">
        <f aca="false">(Sens!$D$3557-Sens!$D$3553+Sens!$D$3555)/Sens!$D$3554</f>
        <v>-0.0173024206394996</v>
      </c>
      <c r="E3556" s="28" t="n">
        <f aca="false">(Sens!$E$3557-Sens!$E$3553+Sens!$E$3555)/Sens!$E$3554</f>
        <v>-0.00552155881620974</v>
      </c>
      <c r="F3556" s="28" t="n">
        <f aca="false">Sens!$O$3556+(Sens!$E$3556-Sens!$N$3556)</f>
        <v>-0.0217958833820126</v>
      </c>
      <c r="G3556" s="28" t="n">
        <f aca="false">(Sens!$G$3557-Sens!$G$3553+Sens!$G$3555)/Sens!$G$3554</f>
        <v>-0.0143125324035661</v>
      </c>
      <c r="H3556" s="28" t="n">
        <f aca="false">Sens!$G$3556+step_in</f>
        <v>-0.0143125324035661</v>
      </c>
      <c r="I3556" s="28" t="n">
        <f aca="false">Sens!$H$3556+step_in</f>
        <v>-0.0143125324035661</v>
      </c>
      <c r="J3556" s="28" t="n">
        <f aca="false">Sens!$I$3556+step_in</f>
        <v>-0.0143125324035661</v>
      </c>
      <c r="K3556" s="28" t="n">
        <f aca="false">Sens!$J$3556+step_in</f>
        <v>-0.0143125324035661</v>
      </c>
      <c r="L3556" s="28" t="n">
        <f aca="false">Sens!$K$3556</f>
        <v>-0.0143125324035661</v>
      </c>
      <c r="M3556" s="28" t="n">
        <f aca="false">Sens!$L$3556</f>
        <v>-0.0143125324035661</v>
      </c>
      <c r="N3556" s="28" t="n">
        <f aca="false">(Sens!$N$3557-Sens!$N$3553+Sens!$N$3555)/Sens!$N$3554</f>
        <v>-0.0081737235273724</v>
      </c>
      <c r="O3556" s="28" t="n">
        <f aca="false">(Sens!$O$3557-Sens!$O$3553+Sens!$O$3555)/Sens!$O$3554</f>
        <v>-0.0244480480931753</v>
      </c>
      <c r="P3556" s="8" t="s">
        <v>718</v>
      </c>
    </row>
    <row r="3557" customFormat="false" ht="17.15" hidden="false" customHeight="false" outlineLevel="0" collapsed="false">
      <c r="A3557" s="1" t="s">
        <v>724</v>
      </c>
      <c r="B3557" s="8" t="s">
        <v>86</v>
      </c>
      <c r="C3557" s="38" t="n">
        <f aca="false">Q!$D$23</f>
        <v>3.792</v>
      </c>
      <c r="D3557" s="38" t="n">
        <f aca="false">Q!$E$23</f>
        <v>4.75</v>
      </c>
      <c r="E3557" s="38" t="n">
        <f aca="false">Q!$P$23</f>
        <v>3.141</v>
      </c>
      <c r="F3557" s="38" t="n">
        <f aca="false">Sens!$F$3553+Sens!$F$3554*Sens!$F$3556-Sens!$F$3555</f>
        <v>2.74802832195044</v>
      </c>
      <c r="G3557" s="38" t="n">
        <f aca="false">Sens!$E$3557+Sens!$F$3557</f>
        <v>5.88902832195045</v>
      </c>
      <c r="H3557" s="38" t="n">
        <f aca="false">Sens!$H$3553+Sens!$H$3554*Sens!$H$3556-Sens!$H$3555</f>
        <v>5.77358417784473</v>
      </c>
      <c r="I3557" s="38" t="n">
        <f aca="false">Sens!$I$3553+Sens!$I$3554*Sens!$I$3556-Sens!$I$3555</f>
        <v>5.31059891277865</v>
      </c>
      <c r="J3557" s="38" t="n">
        <f aca="false">Sens!$J$3553+Sens!$J$3554*Sens!$J$3556-Sens!$J$3555</f>
        <v>4.68115018261829</v>
      </c>
      <c r="K3557" s="38" t="n">
        <f aca="false">Sens!$K$3553+Sens!$K$3554*Sens!$K$3556-Sens!$K$3555</f>
        <v>3.85790294401019</v>
      </c>
      <c r="L3557" s="38" t="n">
        <f aca="false">Sens!$L$3553+Sens!$L$3554*Sens!$L$3556-Sens!$L$3555</f>
        <v>3.9172627885384</v>
      </c>
      <c r="M3557" s="38" t="n">
        <f aca="false">Sens!$M$3553+Sens!$M$3554*Sens!$M$3556-Sens!$M$3555</f>
        <v>4.72175990969783</v>
      </c>
      <c r="N3557" s="38" t="n">
        <f aca="false">Q!$N$23</f>
        <v>2.511</v>
      </c>
      <c r="O3557" s="38" t="n">
        <f aca="false">Q!$O$23</f>
        <v>2.239</v>
      </c>
    </row>
    <row r="3558" customFormat="false" ht="17.15" hidden="false" customHeight="false" outlineLevel="0" collapsed="false">
      <c r="A3558" s="0" t="s">
        <v>725</v>
      </c>
      <c r="B3558" s="0" t="s">
        <v>86</v>
      </c>
      <c r="C3558" s="38" t="n">
        <f aca="false">Sens!$C$3498</f>
        <v>1.64417882953695</v>
      </c>
      <c r="D3558" s="38" t="n">
        <f aca="false">Sens!$D$3498</f>
        <v>3.8781008067718</v>
      </c>
      <c r="E3558" s="38" t="n">
        <f aca="false">Sens!$E$3498</f>
        <v>1.41270258088753</v>
      </c>
      <c r="F3558" s="38" t="n">
        <f aca="false">Sens!$F$3498</f>
        <v>6.50727700583486</v>
      </c>
      <c r="G3558" s="38" t="n">
        <f aca="false">Sens!$G$3498</f>
        <v>7.9199795867224</v>
      </c>
      <c r="H3558" s="38" t="n">
        <f aca="false">Sens!$H$3498</f>
        <v>19.2818189481807</v>
      </c>
      <c r="I3558" s="38" t="n">
        <f aca="false">Sens!$I$3498</f>
        <v>30.140114407202</v>
      </c>
      <c r="J3558" s="38" t="n">
        <f aca="false">Sens!$J$3498</f>
        <v>40.3569468829854</v>
      </c>
      <c r="K3558" s="38" t="n">
        <f aca="false">Sens!$K$3498</f>
        <v>45.1418609242305</v>
      </c>
      <c r="L3558" s="38" t="n">
        <f aca="false">Sens!$L$3498</f>
        <v>48.5617321668703</v>
      </c>
      <c r="M3558" s="38" t="n">
        <f aca="false">Sens!$M$3498</f>
        <v>48.3987625241529</v>
      </c>
      <c r="N3558" s="38" t="n">
        <f aca="false">Sens!$N$3498</f>
        <v>0.92264103489199</v>
      </c>
      <c r="O3558" s="38" t="n">
        <f aca="false">Sens!$O$3498</f>
        <v>2.95545977187981</v>
      </c>
    </row>
    <row r="3559" customFormat="false" ht="17.15" hidden="false" customHeight="false" outlineLevel="0" collapsed="false">
      <c r="A3559" s="0" t="s">
        <v>643</v>
      </c>
      <c r="B3559" s="0" t="s">
        <v>86</v>
      </c>
      <c r="C3559" s="38" t="n">
        <f aca="false">Sens!$C$3503</f>
        <v>38.1898211704631</v>
      </c>
      <c r="D3559" s="38" t="n">
        <f aca="false">Sens!$D$3503</f>
        <v>41.7278991932282</v>
      </c>
      <c r="E3559" s="38" t="n">
        <f aca="false">Sens!$E$3503</f>
        <v>29.3692974191125</v>
      </c>
      <c r="F3559" s="38" t="n">
        <f aca="false">Sens!$F$3503</f>
        <v>26.8997276714137</v>
      </c>
      <c r="G3559" s="38" t="n">
        <f aca="false">Sens!$G$3503</f>
        <v>56.2690250905262</v>
      </c>
      <c r="H3559" s="38" t="n">
        <f aca="false">Sens!$H$3503</f>
        <v>60.3505333937343</v>
      </c>
      <c r="I3559" s="38" t="n">
        <f aca="false">Sens!$I$3503</f>
        <v>67.0043857303571</v>
      </c>
      <c r="J3559" s="38" t="n">
        <f aca="false">Sens!$J$3503</f>
        <v>73.3782922956925</v>
      </c>
      <c r="K3559" s="38" t="n">
        <f aca="false">Sens!$K$3503</f>
        <v>79.2485556793479</v>
      </c>
      <c r="L3559" s="38" t="n">
        <f aca="false">Sens!$L$3503</f>
        <v>85.5884401336958</v>
      </c>
      <c r="M3559" s="38" t="n">
        <f aca="false">Sens!$M$3503</f>
        <v>92.4355153443914</v>
      </c>
      <c r="N3559" s="38" t="n">
        <f aca="false">Sens!$N$3503</f>
        <v>20.784358965108</v>
      </c>
      <c r="O3559" s="38" t="n">
        <f aca="false">Sens!$O$3503</f>
        <v>20.9435402281202</v>
      </c>
    </row>
    <row r="3560" customFormat="false" ht="17.15" hidden="false" customHeight="false" outlineLevel="0" collapsed="false">
      <c r="A3560" s="1" t="s">
        <v>726</v>
      </c>
      <c r="B3560" s="8" t="s">
        <v>86</v>
      </c>
      <c r="C3560" s="38" t="n">
        <f aca="false">Q!$D$24</f>
        <v>39.834</v>
      </c>
      <c r="D3560" s="38" t="n">
        <f aca="false">Q!$E$24</f>
        <v>45.606</v>
      </c>
      <c r="E3560" s="38" t="n">
        <f aca="false">Q!$P$24</f>
        <v>30.782</v>
      </c>
      <c r="F3560" s="38" t="n">
        <f aca="false">Sens!$F$3558+Sens!$F$3559</f>
        <v>33.4070046772486</v>
      </c>
      <c r="G3560" s="38" t="n">
        <f aca="false">Sens!$G$3558+Sens!$G$3559</f>
        <v>64.1890046772486</v>
      </c>
      <c r="H3560" s="38" t="n">
        <f aca="false">Sens!$H$3558+Sens!$H$3559</f>
        <v>79.6323523419149</v>
      </c>
      <c r="I3560" s="38" t="n">
        <f aca="false">Sens!$I$3558+Sens!$I$3559</f>
        <v>97.1445001375591</v>
      </c>
      <c r="J3560" s="38" t="n">
        <f aca="false">Sens!$J$3558+Sens!$J$3559</f>
        <v>113.735239178678</v>
      </c>
      <c r="K3560" s="38" t="n">
        <f aca="false">Sens!$K$3558+Sens!$K$3559</f>
        <v>124.390416603578</v>
      </c>
      <c r="L3560" s="38" t="n">
        <f aca="false">Sens!$L$3558+Sens!$L$3559</f>
        <v>134.150172300566</v>
      </c>
      <c r="M3560" s="38" t="n">
        <f aca="false">Sens!$M$3558+Sens!$M$3559</f>
        <v>140.834277868544</v>
      </c>
      <c r="N3560" s="38" t="n">
        <f aca="false">Q!$N$24</f>
        <v>21.707</v>
      </c>
      <c r="O3560" s="38" t="n">
        <f aca="false">Q!$O$24</f>
        <v>23.899</v>
      </c>
    </row>
    <row r="3561" customFormat="false" ht="17.15" hidden="false" customHeight="false" outlineLevel="0" collapsed="false">
      <c r="A3561" s="5" t="s">
        <v>727</v>
      </c>
      <c r="B3561" s="0" t="s">
        <v>86</v>
      </c>
      <c r="C3561" s="38" t="n">
        <f aca="false">Q!$D$26</f>
        <v>0</v>
      </c>
      <c r="D3561" s="38" t="n">
        <f aca="false">Q!$E$26</f>
        <v>0</v>
      </c>
      <c r="E3561" s="38" t="n">
        <f aca="false">Q!$P$26</f>
        <v>0</v>
      </c>
      <c r="F3561" s="39" t="n">
        <v>0</v>
      </c>
      <c r="G3561" s="38" t="n">
        <f aca="false">Sens!$E$3561+Sens!$F$3561</f>
        <v>0</v>
      </c>
      <c r="H3561" s="39" t="n">
        <v>0</v>
      </c>
      <c r="I3561" s="39" t="n">
        <v>0</v>
      </c>
      <c r="J3561" s="39" t="n">
        <v>0</v>
      </c>
      <c r="K3561" s="39" t="n">
        <v>0</v>
      </c>
      <c r="L3561" s="39" t="n">
        <v>0</v>
      </c>
      <c r="M3561" s="39" t="n">
        <v>0</v>
      </c>
      <c r="N3561" s="38" t="n">
        <f aca="false">Q!$N$26</f>
        <v>0</v>
      </c>
      <c r="O3561" s="38" t="n">
        <f aca="false">Q!$O$26</f>
        <v>0</v>
      </c>
    </row>
    <row r="3562" customFormat="false" ht="15" hidden="false" customHeight="false" outlineLevel="0" collapsed="false">
      <c r="A3562" s="3" t="s">
        <v>531</v>
      </c>
      <c r="B3562" s="8" t="s">
        <v>86</v>
      </c>
      <c r="C3562" s="38" t="n">
        <f aca="false">Q!$D$25</f>
        <v>68.593</v>
      </c>
      <c r="D3562" s="38" t="n">
        <f aca="false">Q!$E$25</f>
        <v>79.975</v>
      </c>
      <c r="E3562" s="38" t="n">
        <f aca="false">Q!$P$25</f>
        <v>51.313</v>
      </c>
      <c r="F3562" s="38" t="n">
        <f aca="false">Sens!$F$3552+Sens!$F$3557+Sens!$F$3560+Sens!$F$3561</f>
        <v>56.1975550035175</v>
      </c>
      <c r="G3562" s="38" t="n">
        <f aca="false">Sens!$G$3552+Sens!$G$3557+Sens!$G$3560+Sens!$G$3561</f>
        <v>107.510555003517</v>
      </c>
      <c r="H3562" s="38" t="n">
        <f aca="false">Sens!$H$3552+Sens!$H$3557+Sens!$H$3560+Sens!$H$3561</f>
        <v>125.944364584123</v>
      </c>
      <c r="I3562" s="38" t="n">
        <f aca="false">Sens!$I$3552+Sens!$I$3557+Sens!$I$3560+Sens!$I$3561</f>
        <v>145.322620400607</v>
      </c>
      <c r="J3562" s="38" t="n">
        <f aca="false">Sens!$J$3552+Sens!$J$3557+Sens!$J$3560+Sens!$J$3561</f>
        <v>163.229336363315</v>
      </c>
      <c r="K3562" s="38" t="n">
        <f aca="false">Sens!$K$3552+Sens!$K$3557+Sens!$K$3560+Sens!$K$3561</f>
        <v>174.459588193289</v>
      </c>
      <c r="L3562" s="38" t="n">
        <f aca="false">Sens!$L$3552+Sens!$L$3557+Sens!$L$3560+Sens!$L$3561</f>
        <v>186.541782686322</v>
      </c>
      <c r="M3562" s="38" t="n">
        <f aca="false">Sens!$M$3552+Sens!$M$3557+Sens!$M$3560+Sens!$M$3561</f>
        <v>198.366327467981</v>
      </c>
      <c r="N3562" s="38" t="n">
        <f aca="false">Q!$N$25</f>
        <v>37.576</v>
      </c>
      <c r="O3562" s="38" t="n">
        <f aca="false">Q!$O$25</f>
        <v>42.399</v>
      </c>
    </row>
    <row r="3563" customFormat="false" ht="17.15" hidden="false" customHeight="false" outlineLevel="0" collapsed="false">
      <c r="A3563" s="24" t="s">
        <v>758</v>
      </c>
      <c r="B3563" s="25" t="s">
        <v>86</v>
      </c>
      <c r="C3563" s="41" t="n">
        <f aca="false">Sens!$C$3552+Sens!$C$3557+Sens!$C$3560+Sens!$C$3561-Sens!$C$3562</f>
        <v>0</v>
      </c>
      <c r="D3563" s="41" t="n">
        <f aca="false">Sens!$D$3552+Sens!$D$3557+Sens!$D$3560+Sens!$D$3561-Sens!$D$3562</f>
        <v>0</v>
      </c>
      <c r="E3563" s="41" t="n">
        <f aca="false">Sens!$E$3552+Sens!$E$3557+Sens!$E$3560+Sens!$E$3561-Sens!$E$3562</f>
        <v>0</v>
      </c>
      <c r="F3563" s="41" t="n">
        <f aca="false">Sens!$F$3552+Sens!$F$3557+Sens!$F$3560+Sens!$F$3561-Sens!$F$3562</f>
        <v>0</v>
      </c>
      <c r="G3563" s="41" t="n">
        <f aca="false">Sens!$G$3552+Sens!$G$3557+Sens!$G$3560+Sens!$G$3561-Sens!$G$3562</f>
        <v>0</v>
      </c>
      <c r="H3563" s="41" t="n">
        <f aca="false">Sens!$H$3552+Sens!$H$3557+Sens!$H$3560+Sens!$H$3561-Sens!$H$3562</f>
        <v>0</v>
      </c>
      <c r="I3563" s="41" t="n">
        <f aca="false">Sens!$I$3552+Sens!$I$3557+Sens!$I$3560+Sens!$I$3561-Sens!$I$3562</f>
        <v>0</v>
      </c>
      <c r="J3563" s="41" t="n">
        <f aca="false">Sens!$J$3552+Sens!$J$3557+Sens!$J$3560+Sens!$J$3561-Sens!$J$3562</f>
        <v>0</v>
      </c>
      <c r="K3563" s="41" t="n">
        <f aca="false">Sens!$K$3552+Sens!$K$3557+Sens!$K$3560+Sens!$K$3561-Sens!$K$3562</f>
        <v>0</v>
      </c>
      <c r="L3563" s="41" t="n">
        <f aca="false">Sens!$L$3552+Sens!$L$3557+Sens!$L$3560+Sens!$L$3561-Sens!$L$3562</f>
        <v>0</v>
      </c>
      <c r="M3563" s="41" t="n">
        <f aca="false">Sens!$M$3552+Sens!$M$3557+Sens!$M$3560+Sens!$M$3561-Sens!$M$3562</f>
        <v>0</v>
      </c>
      <c r="N3563" s="41" t="n">
        <f aca="false">Sens!$N$3552+Sens!$N$3557+Sens!$N$3560+Sens!$N$3561-Sens!$N$3562</f>
        <v>0</v>
      </c>
      <c r="O3563" s="41" t="n">
        <f aca="false">Sens!$O$3552+Sens!$O$3557+Sens!$O$3560+Sens!$O$3561-Sens!$O$3562</f>
        <v>0</v>
      </c>
    </row>
    <row r="3564" customFormat="false" ht="17.15" hidden="false" customHeight="false" outlineLevel="0" collapsed="false">
      <c r="A3564" s="5" t="s">
        <v>729</v>
      </c>
      <c r="B3564" s="0" t="s">
        <v>86</v>
      </c>
      <c r="C3564" s="38" t="n">
        <f aca="false">Sens!$C$3500</f>
        <v>0</v>
      </c>
      <c r="D3564" s="38" t="n">
        <f aca="false">Sens!$D$3500</f>
        <v>0</v>
      </c>
      <c r="E3564" s="38" t="n">
        <f aca="false">Sens!$E$3500</f>
        <v>0</v>
      </c>
      <c r="F3564" s="38" t="n">
        <f aca="false">Sens!$F$3500</f>
        <v>3.77122048175818</v>
      </c>
      <c r="G3564" s="38" t="n">
        <f aca="false">Sens!$G$3500</f>
        <v>3.77122048175818</v>
      </c>
      <c r="H3564" s="38" t="n">
        <f aca="false">Sens!$H$3500</f>
        <v>15.1635543609893</v>
      </c>
      <c r="I3564" s="38" t="n">
        <f aca="false">Sens!$I$3500</f>
        <v>25.5818843619889</v>
      </c>
      <c r="J3564" s="38" t="n">
        <f aca="false">Sens!$J$3500</f>
        <v>36.0465624179122</v>
      </c>
      <c r="K3564" s="38" t="n">
        <f aca="false">Sens!$K$3500</f>
        <v>44.9741164026038</v>
      </c>
      <c r="L3564" s="38" t="n">
        <f aca="false">Sens!$L$3500</f>
        <v>50.8413488057813</v>
      </c>
      <c r="M3564" s="38" t="n">
        <f aca="false">Sens!$M$3500</f>
        <v>53.6407214274315</v>
      </c>
      <c r="N3564" s="38" t="n">
        <f aca="false">Sens!$N$3500</f>
        <v>0</v>
      </c>
      <c r="O3564" s="38" t="n">
        <f aca="false">Sens!$O$3500</f>
        <v>0</v>
      </c>
      <c r="P3564" s="5" t="s">
        <v>730</v>
      </c>
    </row>
    <row r="3565" customFormat="false" ht="17.15" hidden="false" customHeight="false" outlineLevel="0" collapsed="false">
      <c r="A3565" s="5" t="s">
        <v>731</v>
      </c>
      <c r="B3565" s="0" t="s">
        <v>86</v>
      </c>
      <c r="C3565" s="38" t="n">
        <f aca="false">Sens!$C$3562+Sens!$C$3564</f>
        <v>68.593</v>
      </c>
      <c r="D3565" s="38" t="n">
        <f aca="false">Sens!$D$3562+Sens!$D$3564</f>
        <v>79.975</v>
      </c>
      <c r="E3565" s="38" t="n">
        <f aca="false">Sens!$E$3562+Sens!$E$3564</f>
        <v>51.313</v>
      </c>
      <c r="F3565" s="38" t="n">
        <f aca="false">Sens!$F$3562+Sens!$F$3564</f>
        <v>59.9687754852757</v>
      </c>
      <c r="G3565" s="38" t="n">
        <f aca="false">Sens!$G$3562+Sens!$G$3564</f>
        <v>111.281775485276</v>
      </c>
      <c r="H3565" s="38" t="n">
        <f aca="false">Sens!$H$3562+Sens!$H$3564</f>
        <v>141.107918945112</v>
      </c>
      <c r="I3565" s="38" t="n">
        <f aca="false">Sens!$I$3562+Sens!$I$3564</f>
        <v>170.904504762596</v>
      </c>
      <c r="J3565" s="38" t="n">
        <f aca="false">Sens!$J$3562+Sens!$J$3564</f>
        <v>199.275898781227</v>
      </c>
      <c r="K3565" s="38" t="n">
        <f aca="false">Sens!$K$3562+Sens!$K$3564</f>
        <v>219.433704595893</v>
      </c>
      <c r="L3565" s="38" t="n">
        <f aca="false">Sens!$L$3562+Sens!$L$3564</f>
        <v>237.383131492103</v>
      </c>
      <c r="M3565" s="38" t="n">
        <f aca="false">Sens!$M$3562+Sens!$M$3564</f>
        <v>252.007048895413</v>
      </c>
      <c r="N3565" s="38" t="n">
        <f aca="false">Sens!$N$3562+Sens!$N$3564</f>
        <v>37.576</v>
      </c>
      <c r="O3565" s="38" t="n">
        <f aca="false">Sens!$O$3562+Sens!$O$3564</f>
        <v>42.399</v>
      </c>
    </row>
    <row r="3566" customFormat="false" ht="17.15" hidden="false" customHeight="false" outlineLevel="0" collapsed="false">
      <c r="A3566" s="0" t="s">
        <v>732</v>
      </c>
      <c r="B3566" s="0" t="s">
        <v>52</v>
      </c>
      <c r="C3566" s="13" t="n">
        <f aca="false">Sens!$C$3552/Sens!$C$3537</f>
        <v>0.0644314665661928</v>
      </c>
      <c r="D3566" s="13" t="n">
        <f aca="false">Sens!$D$3552/Sens!$D$3537</f>
        <v>0.0694784250712518</v>
      </c>
      <c r="E3566" s="13" t="n">
        <f aca="false">Sens!$E$3552/Sens!$E$3537</f>
        <v>0.0789306463326071</v>
      </c>
      <c r="F3566" s="13" t="n">
        <f aca="false">Sens!$F$3552/Sens!$F$3537</f>
        <v>0.0799654489229376</v>
      </c>
      <c r="G3566" s="13" t="n">
        <f aca="false">Sens!$G$3552/Sens!$G$3537</f>
        <v>0.0794813572456024</v>
      </c>
      <c r="H3566" s="13" t="n">
        <f aca="false">Sens!$H$3552/Sens!$H$3537</f>
        <v>0.077751130752197</v>
      </c>
      <c r="I3566" s="13" t="n">
        <f aca="false">Sens!$I$3552/Sens!$I$3537</f>
        <v>0.0751872012322685</v>
      </c>
      <c r="J3566" s="13" t="n">
        <f aca="false">Sens!$J$3552/Sens!$J$3537</f>
        <v>0.0728202317998627</v>
      </c>
      <c r="K3566" s="13" t="n">
        <f aca="false">Sens!$K$3552/Sens!$K$3537</f>
        <v>0.0705291336430288</v>
      </c>
      <c r="L3566" s="13" t="n">
        <f aca="false">Sens!$L$3552/Sens!$L$3537</f>
        <v>0.0694666236423998</v>
      </c>
      <c r="M3566" s="13" t="n">
        <f aca="false">Sens!$M$3552/Sens!$M$3537</f>
        <v>0.0710389257397954</v>
      </c>
      <c r="N3566" s="13" t="n">
        <f aca="false">Sens!$N$3552/Sens!$N$3537</f>
        <v>0.069228576611127</v>
      </c>
      <c r="O3566" s="13" t="n">
        <f aca="false">Sens!$O$3552/Sens!$O$3537</f>
        <v>0.069685022498393</v>
      </c>
    </row>
    <row r="3567" customFormat="false" ht="17.15" hidden="false" customHeight="false" outlineLevel="0" collapsed="false">
      <c r="A3567" s="0" t="s">
        <v>733</v>
      </c>
      <c r="B3567" s="0" t="s">
        <v>52</v>
      </c>
      <c r="C3567" s="13" t="n">
        <f aca="false">Sens!$C$3557/Sens!$C$3538</f>
        <v>0.026534925055631</v>
      </c>
      <c r="D3567" s="13" t="n">
        <f aca="false">Sens!$D$3557/Sens!$D$3538</f>
        <v>0.0293401855535103</v>
      </c>
      <c r="E3567" s="13" t="n">
        <f aca="false">Sens!$E$3557/Sens!$E$3538</f>
        <v>0.03831141902276</v>
      </c>
      <c r="F3567" s="13" t="n">
        <f aca="false">Sens!$F$3557/Sens!$F$3538</f>
        <v>0.0279247139315718</v>
      </c>
      <c r="G3567" s="13" t="n">
        <f aca="false">Sens!$G$3557/Sens!$G$3538</f>
        <v>0.0326452822076871</v>
      </c>
      <c r="H3567" s="13" t="n">
        <f aca="false">Sens!$H$3557/Sens!$H$3538</f>
        <v>0.0289098547629362</v>
      </c>
      <c r="I3567" s="13" t="n">
        <f aca="false">Sens!$I$3557/Sens!$I$3538</f>
        <v>0.0243175404293964</v>
      </c>
      <c r="J3567" s="13" t="n">
        <f aca="false">Sens!$J$3557/Sens!$J$3538</f>
        <v>0.0198591988672728</v>
      </c>
      <c r="K3567" s="13" t="n">
        <f aca="false">Sens!$K$3557/Sens!$K$3538</f>
        <v>0.0153720770822654</v>
      </c>
      <c r="L3567" s="13" t="n">
        <f aca="false">Sens!$L$3557/Sens!$L$3538</f>
        <v>0.0146557322953965</v>
      </c>
      <c r="M3567" s="13" t="n">
        <f aca="false">Sens!$M$3557/Sens!$M$3538</f>
        <v>0.0165822070763827</v>
      </c>
      <c r="N3567" s="13" t="n">
        <f aca="false">Sens!$N$3557/Sens!$N$3538</f>
        <v>0.0357315650169337</v>
      </c>
      <c r="O3567" s="13" t="n">
        <f aca="false">Sens!$O$3557/Sens!$O$3538</f>
        <v>0.0244378956559703</v>
      </c>
    </row>
    <row r="3568" customFormat="false" ht="17.15" hidden="false" customHeight="false" outlineLevel="0" collapsed="false">
      <c r="A3568" s="14" t="s">
        <v>734</v>
      </c>
      <c r="B3568" s="14" t="s">
        <v>52</v>
      </c>
      <c r="C3568" s="17" t="n">
        <f aca="false">Sens!$C$3560/Sens!$C$3539</f>
        <v>0.370355907620217</v>
      </c>
      <c r="D3568" s="17" t="n">
        <f aca="false">Sens!$D$3560/Sens!$D$3539</f>
        <v>0.35429015342785</v>
      </c>
      <c r="E3568" s="17" t="n">
        <f aca="false">Sens!$E$3560/Sens!$E$3539</f>
        <v>0.385647527531039</v>
      </c>
      <c r="F3568" s="17" t="n">
        <f aca="false">Sens!$F$3560/Sens!$F$3539</f>
        <v>0.385171818673936</v>
      </c>
      <c r="G3568" s="17" t="n">
        <f aca="false">Sens!$G$3560/Sens!$G$3539</f>
        <v>0.385399799520974</v>
      </c>
      <c r="H3568" s="17" t="n">
        <f aca="false">Sens!$H$3560/Sens!$H$3539</f>
        <v>0.360029314750347</v>
      </c>
      <c r="I3568" s="17" t="n">
        <f aca="false">Sens!$I$3560/Sens!$I$3539</f>
        <v>0.346606134604193</v>
      </c>
      <c r="J3568" s="17" t="n">
        <f aca="false">Sens!$J$3560/Sens!$J$3539</f>
        <v>0.335699297156574</v>
      </c>
      <c r="K3568" s="17" t="n">
        <f aca="false">Sens!$K$3560/Sens!$K$3539</f>
        <v>0.319043289183739</v>
      </c>
      <c r="L3568" s="17" t="n">
        <f aca="false">Sens!$L$3560/Sens!$L$3539</f>
        <v>0.311918613444893</v>
      </c>
      <c r="M3568" s="17" t="n">
        <f aca="false">Sens!$M$3560/Sens!$M$3539</f>
        <v>0.306523814127389</v>
      </c>
      <c r="N3568" s="17" t="n">
        <f aca="false">Sens!$N$3560/Sens!$N$3539</f>
        <v>0.360941137346192</v>
      </c>
      <c r="O3568" s="17" t="n">
        <f aca="false">Sens!$O$3560/Sens!$O$3539</f>
        <v>0.348458117664212</v>
      </c>
    </row>
    <row r="3569" customFormat="false" ht="17.15" hidden="false" customHeight="false" outlineLevel="0" collapsed="false">
      <c r="A3569" s="0" t="s">
        <v>735</v>
      </c>
      <c r="B3569" s="0" t="s">
        <v>52</v>
      </c>
      <c r="C3569" s="13" t="n">
        <f aca="false">Sens!$C$3558/Sens!$C$3540</f>
        <v>0.708390794789371</v>
      </c>
      <c r="D3569" s="13" t="n">
        <f aca="false">Sens!$D$3558/Sens!$D$3540</f>
        <v>0.445565630441968</v>
      </c>
      <c r="E3569" s="13" t="n">
        <f aca="false">Sens!$E$3558/Sens!$E$3540</f>
        <v>0.165998118402711</v>
      </c>
      <c r="F3569" s="13" t="n">
        <f aca="false">Sens!$F$3558/Sens!$F$3540</f>
        <v>0.434878595403858</v>
      </c>
      <c r="G3569" s="13" t="n">
        <f aca="false">Sens!$G$3558/Sens!$G$3540</f>
        <v>0.3373967615381</v>
      </c>
      <c r="H3569" s="13" t="n">
        <f aca="false">Sens!$H$3558/Sens!$H$3540</f>
        <v>0.320477578041224</v>
      </c>
      <c r="I3569" s="13" t="n">
        <f aca="false">Sens!$I$3558/Sens!$I$3540</f>
        <v>0.296936118226494</v>
      </c>
      <c r="J3569" s="13" t="n">
        <f aca="false">Sens!$J$3558/Sens!$J$3540</f>
        <v>0.282166278613001</v>
      </c>
      <c r="K3569" s="13" t="n">
        <f aca="false">Sens!$K$3558/Sens!$K$3540</f>
        <v>0.252969102881543</v>
      </c>
      <c r="L3569" s="13" t="n">
        <f aca="false">Sens!$L$3558/Sens!$L$3540</f>
        <v>0.240728642826566</v>
      </c>
      <c r="M3569" s="13" t="n">
        <f aca="false">Sens!$M$3558/Sens!$M$3540</f>
        <v>0.227399920863147</v>
      </c>
      <c r="N3569" s="13" t="n">
        <f aca="false">Sens!$N$3558/Sens!$N$3540</f>
        <v>0.302870734830849</v>
      </c>
      <c r="O3569" s="13" t="n">
        <f aca="false">Sens!$O$3558/Sens!$O$3540</f>
        <v>0.52240134346334</v>
      </c>
    </row>
    <row r="3570" customFormat="false" ht="15" hidden="false" customHeight="false" outlineLevel="0" collapsed="false">
      <c r="A3570" s="5" t="s">
        <v>736</v>
      </c>
      <c r="B3570" s="0" t="s">
        <v>52</v>
      </c>
      <c r="C3570" s="13" t="n">
        <f aca="false">Sens!$C$3562/Sens!$C$3542</f>
        <v>0.107519448742004</v>
      </c>
      <c r="D3570" s="13" t="n">
        <f aca="false">Sens!$D$3562/Sens!$D$3542</f>
        <v>0.111552967957552</v>
      </c>
      <c r="E3570" s="13" t="n">
        <f aca="false">Sens!$E$3562/Sens!$E$3542</f>
        <v>0.13428328426562</v>
      </c>
      <c r="F3570" s="13" t="n">
        <f aca="false">Sens!$F$3562/Sens!$F$3542</f>
        <v>0.128958257052456</v>
      </c>
      <c r="G3570" s="13" t="n">
        <f aca="false">Sens!$G$3562/Sens!$G$3542</f>
        <v>0.131446105394217</v>
      </c>
      <c r="H3570" s="13" t="n">
        <f aca="false">Sens!$H$3562/Sens!$H$3542</f>
        <v>0.133659192225833</v>
      </c>
      <c r="I3570" s="13" t="n">
        <f aca="false">Sens!$I$3562/Sens!$I$3542</f>
        <v>0.135967658045058</v>
      </c>
      <c r="J3570" s="13" t="n">
        <f aca="false">Sens!$J$3562/Sens!$J$3542</f>
        <v>0.137177959173576</v>
      </c>
      <c r="K3570" s="13" t="n">
        <f aca="false">Sens!$K$3562/Sens!$K$3542</f>
        <v>0.134607423929462</v>
      </c>
      <c r="L3570" s="13" t="n">
        <f aca="false">Sens!$L$3562/Sens!$L$3542</f>
        <v>0.133705050396277</v>
      </c>
      <c r="M3570" s="13" t="n">
        <f aca="false">Sens!$M$3562/Sens!$M$3542</f>
        <v>0.133346178337547</v>
      </c>
      <c r="N3570" s="13" t="n">
        <f aca="false">Sens!$N$3562/Sens!$N$3542</f>
        <v>0.116201614873411</v>
      </c>
      <c r="O3570" s="13" t="n">
        <f aca="false">Sens!$O$3562/Sens!$O$3542</f>
        <v>0.107733353660861</v>
      </c>
    </row>
    <row r="3571" customFormat="false" ht="17.15" hidden="false" customHeight="false" outlineLevel="0" collapsed="false">
      <c r="A3571" s="1" t="s">
        <v>737</v>
      </c>
    </row>
    <row r="3572" customFormat="false" ht="17.15" hidden="false" customHeight="false" outlineLevel="0" collapsed="false">
      <c r="A3572" s="5" t="s">
        <v>738</v>
      </c>
      <c r="B3572" s="0" t="s">
        <v>52</v>
      </c>
      <c r="D3572" s="28" t="n">
        <f aca="false">(Q!$E$29+Q!$E$30-(1-ext_sh)*Sens!$D$3494)/Sens!$D$3450</f>
        <v>0.0334674312393194</v>
      </c>
    </row>
    <row r="3573" customFormat="false" ht="17.15" hidden="false" customHeight="false" outlineLevel="0" collapsed="false">
      <c r="A3573" s="0" t="s">
        <v>535</v>
      </c>
      <c r="B3573" s="0" t="s">
        <v>86</v>
      </c>
      <c r="C3573" s="38" t="n">
        <f aca="false">Q!$D$29</f>
        <v>14.285</v>
      </c>
      <c r="D3573" s="38" t="n">
        <f aca="false">Q!$E$29</f>
        <v>15.503</v>
      </c>
      <c r="E3573" s="38" t="n">
        <f aca="false">Q!$P$29</f>
        <v>8.78</v>
      </c>
      <c r="F3573" s="38" t="n">
        <f aca="false">(Sens!$D$3572*Sens!$F$3450+(1-ext_sh)*Sens!$F$3494)*Sens!$F$3451</f>
        <v>9.32404990199157</v>
      </c>
      <c r="G3573" s="38" t="n">
        <f aca="false">Sens!$E$3573+Sens!$F$3573</f>
        <v>18.1040499019916</v>
      </c>
      <c r="H3573" s="38" t="n">
        <f aca="false">(Sens!$D$3572*Sens!$H$3450+(1-ext_sh)*Sens!$H$3494)*Sens!$H$3451</f>
        <v>22.5533556752937</v>
      </c>
      <c r="I3573" s="38" t="n">
        <f aca="false">(Sens!$D$3572*Sens!$I$3450+(1-ext_sh)*Sens!$I$3494)*Sens!$I$3451</f>
        <v>28.1941479903215</v>
      </c>
      <c r="J3573" s="38" t="n">
        <f aca="false">(Sens!$D$3572*Sens!$J$3450+(1-ext_sh)*Sens!$J$3494)*Sens!$J$3451</f>
        <v>33.8639126241465</v>
      </c>
      <c r="K3573" s="38" t="n">
        <f aca="false">(Sens!$D$3572*Sens!$K$3450+(1-ext_sh)*Sens!$K$3494)*Sens!$K$3451</f>
        <v>39.4516429979446</v>
      </c>
      <c r="L3573" s="38" t="n">
        <f aca="false">(Sens!$D$3572*Sens!$L$3450+(1-ext_sh)*Sens!$L$3494)*Sens!$L$3451</f>
        <v>43.6240799619622</v>
      </c>
      <c r="M3573" s="38" t="n">
        <f aca="false">(Sens!$D$3572*Sens!$M$3450+(1-ext_sh)*Sens!$M$3494)*Sens!$M$3451</f>
        <v>46.7841679303704</v>
      </c>
      <c r="N3573" s="38" t="n">
        <f aca="false">Q!$N$29</f>
        <v>7.272</v>
      </c>
      <c r="O3573" s="38" t="n">
        <f aca="false">Q!$O$29</f>
        <v>8.231</v>
      </c>
    </row>
    <row r="3574" customFormat="false" ht="17.15" hidden="false" customHeight="false" outlineLevel="0" collapsed="false">
      <c r="A3574" s="0" t="s">
        <v>537</v>
      </c>
      <c r="B3574" s="0" t="s">
        <v>86</v>
      </c>
      <c r="C3574" s="38" t="n">
        <f aca="false">Q!$D$30</f>
        <v>4.462</v>
      </c>
      <c r="D3574" s="38" t="n">
        <f aca="false">Q!$E$30</f>
        <v>4.907</v>
      </c>
      <c r="E3574" s="38" t="n">
        <f aca="false">Q!$P$30</f>
        <v>2.57</v>
      </c>
      <c r="F3574" s="38" t="n">
        <f aca="false">(Sens!$D$3572*Sens!$F$3450+(1-ext_sh)*Sens!$F$3494)*(1-Sens!$F$3451)</f>
        <v>3.66089330199472</v>
      </c>
      <c r="G3574" s="38" t="n">
        <f aca="false">Sens!$E$3574+Sens!$F$3574</f>
        <v>6.23089330199472</v>
      </c>
      <c r="H3574" s="38" t="n">
        <f aca="false">(Sens!$D$3572*Sens!$H$3450+(1-ext_sh)*Sens!$H$3494)*(1-Sens!$H$3451)</f>
        <v>8.63874333111657</v>
      </c>
      <c r="I3574" s="38" t="n">
        <f aca="false">(Sens!$D$3572*Sens!$I$3450+(1-ext_sh)*Sens!$I$3494)*(1-Sens!$I$3451)</f>
        <v>10.7993689025494</v>
      </c>
      <c r="J3574" s="38" t="n">
        <f aca="false">(Sens!$D$3572*Sens!$J$3450+(1-ext_sh)*Sens!$J$3494)*(1-Sens!$J$3451)</f>
        <v>12.9710919101865</v>
      </c>
      <c r="K3574" s="38" t="n">
        <f aca="false">(Sens!$D$3572*Sens!$K$3450+(1-ext_sh)*Sens!$K$3494)*(1-Sens!$K$3451)</f>
        <v>15.1113928568702</v>
      </c>
      <c r="L3574" s="38" t="n">
        <f aca="false">(Sens!$D$3572*Sens!$L$3450+(1-ext_sh)*Sens!$L$3494)*(1-Sens!$L$3451)</f>
        <v>16.7095857163433</v>
      </c>
      <c r="M3574" s="38" t="n">
        <f aca="false">(Sens!$D$3572*Sens!$M$3450+(1-ext_sh)*Sens!$M$3494)*(1-Sens!$M$3451)</f>
        <v>17.9200126371023</v>
      </c>
      <c r="N3574" s="38" t="n">
        <f aca="false">Q!$N$30</f>
        <v>2.316</v>
      </c>
      <c r="O3574" s="38" t="n">
        <f aca="false">Q!$O$30</f>
        <v>2.591</v>
      </c>
    </row>
    <row r="3575" customFormat="false" ht="17.15" hidden="false" customHeight="false" outlineLevel="0" collapsed="false">
      <c r="A3575" s="0" t="s">
        <v>538</v>
      </c>
      <c r="B3575" s="0" t="s">
        <v>86</v>
      </c>
      <c r="C3575" s="38" t="n">
        <f aca="false">Sens!$C$3506</f>
        <v>13.32</v>
      </c>
      <c r="D3575" s="38" t="n">
        <f aca="false">Sens!$D$3506</f>
        <v>21.45</v>
      </c>
      <c r="E3575" s="38" t="n">
        <f aca="false">Sens!$E$3506</f>
        <v>15.353</v>
      </c>
      <c r="F3575" s="38" t="n">
        <f aca="false">Sens!$F$3506</f>
        <v>16.3063747611001</v>
      </c>
      <c r="G3575" s="38" t="n">
        <f aca="false">Sens!$G$3506</f>
        <v>31.6593747611001</v>
      </c>
      <c r="H3575" s="38" t="n">
        <f aca="false">Sens!$H$3506</f>
        <v>53.124242092105</v>
      </c>
      <c r="I3575" s="38" t="n">
        <f aca="false">Sens!$I$3506</f>
        <v>78.046828098133</v>
      </c>
      <c r="J3575" s="38" t="n">
        <f aca="false">Sens!$J$3506</f>
        <v>103.663976940352</v>
      </c>
      <c r="K3575" s="38" t="n">
        <f aca="false">Sens!$K$3506</f>
        <v>129.625086115469</v>
      </c>
      <c r="L3575" s="38" t="n">
        <f aca="false">Sens!$L$3506</f>
        <v>147.435052382502</v>
      </c>
      <c r="M3575" s="38" t="n">
        <f aca="false">Sens!$M$3506</f>
        <v>159.299754080279</v>
      </c>
      <c r="N3575" s="38" t="n">
        <f aca="false">Sens!$N$3506</f>
        <v>9.234</v>
      </c>
      <c r="O3575" s="38" t="n">
        <f aca="false">Sens!$O$3506</f>
        <v>12.216</v>
      </c>
    </row>
    <row r="3576" customFormat="false" ht="17.15" hidden="false" customHeight="false" outlineLevel="0" collapsed="false">
      <c r="A3576" s="5" t="s">
        <v>739</v>
      </c>
      <c r="B3576" s="0" t="s">
        <v>86</v>
      </c>
      <c r="C3576" s="38" t="n">
        <f aca="false">Sens!$C$3573+Sens!$C$3574+Sens!$C$3575</f>
        <v>32.067</v>
      </c>
      <c r="D3576" s="38" t="n">
        <f aca="false">Sens!$D$3573+Sens!$D$3574+Sens!$D$3575</f>
        <v>41.86</v>
      </c>
      <c r="E3576" s="38" t="n">
        <f aca="false">Sens!$E$3573+Sens!$E$3574+Sens!$E$3575</f>
        <v>26.703</v>
      </c>
      <c r="F3576" s="38" t="n">
        <f aca="false">Sens!$F$3573+Sens!$F$3574+Sens!$F$3575</f>
        <v>29.2913179650864</v>
      </c>
      <c r="G3576" s="38" t="n">
        <f aca="false">Sens!$G$3573+Sens!$G$3574+Sens!$G$3575</f>
        <v>55.9943179650864</v>
      </c>
      <c r="H3576" s="38" t="n">
        <f aca="false">Sens!$H$3573+Sens!$H$3574+Sens!$H$3575</f>
        <v>84.3163410985152</v>
      </c>
      <c r="I3576" s="38" t="n">
        <f aca="false">Sens!$I$3573+Sens!$I$3574+Sens!$I$3575</f>
        <v>117.040344991004</v>
      </c>
      <c r="J3576" s="38" t="n">
        <f aca="false">Sens!$J$3573+Sens!$J$3574+Sens!$J$3575</f>
        <v>150.498981474685</v>
      </c>
      <c r="K3576" s="38" t="n">
        <f aca="false">Sens!$K$3573+Sens!$K$3574+Sens!$K$3575</f>
        <v>184.188121970284</v>
      </c>
      <c r="L3576" s="38" t="n">
        <f aca="false">Sens!$L$3573+Sens!$L$3574+Sens!$L$3575</f>
        <v>207.768718060808</v>
      </c>
      <c r="M3576" s="38" t="n">
        <f aca="false">Sens!$M$3573+Sens!$M$3574+Sens!$M$3575</f>
        <v>224.003934647752</v>
      </c>
      <c r="N3576" s="38" t="n">
        <f aca="false">Sens!$N$3573+Sens!$N$3574+Sens!$N$3575</f>
        <v>18.822</v>
      </c>
      <c r="O3576" s="38" t="n">
        <f aca="false">Sens!$O$3573+Sens!$O$3574+Sens!$O$3575</f>
        <v>23.038</v>
      </c>
    </row>
    <row r="3577" customFormat="false" ht="17.15" hidden="false" customHeight="false" outlineLevel="0" collapsed="false">
      <c r="A3577" s="0" t="s">
        <v>740</v>
      </c>
      <c r="B3577" s="0" t="s">
        <v>86</v>
      </c>
      <c r="C3577" s="38" t="n">
        <f aca="false">Sens!$C$3548+Sens!$C$3553</f>
        <v>22.4856</v>
      </c>
      <c r="D3577" s="38" t="n">
        <f aca="false">Sens!$D$3548+Sens!$D$3553</f>
        <v>27.454</v>
      </c>
      <c r="E3577" s="38" t="n">
        <f aca="false">Sens!$E$3548+Sens!$E$3553</f>
        <v>14.8208</v>
      </c>
      <c r="F3577" s="38" t="n">
        <f aca="false">Sens!$F$3548+Sens!$F$3553</f>
        <v>18.4628887977659</v>
      </c>
      <c r="G3577" s="38" t="n">
        <f aca="false">Sens!$G$3548+Sens!$G$3553</f>
        <v>33.2836887977659</v>
      </c>
      <c r="H3577" s="38" t="n">
        <f aca="false">Sens!$H$3548+Sens!$H$3553</f>
        <v>39.958768955159</v>
      </c>
      <c r="I3577" s="38" t="n">
        <f aca="false">Sens!$I$3548+Sens!$I$3553</f>
        <v>46.6332444381985</v>
      </c>
      <c r="J3577" s="38" t="n">
        <f aca="false">Sens!$J$3548+Sens!$J$3553</f>
        <v>52.8595767767807</v>
      </c>
      <c r="K3577" s="38" t="n">
        <f aca="false">Sens!$K$3548+Sens!$K$3553</f>
        <v>58.1455344544588</v>
      </c>
      <c r="L3577" s="38" t="n">
        <f aca="false">Sens!$L$3548+Sens!$L$3553</f>
        <v>63.9600878999047</v>
      </c>
      <c r="M3577" s="38" t="n">
        <f aca="false">Sens!$M$3548+Sens!$M$3553</f>
        <v>70.3560966898951</v>
      </c>
      <c r="N3577" s="38" t="n">
        <f aca="false">Sens!$N$3548+Sens!$N$3553</f>
        <v>11.846</v>
      </c>
      <c r="O3577" s="38" t="n">
        <f aca="false">Sens!$O$3548+Sens!$O$3553</f>
        <v>15.608</v>
      </c>
    </row>
    <row r="3578" customFormat="false" ht="17.15" hidden="false" customHeight="false" outlineLevel="0" collapsed="false">
      <c r="A3578" s="0" t="s">
        <v>741</v>
      </c>
      <c r="B3578" s="0" t="s">
        <v>86</v>
      </c>
      <c r="C3578" s="38" t="n">
        <f aca="false">Sens!$C$3552+Sens!$C$3557+Sens!$C$3573+Sens!$C$3574-Sens!$C$3577</f>
        <v>25.0204</v>
      </c>
      <c r="D3578" s="38" t="n">
        <f aca="false">Sens!$D$3552+Sens!$D$3557+Sens!$D$3573+Sens!$D$3574-Sens!$D$3577</f>
        <v>27.325</v>
      </c>
      <c r="E3578" s="38" t="n">
        <f aca="false">Sens!$E$3552+Sens!$E$3557+Sens!$E$3573+Sens!$E$3574-Sens!$E$3577</f>
        <v>17.0602</v>
      </c>
      <c r="F3578" s="38" t="n">
        <f aca="false">Sens!$F$3552+Sens!$F$3557+Sens!$F$3573+Sens!$F$3574-Sens!$F$3577</f>
        <v>17.3126047324893</v>
      </c>
      <c r="G3578" s="38" t="n">
        <f aca="false">Sens!$G$3552+Sens!$G$3557+Sens!$G$3573+Sens!$G$3574-Sens!$G$3577</f>
        <v>34.3728047324893</v>
      </c>
      <c r="H3578" s="38" t="n">
        <f aca="false">Sens!$H$3552+Sens!$H$3557+Sens!$H$3573+Sens!$H$3574-Sens!$H$3577</f>
        <v>37.5453422934588</v>
      </c>
      <c r="I3578" s="38" t="n">
        <f aca="false">Sens!$I$3552+Sens!$I$3557+Sens!$I$3573+Sens!$I$3574-Sens!$I$3577</f>
        <v>40.5383927177206</v>
      </c>
      <c r="J3578" s="38" t="n">
        <f aca="false">Sens!$J$3552+Sens!$J$3557+Sens!$J$3573+Sens!$J$3574-Sens!$J$3577</f>
        <v>43.4695249421894</v>
      </c>
      <c r="K3578" s="38" t="n">
        <f aca="false">Sens!$K$3552+Sens!$K$3557+Sens!$K$3573+Sens!$K$3574-Sens!$K$3577</f>
        <v>46.4866729900663</v>
      </c>
      <c r="L3578" s="38" t="n">
        <f aca="false">Sens!$L$3552+Sens!$L$3557+Sens!$L$3573+Sens!$L$3574-Sens!$L$3577</f>
        <v>48.7651881641566</v>
      </c>
      <c r="M3578" s="38" t="n">
        <f aca="false">Sens!$M$3552+Sens!$M$3557+Sens!$M$3573+Sens!$M$3574-Sens!$M$3577</f>
        <v>51.8801334770142</v>
      </c>
      <c r="N3578" s="38" t="n">
        <f aca="false">Sens!$N$3552+Sens!$N$3557+Sens!$N$3573+Sens!$N$3574-Sens!$N$3577</f>
        <v>13.611</v>
      </c>
      <c r="O3578" s="38" t="n">
        <f aca="false">Sens!$O$3552+Sens!$O$3557+Sens!$O$3573+Sens!$O$3574-Sens!$O$3577</f>
        <v>13.714</v>
      </c>
    </row>
    <row r="3579" customFormat="false" ht="17.15" hidden="false" customHeight="false" outlineLevel="0" collapsed="false">
      <c r="A3579" s="0" t="s">
        <v>742</v>
      </c>
      <c r="B3579" s="0" t="s">
        <v>86</v>
      </c>
      <c r="C3579" s="38" t="n">
        <f aca="false">Sens!$C$3559+Sens!$C$3575-ext_sh*Sens!$C$3494</f>
        <v>51.3470500115664</v>
      </c>
      <c r="D3579" s="38" t="n">
        <f aca="false">Sens!$D$3559+Sens!$D$3575-ext_sh*Sens!$D$3494</f>
        <v>60.2799375433739</v>
      </c>
      <c r="E3579" s="38" t="n">
        <f aca="false">Sens!$E$3559+Sens!$E$3575-ext_sh*Sens!$E$3494</f>
        <v>39.5095167090767</v>
      </c>
      <c r="F3579" s="38" t="n">
        <f aca="false">Sens!$F$3559+Sens!$F$3575-ext_sh*Sens!$F$3494</f>
        <v>37.993321722478</v>
      </c>
      <c r="G3579" s="38" t="n">
        <f aca="false">Sens!$G$3559+Sens!$G$3575-ext_sh*Sens!$G$3494</f>
        <v>77.5028384315548</v>
      </c>
      <c r="H3579" s="38" t="n">
        <f aca="false">Sens!$H$3559+Sens!$H$3575-ext_sh*Sens!$H$3494</f>
        <v>85.2394217279746</v>
      </c>
      <c r="I3579" s="38" t="n">
        <f aca="false">Sens!$I$3559+Sens!$I$3575-ext_sh*Sens!$I$3494</f>
        <v>94.6373589713254</v>
      </c>
      <c r="J3579" s="38" t="n">
        <f aca="false">Sens!$J$3559+Sens!$J$3575-ext_sh*Sens!$J$3494</f>
        <v>103.639899284146</v>
      </c>
      <c r="K3579" s="38" t="n">
        <f aca="false">Sens!$K$3559+Sens!$K$3575-ext_sh*Sens!$K$3494</f>
        <v>111.931091226878</v>
      </c>
      <c r="L3579" s="38" t="n">
        <f aca="false">Sens!$L$3559+Sens!$L$3575-ext_sh*Sens!$L$3494</f>
        <v>120.885578525028</v>
      </c>
      <c r="M3579" s="38" t="n">
        <f aca="false">Sens!$M$3559+Sens!$M$3575-ext_sh*Sens!$M$3494</f>
        <v>130.55642480703</v>
      </c>
      <c r="N3579" s="38" t="n">
        <f aca="false">Sens!$N$3559+Sens!$N$3575-ext_sh*Sens!$N$3494</f>
        <v>28.5693781401809</v>
      </c>
      <c r="O3579" s="38" t="n">
        <f aca="false">Sens!$O$3559+Sens!$O$3575-ext_sh*Sens!$O$3494</f>
        <v>31.7105594031931</v>
      </c>
    </row>
    <row r="3580" customFormat="false" ht="17.15" hidden="false" customHeight="false" outlineLevel="0" collapsed="false">
      <c r="A3580" s="0" t="s">
        <v>743</v>
      </c>
      <c r="B3580" s="0" t="s">
        <v>86</v>
      </c>
      <c r="C3580" s="38" t="n">
        <f aca="false">Sens!$C$3497</f>
        <v>1.80694998843362</v>
      </c>
      <c r="D3580" s="38" t="n">
        <f aca="false">Sens!$D$3497</f>
        <v>6.77606245662607</v>
      </c>
      <c r="E3580" s="38" t="n">
        <f aca="false">Sens!$E$3497</f>
        <v>6.62548329092326</v>
      </c>
      <c r="F3580" s="38" t="n">
        <f aca="false">Sens!$F$3497</f>
        <v>11.7200577158706</v>
      </c>
      <c r="G3580" s="38" t="n">
        <f aca="false">Sens!$G$3497</f>
        <v>18.3455410067939</v>
      </c>
      <c r="H3580" s="38" t="n">
        <f aca="false">Sens!$H$3497</f>
        <v>47.5171727060453</v>
      </c>
      <c r="I3580" s="38" t="n">
        <f aca="false">Sens!$I$3497</f>
        <v>80.5539692643667</v>
      </c>
      <c r="J3580" s="38" t="n">
        <f aca="false">Sens!$J$3497</f>
        <v>113.759316834883</v>
      </c>
      <c r="K3580" s="38" t="n">
        <f aca="false">Sens!$K$3497</f>
        <v>142.084411492169</v>
      </c>
      <c r="L3580" s="38" t="n">
        <f aca="false">Sens!$L$3497</f>
        <v>160.69964615804</v>
      </c>
      <c r="M3580" s="38" t="n">
        <f aca="false">Sens!$M$3497</f>
        <v>169.577607141793</v>
      </c>
      <c r="N3580" s="38" t="n">
        <f aca="false">Sens!$N$3497</f>
        <v>2.37162185981912</v>
      </c>
      <c r="O3580" s="38" t="n">
        <f aca="false">Sens!$O$3497</f>
        <v>4.40444059680694</v>
      </c>
    </row>
    <row r="3581" customFormat="false" ht="17.15" hidden="false" customHeight="false" outlineLevel="0" collapsed="false">
      <c r="A3581" s="0" t="s">
        <v>744</v>
      </c>
      <c r="B3581" s="0" t="s">
        <v>86</v>
      </c>
      <c r="C3581" s="38" t="n">
        <f aca="false">Sens!$C$3562+Sens!$C$3576</f>
        <v>100.66</v>
      </c>
      <c r="D3581" s="38" t="n">
        <f aca="false">Sens!$D$3562+Sens!$D$3576</f>
        <v>121.835</v>
      </c>
      <c r="E3581" s="38" t="n">
        <f aca="false">Sens!$E$3562+Sens!$E$3576</f>
        <v>78.016</v>
      </c>
      <c r="F3581" s="38" t="n">
        <f aca="false">Sens!$F$3562+Sens!$F$3576</f>
        <v>85.4888729686038</v>
      </c>
      <c r="G3581" s="38" t="n">
        <f aca="false">Sens!$G$3562+Sens!$G$3576</f>
        <v>163.504872968604</v>
      </c>
      <c r="H3581" s="38" t="n">
        <f aca="false">Sens!$H$3562+Sens!$H$3576</f>
        <v>210.260705682638</v>
      </c>
      <c r="I3581" s="38" t="n">
        <f aca="false">Sens!$I$3562+Sens!$I$3576</f>
        <v>262.362965391611</v>
      </c>
      <c r="J3581" s="38" t="n">
        <f aca="false">Sens!$J$3562+Sens!$J$3576</f>
        <v>313.728317838</v>
      </c>
      <c r="K3581" s="38" t="n">
        <f aca="false">Sens!$K$3562+Sens!$K$3576</f>
        <v>358.647710163572</v>
      </c>
      <c r="L3581" s="38" t="n">
        <f aca="false">Sens!$L$3562+Sens!$L$3576</f>
        <v>394.31050074713</v>
      </c>
      <c r="M3581" s="38" t="n">
        <f aca="false">Sens!$M$3562+Sens!$M$3576</f>
        <v>422.370262115733</v>
      </c>
      <c r="N3581" s="38" t="n">
        <f aca="false">Sens!$N$3562+Sens!$N$3576</f>
        <v>56.398</v>
      </c>
      <c r="O3581" s="38" t="n">
        <f aca="false">Sens!$O$3562+Sens!$O$3576</f>
        <v>65.437</v>
      </c>
    </row>
    <row r="3582" customFormat="false" ht="17.15" hidden="false" customHeight="false" outlineLevel="0" collapsed="false">
      <c r="A3582" s="1" t="s">
        <v>745</v>
      </c>
    </row>
    <row r="3583" customFormat="false" ht="15" hidden="false" customHeight="false" outlineLevel="0" collapsed="false">
      <c r="A3583" s="5" t="s">
        <v>541</v>
      </c>
      <c r="B3583" s="0" t="s">
        <v>86</v>
      </c>
      <c r="C3583" s="38" t="n">
        <f aca="false">Q!$D$34</f>
        <v>2.406</v>
      </c>
      <c r="D3583" s="38" t="n">
        <f aca="false">Q!$E$34</f>
        <v>2.274</v>
      </c>
      <c r="E3583" s="38" t="n">
        <f aca="false">Q!$P$34</f>
        <v>2.114</v>
      </c>
      <c r="F3583" s="38" t="n">
        <f aca="false">Sens!$F$3621</f>
        <v>3.24888962733561</v>
      </c>
      <c r="G3583" s="38" t="n">
        <f aca="false">Sens!$E$3583+Sens!$F$3583</f>
        <v>5.36288962733561</v>
      </c>
      <c r="H3583" s="38" t="n">
        <f aca="false">Sens!$H$3621</f>
        <v>7.42354172302123</v>
      </c>
      <c r="I3583" s="38" t="n">
        <f aca="false">Sens!$I$3621</f>
        <v>8.349991768401</v>
      </c>
      <c r="J3583" s="38" t="n">
        <f aca="false">Sens!$J$3621</f>
        <v>9.43768020841892</v>
      </c>
      <c r="K3583" s="38" t="n">
        <f aca="false">Sens!$K$3621</f>
        <v>9.43768020841892</v>
      </c>
      <c r="L3583" s="38" t="n">
        <f aca="false">Sens!$L$3621</f>
        <v>9.43768020841892</v>
      </c>
      <c r="M3583" s="38" t="n">
        <f aca="false">Sens!$M$3621</f>
        <v>9.43768020841892</v>
      </c>
      <c r="N3583" s="38" t="n">
        <f aca="false">Q!$N$34</f>
        <v>1.057</v>
      </c>
      <c r="O3583" s="38" t="n">
        <f aca="false">Q!$O$34</f>
        <v>1.217</v>
      </c>
    </row>
    <row r="3584" customFormat="false" ht="15" hidden="false" customHeight="false" outlineLevel="0" collapsed="false">
      <c r="A3584" s="5" t="s">
        <v>746</v>
      </c>
      <c r="B3584" s="0" t="s">
        <v>86</v>
      </c>
      <c r="F3584" s="38" t="n">
        <f aca="false">Sens!$F$3622</f>
        <v>2.59</v>
      </c>
      <c r="H3584" s="38" t="n">
        <f aca="false">Sens!$H$3622</f>
        <v>3.79815729093016</v>
      </c>
      <c r="I3584" s="38" t="n">
        <f aca="false">Sens!$I$3622</f>
        <v>2.10589651022864</v>
      </c>
      <c r="J3584" s="38" t="n">
        <f aca="false">Sens!$J$3622</f>
        <v>2.10589651022864</v>
      </c>
      <c r="K3584" s="38" t="n">
        <f aca="false">Sens!$K$3622</f>
        <v>3.04543227056579</v>
      </c>
      <c r="L3584" s="38" t="n">
        <f aca="false">Sens!$L$3622</f>
        <v>8.02496840808791</v>
      </c>
      <c r="M3584" s="38" t="n">
        <f aca="false">Sens!$M$3622</f>
        <v>15.4345880310988</v>
      </c>
    </row>
    <row r="3585" customFormat="false" ht="17.15" hidden="false" customHeight="false" outlineLevel="0" collapsed="false">
      <c r="A3585" s="5" t="s">
        <v>747</v>
      </c>
      <c r="B3585" s="0" t="s">
        <v>86</v>
      </c>
      <c r="C3585" s="38" t="n">
        <f aca="false">Q!$D$39</f>
        <v>2.427</v>
      </c>
      <c r="D3585" s="38" t="n">
        <f aca="false">Q!$E$39</f>
        <v>19.61</v>
      </c>
      <c r="E3585" s="38" t="n">
        <f aca="false">Q!$P$39</f>
        <v>71.492</v>
      </c>
      <c r="F3585" s="39" t="n">
        <v>0</v>
      </c>
      <c r="G3585" s="38" t="n">
        <f aca="false">Sens!$E$3585+Sens!$F$3585</f>
        <v>71.492</v>
      </c>
      <c r="H3585" s="39" t="n">
        <v>0</v>
      </c>
      <c r="I3585" s="39" t="n">
        <v>0</v>
      </c>
      <c r="J3585" s="39" t="n">
        <v>0</v>
      </c>
      <c r="K3585" s="39" t="n">
        <v>0</v>
      </c>
      <c r="L3585" s="39" t="n">
        <v>0</v>
      </c>
      <c r="M3585" s="39" t="n">
        <v>0</v>
      </c>
      <c r="N3585" s="38" t="n">
        <f aca="false">Q!$N$39</f>
        <v>6.017</v>
      </c>
      <c r="O3585" s="38" t="n">
        <f aca="false">Q!$O$39</f>
        <v>13.593</v>
      </c>
      <c r="P3585" s="5" t="s">
        <v>748</v>
      </c>
    </row>
    <row r="3586" customFormat="false" ht="15" hidden="false" customHeight="false" outlineLevel="0" collapsed="false">
      <c r="A3586" s="5" t="s">
        <v>544</v>
      </c>
      <c r="B3586" s="0" t="s">
        <v>86</v>
      </c>
      <c r="C3586" s="38" t="n">
        <f aca="false">Q!$D$36</f>
        <v>68.614</v>
      </c>
      <c r="D3586" s="38" t="n">
        <f aca="false">Q!$E$36</f>
        <v>97.311</v>
      </c>
      <c r="E3586" s="38" t="n">
        <f aca="false">Q!$P$36</f>
        <v>120.691</v>
      </c>
      <c r="F3586" s="38" t="n">
        <f aca="false">Sens!$F$3562-Sens!$F$3583+Sens!$F$3584+Sens!$F$3585</f>
        <v>55.5386653761819</v>
      </c>
      <c r="G3586" s="38" t="n">
        <f aca="false">Sens!$E$3586+Sens!$F$3586</f>
        <v>176.229665376182</v>
      </c>
      <c r="H3586" s="38" t="n">
        <f aca="false">Sens!$H$3562-Sens!$H$3583+Sens!$H$3584+Sens!$H$3585</f>
        <v>122.318980152031</v>
      </c>
      <c r="I3586" s="38" t="n">
        <f aca="false">Sens!$I$3562-Sens!$I$3583+Sens!$I$3584+Sens!$I$3585</f>
        <v>139.078525142435</v>
      </c>
      <c r="J3586" s="38" t="n">
        <f aca="false">Sens!$J$3562-Sens!$J$3583+Sens!$J$3584+Sens!$J$3585</f>
        <v>155.897552665125</v>
      </c>
      <c r="K3586" s="38" t="n">
        <f aca="false">Sens!$K$3562-Sens!$K$3583+Sens!$K$3584+Sens!$K$3585</f>
        <v>168.067340255436</v>
      </c>
      <c r="L3586" s="38" t="n">
        <f aca="false">Sens!$L$3562-Sens!$L$3583+Sens!$L$3584+Sens!$L$3585</f>
        <v>185.129070885991</v>
      </c>
      <c r="M3586" s="38" t="n">
        <f aca="false">Sens!$M$3562-Sens!$M$3583+Sens!$M$3584+Sens!$M$3585</f>
        <v>204.363235290661</v>
      </c>
      <c r="N3586" s="38" t="n">
        <f aca="false">Q!$N$36</f>
        <v>42.536</v>
      </c>
      <c r="O3586" s="38" t="n">
        <f aca="false">Q!$O$36</f>
        <v>54.775</v>
      </c>
    </row>
    <row r="3587" customFormat="false" ht="15" hidden="false" customHeight="false" outlineLevel="0" collapsed="false">
      <c r="A3587" s="5" t="s">
        <v>545</v>
      </c>
      <c r="B3587" s="0" t="s">
        <v>86</v>
      </c>
      <c r="C3587" s="38" t="n">
        <f aca="false">Q!$D$37</f>
        <v>9.265</v>
      </c>
      <c r="D3587" s="38" t="n">
        <f aca="false">Q!$E$37</f>
        <v>19.087</v>
      </c>
      <c r="E3587" s="38" t="n">
        <f aca="false">Q!$P$37</f>
        <v>27.759</v>
      </c>
      <c r="F3587" s="38" t="n">
        <f aca="false">Sens!$F$3586*tax</f>
        <v>9.64065293848809</v>
      </c>
      <c r="G3587" s="38" t="n">
        <f aca="false">Sens!$E$3587+Sens!$F$3587</f>
        <v>37.3996529384881</v>
      </c>
      <c r="H3587" s="38" t="n">
        <f aca="false">Sens!$H$3586*tax</f>
        <v>21.232682266457</v>
      </c>
      <c r="I3587" s="38" t="n">
        <f aca="false">Sens!$I$3586*tax</f>
        <v>24.14187995</v>
      </c>
      <c r="J3587" s="38" t="n">
        <f aca="false">Sens!$J$3586*tax</f>
        <v>27.0614028807521</v>
      </c>
      <c r="K3587" s="38" t="n">
        <f aca="false">Sens!$K$3586*tax</f>
        <v>29.1738896986947</v>
      </c>
      <c r="L3587" s="38" t="n">
        <f aca="false">Sens!$L$3586*tax</f>
        <v>32.1355421335351</v>
      </c>
      <c r="M3587" s="38" t="n">
        <f aca="false">Sens!$M$3586*tax</f>
        <v>35.4742954566707</v>
      </c>
      <c r="N3587" s="38" t="n">
        <f aca="false">Q!$N$37</f>
        <v>7.231</v>
      </c>
      <c r="O3587" s="38" t="n">
        <f aca="false">Q!$O$37</f>
        <v>11.856</v>
      </c>
    </row>
    <row r="3588" customFormat="false" ht="15" hidden="false" customHeight="false" outlineLevel="0" collapsed="false">
      <c r="A3588" s="3" t="s">
        <v>546</v>
      </c>
      <c r="B3588" s="8" t="s">
        <v>86</v>
      </c>
      <c r="C3588" s="38" t="n">
        <f aca="false">Q!$D$38</f>
        <v>59.248</v>
      </c>
      <c r="D3588" s="38" t="n">
        <f aca="false">Q!$E$38</f>
        <v>77.67</v>
      </c>
      <c r="E3588" s="38" t="n">
        <f aca="false">Q!$P$38</f>
        <v>92.902</v>
      </c>
      <c r="F3588" s="38" t="n">
        <f aca="false">Sens!$F$3586-Sens!$F$3587</f>
        <v>45.8980124376938</v>
      </c>
      <c r="G3588" s="38" t="n">
        <f aca="false">Sens!$E$3588+Sens!$F$3588</f>
        <v>138.800012437694</v>
      </c>
      <c r="H3588" s="38" t="n">
        <f aca="false">Sens!$H$3586-Sens!$H$3587</f>
        <v>101.086297885574</v>
      </c>
      <c r="I3588" s="38" t="n">
        <f aca="false">Sens!$I$3586-Sens!$I$3587</f>
        <v>114.936645192435</v>
      </c>
      <c r="J3588" s="38" t="n">
        <f aca="false">Sens!$J$3586-Sens!$J$3587</f>
        <v>128.836149784373</v>
      </c>
      <c r="K3588" s="38" t="n">
        <f aca="false">Sens!$K$3586-Sens!$K$3587</f>
        <v>138.893450556741</v>
      </c>
      <c r="L3588" s="38" t="n">
        <f aca="false">Sens!$L$3586-Sens!$L$3587</f>
        <v>152.993528752456</v>
      </c>
      <c r="M3588" s="38" t="n">
        <f aca="false">Sens!$M$3586-Sens!$M$3587</f>
        <v>168.88893983399</v>
      </c>
      <c r="N3588" s="38" t="n">
        <f aca="false">Q!$N$38</f>
        <v>35.291</v>
      </c>
      <c r="O3588" s="38" t="n">
        <f aca="false">Q!$O$38</f>
        <v>42.379</v>
      </c>
    </row>
    <row r="3589" customFormat="false" ht="17.15" hidden="false" customHeight="false" outlineLevel="0" collapsed="false">
      <c r="A3589" s="5" t="s">
        <v>549</v>
      </c>
      <c r="B3589" s="5" t="s">
        <v>33</v>
      </c>
      <c r="C3589" s="22" t="n">
        <f aca="false">Q!$D$41</f>
        <v>10.721</v>
      </c>
      <c r="D3589" s="22" t="n">
        <f aca="false">Q!$E$41</f>
        <v>10.827</v>
      </c>
      <c r="E3589" s="22" t="n">
        <f aca="false">(Q!$L$41+Q!$M$41)/2</f>
        <v>10.8885</v>
      </c>
      <c r="F3589" s="22" t="n">
        <f aca="false">Sens!$G$3589</f>
        <v>10.924806</v>
      </c>
      <c r="G3589" s="22" t="n">
        <f aca="false">Q!$M$41*(1+sh_g*0.25)</f>
        <v>10.924806</v>
      </c>
      <c r="H3589" s="22" t="n">
        <f aca="false">Sens!$G$3589*(1+sh_g)</f>
        <v>11.012204448</v>
      </c>
      <c r="I3589" s="22" t="n">
        <f aca="false">Sens!$H$3589*(1+sh_g)</f>
        <v>11.100302083584</v>
      </c>
      <c r="J3589" s="22" t="n">
        <f aca="false">Sens!$I$3589*(1+sh_g)</f>
        <v>11.1891045002527</v>
      </c>
      <c r="K3589" s="22" t="n">
        <f aca="false">Sens!$J$3589*(1+sh_g)</f>
        <v>11.2786173362547</v>
      </c>
      <c r="L3589" s="22" t="n">
        <f aca="false">Sens!$K$3589*(1+sh_g)</f>
        <v>11.3688462749447</v>
      </c>
      <c r="M3589" s="22" t="n">
        <f aca="false">Sens!$L$3589*(1+sh_g)</f>
        <v>11.4597970451443</v>
      </c>
      <c r="P3589" s="5" t="s">
        <v>749</v>
      </c>
    </row>
    <row r="3590" customFormat="false" ht="17.15" hidden="false" customHeight="false" outlineLevel="0" collapsed="false">
      <c r="A3590" s="5" t="s">
        <v>750</v>
      </c>
      <c r="B3590" s="0" t="s">
        <v>86</v>
      </c>
      <c r="C3590" s="38" t="n">
        <f aca="false">Sens!$C$3588+Sens!$C$3564*(1-tax)</f>
        <v>59.248</v>
      </c>
      <c r="D3590" s="38" t="n">
        <f aca="false">Sens!$D$3588+Sens!$D$3564*(1-tax)</f>
        <v>77.67</v>
      </c>
      <c r="E3590" s="38" t="n">
        <f aca="false">Sens!$E$3588+Sens!$E$3564*(1-tax)</f>
        <v>92.902</v>
      </c>
      <c r="F3590" s="38" t="n">
        <f aca="false">Sens!$F$3588+Sens!$F$3564*(1-tax)</f>
        <v>49.0146073973424</v>
      </c>
      <c r="G3590" s="38" t="n">
        <f aca="false">Sens!$G$3588+Sens!$G$3564*(1-tax)</f>
        <v>141.916607397342</v>
      </c>
      <c r="H3590" s="38" t="n">
        <f aca="false">Sens!$H$3588+Sens!$H$3564*(1-tax)</f>
        <v>113.617693840919</v>
      </c>
      <c r="I3590" s="38" t="n">
        <f aca="false">Sens!$I$3588+Sens!$I$3564*(1-tax)</f>
        <v>136.077910267374</v>
      </c>
      <c r="J3590" s="38" t="n">
        <f aca="false">Sens!$J$3588+Sens!$J$3564*(1-tax)</f>
        <v>158.625586728656</v>
      </c>
      <c r="K3590" s="38" t="n">
        <f aca="false">Sens!$K$3588+Sens!$K$3564*(1-tax)</f>
        <v>176.0607562534</v>
      </c>
      <c r="L3590" s="38" t="n">
        <f aca="false">Sens!$L$3588+Sens!$L$3564*(1-tax)</f>
        <v>195.009606093011</v>
      </c>
      <c r="M3590" s="38" t="n">
        <f aca="false">Sens!$M$3588+Sens!$M$3564*(1-tax)</f>
        <v>213.218462024831</v>
      </c>
      <c r="N3590" s="38" t="n">
        <f aca="false">Sens!$N$3588+Sens!$N$3564*(1-tax)</f>
        <v>35.291</v>
      </c>
      <c r="O3590" s="38" t="n">
        <f aca="false">Sens!$O$3588+Sens!$O$3564*(1-tax)</f>
        <v>42.379</v>
      </c>
    </row>
    <row r="3591" customFormat="false" ht="17.15" hidden="false" customHeight="false" outlineLevel="0" collapsed="false">
      <c r="A3591" s="43" t="s">
        <v>751</v>
      </c>
      <c r="B3591" s="14" t="s">
        <v>27</v>
      </c>
      <c r="C3591" s="44" t="n">
        <f aca="false">Sens!$C$3590/Sens!$C$3589</f>
        <v>5.52635015390355</v>
      </c>
      <c r="D3591" s="44" t="n">
        <f aca="false">Sens!$D$3590/Sens!$D$3589</f>
        <v>7.1737323358271</v>
      </c>
      <c r="E3591" s="44" t="n">
        <f aca="false">Sens!$E$3590/Sens!$E$3589</f>
        <v>8.53212104513937</v>
      </c>
      <c r="F3591" s="14"/>
      <c r="G3591" s="44" t="n">
        <f aca="false">Sens!$G$3590/Sens!$G$3589</f>
        <v>12.9903091549033</v>
      </c>
      <c r="H3591" s="44" t="n">
        <f aca="false">Sens!$H$3590/Sens!$H$3589</f>
        <v>10.3174341138893</v>
      </c>
      <c r="I3591" s="44" t="n">
        <f aca="false">Sens!$I$3590/Sens!$I$3589</f>
        <v>12.2589375714934</v>
      </c>
      <c r="J3591" s="44" t="n">
        <f aca="false">Sens!$J$3590/Sens!$J$3589</f>
        <v>14.1767901734294</v>
      </c>
      <c r="K3591" s="44" t="n">
        <f aca="false">Sens!$K$3590/Sens!$K$3589</f>
        <v>15.6101365091498</v>
      </c>
      <c r="L3591" s="44" t="n">
        <f aca="false">Sens!$L$3590/Sens!$L$3589</f>
        <v>17.1529811712543</v>
      </c>
      <c r="M3591" s="44" t="n">
        <f aca="false">Sens!$M$3590/Sens!$M$3589</f>
        <v>18.6057799439978</v>
      </c>
      <c r="N3591" s="14"/>
      <c r="O3591" s="14"/>
    </row>
    <row r="3592" customFormat="false" ht="17.15" hidden="false" customHeight="false" outlineLevel="0" collapsed="false">
      <c r="A3592" s="0" t="s">
        <v>752</v>
      </c>
      <c r="B3592" s="0" t="s">
        <v>27</v>
      </c>
      <c r="C3592" s="30" t="n">
        <f aca="false">Sens!$C$3588/Sens!$C$3589</f>
        <v>5.52635015390355</v>
      </c>
      <c r="D3592" s="30" t="n">
        <f aca="false">Sens!$D$3588/Sens!$D$3589</f>
        <v>7.1737323358271</v>
      </c>
      <c r="E3592" s="30" t="n">
        <f aca="false">Sens!$E$3588/Sens!$E$3589</f>
        <v>8.53212104513937</v>
      </c>
      <c r="G3592" s="30" t="n">
        <f aca="false">Sens!$G$3588/Sens!$G$3589</f>
        <v>12.705032239263</v>
      </c>
      <c r="H3592" s="30" t="n">
        <f aca="false">Sens!$H$3588/Sens!$H$3589</f>
        <v>9.17947885574658</v>
      </c>
      <c r="I3592" s="30" t="n">
        <f aca="false">Sens!$I$3588/Sens!$I$3589</f>
        <v>10.3543709285545</v>
      </c>
      <c r="J3592" s="30" t="n">
        <f aca="false">Sens!$J$3588/Sens!$J$3589</f>
        <v>11.5144290395593</v>
      </c>
      <c r="K3592" s="30" t="n">
        <f aca="false">Sens!$K$3588/Sens!$K$3589</f>
        <v>12.314758663748</v>
      </c>
      <c r="L3592" s="30" t="n">
        <f aca="false">Sens!$L$3588/Sens!$L$3589</f>
        <v>13.4572607503394</v>
      </c>
      <c r="M3592" s="30" t="n">
        <f aca="false">Sens!$M$3588/Sens!$M$3589</f>
        <v>14.7375157839773</v>
      </c>
    </row>
    <row r="3593" customFormat="false" ht="17.15" hidden="false" customHeight="false" outlineLevel="0" collapsed="false">
      <c r="A3593" s="0" t="s">
        <v>753</v>
      </c>
      <c r="B3593" s="0" t="s">
        <v>27</v>
      </c>
      <c r="C3593" s="30" t="n">
        <f aca="false">(Sens!$C$3588-Sens!$C$3585*(1-tax))/Sens!$C$3589</f>
        <v>5.33926775917445</v>
      </c>
      <c r="D3593" s="30" t="n">
        <f aca="false">(Sens!$D$3588-Sens!$D$3585*(1-tax))/Sens!$D$3589</f>
        <v>5.67691812755503</v>
      </c>
      <c r="E3593" s="30" t="n">
        <f aca="false">(Sens!$E$3588-Sens!$E$3585*(1-tax))/Sens!$E$3589</f>
        <v>3.10602057006846</v>
      </c>
      <c r="G3593" s="30" t="n">
        <f aca="false">(Sens!$G$3588-Sens!$G$3585*(1-tax))/Sens!$G$3589</f>
        <v>7.29696412136601</v>
      </c>
      <c r="H3593" s="30" t="n">
        <f aca="false">(Sens!$H$3588-Sens!$H$3585*(1-tax))/Sens!$H$3589</f>
        <v>9.17947885574658</v>
      </c>
      <c r="I3593" s="30" t="n">
        <f aca="false">(Sens!$I$3588-Sens!$I$3585*(1-tax))/Sens!$I$3589</f>
        <v>10.3543709285545</v>
      </c>
      <c r="J3593" s="30" t="n">
        <f aca="false">(Sens!$J$3588-Sens!$J$3585*(1-tax))/Sens!$J$3589</f>
        <v>11.5144290395593</v>
      </c>
      <c r="K3593" s="30" t="n">
        <f aca="false">(Sens!$K$3588-Sens!$K$3585*(1-tax))/Sens!$K$3589</f>
        <v>12.314758663748</v>
      </c>
      <c r="L3593" s="30" t="n">
        <f aca="false">(Sens!$L$3588-Sens!$L$3585*(1-tax))/Sens!$L$3589</f>
        <v>13.4572607503394</v>
      </c>
      <c r="M3593" s="30" t="n">
        <f aca="false">(Sens!$M$3588-Sens!$M$3585*(1-tax))/Sens!$M$3589</f>
        <v>14.7375157839773</v>
      </c>
      <c r="P3593" s="5" t="s">
        <v>754</v>
      </c>
    </row>
    <row r="3594" customFormat="false" ht="17.15" hidden="false" customHeight="false" outlineLevel="0" collapsed="false">
      <c r="A3594" s="0" t="s">
        <v>755</v>
      </c>
      <c r="B3594" s="0" t="s">
        <v>52</v>
      </c>
      <c r="H3594" s="13" t="n">
        <f aca="false">Sens!$H$3591/Sens!$G$3591-1</f>
        <v>-0.205759155470526</v>
      </c>
      <c r="I3594" s="13" t="n">
        <f aca="false">Sens!$I$3591/Sens!$H$3591-1</f>
        <v>0.1881769668866</v>
      </c>
      <c r="J3594" s="13" t="n">
        <f aca="false">Sens!$J$3591/Sens!$I$3591-1</f>
        <v>0.15644525398316</v>
      </c>
      <c r="K3594" s="13" t="n">
        <f aca="false">Sens!$K$3591/Sens!$J$3591-1</f>
        <v>0.101105138623475</v>
      </c>
      <c r="L3594" s="13" t="n">
        <f aca="false">Sens!$L$3591/Sens!$K$3591-1</f>
        <v>0.0988360775192498</v>
      </c>
      <c r="M3594" s="13" t="n">
        <f aca="false">Sens!$M$3591/Sens!$L$3591-1</f>
        <v>0.0846965759618623</v>
      </c>
    </row>
    <row r="3597" customFormat="false" ht="19.4" hidden="false" customHeight="false" outlineLevel="0" collapsed="false">
      <c r="A3597" s="31" t="s">
        <v>1200</v>
      </c>
    </row>
    <row r="3598" customFormat="false" ht="17.15" hidden="false" customHeight="false" outlineLevel="0" collapsed="false">
      <c r="A3598" s="6" t="s">
        <v>16</v>
      </c>
      <c r="B3598" s="6" t="s">
        <v>17</v>
      </c>
      <c r="C3598" s="20" t="s">
        <v>494</v>
      </c>
      <c r="D3598" s="20" t="s">
        <v>495</v>
      </c>
      <c r="E3598" s="20" t="s">
        <v>577</v>
      </c>
      <c r="F3598" s="20" t="s">
        <v>578</v>
      </c>
      <c r="G3598" s="20" t="s">
        <v>579</v>
      </c>
      <c r="H3598" s="20" t="s">
        <v>580</v>
      </c>
      <c r="I3598" s="20" t="s">
        <v>581</v>
      </c>
      <c r="J3598" s="20" t="s">
        <v>582</v>
      </c>
      <c r="K3598" s="20" t="s">
        <v>583</v>
      </c>
      <c r="L3598" s="20" t="s">
        <v>584</v>
      </c>
      <c r="M3598" s="20" t="s">
        <v>585</v>
      </c>
      <c r="N3598" s="20" t="s">
        <v>586</v>
      </c>
      <c r="O3598" s="20" t="s">
        <v>587</v>
      </c>
      <c r="P3598" s="6" t="s">
        <v>23</v>
      </c>
      <c r="R3598" s="20" t="n">
        <v>2023</v>
      </c>
      <c r="S3598" s="20" t="n">
        <v>2024</v>
      </c>
      <c r="T3598" s="20" t="n">
        <v>2025</v>
      </c>
      <c r="U3598" s="20" t="n">
        <v>2026</v>
      </c>
      <c r="V3598" s="20" t="n">
        <v>2027</v>
      </c>
      <c r="W3598" s="20" t="n">
        <v>2028</v>
      </c>
      <c r="X3598" s="20" t="n">
        <v>2029</v>
      </c>
      <c r="Y3598" s="20" t="n">
        <v>2030</v>
      </c>
      <c r="Z3598" s="20" t="n">
        <v>2031</v>
      </c>
      <c r="AA3598" s="20" t="n">
        <v>2032</v>
      </c>
    </row>
    <row r="3599" customFormat="false" ht="15" hidden="false" customHeight="false" outlineLevel="0" collapsed="false">
      <c r="A3599" s="5" t="s">
        <v>546</v>
      </c>
      <c r="B3599" s="0" t="s">
        <v>86</v>
      </c>
      <c r="C3599" s="38" t="n">
        <f aca="false">Sens!$C$3588</f>
        <v>59.248</v>
      </c>
      <c r="D3599" s="38" t="n">
        <f aca="false">Sens!$D$3588</f>
        <v>77.67</v>
      </c>
      <c r="E3599" s="38" t="n">
        <f aca="false">Sens!$E$3588</f>
        <v>92.902</v>
      </c>
      <c r="F3599" s="38" t="n">
        <f aca="false">Sens!$F$3588</f>
        <v>45.8980124376938</v>
      </c>
      <c r="G3599" s="38" t="n">
        <f aca="false">Sens!$G$3588</f>
        <v>138.800012437694</v>
      </c>
      <c r="H3599" s="38" t="n">
        <f aca="false">Sens!$H$3588</f>
        <v>101.086297885574</v>
      </c>
      <c r="I3599" s="38" t="n">
        <f aca="false">Sens!$I$3588</f>
        <v>114.936645192435</v>
      </c>
      <c r="J3599" s="38" t="n">
        <f aca="false">Sens!$J$3588</f>
        <v>128.836149784373</v>
      </c>
      <c r="K3599" s="38" t="n">
        <f aca="false">Sens!$K$3588</f>
        <v>138.893450556741</v>
      </c>
      <c r="L3599" s="38" t="n">
        <f aca="false">Sens!$L$3588</f>
        <v>152.993528752456</v>
      </c>
      <c r="M3599" s="38" t="n">
        <f aca="false">Sens!$M$3588</f>
        <v>168.88893983399</v>
      </c>
    </row>
    <row r="3600" customFormat="false" ht="17.15" hidden="false" customHeight="false" outlineLevel="0" collapsed="false">
      <c r="A3600" s="5" t="s">
        <v>778</v>
      </c>
      <c r="B3600" s="0" t="s">
        <v>86</v>
      </c>
      <c r="C3600" s="38" t="n">
        <f aca="false">Sens!$C$3576</f>
        <v>32.067</v>
      </c>
      <c r="D3600" s="38" t="n">
        <f aca="false">Sens!$D$3576</f>
        <v>41.86</v>
      </c>
      <c r="E3600" s="38" t="n">
        <f aca="false">Sens!$E$3576</f>
        <v>26.703</v>
      </c>
      <c r="F3600" s="38" t="n">
        <f aca="false">Sens!$F$3576</f>
        <v>29.2913179650864</v>
      </c>
      <c r="G3600" s="38" t="n">
        <f aca="false">Sens!$G$3576</f>
        <v>55.9943179650864</v>
      </c>
      <c r="H3600" s="38" t="n">
        <f aca="false">Sens!$H$3576</f>
        <v>84.3163410985152</v>
      </c>
      <c r="I3600" s="38" t="n">
        <f aca="false">Sens!$I$3576</f>
        <v>117.040344991004</v>
      </c>
      <c r="J3600" s="38" t="n">
        <f aca="false">Sens!$J$3576</f>
        <v>150.498981474685</v>
      </c>
      <c r="K3600" s="38" t="n">
        <f aca="false">Sens!$K$3576</f>
        <v>184.188121970284</v>
      </c>
      <c r="L3600" s="38" t="n">
        <f aca="false">Sens!$L$3576</f>
        <v>207.768718060808</v>
      </c>
      <c r="M3600" s="38" t="n">
        <f aca="false">Sens!$M$3576</f>
        <v>224.003934647752</v>
      </c>
    </row>
    <row r="3601" customFormat="false" ht="15" hidden="false" customHeight="false" outlineLevel="0" collapsed="false">
      <c r="A3601" s="5" t="s">
        <v>779</v>
      </c>
      <c r="B3601" s="0" t="s">
        <v>86</v>
      </c>
      <c r="C3601" s="38" t="n">
        <f aca="false">Q!$D$48</f>
        <v>22.011</v>
      </c>
      <c r="D3601" s="38" t="n">
        <f aca="false">Q!$E$48</f>
        <v>19.467</v>
      </c>
      <c r="E3601" s="38" t="n">
        <f aca="false">Q!$P$48</f>
        <v>10.07</v>
      </c>
      <c r="F3601" s="38" t="n">
        <f aca="false">sbc_r*Sens!$F$3518</f>
        <v>10.8507035798037</v>
      </c>
      <c r="G3601" s="38" t="n">
        <f aca="false">Sens!$E$3601+Sens!$F$3601</f>
        <v>20.9207035798037</v>
      </c>
      <c r="H3601" s="38" t="n">
        <f aca="false">sbc_r*Sens!$H$3518</f>
        <v>23.46224366345</v>
      </c>
      <c r="I3601" s="38" t="n">
        <f aca="false">sbc_r*Sens!$I$3518</f>
        <v>26.6125957111676</v>
      </c>
      <c r="J3601" s="38" t="n">
        <f aca="false">sbc_r*Sens!$J$3518</f>
        <v>29.6280801413323</v>
      </c>
      <c r="K3601" s="38" t="n">
        <f aca="false">sbc_r*Sens!$K$3518</f>
        <v>32.2712258901105</v>
      </c>
      <c r="L3601" s="38" t="n">
        <f aca="false">sbc_r*Sens!$L$3518</f>
        <v>34.7390505016737</v>
      </c>
      <c r="M3601" s="38" t="n">
        <f aca="false">sbc_r*Sens!$M$3518</f>
        <v>37.0405146906692</v>
      </c>
    </row>
    <row r="3602" customFormat="false" ht="17.15" hidden="false" customHeight="false" outlineLevel="0" collapsed="false">
      <c r="A3602" s="5" t="s">
        <v>780</v>
      </c>
      <c r="B3602" s="0" t="s">
        <v>86</v>
      </c>
      <c r="C3602" s="38" t="n">
        <f aca="false">Q!$D$44-Sens!$C$3599-Sens!$C$3600-Sens!$C$3601</f>
        <v>2.551</v>
      </c>
      <c r="D3602" s="38" t="n">
        <f aca="false">Q!$E$44-Sens!$D$3599-Sens!$D$3600-Sens!$D$3601</f>
        <v>0.51700000000001</v>
      </c>
      <c r="E3602" s="38" t="n">
        <f aca="false">Q!$P$44-Sens!$E$3599-Sens!$E$3600-Sens!$E$3601</f>
        <v>-58.256</v>
      </c>
      <c r="F3602" s="38" t="n">
        <f aca="false">oth_r*Sens!$F$3518</f>
        <v>5.22265251035878</v>
      </c>
      <c r="G3602" s="38" t="n">
        <f aca="false">Sens!$E$3602+Sens!$F$3602</f>
        <v>-53.0333474896412</v>
      </c>
      <c r="H3602" s="38" t="n">
        <f aca="false">oth_r*Sens!$H$3518</f>
        <v>11.2928295263397</v>
      </c>
      <c r="I3602" s="38" t="n">
        <f aca="false">oth_r*Sens!$I$3518</f>
        <v>12.8091546115766</v>
      </c>
      <c r="J3602" s="38" t="n">
        <f aca="false">oth_r*Sens!$J$3518</f>
        <v>14.2605653162668</v>
      </c>
      <c r="K3602" s="38" t="n">
        <f aca="false">oth_r*Sens!$K$3518</f>
        <v>15.5327622460396</v>
      </c>
      <c r="L3602" s="38" t="n">
        <f aca="false">oth_r*Sens!$L$3518</f>
        <v>16.720573737517</v>
      </c>
      <c r="M3602" s="38" t="n">
        <f aca="false">oth_r*Sens!$M$3518</f>
        <v>17.8283127551536</v>
      </c>
      <c r="P3602" s="8" t="s">
        <v>781</v>
      </c>
    </row>
    <row r="3603" customFormat="false" ht="15" hidden="false" customHeight="false" outlineLevel="0" collapsed="false">
      <c r="A3603" s="3" t="s">
        <v>552</v>
      </c>
      <c r="B3603" s="8" t="s">
        <v>86</v>
      </c>
      <c r="C3603" s="38" t="n">
        <f aca="false">Q!$D$44</f>
        <v>115.877</v>
      </c>
      <c r="D3603" s="38" t="n">
        <f aca="false">Q!$E$44</f>
        <v>139.514</v>
      </c>
      <c r="E3603" s="38" t="n">
        <f aca="false">Q!$P$44</f>
        <v>71.419</v>
      </c>
      <c r="F3603" s="38" t="n">
        <f aca="false">Sens!$F$3599+Sens!$F$3600+Sens!$F$3601+Sens!$F$3602</f>
        <v>91.2626864929426</v>
      </c>
      <c r="G3603" s="38" t="n">
        <f aca="false">Sens!$E$3603+Sens!$F$3603</f>
        <v>162.681686492943</v>
      </c>
      <c r="H3603" s="38" t="n">
        <f aca="false">Sens!$H$3599+Sens!$H$3600+Sens!$H$3601+Sens!$H$3602</f>
        <v>220.157712173879</v>
      </c>
      <c r="I3603" s="38" t="n">
        <f aca="false">Sens!$I$3599+Sens!$I$3600+Sens!$I$3601+Sens!$I$3602</f>
        <v>271.398740506183</v>
      </c>
      <c r="J3603" s="38" t="n">
        <f aca="false">Sens!$J$3599+Sens!$J$3600+Sens!$J$3601+Sens!$J$3602</f>
        <v>323.223776716656</v>
      </c>
      <c r="K3603" s="38" t="n">
        <f aca="false">Sens!$K$3599+Sens!$K$3600+Sens!$K$3601+Sens!$K$3602</f>
        <v>370.885560663175</v>
      </c>
      <c r="L3603" s="38" t="n">
        <f aca="false">Sens!$L$3599+Sens!$L$3600+Sens!$L$3601+Sens!$L$3602</f>
        <v>412.221871052454</v>
      </c>
      <c r="M3603" s="38" t="n">
        <f aca="false">Sens!$M$3599+Sens!$M$3600+Sens!$M$3601+Sens!$M$3602</f>
        <v>447.761701927565</v>
      </c>
    </row>
    <row r="3604" customFormat="false" ht="17.15" hidden="false" customHeight="false" outlineLevel="0" collapsed="false">
      <c r="A3604" s="5" t="s">
        <v>782</v>
      </c>
      <c r="B3604" s="0" t="s">
        <v>86</v>
      </c>
      <c r="C3604" s="38" t="n">
        <f aca="false">Sens!$C$3487</f>
        <v>25.2781053077374</v>
      </c>
      <c r="D3604" s="38" t="n">
        <f aca="false">Sens!$D$3487</f>
        <v>69.5686316310026</v>
      </c>
      <c r="E3604" s="38" t="n">
        <f aca="false">Sens!$E$3487</f>
        <v>64.1899206485108</v>
      </c>
      <c r="F3604" s="38" t="n">
        <f aca="false">Sens!$F$3487</f>
        <v>96.2481299895</v>
      </c>
      <c r="G3604" s="38" t="n">
        <f aca="false">Sens!$G$3487</f>
        <v>160.438050638011</v>
      </c>
      <c r="H3604" s="38" t="n">
        <f aca="false">Sens!$H$3487</f>
        <v>198.57136494475</v>
      </c>
      <c r="I3604" s="38" t="n">
        <f aca="false">Sens!$I$3487</f>
        <v>204.6464699105</v>
      </c>
      <c r="J3604" s="38" t="n">
        <f aca="false">Sens!$J$3487</f>
        <v>209.8832381105</v>
      </c>
      <c r="K3604" s="38" t="n">
        <f aca="false">Sens!$K$3487</f>
        <v>155.238385275201</v>
      </c>
      <c r="L3604" s="38" t="n">
        <f aca="false">Sens!$L$3487</f>
        <v>132.014141639902</v>
      </c>
      <c r="M3604" s="38" t="n">
        <f aca="false">Sens!$M$3487</f>
        <v>132.230981659852</v>
      </c>
    </row>
    <row r="3605" customFormat="false" ht="17.15" hidden="false" customHeight="false" outlineLevel="0" collapsed="false">
      <c r="A3605" s="5" t="s">
        <v>783</v>
      </c>
      <c r="B3605" s="0" t="s">
        <v>86</v>
      </c>
      <c r="C3605" s="38" t="n">
        <f aca="false">cx_awso*Sens!$C$3516</f>
        <v>21.0469989286053</v>
      </c>
      <c r="D3605" s="38" t="n">
        <f aca="false">cx_awso*Sens!$D$3516</f>
        <v>24.0042459822698</v>
      </c>
      <c r="E3605" s="38" t="n">
        <f aca="false">cx_awso*Sens!$E$3516</f>
        <v>14.261729404886</v>
      </c>
      <c r="F3605" s="38" t="n">
        <f aca="false">cx_awso*Sens!$F$3516</f>
        <v>14.3538599588493</v>
      </c>
      <c r="G3605" s="38" t="n">
        <f aca="false">Sens!$E$3605+Sens!$F$3605</f>
        <v>28.6155893637353</v>
      </c>
      <c r="H3605" s="38" t="n">
        <f aca="false">cx_awso*Sens!$H$3516</f>
        <v>32.2034154158406</v>
      </c>
      <c r="I3605" s="38" t="n">
        <f aca="false">cx_awso*Sens!$I$3516</f>
        <v>35.7539519042915</v>
      </c>
      <c r="J3605" s="38" t="n">
        <f aca="false">cx_awso*Sens!$J$3516</f>
        <v>39.1551076091815</v>
      </c>
      <c r="K3605" s="38" t="n">
        <f aca="false">cx_awso*Sens!$K$3516</f>
        <v>42.287516217916</v>
      </c>
      <c r="L3605" s="38" t="n">
        <f aca="false">cx_awso*Sens!$L$3516</f>
        <v>45.6705175153492</v>
      </c>
      <c r="M3605" s="38" t="n">
        <f aca="false">cx_awso*Sens!$M$3516</f>
        <v>49.3241589165772</v>
      </c>
    </row>
    <row r="3606" customFormat="false" ht="17.15" hidden="false" customHeight="false" outlineLevel="0" collapsed="false">
      <c r="A3606" s="5" t="s">
        <v>784</v>
      </c>
      <c r="B3606" s="0" t="s">
        <v>86</v>
      </c>
      <c r="C3606" s="38" t="n">
        <f aca="false">Q!$D$46-Sens!$C$3604-Sens!$C$3605</f>
        <v>31.3328957636573</v>
      </c>
      <c r="D3606" s="38" t="n">
        <f aca="false">Q!$E$46-Sens!$D$3604-Sens!$D$3605</f>
        <v>34.7471223867276</v>
      </c>
      <c r="E3606" s="38" t="n">
        <f aca="false">Q!$P$46-Sens!$E$3604-Sens!$E$3605</f>
        <v>17.8583499466032</v>
      </c>
      <c r="F3606" s="38" t="n">
        <f aca="false">cx_rt*Sens!$F$3450</f>
        <v>20.6195895799373</v>
      </c>
      <c r="G3606" s="38" t="n">
        <f aca="false">Sens!$E$3606+Sens!$F$3606</f>
        <v>38.4779395265405</v>
      </c>
      <c r="H3606" s="38" t="n">
        <f aca="false">cx_rt*Sens!$H$3450</f>
        <v>42.5978994743075</v>
      </c>
      <c r="I3606" s="38" t="n">
        <f aca="false">cx_rt*Sens!$I$3450</f>
        <v>46.5813904136335</v>
      </c>
      <c r="J3606" s="38" t="n">
        <f aca="false">cx_rt*Sens!$J$3450</f>
        <v>50.2781676586844</v>
      </c>
      <c r="K3606" s="38" t="n">
        <f aca="false">cx_rt*Sens!$K$3450</f>
        <v>53.5312440191755</v>
      </c>
      <c r="L3606" s="38" t="n">
        <f aca="false">cx_rt*Sens!$L$3450</f>
        <v>57.0116717051447</v>
      </c>
      <c r="M3606" s="38" t="n">
        <f aca="false">cx_rt*Sens!$M$3450</f>
        <v>60.7365554669226</v>
      </c>
    </row>
    <row r="3607" customFormat="false" ht="15" hidden="false" customHeight="false" outlineLevel="0" collapsed="false">
      <c r="A3607" s="3" t="s">
        <v>785</v>
      </c>
      <c r="B3607" s="8" t="s">
        <v>86</v>
      </c>
      <c r="C3607" s="38" t="n">
        <f aca="false">Q!$D$46</f>
        <v>77.658</v>
      </c>
      <c r="D3607" s="38" t="n">
        <f aca="false">Q!$E$46</f>
        <v>128.32</v>
      </c>
      <c r="E3607" s="38" t="n">
        <f aca="false">Q!$P$46</f>
        <v>96.31</v>
      </c>
      <c r="F3607" s="38" t="n">
        <f aca="false">Sens!$F$3604+Sens!$F$3605+Sens!$F$3606</f>
        <v>131.221579528287</v>
      </c>
      <c r="G3607" s="38" t="n">
        <f aca="false">Sens!$E$3607+Sens!$F$3607</f>
        <v>227.531579528287</v>
      </c>
      <c r="H3607" s="38" t="n">
        <f aca="false">Sens!$H$3604+Sens!$H$3605+Sens!$H$3606</f>
        <v>273.372679834898</v>
      </c>
      <c r="I3607" s="38" t="n">
        <f aca="false">Sens!$I$3604+Sens!$I$3605+Sens!$I$3606</f>
        <v>286.981812228425</v>
      </c>
      <c r="J3607" s="38" t="n">
        <f aca="false">Sens!$J$3604+Sens!$J$3605+Sens!$J$3606</f>
        <v>299.316513378366</v>
      </c>
      <c r="K3607" s="38" t="n">
        <f aca="false">Sens!$K$3604+Sens!$K$3605+Sens!$K$3606</f>
        <v>251.057145512292</v>
      </c>
      <c r="L3607" s="38" t="n">
        <f aca="false">Sens!$L$3604+Sens!$L$3605+Sens!$L$3606</f>
        <v>234.696330860396</v>
      </c>
      <c r="M3607" s="38" t="n">
        <f aca="false">Sens!$M$3604+Sens!$M$3605+Sens!$M$3606</f>
        <v>242.291696043352</v>
      </c>
    </row>
    <row r="3608" customFormat="false" ht="17.15" hidden="false" customHeight="false" outlineLevel="0" collapsed="false">
      <c r="A3608" s="5" t="s">
        <v>560</v>
      </c>
      <c r="B3608" s="0" t="s">
        <v>86</v>
      </c>
      <c r="C3608" s="38" t="n">
        <f aca="false">Q!$D$50</f>
        <v>2.043</v>
      </c>
      <c r="D3608" s="38" t="n">
        <f aca="false">Q!$E$50</f>
        <v>1.557</v>
      </c>
      <c r="E3608" s="38" t="n">
        <f aca="false">lease_pr/2</f>
        <v>0.8</v>
      </c>
      <c r="F3608" s="38" t="n">
        <f aca="false">lease_pr/2</f>
        <v>0.8</v>
      </c>
      <c r="G3608" s="38" t="n">
        <f aca="false">Sens!$E$3608+Sens!$F$3608</f>
        <v>1.6</v>
      </c>
      <c r="H3608" s="38" t="n">
        <f aca="false">lease_pr</f>
        <v>1.6</v>
      </c>
      <c r="I3608" s="38" t="n">
        <f aca="false">lease_pr</f>
        <v>1.6</v>
      </c>
      <c r="J3608" s="38" t="n">
        <f aca="false">lease_pr</f>
        <v>1.6</v>
      </c>
      <c r="K3608" s="38" t="n">
        <f aca="false">lease_pr</f>
        <v>1.6</v>
      </c>
      <c r="L3608" s="38" t="n">
        <f aca="false">lease_pr</f>
        <v>1.6</v>
      </c>
      <c r="M3608" s="38" t="n">
        <f aca="false">lease_pr</f>
        <v>1.6</v>
      </c>
      <c r="P3608" s="8" t="s">
        <v>786</v>
      </c>
    </row>
    <row r="3609" customFormat="false" ht="15" hidden="false" customHeight="false" outlineLevel="0" collapsed="false">
      <c r="A3609" s="47" t="s">
        <v>787</v>
      </c>
      <c r="B3609" s="14" t="s">
        <v>86</v>
      </c>
      <c r="C3609" s="48" t="n">
        <f aca="false">Sens!$C$3603-Sens!$C$3607-Sens!$C$3608</f>
        <v>36.176</v>
      </c>
      <c r="D3609" s="48" t="n">
        <f aca="false">Sens!$D$3603-Sens!$D$3607-Sens!$D$3608</f>
        <v>9.63700000000002</v>
      </c>
      <c r="E3609" s="48" t="n">
        <f aca="false">Sens!$E$3603-Sens!$E$3607-Sens!$E$3608</f>
        <v>-25.691</v>
      </c>
      <c r="F3609" s="48" t="n">
        <f aca="false">Sens!$F$3603-Sens!$F$3607-Sens!$F$3608</f>
        <v>-40.758893035344</v>
      </c>
      <c r="G3609" s="48" t="n">
        <f aca="false">Sens!$G$3603-Sens!$G$3607-Sens!$G$3608</f>
        <v>-66.4498930353441</v>
      </c>
      <c r="H3609" s="48" t="n">
        <f aca="false">Sens!$H$3603-Sens!$H$3607-Sens!$H$3608</f>
        <v>-54.8149676610188</v>
      </c>
      <c r="I3609" s="48" t="n">
        <f aca="false">Sens!$I$3603-Sens!$I$3607-Sens!$I$3608</f>
        <v>-17.1830717222421</v>
      </c>
      <c r="J3609" s="48" t="n">
        <f aca="false">Sens!$J$3603-Sens!$J$3607-Sens!$J$3608</f>
        <v>22.3072633382906</v>
      </c>
      <c r="K3609" s="48" t="n">
        <f aca="false">Sens!$K$3603-Sens!$K$3607-Sens!$K$3608</f>
        <v>118.228415150882</v>
      </c>
      <c r="L3609" s="48" t="n">
        <f aca="false">Sens!$L$3603-Sens!$L$3607-Sens!$L$3608</f>
        <v>175.925540192059</v>
      </c>
      <c r="M3609" s="48" t="n">
        <f aca="false">Sens!$M$3603-Sens!$M$3607-Sens!$M$3608</f>
        <v>203.870005884213</v>
      </c>
      <c r="N3609" s="14"/>
      <c r="O3609" s="14"/>
    </row>
    <row r="3610" customFormat="false" ht="17.15" hidden="false" customHeight="false" outlineLevel="0" collapsed="false">
      <c r="A3610" s="5" t="s">
        <v>788</v>
      </c>
      <c r="B3610" s="0" t="s">
        <v>86</v>
      </c>
      <c r="C3610" s="38" t="n">
        <f aca="false">dps*Sens!$C$3589</f>
        <v>0</v>
      </c>
      <c r="D3610" s="38" t="n">
        <f aca="false">dps*Sens!$D$3589</f>
        <v>0</v>
      </c>
      <c r="E3610" s="38" t="n">
        <f aca="false">dps*Sens!$E$3589</f>
        <v>0</v>
      </c>
      <c r="F3610" s="38" t="n">
        <f aca="false">0</f>
        <v>0</v>
      </c>
      <c r="G3610" s="38" t="n">
        <f aca="false">dps*Sens!$G$3589</f>
        <v>0</v>
      </c>
      <c r="H3610" s="38" t="n">
        <f aca="false">dps*Sens!$H$3589</f>
        <v>0</v>
      </c>
      <c r="I3610" s="38" t="n">
        <f aca="false">dps*Sens!$I$3589</f>
        <v>0</v>
      </c>
      <c r="J3610" s="38" t="n">
        <f aca="false">dps*Sens!$J$3589</f>
        <v>0</v>
      </c>
      <c r="K3610" s="38" t="n">
        <f aca="false">dps*Sens!$K$3589</f>
        <v>0</v>
      </c>
      <c r="L3610" s="38" t="n">
        <f aca="false">dps*Sens!$L$3589</f>
        <v>0</v>
      </c>
      <c r="M3610" s="38" t="n">
        <f aca="false">dps*Sens!$M$3589</f>
        <v>0</v>
      </c>
      <c r="P3610" s="8" t="s">
        <v>789</v>
      </c>
    </row>
    <row r="3611" customFormat="false" ht="17.15" hidden="false" customHeight="false" outlineLevel="0" collapsed="false">
      <c r="A3611" s="5" t="s">
        <v>790</v>
      </c>
      <c r="B3611" s="0" t="s">
        <v>86</v>
      </c>
      <c r="C3611" s="38" t="n">
        <f aca="false">0</f>
        <v>0</v>
      </c>
      <c r="D3611" s="38" t="n">
        <f aca="false">0</f>
        <v>0</v>
      </c>
      <c r="E3611" s="38" t="n">
        <f aca="false">0</f>
        <v>0</v>
      </c>
      <c r="F3611" s="38" t="n">
        <f aca="false">0</f>
        <v>0</v>
      </c>
      <c r="G3611" s="38" t="n">
        <f aca="false">0</f>
        <v>0</v>
      </c>
      <c r="H3611" s="38" t="n">
        <f aca="false">0</f>
        <v>0</v>
      </c>
      <c r="I3611" s="38" t="n">
        <f aca="false">0</f>
        <v>0</v>
      </c>
      <c r="J3611" s="38" t="n">
        <f aca="false">0</f>
        <v>0</v>
      </c>
      <c r="K3611" s="38" t="n">
        <f aca="false">0</f>
        <v>0</v>
      </c>
      <c r="L3611" s="38" t="n">
        <f aca="false">0</f>
        <v>0</v>
      </c>
      <c r="M3611" s="38" t="n">
        <f aca="false">0</f>
        <v>0</v>
      </c>
      <c r="P3611" s="8" t="s">
        <v>791</v>
      </c>
    </row>
    <row r="3612" customFormat="false" ht="15" hidden="false" customHeight="false" outlineLevel="0" collapsed="false">
      <c r="A3612" s="3" t="s">
        <v>792</v>
      </c>
      <c r="B3612" s="8" t="s">
        <v>86</v>
      </c>
      <c r="C3612" s="38" t="n">
        <f aca="false">Sens!$C$3609-Sens!$C$3610</f>
        <v>36.176</v>
      </c>
      <c r="D3612" s="38" t="n">
        <f aca="false">Sens!$D$3609-Sens!$D$3610</f>
        <v>9.63700000000002</v>
      </c>
      <c r="E3612" s="38" t="n">
        <f aca="false">Sens!$E$3609-Sens!$E$3610</f>
        <v>-25.691</v>
      </c>
      <c r="F3612" s="38" t="n">
        <f aca="false">Sens!$F$3609-Sens!$F$3610</f>
        <v>-40.758893035344</v>
      </c>
      <c r="G3612" s="38" t="n">
        <f aca="false">Sens!$G$3609-Sens!$G$3610</f>
        <v>-66.4498930353441</v>
      </c>
      <c r="H3612" s="38" t="n">
        <f aca="false">Sens!$H$3609-Sens!$H$3610</f>
        <v>-54.8149676610188</v>
      </c>
      <c r="I3612" s="38" t="n">
        <f aca="false">Sens!$I$3609-Sens!$I$3610</f>
        <v>-17.1830717222421</v>
      </c>
      <c r="J3612" s="38" t="n">
        <f aca="false">Sens!$J$3609-Sens!$J$3610</f>
        <v>22.3072633382906</v>
      </c>
      <c r="K3612" s="38" t="n">
        <f aca="false">Sens!$K$3609-Sens!$K$3610</f>
        <v>118.228415150882</v>
      </c>
      <c r="L3612" s="38" t="n">
        <f aca="false">Sens!$L$3609-Sens!$L$3610</f>
        <v>175.925540192059</v>
      </c>
      <c r="M3612" s="38" t="n">
        <f aca="false">Sens!$M$3609-Sens!$M$3610</f>
        <v>203.870005884213</v>
      </c>
    </row>
    <row r="3613" customFormat="false" ht="17.15" hidden="false" customHeight="false" outlineLevel="0" collapsed="false">
      <c r="A3613" s="5" t="s">
        <v>793</v>
      </c>
      <c r="B3613" s="0" t="s">
        <v>86</v>
      </c>
      <c r="E3613" s="38" t="n">
        <f aca="false">Q!$P$53</f>
        <v>39.767</v>
      </c>
      <c r="F3613" s="38" t="n">
        <f aca="false">inv_2h26</f>
        <v>21.3</v>
      </c>
      <c r="G3613" s="38" t="n">
        <f aca="false">Sens!$E$3613+Sens!$F$3613</f>
        <v>61.067</v>
      </c>
      <c r="H3613" s="39" t="n">
        <v>0</v>
      </c>
      <c r="I3613" s="39" t="n">
        <v>0</v>
      </c>
      <c r="J3613" s="39" t="n">
        <v>0</v>
      </c>
      <c r="K3613" s="39" t="n">
        <v>0</v>
      </c>
      <c r="L3613" s="39" t="n">
        <v>0</v>
      </c>
      <c r="M3613" s="39" t="n">
        <v>0</v>
      </c>
    </row>
    <row r="3614" customFormat="false" ht="17.15" hidden="false" customHeight="false" outlineLevel="0" collapsed="false">
      <c r="A3614" s="5" t="s">
        <v>794</v>
      </c>
      <c r="B3614" s="0" t="s">
        <v>86</v>
      </c>
      <c r="F3614" s="38" t="n">
        <f aca="false">iss_2h26</f>
        <v>29.249999</v>
      </c>
      <c r="G3614" s="38" t="n">
        <f aca="false">Sens!$F$3614</f>
        <v>29.249999</v>
      </c>
      <c r="H3614" s="39" t="n">
        <v>0</v>
      </c>
      <c r="I3614" s="39" t="n">
        <v>0</v>
      </c>
      <c r="J3614" s="39" t="n">
        <v>0</v>
      </c>
      <c r="K3614" s="39" t="n">
        <v>0</v>
      </c>
      <c r="L3614" s="39" t="n">
        <v>0</v>
      </c>
      <c r="M3614" s="39" t="n">
        <v>0</v>
      </c>
    </row>
    <row r="3615" customFormat="false" ht="17.15" hidden="false" customHeight="false" outlineLevel="0" collapsed="false">
      <c r="A3615" s="5" t="s">
        <v>795</v>
      </c>
      <c r="B3615" s="0" t="s">
        <v>86</v>
      </c>
      <c r="F3615" s="38" t="n">
        <f aca="false">cash_q2</f>
        <v>122.988</v>
      </c>
      <c r="G3615" s="38" t="n">
        <f aca="false">cash_q2</f>
        <v>122.988</v>
      </c>
      <c r="H3615" s="38" t="n">
        <f aca="false">Sens!$G$3618</f>
        <v>90.179105964656</v>
      </c>
      <c r="I3615" s="38" t="n">
        <f aca="false">Sens!$H$3618</f>
        <v>50</v>
      </c>
      <c r="J3615" s="38" t="n">
        <f aca="false">Sens!$I$3618</f>
        <v>50</v>
      </c>
      <c r="K3615" s="38" t="n">
        <f aca="false">Sens!$J$3618</f>
        <v>72.3072633382906</v>
      </c>
      <c r="L3615" s="38" t="n">
        <f aca="false">Sens!$K$3618</f>
        <v>190.535678489173</v>
      </c>
      <c r="M3615" s="38" t="n">
        <f aca="false">Sens!$L$3618</f>
        <v>366.461218681232</v>
      </c>
    </row>
    <row r="3616" customFormat="false" ht="15" hidden="false" customHeight="false" outlineLevel="0" collapsed="false">
      <c r="A3616" s="5" t="s">
        <v>796</v>
      </c>
      <c r="B3616" s="0" t="s">
        <v>86</v>
      </c>
      <c r="F3616" s="38" t="n">
        <f aca="false">Sens!$F$3615+Sens!$F$3612-Sens!$F$3611-Sens!$F$3613+Sens!$F$3614</f>
        <v>90.179105964656</v>
      </c>
      <c r="H3616" s="38" t="n">
        <f aca="false">Sens!$H$3615+Sens!$H$3612-Sens!$H$3611-Sens!$H$3613+Sens!$H$3614</f>
        <v>35.3641383036372</v>
      </c>
      <c r="I3616" s="38" t="n">
        <f aca="false">Sens!$I$3615+Sens!$I$3612-Sens!$I$3611-Sens!$I$3613+Sens!$I$3614</f>
        <v>32.8169282777579</v>
      </c>
      <c r="J3616" s="38" t="n">
        <f aca="false">Sens!$J$3615+Sens!$J$3612-Sens!$J$3611-Sens!$J$3613+Sens!$J$3614</f>
        <v>72.3072633382906</v>
      </c>
      <c r="K3616" s="38" t="n">
        <f aca="false">Sens!$K$3615+Sens!$K$3612-Sens!$K$3611-Sens!$K$3613+Sens!$K$3614</f>
        <v>190.535678489173</v>
      </c>
      <c r="L3616" s="38" t="n">
        <f aca="false">Sens!$L$3615+Sens!$L$3612-Sens!$L$3611-Sens!$L$3613+Sens!$L$3614</f>
        <v>366.461218681232</v>
      </c>
      <c r="M3616" s="38" t="n">
        <f aca="false">Sens!$M$3615+Sens!$M$3612-Sens!$M$3611-Sens!$M$3613+Sens!$M$3614</f>
        <v>570.331224565445</v>
      </c>
    </row>
    <row r="3617" customFormat="false" ht="17.15" hidden="false" customHeight="false" outlineLevel="0" collapsed="false">
      <c r="A3617" s="5" t="s">
        <v>797</v>
      </c>
      <c r="B3617" s="0" t="s">
        <v>86</v>
      </c>
      <c r="F3617" s="38" t="n">
        <f aca="false">MAX(0,min_cash-Sens!$F$3616)</f>
        <v>0</v>
      </c>
      <c r="G3617" s="38" t="n">
        <f aca="false">Sens!$F$3617</f>
        <v>0</v>
      </c>
      <c r="H3617" s="38" t="n">
        <f aca="false">MAX(0,min_cash-Sens!$H$3616)</f>
        <v>14.6358616963628</v>
      </c>
      <c r="I3617" s="38" t="n">
        <f aca="false">MAX(0,min_cash-Sens!$I$3616)</f>
        <v>17.1830717222421</v>
      </c>
      <c r="J3617" s="38" t="n">
        <f aca="false">MAX(0,min_cash-Sens!$J$3616)</f>
        <v>0</v>
      </c>
      <c r="K3617" s="38" t="n">
        <f aca="false">MAX(0,min_cash-Sens!$K$3616)</f>
        <v>0</v>
      </c>
      <c r="L3617" s="38" t="n">
        <f aca="false">MAX(0,min_cash-Sens!$L$3616)</f>
        <v>0</v>
      </c>
      <c r="M3617" s="38" t="n">
        <f aca="false">MAX(0,min_cash-Sens!$M$3616)</f>
        <v>0</v>
      </c>
      <c r="P3617" s="5" t="s">
        <v>798</v>
      </c>
    </row>
    <row r="3618" customFormat="false" ht="15" hidden="false" customHeight="false" outlineLevel="0" collapsed="false">
      <c r="A3618" s="5" t="s">
        <v>799</v>
      </c>
      <c r="B3618" s="0" t="s">
        <v>86</v>
      </c>
      <c r="D3618" s="38" t="n">
        <f aca="false">Q!$E$61</f>
        <v>123.029</v>
      </c>
      <c r="E3618" s="38" t="n">
        <f aca="false">Q!$M$61</f>
        <v>122.988</v>
      </c>
      <c r="F3618" s="38" t="n">
        <f aca="false">Sens!$F$3616+Sens!$F$3617</f>
        <v>90.179105964656</v>
      </c>
      <c r="G3618" s="38" t="n">
        <f aca="false">Sens!$F$3618</f>
        <v>90.179105964656</v>
      </c>
      <c r="H3618" s="38" t="n">
        <f aca="false">Sens!$H$3616+Sens!$H$3617</f>
        <v>50</v>
      </c>
      <c r="I3618" s="38" t="n">
        <f aca="false">Sens!$I$3616+Sens!$I$3617</f>
        <v>50</v>
      </c>
      <c r="J3618" s="38" t="n">
        <f aca="false">Sens!$J$3616+Sens!$J$3617</f>
        <v>72.3072633382906</v>
      </c>
      <c r="K3618" s="38" t="n">
        <f aca="false">Sens!$K$3616+Sens!$K$3617</f>
        <v>190.535678489173</v>
      </c>
      <c r="L3618" s="38" t="n">
        <f aca="false">Sens!$L$3616+Sens!$L$3617</f>
        <v>366.461218681232</v>
      </c>
      <c r="M3618" s="38" t="n">
        <f aca="false">Sens!$M$3616+Sens!$M$3617</f>
        <v>570.331224565445</v>
      </c>
    </row>
    <row r="3619" customFormat="false" ht="15" hidden="false" customHeight="false" outlineLevel="0" collapsed="false">
      <c r="A3619" s="5" t="s">
        <v>800</v>
      </c>
      <c r="B3619" s="0" t="s">
        <v>86</v>
      </c>
      <c r="D3619" s="38" t="n">
        <f aca="false">Q!$E$62</f>
        <v>68.836</v>
      </c>
      <c r="E3619" s="38" t="n">
        <f aca="false">Q!$M$62</f>
        <v>132.995</v>
      </c>
      <c r="F3619" s="38" t="n">
        <f aca="false">debt_q2+Sens!$F$3614+Sens!$F$3617</f>
        <v>162.244999</v>
      </c>
      <c r="G3619" s="38" t="n">
        <f aca="false">Sens!$F$3619</f>
        <v>162.244999</v>
      </c>
      <c r="H3619" s="38" t="n">
        <f aca="false">Sens!$G$3619+Sens!$H$3617</f>
        <v>176.880860696363</v>
      </c>
      <c r="I3619" s="38" t="n">
        <f aca="false">Sens!$H$3619+Sens!$I$3617</f>
        <v>194.063932418605</v>
      </c>
      <c r="J3619" s="38" t="n">
        <f aca="false">Sens!$I$3619+Sens!$J$3617</f>
        <v>194.063932418605</v>
      </c>
      <c r="K3619" s="38" t="n">
        <f aca="false">Sens!$J$3619+Sens!$K$3617</f>
        <v>194.063932418605</v>
      </c>
      <c r="L3619" s="38" t="n">
        <f aca="false">Sens!$K$3619+Sens!$L$3617</f>
        <v>194.063932418605</v>
      </c>
      <c r="M3619" s="38" t="n">
        <f aca="false">Sens!$L$3619+Sens!$M$3617</f>
        <v>194.063932418605</v>
      </c>
    </row>
    <row r="3620" customFormat="false" ht="15" hidden="false" customHeight="false" outlineLevel="0" collapsed="false">
      <c r="A3620" s="5" t="s">
        <v>801</v>
      </c>
      <c r="B3620" s="0" t="s">
        <v>86</v>
      </c>
      <c r="D3620" s="38" t="n">
        <f aca="false">Sens!$D$3619-Sens!$D$3618</f>
        <v>-54.193</v>
      </c>
      <c r="E3620" s="38" t="n">
        <f aca="false">Sens!$E$3619-Sens!$E$3618</f>
        <v>10.007</v>
      </c>
      <c r="F3620" s="38" t="n">
        <f aca="false">Sens!$F$3619-Sens!$F$3618</f>
        <v>72.065893035344</v>
      </c>
      <c r="G3620" s="38" t="n">
        <f aca="false">Sens!$G$3619-Sens!$G$3618</f>
        <v>72.065893035344</v>
      </c>
      <c r="H3620" s="38" t="n">
        <f aca="false">Sens!$H$3619-Sens!$H$3618</f>
        <v>126.880860696363</v>
      </c>
      <c r="I3620" s="38" t="n">
        <f aca="false">Sens!$I$3619-Sens!$I$3618</f>
        <v>144.063932418605</v>
      </c>
      <c r="J3620" s="38" t="n">
        <f aca="false">Sens!$J$3619-Sens!$J$3618</f>
        <v>121.756669080314</v>
      </c>
      <c r="K3620" s="38" t="n">
        <f aca="false">Sens!$K$3619-Sens!$K$3618</f>
        <v>3.52825392943194</v>
      </c>
      <c r="L3620" s="38" t="n">
        <f aca="false">Sens!$L$3619-Sens!$L$3618</f>
        <v>-172.397286262627</v>
      </c>
      <c r="M3620" s="38" t="n">
        <f aca="false">Sens!$M$3619-Sens!$M$3618</f>
        <v>-376.26729214684</v>
      </c>
    </row>
    <row r="3621" customFormat="false" ht="17.15" hidden="false" customHeight="false" outlineLevel="0" collapsed="false">
      <c r="A3621" s="5" t="s">
        <v>802</v>
      </c>
      <c r="B3621" s="0" t="s">
        <v>86</v>
      </c>
      <c r="F3621" s="38" t="n">
        <f aca="false">debt_q2*kd_book*0.5+iss_2h26*kd_new*iss_t</f>
        <v>3.24888962733561</v>
      </c>
      <c r="H3621" s="38" t="n">
        <f aca="false">debt_q2*kd_book+(Sens!$G$3619-debt_q2)*kd_new</f>
        <v>7.42354172302123</v>
      </c>
      <c r="I3621" s="38" t="n">
        <f aca="false">debt_q2*kd_book+(Sens!$H$3619-debt_q2)*kd_new</f>
        <v>8.349991768401</v>
      </c>
      <c r="J3621" s="38" t="n">
        <f aca="false">debt_q2*kd_book+(Sens!$I$3619-debt_q2)*kd_new</f>
        <v>9.43768020841892</v>
      </c>
      <c r="K3621" s="38" t="n">
        <f aca="false">debt_q2*kd_book+(Sens!$J$3619-debt_q2)*kd_new</f>
        <v>9.43768020841892</v>
      </c>
      <c r="L3621" s="38" t="n">
        <f aca="false">debt_q2*kd_book+(Sens!$K$3619-debt_q2)*kd_new</f>
        <v>9.43768020841892</v>
      </c>
      <c r="M3621" s="38" t="n">
        <f aca="false">debt_q2*kd_book+(Sens!$L$3619-debt_q2)*kd_new</f>
        <v>9.43768020841892</v>
      </c>
    </row>
    <row r="3622" customFormat="false" ht="17.15" hidden="false" customHeight="false" outlineLevel="0" collapsed="false">
      <c r="A3622" s="5" t="s">
        <v>803</v>
      </c>
      <c r="B3622" s="0" t="s">
        <v>86</v>
      </c>
      <c r="F3622" s="38" t="n">
        <f aca="false">cash_q2*y_cash*0.5</f>
        <v>2.59</v>
      </c>
      <c r="H3622" s="38" t="n">
        <f aca="false">Sens!$G$3618*y_cash</f>
        <v>3.79815729093016</v>
      </c>
      <c r="I3622" s="38" t="n">
        <f aca="false">Sens!$H$3618*y_cash</f>
        <v>2.10589651022864</v>
      </c>
      <c r="J3622" s="38" t="n">
        <f aca="false">Sens!$I$3618*y_cash</f>
        <v>2.10589651022864</v>
      </c>
      <c r="K3622" s="38" t="n">
        <f aca="false">Sens!$J$3618*y_cash</f>
        <v>3.04543227056579</v>
      </c>
      <c r="L3622" s="38" t="n">
        <f aca="false">Sens!$K$3618*y_cash</f>
        <v>8.02496840808791</v>
      </c>
      <c r="M3622" s="38" t="n">
        <f aca="false">Sens!$L$3618*y_cash</f>
        <v>15.4345880310988</v>
      </c>
    </row>
    <row r="3623" customFormat="false" ht="17.15" hidden="false" customHeight="false" outlineLevel="0" collapsed="false">
      <c r="A3623" s="47" t="s">
        <v>804</v>
      </c>
      <c r="B3623" s="14" t="s">
        <v>86</v>
      </c>
      <c r="C3623" s="14"/>
      <c r="D3623" s="14"/>
      <c r="E3623" s="14"/>
      <c r="F3623" s="14"/>
      <c r="G3623" s="48" t="n">
        <f aca="false">SUM(Sens!$G$3612:$K$3612)</f>
        <v>2.08774607056802</v>
      </c>
      <c r="H3623" s="14"/>
      <c r="I3623" s="14"/>
      <c r="J3623" s="14"/>
      <c r="K3623" s="14"/>
      <c r="L3623" s="14"/>
      <c r="M3623" s="14"/>
      <c r="N3623" s="14"/>
      <c r="O3623" s="14"/>
    </row>
    <row r="3624" customFormat="false" ht="17.15" hidden="false" customHeight="false" outlineLevel="0" collapsed="false">
      <c r="A3624" s="0" t="s">
        <v>770</v>
      </c>
      <c r="B3624" s="0" t="s">
        <v>86</v>
      </c>
      <c r="G3624" s="38" t="n">
        <f aca="false">SUM(Sens!$G$3617:$K$3617)</f>
        <v>31.8189334186049</v>
      </c>
    </row>
    <row r="3625" customFormat="false" ht="17.15" hidden="false" customHeight="false" outlineLevel="0" collapsed="false">
      <c r="A3625" s="24" t="s">
        <v>807</v>
      </c>
      <c r="B3625" s="25" t="s">
        <v>86</v>
      </c>
      <c r="C3625" s="25"/>
      <c r="D3625" s="25"/>
      <c r="E3625" s="25"/>
      <c r="F3625" s="25"/>
      <c r="G3625" s="41" t="n">
        <f aca="false">Sens!$G$3623-(Sens!$G$3612+Sens!$H$3612+Sens!$I$3612+Sens!$J$3612+Sens!$K$3612)</f>
        <v>-2.8421709430404E-014</v>
      </c>
      <c r="H3625" s="25"/>
      <c r="I3625" s="25"/>
      <c r="J3625" s="25"/>
      <c r="K3625" s="25"/>
      <c r="L3625" s="25"/>
      <c r="M3625" s="25"/>
      <c r="N3625" s="25"/>
      <c r="O3625" s="25"/>
    </row>
    <row r="3628" customFormat="false" ht="19.4" hidden="false" customHeight="false" outlineLevel="0" collapsed="false">
      <c r="A3628" s="31" t="s">
        <v>1201</v>
      </c>
    </row>
    <row r="3629" customFormat="false" ht="17.15" hidden="false" customHeight="false" outlineLevel="0" collapsed="false">
      <c r="A3629" s="6" t="s">
        <v>16</v>
      </c>
      <c r="B3629" s="6" t="s">
        <v>17</v>
      </c>
      <c r="C3629" s="20" t="s">
        <v>494</v>
      </c>
      <c r="D3629" s="20" t="s">
        <v>495</v>
      </c>
      <c r="E3629" s="20" t="s">
        <v>577</v>
      </c>
      <c r="F3629" s="20" t="s">
        <v>578</v>
      </c>
      <c r="G3629" s="20" t="s">
        <v>579</v>
      </c>
      <c r="H3629" s="20" t="s">
        <v>580</v>
      </c>
      <c r="I3629" s="20" t="s">
        <v>581</v>
      </c>
      <c r="J3629" s="20" t="s">
        <v>582</v>
      </c>
      <c r="K3629" s="20" t="s">
        <v>583</v>
      </c>
      <c r="L3629" s="20" t="s">
        <v>584</v>
      </c>
      <c r="M3629" s="20" t="s">
        <v>585</v>
      </c>
      <c r="N3629" s="20" t="s">
        <v>586</v>
      </c>
      <c r="O3629" s="20" t="s">
        <v>587</v>
      </c>
      <c r="P3629" s="6" t="s">
        <v>23</v>
      </c>
      <c r="R3629" s="20" t="n">
        <v>2023</v>
      </c>
      <c r="S3629" s="20" t="n">
        <v>2024</v>
      </c>
      <c r="T3629" s="20" t="n">
        <v>2025</v>
      </c>
      <c r="U3629" s="20" t="n">
        <v>2026</v>
      </c>
      <c r="V3629" s="20" t="n">
        <v>2027</v>
      </c>
      <c r="W3629" s="20" t="n">
        <v>2028</v>
      </c>
      <c r="X3629" s="20" t="n">
        <v>2029</v>
      </c>
      <c r="Y3629" s="20" t="n">
        <v>2030</v>
      </c>
      <c r="Z3629" s="20" t="n">
        <v>2031</v>
      </c>
      <c r="AA3629" s="20" t="n">
        <v>2032</v>
      </c>
    </row>
    <row r="3630" customFormat="false" ht="17.15" hidden="false" customHeight="false" outlineLevel="0" collapsed="false">
      <c r="A3630" s="1" t="s">
        <v>909</v>
      </c>
    </row>
    <row r="3631" customFormat="false" ht="17.15" hidden="false" customHeight="false" outlineLevel="0" collapsed="false">
      <c r="A3631" s="0" t="s">
        <v>910</v>
      </c>
      <c r="B3631" s="0" t="s">
        <v>86</v>
      </c>
      <c r="H3631" s="38" t="n">
        <f aca="false">Sens!$H$3565*(1-tax)</f>
        <v>116.613767632546</v>
      </c>
      <c r="I3631" s="38" t="n">
        <f aca="false">Sens!$I$3565*(1-tax)</f>
        <v>141.23812720598</v>
      </c>
      <c r="J3631" s="38" t="n">
        <f aca="false">Sens!$J$3565*(1-tax)</f>
        <v>164.684686224308</v>
      </c>
      <c r="K3631" s="38" t="n">
        <f aca="false">Sens!$K$3565*(1-tax)</f>
        <v>181.343408858917</v>
      </c>
      <c r="L3631" s="38" t="n">
        <f aca="false">Sens!$L$3565*(1-tax)</f>
        <v>196.17709298423</v>
      </c>
      <c r="M3631" s="38" t="n">
        <f aca="false">Sens!$M$3565*(1-tax)</f>
        <v>208.262524607741</v>
      </c>
    </row>
    <row r="3632" customFormat="false" ht="15" hidden="false" customHeight="false" outlineLevel="0" collapsed="false">
      <c r="A3632" s="5" t="s">
        <v>911</v>
      </c>
      <c r="B3632" s="0" t="s">
        <v>86</v>
      </c>
      <c r="H3632" s="38" t="n">
        <f aca="false">Sens!$H$3576</f>
        <v>84.3163410985152</v>
      </c>
      <c r="I3632" s="38" t="n">
        <f aca="false">Sens!$I$3576</f>
        <v>117.040344991004</v>
      </c>
      <c r="J3632" s="38" t="n">
        <f aca="false">Sens!$J$3576</f>
        <v>150.498981474685</v>
      </c>
      <c r="K3632" s="38" t="n">
        <f aca="false">Sens!$K$3576</f>
        <v>184.188121970284</v>
      </c>
      <c r="L3632" s="38" t="n">
        <f aca="false">Sens!$L$3576</f>
        <v>207.768718060808</v>
      </c>
      <c r="M3632" s="38" t="n">
        <f aca="false">Sens!$M$3576</f>
        <v>224.003934647752</v>
      </c>
    </row>
    <row r="3633" customFormat="false" ht="15" hidden="false" customHeight="false" outlineLevel="0" collapsed="false">
      <c r="A3633" s="5" t="s">
        <v>912</v>
      </c>
      <c r="B3633" s="0" t="s">
        <v>86</v>
      </c>
      <c r="H3633" s="38" t="n">
        <f aca="false">Sens!$H$3607</f>
        <v>273.372679834898</v>
      </c>
      <c r="I3633" s="38" t="n">
        <f aca="false">Sens!$I$3607</f>
        <v>286.981812228425</v>
      </c>
      <c r="J3633" s="38" t="n">
        <f aca="false">Sens!$J$3607</f>
        <v>299.316513378366</v>
      </c>
      <c r="K3633" s="38" t="n">
        <f aca="false">Sens!$K$3607</f>
        <v>251.057145512292</v>
      </c>
      <c r="L3633" s="38" t="n">
        <f aca="false">Sens!$L$3607</f>
        <v>234.696330860396</v>
      </c>
      <c r="M3633" s="38" t="n">
        <f aca="false">Sens!$M$3607</f>
        <v>242.291696043352</v>
      </c>
    </row>
    <row r="3634" customFormat="false" ht="15" hidden="false" customHeight="false" outlineLevel="0" collapsed="false">
      <c r="A3634" s="5" t="s">
        <v>913</v>
      </c>
      <c r="B3634" s="0" t="s">
        <v>86</v>
      </c>
      <c r="H3634" s="38" t="n">
        <f aca="false">Sens!$H$3608</f>
        <v>1.6</v>
      </c>
      <c r="I3634" s="38" t="n">
        <f aca="false">Sens!$I$3608</f>
        <v>1.6</v>
      </c>
      <c r="J3634" s="38" t="n">
        <f aca="false">Sens!$J$3608</f>
        <v>1.6</v>
      </c>
      <c r="K3634" s="38" t="n">
        <f aca="false">Sens!$K$3608</f>
        <v>1.6</v>
      </c>
      <c r="L3634" s="38" t="n">
        <f aca="false">Sens!$L$3608</f>
        <v>1.6</v>
      </c>
      <c r="M3634" s="38" t="n">
        <f aca="false">Sens!$M$3608</f>
        <v>1.6</v>
      </c>
    </row>
    <row r="3635" customFormat="false" ht="15" hidden="false" customHeight="false" outlineLevel="0" collapsed="false">
      <c r="A3635" s="5" t="s">
        <v>914</v>
      </c>
      <c r="B3635" s="0" t="s">
        <v>86</v>
      </c>
      <c r="H3635" s="38" t="n">
        <f aca="false">Sens!$H$3602</f>
        <v>11.2928295263397</v>
      </c>
      <c r="I3635" s="38" t="n">
        <f aca="false">Sens!$I$3602</f>
        <v>12.8091546115766</v>
      </c>
      <c r="J3635" s="38" t="n">
        <f aca="false">Sens!$J$3602</f>
        <v>14.2605653162668</v>
      </c>
      <c r="K3635" s="38" t="n">
        <f aca="false">Sens!$K$3602</f>
        <v>15.5327622460396</v>
      </c>
      <c r="L3635" s="38" t="n">
        <f aca="false">Sens!$L$3602</f>
        <v>16.720573737517</v>
      </c>
      <c r="M3635" s="38" t="n">
        <f aca="false">Sens!$M$3602</f>
        <v>17.8283127551536</v>
      </c>
    </row>
    <row r="3636" customFormat="false" ht="17.15" hidden="false" customHeight="false" outlineLevel="0" collapsed="false">
      <c r="A3636" s="1" t="s">
        <v>915</v>
      </c>
      <c r="B3636" s="8" t="s">
        <v>86</v>
      </c>
      <c r="H3636" s="38" t="n">
        <f aca="false">Sens!$H$3631+Sens!$H$3632-Sens!$H$3633-Sens!$H$3634+Sens!$H$3635</f>
        <v>-62.7497415774968</v>
      </c>
      <c r="I3636" s="38" t="n">
        <f aca="false">Sens!$I$3631+Sens!$I$3632-Sens!$I$3633-Sens!$I$3634+Sens!$I$3635</f>
        <v>-17.4941854198645</v>
      </c>
      <c r="J3636" s="38" t="n">
        <f aca="false">Sens!$J$3631+Sens!$J$3632-Sens!$J$3633-Sens!$J$3634+Sens!$J$3635</f>
        <v>28.527719636894</v>
      </c>
      <c r="K3636" s="38" t="n">
        <f aca="false">Sens!$K$3631+Sens!$K$3632-Sens!$K$3633-Sens!$K$3634+Sens!$K$3635</f>
        <v>128.407147562948</v>
      </c>
      <c r="L3636" s="38" t="n">
        <f aca="false">Sens!$L$3631+Sens!$L$3632-Sens!$L$3633-Sens!$L$3634+Sens!$L$3635</f>
        <v>184.370053922159</v>
      </c>
      <c r="M3636" s="38" t="n">
        <f aca="false">Sens!$M$3631+Sens!$M$3632-Sens!$M$3633-Sens!$M$3634+Sens!$M$3635</f>
        <v>206.203075967294</v>
      </c>
    </row>
    <row r="3637" customFormat="false" ht="15" hidden="false" customHeight="false" outlineLevel="0" collapsed="false">
      <c r="A3637" s="5" t="s">
        <v>916</v>
      </c>
      <c r="B3637" s="0" t="s">
        <v>57</v>
      </c>
      <c r="H3637" s="40" t="n">
        <f aca="false">1/(1+wacc)^(2027-2026-0.5)</f>
        <v>0.947751320380232</v>
      </c>
      <c r="I3637" s="40" t="n">
        <f aca="false">1/(1+wacc)^(2028-2026-0.5)</f>
        <v>0.851301099754987</v>
      </c>
      <c r="J3637" s="40" t="n">
        <f aca="false">1/(1+wacc)^(2029-2026-0.5)</f>
        <v>0.764666370660713</v>
      </c>
      <c r="K3637" s="40" t="n">
        <f aca="false">1/(1+wacc)^(2030-2026-0.5)</f>
        <v>0.686848235703811</v>
      </c>
      <c r="L3637" s="40" t="n">
        <f aca="false">1/(1+wacc)^(2031-2026-0.5)</f>
        <v>0.616949452715975</v>
      </c>
      <c r="M3637" s="40" t="n">
        <f aca="false">1/(1+wacc)^(2032-2026-0.5)</f>
        <v>0.554164089562688</v>
      </c>
    </row>
    <row r="3638" customFormat="false" ht="15" hidden="false" customHeight="false" outlineLevel="0" collapsed="false">
      <c r="A3638" s="5" t="s">
        <v>917</v>
      </c>
      <c r="B3638" s="0" t="s">
        <v>86</v>
      </c>
      <c r="H3638" s="38" t="n">
        <f aca="false">Sens!$H$3636*Sens!$H$3637</f>
        <v>-59.4711504335909</v>
      </c>
      <c r="I3638" s="38" t="n">
        <f aca="false">Sens!$I$3636*Sens!$I$3637</f>
        <v>-14.8928192872483</v>
      </c>
      <c r="J3638" s="38" t="n">
        <f aca="false">Sens!$J$3636*Sens!$J$3637</f>
        <v>21.8141878379701</v>
      </c>
      <c r="K3638" s="38" t="n">
        <f aca="false">Sens!$K$3636*Sens!$K$3637</f>
        <v>88.1962227553694</v>
      </c>
      <c r="L3638" s="38" t="n">
        <f aca="false">Sens!$L$3636*Sens!$L$3637</f>
        <v>113.747003864491</v>
      </c>
      <c r="M3638" s="38" t="n">
        <f aca="false">Sens!$M$3636*Sens!$M$3637</f>
        <v>114.270339858441</v>
      </c>
    </row>
    <row r="3639" customFormat="false" ht="15" hidden="false" customHeight="false" outlineLevel="0" collapsed="false">
      <c r="A3639" s="5" t="s">
        <v>918</v>
      </c>
      <c r="B3639" s="0" t="s">
        <v>86</v>
      </c>
      <c r="C3639" s="38" t="n">
        <f aca="false">SUM(Sens!$H$3638:$M$3638)</f>
        <v>263.663784595432</v>
      </c>
    </row>
    <row r="3640" customFormat="false" ht="17.15" hidden="false" customHeight="false" outlineLevel="0" collapsed="false">
      <c r="A3640" s="5" t="s">
        <v>919</v>
      </c>
      <c r="B3640" s="0" t="s">
        <v>86</v>
      </c>
      <c r="C3640" s="38" t="n">
        <f aca="false">Sens!$M$3631*(1+tg)*(1-tg/ronic)/(wacc-tg)</f>
        <v>1893.33874551669</v>
      </c>
    </row>
    <row r="3641" customFormat="false" ht="15" hidden="false" customHeight="false" outlineLevel="0" collapsed="false">
      <c r="A3641" s="5" t="s">
        <v>920</v>
      </c>
      <c r="B3641" s="0" t="s">
        <v>86</v>
      </c>
      <c r="C3641" s="38" t="n">
        <f aca="false">Sens!$C$3640/(1+wacc)^6</f>
        <v>994.399964635845</v>
      </c>
    </row>
    <row r="3642" customFormat="false" ht="17.15" hidden="false" customHeight="false" outlineLevel="0" collapsed="false">
      <c r="A3642" s="5" t="s">
        <v>921</v>
      </c>
      <c r="B3642" s="0" t="s">
        <v>86</v>
      </c>
      <c r="C3642" s="38" t="n">
        <f aca="false">Sens!$C$3639+Sens!$C$3641</f>
        <v>1258.06374923128</v>
      </c>
    </row>
    <row r="3643" customFormat="false" ht="17.15" hidden="false" customHeight="false" outlineLevel="0" collapsed="false">
      <c r="A3643" s="5" t="s">
        <v>922</v>
      </c>
      <c r="B3643" s="0" t="s">
        <v>52</v>
      </c>
      <c r="C3643" s="13" t="n">
        <f aca="false">Sens!$C$3641/Sens!$C$3642</f>
        <v>0.790420966539621</v>
      </c>
    </row>
    <row r="3644" customFormat="false" ht="17.15" hidden="false" customHeight="false" outlineLevel="0" collapsed="false">
      <c r="A3644" s="5" t="s">
        <v>923</v>
      </c>
      <c r="B3644" s="0" t="s">
        <v>86</v>
      </c>
      <c r="C3644" s="38" t="n">
        <f aca="false">Sens!$G$3620+fin_debt</f>
        <v>96.586893035344</v>
      </c>
    </row>
    <row r="3645" customFormat="false" ht="17.15" hidden="false" customHeight="false" outlineLevel="0" collapsed="false">
      <c r="A3645" s="5" t="s">
        <v>924</v>
      </c>
      <c r="B3645" s="0" t="s">
        <v>86</v>
      </c>
      <c r="C3645" s="38" t="n">
        <f aca="false">(ant_val*ant_sh+oai_val*oai_sh)*(1-liq_disc)</f>
        <v>178.944</v>
      </c>
    </row>
    <row r="3646" customFormat="false" ht="15" hidden="false" customHeight="false" outlineLevel="0" collapsed="false">
      <c r="A3646" s="5" t="s">
        <v>925</v>
      </c>
      <c r="B3646" s="0" t="s">
        <v>86</v>
      </c>
      <c r="C3646" s="38" t="n">
        <f aca="false">Sens!$C$3642-Sens!$C$3644+Sens!$C$3645</f>
        <v>1340.42085619593</v>
      </c>
    </row>
    <row r="3647" customFormat="false" ht="17.15" hidden="false" customHeight="false" outlineLevel="0" collapsed="false">
      <c r="A3647" s="5" t="s">
        <v>926</v>
      </c>
      <c r="B3647" s="0" t="s">
        <v>27</v>
      </c>
      <c r="C3647" s="30" t="n">
        <f aca="false">Sens!$C$3646/sh_out</f>
        <v>124.270520605643</v>
      </c>
    </row>
    <row r="3648" customFormat="false" ht="17.15" hidden="false" customHeight="false" outlineLevel="0" collapsed="false">
      <c r="A3648" s="1" t="s">
        <v>927</v>
      </c>
      <c r="B3648" s="8" t="s">
        <v>27</v>
      </c>
      <c r="C3648" s="30" t="n">
        <f aca="false">Sens!$C$3647*(1+ke)^tp_yf-dps*tp_yf</f>
        <v>136.122056806605</v>
      </c>
    </row>
    <row r="3649" customFormat="false" ht="17.15" hidden="false" customHeight="false" outlineLevel="0" collapsed="false">
      <c r="A3649" s="3" t="s">
        <v>928</v>
      </c>
    </row>
    <row r="3650" customFormat="false" ht="17.15" hidden="false" customHeight="false" outlineLevel="0" collapsed="false">
      <c r="A3650" s="5" t="s">
        <v>929</v>
      </c>
      <c r="B3650" s="0" t="s">
        <v>86</v>
      </c>
      <c r="C3650" s="38" t="n">
        <f aca="false">(1-tp_yf)*(Sens!$H$3577+Sens!$H$3601*Sens!$H$3443/Sens!$H$3518)+tp_yf*(Sens!$I$3577+Sens!$I$3601*Sens!$I$3443/Sens!$I$3518)</f>
        <v>48.2735047325511</v>
      </c>
    </row>
    <row r="3651" customFormat="false" ht="15" hidden="false" customHeight="false" outlineLevel="0" collapsed="false">
      <c r="A3651" s="5" t="s">
        <v>930</v>
      </c>
      <c r="B3651" s="0" t="s">
        <v>57</v>
      </c>
      <c r="C3651" s="30" t="n">
        <f aca="false">m_ads*m_x</f>
        <v>9.11</v>
      </c>
    </row>
    <row r="3652" customFormat="false" ht="17.15" hidden="false" customHeight="false" outlineLevel="0" collapsed="false">
      <c r="A3652" s="5" t="s">
        <v>931</v>
      </c>
      <c r="B3652" s="0" t="s">
        <v>86</v>
      </c>
      <c r="C3652" s="38" t="n">
        <f aca="false">Sens!$C$3650*Sens!$C$3651</f>
        <v>439.77162811354</v>
      </c>
    </row>
    <row r="3653" customFormat="false" ht="17.15" hidden="false" customHeight="false" outlineLevel="0" collapsed="false">
      <c r="A3653" s="5" t="s">
        <v>932</v>
      </c>
      <c r="B3653" s="0" t="s">
        <v>86</v>
      </c>
      <c r="C3653" s="38" t="n">
        <f aca="false">(1-tp_yf)*(Sens!$H$3578+Sens!$H$3601*(Sens!$H$3450-Sens!$H$3443)/Sens!$H$3518+IF(internal_ai_reading=2,1,0)*(1-ext_sh)*Sens!$H$3480)+tp_yf*(Sens!$I$3578+Sens!$I$3601*(Sens!$I$3450-Sens!$I$3443)/Sens!$I$3518+IF(internal_ai_reading=2,1,0)*(1-ext_sh)*Sens!$I$3480)</f>
        <v>61.3793221255877</v>
      </c>
    </row>
    <row r="3654" customFormat="false" ht="17.15" hidden="false" customHeight="false" outlineLevel="0" collapsed="false">
      <c r="A3654" s="5" t="s">
        <v>933</v>
      </c>
      <c r="B3654" s="0" t="s">
        <v>57</v>
      </c>
      <c r="C3654" s="30" t="n">
        <f aca="false">m_retail*m_x</f>
        <v>17.72</v>
      </c>
    </row>
    <row r="3655" customFormat="false" ht="17.15" hidden="false" customHeight="false" outlineLevel="0" collapsed="false">
      <c r="A3655" s="5" t="s">
        <v>934</v>
      </c>
      <c r="B3655" s="0" t="s">
        <v>86</v>
      </c>
      <c r="C3655" s="38" t="n">
        <f aca="false">Sens!$C$3653*Sens!$C$3654</f>
        <v>1087.64158806541</v>
      </c>
    </row>
    <row r="3656" customFormat="false" ht="17.15" hidden="false" customHeight="false" outlineLevel="0" collapsed="false">
      <c r="A3656" s="0" t="s">
        <v>935</v>
      </c>
      <c r="B3656" s="0" t="s">
        <v>86</v>
      </c>
      <c r="C3656" s="38" t="n">
        <f aca="false">(1-tp_yf)*(Sens!$H$3579+Sens!$H$3601*Sens!$H$3516/Sens!$H$3518)+tp_yf*(Sens!$I$3579+Sens!$I$3601*Sens!$I$3516/Sens!$I$3518)</f>
        <v>97.3363031479074</v>
      </c>
    </row>
    <row r="3657" customFormat="false" ht="17.15" hidden="false" customHeight="false" outlineLevel="0" collapsed="false">
      <c r="A3657" s="0" t="s">
        <v>936</v>
      </c>
      <c r="B3657" s="0" t="s">
        <v>57</v>
      </c>
      <c r="C3657" s="30" t="n">
        <f aca="false">m_cloud*m_x</f>
        <v>13.82</v>
      </c>
    </row>
    <row r="3658" customFormat="false" ht="17.15" hidden="false" customHeight="false" outlineLevel="0" collapsed="false">
      <c r="A3658" s="0" t="s">
        <v>937</v>
      </c>
      <c r="B3658" s="0" t="s">
        <v>86</v>
      </c>
      <c r="C3658" s="38" t="n">
        <f aca="false">Sens!$C$3656*Sens!$C$3657</f>
        <v>1345.18770950408</v>
      </c>
    </row>
    <row r="3659" customFormat="false" ht="17.15" hidden="false" customHeight="false" outlineLevel="0" collapsed="false">
      <c r="A3659" s="0" t="s">
        <v>938</v>
      </c>
      <c r="B3659" s="0" t="s">
        <v>86</v>
      </c>
      <c r="H3659" s="38" t="n">
        <f aca="false">Sens!$H$3497-tax*Sens!$H$3498-ext_sh*Sens!$H$3487</f>
        <v>-114.686944664267</v>
      </c>
      <c r="I3659" s="38" t="n">
        <f aca="false">Sens!$I$3497-tax*Sens!$I$3498-ext_sh*Sens!$I$3487</f>
        <v>-88.3950641557111</v>
      </c>
      <c r="J3659" s="38" t="n">
        <f aca="false">Sens!$J$3497-tax*Sens!$J$3498-ext_sh*Sens!$J$3487</f>
        <v>-61.1526151740695</v>
      </c>
      <c r="K3659" s="38" t="n">
        <f aca="false">Sens!$K$3497-tax*Sens!$K$3498-ext_sh*Sens!$K$3487</f>
        <v>10.057774712684</v>
      </c>
      <c r="L3659" s="38" t="n">
        <f aca="false">Sens!$L$3497-tax*Sens!$L$3498-ext_sh*Sens!$L$3487</f>
        <v>46.6587675560356</v>
      </c>
      <c r="M3659" s="38" t="n">
        <f aca="false">Sens!$M$3497-tax*Sens!$M$3498-ext_sh*Sens!$M$3487</f>
        <v>55.3915455321129</v>
      </c>
    </row>
    <row r="3660" customFormat="false" ht="17.15" hidden="false" customHeight="false" outlineLevel="0" collapsed="false">
      <c r="A3660" s="5" t="s">
        <v>939</v>
      </c>
      <c r="B3660" s="0" t="s">
        <v>86</v>
      </c>
      <c r="H3660" s="38" t="n">
        <f aca="false">Sens!$H$3659*Sens!$H$3637</f>
        <v>-108.694703235934</v>
      </c>
      <c r="I3660" s="38" t="n">
        <f aca="false">Sens!$I$3659*Sens!$I$3637</f>
        <v>-75.2508153286695</v>
      </c>
      <c r="J3660" s="38" t="n">
        <f aca="false">Sens!$J$3659*Sens!$J$3637</f>
        <v>-46.761348301567</v>
      </c>
      <c r="K3660" s="38" t="n">
        <f aca="false">Sens!$K$3659*Sens!$K$3637</f>
        <v>6.90816481651338</v>
      </c>
      <c r="L3660" s="38" t="n">
        <f aca="false">Sens!$L$3659*Sens!$L$3637</f>
        <v>28.7861011080981</v>
      </c>
      <c r="M3660" s="38" t="n">
        <f aca="false">Sens!$M$3659*Sens!$M$3637</f>
        <v>30.6960053992735</v>
      </c>
    </row>
    <row r="3661" customFormat="false" ht="17.15" hidden="false" customHeight="false" outlineLevel="0" collapsed="false">
      <c r="A3661" s="5" t="s">
        <v>940</v>
      </c>
      <c r="B3661" s="0" t="s">
        <v>86</v>
      </c>
      <c r="C3661" s="38" t="n">
        <f aca="false">Sens!$M$3498*(1-tax)*(1+tg)*(1-tg/ronic)/(wacc-tg)</f>
        <v>363.621782500497</v>
      </c>
    </row>
    <row r="3662" customFormat="false" ht="17.15" hidden="false" customHeight="false" outlineLevel="0" collapsed="false">
      <c r="A3662" s="0" t="s">
        <v>941</v>
      </c>
      <c r="B3662" s="0" t="s">
        <v>86</v>
      </c>
      <c r="C3662" s="38" t="n">
        <f aca="false">(SUM(Sens!$H$3660:$M$3660)+Sens!$C$3661/(1+wacc)^6)*(1+wacc)^tp_yf</f>
        <v>29.1198269558345</v>
      </c>
    </row>
    <row r="3663" customFormat="false" ht="17.15" hidden="false" customHeight="false" outlineLevel="0" collapsed="false">
      <c r="A3663" s="5" t="s">
        <v>942</v>
      </c>
      <c r="B3663" s="0" t="s">
        <v>86</v>
      </c>
      <c r="C3663" s="38" t="n">
        <f aca="false">(1-tp_yf)*(Sens!$H$3580)+tp_yf*(Sens!$I$3580)</f>
        <v>74.6707041238437</v>
      </c>
    </row>
    <row r="3664" customFormat="false" ht="17.15" hidden="false" customHeight="false" outlineLevel="0" collapsed="false">
      <c r="A3664" s="5" t="s">
        <v>943</v>
      </c>
      <c r="B3664" s="0" t="s">
        <v>86</v>
      </c>
      <c r="C3664" s="38" t="n">
        <f aca="false">Sens!$C$3663*m_ai</f>
        <v>448.024224743062</v>
      </c>
    </row>
    <row r="3665" customFormat="false" ht="17.15" hidden="false" customHeight="false" outlineLevel="0" collapsed="false">
      <c r="A3665" s="0" t="s">
        <v>944</v>
      </c>
      <c r="B3665" s="0" t="s">
        <v>86</v>
      </c>
      <c r="C3665" s="38" t="n">
        <f aca="false">IF(ai_leg=1,Sens!$C$3662,Sens!$C$3664)</f>
        <v>29.1198269558345</v>
      </c>
    </row>
    <row r="3666" customFormat="false" ht="17.15" hidden="false" customHeight="false" outlineLevel="0" collapsed="false">
      <c r="A3666" s="5" t="s">
        <v>945</v>
      </c>
      <c r="B3666" s="0" t="s">
        <v>86</v>
      </c>
      <c r="C3666" s="38" t="n">
        <f aca="false">Sens!$C$3652+Sens!$C$3655+Sens!$C$3658+Sens!$C$3665</f>
        <v>2901.72075263887</v>
      </c>
    </row>
    <row r="3667" customFormat="false" ht="17.15" hidden="false" customHeight="false" outlineLevel="0" collapsed="false">
      <c r="A3667" s="5" t="s">
        <v>946</v>
      </c>
      <c r="B3667" s="0" t="s">
        <v>86</v>
      </c>
      <c r="C3667" s="38" t="n">
        <f aca="false">Sens!$H$3620+fin_debt</f>
        <v>151.401860696363</v>
      </c>
    </row>
    <row r="3668" customFormat="false" ht="15" hidden="false" customHeight="false" outlineLevel="0" collapsed="false">
      <c r="A3668" s="5" t="s">
        <v>947</v>
      </c>
      <c r="B3668" s="0" t="s">
        <v>86</v>
      </c>
      <c r="C3668" s="38" t="n">
        <f aca="false">Sens!$C$3666-Sens!$C$3667+Sens!$C$3645</f>
        <v>2929.26289194251</v>
      </c>
    </row>
    <row r="3669" customFormat="false" ht="15" hidden="false" customHeight="false" outlineLevel="0" collapsed="false">
      <c r="A3669" s="3" t="s">
        <v>948</v>
      </c>
      <c r="B3669" s="8" t="s">
        <v>27</v>
      </c>
      <c r="C3669" s="30" t="n">
        <f aca="false">Sens!$C$3668/sh_val</f>
        <v>265.56477829575</v>
      </c>
    </row>
    <row r="3670" customFormat="false" ht="17.15" hidden="false" customHeight="false" outlineLevel="0" collapsed="false">
      <c r="A3670" s="47" t="s">
        <v>949</v>
      </c>
      <c r="B3670" s="14" t="s">
        <v>27</v>
      </c>
      <c r="C3670" s="44" t="n">
        <f aca="false">w_dcf*Sens!$C$3648+(1-w_dcf)*Sens!$C$3669</f>
        <v>200.843417551178</v>
      </c>
      <c r="D3670" s="14"/>
      <c r="E3670" s="14"/>
      <c r="F3670" s="14"/>
      <c r="G3670" s="14"/>
      <c r="H3670" s="14"/>
      <c r="I3670" s="14"/>
      <c r="J3670" s="14"/>
      <c r="K3670" s="14"/>
      <c r="L3670" s="14"/>
      <c r="M3670" s="14"/>
      <c r="N3670" s="14"/>
      <c r="O3670" s="14"/>
    </row>
    <row r="3671" customFormat="false" ht="17.15" hidden="false" customHeight="false" outlineLevel="0" collapsed="false">
      <c r="A3671" s="5" t="s">
        <v>950</v>
      </c>
      <c r="B3671" s="0" t="s">
        <v>27</v>
      </c>
      <c r="C3671" s="30" t="n">
        <f aca="false">v022_wdcf*Sens!$C$3648+(1-v022_wdcf)*Sens!$C$3669</f>
        <v>207.315553625635</v>
      </c>
    </row>
    <row r="3672" customFormat="false" ht="17.15" hidden="false" customHeight="false" outlineLevel="0" collapsed="false">
      <c r="A3672" s="5" t="s">
        <v>951</v>
      </c>
      <c r="B3672" s="0" t="s">
        <v>27</v>
      </c>
      <c r="C3672" s="30" t="n">
        <f aca="false">(Sens!$C$3668-Sens!$C$3665+Sens!$C$3664)/sh_val</f>
        <v>303.542337029547</v>
      </c>
    </row>
    <row r="3675" customFormat="false" ht="19.4" hidden="false" customHeight="false" outlineLevel="0" collapsed="false">
      <c r="A3675" s="31" t="s">
        <v>1202</v>
      </c>
    </row>
    <row r="3676" customFormat="false" ht="17.15" hidden="false" customHeight="false" outlineLevel="0" collapsed="false">
      <c r="A3676" s="6" t="s">
        <v>16</v>
      </c>
      <c r="B3676" s="6" t="s">
        <v>17</v>
      </c>
      <c r="C3676" s="20" t="s">
        <v>494</v>
      </c>
      <c r="D3676" s="20" t="s">
        <v>495</v>
      </c>
      <c r="E3676" s="20" t="s">
        <v>577</v>
      </c>
      <c r="F3676" s="20" t="s">
        <v>578</v>
      </c>
      <c r="G3676" s="20" t="s">
        <v>579</v>
      </c>
      <c r="H3676" s="20" t="s">
        <v>580</v>
      </c>
      <c r="I3676" s="20" t="s">
        <v>581</v>
      </c>
      <c r="J3676" s="20" t="s">
        <v>582</v>
      </c>
      <c r="K3676" s="20" t="s">
        <v>583</v>
      </c>
      <c r="L3676" s="20" t="s">
        <v>584</v>
      </c>
      <c r="M3676" s="20" t="s">
        <v>585</v>
      </c>
      <c r="N3676" s="20" t="s">
        <v>586</v>
      </c>
      <c r="O3676" s="20" t="s">
        <v>587</v>
      </c>
      <c r="P3676" s="6" t="s">
        <v>23</v>
      </c>
      <c r="R3676" s="20" t="n">
        <v>2023</v>
      </c>
      <c r="S3676" s="20" t="n">
        <v>2024</v>
      </c>
      <c r="T3676" s="20" t="n">
        <v>2025</v>
      </c>
      <c r="U3676" s="20" t="n">
        <v>2026</v>
      </c>
      <c r="V3676" s="20" t="n">
        <v>2027</v>
      </c>
      <c r="W3676" s="20" t="n">
        <v>2028</v>
      </c>
      <c r="X3676" s="20" t="n">
        <v>2029</v>
      </c>
      <c r="Y3676" s="20" t="n">
        <v>2030</v>
      </c>
      <c r="Z3676" s="20" t="n">
        <v>2031</v>
      </c>
      <c r="AA3676" s="20" t="n">
        <v>2032</v>
      </c>
    </row>
    <row r="3677" customFormat="false" ht="17.15" hidden="false" customHeight="false" outlineLevel="0" collapsed="false">
      <c r="A3677" s="1" t="s">
        <v>660</v>
      </c>
    </row>
    <row r="3678" customFormat="false" ht="17.15" hidden="false" customHeight="false" outlineLevel="0" collapsed="false">
      <c r="A3678" s="0" t="s">
        <v>516</v>
      </c>
      <c r="B3678" s="0" t="s">
        <v>86</v>
      </c>
      <c r="C3678" s="38" t="n">
        <f aca="false">Q!$D$10</f>
        <v>247.029</v>
      </c>
      <c r="D3678" s="38" t="n">
        <f aca="false">Q!$E$10</f>
        <v>269.287</v>
      </c>
      <c r="E3678" s="38" t="n">
        <f aca="false">Q!$P$10</f>
        <v>134.686</v>
      </c>
      <c r="F3678" s="38" t="n">
        <f aca="false">Sens!$O$3678*(1+Sens!$F$3679)*Sens!$F$3690</f>
        <v>158.293876822267</v>
      </c>
      <c r="G3678" s="38" t="n">
        <f aca="false">Sens!$E$3678+Sens!$F$3678</f>
        <v>292.979876822267</v>
      </c>
      <c r="H3678" s="38" t="n">
        <f aca="false">Sens!$G$3678*(1+Sens!$H$3679)</f>
        <v>318.184543087396</v>
      </c>
      <c r="I3678" s="38" t="n">
        <f aca="false">Sens!$H$3678*(1+Sens!$I$3679)</f>
        <v>341.736278761793</v>
      </c>
      <c r="J3678" s="38" t="n">
        <f aca="false">Sens!$I$3678*(1+Sens!$J$3679)</f>
        <v>362.927192787048</v>
      </c>
      <c r="K3678" s="38" t="n">
        <f aca="false">Sens!$J$3678*(1+Sens!$K$3679)</f>
        <v>381.0735524264</v>
      </c>
      <c r="L3678" s="38" t="n">
        <f aca="false">Sens!$K$3678*(1+Sens!$L$3679)</f>
        <v>400.12723004772</v>
      </c>
      <c r="M3678" s="38" t="n">
        <f aca="false">Sens!$L$3678*(1+Sens!$M$3679)</f>
        <v>420.133591550106</v>
      </c>
      <c r="N3678" s="38" t="n">
        <f aca="false">Q!$N$10</f>
        <v>118.892</v>
      </c>
      <c r="O3678" s="38" t="n">
        <f aca="false">Q!$O$10</f>
        <v>150.395</v>
      </c>
      <c r="P3678" s="8" t="s">
        <v>661</v>
      </c>
    </row>
    <row r="3679" customFormat="false" ht="17.15" hidden="false" customHeight="false" outlineLevel="0" collapsed="false">
      <c r="A3679" s="0" t="s">
        <v>662</v>
      </c>
      <c r="B3679" s="0" t="s">
        <v>52</v>
      </c>
      <c r="E3679" s="13" t="n">
        <f aca="false">Sens!$E$3678/Sens!$N$3678-1</f>
        <v>0.132843252699929</v>
      </c>
      <c r="F3679" s="13" t="n">
        <f aca="false">Sens!$O$3678/(Q!$F$10+Q!$G$10)-1</f>
        <v>0.0980382135842941</v>
      </c>
      <c r="G3679" s="13" t="n">
        <f aca="false">Sens!$G$3678/Sens!$D$3678-1</f>
        <v>0.0879837378791657</v>
      </c>
      <c r="H3679" s="13" t="n">
        <f aca="false">Sens!$F$3679+(g_os-Sens!$F$3679)*1/4</f>
        <v>0.0860286601882206</v>
      </c>
      <c r="I3679" s="13" t="n">
        <f aca="false">Sens!$F$3679+(g_os-Sens!$F$3679)*2/4</f>
        <v>0.074019106792147</v>
      </c>
      <c r="J3679" s="13" t="n">
        <f aca="false">Sens!$F$3679+(g_os-Sens!$F$3679)*3/4</f>
        <v>0.0620095533960735</v>
      </c>
      <c r="K3679" s="13" t="n">
        <f aca="false">Sens!$F$3679+(g_os-Sens!$F$3679)*4/4</f>
        <v>0.05</v>
      </c>
      <c r="L3679" s="13" t="n">
        <f aca="false">g_os</f>
        <v>0.05</v>
      </c>
      <c r="M3679" s="13" t="n">
        <f aca="false">g_os</f>
        <v>0.05</v>
      </c>
      <c r="P3679" s="8" t="s">
        <v>663</v>
      </c>
    </row>
    <row r="3680" customFormat="false" ht="17.15" hidden="false" customHeight="false" outlineLevel="0" collapsed="false">
      <c r="A3680" s="0" t="s">
        <v>517</v>
      </c>
      <c r="B3680" s="0" t="s">
        <v>86</v>
      </c>
      <c r="C3680" s="38" t="n">
        <f aca="false">Q!$D$11</f>
        <v>21.215</v>
      </c>
      <c r="D3680" s="38" t="n">
        <f aca="false">Q!$E$11</f>
        <v>22.561</v>
      </c>
      <c r="E3680" s="38" t="n">
        <f aca="false">Q!$P$11</f>
        <v>11.579</v>
      </c>
      <c r="F3680" s="38" t="n">
        <f aca="false">Sens!$O$3680*(1+Sens!$F$3681)*Sens!$F$3690</f>
        <v>11.5938724610325</v>
      </c>
      <c r="G3680" s="38" t="n">
        <f aca="false">Sens!$E$3680+Sens!$F$3680</f>
        <v>23.1728724610325</v>
      </c>
      <c r="H3680" s="38" t="n">
        <f aca="false">Sens!$G$3680*(1+Sens!$H$3681)</f>
        <v>24.353392759506</v>
      </c>
      <c r="I3680" s="38" t="n">
        <f aca="false">Sens!$H$3680*(1+Sens!$I$3681)</f>
        <v>25.4240338872015</v>
      </c>
      <c r="J3680" s="38" t="n">
        <f aca="false">Sens!$I$3680*(1+Sens!$J$3681)</f>
        <v>26.3642491017174</v>
      </c>
      <c r="K3680" s="38" t="n">
        <f aca="false">Sens!$J$3680*(1+Sens!$K$3681)</f>
        <v>27.155176574769</v>
      </c>
      <c r="L3680" s="38" t="n">
        <f aca="false">Sens!$K$3680*(1+Sens!$L$3681)</f>
        <v>27.969831872012</v>
      </c>
      <c r="M3680" s="38" t="n">
        <f aca="false">Sens!$L$3680*(1+Sens!$M$3681)</f>
        <v>28.8089268281724</v>
      </c>
      <c r="N3680" s="38" t="n">
        <f aca="false">Q!$N$11</f>
        <v>11.128</v>
      </c>
      <c r="O3680" s="38" t="n">
        <f aca="false">Q!$O$11</f>
        <v>11.433</v>
      </c>
      <c r="P3680" s="8" t="s">
        <v>661</v>
      </c>
    </row>
    <row r="3681" customFormat="false" ht="17.15" hidden="false" customHeight="false" outlineLevel="0" collapsed="false">
      <c r="A3681" s="0" t="s">
        <v>664</v>
      </c>
      <c r="B3681" s="0" t="s">
        <v>52</v>
      </c>
      <c r="E3681" s="13" t="n">
        <f aca="false">Sens!$E$3680/Sens!$N$3680-1</f>
        <v>0.0405283968368082</v>
      </c>
      <c r="F3681" s="13" t="n">
        <f aca="false">Sens!$O$3680/(Q!$F$11+Q!$G$11)-1</f>
        <v>0.0579254187100955</v>
      </c>
      <c r="G3681" s="13" t="n">
        <f aca="false">Sens!$G$3680/Sens!$D$3680-1</f>
        <v>0.0271208040881397</v>
      </c>
      <c r="H3681" s="13" t="n">
        <f aca="false">Sens!$F$3681+(g_ps-Sens!$F$3681)*1/4</f>
        <v>0.0509440640325716</v>
      </c>
      <c r="I3681" s="13" t="n">
        <f aca="false">Sens!$F$3681+(g_ps-Sens!$F$3681)*2/4</f>
        <v>0.0439627093550477</v>
      </c>
      <c r="J3681" s="13" t="n">
        <f aca="false">Sens!$F$3681+(g_ps-Sens!$F$3681)*3/4</f>
        <v>0.0369813546775239</v>
      </c>
      <c r="K3681" s="13" t="n">
        <f aca="false">Sens!$F$3681+(g_ps-Sens!$F$3681)*4/4</f>
        <v>0.03</v>
      </c>
      <c r="L3681" s="13" t="n">
        <f aca="false">g_ps</f>
        <v>0.03</v>
      </c>
      <c r="M3681" s="13" t="n">
        <f aca="false">g_ps</f>
        <v>0.03</v>
      </c>
      <c r="P3681" s="8" t="s">
        <v>665</v>
      </c>
    </row>
    <row r="3682" customFormat="false" ht="17.15" hidden="false" customHeight="false" outlineLevel="0" collapsed="false">
      <c r="A3682" s="0" t="s">
        <v>518</v>
      </c>
      <c r="B3682" s="0" t="s">
        <v>86</v>
      </c>
      <c r="C3682" s="38" t="n">
        <f aca="false">Q!$D$12</f>
        <v>156.146</v>
      </c>
      <c r="D3682" s="38" t="n">
        <f aca="false">Q!$E$12</f>
        <v>172.162</v>
      </c>
      <c r="E3682" s="38" t="n">
        <f aca="false">Q!$P$12</f>
        <v>88.358</v>
      </c>
      <c r="F3682" s="38" t="n">
        <f aca="false">Sens!$O$3682*(1+Sens!$F$3683)*Sens!$F$3690</f>
        <v>102.004388260171</v>
      </c>
      <c r="G3682" s="38" t="n">
        <f aca="false">Sens!$E$3682+Sens!$F$3682</f>
        <v>190.362388260171</v>
      </c>
      <c r="H3682" s="38" t="n">
        <f aca="false">Sens!$G$3682*(1+Sens!$H$3683)</f>
        <v>210.343106588311</v>
      </c>
      <c r="I3682" s="38" t="n">
        <f aca="false">Sens!$H$3682*(1+Sens!$I$3683)</f>
        <v>229.969728494648</v>
      </c>
      <c r="J3682" s="38" t="n">
        <f aca="false">Sens!$I$3682*(1+Sens!$J$3683)</f>
        <v>248.747636972598</v>
      </c>
      <c r="K3682" s="38" t="n">
        <f aca="false">Sens!$J$3682*(1+Sens!$K$3683)</f>
        <v>266.15997156068</v>
      </c>
      <c r="L3682" s="38" t="n">
        <f aca="false">Sens!$K$3682*(1+Sens!$L$3683)</f>
        <v>284.791169569927</v>
      </c>
      <c r="M3682" s="38" t="n">
        <f aca="false">Sens!$L$3682*(1+Sens!$M$3683)</f>
        <v>304.726551439822</v>
      </c>
      <c r="N3682" s="38" t="n">
        <f aca="false">Q!$N$12</f>
        <v>76.86</v>
      </c>
      <c r="O3682" s="38" t="n">
        <f aca="false">Q!$O$12</f>
        <v>95.302</v>
      </c>
      <c r="P3682" s="8" t="s">
        <v>661</v>
      </c>
    </row>
    <row r="3683" customFormat="false" ht="17.15" hidden="false" customHeight="false" outlineLevel="0" collapsed="false">
      <c r="A3683" s="0" t="s">
        <v>666</v>
      </c>
      <c r="B3683" s="0" t="s">
        <v>52</v>
      </c>
      <c r="E3683" s="13" t="n">
        <f aca="false">Sens!$E$3682/Sens!$N$3682-1</f>
        <v>0.1495966692688</v>
      </c>
      <c r="F3683" s="13" t="n">
        <f aca="false">Sens!$O$3682/(Q!$F$12+Q!$G$12)-1</f>
        <v>0.11661530890813</v>
      </c>
      <c r="G3683" s="13" t="n">
        <f aca="false">Sens!$G$3682/Sens!$D$3682-1</f>
        <v>0.105716640490767</v>
      </c>
      <c r="H3683" s="13" t="n">
        <f aca="false">Sens!$F$3683+(g_sp-Sens!$F$3683)*1/4</f>
        <v>0.104961481681098</v>
      </c>
      <c r="I3683" s="13" t="n">
        <f aca="false">Sens!$F$3683+(g_sp-Sens!$F$3683)*2/4</f>
        <v>0.0933076544540651</v>
      </c>
      <c r="J3683" s="13" t="n">
        <f aca="false">Sens!$F$3683+(g_sp-Sens!$F$3683)*3/4</f>
        <v>0.0816538272270325</v>
      </c>
      <c r="K3683" s="13" t="n">
        <f aca="false">Sens!$F$3683+(g_sp-Sens!$F$3683)*4/4</f>
        <v>0.07</v>
      </c>
      <c r="L3683" s="13" t="n">
        <f aca="false">g_sp</f>
        <v>0.07</v>
      </c>
      <c r="M3683" s="13" t="n">
        <f aca="false">g_sp</f>
        <v>0.07</v>
      </c>
      <c r="P3683" s="8" t="s">
        <v>667</v>
      </c>
    </row>
    <row r="3684" customFormat="false" ht="17.15" hidden="false" customHeight="false" outlineLevel="0" collapsed="false">
      <c r="A3684" s="0" t="s">
        <v>519</v>
      </c>
      <c r="B3684" s="0" t="s">
        <v>86</v>
      </c>
      <c r="C3684" s="38" t="n">
        <f aca="false">Q!$D$13</f>
        <v>56.214</v>
      </c>
      <c r="D3684" s="38" t="n">
        <f aca="false">Q!$E$13</f>
        <v>68.635</v>
      </c>
      <c r="E3684" s="38" t="n">
        <f aca="false">Q!$P$13</f>
        <v>37.052</v>
      </c>
      <c r="F3684" s="38" t="n">
        <f aca="false">Sens!$O$3684*(1+Sens!$F$3685)*Sens!$F$3690</f>
        <v>46.1572219944148</v>
      </c>
      <c r="G3684" s="38" t="n">
        <f aca="false">Sens!$E$3684+Sens!$F$3684</f>
        <v>83.2092219944148</v>
      </c>
      <c r="H3684" s="38" t="n">
        <f aca="false">Sens!$G$3684*(1+Sens!$H$3685)</f>
        <v>99.8969223878976</v>
      </c>
      <c r="I3684" s="38" t="n">
        <f aca="false">Sens!$H$3684*(1+Sens!$I$3685)</f>
        <v>116.583111095496</v>
      </c>
      <c r="J3684" s="38" t="n">
        <f aca="false">Sens!$I$3684*(1+Sens!$J$3685)</f>
        <v>132.148941941952</v>
      </c>
      <c r="K3684" s="38" t="n">
        <f aca="false">Sens!$J$3684*(1+Sens!$K$3685)</f>
        <v>145.363836136147</v>
      </c>
      <c r="L3684" s="38" t="n">
        <f aca="false">Sens!$K$3684*(1+Sens!$L$3685)</f>
        <v>159.900219749762</v>
      </c>
      <c r="M3684" s="38" t="n">
        <f aca="false">Sens!$L$3684*(1+Sens!$M$3685)</f>
        <v>175.890241724738</v>
      </c>
      <c r="N3684" s="38" t="n">
        <f aca="false">Q!$N$13</f>
        <v>29.615</v>
      </c>
      <c r="O3684" s="38" t="n">
        <f aca="false">Q!$O$13</f>
        <v>39.02</v>
      </c>
      <c r="P3684" s="8" t="s">
        <v>661</v>
      </c>
    </row>
    <row r="3685" customFormat="false" ht="17.15" hidden="false" customHeight="false" outlineLevel="0" collapsed="false">
      <c r="A3685" s="0" t="s">
        <v>668</v>
      </c>
      <c r="B3685" s="0" t="s">
        <v>52</v>
      </c>
      <c r="E3685" s="13" t="n">
        <f aca="false">Sens!$E$3684/Sens!$N$3684-1</f>
        <v>0.25112274185379</v>
      </c>
      <c r="F3685" s="13" t="n">
        <f aca="false">Sens!$O$3684/(Q!$F$13+Q!$G$13)-1</f>
        <v>0.234068123596572</v>
      </c>
      <c r="G3685" s="13" t="n">
        <f aca="false">Sens!$G$3684/Sens!$D$3684-1</f>
        <v>0.212343876949294</v>
      </c>
      <c r="H3685" s="13" t="n">
        <f aca="false">Sens!$F$3685+(g_ad-Sens!$F$3685)*1/4</f>
        <v>0.200551092697429</v>
      </c>
      <c r="I3685" s="13" t="n">
        <f aca="false">Sens!$F$3685+(g_ad-Sens!$F$3685)*2/4</f>
        <v>0.167034061798286</v>
      </c>
      <c r="J3685" s="13" t="n">
        <f aca="false">Sens!$F$3685+(g_ad-Sens!$F$3685)*3/4</f>
        <v>0.133517030899143</v>
      </c>
      <c r="K3685" s="13" t="n">
        <f aca="false">Sens!$F$3685+(g_ad-Sens!$F$3685)*4/4</f>
        <v>0.1</v>
      </c>
      <c r="L3685" s="13" t="n">
        <f aca="false">g_ad</f>
        <v>0.1</v>
      </c>
      <c r="M3685" s="13" t="n">
        <f aca="false">g_ad</f>
        <v>0.1</v>
      </c>
      <c r="P3685" s="8" t="s">
        <v>669</v>
      </c>
    </row>
    <row r="3686" customFormat="false" ht="17.15" hidden="false" customHeight="false" outlineLevel="0" collapsed="false">
      <c r="A3686" s="0" t="s">
        <v>520</v>
      </c>
      <c r="B3686" s="0" t="s">
        <v>86</v>
      </c>
      <c r="C3686" s="38" t="n">
        <f aca="false">Q!$D$14</f>
        <v>44.374</v>
      </c>
      <c r="D3686" s="38" t="n">
        <f aca="false">Q!$E$14</f>
        <v>49.619</v>
      </c>
      <c r="E3686" s="38" t="n">
        <f aca="false">Q!$P$14</f>
        <v>27.157</v>
      </c>
      <c r="F3686" s="38" t="n">
        <f aca="false">Sens!$O$3686*(1+Sens!$F$3687)*Sens!$F$3690</f>
        <v>27.7764165988154</v>
      </c>
      <c r="G3686" s="38" t="n">
        <f aca="false">Sens!$E$3686+Sens!$F$3686</f>
        <v>54.9334165988154</v>
      </c>
      <c r="H3686" s="38" t="n">
        <f aca="false">Sens!$G$3686*(1+Sens!$H$3687)</f>
        <v>61.1564112561829</v>
      </c>
      <c r="I3686" s="38" t="n">
        <f aca="false">Sens!$H$3686*(1+Sens!$I$3687)</f>
        <v>67.2020282103945</v>
      </c>
      <c r="J3686" s="38" t="n">
        <f aca="false">Sens!$I$3686*(1+Sens!$J$3687)</f>
        <v>72.8757274028885</v>
      </c>
      <c r="K3686" s="38" t="n">
        <f aca="false">Sens!$J$3686*(1+Sens!$K$3687)</f>
        <v>77.9770283210907</v>
      </c>
      <c r="L3686" s="38" t="n">
        <f aca="false">Sens!$K$3686*(1+Sens!$L$3687)</f>
        <v>83.4354203035671</v>
      </c>
      <c r="M3686" s="38" t="n">
        <f aca="false">Sens!$L$3686*(1+Sens!$M$3687)</f>
        <v>89.2758997248168</v>
      </c>
      <c r="N3686" s="38" t="n">
        <f aca="false">Q!$N$14</f>
        <v>23.923</v>
      </c>
      <c r="O3686" s="38" t="n">
        <f aca="false">Q!$O$14</f>
        <v>25.696</v>
      </c>
      <c r="P3686" s="8" t="s">
        <v>661</v>
      </c>
    </row>
    <row r="3687" customFormat="false" ht="17.15" hidden="false" customHeight="false" outlineLevel="0" collapsed="false">
      <c r="A3687" s="0" t="s">
        <v>670</v>
      </c>
      <c r="B3687" s="0" t="s">
        <v>52</v>
      </c>
      <c r="E3687" s="13" t="n">
        <f aca="false">Sens!$E$3686/Sens!$N$3686-1</f>
        <v>0.135183714417088</v>
      </c>
      <c r="F3687" s="13" t="n">
        <f aca="false">Sens!$O$3686/(Q!$F$14+Q!$G$14)-1</f>
        <v>0.127709997366804</v>
      </c>
      <c r="G3687" s="13" t="n">
        <f aca="false">Sens!$G$3686/Sens!$D$3686-1</f>
        <v>0.107104468022641</v>
      </c>
      <c r="H3687" s="13" t="n">
        <f aca="false">Sens!$F$3687+(g_sub-Sens!$F$3687)*1/4</f>
        <v>0.113282498025103</v>
      </c>
      <c r="I3687" s="13" t="n">
        <f aca="false">Sens!$F$3687+(g_sub-Sens!$F$3687)*2/4</f>
        <v>0.0988549986834021</v>
      </c>
      <c r="J3687" s="13" t="n">
        <f aca="false">Sens!$F$3687+(g_sub-Sens!$F$3687)*3/4</f>
        <v>0.084427499341701</v>
      </c>
      <c r="K3687" s="13" t="n">
        <f aca="false">Sens!$F$3687+(g_sub-Sens!$F$3687)*4/4</f>
        <v>0.07</v>
      </c>
      <c r="L3687" s="13" t="n">
        <f aca="false">g_sub</f>
        <v>0.07</v>
      </c>
      <c r="M3687" s="13" t="n">
        <f aca="false">g_sub</f>
        <v>0.07</v>
      </c>
      <c r="P3687" s="8" t="s">
        <v>671</v>
      </c>
    </row>
    <row r="3688" customFormat="false" ht="17.15" hidden="false" customHeight="false" outlineLevel="0" collapsed="false">
      <c r="A3688" s="0" t="s">
        <v>521</v>
      </c>
      <c r="B3688" s="0" t="s">
        <v>86</v>
      </c>
      <c r="C3688" s="38" t="n">
        <f aca="false">Q!$D$15</f>
        <v>5.425</v>
      </c>
      <c r="D3688" s="38" t="n">
        <f aca="false">Q!$E$15</f>
        <v>5.935</v>
      </c>
      <c r="E3688" s="38" t="n">
        <f aca="false">Q!$P$15</f>
        <v>3.474</v>
      </c>
      <c r="F3688" s="38" t="n">
        <f aca="false">Sens!$O$3688*(1+Sens!$F$3689)*Sens!$F$3690</f>
        <v>3.22246550883619</v>
      </c>
      <c r="G3688" s="38" t="n">
        <f aca="false">Sens!$E$3688+Sens!$F$3688</f>
        <v>6.69646550883619</v>
      </c>
      <c r="H3688" s="38" t="n">
        <f aca="false">Sens!$G$3688*(1+Sens!$H$3689)</f>
        <v>7.16251344209196</v>
      </c>
      <c r="I3688" s="38" t="n">
        <f aca="false">Sens!$H$3688*(1+Sens!$I$3689)</f>
        <v>7.61421070299826</v>
      </c>
      <c r="J3688" s="38" t="n">
        <f aca="false">Sens!$I$3688*(1+Sens!$J$3689)</f>
        <v>8.04465753523932</v>
      </c>
      <c r="K3688" s="38" t="n">
        <f aca="false">Sens!$J$3688*(1+Sens!$K$3689)</f>
        <v>8.44689041200128</v>
      </c>
      <c r="L3688" s="38" t="n">
        <f aca="false">Sens!$K$3688*(1+Sens!$L$3689)</f>
        <v>8.86923493260135</v>
      </c>
      <c r="M3688" s="38" t="n">
        <f aca="false">Sens!$L$3688*(1+Sens!$M$3689)</f>
        <v>9.31269667923142</v>
      </c>
      <c r="N3688" s="38" t="n">
        <f aca="false">Q!$N$15</f>
        <v>2.811</v>
      </c>
      <c r="O3688" s="38" t="n">
        <f aca="false">Q!$O$15</f>
        <v>3.124</v>
      </c>
      <c r="P3688" s="8" t="s">
        <v>661</v>
      </c>
    </row>
    <row r="3689" customFormat="false" ht="17.15" hidden="false" customHeight="false" outlineLevel="0" collapsed="false">
      <c r="A3689" s="0" t="s">
        <v>672</v>
      </c>
      <c r="B3689" s="0" t="s">
        <v>52</v>
      </c>
      <c r="E3689" s="13" t="n">
        <f aca="false">Sens!$E$3688/Sens!$N$3688-1</f>
        <v>0.235859124866596</v>
      </c>
      <c r="F3689" s="13" t="n">
        <f aca="false">Sens!$O$3688/(Q!$F$15+Q!$G$15)-1</f>
        <v>0.0761281433000345</v>
      </c>
      <c r="G3689" s="13" t="n">
        <f aca="false">Sens!$G$3688/Sens!$D$3688-1</f>
        <v>0.128300843948811</v>
      </c>
      <c r="H3689" s="13" t="n">
        <f aca="false">Sens!$F$3689+(g_ot-Sens!$F$3689)*1/4</f>
        <v>0.0695961074750259</v>
      </c>
      <c r="I3689" s="13" t="n">
        <f aca="false">Sens!$F$3689+(g_ot-Sens!$F$3689)*2/4</f>
        <v>0.0630640716500172</v>
      </c>
      <c r="J3689" s="13" t="n">
        <f aca="false">Sens!$F$3689+(g_ot-Sens!$F$3689)*3/4</f>
        <v>0.0565320358250086</v>
      </c>
      <c r="K3689" s="13" t="n">
        <f aca="false">Sens!$F$3689+(g_ot-Sens!$F$3689)*4/4</f>
        <v>0.05</v>
      </c>
      <c r="L3689" s="13" t="n">
        <f aca="false">g_ot</f>
        <v>0.05</v>
      </c>
      <c r="M3689" s="13" t="n">
        <f aca="false">g_ot</f>
        <v>0.05</v>
      </c>
      <c r="P3689" s="8" t="s">
        <v>673</v>
      </c>
    </row>
    <row r="3690" customFormat="false" ht="17.15" hidden="false" customHeight="false" outlineLevel="0" collapsed="false">
      <c r="A3690" s="0" t="s">
        <v>674</v>
      </c>
      <c r="B3690" s="0" t="s">
        <v>57</v>
      </c>
      <c r="F3690" s="40" t="n">
        <f aca="false">(g26q3_mid*Q!$O$8/Q!$J$8-Sens!$F$3719-Sens!$F$3723)/(Sens!$O$3678*(1+Sens!$F$3679)+Sens!$O$3680*(1+Sens!$F$3681)+Sens!$O$3682*(1+Sens!$F$3683)+Sens!$O$3684*(1+Sens!$F$3685)+Sens!$O$3686*(1+Sens!$F$3687)+Sens!$O$3688*(1+Sens!$F$3689))</f>
        <v>0.958546670622329</v>
      </c>
      <c r="P3690" s="8" t="s">
        <v>675</v>
      </c>
    </row>
    <row r="3691" customFormat="false" ht="17.15" hidden="false" customHeight="false" outlineLevel="0" collapsed="false">
      <c r="A3691" s="3" t="s">
        <v>676</v>
      </c>
      <c r="B3691" s="8" t="s">
        <v>86</v>
      </c>
      <c r="C3691" s="38" t="n">
        <f aca="false">Sens!$C$3678+Sens!$C$3680+Sens!$C$3682+Sens!$C$3684+Sens!$C$3686+Sens!$C$3688</f>
        <v>530.403</v>
      </c>
      <c r="D3691" s="38" t="n">
        <f aca="false">Sens!$D$3678+Sens!$D$3680+Sens!$D$3682+Sens!$D$3684+Sens!$D$3686+Sens!$D$3688</f>
        <v>588.199</v>
      </c>
      <c r="E3691" s="38" t="n">
        <f aca="false">Sens!$E$3678+Sens!$E$3680+Sens!$E$3682+Sens!$E$3684+Sens!$E$3686+Sens!$E$3688</f>
        <v>302.306</v>
      </c>
      <c r="F3691" s="38" t="n">
        <f aca="false">Sens!$F$3678+Sens!$F$3680+Sens!$F$3682+Sens!$F$3684+Sens!$F$3686+Sens!$F$3688</f>
        <v>349.048241645537</v>
      </c>
      <c r="G3691" s="38" t="n">
        <f aca="false">Sens!$G$3678+Sens!$G$3680+Sens!$G$3682+Sens!$G$3684+Sens!$G$3686+Sens!$G$3688</f>
        <v>651.354241645537</v>
      </c>
      <c r="H3691" s="38" t="n">
        <f aca="false">Sens!$H$3678+Sens!$H$3680+Sens!$H$3682+Sens!$H$3684+Sens!$H$3686+Sens!$H$3688</f>
        <v>721.096889521386</v>
      </c>
      <c r="I3691" s="38" t="n">
        <f aca="false">Sens!$I$3678+Sens!$I$3680+Sens!$I$3682+Sens!$I$3684+Sens!$I$3686+Sens!$I$3688</f>
        <v>788.529391152531</v>
      </c>
      <c r="J3691" s="38" t="n">
        <f aca="false">Sens!$J$3678+Sens!$J$3680+Sens!$J$3682+Sens!$J$3684+Sens!$J$3686+Sens!$J$3688</f>
        <v>851.108405741443</v>
      </c>
      <c r="K3691" s="38" t="n">
        <f aca="false">Sens!$K$3678+Sens!$K$3680+Sens!$K$3682+Sens!$K$3684+Sens!$K$3686+Sens!$K$3688</f>
        <v>906.176455431088</v>
      </c>
      <c r="L3691" s="38" t="n">
        <f aca="false">Sens!$L$3678+Sens!$L$3680+Sens!$L$3682+Sens!$L$3684+Sens!$L$3686+Sens!$L$3688</f>
        <v>965.093106475589</v>
      </c>
      <c r="M3691" s="38" t="n">
        <f aca="false">Sens!$M$3678+Sens!$M$3680+Sens!$M$3682+Sens!$M$3684+Sens!$M$3686+Sens!$M$3688</f>
        <v>1028.14790794689</v>
      </c>
      <c r="N3691" s="38" t="n">
        <f aca="false">Sens!$N$3678+Sens!$N$3680+Sens!$N$3682+Sens!$N$3684+Sens!$N$3686+Sens!$N$3688</f>
        <v>263.229</v>
      </c>
      <c r="O3691" s="38" t="n">
        <f aca="false">Sens!$O$3678+Sens!$O$3680+Sens!$O$3682+Sens!$O$3684+Sens!$O$3686+Sens!$O$3688</f>
        <v>324.97</v>
      </c>
    </row>
    <row r="3692" customFormat="false" ht="17.15" hidden="false" customHeight="false" outlineLevel="0" collapsed="false">
      <c r="A3692" s="5" t="s">
        <v>677</v>
      </c>
      <c r="B3692" s="0" t="s">
        <v>52</v>
      </c>
      <c r="C3692" s="13" t="n">
        <f aca="false">Q!$D$5/(Q!$D$5+Q!$D$6)</f>
        <v>0.730570905519011</v>
      </c>
      <c r="D3692" s="13" t="n">
        <f aca="false">Q!$E$5/(Q!$E$5+Q!$E$6)</f>
        <v>0.724763217890544</v>
      </c>
      <c r="E3692" s="13" t="n">
        <f aca="false">Q!$P$5/(Q!$P$5+Q!$P$6)</f>
        <v>0.728797972914861</v>
      </c>
      <c r="F3692" s="13" t="n">
        <f aca="false">Sens!$O$3692</f>
        <v>0.718066283041511</v>
      </c>
      <c r="G3692" s="13" t="n">
        <f aca="false">Sens!$G$3693/Sens!$G$3691</f>
        <v>0.723047066202847</v>
      </c>
      <c r="H3692" s="13" t="n">
        <f aca="false">Sens!$G$3692</f>
        <v>0.723047066202847</v>
      </c>
      <c r="I3692" s="13" t="n">
        <f aca="false">Sens!$G$3692</f>
        <v>0.723047066202847</v>
      </c>
      <c r="J3692" s="13" t="n">
        <f aca="false">Sens!$G$3692</f>
        <v>0.723047066202847</v>
      </c>
      <c r="K3692" s="13" t="n">
        <f aca="false">Sens!$G$3692</f>
        <v>0.723047066202847</v>
      </c>
      <c r="L3692" s="13" t="n">
        <f aca="false">Sens!$G$3692</f>
        <v>0.723047066202847</v>
      </c>
      <c r="M3692" s="13" t="n">
        <f aca="false">Sens!$G$3692</f>
        <v>0.723047066202847</v>
      </c>
      <c r="N3692" s="13" t="n">
        <f aca="false">Q!$N$5/(Q!$N$5+Q!$N$6)</f>
        <v>0.733030935041352</v>
      </c>
      <c r="O3692" s="13" t="n">
        <f aca="false">Q!$O$5/(Q!$O$5+Q!$O$6)</f>
        <v>0.718066283041511</v>
      </c>
      <c r="P3692" s="8" t="s">
        <v>678</v>
      </c>
    </row>
    <row r="3693" customFormat="false" ht="17.15" hidden="false" customHeight="false" outlineLevel="0" collapsed="false">
      <c r="A3693" s="1" t="s">
        <v>509</v>
      </c>
      <c r="B3693" s="8" t="s">
        <v>86</v>
      </c>
      <c r="C3693" s="38" t="n">
        <f aca="false">Q!$D$5</f>
        <v>387.497</v>
      </c>
      <c r="D3693" s="38" t="n">
        <f aca="false">Q!$E$5</f>
        <v>426.305</v>
      </c>
      <c r="E3693" s="38" t="n">
        <f aca="false">Q!$P$5</f>
        <v>220.32</v>
      </c>
      <c r="F3693" s="38" t="n">
        <f aca="false">Sens!$F$3691*Sens!$F$3692</f>
        <v>250.639773480586</v>
      </c>
      <c r="G3693" s="38" t="n">
        <f aca="false">Sens!$E$3693+Sens!$F$3693</f>
        <v>470.959773480586</v>
      </c>
      <c r="H3693" s="38" t="n">
        <f aca="false">Sens!$H$3691*Sens!$H$3692</f>
        <v>521.386990416437</v>
      </c>
      <c r="I3693" s="38" t="n">
        <f aca="false">Sens!$I$3691*Sens!$I$3692</f>
        <v>570.143862887555</v>
      </c>
      <c r="J3693" s="38" t="n">
        <f aca="false">Sens!$J$3691*Sens!$J$3692</f>
        <v>615.391435791933</v>
      </c>
      <c r="K3693" s="38" t="n">
        <f aca="false">Sens!$K$3691*Sens!$K$3692</f>
        <v>655.208227561543</v>
      </c>
      <c r="L3693" s="38" t="n">
        <f aca="false">Sens!$L$3691*Sens!$L$3692</f>
        <v>697.807739249767</v>
      </c>
      <c r="M3693" s="38" t="n">
        <f aca="false">Sens!$M$3691*Sens!$M$3692</f>
        <v>743.399328463592</v>
      </c>
      <c r="N3693" s="38" t="n">
        <f aca="false">Q!$N$5</f>
        <v>192.955</v>
      </c>
      <c r="O3693" s="38" t="n">
        <f aca="false">Q!$O$5</f>
        <v>233.35</v>
      </c>
      <c r="P3693" s="5" t="s">
        <v>679</v>
      </c>
    </row>
    <row r="3694" customFormat="false" ht="17.15" hidden="false" customHeight="false" outlineLevel="0" collapsed="false">
      <c r="A3694" s="1" t="s">
        <v>512</v>
      </c>
      <c r="B3694" s="8" t="s">
        <v>86</v>
      </c>
      <c r="C3694" s="38" t="n">
        <f aca="false">Q!$D$6</f>
        <v>142.906</v>
      </c>
      <c r="D3694" s="38" t="n">
        <f aca="false">Q!$E$6</f>
        <v>161.894</v>
      </c>
      <c r="E3694" s="38" t="n">
        <f aca="false">Q!$P$6</f>
        <v>81.986</v>
      </c>
      <c r="F3694" s="38" t="n">
        <f aca="false">Sens!$F$3691*(1-Sens!$F$3692)</f>
        <v>98.408468164951</v>
      </c>
      <c r="G3694" s="38" t="n">
        <f aca="false">Sens!$E$3694+Sens!$F$3694</f>
        <v>180.394468164951</v>
      </c>
      <c r="H3694" s="38" t="n">
        <f aca="false">Sens!$H$3691*(1-Sens!$H$3692)</f>
        <v>199.709899104949</v>
      </c>
      <c r="I3694" s="38" t="n">
        <f aca="false">Sens!$I$3691*(1-Sens!$I$3692)</f>
        <v>218.385528264976</v>
      </c>
      <c r="J3694" s="38" t="n">
        <f aca="false">Sens!$J$3691*(1-Sens!$J$3692)</f>
        <v>235.71696994951</v>
      </c>
      <c r="K3694" s="38" t="n">
        <f aca="false">Sens!$K$3691*(1-Sens!$K$3692)</f>
        <v>250.968227869545</v>
      </c>
      <c r="L3694" s="38" t="n">
        <f aca="false">Sens!$L$3691*(1-Sens!$L$3692)</f>
        <v>267.285367225822</v>
      </c>
      <c r="M3694" s="38" t="n">
        <f aca="false">Sens!$M$3691*(1-Sens!$M$3692)</f>
        <v>284.748579483295</v>
      </c>
      <c r="N3694" s="38" t="n">
        <f aca="false">Q!$N$6</f>
        <v>70.274</v>
      </c>
      <c r="O3694" s="38" t="n">
        <f aca="false">Q!$O$6</f>
        <v>91.62</v>
      </c>
      <c r="P3694" s="5" t="s">
        <v>680</v>
      </c>
    </row>
    <row r="3695" customFormat="false" ht="17.15" hidden="false" customHeight="false" outlineLevel="0" collapsed="false">
      <c r="A3695" s="5" t="s">
        <v>681</v>
      </c>
      <c r="B3695" s="0" t="s">
        <v>86</v>
      </c>
      <c r="C3695" s="38" t="n">
        <f aca="false">Sens!$C$3684*Sens!$C$3692</f>
        <v>41.0683128828457</v>
      </c>
      <c r="D3695" s="38" t="n">
        <f aca="false">Sens!$D$3684*Sens!$D$3692</f>
        <v>49.7441234599175</v>
      </c>
      <c r="E3695" s="38" t="n">
        <f aca="false">Sens!$E$3684*Sens!$E$3692</f>
        <v>27.0034224924414</v>
      </c>
      <c r="F3695" s="38" t="n">
        <f aca="false">Sens!$F$3684*Sens!$F$3692</f>
        <v>33.1439448330513</v>
      </c>
      <c r="G3695" s="38" t="n">
        <f aca="false">Sens!$G$3684*Sens!$G$3692</f>
        <v>60.164183844083</v>
      </c>
      <c r="H3695" s="38" t="n">
        <f aca="false">Sens!$H$3684*Sens!$H$3692</f>
        <v>72.2301766552629</v>
      </c>
      <c r="I3695" s="38" t="n">
        <f aca="false">Sens!$I$3684*Sens!$I$3692</f>
        <v>84.2950764463991</v>
      </c>
      <c r="J3695" s="38" t="n">
        <f aca="false">Sens!$J$3684*Sens!$J$3692</f>
        <v>95.5499047729386</v>
      </c>
      <c r="K3695" s="38" t="n">
        <f aca="false">Sens!$K$3684*Sens!$K$3692</f>
        <v>105.104895250232</v>
      </c>
      <c r="L3695" s="38" t="n">
        <f aca="false">Sens!$L$3684*Sens!$L$3692</f>
        <v>115.615384775256</v>
      </c>
      <c r="M3695" s="38" t="n">
        <f aca="false">Sens!$M$3684*Sens!$M$3692</f>
        <v>127.176923252781</v>
      </c>
      <c r="N3695" s="38" t="n">
        <f aca="false">Sens!$N$3684*Sens!$N$3692</f>
        <v>21.7087111412496</v>
      </c>
      <c r="O3695" s="38" t="n">
        <f aca="false">Sens!$O$3684*Sens!$O$3692</f>
        <v>28.0189463642798</v>
      </c>
      <c r="P3695" s="5" t="s">
        <v>682</v>
      </c>
    </row>
    <row r="3696" customFormat="false" ht="15" hidden="false" customHeight="false" outlineLevel="0" collapsed="false">
      <c r="A3696" s="5" t="s">
        <v>683</v>
      </c>
      <c r="B3696" s="0" t="s">
        <v>86</v>
      </c>
      <c r="C3696" s="38" t="n">
        <f aca="false">Sens!$C$3684-Sens!$C$3695</f>
        <v>15.1456871171543</v>
      </c>
      <c r="D3696" s="38" t="n">
        <f aca="false">Sens!$D$3684-Sens!$D$3695</f>
        <v>18.8908765400825</v>
      </c>
      <c r="E3696" s="38" t="n">
        <f aca="false">Sens!$E$3684-Sens!$E$3695</f>
        <v>10.0485775075586</v>
      </c>
      <c r="F3696" s="38" t="n">
        <f aca="false">Sens!$F$3684-Sens!$F$3695</f>
        <v>13.0132771613635</v>
      </c>
      <c r="G3696" s="38" t="n">
        <f aca="false">Sens!$G$3684-Sens!$G$3695</f>
        <v>23.0450381503318</v>
      </c>
      <c r="H3696" s="38" t="n">
        <f aca="false">Sens!$H$3684-Sens!$H$3695</f>
        <v>27.6667457326347</v>
      </c>
      <c r="I3696" s="38" t="n">
        <f aca="false">Sens!$I$3684-Sens!$I$3695</f>
        <v>32.2880346490971</v>
      </c>
      <c r="J3696" s="38" t="n">
        <f aca="false">Sens!$J$3684-Sens!$J$3695</f>
        <v>36.5990371690132</v>
      </c>
      <c r="K3696" s="38" t="n">
        <f aca="false">Sens!$K$3684-Sens!$K$3695</f>
        <v>40.2589408859145</v>
      </c>
      <c r="L3696" s="38" t="n">
        <f aca="false">Sens!$L$3684-Sens!$L$3695</f>
        <v>44.2848349745059</v>
      </c>
      <c r="M3696" s="38" t="n">
        <f aca="false">Sens!$M$3684-Sens!$M$3695</f>
        <v>48.7133184719565</v>
      </c>
      <c r="N3696" s="38" t="n">
        <f aca="false">Sens!$N$3684-Sens!$N$3695</f>
        <v>7.90628885875037</v>
      </c>
      <c r="O3696" s="38" t="n">
        <f aca="false">Sens!$O$3684-Sens!$O$3695</f>
        <v>11.0010536357202</v>
      </c>
    </row>
    <row r="3697" customFormat="false" ht="19.4" hidden="false" customHeight="false" outlineLevel="0" collapsed="false">
      <c r="A3697" s="31" t="s">
        <v>1203</v>
      </c>
    </row>
    <row r="3698" customFormat="false" ht="17.15" hidden="false" customHeight="false" outlineLevel="0" collapsed="false">
      <c r="A3698" s="6" t="s">
        <v>16</v>
      </c>
      <c r="B3698" s="6" t="s">
        <v>17</v>
      </c>
      <c r="C3698" s="20" t="s">
        <v>494</v>
      </c>
      <c r="D3698" s="20" t="s">
        <v>495</v>
      </c>
      <c r="E3698" s="20" t="s">
        <v>577</v>
      </c>
      <c r="F3698" s="20" t="s">
        <v>578</v>
      </c>
      <c r="G3698" s="20" t="s">
        <v>579</v>
      </c>
      <c r="H3698" s="20" t="s">
        <v>580</v>
      </c>
      <c r="I3698" s="20" t="s">
        <v>581</v>
      </c>
      <c r="J3698" s="20" t="s">
        <v>582</v>
      </c>
      <c r="K3698" s="20" t="s">
        <v>583</v>
      </c>
      <c r="L3698" s="20" t="s">
        <v>584</v>
      </c>
      <c r="M3698" s="20" t="s">
        <v>585</v>
      </c>
      <c r="N3698" s="20" t="s">
        <v>586</v>
      </c>
      <c r="O3698" s="20" t="s">
        <v>587</v>
      </c>
      <c r="P3698" s="6" t="s">
        <v>23</v>
      </c>
      <c r="R3698" s="20" t="n">
        <v>2023</v>
      </c>
      <c r="S3698" s="20" t="n">
        <v>2024</v>
      </c>
      <c r="T3698" s="20" t="n">
        <v>2025</v>
      </c>
      <c r="U3698" s="20" t="n">
        <v>2026</v>
      </c>
      <c r="V3698" s="20" t="n">
        <v>2027</v>
      </c>
      <c r="W3698" s="20" t="n">
        <v>2028</v>
      </c>
      <c r="X3698" s="20" t="n">
        <v>2029</v>
      </c>
      <c r="Y3698" s="20" t="n">
        <v>2030</v>
      </c>
      <c r="Z3698" s="20" t="n">
        <v>2031</v>
      </c>
      <c r="AA3698" s="20" t="n">
        <v>2032</v>
      </c>
    </row>
    <row r="3699" customFormat="false" ht="17.15" hidden="false" customHeight="false" outlineLevel="0" collapsed="false">
      <c r="A3699" s="1" t="s">
        <v>588</v>
      </c>
    </row>
    <row r="3700" customFormat="false" ht="17.15" hidden="false" customHeight="false" outlineLevel="0" collapsed="false">
      <c r="A3700" s="5" t="s">
        <v>589</v>
      </c>
      <c r="B3700" s="0" t="s">
        <v>144</v>
      </c>
      <c r="H3700" s="32" t="n">
        <f aca="false">pace_B</f>
        <v>3634.3</v>
      </c>
      <c r="I3700" s="32" t="n">
        <f aca="false">pace_B</f>
        <v>3634.3</v>
      </c>
      <c r="J3700" s="32" t="n">
        <f aca="false">pace_B</f>
        <v>3634.3</v>
      </c>
      <c r="K3700" s="32" t="n">
        <f aca="false">pace_B+(Sens!$J$3701*tg-pace_B)*1/3</f>
        <v>2570.86716666667</v>
      </c>
      <c r="L3700" s="32" t="n">
        <f aca="false">pace_B+(Sens!$J$3701*tg-pace_B)*2/3</f>
        <v>1507.43433333333</v>
      </c>
      <c r="M3700" s="32" t="n">
        <f aca="false">pace_B+(Sens!$J$3701*tg-pace_B)*3/3</f>
        <v>444.0015</v>
      </c>
      <c r="P3700" s="5" t="s">
        <v>590</v>
      </c>
    </row>
    <row r="3701" customFormat="false" ht="17.15" hidden="false" customHeight="false" outlineLevel="0" collapsed="false">
      <c r="A3701" s="15" t="s">
        <v>591</v>
      </c>
      <c r="B3701" s="14" t="s">
        <v>129</v>
      </c>
      <c r="C3701" s="33" t="n">
        <f aca="false">mw_ye24</f>
        <v>360</v>
      </c>
      <c r="D3701" s="33" t="n">
        <f aca="false">mw_ye25</f>
        <v>1440</v>
      </c>
      <c r="E3701" s="33" t="n">
        <f aca="false">mw_open</f>
        <v>2080</v>
      </c>
      <c r="F3701" s="33" t="n">
        <f aca="false">Sens!$E$3701+pace_B*0.5</f>
        <v>3897.15</v>
      </c>
      <c r="G3701" s="33" t="n">
        <f aca="false">Sens!$F$3701</f>
        <v>3897.15</v>
      </c>
      <c r="H3701" s="33" t="n">
        <f aca="false">Sens!$G$3701+Sens!$H$3700</f>
        <v>7531.45</v>
      </c>
      <c r="I3701" s="33" t="n">
        <f aca="false">Sens!$H$3701+Sens!$I$3700</f>
        <v>11165.75</v>
      </c>
      <c r="J3701" s="33" t="n">
        <f aca="false">Sens!$I$3701+Sens!$J$3700</f>
        <v>14800.05</v>
      </c>
      <c r="K3701" s="33" t="n">
        <f aca="false">Sens!$J$3701+Sens!$K$3700</f>
        <v>17370.9171666667</v>
      </c>
      <c r="L3701" s="33" t="n">
        <f aca="false">Sens!$K$3701+Sens!$L$3700</f>
        <v>18878.3515</v>
      </c>
      <c r="M3701" s="33" t="n">
        <f aca="false">Sens!$L$3701+Sens!$M$3700</f>
        <v>19322.353</v>
      </c>
      <c r="N3701" s="33" t="n">
        <f aca="false">(mw_ye24+mw_ye25)/2</f>
        <v>900</v>
      </c>
      <c r="O3701" s="33" t="n">
        <f aca="false">mw_ye25</f>
        <v>1440</v>
      </c>
      <c r="P3701" s="5" t="s">
        <v>592</v>
      </c>
    </row>
    <row r="3702" customFormat="false" ht="17.15" hidden="false" customHeight="false" outlineLevel="0" collapsed="false">
      <c r="A3702" s="5" t="s">
        <v>593</v>
      </c>
      <c r="B3702" s="0" t="s">
        <v>129</v>
      </c>
      <c r="C3702" s="32" t="n">
        <f aca="false">(mw_ye23+mw_ye24)/2</f>
        <v>240</v>
      </c>
      <c r="D3702" s="32" t="n">
        <f aca="false">(Sens!$C$3701+Sens!$D$3701)/2</f>
        <v>900</v>
      </c>
      <c r="E3702" s="32" t="n">
        <f aca="false">(Sens!$D$3701+Sens!$E$3701)/2</f>
        <v>1760</v>
      </c>
      <c r="F3702" s="32" t="n">
        <f aca="false">(Sens!$E$3701+Sens!$F$3701)/2</f>
        <v>2988.575</v>
      </c>
      <c r="G3702" s="32" t="n">
        <f aca="false">(Sens!$E$3702+Sens!$F$3702)/2</f>
        <v>2374.2875</v>
      </c>
      <c r="H3702" s="32" t="n">
        <f aca="false">(Sens!$G$3701+Sens!$H$3701)/2</f>
        <v>5714.3</v>
      </c>
      <c r="I3702" s="32" t="n">
        <f aca="false">(Sens!$H$3701+Sens!$I$3701)/2</f>
        <v>9348.6</v>
      </c>
      <c r="J3702" s="32" t="n">
        <f aca="false">(Sens!$I$3701+Sens!$J$3701)/2</f>
        <v>12982.9</v>
      </c>
      <c r="K3702" s="32" t="n">
        <f aca="false">(Sens!$J$3701+Sens!$K$3701)/2</f>
        <v>16085.4835833333</v>
      </c>
      <c r="L3702" s="32" t="n">
        <f aca="false">(Sens!$K$3701+Sens!$L$3701)/2</f>
        <v>18124.6343333333</v>
      </c>
      <c r="M3702" s="32" t="n">
        <f aca="false">(Sens!$L$3701+Sens!$M$3701)/2</f>
        <v>19100.35225</v>
      </c>
      <c r="N3702" s="32" t="n">
        <f aca="false">(Sens!$C$3701+Sens!$N$3701)/2</f>
        <v>630</v>
      </c>
      <c r="O3702" s="32" t="n">
        <f aca="false">(Sens!$N$3701+Sens!$O$3701)/2</f>
        <v>1170</v>
      </c>
    </row>
    <row r="3703" customFormat="false" ht="15" hidden="false" customHeight="false" outlineLevel="0" collapsed="false">
      <c r="A3703" s="5" t="s">
        <v>594</v>
      </c>
      <c r="B3703" s="5" t="s">
        <v>123</v>
      </c>
      <c r="C3703" s="34" t="n">
        <v>1</v>
      </c>
      <c r="D3703" s="34" t="n">
        <v>1</v>
      </c>
      <c r="E3703" s="34" t="n">
        <v>0.5</v>
      </c>
      <c r="F3703" s="34" t="n">
        <v>0.5</v>
      </c>
      <c r="G3703" s="34" t="n">
        <v>1</v>
      </c>
      <c r="H3703" s="34" t="n">
        <v>1</v>
      </c>
      <c r="I3703" s="34" t="n">
        <v>1</v>
      </c>
      <c r="J3703" s="34" t="n">
        <v>1</v>
      </c>
      <c r="K3703" s="34" t="n">
        <v>1</v>
      </c>
      <c r="L3703" s="34" t="n">
        <v>1</v>
      </c>
      <c r="M3703" s="34" t="n">
        <v>1</v>
      </c>
      <c r="N3703" s="34" t="n">
        <v>0.5</v>
      </c>
      <c r="O3703" s="34" t="n">
        <v>0.5</v>
      </c>
    </row>
    <row r="3704" customFormat="false" ht="17.15" hidden="false" customHeight="false" outlineLevel="0" collapsed="false">
      <c r="A3704" s="5" t="s">
        <v>595</v>
      </c>
      <c r="B3704" s="0" t="s">
        <v>129</v>
      </c>
      <c r="C3704" s="32" t="n">
        <f aca="false">Sens!$C$3701-mw_ye23</f>
        <v>240</v>
      </c>
      <c r="D3704" s="32" t="n">
        <f aca="false">Sens!$D$3701-Sens!$C$3701</f>
        <v>1080</v>
      </c>
      <c r="E3704" s="32" t="n">
        <f aca="false">Sens!$E$3701-Sens!$D$3701</f>
        <v>640</v>
      </c>
      <c r="F3704" s="32" t="n">
        <f aca="false">Sens!$F$3701-Sens!$E$3701</f>
        <v>1817.15</v>
      </c>
      <c r="G3704" s="32" t="n">
        <f aca="false">Sens!$E$3704+Sens!$F$3704</f>
        <v>2457.15</v>
      </c>
      <c r="H3704" s="32" t="n">
        <f aca="false">Sens!$H$3701-Sens!$G$3701</f>
        <v>3634.3</v>
      </c>
      <c r="I3704" s="32" t="n">
        <f aca="false">Sens!$I$3701-Sens!$H$3701</f>
        <v>3634.3</v>
      </c>
      <c r="J3704" s="32" t="n">
        <f aca="false">Sens!$J$3701-Sens!$I$3701</f>
        <v>3634.3</v>
      </c>
      <c r="K3704" s="32" t="n">
        <f aca="false">Sens!$K$3701-Sens!$J$3701</f>
        <v>2570.86716666667</v>
      </c>
      <c r="L3704" s="32" t="n">
        <f aca="false">Sens!$L$3701-Sens!$K$3701</f>
        <v>1507.43433333333</v>
      </c>
      <c r="M3704" s="32" t="n">
        <f aca="false">Sens!$M$3701-Sens!$L$3701</f>
        <v>444.001499999999</v>
      </c>
      <c r="N3704" s="32" t="n">
        <f aca="false">Sens!$N$3701-Sens!$C$3701</f>
        <v>540</v>
      </c>
      <c r="O3704" s="32" t="n">
        <f aca="false">Sens!$O$3701-Sens!$N$3701</f>
        <v>540</v>
      </c>
    </row>
    <row r="3705" customFormat="false" ht="17.15" hidden="false" customHeight="false" outlineLevel="0" collapsed="false">
      <c r="A3705" s="5" t="s">
        <v>596</v>
      </c>
      <c r="B3705" s="0" t="s">
        <v>129</v>
      </c>
      <c r="C3705" s="32" t="n">
        <f aca="false">Sens!$C$3704/ext_sh</f>
        <v>300</v>
      </c>
      <c r="D3705" s="32" t="n">
        <f aca="false">Sens!$D$3704/ext_sh</f>
        <v>1350</v>
      </c>
      <c r="E3705" s="32" t="n">
        <f aca="false">Sens!$E$3704/ext_sh</f>
        <v>800</v>
      </c>
      <c r="F3705" s="32" t="n">
        <f aca="false">Sens!$F$3704/ext_sh</f>
        <v>2271.4375</v>
      </c>
      <c r="G3705" s="32" t="n">
        <f aca="false">Sens!$G$3704/ext_sh</f>
        <v>3071.4375</v>
      </c>
      <c r="H3705" s="32" t="n">
        <f aca="false">Sens!$H$3704/ext_sh</f>
        <v>4542.875</v>
      </c>
      <c r="I3705" s="32" t="n">
        <f aca="false">Sens!$I$3704/ext_sh</f>
        <v>4542.875</v>
      </c>
      <c r="J3705" s="32" t="n">
        <f aca="false">Sens!$J$3704/ext_sh</f>
        <v>4542.875</v>
      </c>
      <c r="K3705" s="32" t="n">
        <f aca="false">Sens!$K$3704/ext_sh</f>
        <v>3213.58395833333</v>
      </c>
      <c r="L3705" s="32" t="n">
        <f aca="false">Sens!$L$3704/ext_sh</f>
        <v>1884.29291666667</v>
      </c>
      <c r="M3705" s="32" t="n">
        <f aca="false">Sens!$M$3704/ext_sh</f>
        <v>555.001874999998</v>
      </c>
      <c r="N3705" s="32" t="n">
        <f aca="false">Sens!$N$3704/ext_sh</f>
        <v>675</v>
      </c>
      <c r="O3705" s="32" t="n">
        <f aca="false">Sens!$O$3704/ext_sh</f>
        <v>675</v>
      </c>
      <c r="P3705" s="8" t="s">
        <v>597</v>
      </c>
      <c r="R3705" s="32" t="n">
        <f aca="false">mw_ye23/ext_sh</f>
        <v>150</v>
      </c>
      <c r="S3705" s="32" t="n">
        <f aca="false">Sens!$C$3705</f>
        <v>300</v>
      </c>
      <c r="T3705" s="32" t="n">
        <f aca="false">Sens!$D$3705</f>
        <v>1350</v>
      </c>
      <c r="U3705" s="32" t="n">
        <f aca="false">Sens!$G$3705</f>
        <v>3071.4375</v>
      </c>
      <c r="V3705" s="32" t="n">
        <f aca="false">Sens!$H$3705</f>
        <v>4542.875</v>
      </c>
      <c r="W3705" s="32" t="n">
        <f aca="false">Sens!$I$3705</f>
        <v>4542.875</v>
      </c>
      <c r="X3705" s="32" t="n">
        <f aca="false">Sens!$J$3705</f>
        <v>4542.875</v>
      </c>
      <c r="Y3705" s="32" t="n">
        <f aca="false">Sens!$K$3705</f>
        <v>3213.58395833333</v>
      </c>
      <c r="Z3705" s="32" t="n">
        <f aca="false">Sens!$L$3705</f>
        <v>1884.29291666667</v>
      </c>
      <c r="AA3705" s="32" t="n">
        <f aca="false">Sens!$M$3705</f>
        <v>555.001874999998</v>
      </c>
    </row>
    <row r="3706" customFormat="false" ht="17.15" hidden="false" customHeight="false" outlineLevel="0" collapsed="false">
      <c r="A3706" s="1" t="s">
        <v>598</v>
      </c>
    </row>
    <row r="3707" customFormat="false" ht="17.15" hidden="false" customHeight="false" outlineLevel="0" collapsed="false">
      <c r="A3707" s="0" t="s">
        <v>599</v>
      </c>
      <c r="B3707" s="0" t="s">
        <v>52</v>
      </c>
      <c r="F3707" s="35" t="n">
        <f aca="false">na_vr26</f>
        <v>0</v>
      </c>
      <c r="G3707" s="35" t="n">
        <f aca="false">na_vr26</f>
        <v>0</v>
      </c>
      <c r="H3707" s="35" t="n">
        <f aca="false">na_vr27</f>
        <v>0.5</v>
      </c>
      <c r="I3707" s="35" t="n">
        <f aca="false">na_vr28</f>
        <v>1</v>
      </c>
      <c r="J3707" s="35" t="n">
        <f aca="false">na_vr28</f>
        <v>1</v>
      </c>
      <c r="K3707" s="35" t="n">
        <f aca="false">na_vr28</f>
        <v>1</v>
      </c>
      <c r="L3707" s="35" t="n">
        <f aca="false">na_vr28</f>
        <v>1</v>
      </c>
      <c r="M3707" s="35" t="n">
        <f aca="false">na_vr28</f>
        <v>1</v>
      </c>
    </row>
    <row r="3708" customFormat="false" ht="17.15" hidden="false" customHeight="false" outlineLevel="0" collapsed="false">
      <c r="A3708" s="5" t="s">
        <v>600</v>
      </c>
      <c r="B3708" s="0" t="s">
        <v>173</v>
      </c>
      <c r="F3708" s="36" t="n">
        <f aca="false">cust_sh*tk_he_gb300*cf_chip+(1-cust_sh)*((1-Sens!$F$3707)*tk_he_gb300+Sens!$F$3707*tk_he_vr200)</f>
        <v>10.8864110021101</v>
      </c>
      <c r="G3708" s="36" t="n">
        <f aca="false">cust_sh*tk_he_gb300*cf_chip+(1-cust_sh)*((1-Sens!$G$3707)*tk_he_gb300+Sens!$G$3707*tk_he_vr200)</f>
        <v>10.8864110021101</v>
      </c>
      <c r="H3708" s="36" t="n">
        <f aca="false">cust_sh*tk_he_gb300*cf_chip+(1-cust_sh)*((1-Sens!$H$3707)*tk_he_gb300+Sens!$H$3707*tk_he_vr200)</f>
        <v>11.2211760027286</v>
      </c>
      <c r="I3708" s="36" t="n">
        <f aca="false">cust_sh*tk_he_gb300*cf_chip+(1-cust_sh)*((1-Sens!$I$3707)*tk_he_gb300+Sens!$I$3707*tk_he_vr200)</f>
        <v>11.5559410033471</v>
      </c>
      <c r="J3708" s="36" t="n">
        <f aca="false">cust_sh*tk_he_gb300*cf_chip+(1-cust_sh)*((1-Sens!$J$3707)*tk_he_gb300+Sens!$J$3707*tk_he_vr200)</f>
        <v>11.5559410033471</v>
      </c>
      <c r="K3708" s="36" t="n">
        <f aca="false">cust_sh*tk_he_gb300*cf_chip+(1-cust_sh)*((1-Sens!$K$3707)*tk_he_gb300+Sens!$K$3707*tk_he_vr200)</f>
        <v>11.5559410033471</v>
      </c>
      <c r="L3708" s="36" t="n">
        <f aca="false">cust_sh*tk_he_gb300*cf_chip+(1-cust_sh)*((1-Sens!$L$3707)*tk_he_gb300+Sens!$L$3707*tk_he_vr200)</f>
        <v>11.5559410033471</v>
      </c>
      <c r="M3708" s="36" t="n">
        <f aca="false">cust_sh*tk_he_gb300*cf_chip+(1-cust_sh)*((1-Sens!$M$3707)*tk_he_gb300+Sens!$M$3707*tk_he_vr200)</f>
        <v>11.5559410033471</v>
      </c>
    </row>
    <row r="3709" customFormat="false" ht="17.15" hidden="false" customHeight="false" outlineLevel="0" collapsed="false">
      <c r="A3709" s="5" t="s">
        <v>601</v>
      </c>
      <c r="B3709" s="0" t="s">
        <v>173</v>
      </c>
      <c r="F3709" s="36" t="n">
        <f aca="false">cust_sh*tk_ox_gb300+(1-cust_sh)*((1-Sens!$F$3707)*tk_ox_gb300+Sens!$F$3707*tk_ox_vr200)</f>
        <v>1.98263481314457</v>
      </c>
      <c r="G3709" s="36" t="n">
        <f aca="false">cust_sh*tk_ox_gb300+(1-cust_sh)*((1-Sens!$G$3707)*tk_ox_gb300+Sens!$G$3707*tk_ox_vr200)</f>
        <v>1.98263481314457</v>
      </c>
      <c r="H3709" s="36" t="n">
        <f aca="false">cust_sh*tk_ox_gb300+(1-cust_sh)*((1-Sens!$H$3707)*tk_ox_gb300+Sens!$H$3707*tk_ox_vr200)</f>
        <v>2.01034999693694</v>
      </c>
      <c r="I3709" s="36" t="n">
        <f aca="false">cust_sh*tk_ox_gb300+(1-cust_sh)*((1-Sens!$I$3707)*tk_ox_gb300+Sens!$I$3707*tk_ox_vr200)</f>
        <v>2.0380651807293</v>
      </c>
      <c r="J3709" s="36" t="n">
        <f aca="false">cust_sh*tk_ox_gb300+(1-cust_sh)*((1-Sens!$J$3707)*tk_ox_gb300+Sens!$J$3707*tk_ox_vr200)</f>
        <v>2.0380651807293</v>
      </c>
      <c r="K3709" s="36" t="n">
        <f aca="false">cust_sh*tk_ox_gb300+(1-cust_sh)*((1-Sens!$K$3707)*tk_ox_gb300+Sens!$K$3707*tk_ox_vr200)</f>
        <v>2.0380651807293</v>
      </c>
      <c r="L3709" s="36" t="n">
        <f aca="false">cust_sh*tk_ox_gb300+(1-cust_sh)*((1-Sens!$L$3707)*tk_ox_gb300+Sens!$L$3707*tk_ox_vr200)</f>
        <v>2.0380651807293</v>
      </c>
      <c r="M3709" s="36" t="n">
        <f aca="false">cust_sh*tk_ox_gb300+(1-cust_sh)*((1-Sens!$M$3707)*tk_ox_gb300+Sens!$M$3707*tk_ox_vr200)</f>
        <v>2.0380651807293</v>
      </c>
    </row>
    <row r="3710" customFormat="false" ht="17.15" hidden="false" customHeight="false" outlineLevel="0" collapsed="false">
      <c r="A3710" s="5" t="s">
        <v>602</v>
      </c>
      <c r="B3710" s="0" t="s">
        <v>192</v>
      </c>
      <c r="F3710" s="36" t="n">
        <f aca="false">cust_sh*tk_cx_gb300*cf_cx+(1-cust_sh)*((1-Sens!$F$3707)*tk_cx_gb300+Sens!$F$3707*tk_cx_vr200)</f>
        <v>32.237224</v>
      </c>
      <c r="G3710" s="36" t="n">
        <f aca="false">cust_sh*tk_cx_gb300*cf_cx+(1-cust_sh)*((1-Sens!$G$3707)*tk_cx_gb300+Sens!$G$3707*tk_cx_vr200)</f>
        <v>32.237224</v>
      </c>
      <c r="H3710" s="36" t="n">
        <f aca="false">cust_sh*tk_cx_gb300*cf_cx+(1-cust_sh)*((1-Sens!$H$3707)*tk_cx_gb300+Sens!$H$3707*tk_cx_vr200)</f>
        <v>33.574506</v>
      </c>
      <c r="I3710" s="36" t="n">
        <f aca="false">cust_sh*tk_cx_gb300*cf_cx+(1-cust_sh)*((1-Sens!$I$3707)*tk_cx_gb300+Sens!$I$3707*tk_cx_vr200)</f>
        <v>34.911788</v>
      </c>
      <c r="J3710" s="36" t="n">
        <f aca="false">cust_sh*tk_cx_gb300*cf_cx+(1-cust_sh)*((1-Sens!$J$3707)*tk_cx_gb300+Sens!$J$3707*tk_cx_vr200)</f>
        <v>34.911788</v>
      </c>
      <c r="K3710" s="36" t="n">
        <f aca="false">cust_sh*tk_cx_gb300*cf_cx+(1-cust_sh)*((1-Sens!$K$3707)*tk_cx_gb300+Sens!$K$3707*tk_cx_vr200)</f>
        <v>34.911788</v>
      </c>
      <c r="L3710" s="36" t="n">
        <f aca="false">cust_sh*tk_cx_gb300*cf_cx+(1-cust_sh)*((1-Sens!$L$3707)*tk_cx_gb300+Sens!$L$3707*tk_cx_vr200)</f>
        <v>34.911788</v>
      </c>
      <c r="M3710" s="36" t="n">
        <f aca="false">cust_sh*tk_cx_gb300*cf_cx+(1-cust_sh)*((1-Sens!$M$3707)*tk_cx_gb300+Sens!$M$3707*tk_cx_vr200)</f>
        <v>34.911788</v>
      </c>
    </row>
    <row r="3711" customFormat="false" ht="17.15" hidden="false" customHeight="false" outlineLevel="0" collapsed="false">
      <c r="A3711" s="5" t="s">
        <v>603</v>
      </c>
      <c r="B3711" s="0" t="s">
        <v>129</v>
      </c>
      <c r="F3711" s="32" t="n">
        <f aca="false">Sens!$F$3701-mw_open</f>
        <v>1817.15</v>
      </c>
      <c r="G3711" s="32" t="n">
        <f aca="false">Sens!$F$3711</f>
        <v>1817.15</v>
      </c>
      <c r="H3711" s="32" t="n">
        <f aca="false">Sens!$H$3701-mw_open</f>
        <v>5451.45</v>
      </c>
      <c r="I3711" s="32" t="n">
        <f aca="false">Sens!$I$3701-mw_open</f>
        <v>9085.75</v>
      </c>
      <c r="J3711" s="32" t="n">
        <f aca="false">Sens!$J$3701-mw_open</f>
        <v>12720.05</v>
      </c>
      <c r="K3711" s="32" t="n">
        <f aca="false">Sens!$K$3701-mw_open</f>
        <v>15290.9171666667</v>
      </c>
      <c r="L3711" s="32" t="n">
        <f aca="false">Sens!$L$3701-mw_open</f>
        <v>16798.3515</v>
      </c>
      <c r="M3711" s="32" t="n">
        <f aca="false">Sens!$M$3701-mw_open</f>
        <v>17242.353</v>
      </c>
    </row>
    <row r="3712" customFormat="false" ht="17.15" hidden="false" customHeight="false" outlineLevel="0" collapsed="false">
      <c r="A3712" s="0" t="s">
        <v>604</v>
      </c>
      <c r="B3712" s="0" t="s">
        <v>605</v>
      </c>
      <c r="F3712" s="32" t="n">
        <f aca="false">Sens!$F$3704*Sens!$F$3708</f>
        <v>19782.2417524844</v>
      </c>
      <c r="G3712" s="32" t="n">
        <f aca="false">Sens!$F$3712</f>
        <v>19782.2417524844</v>
      </c>
      <c r="H3712" s="32" t="n">
        <f aca="false">Sens!$G$3712+Sens!$H$3704*Sens!$H$3708</f>
        <v>60563.3616992009</v>
      </c>
      <c r="I3712" s="32" t="n">
        <f aca="false">Sens!$H$3712+Sens!$I$3704*Sens!$I$3708</f>
        <v>102561.118087665</v>
      </c>
      <c r="J3712" s="32" t="n">
        <f aca="false">Sens!$I$3712+Sens!$J$3704*Sens!$J$3708</f>
        <v>144558.87447613</v>
      </c>
      <c r="K3712" s="32" t="n">
        <f aca="false">Sens!$J$3712+Sens!$K$3704*Sens!$K$3708</f>
        <v>174267.663781572</v>
      </c>
      <c r="L3712" s="32" t="n">
        <f aca="false">Sens!$K$3712+Sens!$L$3704*Sens!$L$3708</f>
        <v>191687.486003992</v>
      </c>
      <c r="M3712" s="32" t="n">
        <f aca="false">Sens!$L$3712+Sens!$M$3704*Sens!$M$3708</f>
        <v>196818.341143389</v>
      </c>
    </row>
    <row r="3713" customFormat="false" ht="17.15" hidden="false" customHeight="false" outlineLevel="0" collapsed="false">
      <c r="A3713" s="0" t="s">
        <v>606</v>
      </c>
      <c r="B3713" s="0" t="s">
        <v>605</v>
      </c>
      <c r="F3713" s="32" t="n">
        <f aca="false">Sens!$F$3704*Sens!$F$3709</f>
        <v>3602.74485070566</v>
      </c>
      <c r="G3713" s="32" t="n">
        <f aca="false">Sens!$F$3713</f>
        <v>3602.74485070566</v>
      </c>
      <c r="H3713" s="32" t="n">
        <f aca="false">Sens!$G$3713+Sens!$H$3704*Sens!$H$3709</f>
        <v>10908.9598445736</v>
      </c>
      <c r="I3713" s="32" t="n">
        <f aca="false">Sens!$H$3713+Sens!$I$3704*Sens!$I$3709</f>
        <v>18315.9001308981</v>
      </c>
      <c r="J3713" s="32" t="n">
        <f aca="false">Sens!$I$3713+Sens!$J$3704*Sens!$J$3709</f>
        <v>25722.8404172225</v>
      </c>
      <c r="K3713" s="32" t="n">
        <f aca="false">Sens!$J$3713+Sens!$K$3704*Sens!$K$3709</f>
        <v>30962.4352738861</v>
      </c>
      <c r="L3713" s="32" t="n">
        <f aca="false">Sens!$K$3713+Sens!$L$3704*Sens!$L$3709</f>
        <v>34034.6847008886</v>
      </c>
      <c r="M3713" s="32" t="n">
        <f aca="false">Sens!$L$3713+Sens!$M$3704*Sens!$M$3709</f>
        <v>34939.5886982302</v>
      </c>
    </row>
    <row r="3714" customFormat="false" ht="17.15" hidden="false" customHeight="false" outlineLevel="0" collapsed="false">
      <c r="A3714" s="5" t="s">
        <v>607</v>
      </c>
      <c r="B3714" s="0" t="s">
        <v>173</v>
      </c>
      <c r="F3714" s="36" t="n">
        <f aca="false">IF(Sens!$F$3711&gt;0,Sens!$F$3712/Sens!$F$3711,Sens!$F$3708)</f>
        <v>10.8864110021101</v>
      </c>
      <c r="G3714" s="36" t="n">
        <f aca="false">IF(Sens!$G$3711&gt;0,Sens!$G$3712/Sens!$G$3711,Sens!$G$3708)</f>
        <v>10.8864110021101</v>
      </c>
      <c r="H3714" s="36" t="n">
        <f aca="false">IF(Sens!$H$3711&gt;0,Sens!$H$3712/Sens!$H$3711,Sens!$H$3708)</f>
        <v>11.1095876691891</v>
      </c>
      <c r="I3714" s="36" t="n">
        <f aca="false">IF(Sens!$I$3711&gt;0,Sens!$I$3712/Sens!$I$3711,Sens!$I$3708)</f>
        <v>11.2881290028523</v>
      </c>
      <c r="J3714" s="36" t="n">
        <f aca="false">IF(Sens!$J$3711&gt;0,Sens!$J$3712/Sens!$J$3711,Sens!$J$3708)</f>
        <v>11.3646467172794</v>
      </c>
      <c r="K3714" s="36" t="n">
        <f aca="false">IF(Sens!$K$3711&gt;0,Sens!$K$3712/Sens!$K$3711,Sens!$K$3708)</f>
        <v>11.3968090914432</v>
      </c>
      <c r="L3714" s="36" t="n">
        <f aca="false">IF(Sens!$L$3711&gt;0,Sens!$L$3712/Sens!$L$3711,Sens!$L$3708)</f>
        <v>11.4110891181192</v>
      </c>
      <c r="M3714" s="36" t="n">
        <f aca="false">IF(Sens!$M$3711&gt;0,Sens!$M$3712/Sens!$M$3711,Sens!$M$3708)</f>
        <v>11.4148191458201</v>
      </c>
    </row>
    <row r="3715" customFormat="false" ht="17.15" hidden="false" customHeight="false" outlineLevel="0" collapsed="false">
      <c r="A3715" s="5" t="s">
        <v>608</v>
      </c>
      <c r="B3715" s="0" t="s">
        <v>173</v>
      </c>
      <c r="F3715" s="36" t="n">
        <f aca="false">IF(Sens!$F$3711&gt;0,Sens!$F$3713/Sens!$F$3711,Sens!$F$3709)</f>
        <v>1.98263481314457</v>
      </c>
      <c r="G3715" s="36" t="n">
        <f aca="false">IF(Sens!$G$3711&gt;0,Sens!$G$3713/Sens!$G$3711,Sens!$G$3709)</f>
        <v>1.98263481314457</v>
      </c>
      <c r="H3715" s="36" t="n">
        <f aca="false">IF(Sens!$H$3711&gt;0,Sens!$H$3713/Sens!$H$3711,Sens!$H$3709)</f>
        <v>2.00111160233948</v>
      </c>
      <c r="I3715" s="36" t="n">
        <f aca="false">IF(Sens!$I$3711&gt;0,Sens!$I$3713/Sens!$I$3711,Sens!$I$3709)</f>
        <v>2.01589303369541</v>
      </c>
      <c r="J3715" s="36" t="n">
        <f aca="false">IF(Sens!$J$3711&gt;0,Sens!$J$3713/Sens!$J$3711,Sens!$J$3709)</f>
        <v>2.02222793284795</v>
      </c>
      <c r="K3715" s="36" t="n">
        <f aca="false">IF(Sens!$K$3711&gt;0,Sens!$K$3713/Sens!$K$3711,Sens!$K$3709)</f>
        <v>2.02489065478573</v>
      </c>
      <c r="L3715" s="36" t="n">
        <f aca="false">IF(Sens!$L$3711&gt;0,Sens!$L$3713/Sens!$L$3711,Sens!$L$3709)</f>
        <v>2.0260728977417</v>
      </c>
      <c r="M3715" s="36" t="n">
        <f aca="false">IF(Sens!$M$3711&gt;0,Sens!$M$3713/Sens!$M$3711,Sens!$M$3709)</f>
        <v>2.02638170661685</v>
      </c>
    </row>
    <row r="3716" customFormat="false" ht="17.15" hidden="false" customHeight="false" outlineLevel="0" collapsed="false">
      <c r="A3716" s="15" t="s">
        <v>609</v>
      </c>
      <c r="B3716" s="14" t="s">
        <v>173</v>
      </c>
      <c r="C3716" s="14"/>
      <c r="D3716" s="14"/>
      <c r="E3716" s="14"/>
      <c r="F3716" s="37" t="n">
        <f aca="false">Sens!$F$3714*k_B</f>
        <v>10.7987645808025</v>
      </c>
      <c r="G3716" s="37" t="n">
        <f aca="false">Sens!$G$3714*k_B</f>
        <v>10.7987645808025</v>
      </c>
      <c r="H3716" s="37" t="n">
        <f aca="false">Sens!$H$3714*k_B</f>
        <v>11.0201444540452</v>
      </c>
      <c r="I3716" s="37" t="n">
        <f aca="false">Sens!$I$3714*k_B</f>
        <v>11.1972483526393</v>
      </c>
      <c r="J3716" s="37" t="n">
        <f aca="false">Sens!$J$3714*k_B</f>
        <v>11.2731500234653</v>
      </c>
      <c r="K3716" s="37" t="n">
        <f aca="false">Sens!$K$3714*k_B</f>
        <v>11.3050534585724</v>
      </c>
      <c r="L3716" s="37" t="n">
        <f aca="false">Sens!$L$3714*k_B</f>
        <v>11.3192185168503</v>
      </c>
      <c r="M3716" s="37" t="n">
        <f aca="false">Sens!$M$3714*k_B</f>
        <v>11.3229185141234</v>
      </c>
      <c r="N3716" s="14"/>
      <c r="O3716" s="14"/>
      <c r="P3716" s="5" t="s">
        <v>610</v>
      </c>
    </row>
    <row r="3717" customFormat="false" ht="17.15" hidden="false" customHeight="false" outlineLevel="0" collapsed="false">
      <c r="A3717" s="5" t="s">
        <v>611</v>
      </c>
      <c r="B3717" s="0" t="s">
        <v>129</v>
      </c>
      <c r="F3717" s="32" t="n">
        <f aca="false">Sens!$F$3711/2</f>
        <v>908.575</v>
      </c>
      <c r="H3717" s="32" t="n">
        <f aca="false">(Sens!$G$3711+Sens!$H$3711)/2</f>
        <v>3634.3</v>
      </c>
      <c r="I3717" s="32" t="n">
        <f aca="false">(Sens!$H$3711+Sens!$I$3711)/2</f>
        <v>7268.6</v>
      </c>
      <c r="J3717" s="32" t="n">
        <f aca="false">(Sens!$I$3711+Sens!$J$3711)/2</f>
        <v>10902.9</v>
      </c>
      <c r="K3717" s="32" t="n">
        <f aca="false">(Sens!$J$3711+Sens!$K$3711)/2</f>
        <v>14005.4835833333</v>
      </c>
      <c r="L3717" s="32" t="n">
        <f aca="false">(Sens!$K$3711+Sens!$L$3711)/2</f>
        <v>16044.6343333333</v>
      </c>
      <c r="M3717" s="32" t="n">
        <f aca="false">(Sens!$L$3711+Sens!$M$3711)/2</f>
        <v>17020.35225</v>
      </c>
    </row>
    <row r="3718" customFormat="false" ht="17.15" hidden="false" customHeight="false" outlineLevel="0" collapsed="false">
      <c r="A3718" s="1" t="s">
        <v>612</v>
      </c>
    </row>
    <row r="3719" customFormat="false" ht="17.15" hidden="false" customHeight="false" outlineLevel="0" collapsed="false">
      <c r="A3719" s="1" t="s">
        <v>613</v>
      </c>
      <c r="B3719" s="8" t="s">
        <v>86</v>
      </c>
      <c r="C3719" s="38" t="n">
        <f aca="false">Sens!$C$3702*rpm_open*Sens!$C$3703/1000</f>
        <v>2.32100535697364</v>
      </c>
      <c r="D3719" s="38" t="n">
        <f aca="false">Sens!$D$3702*rpm_open*Sens!$D$3703/1000</f>
        <v>8.70377008865116</v>
      </c>
      <c r="E3719" s="38" t="n">
        <f aca="false">Sens!$E$3702*rpm_open*Sens!$E$3703/1000</f>
        <v>8.51035297557002</v>
      </c>
      <c r="F3719" s="38" t="n">
        <f aca="false">(mw_open*rpm_open+Sens!$F$3717*Sens!$F$3716)*Sens!$F$3703/1000</f>
        <v>14.9634336447205</v>
      </c>
      <c r="G3719" s="38" t="n">
        <f aca="false">Sens!$E$3719+Sens!$F$3719</f>
        <v>23.4737866202905</v>
      </c>
      <c r="H3719" s="38" t="n">
        <f aca="false">(mw_open*rpm_open+Sens!$H$3717*Sens!$H$3716)/1000</f>
        <v>60.1658907497746</v>
      </c>
      <c r="I3719" s="38" t="n">
        <f aca="false">(mw_open*rpm_open+Sens!$I$3717*Sens!$I$3716)/1000</f>
        <v>101.503699136432</v>
      </c>
      <c r="J3719" s="38" t="n">
        <f aca="false">(mw_open*rpm_open+Sens!$J$3717*Sens!$J$3716)/1000</f>
        <v>143.025407151278</v>
      </c>
      <c r="K3719" s="38" t="n">
        <f aca="false">(mw_open*rpm_open+Sens!$K$3717*Sens!$K$3716)/1000</f>
        <v>178.44812038318</v>
      </c>
      <c r="L3719" s="38" t="n">
        <f aca="false">(mw_open*rpm_open+Sens!$L$3717*Sens!$L$3716)/1000</f>
        <v>201.728101802396</v>
      </c>
      <c r="M3719" s="38" t="n">
        <f aca="false">(mw_open*rpm_open+Sens!$M$3717*Sens!$M$3716)/1000</f>
        <v>212.835441368865</v>
      </c>
      <c r="N3719" s="38" t="n">
        <f aca="false">Sens!$N$3702*rpm_open*Sens!$N$3703/1000</f>
        <v>3.04631953102791</v>
      </c>
      <c r="O3719" s="38" t="n">
        <f aca="false">Sens!$O$3702*rpm_open*Sens!$O$3703/1000</f>
        <v>5.65745055762326</v>
      </c>
      <c r="P3719" s="5" t="s">
        <v>614</v>
      </c>
    </row>
    <row r="3720" customFormat="false" ht="17.15" hidden="false" customHeight="false" outlineLevel="0" collapsed="false">
      <c r="A3720" s="5" t="s">
        <v>615</v>
      </c>
      <c r="B3720" s="0" t="s">
        <v>173</v>
      </c>
      <c r="C3720" s="36" t="n">
        <f aca="false">Sens!$C$3719*1000/(Sens!$C$3702*Sens!$C$3703)</f>
        <v>9.67085565405685</v>
      </c>
      <c r="D3720" s="36" t="n">
        <f aca="false">Sens!$D$3719*1000/(Sens!$D$3702*Sens!$D$3703)</f>
        <v>9.67085565405685</v>
      </c>
      <c r="E3720" s="36" t="n">
        <f aca="false">Sens!$E$3719*1000/(Sens!$E$3702*Sens!$E$3703)</f>
        <v>9.67085565405685</v>
      </c>
      <c r="F3720" s="36" t="n">
        <f aca="false">Sens!$F$3719*1000/(Sens!$F$3702*Sens!$F$3703)</f>
        <v>10.0137581588017</v>
      </c>
      <c r="G3720" s="36" t="n">
        <f aca="false">Sens!$G$3719*1000/(Sens!$G$3702*Sens!$G$3703)</f>
        <v>9.88666562928478</v>
      </c>
      <c r="H3720" s="36" t="n">
        <f aca="false">Sens!$H$3719*1000/(Sens!$H$3702*Sens!$H$3703)</f>
        <v>10.5290045586992</v>
      </c>
      <c r="I3720" s="36" t="n">
        <f aca="false">Sens!$I$3719*1000/(Sens!$I$3702*Sens!$I$3703)</f>
        <v>10.8576363451674</v>
      </c>
      <c r="J3720" s="36" t="n">
        <f aca="false">Sens!$J$3719*1000/(Sens!$J$3702*Sens!$J$3703)</f>
        <v>11.0164452588619</v>
      </c>
      <c r="K3720" s="36" t="n">
        <f aca="false">Sens!$K$3719*1000/(Sens!$K$3702*Sens!$K$3703)</f>
        <v>11.0937367508227</v>
      </c>
      <c r="L3720" s="36" t="n">
        <f aca="false">Sens!$L$3719*1000/(Sens!$L$3702*Sens!$L$3703)</f>
        <v>11.1300508519168</v>
      </c>
      <c r="M3720" s="36" t="n">
        <f aca="false">Sens!$M$3719*1000/(Sens!$M$3702*Sens!$M$3703)</f>
        <v>11.1430113216297</v>
      </c>
      <c r="N3720" s="36" t="n">
        <f aca="false">Sens!$N$3719*1000/(Sens!$N$3702*Sens!$N$3703)</f>
        <v>9.67085565405685</v>
      </c>
      <c r="O3720" s="36" t="n">
        <f aca="false">Sens!$O$3719*1000/(Sens!$O$3702*Sens!$O$3703)</f>
        <v>9.67085565405685</v>
      </c>
    </row>
    <row r="3721" customFormat="false" ht="17.15" hidden="false" customHeight="false" outlineLevel="0" collapsed="false">
      <c r="A3721" s="0" t="s">
        <v>616</v>
      </c>
      <c r="B3721" s="0" t="s">
        <v>86</v>
      </c>
      <c r="C3721" s="38" t="n">
        <f aca="false">Sens!$C$3702/ext_sh*(ox_open+rent_mw)*Sens!$C$3703/1000</f>
        <v>0.642569210675032</v>
      </c>
      <c r="D3721" s="38" t="n">
        <f aca="false">Sens!$D$3702/ext_sh*(ox_open+rent_mw)*Sens!$D$3703/1000</f>
        <v>2.40963454003137</v>
      </c>
      <c r="E3721" s="38" t="n">
        <f aca="false">Sens!$E$3702/ext_sh*(ox_open+rent_mw)*Sens!$E$3703/1000</f>
        <v>2.35608710580845</v>
      </c>
      <c r="F3721" s="38" t="n">
        <f aca="false">((mw_open*ox_open+Sens!$F$3717*Sens!$F$3715)/ext_sh+Sens!$F$3702/ext_sh*rent_mw)*Sens!$F$3703/1000</f>
        <v>4.05421991106232</v>
      </c>
      <c r="G3721" s="38" t="n">
        <f aca="false">Sens!$E$3721+Sens!$F$3721</f>
        <v>6.41030701687077</v>
      </c>
      <c r="H3721" s="38" t="n">
        <f aca="false">((mw_open*ox_open+Sens!$H$3717*Sens!$H$3715)/ext_sh+Sens!$H$3702/ext_sh*rent_mw)*Sens!$H$3703/1000</f>
        <v>15.8108975546616</v>
      </c>
      <c r="I3721" s="38" t="n">
        <f aca="false">((mw_open*ox_open+Sens!$I$3717*Sens!$I$3715)/ext_sh+Sens!$I$3702/ext_sh*rent_mw)*Sens!$I$3703/1000</f>
        <v>26.1871623400817</v>
      </c>
      <c r="J3721" s="38" t="n">
        <f aca="false">((mw_open*ox_open+Sens!$J$3717*Sens!$J$3715)/ext_sh+Sens!$J$3702/ext_sh*rent_mw)*Sens!$J$3703/1000</f>
        <v>36.5826128954935</v>
      </c>
      <c r="K3721" s="38" t="n">
        <f aca="false">((mw_open*ox_open+Sens!$K$3717*Sens!$K$3715)/ext_sh+Sens!$K$3702/ext_sh*rent_mw)*Sens!$K$3703/1000</f>
        <v>45.4546361137628</v>
      </c>
      <c r="L3721" s="38" t="n">
        <f aca="false">((mw_open*ox_open+Sens!$L$3717*Sens!$L$3715)/ext_sh+Sens!$L$3702/ext_sh*rent_mw)*Sens!$L$3703/1000</f>
        <v>51.2855695554452</v>
      </c>
      <c r="M3721" s="38" t="n">
        <f aca="false">((mw_open*ox_open+Sens!$M$3717*Sens!$M$3715)/ext_sh+Sens!$M$3702/ext_sh*rent_mw)*Sens!$M$3703/1000</f>
        <v>54.0722927838398</v>
      </c>
      <c r="N3721" s="38" t="n">
        <f aca="false">Sens!$N$3702/ext_sh*(ox_open+rent_mw)*Sens!$N$3703/1000</f>
        <v>0.84337208901098</v>
      </c>
      <c r="O3721" s="38" t="n">
        <f aca="false">Sens!$O$3702/ext_sh*(ox_open+rent_mw)*Sens!$O$3703/1000</f>
        <v>1.56626245102039</v>
      </c>
    </row>
    <row r="3722" customFormat="false" ht="17.15" hidden="false" customHeight="false" outlineLevel="0" collapsed="false">
      <c r="A3722" s="0" t="s">
        <v>617</v>
      </c>
      <c r="B3722" s="0" t="s">
        <v>86</v>
      </c>
      <c r="C3722" s="38" t="n">
        <f aca="false">Q!$D$7</f>
        <v>107.556</v>
      </c>
      <c r="D3722" s="38" t="n">
        <f aca="false">Q!$E$7</f>
        <v>128.725</v>
      </c>
      <c r="E3722" s="38" t="n">
        <f aca="false">Q!$P$7</f>
        <v>79.819</v>
      </c>
      <c r="N3722" s="38" t="n">
        <f aca="false">Q!$N$7</f>
        <v>60.14</v>
      </c>
      <c r="O3722" s="38" t="n">
        <f aca="false">Q!$O$7</f>
        <v>68.585</v>
      </c>
    </row>
    <row r="3723" customFormat="false" ht="17.15" hidden="false" customHeight="false" outlineLevel="0" collapsed="false">
      <c r="A3723" s="1" t="s">
        <v>618</v>
      </c>
      <c r="B3723" s="8" t="s">
        <v>86</v>
      </c>
      <c r="C3723" s="38" t="n">
        <f aca="false">Sens!$C$3722-Sens!$C$3719</f>
        <v>105.234994643026</v>
      </c>
      <c r="D3723" s="38" t="n">
        <f aca="false">Sens!$D$3722-Sens!$D$3719</f>
        <v>120.021229911349</v>
      </c>
      <c r="E3723" s="38" t="n">
        <f aca="false">Sens!$E$3722-Sens!$E$3719</f>
        <v>71.30864702443</v>
      </c>
      <c r="F3723" s="38" t="n">
        <f aca="false">Sens!$O$3723*(1+Sens!$F$3724)</f>
        <v>71.7692997942464</v>
      </c>
      <c r="G3723" s="38" t="n">
        <f aca="false">Sens!$E$3723+Sens!$F$3723</f>
        <v>143.077946818676</v>
      </c>
      <c r="H3723" s="38" t="n">
        <f aca="false">Sens!$G$3723*(1+Sens!$H$3724)</f>
        <v>161.017077079203</v>
      </c>
      <c r="I3723" s="38" t="n">
        <f aca="false">Sens!$H$3723*(1+Sens!$I$3724)</f>
        <v>178.769759521457</v>
      </c>
      <c r="J3723" s="38" t="n">
        <f aca="false">Sens!$I$3723*(1+Sens!$J$3724)</f>
        <v>195.775538045907</v>
      </c>
      <c r="K3723" s="38" t="n">
        <f aca="false">Sens!$J$3723*(1+Sens!$K$3724)</f>
        <v>211.43758108958</v>
      </c>
      <c r="L3723" s="38" t="n">
        <f aca="false">Sens!$K$3723*(1+Sens!$L$3724)</f>
        <v>228.352587576746</v>
      </c>
      <c r="M3723" s="38" t="n">
        <f aca="false">Sens!$L$3723*(1+Sens!$M$3724)</f>
        <v>246.620794582886</v>
      </c>
      <c r="N3723" s="38" t="n">
        <f aca="false">Sens!$N$3722-Sens!$N$3719</f>
        <v>57.0936804689721</v>
      </c>
      <c r="O3723" s="38" t="n">
        <f aca="false">Sens!$O$3722-Sens!$O$3719</f>
        <v>62.9275494423768</v>
      </c>
      <c r="P3723" s="5" t="s">
        <v>619</v>
      </c>
    </row>
    <row r="3724" customFormat="false" ht="17.15" hidden="false" customHeight="false" outlineLevel="0" collapsed="false">
      <c r="A3724" s="0" t="s">
        <v>620</v>
      </c>
      <c r="B3724" s="0" t="s">
        <v>52</v>
      </c>
      <c r="D3724" s="13" t="n">
        <f aca="false">Sens!$D$3723/Sens!$C$3723-1</f>
        <v>0.140506827776062</v>
      </c>
      <c r="E3724" s="13" t="n">
        <f aca="false">Sens!$E$3723/Sens!$N$3723-1</f>
        <v>0.248976181579029</v>
      </c>
      <c r="F3724" s="13" t="n">
        <f aca="false">Sens!$D$3724</f>
        <v>0.140506827776062</v>
      </c>
      <c r="G3724" s="13" t="n">
        <f aca="false">Sens!$G$3723/Sens!$D$3723-1</f>
        <v>0.19210532106993</v>
      </c>
      <c r="H3724" s="13" t="n">
        <f aca="false">Sens!$F$3724+(g_awso_lt-Sens!$F$3724)*1/4</f>
        <v>0.125380120832046</v>
      </c>
      <c r="I3724" s="13" t="n">
        <f aca="false">Sens!$F$3724+(g_awso_lt-Sens!$F$3724)*2/4</f>
        <v>0.110253413888031</v>
      </c>
      <c r="J3724" s="13" t="n">
        <f aca="false">Sens!$F$3724+(g_awso_lt-Sens!$F$3724)*3/4</f>
        <v>0.0951267069440154</v>
      </c>
      <c r="K3724" s="13" t="n">
        <f aca="false">Sens!$F$3724+(g_awso_lt-Sens!$F$3724)*4/4</f>
        <v>0.08</v>
      </c>
      <c r="L3724" s="13" t="n">
        <f aca="false">g_awso_lt</f>
        <v>0.08</v>
      </c>
      <c r="M3724" s="13" t="n">
        <f aca="false">g_awso_lt</f>
        <v>0.08</v>
      </c>
      <c r="P3724" s="5" t="s">
        <v>621</v>
      </c>
    </row>
    <row r="3725" customFormat="false" ht="17.15" hidden="false" customHeight="false" outlineLevel="0" collapsed="false">
      <c r="A3725" s="1" t="s">
        <v>622</v>
      </c>
    </row>
    <row r="3726" customFormat="false" ht="17.15" hidden="false" customHeight="false" outlineLevel="0" collapsed="false">
      <c r="A3726" s="0" t="s">
        <v>623</v>
      </c>
      <c r="B3726" s="0" t="s">
        <v>86</v>
      </c>
      <c r="F3726" s="38" t="n">
        <f aca="false">cx_rt*Sens!$F$3691+cx_awso*Sens!$F$3723</f>
        <v>34.9734495387866</v>
      </c>
    </row>
    <row r="3727" customFormat="false" ht="17.15" hidden="false" customHeight="false" outlineLevel="0" collapsed="false">
      <c r="A3727" s="0" t="s">
        <v>624</v>
      </c>
      <c r="B3727" s="0" t="s">
        <v>52</v>
      </c>
      <c r="C3727" s="13" t="n">
        <f aca="false">tk_cx_h100/(tk_cx_h100+tk_fac*(1-colo_sh))</f>
        <v>0.730756458006641</v>
      </c>
      <c r="D3727" s="13" t="n">
        <f aca="false">tk_cx_h100/(tk_cx_h100+tk_fac*(1-colo_sh))</f>
        <v>0.730756458006641</v>
      </c>
      <c r="E3727" s="13" t="n">
        <f aca="false">Sens!$F$3727</f>
        <v>0.760792334328868</v>
      </c>
      <c r="F3727" s="13" t="n">
        <f aca="false">Sens!$F$3710/(Sens!$F$3710+tk_fac*(1-colo_sh))</f>
        <v>0.760792334328868</v>
      </c>
      <c r="G3727" s="13" t="n">
        <f aca="false">Sens!$G$3710/(Sens!$G$3710+tk_fac*(1-colo_sh))</f>
        <v>0.760792334328868</v>
      </c>
      <c r="H3727" s="13" t="n">
        <f aca="false">Sens!$H$3710/(Sens!$H$3710+tk_fac*(1-colo_sh))</f>
        <v>0.768110668862996</v>
      </c>
      <c r="I3727" s="13" t="n">
        <f aca="false">Sens!$I$3710/(Sens!$I$3710+tk_fac*(1-colo_sh))</f>
        <v>0.77499450139483</v>
      </c>
      <c r="J3727" s="13" t="n">
        <f aca="false">Sens!$J$3710/(Sens!$J$3710+tk_fac*(1-colo_sh))</f>
        <v>0.77499450139483</v>
      </c>
      <c r="K3727" s="13" t="n">
        <f aca="false">Sens!$K$3710/(Sens!$K$3710+tk_fac*(1-colo_sh))</f>
        <v>0.77499450139483</v>
      </c>
      <c r="L3727" s="13" t="n">
        <f aca="false">Sens!$L$3710/(Sens!$L$3710+tk_fac*(1-colo_sh))</f>
        <v>0.77499450139483</v>
      </c>
      <c r="M3727" s="13" t="n">
        <f aca="false">Sens!$M$3710/(Sens!$M$3710+tk_fac*(1-colo_sh))</f>
        <v>0.77499450139483</v>
      </c>
    </row>
    <row r="3728" customFormat="false" ht="17.15" hidden="false" customHeight="false" outlineLevel="0" collapsed="false">
      <c r="A3728" s="1" t="s">
        <v>625</v>
      </c>
      <c r="B3728" s="8" t="s">
        <v>86</v>
      </c>
      <c r="C3728" s="38" t="n">
        <f aca="false">Q!$D$46-cx_rt*Q!$D$16-cx_awso*Sens!$C$3723</f>
        <v>25.2781053077374</v>
      </c>
      <c r="D3728" s="38" t="n">
        <f aca="false">Q!$E$46-cx_rt*Q!$E$16-cx_awso*Sens!$D$3723</f>
        <v>69.5686316310026</v>
      </c>
      <c r="E3728" s="38" t="n">
        <f aca="false">Q!$P$46-cx_rt*Q!$P$16-cx_awso*Sens!$E$3723</f>
        <v>64.1899206485108</v>
      </c>
      <c r="F3728" s="38" t="n">
        <f aca="false">MAX(Sens!$F$3705*(Sens!$F$3710+tk_fac*(1-colo_sh))/1000,capex_g26-Q!$P$46-Sens!$F$3726)</f>
        <v>96.2481299895</v>
      </c>
      <c r="G3728" s="38" t="n">
        <f aca="false">Sens!$E$3728+Sens!$F$3728</f>
        <v>160.438050638011</v>
      </c>
      <c r="H3728" s="38" t="n">
        <f aca="false">Sens!$H$3705*(Sens!$H$3710+tk_fac*(1-colo_sh))/1000+Sens!$H$3729</f>
        <v>198.57136494475</v>
      </c>
      <c r="I3728" s="38" t="n">
        <f aca="false">Sens!$I$3705*(Sens!$I$3710+tk_fac*(1-colo_sh))/1000+Sens!$I$3729</f>
        <v>204.6464699105</v>
      </c>
      <c r="J3728" s="38" t="n">
        <f aca="false">Sens!$J$3705*(Sens!$J$3710+tk_fac*(1-colo_sh))/1000+Sens!$J$3729</f>
        <v>209.8832381105</v>
      </c>
      <c r="K3728" s="38" t="n">
        <f aca="false">Sens!$K$3705*(Sens!$K$3710+tk_fac*(1-colo_sh))/1000+Sens!$K$3729</f>
        <v>155.238385275201</v>
      </c>
      <c r="L3728" s="38" t="n">
        <f aca="false">Sens!$L$3705*(Sens!$L$3710+tk_fac*(1-colo_sh))/1000+Sens!$L$3729</f>
        <v>132.014141639902</v>
      </c>
      <c r="M3728" s="38" t="n">
        <f aca="false">Sens!$M$3705*(Sens!$M$3710+tk_fac*(1-colo_sh))/1000+Sens!$M$3729</f>
        <v>132.230981659852</v>
      </c>
      <c r="P3728" s="5" t="s">
        <v>626</v>
      </c>
      <c r="R3728" s="38" t="n">
        <f aca="false">Q!$C$46-cx_rt*Q!$C$16-cx_awso*(Q!$C$7-mw_ye23/2*rpm_open/1000)</f>
        <v>1.50429979529945</v>
      </c>
      <c r="S3728" s="38" t="n">
        <f aca="false">Sens!$C$3728</f>
        <v>25.2781053077374</v>
      </c>
      <c r="T3728" s="38" t="n">
        <f aca="false">Sens!$D$3728</f>
        <v>69.5686316310026</v>
      </c>
      <c r="U3728" s="38" t="n">
        <f aca="false">Sens!$G$3728</f>
        <v>160.438050638011</v>
      </c>
      <c r="V3728" s="38" t="n">
        <f aca="false">Sens!$H$3728</f>
        <v>198.57136494475</v>
      </c>
      <c r="W3728" s="38" t="n">
        <f aca="false">Sens!$I$3728</f>
        <v>204.6464699105</v>
      </c>
      <c r="X3728" s="38" t="n">
        <f aca="false">Sens!$J$3728</f>
        <v>209.8832381105</v>
      </c>
      <c r="Y3728" s="38" t="n">
        <f aca="false">Sens!$K$3728</f>
        <v>155.238385275201</v>
      </c>
      <c r="Z3728" s="38" t="n">
        <f aca="false">Sens!$L$3728</f>
        <v>132.014141639902</v>
      </c>
      <c r="AA3728" s="38" t="n">
        <f aca="false">Sens!$M$3728</f>
        <v>132.230981659852</v>
      </c>
    </row>
    <row r="3729" customFormat="false" ht="17.15" hidden="false" customHeight="false" outlineLevel="0" collapsed="false">
      <c r="A3729" s="0" t="s">
        <v>627</v>
      </c>
      <c r="B3729" s="0" t="s">
        <v>86</v>
      </c>
      <c r="H3729" s="38" t="n">
        <f aca="false">SUMPRODUCT(--(Sens!$R$3698:$AA$3698=2027-tk_life),Sens!$R$3705:$AA$3705)*Sens!$H$3710/1000</f>
        <v>0</v>
      </c>
      <c r="I3729" s="38" t="n">
        <f aca="false">SUMPRODUCT(--(Sens!$R$3698:$AA$3698=2028-tk_life),Sens!$R$3705:$AA$3705)*Sens!$I$3710/1000</f>
        <v>0</v>
      </c>
      <c r="J3729" s="38" t="n">
        <f aca="false">SUMPRODUCT(--(Sens!$R$3698:$AA$3698=2029-tk_life),Sens!$R$3705:$AA$3705)*Sens!$J$3710/1000</f>
        <v>5.2367682</v>
      </c>
      <c r="K3729" s="38" t="n">
        <f aca="false">SUMPRODUCT(--(Sens!$R$3698:$AA$3698=2030-tk_life),Sens!$R$3705:$AA$3705)*Sens!$K$3710/1000</f>
        <v>10.4735364</v>
      </c>
      <c r="L3729" s="38" t="n">
        <f aca="false">SUMPRODUCT(--(Sens!$R$3698:$AA$3698=2031-tk_life),Sens!$R$3705:$AA$3705)*Sens!$L$3710/1000</f>
        <v>47.1309138</v>
      </c>
      <c r="M3729" s="38" t="n">
        <f aca="false">SUMPRODUCT(--(Sens!$R$3698:$AA$3698=2032-tk_life),Sens!$R$3705:$AA$3705)*Sens!$M$3710/1000</f>
        <v>107.22937485525</v>
      </c>
    </row>
    <row r="3730" customFormat="false" ht="17.15" hidden="false" customHeight="false" outlineLevel="0" collapsed="false">
      <c r="A3730" s="5" t="s">
        <v>628</v>
      </c>
      <c r="B3730" s="0" t="s">
        <v>86</v>
      </c>
      <c r="C3730" s="38" t="n">
        <f aca="false">Sens!$C$3728*Sens!$C$3727</f>
        <v>18.472138699801</v>
      </c>
      <c r="D3730" s="38" t="n">
        <f aca="false">Sens!$D$3728*Sens!$D$3727</f>
        <v>50.8377268390402</v>
      </c>
      <c r="E3730" s="38" t="n">
        <f aca="false">Sens!$E$3728*Sens!$E$3727</f>
        <v>48.8351995705653</v>
      </c>
      <c r="F3730" s="38" t="n">
        <f aca="false">Sens!$F$3728*Sens!$F$3727</f>
        <v>73.2248394895</v>
      </c>
      <c r="G3730" s="38" t="n">
        <f aca="false">Sens!$E$3730+Sens!$F$3730</f>
        <v>122.060039060065</v>
      </c>
      <c r="H3730" s="38" t="n">
        <f aca="false">(Sens!$H$3728-Sens!$H$3729)*Sens!$H$3727+Sens!$H$3729</f>
        <v>152.52478394475</v>
      </c>
      <c r="I3730" s="38" t="n">
        <f aca="false">(Sens!$I$3728-Sens!$I$3729)*Sens!$I$3727+Sens!$I$3729</f>
        <v>158.5998889105</v>
      </c>
      <c r="J3730" s="38" t="n">
        <f aca="false">(Sens!$J$3728-Sens!$J$3729)*Sens!$J$3727+Sens!$J$3729</f>
        <v>163.8366571105</v>
      </c>
      <c r="K3730" s="38" t="n">
        <f aca="false">(Sens!$K$3728-Sens!$K$3729)*Sens!$K$3727+Sens!$K$3729</f>
        <v>122.665498273534</v>
      </c>
      <c r="L3730" s="38" t="n">
        <f aca="false">(Sens!$L$3728-Sens!$L$3729)*Sens!$L$3727+Sens!$L$3729</f>
        <v>112.914948636568</v>
      </c>
      <c r="M3730" s="38" t="n">
        <f aca="false">(Sens!$M$3728-Sens!$M$3729)*Sens!$M$3727+Sens!$M$3729</f>
        <v>126.605482654852</v>
      </c>
      <c r="R3730" s="38" t="n">
        <f aca="false">Sens!$R$3728*Sens!$C$3727</f>
        <v>1.09927679019314</v>
      </c>
      <c r="S3730" s="38" t="n">
        <f aca="false">Sens!$C$3730</f>
        <v>18.472138699801</v>
      </c>
      <c r="T3730" s="38" t="n">
        <f aca="false">Sens!$D$3730</f>
        <v>50.8377268390402</v>
      </c>
      <c r="U3730" s="38" t="n">
        <f aca="false">Sens!$G$3730</f>
        <v>122.060039060065</v>
      </c>
      <c r="V3730" s="38" t="n">
        <f aca="false">Sens!$H$3730</f>
        <v>152.52478394475</v>
      </c>
      <c r="W3730" s="38" t="n">
        <f aca="false">Sens!$I$3730</f>
        <v>158.5998889105</v>
      </c>
      <c r="X3730" s="38" t="n">
        <f aca="false">Sens!$J$3730</f>
        <v>163.8366571105</v>
      </c>
      <c r="Y3730" s="38" t="n">
        <f aca="false">Sens!$K$3730</f>
        <v>122.665498273534</v>
      </c>
      <c r="Z3730" s="38" t="n">
        <f aca="false">Sens!$L$3730</f>
        <v>112.914948636568</v>
      </c>
      <c r="AA3730" s="38" t="n">
        <f aca="false">Sens!$M$3730</f>
        <v>126.605482654852</v>
      </c>
    </row>
    <row r="3731" customFormat="false" ht="15" hidden="false" customHeight="false" outlineLevel="0" collapsed="false">
      <c r="A3731" s="5" t="s">
        <v>629</v>
      </c>
      <c r="B3731" s="0" t="s">
        <v>86</v>
      </c>
      <c r="C3731" s="38" t="n">
        <f aca="false">Sens!$C$3728-Sens!$C$3730</f>
        <v>6.80596660793636</v>
      </c>
      <c r="D3731" s="38" t="n">
        <f aca="false">Sens!$D$3728-Sens!$D$3730</f>
        <v>18.7309047919624</v>
      </c>
      <c r="E3731" s="38" t="n">
        <f aca="false">Sens!$E$3728-Sens!$E$3730</f>
        <v>15.3547210779455</v>
      </c>
      <c r="F3731" s="38" t="n">
        <f aca="false">Sens!$F$3728-Sens!$F$3730</f>
        <v>23.0232905</v>
      </c>
      <c r="G3731" s="38" t="n">
        <f aca="false">Sens!$G$3728-Sens!$G$3730</f>
        <v>38.3780115779455</v>
      </c>
      <c r="H3731" s="38" t="n">
        <f aca="false">Sens!$H$3728-Sens!$H$3730</f>
        <v>46.046581</v>
      </c>
      <c r="I3731" s="38" t="n">
        <f aca="false">Sens!$I$3728-Sens!$I$3730</f>
        <v>46.046581</v>
      </c>
      <c r="J3731" s="38" t="n">
        <f aca="false">Sens!$J$3728-Sens!$J$3730</f>
        <v>46.046581</v>
      </c>
      <c r="K3731" s="38" t="n">
        <f aca="false">Sens!$K$3728-Sens!$K$3730</f>
        <v>32.5728870016667</v>
      </c>
      <c r="L3731" s="38" t="n">
        <f aca="false">Sens!$L$3728-Sens!$L$3730</f>
        <v>19.0991930033334</v>
      </c>
      <c r="M3731" s="38" t="n">
        <f aca="false">Sens!$M$3728-Sens!$M$3730</f>
        <v>5.62549900499998</v>
      </c>
      <c r="R3731" s="38" t="n">
        <f aca="false">Sens!$R$3728-Sens!$R$3730</f>
        <v>0.405023005106309</v>
      </c>
      <c r="S3731" s="38" t="n">
        <f aca="false">Sens!$S$3728-Sens!$S$3730</f>
        <v>6.80596660793636</v>
      </c>
      <c r="T3731" s="38" t="n">
        <f aca="false">Sens!$T$3728-Sens!$T$3730</f>
        <v>18.7309047919624</v>
      </c>
      <c r="U3731" s="38" t="n">
        <f aca="false">Sens!$U$3728-Sens!$U$3730</f>
        <v>38.3780115779455</v>
      </c>
      <c r="V3731" s="38" t="n">
        <f aca="false">Sens!$V$3728-Sens!$V$3730</f>
        <v>46.046581</v>
      </c>
      <c r="W3731" s="38" t="n">
        <f aca="false">Sens!$W$3728-Sens!$W$3730</f>
        <v>46.046581</v>
      </c>
      <c r="X3731" s="38" t="n">
        <f aca="false">Sens!$X$3728-Sens!$X$3730</f>
        <v>46.046581</v>
      </c>
      <c r="Y3731" s="38" t="n">
        <f aca="false">Sens!$Y$3728-Sens!$Y$3730</f>
        <v>32.5728870016667</v>
      </c>
      <c r="Z3731" s="38" t="n">
        <f aca="false">Sens!$Z$3728-Sens!$Z$3730</f>
        <v>19.0991930033334</v>
      </c>
      <c r="AA3731" s="38" t="n">
        <f aca="false">Sens!$AA$3728-Sens!$AA$3730</f>
        <v>5.62549900499998</v>
      </c>
    </row>
    <row r="3732" customFormat="false" ht="17.15" hidden="false" customHeight="false" outlineLevel="0" collapsed="false">
      <c r="A3732" s="0" t="s">
        <v>630</v>
      </c>
      <c r="B3732" s="0" t="s">
        <v>52</v>
      </c>
      <c r="C3732" s="13" t="n">
        <f aca="false">Sens!$C$3728/Sens!$C$3848</f>
        <v>0.325505489553393</v>
      </c>
      <c r="D3732" s="13" t="n">
        <f aca="false">Sens!$D$3728/Sens!$D$3848</f>
        <v>0.54214956071542</v>
      </c>
      <c r="E3732" s="13" t="n">
        <f aca="false">Sens!$E$3728/Sens!$E$3848</f>
        <v>0.666492790452817</v>
      </c>
      <c r="F3732" s="13" t="n">
        <f aca="false">Sens!$F$3728/Sens!$F$3848</f>
        <v>0.733477910687338</v>
      </c>
      <c r="G3732" s="13" t="n">
        <f aca="false">Sens!$G$3728/Sens!$G$3848</f>
        <v>0.705124321514523</v>
      </c>
      <c r="H3732" s="13" t="n">
        <f aca="false">Sens!$H$3728/Sens!$H$3848</f>
        <v>0.726376041178204</v>
      </c>
      <c r="I3732" s="13" t="n">
        <f aca="false">Sens!$I$3728/Sens!$I$3848</f>
        <v>0.713099092661699</v>
      </c>
      <c r="J3732" s="13" t="n">
        <f aca="false">Sens!$J$3728/Sens!$J$3848</f>
        <v>0.701208348786245</v>
      </c>
      <c r="K3732" s="13" t="n">
        <f aca="false">Sens!$K$3728/Sens!$K$3848</f>
        <v>0.618338844562383</v>
      </c>
      <c r="L3732" s="13" t="n">
        <f aca="false">Sens!$L$3728/Sens!$L$3848</f>
        <v>0.562489158462506</v>
      </c>
      <c r="M3732" s="13" t="n">
        <f aca="false">Sens!$M$3728/Sens!$M$3848</f>
        <v>0.545751190895923</v>
      </c>
    </row>
    <row r="3733" customFormat="false" ht="17.15" hidden="false" customHeight="false" outlineLevel="0" collapsed="false">
      <c r="A3733" s="0" t="s">
        <v>631</v>
      </c>
      <c r="B3733" s="0" t="s">
        <v>86</v>
      </c>
      <c r="C3733" s="38" t="n">
        <f aca="false">Sens!$S$3733</f>
        <v>0.183212798365523</v>
      </c>
      <c r="D3733" s="38" t="n">
        <f aca="false">Sens!$T$3733</f>
        <v>3.2619025816657</v>
      </c>
      <c r="E3733" s="38" t="n">
        <f aca="false">Sens!$G$3733/2</f>
        <v>5.86742852741953</v>
      </c>
      <c r="F3733" s="38" t="n">
        <f aca="false">Sens!$G$3733/2</f>
        <v>5.86742852741953</v>
      </c>
      <c r="G3733" s="38" t="n">
        <f aca="false">Sens!$U$3733</f>
        <v>11.7348570548391</v>
      </c>
      <c r="H3733" s="38" t="n">
        <f aca="false">Sens!$V$3733</f>
        <v>32.0781968981833</v>
      </c>
      <c r="I3733" s="38" t="n">
        <f aca="false">Sens!$W$3733</f>
        <v>57.4989942223083</v>
      </c>
      <c r="J3733" s="38" t="n">
        <f aca="false">Sens!$X$3733</f>
        <v>83.932309040725</v>
      </c>
      <c r="K3733" s="38" t="n">
        <f aca="false">Sens!$Y$3733</f>
        <v>111.055205760776</v>
      </c>
      <c r="L3733" s="38" t="n">
        <f aca="false">Sens!$Z$3733</f>
        <v>128.420765689732</v>
      </c>
      <c r="M3733" s="38" t="n">
        <f aca="false">Sens!$AA$3733</f>
        <v>138.766969322653</v>
      </c>
      <c r="N3733" s="38" t="n">
        <f aca="false">Sens!$D$3733/2</f>
        <v>1.63095129083285</v>
      </c>
      <c r="O3733" s="38" t="n">
        <f aca="false">Sens!$D$3733/2</f>
        <v>1.63095129083285</v>
      </c>
      <c r="R3733" s="38" t="n">
        <f aca="false">SUMPRODUCT(--(Sens!$R$3698:$AA$3698&lt;Sens!R$3698),--(Sens!$R$3698:$AA$3698&gt;=Sens!R$3698-tk_life),Sens!$R$3730:$AA$3730)/tk_life</f>
        <v>0</v>
      </c>
      <c r="S3733" s="38" t="n">
        <f aca="false">SUMPRODUCT(--(Sens!$R$3698:$AA$3698&lt;Sens!S$3698),--(Sens!$R$3698:$AA$3698&gt;=Sens!S$3698-tk_life),Sens!$R$3730:$AA$3730)/tk_life</f>
        <v>0.183212798365523</v>
      </c>
      <c r="T3733" s="38" t="n">
        <f aca="false">SUMPRODUCT(--(Sens!$R$3698:$AA$3698&lt;Sens!T$3698),--(Sens!$R$3698:$AA$3698&gt;=Sens!T$3698-tk_life),Sens!$R$3730:$AA$3730)/tk_life</f>
        <v>3.2619025816657</v>
      </c>
      <c r="U3733" s="38" t="n">
        <f aca="false">SUMPRODUCT(--(Sens!$R$3698:$AA$3698&lt;Sens!U$3698),--(Sens!$R$3698:$AA$3698&gt;=Sens!U$3698-tk_life),Sens!$R$3730:$AA$3730)/tk_life</f>
        <v>11.7348570548391</v>
      </c>
      <c r="V3733" s="38" t="n">
        <f aca="false">SUMPRODUCT(--(Sens!$R$3698:$AA$3698&lt;Sens!V$3698),--(Sens!$R$3698:$AA$3698&gt;=Sens!V$3698-tk_life),Sens!$R$3730:$AA$3730)/tk_life</f>
        <v>32.0781968981833</v>
      </c>
      <c r="W3733" s="38" t="n">
        <f aca="false">SUMPRODUCT(--(Sens!$R$3698:$AA$3698&lt;Sens!W$3698),--(Sens!$R$3698:$AA$3698&gt;=Sens!W$3698-tk_life),Sens!$R$3730:$AA$3730)/tk_life</f>
        <v>57.4989942223083</v>
      </c>
      <c r="X3733" s="38" t="n">
        <f aca="false">SUMPRODUCT(--(Sens!$R$3698:$AA$3698&lt;Sens!X$3698),--(Sens!$R$3698:$AA$3698&gt;=Sens!X$3698-tk_life),Sens!$R$3730:$AA$3730)/tk_life</f>
        <v>83.932309040725</v>
      </c>
      <c r="Y3733" s="38" t="n">
        <f aca="false">SUMPRODUCT(--(Sens!$R$3698:$AA$3698&lt;Sens!Y$3698),--(Sens!$R$3698:$AA$3698&gt;=Sens!Y$3698-tk_life),Sens!$R$3730:$AA$3730)/tk_life</f>
        <v>111.055205760776</v>
      </c>
      <c r="Z3733" s="38" t="n">
        <f aca="false">SUMPRODUCT(--(Sens!$R$3698:$AA$3698&lt;Sens!Z$3698),--(Sens!$R$3698:$AA$3698&gt;=Sens!Z$3698-tk_life),Sens!$R$3730:$AA$3730)/tk_life</f>
        <v>128.420765689732</v>
      </c>
      <c r="AA3733" s="38" t="n">
        <f aca="false">SUMPRODUCT(--(Sens!$R$3698:$AA$3698&lt;Sens!AA$3698),--(Sens!$R$3698:$AA$3698&gt;=Sens!AA$3698-tk_life),Sens!$R$3730:$AA$3730)/tk_life</f>
        <v>138.766969322653</v>
      </c>
    </row>
    <row r="3734" customFormat="false" ht="17.15" hidden="false" customHeight="false" outlineLevel="0" collapsed="false">
      <c r="A3734" s="0" t="s">
        <v>632</v>
      </c>
      <c r="B3734" s="0" t="s">
        <v>86</v>
      </c>
      <c r="C3734" s="38" t="n">
        <f aca="false">Sens!$S$3734</f>
        <v>0.0202511502553155</v>
      </c>
      <c r="D3734" s="38" t="n">
        <f aca="false">Sens!$T$3734</f>
        <v>0.360549480652134</v>
      </c>
      <c r="E3734" s="38" t="n">
        <f aca="false">Sens!$G$3734/2</f>
        <v>0.648547360125127</v>
      </c>
      <c r="F3734" s="38" t="n">
        <f aca="false">Sens!$G$3734/2</f>
        <v>0.648547360125127</v>
      </c>
      <c r="G3734" s="38" t="n">
        <f aca="false">Sens!$U$3734</f>
        <v>1.29709472025025</v>
      </c>
      <c r="H3734" s="38" t="n">
        <f aca="false">Sens!$V$3734</f>
        <v>3.21599529914753</v>
      </c>
      <c r="I3734" s="38" t="n">
        <f aca="false">Sens!$W$3734</f>
        <v>5.51832434914753</v>
      </c>
      <c r="J3734" s="38" t="n">
        <f aca="false">Sens!$X$3734</f>
        <v>7.82065339914753</v>
      </c>
      <c r="K3734" s="38" t="n">
        <f aca="false">Sens!$Y$3734</f>
        <v>10.1229824491475</v>
      </c>
      <c r="L3734" s="38" t="n">
        <f aca="false">Sens!$Z$3734</f>
        <v>11.7516267992309</v>
      </c>
      <c r="M3734" s="38" t="n">
        <f aca="false">Sens!$AA$3734</f>
        <v>12.7065864493975</v>
      </c>
      <c r="N3734" s="38" t="n">
        <f aca="false">Sens!$D$3734/2</f>
        <v>0.180274740326067</v>
      </c>
      <c r="O3734" s="38" t="n">
        <f aca="false">Sens!$D$3734/2</f>
        <v>0.180274740326067</v>
      </c>
      <c r="R3734" s="38" t="n">
        <f aca="false">SUMPRODUCT(--(Sens!$R$3698:$AA$3698&lt;Sens!R$3698),Sens!$R$3731:$AA$3731)/fac_life</f>
        <v>0</v>
      </c>
      <c r="S3734" s="38" t="n">
        <f aca="false">SUMPRODUCT(--(Sens!$R$3698:$AA$3698&lt;Sens!S$3698),Sens!$R$3731:$AA$3731)/fac_life</f>
        <v>0.0202511502553155</v>
      </c>
      <c r="T3734" s="38" t="n">
        <f aca="false">SUMPRODUCT(--(Sens!$R$3698:$AA$3698&lt;Sens!T$3698),Sens!$R$3731:$AA$3731)/fac_life</f>
        <v>0.360549480652134</v>
      </c>
      <c r="U3734" s="38" t="n">
        <f aca="false">SUMPRODUCT(--(Sens!$R$3698:$AA$3698&lt;Sens!U$3698),Sens!$R$3731:$AA$3731)/fac_life</f>
        <v>1.29709472025025</v>
      </c>
      <c r="V3734" s="38" t="n">
        <f aca="false">SUMPRODUCT(--(Sens!$R$3698:$AA$3698&lt;Sens!V$3698),Sens!$R$3731:$AA$3731)/fac_life</f>
        <v>3.21599529914753</v>
      </c>
      <c r="W3734" s="38" t="n">
        <f aca="false">SUMPRODUCT(--(Sens!$R$3698:$AA$3698&lt;Sens!W$3698),Sens!$R$3731:$AA$3731)/fac_life</f>
        <v>5.51832434914753</v>
      </c>
      <c r="X3734" s="38" t="n">
        <f aca="false">SUMPRODUCT(--(Sens!$R$3698:$AA$3698&lt;Sens!X$3698),Sens!$R$3731:$AA$3731)/fac_life</f>
        <v>7.82065339914753</v>
      </c>
      <c r="Y3734" s="38" t="n">
        <f aca="false">SUMPRODUCT(--(Sens!$R$3698:$AA$3698&lt;Sens!Y$3698),Sens!$R$3731:$AA$3731)/fac_life</f>
        <v>10.1229824491475</v>
      </c>
      <c r="Z3734" s="38" t="n">
        <f aca="false">SUMPRODUCT(--(Sens!$R$3698:$AA$3698&lt;Sens!Z$3698),Sens!$R$3731:$AA$3731)/fac_life</f>
        <v>11.7516267992309</v>
      </c>
      <c r="AA3734" s="38" t="n">
        <f aca="false">SUMPRODUCT(--(Sens!$R$3698:$AA$3698&lt;Sens!AA$3698),Sens!$R$3731:$AA$3731)/fac_life</f>
        <v>12.7065864493975</v>
      </c>
    </row>
    <row r="3735" customFormat="false" ht="17.15" hidden="false" customHeight="false" outlineLevel="0" collapsed="false">
      <c r="A3735" s="1" t="s">
        <v>633</v>
      </c>
      <c r="B3735" s="8" t="s">
        <v>86</v>
      </c>
      <c r="C3735" s="38" t="n">
        <f aca="false">Sens!$C$3733+Sens!$C$3734</f>
        <v>0.203463948620839</v>
      </c>
      <c r="D3735" s="38" t="n">
        <f aca="false">Sens!$D$3733+Sens!$D$3734</f>
        <v>3.62245206231783</v>
      </c>
      <c r="E3735" s="38" t="n">
        <f aca="false">Sens!$E$3733+Sens!$E$3734</f>
        <v>6.51597588754466</v>
      </c>
      <c r="F3735" s="38" t="n">
        <f aca="false">Sens!$F$3733+Sens!$F$3734</f>
        <v>6.51597588754466</v>
      </c>
      <c r="G3735" s="38" t="n">
        <f aca="false">Sens!$G$3733+Sens!$G$3734</f>
        <v>13.0319517750893</v>
      </c>
      <c r="H3735" s="38" t="n">
        <f aca="false">Sens!$H$3733+Sens!$H$3734</f>
        <v>35.2941921973308</v>
      </c>
      <c r="I3735" s="38" t="n">
        <f aca="false">Sens!$I$3733+Sens!$I$3734</f>
        <v>63.0173185714558</v>
      </c>
      <c r="J3735" s="38" t="n">
        <f aca="false">Sens!$J$3733+Sens!$J$3734</f>
        <v>91.7529624398725</v>
      </c>
      <c r="K3735" s="38" t="n">
        <f aca="false">Sens!$K$3733+Sens!$K$3734</f>
        <v>121.178188209924</v>
      </c>
      <c r="L3735" s="38" t="n">
        <f aca="false">Sens!$L$3733+Sens!$L$3734</f>
        <v>140.172392488963</v>
      </c>
      <c r="M3735" s="38" t="n">
        <f aca="false">Sens!$M$3733+Sens!$M$3734</f>
        <v>151.473555772051</v>
      </c>
      <c r="N3735" s="38" t="n">
        <f aca="false">Sens!$N$3733+Sens!$N$3734</f>
        <v>1.81122603115892</v>
      </c>
      <c r="O3735" s="38" t="n">
        <f aca="false">Sens!$O$3733+Sens!$O$3734</f>
        <v>1.81122603115892</v>
      </c>
      <c r="R3735" s="38" t="n">
        <f aca="false">Sens!$R$3733+Sens!$R$3734</f>
        <v>0</v>
      </c>
      <c r="S3735" s="38" t="n">
        <f aca="false">Sens!$S$3733+Sens!$S$3734</f>
        <v>0.203463948620839</v>
      </c>
      <c r="T3735" s="38" t="n">
        <f aca="false">Sens!$T$3733+Sens!$T$3734</f>
        <v>3.62245206231783</v>
      </c>
      <c r="U3735" s="38" t="n">
        <f aca="false">Sens!$U$3733+Sens!$U$3734</f>
        <v>13.0319517750893</v>
      </c>
      <c r="V3735" s="38" t="n">
        <f aca="false">Sens!$V$3733+Sens!$V$3734</f>
        <v>35.2941921973308</v>
      </c>
      <c r="W3735" s="38" t="n">
        <f aca="false">Sens!$W$3733+Sens!$W$3734</f>
        <v>63.0173185714558</v>
      </c>
      <c r="X3735" s="38" t="n">
        <f aca="false">Sens!$X$3733+Sens!$X$3734</f>
        <v>91.7529624398725</v>
      </c>
      <c r="Y3735" s="38" t="n">
        <f aca="false">Sens!$Y$3733+Sens!$Y$3734</f>
        <v>121.178188209924</v>
      </c>
      <c r="Z3735" s="38" t="n">
        <f aca="false">Sens!$Z$3733+Sens!$Z$3734</f>
        <v>140.172392488963</v>
      </c>
      <c r="AA3735" s="38" t="n">
        <f aca="false">Sens!$AA$3733+Sens!$AA$3734</f>
        <v>151.473555772051</v>
      </c>
    </row>
    <row r="3736" customFormat="false" ht="17.15" hidden="false" customHeight="false" outlineLevel="0" collapsed="false">
      <c r="A3736" s="0" t="s">
        <v>634</v>
      </c>
      <c r="B3736" s="0" t="s">
        <v>86</v>
      </c>
      <c r="C3736" s="38" t="n">
        <f aca="false">Sens!$S$3736</f>
        <v>26.578941154416</v>
      </c>
      <c r="D3736" s="38" t="n">
        <f aca="false">Sens!$T$3736</f>
        <v>92.5251207231008</v>
      </c>
      <c r="G3736" s="38" t="n">
        <f aca="false">Sens!$U$3736</f>
        <v>239.931219586022</v>
      </c>
      <c r="H3736" s="38" t="n">
        <f aca="false">Sens!$V$3736</f>
        <v>403.208392333442</v>
      </c>
      <c r="I3736" s="38" t="n">
        <f aca="false">Sens!$W$3736</f>
        <v>544.837543672486</v>
      </c>
      <c r="J3736" s="38" t="n">
        <f aca="false">Sens!$X$3736</f>
        <v>662.967819343113</v>
      </c>
      <c r="K3736" s="38" t="n">
        <f aca="false">Sens!$Y$3736</f>
        <v>697.028016408391</v>
      </c>
      <c r="L3736" s="38" t="n">
        <f aca="false">Sens!$Z$3736</f>
        <v>688.86976555933</v>
      </c>
      <c r="M3736" s="38" t="n">
        <f aca="false">Sens!$AA$3736</f>
        <v>669.627191447132</v>
      </c>
      <c r="R3736" s="38" t="n">
        <f aca="false">SUM(Sens!$R$3728:$R$3728)-SUM(Sens!$R$3735:$R$3735)</f>
        <v>1.50429979529945</v>
      </c>
      <c r="S3736" s="38" t="n">
        <f aca="false">SUM(Sens!$R$3728:$S$3728)-SUM(Sens!$R$3735:$S$3735)</f>
        <v>26.578941154416</v>
      </c>
      <c r="T3736" s="38" t="n">
        <f aca="false">SUM(Sens!$R$3728:$T$3728)-SUM(Sens!$R$3735:$T$3735)</f>
        <v>92.5251207231008</v>
      </c>
      <c r="U3736" s="38" t="n">
        <f aca="false">SUM(Sens!$R$3728:$U$3728)-SUM(Sens!$R$3735:$U$3735)</f>
        <v>239.931219586022</v>
      </c>
      <c r="V3736" s="38" t="n">
        <f aca="false">SUM(Sens!$R$3728:$V$3728)-SUM(Sens!$R$3735:$V$3735)</f>
        <v>403.208392333442</v>
      </c>
      <c r="W3736" s="38" t="n">
        <f aca="false">SUM(Sens!$R$3728:$W$3728)-SUM(Sens!$R$3735:$W$3735)</f>
        <v>544.837543672486</v>
      </c>
      <c r="X3736" s="38" t="n">
        <f aca="false">SUM(Sens!$R$3728:$X$3728)-SUM(Sens!$R$3735:$X$3735)</f>
        <v>662.967819343113</v>
      </c>
      <c r="Y3736" s="38" t="n">
        <f aca="false">SUM(Sens!$R$3728:$Y$3728)-SUM(Sens!$R$3735:$Y$3735)</f>
        <v>697.028016408391</v>
      </c>
      <c r="Z3736" s="38" t="n">
        <f aca="false">SUM(Sens!$R$3728:$Z$3728)-SUM(Sens!$R$3735:$Z$3735)</f>
        <v>688.86976555933</v>
      </c>
      <c r="AA3736" s="38" t="n">
        <f aca="false">SUM(Sens!$R$3728:$AA$3728)-SUM(Sens!$R$3735:$AA$3735)</f>
        <v>669.627191447132</v>
      </c>
    </row>
    <row r="3737" customFormat="false" ht="17.15" hidden="false" customHeight="false" outlineLevel="0" collapsed="false">
      <c r="A3737" s="1" t="s">
        <v>635</v>
      </c>
    </row>
    <row r="3738" customFormat="false" ht="17.15" hidden="false" customHeight="false" outlineLevel="0" collapsed="false">
      <c r="A3738" s="0" t="s">
        <v>636</v>
      </c>
      <c r="B3738" s="0" t="s">
        <v>86</v>
      </c>
      <c r="C3738" s="38" t="n">
        <f aca="false">Sens!$C$3719-ext_sh*Sens!$C$3721</f>
        <v>1.80694998843362</v>
      </c>
      <c r="D3738" s="38" t="n">
        <f aca="false">Sens!$D$3719-ext_sh*Sens!$D$3721</f>
        <v>6.77606245662607</v>
      </c>
      <c r="E3738" s="38" t="n">
        <f aca="false">Sens!$E$3719-ext_sh*Sens!$E$3721</f>
        <v>6.62548329092326</v>
      </c>
      <c r="F3738" s="38" t="n">
        <f aca="false">Sens!$F$3719-ext_sh*Sens!$F$3721</f>
        <v>11.7200577158706</v>
      </c>
      <c r="G3738" s="38" t="n">
        <f aca="false">Sens!$G$3719-ext_sh*Sens!$G$3721</f>
        <v>18.3455410067939</v>
      </c>
      <c r="H3738" s="38" t="n">
        <f aca="false">Sens!$H$3719-ext_sh*Sens!$H$3721</f>
        <v>47.5171727060453</v>
      </c>
      <c r="I3738" s="38" t="n">
        <f aca="false">Sens!$I$3719-ext_sh*Sens!$I$3721</f>
        <v>80.5539692643667</v>
      </c>
      <c r="J3738" s="38" t="n">
        <f aca="false">Sens!$J$3719-ext_sh*Sens!$J$3721</f>
        <v>113.759316834883</v>
      </c>
      <c r="K3738" s="38" t="n">
        <f aca="false">Sens!$K$3719-ext_sh*Sens!$K$3721</f>
        <v>142.084411492169</v>
      </c>
      <c r="L3738" s="38" t="n">
        <f aca="false">Sens!$L$3719-ext_sh*Sens!$L$3721</f>
        <v>160.69964615804</v>
      </c>
      <c r="M3738" s="38" t="n">
        <f aca="false">Sens!$M$3719-ext_sh*Sens!$M$3721</f>
        <v>169.577607141793</v>
      </c>
      <c r="N3738" s="38" t="n">
        <f aca="false">Sens!$N$3719-ext_sh*Sens!$N$3721</f>
        <v>2.37162185981912</v>
      </c>
      <c r="O3738" s="38" t="n">
        <f aca="false">Sens!$O$3719-ext_sh*Sens!$O$3721</f>
        <v>4.40444059680694</v>
      </c>
    </row>
    <row r="3739" customFormat="false" ht="17.15" hidden="false" customHeight="false" outlineLevel="0" collapsed="false">
      <c r="A3739" s="1" t="s">
        <v>637</v>
      </c>
      <c r="B3739" s="8" t="s">
        <v>86</v>
      </c>
      <c r="C3739" s="38" t="n">
        <f aca="false">Sens!$C$3738-ext_sh*Sens!$C$3735</f>
        <v>1.64417882953695</v>
      </c>
      <c r="D3739" s="38" t="n">
        <f aca="false">Sens!$D$3738-ext_sh*Sens!$D$3735</f>
        <v>3.8781008067718</v>
      </c>
      <c r="E3739" s="38" t="n">
        <f aca="false">Sens!$E$3738-ext_sh*Sens!$E$3735</f>
        <v>1.41270258088753</v>
      </c>
      <c r="F3739" s="38" t="n">
        <f aca="false">Sens!$F$3738-ext_sh*Sens!$F$3735</f>
        <v>6.50727700583486</v>
      </c>
      <c r="G3739" s="38" t="n">
        <f aca="false">Sens!$G$3738-ext_sh*Sens!$G$3735</f>
        <v>7.9199795867224</v>
      </c>
      <c r="H3739" s="38" t="n">
        <f aca="false">Sens!$H$3738-ext_sh*Sens!$H$3735</f>
        <v>19.2818189481807</v>
      </c>
      <c r="I3739" s="38" t="n">
        <f aca="false">Sens!$I$3738-ext_sh*Sens!$I$3735</f>
        <v>30.140114407202</v>
      </c>
      <c r="J3739" s="38" t="n">
        <f aca="false">Sens!$J$3738-ext_sh*Sens!$J$3735</f>
        <v>40.3569468829854</v>
      </c>
      <c r="K3739" s="38" t="n">
        <f aca="false">Sens!$K$3738-ext_sh*Sens!$K$3735</f>
        <v>45.1418609242305</v>
      </c>
      <c r="L3739" s="38" t="n">
        <f aca="false">Sens!$L$3738-ext_sh*Sens!$L$3735</f>
        <v>48.5617321668703</v>
      </c>
      <c r="M3739" s="38" t="n">
        <f aca="false">Sens!$M$3738-ext_sh*Sens!$M$3735</f>
        <v>48.3987625241529</v>
      </c>
      <c r="N3739" s="38" t="n">
        <f aca="false">Sens!$N$3738-ext_sh*Sens!$N$3735</f>
        <v>0.92264103489199</v>
      </c>
      <c r="O3739" s="38" t="n">
        <f aca="false">Sens!$O$3738-ext_sh*Sens!$O$3735</f>
        <v>2.95545977187981</v>
      </c>
    </row>
    <row r="3740" customFormat="false" ht="17.15" hidden="false" customHeight="false" outlineLevel="0" collapsed="false">
      <c r="A3740" s="0" t="s">
        <v>638</v>
      </c>
      <c r="B3740" s="0" t="s">
        <v>52</v>
      </c>
      <c r="C3740" s="13" t="n">
        <f aca="false">Sens!$C$3739/Sens!$C$3719</f>
        <v>0.708390794789371</v>
      </c>
      <c r="D3740" s="13" t="n">
        <f aca="false">Sens!$D$3739/Sens!$D$3719</f>
        <v>0.445565630441968</v>
      </c>
      <c r="E3740" s="13" t="n">
        <f aca="false">Sens!$E$3739/Sens!$E$3719</f>
        <v>0.165998118402711</v>
      </c>
      <c r="F3740" s="13" t="n">
        <f aca="false">Sens!$F$3739/Sens!$F$3719</f>
        <v>0.434878595403858</v>
      </c>
      <c r="G3740" s="13" t="n">
        <f aca="false">Sens!$G$3739/Sens!$G$3719</f>
        <v>0.3373967615381</v>
      </c>
      <c r="H3740" s="13" t="n">
        <f aca="false">Sens!$H$3739/Sens!$H$3719</f>
        <v>0.320477578041224</v>
      </c>
      <c r="I3740" s="13" t="n">
        <f aca="false">Sens!$I$3739/Sens!$I$3719</f>
        <v>0.296936118226494</v>
      </c>
      <c r="J3740" s="13" t="n">
        <f aca="false">Sens!$J$3739/Sens!$J$3719</f>
        <v>0.282166278613001</v>
      </c>
      <c r="K3740" s="13" t="n">
        <f aca="false">Sens!$K$3739/Sens!$K$3719</f>
        <v>0.252969102881543</v>
      </c>
      <c r="L3740" s="13" t="n">
        <f aca="false">Sens!$L$3739/Sens!$L$3719</f>
        <v>0.240728642826566</v>
      </c>
      <c r="M3740" s="13" t="n">
        <f aca="false">Sens!$M$3739/Sens!$M$3719</f>
        <v>0.227399920863147</v>
      </c>
      <c r="N3740" s="13" t="n">
        <f aca="false">Sens!$N$3739/Sens!$N$3719</f>
        <v>0.302870734830849</v>
      </c>
      <c r="O3740" s="13" t="n">
        <f aca="false">Sens!$O$3739/Sens!$O$3719</f>
        <v>0.52240134346334</v>
      </c>
    </row>
    <row r="3741" customFormat="false" ht="17.15" hidden="false" customHeight="false" outlineLevel="0" collapsed="false">
      <c r="A3741" s="5" t="s">
        <v>639</v>
      </c>
      <c r="B3741" s="0" t="s">
        <v>86</v>
      </c>
      <c r="C3741" s="39" t="n">
        <v>0</v>
      </c>
      <c r="D3741" s="39" t="n">
        <v>0</v>
      </c>
      <c r="E3741" s="39" t="n">
        <v>0</v>
      </c>
      <c r="F3741" s="38" t="n">
        <f aca="false">IF(internal_ai_reading=2,1,0)*(1-ext_sh)/ext_sh*(mw_open*he_open+Sens!$F$3717*Sens!$F$3714)*Sens!$F$3703/1000</f>
        <v>3.77122048175818</v>
      </c>
      <c r="G3741" s="38" t="n">
        <f aca="false">Sens!$E$3741+Sens!$F$3741</f>
        <v>3.77122048175818</v>
      </c>
      <c r="H3741" s="38" t="n">
        <f aca="false">IF(internal_ai_reading=2,1,0)*(1-ext_sh)/ext_sh*(mw_open*he_open+Sens!$H$3717*Sens!$H$3714)*Sens!$H$3703/1000</f>
        <v>15.1635543609893</v>
      </c>
      <c r="I3741" s="38" t="n">
        <f aca="false">IF(internal_ai_reading=2,1,0)*(1-ext_sh)/ext_sh*(mw_open*he_open+Sens!$I$3717*Sens!$I$3714)*Sens!$I$3703/1000</f>
        <v>25.5818843619889</v>
      </c>
      <c r="J3741" s="38" t="n">
        <f aca="false">IF(internal_ai_reading=2,1,0)*(1-ext_sh)/ext_sh*(mw_open*he_open+Sens!$J$3717*Sens!$J$3714)*Sens!$J$3703/1000</f>
        <v>36.0465624179122</v>
      </c>
      <c r="K3741" s="38" t="n">
        <f aca="false">IF(internal_ai_reading=2,1,0)*(1-ext_sh)/ext_sh*(mw_open*he_open+Sens!$K$3717*Sens!$K$3714)*Sens!$K$3703/1000</f>
        <v>44.9741164026038</v>
      </c>
      <c r="L3741" s="38" t="n">
        <f aca="false">IF(internal_ai_reading=2,1,0)*(1-ext_sh)/ext_sh*(mw_open*he_open+Sens!$L$3717*Sens!$L$3714)*Sens!$L$3703/1000</f>
        <v>50.8413488057813</v>
      </c>
      <c r="M3741" s="38" t="n">
        <f aca="false">IF(internal_ai_reading=2,1,0)*(1-ext_sh)/ext_sh*(mw_open*he_open+Sens!$M$3717*Sens!$M$3714)*Sens!$M$3703/1000</f>
        <v>53.6407214274315</v>
      </c>
      <c r="N3741" s="39" t="n">
        <v>0</v>
      </c>
      <c r="O3741" s="39" t="n">
        <v>0</v>
      </c>
      <c r="P3741" s="8" t="s">
        <v>640</v>
      </c>
    </row>
    <row r="3742" customFormat="false" ht="17.15" hidden="false" customHeight="false" outlineLevel="0" collapsed="false">
      <c r="A3742" s="5" t="s">
        <v>641</v>
      </c>
      <c r="B3742" s="0" t="s">
        <v>86</v>
      </c>
      <c r="C3742" s="38" t="n">
        <f aca="false">(1-ext_sh)*(Sens!$C$3721+Sens!$C$3735)</f>
        <v>0.169206631859174</v>
      </c>
      <c r="D3742" s="38" t="n">
        <f aca="false">(1-ext_sh)*(Sens!$D$3721+Sens!$D$3735)</f>
        <v>1.20641732046984</v>
      </c>
      <c r="E3742" s="38" t="n">
        <f aca="false">(1-ext_sh)*(Sens!$E$3721+Sens!$E$3735)</f>
        <v>1.77441259867062</v>
      </c>
      <c r="F3742" s="38" t="n">
        <f aca="false">(1-ext_sh)*(Sens!$F$3721+Sens!$F$3735)</f>
        <v>2.1140391597214</v>
      </c>
      <c r="G3742" s="38" t="n">
        <f aca="false">(1-ext_sh)*(Sens!$G$3721+Sens!$G$3735)</f>
        <v>3.88845175839202</v>
      </c>
      <c r="H3742" s="38" t="n">
        <f aca="false">(1-ext_sh)*(Sens!$H$3721+Sens!$H$3735)</f>
        <v>10.2210179503985</v>
      </c>
      <c r="I3742" s="38" t="n">
        <f aca="false">(1-ext_sh)*(Sens!$I$3721+Sens!$I$3735)</f>
        <v>17.8408961823075</v>
      </c>
      <c r="J3742" s="38" t="n">
        <f aca="false">(1-ext_sh)*(Sens!$J$3721+Sens!$J$3735)</f>
        <v>25.6671150670732</v>
      </c>
      <c r="K3742" s="38" t="n">
        <f aca="false">(1-ext_sh)*(Sens!$K$3721+Sens!$K$3735)</f>
        <v>33.3265648647373</v>
      </c>
      <c r="L3742" s="38" t="n">
        <f aca="false">(1-ext_sh)*(Sens!$L$3721+Sens!$L$3735)</f>
        <v>38.2915924088815</v>
      </c>
      <c r="M3742" s="38" t="n">
        <f aca="false">(1-ext_sh)*(Sens!$M$3721+Sens!$M$3735)</f>
        <v>41.1091697111781</v>
      </c>
      <c r="N3742" s="38" t="n">
        <f aca="false">(1-ext_sh)*(Sens!$N$3721+Sens!$N$3735)</f>
        <v>0.530919624033979</v>
      </c>
      <c r="O3742" s="38" t="n">
        <f aca="false">(1-ext_sh)*(Sens!$O$3721+Sens!$O$3735)</f>
        <v>0.675497696435861</v>
      </c>
    </row>
    <row r="3743" customFormat="false" ht="17.15" hidden="false" customHeight="false" outlineLevel="0" collapsed="false">
      <c r="A3743" s="0" t="s">
        <v>642</v>
      </c>
      <c r="B3743" s="0" t="s">
        <v>86</v>
      </c>
      <c r="C3743" s="38" t="n">
        <f aca="false">Q!$D$24</f>
        <v>39.834</v>
      </c>
      <c r="D3743" s="38" t="n">
        <f aca="false">Q!$E$24</f>
        <v>45.606</v>
      </c>
      <c r="E3743" s="38" t="n">
        <f aca="false">Q!$P$24</f>
        <v>30.782</v>
      </c>
      <c r="N3743" s="38" t="n">
        <f aca="false">Q!$N$24</f>
        <v>21.707</v>
      </c>
      <c r="O3743" s="38" t="n">
        <f aca="false">Q!$O$24</f>
        <v>23.899</v>
      </c>
    </row>
    <row r="3744" customFormat="false" ht="17.15" hidden="false" customHeight="false" outlineLevel="0" collapsed="false">
      <c r="A3744" s="0" t="s">
        <v>643</v>
      </c>
      <c r="B3744" s="0" t="s">
        <v>86</v>
      </c>
      <c r="C3744" s="38" t="n">
        <f aca="false">Sens!$C$3743-Sens!$C$3739</f>
        <v>38.1898211704631</v>
      </c>
      <c r="D3744" s="38" t="n">
        <f aca="false">Sens!$D$3743-Sens!$D$3739</f>
        <v>41.7278991932282</v>
      </c>
      <c r="E3744" s="38" t="n">
        <f aca="false">Sens!$E$3743-Sens!$E$3739</f>
        <v>29.3692974191125</v>
      </c>
      <c r="F3744" s="38" t="n">
        <f aca="false">Sens!$F$3723*Sens!$F$3745</f>
        <v>26.8997276714137</v>
      </c>
      <c r="G3744" s="38" t="n">
        <f aca="false">Sens!$E$3744+Sens!$F$3744</f>
        <v>56.2690250905262</v>
      </c>
      <c r="H3744" s="38" t="n">
        <f aca="false">Sens!$H$3723*Sens!$H$3745</f>
        <v>60.3505333937343</v>
      </c>
      <c r="I3744" s="38" t="n">
        <f aca="false">Sens!$I$3723*Sens!$I$3745</f>
        <v>67.0043857303571</v>
      </c>
      <c r="J3744" s="38" t="n">
        <f aca="false">Sens!$J$3723*Sens!$J$3745</f>
        <v>73.3782922956925</v>
      </c>
      <c r="K3744" s="38" t="n">
        <f aca="false">Sens!$K$3723*Sens!$K$3745</f>
        <v>79.2485556793479</v>
      </c>
      <c r="L3744" s="38" t="n">
        <f aca="false">Sens!$L$3723*Sens!$L$3745</f>
        <v>85.5884401336958</v>
      </c>
      <c r="M3744" s="38" t="n">
        <f aca="false">Sens!$M$3723*Sens!$M$3745</f>
        <v>92.4355153443914</v>
      </c>
      <c r="N3744" s="38" t="n">
        <f aca="false">Sens!$N$3743-Sens!$N$3739</f>
        <v>20.784358965108</v>
      </c>
      <c r="O3744" s="38" t="n">
        <f aca="false">Sens!$O$3743-Sens!$O$3739</f>
        <v>20.9435402281202</v>
      </c>
      <c r="P3744" s="5" t="s">
        <v>644</v>
      </c>
    </row>
    <row r="3745" customFormat="false" ht="17.15" hidden="false" customHeight="false" outlineLevel="0" collapsed="false">
      <c r="A3745" s="0" t="s">
        <v>645</v>
      </c>
      <c r="B3745" s="0" t="s">
        <v>52</v>
      </c>
      <c r="C3745" s="13" t="n">
        <f aca="false">Sens!$C$3744/Sens!$C$3723</f>
        <v>0.362900395443635</v>
      </c>
      <c r="D3745" s="13" t="n">
        <f aca="false">Sens!$D$3744/Sens!$D$3723</f>
        <v>0.34767098474203</v>
      </c>
      <c r="E3745" s="13" t="n">
        <f aca="false">Sens!$E$3744/Sens!$E$3723</f>
        <v>0.411861655558416</v>
      </c>
      <c r="F3745" s="13" t="n">
        <f aca="false">(Sens!$O$3744+Sens!$E$3744)/(Sens!$O$3723+Sens!$E$3723)</f>
        <v>0.37480827803158</v>
      </c>
      <c r="G3745" s="13" t="n">
        <f aca="false">Sens!$G$3744/Sens!$G$3723</f>
        <v>0.393275318395757</v>
      </c>
      <c r="H3745" s="13" t="n">
        <f aca="false">Sens!$F$3745</f>
        <v>0.37480827803158</v>
      </c>
      <c r="I3745" s="13" t="n">
        <f aca="false">Sens!$F$3745</f>
        <v>0.37480827803158</v>
      </c>
      <c r="J3745" s="13" t="n">
        <f aca="false">Sens!$F$3745</f>
        <v>0.37480827803158</v>
      </c>
      <c r="K3745" s="13" t="n">
        <f aca="false">Sens!$F$3745</f>
        <v>0.37480827803158</v>
      </c>
      <c r="L3745" s="13" t="n">
        <f aca="false">Sens!$F$3745</f>
        <v>0.37480827803158</v>
      </c>
      <c r="M3745" s="13" t="n">
        <f aca="false">Sens!$F$3745</f>
        <v>0.37480827803158</v>
      </c>
      <c r="N3745" s="13" t="n">
        <f aca="false">Sens!$N$3744/Sens!$N$3723</f>
        <v>0.364039571356823</v>
      </c>
      <c r="O3745" s="13" t="n">
        <f aca="false">Sens!$O$3744/Sens!$O$3723</f>
        <v>0.332819892300086</v>
      </c>
      <c r="P3745" s="8" t="s">
        <v>646</v>
      </c>
    </row>
    <row r="3746" customFormat="false" ht="17.15" hidden="false" customHeight="false" outlineLevel="0" collapsed="false">
      <c r="A3746" s="0" t="s">
        <v>647</v>
      </c>
      <c r="B3746" s="0" t="s">
        <v>52</v>
      </c>
      <c r="D3746" s="13" t="n">
        <f aca="false">(Q!$E$31-ext_sh*Sens!$D$3735)/Sens!$D$3723</f>
        <v>0.154572973163571</v>
      </c>
    </row>
    <row r="3747" customFormat="false" ht="17.15" hidden="false" customHeight="false" outlineLevel="0" collapsed="false">
      <c r="A3747" s="0" t="s">
        <v>648</v>
      </c>
      <c r="B3747" s="0" t="s">
        <v>86</v>
      </c>
      <c r="C3747" s="38" t="n">
        <f aca="false">Q!$D$31</f>
        <v>13.32</v>
      </c>
      <c r="D3747" s="38" t="n">
        <f aca="false">Q!$E$31</f>
        <v>21.45</v>
      </c>
      <c r="E3747" s="38" t="n">
        <f aca="false">Q!$P$31</f>
        <v>15.353</v>
      </c>
      <c r="F3747" s="38" t="n">
        <f aca="false">ext_sh*Sens!$F$3735+Sens!$D$3746*Sens!$F$3723</f>
        <v>16.3063747611001</v>
      </c>
      <c r="G3747" s="38" t="n">
        <f aca="false">Sens!$E$3747+Sens!$F$3747</f>
        <v>31.6593747611001</v>
      </c>
      <c r="H3747" s="38" t="n">
        <f aca="false">ext_sh*Sens!$H$3735+Sens!$D$3746*Sens!$H$3723</f>
        <v>53.124242092105</v>
      </c>
      <c r="I3747" s="38" t="n">
        <f aca="false">ext_sh*Sens!$I$3735+Sens!$D$3746*Sens!$I$3723</f>
        <v>78.046828098133</v>
      </c>
      <c r="J3747" s="38" t="n">
        <f aca="false">ext_sh*Sens!$J$3735+Sens!$D$3746*Sens!$J$3723</f>
        <v>103.663976940352</v>
      </c>
      <c r="K3747" s="38" t="n">
        <f aca="false">ext_sh*Sens!$K$3735+Sens!$D$3746*Sens!$K$3723</f>
        <v>129.625086115469</v>
      </c>
      <c r="L3747" s="38" t="n">
        <f aca="false">ext_sh*Sens!$L$3735+Sens!$D$3746*Sens!$L$3723</f>
        <v>147.435052382502</v>
      </c>
      <c r="M3747" s="38" t="n">
        <f aca="false">ext_sh*Sens!$M$3735+Sens!$D$3746*Sens!$M$3723</f>
        <v>159.299754080279</v>
      </c>
      <c r="N3747" s="38" t="n">
        <f aca="false">Q!$N$31</f>
        <v>9.234</v>
      </c>
      <c r="O3747" s="38" t="n">
        <f aca="false">Q!$O$31</f>
        <v>12.216</v>
      </c>
    </row>
    <row r="3748" customFormat="false" ht="17.15" hidden="false" customHeight="false" outlineLevel="0" collapsed="false">
      <c r="A3748" s="1" t="s">
        <v>649</v>
      </c>
    </row>
    <row r="3749" customFormat="false" ht="17.15" hidden="false" customHeight="false" outlineLevel="0" collapsed="false">
      <c r="A3749" s="15" t="s">
        <v>650</v>
      </c>
      <c r="B3749" s="14" t="s">
        <v>52</v>
      </c>
      <c r="C3749" s="14"/>
      <c r="D3749" s="14"/>
      <c r="E3749" s="14"/>
      <c r="F3749" s="14"/>
      <c r="G3749" s="17" t="n">
        <f aca="false">Sens!$G$3739*(1-tax)/(ext_sh*(Sens!$D$3736+Sens!$G$3736)/2)</f>
        <v>0.0492184452944045</v>
      </c>
      <c r="H3749" s="17" t="n">
        <f aca="false">Sens!$H$3739*(1-tax)/(ext_sh*(Sens!$G$3736+Sens!$H$3736)/2)</f>
        <v>0.0619414246858107</v>
      </c>
      <c r="I3749" s="17" t="n">
        <f aca="false">Sens!$I$3739*(1-tax)/(ext_sh*(Sens!$H$3736+Sens!$I$3736)/2)</f>
        <v>0.0656831488051666</v>
      </c>
      <c r="J3749" s="17" t="n">
        <f aca="false">Sens!$J$3739*(1-tax)/(ext_sh*(Sens!$I$3736+Sens!$J$3736)/2)</f>
        <v>0.0690334849962116</v>
      </c>
      <c r="K3749" s="17" t="n">
        <f aca="false">Sens!$K$3739*(1-tax)/(ext_sh*(Sens!$J$3736+Sens!$K$3736)/2)</f>
        <v>0.0685772915331967</v>
      </c>
      <c r="L3749" s="17" t="n">
        <f aca="false">Sens!$L$3739*(1-tax)/(ext_sh*(Sens!$K$3736+Sens!$L$3736)/2)</f>
        <v>0.0723938074635756</v>
      </c>
      <c r="M3749" s="17" t="n">
        <f aca="false">Sens!$M$3739*(1-tax)/(ext_sh*(Sens!$L$3736+Sens!$M$3736)/2)</f>
        <v>0.0736061388214139</v>
      </c>
      <c r="N3749" s="14"/>
      <c r="O3749" s="14"/>
      <c r="P3749" s="8" t="s">
        <v>651</v>
      </c>
    </row>
    <row r="3750" customFormat="false" ht="17.15" hidden="false" customHeight="false" outlineLevel="0" collapsed="false">
      <c r="A3750" s="5" t="s">
        <v>652</v>
      </c>
      <c r="B3750" s="0" t="s">
        <v>57</v>
      </c>
      <c r="H3750" s="36" t="n">
        <f aca="false">Sens!$H$3719*1000/(mw_open*he_open+Sens!$H$3717*Sens!$H$3714)</f>
        <v>0.991949006767191</v>
      </c>
      <c r="I3750" s="36" t="n">
        <f aca="false">Sens!$I$3719*1000/(mw_open*he_open+Sens!$I$3717*Sens!$I$3714)</f>
        <v>0.991949006767191</v>
      </c>
      <c r="J3750" s="36" t="n">
        <f aca="false">Sens!$J$3719*1000/(mw_open*he_open+Sens!$J$3717*Sens!$J$3714)</f>
        <v>0.991949006767191</v>
      </c>
      <c r="K3750" s="36" t="n">
        <f aca="false">Sens!$K$3719*1000/(mw_open*he_open+Sens!$K$3717*Sens!$K$3714)</f>
        <v>0.991949006767191</v>
      </c>
      <c r="L3750" s="36" t="n">
        <f aca="false">Sens!$L$3719*1000/(mw_open*he_open+Sens!$L$3717*Sens!$L$3714)</f>
        <v>0.991949006767191</v>
      </c>
      <c r="M3750" s="36" t="n">
        <f aca="false">Sens!$M$3719*1000/(mw_open*he_open+Sens!$M$3717*Sens!$M$3714)</f>
        <v>0.991949006767191</v>
      </c>
    </row>
    <row r="3751" customFormat="false" ht="17.15" hidden="false" customHeight="false" outlineLevel="0" collapsed="false">
      <c r="A3751" s="5" t="s">
        <v>653</v>
      </c>
      <c r="B3751" s="0" t="s">
        <v>57</v>
      </c>
      <c r="H3751" s="36" t="n">
        <f aca="false">Sens!$H$3750*(Sens!$H$3719+wacc*ext_sh*(Sens!$G$3736+Sens!$H$3736)/2/(1-tax)-Sens!$H$3739)/Sens!$H$3719</f>
        <v>1.25551961623259</v>
      </c>
      <c r="I3751" s="36" t="n">
        <f aca="false">Sens!$I$3750*(Sens!$I$3719+wacc*ext_sh*(Sens!$H$3736+Sens!$I$3736)/2/(1-tax)-Sens!$I$3739)/Sens!$I$3719</f>
        <v>1.2054675393263</v>
      </c>
      <c r="J3751" s="36" t="n">
        <f aca="false">Sens!$J$3750*(Sens!$J$3719+wacc*ext_sh*(Sens!$I$3736+Sens!$J$3736)/2/(1-tax)-Sens!$J$3739)/Sens!$J$3719</f>
        <v>1.17141604927023</v>
      </c>
      <c r="K3751" s="36" t="n">
        <f aca="false">Sens!$K$3750*(Sens!$K$3719+wacc*ext_sh*(Sens!$J$3736+Sens!$K$3736)/2/(1-tax)-Sens!$K$3739)/Sens!$K$3719</f>
        <v>1.15558527566281</v>
      </c>
      <c r="L3751" s="36" t="n">
        <f aca="false">Sens!$L$3750*(Sens!$L$3719+wacc*ext_sh*(Sens!$K$3736+Sens!$L$3736)/2/(1-tax)-Sens!$L$3739)/Sens!$L$3719</f>
        <v>1.12686933572495</v>
      </c>
      <c r="M3751" s="36" t="n">
        <f aca="false">Sens!$M$3750*(Sens!$M$3719+wacc*ext_sh*(Sens!$L$3736+Sens!$M$3736)/2/(1-tax)-Sens!$M$3739)/Sens!$M$3719</f>
        <v>1.11358462527531</v>
      </c>
    </row>
    <row r="3752" customFormat="false" ht="17.15" hidden="false" customHeight="false" outlineLevel="0" collapsed="false">
      <c r="A3752" s="5" t="s">
        <v>654</v>
      </c>
      <c r="B3752" s="0" t="s">
        <v>52</v>
      </c>
      <c r="C3752" s="13" t="n">
        <f aca="false">Sens!$C$3720/tk_pq</f>
        <v>0.195316432429398</v>
      </c>
      <c r="D3752" s="13" t="n">
        <f aca="false">Sens!$D$3720/tk_pq</f>
        <v>0.195316432429398</v>
      </c>
      <c r="E3752" s="13" t="n">
        <f aca="false">Sens!$E$3720/tk_pq</f>
        <v>0.195316432429398</v>
      </c>
      <c r="F3752" s="13" t="n">
        <f aca="false">Sens!$F$3720/tk_pq</f>
        <v>0.202241827274866</v>
      </c>
      <c r="G3752" s="13" t="n">
        <f aca="false">Sens!$G$3720/tk_pq</f>
        <v>0.199675016194063</v>
      </c>
      <c r="H3752" s="13" t="n">
        <f aca="false">Sens!$H$3720/tk_pq</f>
        <v>0.212647947710325</v>
      </c>
      <c r="I3752" s="13" t="n">
        <f aca="false">Sens!$I$3720/tk_pq</f>
        <v>0.219285125475351</v>
      </c>
      <c r="J3752" s="13" t="n">
        <f aca="false">Sens!$J$3720/tk_pq</f>
        <v>0.222492493217189</v>
      </c>
      <c r="K3752" s="13" t="n">
        <f aca="false">Sens!$K$3720/tk_pq</f>
        <v>0.224053502812094</v>
      </c>
      <c r="L3752" s="13" t="n">
        <f aca="false">Sens!$L$3720/tk_pq</f>
        <v>0.224786916785614</v>
      </c>
      <c r="M3752" s="13" t="n">
        <f aca="false">Sens!$M$3720/tk_pq</f>
        <v>0.225048671566937</v>
      </c>
      <c r="N3752" s="13" t="n">
        <f aca="false">Sens!$N$3720/tk_pq</f>
        <v>0.195316432429398</v>
      </c>
      <c r="O3752" s="13" t="n">
        <f aca="false">Sens!$O$3720/tk_pq</f>
        <v>0.195316432429398</v>
      </c>
      <c r="P3752" s="5" t="s">
        <v>655</v>
      </c>
    </row>
    <row r="3755" customFormat="false" ht="17.15" hidden="false" customHeight="false" outlineLevel="0" collapsed="false">
      <c r="A3755" s="1" t="s">
        <v>684</v>
      </c>
    </row>
    <row r="3756" customFormat="false" ht="17.15" hidden="false" customHeight="false" outlineLevel="0" collapsed="false">
      <c r="A3756" s="0" t="s">
        <v>685</v>
      </c>
      <c r="B3756" s="0" t="s">
        <v>86</v>
      </c>
      <c r="C3756" s="38" t="n">
        <f aca="false">Sens!$C$3719</f>
        <v>2.32100535697364</v>
      </c>
      <c r="D3756" s="38" t="n">
        <f aca="false">Sens!$D$3719</f>
        <v>8.70377008865116</v>
      </c>
      <c r="E3756" s="38" t="n">
        <f aca="false">Sens!$E$3719</f>
        <v>8.51035297557002</v>
      </c>
      <c r="F3756" s="38" t="n">
        <f aca="false">Sens!$F$3719</f>
        <v>14.9634336447205</v>
      </c>
      <c r="G3756" s="38" t="n">
        <f aca="false">Sens!$G$3719</f>
        <v>23.4737866202905</v>
      </c>
      <c r="H3756" s="38" t="n">
        <f aca="false">Sens!$H$3719</f>
        <v>60.1658907497746</v>
      </c>
      <c r="I3756" s="38" t="n">
        <f aca="false">Sens!$I$3719</f>
        <v>101.503699136432</v>
      </c>
      <c r="J3756" s="38" t="n">
        <f aca="false">Sens!$J$3719</f>
        <v>143.025407151278</v>
      </c>
      <c r="K3756" s="38" t="n">
        <f aca="false">Sens!$K$3719</f>
        <v>178.44812038318</v>
      </c>
      <c r="L3756" s="38" t="n">
        <f aca="false">Sens!$L$3719</f>
        <v>201.728101802396</v>
      </c>
      <c r="M3756" s="38" t="n">
        <f aca="false">Sens!$M$3719</f>
        <v>212.835441368865</v>
      </c>
      <c r="N3756" s="38" t="n">
        <f aca="false">Sens!$N$3719</f>
        <v>3.04631953102791</v>
      </c>
      <c r="O3756" s="38" t="n">
        <f aca="false">Sens!$O$3719</f>
        <v>5.65745055762326</v>
      </c>
      <c r="P3756" s="8" t="s">
        <v>686</v>
      </c>
    </row>
    <row r="3757" customFormat="false" ht="17.15" hidden="false" customHeight="false" outlineLevel="0" collapsed="false">
      <c r="A3757" s="0" t="s">
        <v>687</v>
      </c>
      <c r="B3757" s="0" t="s">
        <v>86</v>
      </c>
      <c r="C3757" s="38" t="n">
        <f aca="false">Sens!$C$3723</f>
        <v>105.234994643026</v>
      </c>
      <c r="D3757" s="38" t="n">
        <f aca="false">Sens!$D$3723</f>
        <v>120.021229911349</v>
      </c>
      <c r="E3757" s="38" t="n">
        <f aca="false">Sens!$E$3723</f>
        <v>71.30864702443</v>
      </c>
      <c r="F3757" s="38" t="n">
        <f aca="false">Sens!$F$3723</f>
        <v>71.7692997942464</v>
      </c>
      <c r="G3757" s="38" t="n">
        <f aca="false">Sens!$G$3723</f>
        <v>143.077946818676</v>
      </c>
      <c r="H3757" s="38" t="n">
        <f aca="false">Sens!$H$3723</f>
        <v>161.017077079203</v>
      </c>
      <c r="I3757" s="38" t="n">
        <f aca="false">Sens!$I$3723</f>
        <v>178.769759521457</v>
      </c>
      <c r="J3757" s="38" t="n">
        <f aca="false">Sens!$J$3723</f>
        <v>195.775538045907</v>
      </c>
      <c r="K3757" s="38" t="n">
        <f aca="false">Sens!$K$3723</f>
        <v>211.43758108958</v>
      </c>
      <c r="L3757" s="38" t="n">
        <f aca="false">Sens!$L$3723</f>
        <v>228.352587576746</v>
      </c>
      <c r="M3757" s="38" t="n">
        <f aca="false">Sens!$M$3723</f>
        <v>246.620794582886</v>
      </c>
      <c r="N3757" s="38" t="n">
        <f aca="false">Sens!$N$3723</f>
        <v>57.0936804689721</v>
      </c>
      <c r="O3757" s="38" t="n">
        <f aca="false">Sens!$O$3723</f>
        <v>62.9275494423768</v>
      </c>
      <c r="P3757" s="8" t="s">
        <v>686</v>
      </c>
    </row>
    <row r="3758" customFormat="false" ht="17.15" hidden="false" customHeight="false" outlineLevel="0" collapsed="false">
      <c r="A3758" s="1" t="s">
        <v>513</v>
      </c>
      <c r="B3758" s="8" t="s">
        <v>86</v>
      </c>
      <c r="C3758" s="38" t="n">
        <f aca="false">Q!$D$7</f>
        <v>107.556</v>
      </c>
      <c r="D3758" s="38" t="n">
        <f aca="false">Q!$E$7</f>
        <v>128.725</v>
      </c>
      <c r="E3758" s="38" t="n">
        <f aca="false">Q!$P$7</f>
        <v>79.819</v>
      </c>
      <c r="F3758" s="38" t="n">
        <f aca="false">Sens!$F$3756+Sens!$F$3757</f>
        <v>86.7327334389669</v>
      </c>
      <c r="G3758" s="38" t="n">
        <f aca="false">Sens!$G$3756+Sens!$G$3757</f>
        <v>166.551733438967</v>
      </c>
      <c r="H3758" s="38" t="n">
        <f aca="false">Sens!$H$3756+Sens!$H$3757</f>
        <v>221.182967828978</v>
      </c>
      <c r="I3758" s="38" t="n">
        <f aca="false">Sens!$I$3756+Sens!$I$3757</f>
        <v>280.27345865789</v>
      </c>
      <c r="J3758" s="38" t="n">
        <f aca="false">Sens!$J$3756+Sens!$J$3757</f>
        <v>338.800945197185</v>
      </c>
      <c r="K3758" s="38" t="n">
        <f aca="false">Sens!$K$3756+Sens!$K$3757</f>
        <v>389.88570147276</v>
      </c>
      <c r="L3758" s="38" t="n">
        <f aca="false">Sens!$L$3756+Sens!$L$3757</f>
        <v>430.080689379143</v>
      </c>
      <c r="M3758" s="38" t="n">
        <f aca="false">Sens!$M$3756+Sens!$M$3757</f>
        <v>459.456235951751</v>
      </c>
      <c r="N3758" s="38" t="n">
        <f aca="false">Q!$N$7</f>
        <v>60.14</v>
      </c>
      <c r="O3758" s="38" t="n">
        <f aca="false">Q!$O$7</f>
        <v>68.585</v>
      </c>
      <c r="P3758" s="5" t="s">
        <v>688</v>
      </c>
    </row>
    <row r="3759" customFormat="false" ht="15" hidden="false" customHeight="false" outlineLevel="0" collapsed="false">
      <c r="A3759" s="3" t="s">
        <v>689</v>
      </c>
      <c r="B3759" s="8" t="s">
        <v>86</v>
      </c>
      <c r="C3759" s="38" t="n">
        <f aca="false">Q!$D$8</f>
        <v>637.959</v>
      </c>
      <c r="D3759" s="38" t="n">
        <f aca="false">Q!$E$8</f>
        <v>716.924</v>
      </c>
      <c r="E3759" s="38" t="n">
        <f aca="false">Q!$P$8</f>
        <v>382.125</v>
      </c>
      <c r="F3759" s="38" t="n">
        <f aca="false">Sens!$F$3691+Sens!$F$3758</f>
        <v>435.780975084504</v>
      </c>
      <c r="G3759" s="38" t="n">
        <f aca="false">Sens!$G$3691+Sens!$G$3758</f>
        <v>817.905975084504</v>
      </c>
      <c r="H3759" s="38" t="n">
        <f aca="false">Sens!$H$3691+Sens!$H$3758</f>
        <v>942.279857350364</v>
      </c>
      <c r="I3759" s="38" t="n">
        <f aca="false">Sens!$I$3691+Sens!$I$3758</f>
        <v>1068.80284981042</v>
      </c>
      <c r="J3759" s="38" t="n">
        <f aca="false">Sens!$J$3691+Sens!$J$3758</f>
        <v>1189.90935093863</v>
      </c>
      <c r="K3759" s="38" t="n">
        <f aca="false">Sens!$K$3691+Sens!$K$3758</f>
        <v>1296.06215690385</v>
      </c>
      <c r="L3759" s="38" t="n">
        <f aca="false">Sens!$L$3691+Sens!$L$3758</f>
        <v>1395.17379585473</v>
      </c>
      <c r="M3759" s="38" t="n">
        <f aca="false">Sens!$M$3691+Sens!$M$3758</f>
        <v>1487.60414389864</v>
      </c>
      <c r="N3759" s="38" t="n">
        <f aca="false">Q!$N$8</f>
        <v>323.369</v>
      </c>
      <c r="O3759" s="38" t="n">
        <f aca="false">Q!$O$8</f>
        <v>393.555</v>
      </c>
    </row>
    <row r="3760" customFormat="false" ht="17.15" hidden="false" customHeight="false" outlineLevel="0" collapsed="false">
      <c r="A3760" s="24" t="s">
        <v>697</v>
      </c>
      <c r="B3760" s="25" t="s">
        <v>86</v>
      </c>
      <c r="C3760" s="41" t="n">
        <f aca="false">Sens!$C$3691-(Sens!$C$3693+Sens!$C$3694)</f>
        <v>0</v>
      </c>
      <c r="D3760" s="41" t="n">
        <f aca="false">Sens!$D$3691-(Sens!$D$3693+Sens!$D$3694)</f>
        <v>0</v>
      </c>
      <c r="E3760" s="41" t="n">
        <f aca="false">Sens!$E$3691-(Sens!$E$3693+Sens!$E$3694)</f>
        <v>0</v>
      </c>
      <c r="F3760" s="41" t="n">
        <f aca="false">Sens!$F$3691-(Sens!$F$3693+Sens!$F$3694)</f>
        <v>0</v>
      </c>
      <c r="G3760" s="41" t="n">
        <f aca="false">Sens!$G$3691-(Sens!$G$3693+Sens!$G$3694)</f>
        <v>0</v>
      </c>
      <c r="H3760" s="41" t="n">
        <f aca="false">Sens!$H$3691-(Sens!$H$3693+Sens!$H$3694)</f>
        <v>0</v>
      </c>
      <c r="I3760" s="41" t="n">
        <f aca="false">Sens!$I$3691-(Sens!$I$3693+Sens!$I$3694)</f>
        <v>0</v>
      </c>
      <c r="J3760" s="41" t="n">
        <f aca="false">Sens!$J$3691-(Sens!$J$3693+Sens!$J$3694)</f>
        <v>0</v>
      </c>
      <c r="K3760" s="41" t="n">
        <f aca="false">Sens!$K$3691-(Sens!$K$3693+Sens!$K$3694)</f>
        <v>0</v>
      </c>
      <c r="L3760" s="41" t="n">
        <f aca="false">Sens!$L$3691-(Sens!$L$3693+Sens!$L$3694)</f>
        <v>0</v>
      </c>
      <c r="M3760" s="41" t="n">
        <f aca="false">Sens!$M$3691-(Sens!$M$3693+Sens!$M$3694)</f>
        <v>0</v>
      </c>
      <c r="N3760" s="41" t="n">
        <f aca="false">Sens!$N$3691-(Sens!$N$3693+Sens!$N$3694)</f>
        <v>0</v>
      </c>
      <c r="O3760" s="41" t="n">
        <f aca="false">Sens!$O$3691-(Sens!$O$3693+Sens!$O$3694)</f>
        <v>0</v>
      </c>
    </row>
    <row r="3761" customFormat="false" ht="17.15" hidden="false" customHeight="false" outlineLevel="0" collapsed="false">
      <c r="A3761" s="24" t="s">
        <v>698</v>
      </c>
      <c r="B3761" s="25" t="s">
        <v>86</v>
      </c>
      <c r="C3761" s="41" t="n">
        <f aca="false">Sens!$C$3756+Sens!$C$3757-Sens!$C$3758</f>
        <v>0</v>
      </c>
      <c r="D3761" s="41" t="n">
        <f aca="false">Sens!$D$3756+Sens!$D$3757-Sens!$D$3758</f>
        <v>0</v>
      </c>
      <c r="E3761" s="41" t="n">
        <f aca="false">Sens!$E$3756+Sens!$E$3757-Sens!$E$3758</f>
        <v>0</v>
      </c>
      <c r="F3761" s="41" t="n">
        <f aca="false">Sens!$F$3756+Sens!$F$3757-Sens!$F$3758</f>
        <v>0</v>
      </c>
      <c r="G3761" s="41" t="n">
        <f aca="false">Sens!$G$3756+Sens!$G$3757-Sens!$G$3758</f>
        <v>0</v>
      </c>
      <c r="H3761" s="41" t="n">
        <f aca="false">Sens!$H$3756+Sens!$H$3757-Sens!$H$3758</f>
        <v>0</v>
      </c>
      <c r="I3761" s="41" t="n">
        <f aca="false">Sens!$I$3756+Sens!$I$3757-Sens!$I$3758</f>
        <v>0</v>
      </c>
      <c r="J3761" s="41" t="n">
        <f aca="false">Sens!$J$3756+Sens!$J$3757-Sens!$J$3758</f>
        <v>0</v>
      </c>
      <c r="K3761" s="41" t="n">
        <f aca="false">Sens!$K$3756+Sens!$K$3757-Sens!$K$3758</f>
        <v>0</v>
      </c>
      <c r="L3761" s="41" t="n">
        <f aca="false">Sens!$L$3756+Sens!$L$3757-Sens!$L$3758</f>
        <v>0</v>
      </c>
      <c r="M3761" s="41" t="n">
        <f aca="false">Sens!$M$3756+Sens!$M$3757-Sens!$M$3758</f>
        <v>0</v>
      </c>
      <c r="N3761" s="41" t="n">
        <f aca="false">Sens!$N$3756+Sens!$N$3757-Sens!$N$3758</f>
        <v>0</v>
      </c>
      <c r="O3761" s="41" t="n">
        <f aca="false">Sens!$O$3756+Sens!$O$3757-Sens!$O$3758</f>
        <v>0</v>
      </c>
    </row>
    <row r="3762" customFormat="false" ht="17.15" hidden="false" customHeight="false" outlineLevel="0" collapsed="false">
      <c r="A3762" s="24" t="s">
        <v>699</v>
      </c>
      <c r="B3762" s="25" t="s">
        <v>86</v>
      </c>
      <c r="C3762" s="41" t="n">
        <f aca="false">Sens!$C$3693+Sens!$C$3694+Sens!$C$3758-Sens!$C$3759</f>
        <v>0</v>
      </c>
      <c r="D3762" s="41" t="n">
        <f aca="false">Sens!$D$3693+Sens!$D$3694+Sens!$D$3758-Sens!$D$3759</f>
        <v>0</v>
      </c>
      <c r="E3762" s="41" t="n">
        <f aca="false">Sens!$E$3693+Sens!$E$3694+Sens!$E$3758-Sens!$E$3759</f>
        <v>0</v>
      </c>
      <c r="F3762" s="41" t="n">
        <f aca="false">Sens!$F$3693+Sens!$F$3694+Sens!$F$3758-Sens!$F$3759</f>
        <v>0</v>
      </c>
      <c r="G3762" s="41" t="n">
        <f aca="false">Sens!$G$3693+Sens!$G$3694+Sens!$G$3758-Sens!$G$3759</f>
        <v>0</v>
      </c>
      <c r="H3762" s="41" t="n">
        <f aca="false">Sens!$H$3693+Sens!$H$3694+Sens!$H$3758-Sens!$H$3759</f>
        <v>0</v>
      </c>
      <c r="I3762" s="41" t="n">
        <f aca="false">Sens!$I$3693+Sens!$I$3694+Sens!$I$3758-Sens!$I$3759</f>
        <v>0</v>
      </c>
      <c r="J3762" s="41" t="n">
        <f aca="false">Sens!$J$3693+Sens!$J$3694+Sens!$J$3758-Sens!$J$3759</f>
        <v>0</v>
      </c>
      <c r="K3762" s="41" t="n">
        <f aca="false">Sens!$K$3693+Sens!$K$3694+Sens!$K$3758-Sens!$K$3759</f>
        <v>0</v>
      </c>
      <c r="L3762" s="41" t="n">
        <f aca="false">Sens!$L$3693+Sens!$L$3694+Sens!$L$3758-Sens!$L$3759</f>
        <v>0</v>
      </c>
      <c r="M3762" s="41" t="n">
        <f aca="false">Sens!$M$3693+Sens!$M$3694+Sens!$M$3758-Sens!$M$3759</f>
        <v>0</v>
      </c>
      <c r="N3762" s="41" t="n">
        <f aca="false">Sens!$N$3693+Sens!$N$3694+Sens!$N$3758-Sens!$N$3759</f>
        <v>0</v>
      </c>
      <c r="O3762" s="41" t="n">
        <f aca="false">Sens!$O$3693+Sens!$O$3694+Sens!$O$3758-Sens!$O$3759</f>
        <v>0</v>
      </c>
    </row>
    <row r="3763" customFormat="false" ht="15" hidden="false" customHeight="false" outlineLevel="0" collapsed="false">
      <c r="A3763" s="5" t="s">
        <v>693</v>
      </c>
      <c r="B3763" s="0" t="s">
        <v>52</v>
      </c>
      <c r="G3763" s="13" t="n">
        <f aca="false">Sens!$G$3759/Sens!$D$3759-1</f>
        <v>0.140854504918937</v>
      </c>
      <c r="H3763" s="13" t="n">
        <f aca="false">Sens!$H$3759/Sens!$G$3759-1</f>
        <v>0.152063789793209</v>
      </c>
      <c r="I3763" s="13" t="n">
        <f aca="false">Sens!$I$3759/Sens!$H$3759-1</f>
        <v>0.134273264437417</v>
      </c>
      <c r="J3763" s="13" t="n">
        <f aca="false">Sens!$J$3759/Sens!$I$3759-1</f>
        <v>0.113310421234083</v>
      </c>
      <c r="K3763" s="13" t="n">
        <f aca="false">Sens!$K$3759/Sens!$J$3759-1</f>
        <v>0.0892108343223652</v>
      </c>
      <c r="L3763" s="13" t="n">
        <f aca="false">Sens!$L$3759/Sens!$K$3759-1</f>
        <v>0.076471362444261</v>
      </c>
      <c r="M3763" s="13" t="n">
        <f aca="false">Sens!$M$3759/Sens!$L$3759-1</f>
        <v>0.066250060256672</v>
      </c>
    </row>
    <row r="3764" customFormat="false" ht="17.15" hidden="false" customHeight="false" outlineLevel="0" collapsed="false">
      <c r="A3764" s="0" t="s">
        <v>694</v>
      </c>
      <c r="B3764" s="0" t="s">
        <v>52</v>
      </c>
      <c r="C3764" s="13" t="n">
        <f aca="false">Sens!$C$3758/Sens!$C$3759</f>
        <v>0.168593906504964</v>
      </c>
      <c r="D3764" s="13" t="n">
        <f aca="false">Sens!$D$3758/Sens!$D$3759</f>
        <v>0.179551807444025</v>
      </c>
      <c r="E3764" s="13" t="n">
        <f aca="false">Sens!$E$3758/Sens!$E$3759</f>
        <v>0.208881910369643</v>
      </c>
      <c r="F3764" s="13" t="n">
        <f aca="false">Sens!$F$3758/Sens!$F$3759</f>
        <v>0.199028269699356</v>
      </c>
      <c r="G3764" s="13" t="n">
        <f aca="false">Sens!$G$3758/Sens!$G$3759</f>
        <v>0.203631882529968</v>
      </c>
      <c r="H3764" s="13" t="n">
        <f aca="false">Sens!$H$3758/Sens!$H$3759</f>
        <v>0.234731715958496</v>
      </c>
      <c r="I3764" s="13" t="n">
        <f aca="false">Sens!$I$3758/Sens!$I$3759</f>
        <v>0.262231204480418</v>
      </c>
      <c r="J3764" s="13" t="n">
        <f aca="false">Sens!$J$3758/Sens!$J$3759</f>
        <v>0.284728366013706</v>
      </c>
      <c r="K3764" s="13" t="n">
        <f aca="false">Sens!$K$3758/Sens!$K$3759</f>
        <v>0.300823304959505</v>
      </c>
      <c r="L3764" s="13" t="n">
        <f aca="false">Sens!$L$3758/Sens!$L$3759</f>
        <v>0.308263164529735</v>
      </c>
      <c r="M3764" s="13" t="n">
        <f aca="false">Sens!$M$3758/Sens!$M$3759</f>
        <v>0.308856517936036</v>
      </c>
      <c r="N3764" s="13" t="n">
        <f aca="false">Sens!$N$3758/Sens!$N$3759</f>
        <v>0.185979484737251</v>
      </c>
      <c r="O3764" s="13" t="n">
        <f aca="false">Sens!$O$3758/Sens!$O$3759</f>
        <v>0.174270432341096</v>
      </c>
    </row>
    <row r="3765" customFormat="false" ht="17.15" hidden="false" customHeight="false" outlineLevel="0" collapsed="false">
      <c r="A3765" s="0" t="s">
        <v>695</v>
      </c>
      <c r="B3765" s="0" t="s">
        <v>52</v>
      </c>
      <c r="C3765" s="13" t="n">
        <f aca="false">Sens!$C$3756/Sens!$C$3758</f>
        <v>0.0215795060896058</v>
      </c>
      <c r="D3765" s="13" t="n">
        <f aca="false">Sens!$D$3756/Sens!$D$3758</f>
        <v>0.0676152269462122</v>
      </c>
      <c r="E3765" s="13" t="n">
        <f aca="false">Sens!$E$3756/Sens!$E$3758</f>
        <v>0.106620641395783</v>
      </c>
      <c r="F3765" s="13" t="n">
        <f aca="false">Sens!$F$3756/Sens!$F$3758</f>
        <v>0.172523487401099</v>
      </c>
      <c r="G3765" s="13" t="n">
        <f aca="false">Sens!$G$3756/Sens!$G$3758</f>
        <v>0.140939911795589</v>
      </c>
      <c r="H3765" s="13" t="n">
        <f aca="false">Sens!$H$3756/Sens!$H$3758</f>
        <v>0.272018642937714</v>
      </c>
      <c r="I3765" s="13" t="n">
        <f aca="false">Sens!$I$3756/Sens!$I$3758</f>
        <v>0.362159512436497</v>
      </c>
      <c r="J3765" s="13" t="n">
        <f aca="false">Sens!$J$3756/Sens!$J$3758</f>
        <v>0.422151735934609</v>
      </c>
      <c r="K3765" s="13" t="n">
        <f aca="false">Sens!$K$3756/Sens!$K$3758</f>
        <v>0.45769342068485</v>
      </c>
      <c r="L3765" s="13" t="n">
        <f aca="false">Sens!$L$3756/Sens!$L$3758</f>
        <v>0.469047103913472</v>
      </c>
      <c r="M3765" s="13" t="n">
        <f aca="false">Sens!$M$3756/Sens!$M$3758</f>
        <v>0.463233328258093</v>
      </c>
      <c r="N3765" s="13" t="n">
        <f aca="false">Sens!$N$3756/Sens!$N$3758</f>
        <v>0.0506537999838362</v>
      </c>
      <c r="O3765" s="13" t="n">
        <f aca="false">Sens!$O$3756/Sens!$O$3758</f>
        <v>0.0824881615167056</v>
      </c>
    </row>
    <row r="3768" customFormat="false" ht="19.4" hidden="false" customHeight="false" outlineLevel="0" collapsed="false">
      <c r="A3768" s="31" t="s">
        <v>1204</v>
      </c>
    </row>
    <row r="3769" customFormat="false" ht="17.15" hidden="false" customHeight="false" outlineLevel="0" collapsed="false">
      <c r="A3769" s="6" t="s">
        <v>16</v>
      </c>
      <c r="B3769" s="6" t="s">
        <v>17</v>
      </c>
      <c r="C3769" s="20" t="s">
        <v>494</v>
      </c>
      <c r="D3769" s="20" t="s">
        <v>495</v>
      </c>
      <c r="E3769" s="20" t="s">
        <v>577</v>
      </c>
      <c r="F3769" s="20" t="s">
        <v>578</v>
      </c>
      <c r="G3769" s="20" t="s">
        <v>579</v>
      </c>
      <c r="H3769" s="20" t="s">
        <v>580</v>
      </c>
      <c r="I3769" s="20" t="s">
        <v>581</v>
      </c>
      <c r="J3769" s="20" t="s">
        <v>582</v>
      </c>
      <c r="K3769" s="20" t="s">
        <v>583</v>
      </c>
      <c r="L3769" s="20" t="s">
        <v>584</v>
      </c>
      <c r="M3769" s="20" t="s">
        <v>585</v>
      </c>
      <c r="N3769" s="20" t="s">
        <v>586</v>
      </c>
      <c r="O3769" s="20" t="s">
        <v>587</v>
      </c>
      <c r="P3769" s="6" t="s">
        <v>23</v>
      </c>
      <c r="R3769" s="20" t="n">
        <v>2023</v>
      </c>
      <c r="S3769" s="20" t="n">
        <v>2024</v>
      </c>
      <c r="T3769" s="20" t="n">
        <v>2025</v>
      </c>
      <c r="U3769" s="20" t="n">
        <v>2026</v>
      </c>
      <c r="V3769" s="20" t="n">
        <v>2027</v>
      </c>
      <c r="W3769" s="20" t="n">
        <v>2028</v>
      </c>
      <c r="X3769" s="20" t="n">
        <v>2029</v>
      </c>
      <c r="Y3769" s="20" t="n">
        <v>2030</v>
      </c>
      <c r="Z3769" s="20" t="n">
        <v>2031</v>
      </c>
      <c r="AA3769" s="20" t="n">
        <v>2032</v>
      </c>
    </row>
    <row r="3770" customFormat="false" ht="17.15" hidden="false" customHeight="false" outlineLevel="0" collapsed="false">
      <c r="A3770" s="1" t="s">
        <v>710</v>
      </c>
    </row>
    <row r="3771" customFormat="false" ht="15" hidden="false" customHeight="false" outlineLevel="0" collapsed="false">
      <c r="A3771" s="0" t="s">
        <v>516</v>
      </c>
      <c r="B3771" s="0" t="s">
        <v>86</v>
      </c>
      <c r="C3771" s="38" t="n">
        <f aca="false">Sens!$C$3678</f>
        <v>247.029</v>
      </c>
      <c r="D3771" s="38" t="n">
        <f aca="false">Sens!$D$3678</f>
        <v>269.287</v>
      </c>
      <c r="E3771" s="38" t="n">
        <f aca="false">Sens!$E$3678</f>
        <v>134.686</v>
      </c>
      <c r="F3771" s="38" t="n">
        <f aca="false">Sens!$F$3678</f>
        <v>158.293876822267</v>
      </c>
      <c r="G3771" s="38" t="n">
        <f aca="false">Sens!$G$3678</f>
        <v>292.979876822267</v>
      </c>
      <c r="H3771" s="38" t="n">
        <f aca="false">Sens!$H$3678</f>
        <v>318.184543087396</v>
      </c>
      <c r="I3771" s="38" t="n">
        <f aca="false">Sens!$I$3678</f>
        <v>341.736278761793</v>
      </c>
      <c r="J3771" s="38" t="n">
        <f aca="false">Sens!$J$3678</f>
        <v>362.927192787048</v>
      </c>
      <c r="K3771" s="38" t="n">
        <f aca="false">Sens!$K$3678</f>
        <v>381.0735524264</v>
      </c>
      <c r="L3771" s="38" t="n">
        <f aca="false">Sens!$L$3678</f>
        <v>400.12723004772</v>
      </c>
      <c r="M3771" s="38" t="n">
        <f aca="false">Sens!$M$3678</f>
        <v>420.133591550106</v>
      </c>
      <c r="N3771" s="38" t="n">
        <f aca="false">Sens!$N$3678</f>
        <v>118.892</v>
      </c>
      <c r="O3771" s="38" t="n">
        <f aca="false">Sens!$O$3678</f>
        <v>150.395</v>
      </c>
    </row>
    <row r="3772" customFormat="false" ht="15" hidden="false" customHeight="false" outlineLevel="0" collapsed="false">
      <c r="A3772" s="0" t="s">
        <v>517</v>
      </c>
      <c r="B3772" s="0" t="s">
        <v>86</v>
      </c>
      <c r="C3772" s="38" t="n">
        <f aca="false">Sens!$C$3680</f>
        <v>21.215</v>
      </c>
      <c r="D3772" s="38" t="n">
        <f aca="false">Sens!$D$3680</f>
        <v>22.561</v>
      </c>
      <c r="E3772" s="38" t="n">
        <f aca="false">Sens!$E$3680</f>
        <v>11.579</v>
      </c>
      <c r="F3772" s="38" t="n">
        <f aca="false">Sens!$F$3680</f>
        <v>11.5938724610325</v>
      </c>
      <c r="G3772" s="38" t="n">
        <f aca="false">Sens!$G$3680</f>
        <v>23.1728724610325</v>
      </c>
      <c r="H3772" s="38" t="n">
        <f aca="false">Sens!$H$3680</f>
        <v>24.353392759506</v>
      </c>
      <c r="I3772" s="38" t="n">
        <f aca="false">Sens!$I$3680</f>
        <v>25.4240338872015</v>
      </c>
      <c r="J3772" s="38" t="n">
        <f aca="false">Sens!$J$3680</f>
        <v>26.3642491017174</v>
      </c>
      <c r="K3772" s="38" t="n">
        <f aca="false">Sens!$K$3680</f>
        <v>27.155176574769</v>
      </c>
      <c r="L3772" s="38" t="n">
        <f aca="false">Sens!$L$3680</f>
        <v>27.969831872012</v>
      </c>
      <c r="M3772" s="38" t="n">
        <f aca="false">Sens!$M$3680</f>
        <v>28.8089268281724</v>
      </c>
      <c r="N3772" s="38" t="n">
        <f aca="false">Sens!$N$3680</f>
        <v>11.128</v>
      </c>
      <c r="O3772" s="38" t="n">
        <f aca="false">Sens!$O$3680</f>
        <v>11.433</v>
      </c>
    </row>
    <row r="3773" customFormat="false" ht="15" hidden="false" customHeight="false" outlineLevel="0" collapsed="false">
      <c r="A3773" s="0" t="s">
        <v>518</v>
      </c>
      <c r="B3773" s="0" t="s">
        <v>86</v>
      </c>
      <c r="C3773" s="38" t="n">
        <f aca="false">Sens!$C$3682</f>
        <v>156.146</v>
      </c>
      <c r="D3773" s="38" t="n">
        <f aca="false">Sens!$D$3682</f>
        <v>172.162</v>
      </c>
      <c r="E3773" s="38" t="n">
        <f aca="false">Sens!$E$3682</f>
        <v>88.358</v>
      </c>
      <c r="F3773" s="38" t="n">
        <f aca="false">Sens!$F$3682</f>
        <v>102.004388260171</v>
      </c>
      <c r="G3773" s="38" t="n">
        <f aca="false">Sens!$G$3682</f>
        <v>190.362388260171</v>
      </c>
      <c r="H3773" s="38" t="n">
        <f aca="false">Sens!$H$3682</f>
        <v>210.343106588311</v>
      </c>
      <c r="I3773" s="38" t="n">
        <f aca="false">Sens!$I$3682</f>
        <v>229.969728494648</v>
      </c>
      <c r="J3773" s="38" t="n">
        <f aca="false">Sens!$J$3682</f>
        <v>248.747636972598</v>
      </c>
      <c r="K3773" s="38" t="n">
        <f aca="false">Sens!$K$3682</f>
        <v>266.15997156068</v>
      </c>
      <c r="L3773" s="38" t="n">
        <f aca="false">Sens!$L$3682</f>
        <v>284.791169569927</v>
      </c>
      <c r="M3773" s="38" t="n">
        <f aca="false">Sens!$M$3682</f>
        <v>304.726551439822</v>
      </c>
      <c r="N3773" s="38" t="n">
        <f aca="false">Sens!$N$3682</f>
        <v>76.86</v>
      </c>
      <c r="O3773" s="38" t="n">
        <f aca="false">Sens!$O$3682</f>
        <v>95.302</v>
      </c>
    </row>
    <row r="3774" customFormat="false" ht="15" hidden="false" customHeight="false" outlineLevel="0" collapsed="false">
      <c r="A3774" s="0" t="s">
        <v>519</v>
      </c>
      <c r="B3774" s="0" t="s">
        <v>86</v>
      </c>
      <c r="C3774" s="38" t="n">
        <f aca="false">Sens!$C$3684</f>
        <v>56.214</v>
      </c>
      <c r="D3774" s="38" t="n">
        <f aca="false">Sens!$D$3684</f>
        <v>68.635</v>
      </c>
      <c r="E3774" s="38" t="n">
        <f aca="false">Sens!$E$3684</f>
        <v>37.052</v>
      </c>
      <c r="F3774" s="38" t="n">
        <f aca="false">Sens!$F$3684</f>
        <v>46.1572219944148</v>
      </c>
      <c r="G3774" s="38" t="n">
        <f aca="false">Sens!$G$3684</f>
        <v>83.2092219944148</v>
      </c>
      <c r="H3774" s="38" t="n">
        <f aca="false">Sens!$H$3684</f>
        <v>99.8969223878976</v>
      </c>
      <c r="I3774" s="38" t="n">
        <f aca="false">Sens!$I$3684</f>
        <v>116.583111095496</v>
      </c>
      <c r="J3774" s="38" t="n">
        <f aca="false">Sens!$J$3684</f>
        <v>132.148941941952</v>
      </c>
      <c r="K3774" s="38" t="n">
        <f aca="false">Sens!$K$3684</f>
        <v>145.363836136147</v>
      </c>
      <c r="L3774" s="38" t="n">
        <f aca="false">Sens!$L$3684</f>
        <v>159.900219749762</v>
      </c>
      <c r="M3774" s="38" t="n">
        <f aca="false">Sens!$M$3684</f>
        <v>175.890241724738</v>
      </c>
      <c r="N3774" s="38" t="n">
        <f aca="false">Sens!$N$3684</f>
        <v>29.615</v>
      </c>
      <c r="O3774" s="38" t="n">
        <f aca="false">Sens!$O$3684</f>
        <v>39.02</v>
      </c>
    </row>
    <row r="3775" customFormat="false" ht="15" hidden="false" customHeight="false" outlineLevel="0" collapsed="false">
      <c r="A3775" s="0" t="s">
        <v>520</v>
      </c>
      <c r="B3775" s="0" t="s">
        <v>86</v>
      </c>
      <c r="C3775" s="38" t="n">
        <f aca="false">Sens!$C$3686</f>
        <v>44.374</v>
      </c>
      <c r="D3775" s="38" t="n">
        <f aca="false">Sens!$D$3686</f>
        <v>49.619</v>
      </c>
      <c r="E3775" s="38" t="n">
        <f aca="false">Sens!$E$3686</f>
        <v>27.157</v>
      </c>
      <c r="F3775" s="38" t="n">
        <f aca="false">Sens!$F$3686</f>
        <v>27.7764165988154</v>
      </c>
      <c r="G3775" s="38" t="n">
        <f aca="false">Sens!$G$3686</f>
        <v>54.9334165988154</v>
      </c>
      <c r="H3775" s="38" t="n">
        <f aca="false">Sens!$H$3686</f>
        <v>61.1564112561829</v>
      </c>
      <c r="I3775" s="38" t="n">
        <f aca="false">Sens!$I$3686</f>
        <v>67.2020282103945</v>
      </c>
      <c r="J3775" s="38" t="n">
        <f aca="false">Sens!$J$3686</f>
        <v>72.8757274028885</v>
      </c>
      <c r="K3775" s="38" t="n">
        <f aca="false">Sens!$K$3686</f>
        <v>77.9770283210907</v>
      </c>
      <c r="L3775" s="38" t="n">
        <f aca="false">Sens!$L$3686</f>
        <v>83.4354203035671</v>
      </c>
      <c r="M3775" s="38" t="n">
        <f aca="false">Sens!$M$3686</f>
        <v>89.2758997248168</v>
      </c>
      <c r="N3775" s="38" t="n">
        <f aca="false">Sens!$N$3686</f>
        <v>23.923</v>
      </c>
      <c r="O3775" s="38" t="n">
        <f aca="false">Sens!$O$3686</f>
        <v>25.696</v>
      </c>
    </row>
    <row r="3776" customFormat="false" ht="15" hidden="false" customHeight="false" outlineLevel="0" collapsed="false">
      <c r="A3776" s="0" t="s">
        <v>521</v>
      </c>
      <c r="B3776" s="0" t="s">
        <v>86</v>
      </c>
      <c r="C3776" s="38" t="n">
        <f aca="false">Sens!$C$3688</f>
        <v>5.425</v>
      </c>
      <c r="D3776" s="38" t="n">
        <f aca="false">Sens!$D$3688</f>
        <v>5.935</v>
      </c>
      <c r="E3776" s="38" t="n">
        <f aca="false">Sens!$E$3688</f>
        <v>3.474</v>
      </c>
      <c r="F3776" s="38" t="n">
        <f aca="false">Sens!$F$3688</f>
        <v>3.22246550883619</v>
      </c>
      <c r="G3776" s="38" t="n">
        <f aca="false">Sens!$G$3688</f>
        <v>6.69646550883619</v>
      </c>
      <c r="H3776" s="38" t="n">
        <f aca="false">Sens!$H$3688</f>
        <v>7.16251344209196</v>
      </c>
      <c r="I3776" s="38" t="n">
        <f aca="false">Sens!$I$3688</f>
        <v>7.61421070299826</v>
      </c>
      <c r="J3776" s="38" t="n">
        <f aca="false">Sens!$J$3688</f>
        <v>8.04465753523932</v>
      </c>
      <c r="K3776" s="38" t="n">
        <f aca="false">Sens!$K$3688</f>
        <v>8.44689041200128</v>
      </c>
      <c r="L3776" s="38" t="n">
        <f aca="false">Sens!$L$3688</f>
        <v>8.86923493260135</v>
      </c>
      <c r="M3776" s="38" t="n">
        <f aca="false">Sens!$M$3688</f>
        <v>9.31269667923142</v>
      </c>
      <c r="N3776" s="38" t="n">
        <f aca="false">Sens!$N$3688</f>
        <v>2.811</v>
      </c>
      <c r="O3776" s="38" t="n">
        <f aca="false">Sens!$O$3688</f>
        <v>3.124</v>
      </c>
    </row>
    <row r="3777" customFormat="false" ht="17.15" hidden="false" customHeight="false" outlineLevel="0" collapsed="false">
      <c r="A3777" s="0" t="s">
        <v>711</v>
      </c>
      <c r="B3777" s="0" t="s">
        <v>86</v>
      </c>
      <c r="C3777" s="38" t="n">
        <f aca="false">Sens!$C$3758</f>
        <v>107.556</v>
      </c>
      <c r="D3777" s="38" t="n">
        <f aca="false">Sens!$D$3758</f>
        <v>128.725</v>
      </c>
      <c r="E3777" s="38" t="n">
        <f aca="false">Sens!$E$3758</f>
        <v>79.819</v>
      </c>
      <c r="F3777" s="38" t="n">
        <f aca="false">Sens!$F$3758</f>
        <v>86.7327334389669</v>
      </c>
      <c r="G3777" s="38" t="n">
        <f aca="false">Sens!$G$3758</f>
        <v>166.551733438967</v>
      </c>
      <c r="H3777" s="38" t="n">
        <f aca="false">Sens!$H$3758</f>
        <v>221.182967828978</v>
      </c>
      <c r="I3777" s="38" t="n">
        <f aca="false">Sens!$I$3758</f>
        <v>280.27345865789</v>
      </c>
      <c r="J3777" s="38" t="n">
        <f aca="false">Sens!$J$3758</f>
        <v>338.800945197185</v>
      </c>
      <c r="K3777" s="38" t="n">
        <f aca="false">Sens!$K$3758</f>
        <v>389.88570147276</v>
      </c>
      <c r="L3777" s="38" t="n">
        <f aca="false">Sens!$L$3758</f>
        <v>430.080689379143</v>
      </c>
      <c r="M3777" s="38" t="n">
        <f aca="false">Sens!$M$3758</f>
        <v>459.456235951751</v>
      </c>
      <c r="N3777" s="38" t="n">
        <f aca="false">Sens!$N$3758</f>
        <v>60.14</v>
      </c>
      <c r="O3777" s="38" t="n">
        <f aca="false">Sens!$O$3758</f>
        <v>68.585</v>
      </c>
    </row>
    <row r="3778" customFormat="false" ht="15" hidden="false" customHeight="false" outlineLevel="0" collapsed="false">
      <c r="A3778" s="1" t="s">
        <v>509</v>
      </c>
      <c r="B3778" s="8" t="s">
        <v>86</v>
      </c>
      <c r="C3778" s="38" t="n">
        <f aca="false">Sens!$C$3693</f>
        <v>387.497</v>
      </c>
      <c r="D3778" s="38" t="n">
        <f aca="false">Sens!$D$3693</f>
        <v>426.305</v>
      </c>
      <c r="E3778" s="38" t="n">
        <f aca="false">Sens!$E$3693</f>
        <v>220.32</v>
      </c>
      <c r="F3778" s="38" t="n">
        <f aca="false">Sens!$F$3693</f>
        <v>250.639773480586</v>
      </c>
      <c r="G3778" s="38" t="n">
        <f aca="false">Sens!$G$3693</f>
        <v>470.959773480586</v>
      </c>
      <c r="H3778" s="38" t="n">
        <f aca="false">Sens!$H$3693</f>
        <v>521.386990416437</v>
      </c>
      <c r="I3778" s="38" t="n">
        <f aca="false">Sens!$I$3693</f>
        <v>570.143862887555</v>
      </c>
      <c r="J3778" s="38" t="n">
        <f aca="false">Sens!$J$3693</f>
        <v>615.391435791933</v>
      </c>
      <c r="K3778" s="38" t="n">
        <f aca="false">Sens!$K$3693</f>
        <v>655.208227561543</v>
      </c>
      <c r="L3778" s="38" t="n">
        <f aca="false">Sens!$L$3693</f>
        <v>697.807739249767</v>
      </c>
      <c r="M3778" s="38" t="n">
        <f aca="false">Sens!$M$3693</f>
        <v>743.399328463592</v>
      </c>
      <c r="N3778" s="38" t="n">
        <f aca="false">Sens!$N$3693</f>
        <v>192.955</v>
      </c>
      <c r="O3778" s="38" t="n">
        <f aca="false">Sens!$O$3693</f>
        <v>233.35</v>
      </c>
    </row>
    <row r="3779" customFormat="false" ht="15" hidden="false" customHeight="false" outlineLevel="0" collapsed="false">
      <c r="A3779" s="1" t="s">
        <v>512</v>
      </c>
      <c r="B3779" s="8" t="s">
        <v>86</v>
      </c>
      <c r="C3779" s="38" t="n">
        <f aca="false">Sens!$C$3694</f>
        <v>142.906</v>
      </c>
      <c r="D3779" s="38" t="n">
        <f aca="false">Sens!$D$3694</f>
        <v>161.894</v>
      </c>
      <c r="E3779" s="38" t="n">
        <f aca="false">Sens!$E$3694</f>
        <v>81.986</v>
      </c>
      <c r="F3779" s="38" t="n">
        <f aca="false">Sens!$F$3694</f>
        <v>98.408468164951</v>
      </c>
      <c r="G3779" s="38" t="n">
        <f aca="false">Sens!$G$3694</f>
        <v>180.394468164951</v>
      </c>
      <c r="H3779" s="38" t="n">
        <f aca="false">Sens!$H$3694</f>
        <v>199.709899104949</v>
      </c>
      <c r="I3779" s="38" t="n">
        <f aca="false">Sens!$I$3694</f>
        <v>218.385528264976</v>
      </c>
      <c r="J3779" s="38" t="n">
        <f aca="false">Sens!$J$3694</f>
        <v>235.71696994951</v>
      </c>
      <c r="K3779" s="38" t="n">
        <f aca="false">Sens!$K$3694</f>
        <v>250.968227869545</v>
      </c>
      <c r="L3779" s="38" t="n">
        <f aca="false">Sens!$L$3694</f>
        <v>267.285367225822</v>
      </c>
      <c r="M3779" s="38" t="n">
        <f aca="false">Sens!$M$3694</f>
        <v>284.748579483295</v>
      </c>
      <c r="N3779" s="38" t="n">
        <f aca="false">Sens!$N$3694</f>
        <v>70.274</v>
      </c>
      <c r="O3779" s="38" t="n">
        <f aca="false">Sens!$O$3694</f>
        <v>91.62</v>
      </c>
    </row>
    <row r="3780" customFormat="false" ht="15" hidden="false" customHeight="false" outlineLevel="0" collapsed="false">
      <c r="A3780" s="1" t="s">
        <v>513</v>
      </c>
      <c r="B3780" s="8" t="s">
        <v>86</v>
      </c>
      <c r="C3780" s="38" t="n">
        <f aca="false">Sens!$C$3758</f>
        <v>107.556</v>
      </c>
      <c r="D3780" s="38" t="n">
        <f aca="false">Sens!$D$3758</f>
        <v>128.725</v>
      </c>
      <c r="E3780" s="38" t="n">
        <f aca="false">Sens!$E$3758</f>
        <v>79.819</v>
      </c>
      <c r="F3780" s="38" t="n">
        <f aca="false">Sens!$F$3758</f>
        <v>86.7327334389669</v>
      </c>
      <c r="G3780" s="38" t="n">
        <f aca="false">Sens!$G$3758</f>
        <v>166.551733438967</v>
      </c>
      <c r="H3780" s="38" t="n">
        <f aca="false">Sens!$H$3758</f>
        <v>221.182967828978</v>
      </c>
      <c r="I3780" s="38" t="n">
        <f aca="false">Sens!$I$3758</f>
        <v>280.27345865789</v>
      </c>
      <c r="J3780" s="38" t="n">
        <f aca="false">Sens!$J$3758</f>
        <v>338.800945197185</v>
      </c>
      <c r="K3780" s="38" t="n">
        <f aca="false">Sens!$K$3758</f>
        <v>389.88570147276</v>
      </c>
      <c r="L3780" s="38" t="n">
        <f aca="false">Sens!$L$3758</f>
        <v>430.080689379143</v>
      </c>
      <c r="M3780" s="38" t="n">
        <f aca="false">Sens!$M$3758</f>
        <v>459.456235951751</v>
      </c>
      <c r="N3780" s="38" t="n">
        <f aca="false">Sens!$N$3758</f>
        <v>60.14</v>
      </c>
      <c r="O3780" s="38" t="n">
        <f aca="false">Sens!$O$3758</f>
        <v>68.585</v>
      </c>
    </row>
    <row r="3781" customFormat="false" ht="17.15" hidden="false" customHeight="false" outlineLevel="0" collapsed="false">
      <c r="A3781" s="0" t="s">
        <v>685</v>
      </c>
      <c r="B3781" s="0" t="s">
        <v>86</v>
      </c>
      <c r="C3781" s="38" t="n">
        <f aca="false">Sens!$C$3756</f>
        <v>2.32100535697364</v>
      </c>
      <c r="D3781" s="38" t="n">
        <f aca="false">Sens!$D$3756</f>
        <v>8.70377008865116</v>
      </c>
      <c r="E3781" s="38" t="n">
        <f aca="false">Sens!$E$3756</f>
        <v>8.51035297557002</v>
      </c>
      <c r="F3781" s="38" t="n">
        <f aca="false">Sens!$F$3756</f>
        <v>14.9634336447205</v>
      </c>
      <c r="G3781" s="38" t="n">
        <f aca="false">Sens!$G$3756</f>
        <v>23.4737866202905</v>
      </c>
      <c r="H3781" s="38" t="n">
        <f aca="false">Sens!$H$3756</f>
        <v>60.1658907497746</v>
      </c>
      <c r="I3781" s="38" t="n">
        <f aca="false">Sens!$I$3756</f>
        <v>101.503699136432</v>
      </c>
      <c r="J3781" s="38" t="n">
        <f aca="false">Sens!$J$3756</f>
        <v>143.025407151278</v>
      </c>
      <c r="K3781" s="38" t="n">
        <f aca="false">Sens!$K$3756</f>
        <v>178.44812038318</v>
      </c>
      <c r="L3781" s="38" t="n">
        <f aca="false">Sens!$L$3756</f>
        <v>201.728101802396</v>
      </c>
      <c r="M3781" s="38" t="n">
        <f aca="false">Sens!$M$3756</f>
        <v>212.835441368865</v>
      </c>
      <c r="N3781" s="38" t="n">
        <f aca="false">Sens!$N$3756</f>
        <v>3.04631953102791</v>
      </c>
      <c r="O3781" s="38" t="n">
        <f aca="false">Sens!$O$3756</f>
        <v>5.65745055762326</v>
      </c>
    </row>
    <row r="3782" customFormat="false" ht="17.15" hidden="false" customHeight="false" outlineLevel="0" collapsed="false">
      <c r="A3782" s="0" t="s">
        <v>687</v>
      </c>
      <c r="B3782" s="0" t="s">
        <v>86</v>
      </c>
      <c r="C3782" s="38" t="n">
        <f aca="false">Sens!$C$3757</f>
        <v>105.234994643026</v>
      </c>
      <c r="D3782" s="38" t="n">
        <f aca="false">Sens!$D$3757</f>
        <v>120.021229911349</v>
      </c>
      <c r="E3782" s="38" t="n">
        <f aca="false">Sens!$E$3757</f>
        <v>71.30864702443</v>
      </c>
      <c r="F3782" s="38" t="n">
        <f aca="false">Sens!$F$3757</f>
        <v>71.7692997942464</v>
      </c>
      <c r="G3782" s="38" t="n">
        <f aca="false">Sens!$G$3757</f>
        <v>143.077946818676</v>
      </c>
      <c r="H3782" s="38" t="n">
        <f aca="false">Sens!$H$3757</f>
        <v>161.017077079203</v>
      </c>
      <c r="I3782" s="38" t="n">
        <f aca="false">Sens!$I$3757</f>
        <v>178.769759521457</v>
      </c>
      <c r="J3782" s="38" t="n">
        <f aca="false">Sens!$J$3757</f>
        <v>195.775538045907</v>
      </c>
      <c r="K3782" s="38" t="n">
        <f aca="false">Sens!$K$3757</f>
        <v>211.43758108958</v>
      </c>
      <c r="L3782" s="38" t="n">
        <f aca="false">Sens!$L$3757</f>
        <v>228.352587576746</v>
      </c>
      <c r="M3782" s="38" t="n">
        <f aca="false">Sens!$M$3757</f>
        <v>246.620794582886</v>
      </c>
      <c r="N3782" s="38" t="n">
        <f aca="false">Sens!$N$3757</f>
        <v>57.0936804689721</v>
      </c>
      <c r="O3782" s="38" t="n">
        <f aca="false">Sens!$O$3757</f>
        <v>62.9275494423768</v>
      </c>
    </row>
    <row r="3783" customFormat="false" ht="15" hidden="false" customHeight="false" outlineLevel="0" collapsed="false">
      <c r="A3783" s="3" t="s">
        <v>514</v>
      </c>
      <c r="B3783" s="8" t="s">
        <v>86</v>
      </c>
      <c r="C3783" s="38" t="n">
        <f aca="false">Sens!$C$3759</f>
        <v>637.959</v>
      </c>
      <c r="D3783" s="38" t="n">
        <f aca="false">Sens!$D$3759</f>
        <v>716.924</v>
      </c>
      <c r="E3783" s="38" t="n">
        <f aca="false">Sens!$E$3759</f>
        <v>382.125</v>
      </c>
      <c r="F3783" s="38" t="n">
        <f aca="false">Sens!$F$3759</f>
        <v>435.780975084504</v>
      </c>
      <c r="G3783" s="38" t="n">
        <f aca="false">Sens!$G$3759</f>
        <v>817.905975084504</v>
      </c>
      <c r="H3783" s="38" t="n">
        <f aca="false">Sens!$H$3759</f>
        <v>942.279857350364</v>
      </c>
      <c r="I3783" s="38" t="n">
        <f aca="false">Sens!$I$3759</f>
        <v>1068.80284981042</v>
      </c>
      <c r="J3783" s="38" t="n">
        <f aca="false">Sens!$J$3759</f>
        <v>1189.90935093863</v>
      </c>
      <c r="K3783" s="38" t="n">
        <f aca="false">Sens!$K$3759</f>
        <v>1296.06215690385</v>
      </c>
      <c r="L3783" s="38" t="n">
        <f aca="false">Sens!$L$3759</f>
        <v>1395.17379585473</v>
      </c>
      <c r="M3783" s="38" t="n">
        <f aca="false">Sens!$M$3759</f>
        <v>1487.60414389864</v>
      </c>
      <c r="N3783" s="38" t="n">
        <f aca="false">Sens!$N$3759</f>
        <v>323.369</v>
      </c>
      <c r="O3783" s="38" t="n">
        <f aca="false">Sens!$O$3759</f>
        <v>393.555</v>
      </c>
    </row>
    <row r="3784" customFormat="false" ht="17.15" hidden="false" customHeight="false" outlineLevel="0" collapsed="false">
      <c r="A3784" s="24" t="s">
        <v>697</v>
      </c>
      <c r="B3784" s="25" t="s">
        <v>86</v>
      </c>
      <c r="C3784" s="41" t="n">
        <f aca="false">Sens!$C$3771+Sens!$C$3772+Sens!$C$3773+Sens!$C$3774+Sens!$C$3775+Sens!$C$3776-(Sens!$C$3778+Sens!$C$3779)</f>
        <v>0</v>
      </c>
      <c r="D3784" s="41" t="n">
        <f aca="false">Sens!$D$3771+Sens!$D$3772+Sens!$D$3773+Sens!$D$3774+Sens!$D$3775+Sens!$D$3776-(Sens!$D$3778+Sens!$D$3779)</f>
        <v>0</v>
      </c>
      <c r="E3784" s="41" t="n">
        <f aca="false">Sens!$E$3771+Sens!$E$3772+Sens!$E$3773+Sens!$E$3774+Sens!$E$3775+Sens!$E$3776-(Sens!$E$3778+Sens!$E$3779)</f>
        <v>0</v>
      </c>
      <c r="F3784" s="41" t="n">
        <f aca="false">Sens!$F$3771+Sens!$F$3772+Sens!$F$3773+Sens!$F$3774+Sens!$F$3775+Sens!$F$3776-(Sens!$F$3778+Sens!$F$3779)</f>
        <v>0</v>
      </c>
      <c r="G3784" s="41" t="n">
        <f aca="false">Sens!$G$3771+Sens!$G$3772+Sens!$G$3773+Sens!$G$3774+Sens!$G$3775+Sens!$G$3776-(Sens!$G$3778+Sens!$G$3779)</f>
        <v>0</v>
      </c>
      <c r="H3784" s="41" t="n">
        <f aca="false">Sens!$H$3771+Sens!$H$3772+Sens!$H$3773+Sens!$H$3774+Sens!$H$3775+Sens!$H$3776-(Sens!$H$3778+Sens!$H$3779)</f>
        <v>0</v>
      </c>
      <c r="I3784" s="41" t="n">
        <f aca="false">Sens!$I$3771+Sens!$I$3772+Sens!$I$3773+Sens!$I$3774+Sens!$I$3775+Sens!$I$3776-(Sens!$I$3778+Sens!$I$3779)</f>
        <v>0</v>
      </c>
      <c r="J3784" s="41" t="n">
        <f aca="false">Sens!$J$3771+Sens!$J$3772+Sens!$J$3773+Sens!$J$3774+Sens!$J$3775+Sens!$J$3776-(Sens!$J$3778+Sens!$J$3779)</f>
        <v>0</v>
      </c>
      <c r="K3784" s="41" t="n">
        <f aca="false">Sens!$K$3771+Sens!$K$3772+Sens!$K$3773+Sens!$K$3774+Sens!$K$3775+Sens!$K$3776-(Sens!$K$3778+Sens!$K$3779)</f>
        <v>0</v>
      </c>
      <c r="L3784" s="41" t="n">
        <f aca="false">Sens!$L$3771+Sens!$L$3772+Sens!$L$3773+Sens!$L$3774+Sens!$L$3775+Sens!$L$3776-(Sens!$L$3778+Sens!$L$3779)</f>
        <v>0</v>
      </c>
      <c r="M3784" s="41" t="n">
        <f aca="false">Sens!$M$3771+Sens!$M$3772+Sens!$M$3773+Sens!$M$3774+Sens!$M$3775+Sens!$M$3776-(Sens!$M$3778+Sens!$M$3779)</f>
        <v>0</v>
      </c>
      <c r="N3784" s="41" t="n">
        <f aca="false">Sens!$N$3771+Sens!$N$3772+Sens!$N$3773+Sens!$N$3774+Sens!$N$3775+Sens!$N$3776-(Sens!$N$3778+Sens!$N$3779)</f>
        <v>0</v>
      </c>
      <c r="O3784" s="41" t="n">
        <f aca="false">Sens!$O$3771+Sens!$O$3772+Sens!$O$3773+Sens!$O$3774+Sens!$O$3775+Sens!$O$3776-(Sens!$O$3778+Sens!$O$3779)</f>
        <v>0</v>
      </c>
    </row>
    <row r="3785" customFormat="false" ht="17.15" hidden="false" customHeight="false" outlineLevel="0" collapsed="false">
      <c r="A3785" s="24" t="s">
        <v>698</v>
      </c>
      <c r="B3785" s="25" t="s">
        <v>86</v>
      </c>
      <c r="C3785" s="41" t="n">
        <f aca="false">Sens!$C$3781+Sens!$C$3782-Sens!$C$3780</f>
        <v>0</v>
      </c>
      <c r="D3785" s="41" t="n">
        <f aca="false">Sens!$D$3781+Sens!$D$3782-Sens!$D$3780</f>
        <v>0</v>
      </c>
      <c r="E3785" s="41" t="n">
        <f aca="false">Sens!$E$3781+Sens!$E$3782-Sens!$E$3780</f>
        <v>0</v>
      </c>
      <c r="F3785" s="41" t="n">
        <f aca="false">Sens!$F$3781+Sens!$F$3782-Sens!$F$3780</f>
        <v>0</v>
      </c>
      <c r="G3785" s="41" t="n">
        <f aca="false">Sens!$G$3781+Sens!$G$3782-Sens!$G$3780</f>
        <v>0</v>
      </c>
      <c r="H3785" s="41" t="n">
        <f aca="false">Sens!$H$3781+Sens!$H$3782-Sens!$H$3780</f>
        <v>0</v>
      </c>
      <c r="I3785" s="41" t="n">
        <f aca="false">Sens!$I$3781+Sens!$I$3782-Sens!$I$3780</f>
        <v>0</v>
      </c>
      <c r="J3785" s="41" t="n">
        <f aca="false">Sens!$J$3781+Sens!$J$3782-Sens!$J$3780</f>
        <v>0</v>
      </c>
      <c r="K3785" s="41" t="n">
        <f aca="false">Sens!$K$3781+Sens!$K$3782-Sens!$K$3780</f>
        <v>0</v>
      </c>
      <c r="L3785" s="41" t="n">
        <f aca="false">Sens!$L$3781+Sens!$L$3782-Sens!$L$3780</f>
        <v>0</v>
      </c>
      <c r="M3785" s="41" t="n">
        <f aca="false">Sens!$M$3781+Sens!$M$3782-Sens!$M$3780</f>
        <v>0</v>
      </c>
      <c r="N3785" s="41" t="n">
        <f aca="false">Sens!$N$3781+Sens!$N$3782-Sens!$N$3780</f>
        <v>0</v>
      </c>
      <c r="O3785" s="41" t="n">
        <f aca="false">Sens!$O$3781+Sens!$O$3782-Sens!$O$3780</f>
        <v>0</v>
      </c>
    </row>
    <row r="3786" customFormat="false" ht="17.15" hidden="false" customHeight="false" outlineLevel="0" collapsed="false">
      <c r="A3786" s="24" t="s">
        <v>757</v>
      </c>
      <c r="B3786" s="25" t="s">
        <v>86</v>
      </c>
      <c r="C3786" s="41" t="n">
        <f aca="false">Sens!$C$3771+Sens!$C$3772+Sens!$C$3773+Sens!$C$3774+Sens!$C$3775+Sens!$C$3776+Sens!$C$3777-Sens!$C$3783</f>
        <v>0</v>
      </c>
      <c r="D3786" s="41" t="n">
        <f aca="false">Sens!$D$3771+Sens!$D$3772+Sens!$D$3773+Sens!$D$3774+Sens!$D$3775+Sens!$D$3776+Sens!$D$3777-Sens!$D$3783</f>
        <v>0</v>
      </c>
      <c r="E3786" s="41" t="n">
        <f aca="false">Sens!$E$3771+Sens!$E$3772+Sens!$E$3773+Sens!$E$3774+Sens!$E$3775+Sens!$E$3776+Sens!$E$3777-Sens!$E$3783</f>
        <v>0</v>
      </c>
      <c r="F3786" s="41" t="n">
        <f aca="false">Sens!$F$3771+Sens!$F$3772+Sens!$F$3773+Sens!$F$3774+Sens!$F$3775+Sens!$F$3776+Sens!$F$3777-Sens!$F$3783</f>
        <v>0</v>
      </c>
      <c r="G3786" s="41" t="n">
        <f aca="false">Sens!$G$3771+Sens!$G$3772+Sens!$G$3773+Sens!$G$3774+Sens!$G$3775+Sens!$G$3776+Sens!$G$3777-Sens!$G$3783</f>
        <v>0</v>
      </c>
      <c r="H3786" s="41" t="n">
        <f aca="false">Sens!$H$3771+Sens!$H$3772+Sens!$H$3773+Sens!$H$3774+Sens!$H$3775+Sens!$H$3776+Sens!$H$3777-Sens!$H$3783</f>
        <v>0</v>
      </c>
      <c r="I3786" s="41" t="n">
        <f aca="false">Sens!$I$3771+Sens!$I$3772+Sens!$I$3773+Sens!$I$3774+Sens!$I$3775+Sens!$I$3776+Sens!$I$3777-Sens!$I$3783</f>
        <v>0</v>
      </c>
      <c r="J3786" s="41" t="n">
        <f aca="false">Sens!$J$3771+Sens!$J$3772+Sens!$J$3773+Sens!$J$3774+Sens!$J$3775+Sens!$J$3776+Sens!$J$3777-Sens!$J$3783</f>
        <v>0</v>
      </c>
      <c r="K3786" s="41" t="n">
        <f aca="false">Sens!$K$3771+Sens!$K$3772+Sens!$K$3773+Sens!$K$3774+Sens!$K$3775+Sens!$K$3776+Sens!$K$3777-Sens!$K$3783</f>
        <v>0</v>
      </c>
      <c r="L3786" s="41" t="n">
        <f aca="false">Sens!$L$3771+Sens!$L$3772+Sens!$L$3773+Sens!$L$3774+Sens!$L$3775+Sens!$L$3776+Sens!$L$3777-Sens!$L$3783</f>
        <v>0</v>
      </c>
      <c r="M3786" s="41" t="n">
        <f aca="false">Sens!$M$3771+Sens!$M$3772+Sens!$M$3773+Sens!$M$3774+Sens!$M$3775+Sens!$M$3776+Sens!$M$3777-Sens!$M$3783</f>
        <v>0</v>
      </c>
      <c r="N3786" s="41" t="n">
        <f aca="false">Sens!$N$3771+Sens!$N$3772+Sens!$N$3773+Sens!$N$3774+Sens!$N$3775+Sens!$N$3776+Sens!$N$3777-Sens!$N$3783</f>
        <v>0</v>
      </c>
      <c r="O3786" s="41" t="n">
        <f aca="false">Sens!$O$3771+Sens!$O$3772+Sens!$O$3773+Sens!$O$3774+Sens!$O$3775+Sens!$O$3776+Sens!$O$3777-Sens!$O$3783</f>
        <v>0</v>
      </c>
    </row>
    <row r="3787" customFormat="false" ht="17.15" hidden="false" customHeight="false" outlineLevel="0" collapsed="false">
      <c r="A3787" s="24" t="s">
        <v>699</v>
      </c>
      <c r="B3787" s="25" t="s">
        <v>86</v>
      </c>
      <c r="C3787" s="41" t="n">
        <f aca="false">Sens!$C$3778+Sens!$C$3779+Sens!$C$3780-Sens!$C$3783</f>
        <v>0</v>
      </c>
      <c r="D3787" s="41" t="n">
        <f aca="false">Sens!$D$3778+Sens!$D$3779+Sens!$D$3780-Sens!$D$3783</f>
        <v>0</v>
      </c>
      <c r="E3787" s="41" t="n">
        <f aca="false">Sens!$E$3778+Sens!$E$3779+Sens!$E$3780-Sens!$E$3783</f>
        <v>0</v>
      </c>
      <c r="F3787" s="41" t="n">
        <f aca="false">Sens!$F$3778+Sens!$F$3779+Sens!$F$3780-Sens!$F$3783</f>
        <v>0</v>
      </c>
      <c r="G3787" s="41" t="n">
        <f aca="false">Sens!$G$3778+Sens!$G$3779+Sens!$G$3780-Sens!$G$3783</f>
        <v>0</v>
      </c>
      <c r="H3787" s="41" t="n">
        <f aca="false">Sens!$H$3778+Sens!$H$3779+Sens!$H$3780-Sens!$H$3783</f>
        <v>0</v>
      </c>
      <c r="I3787" s="41" t="n">
        <f aca="false">Sens!$I$3778+Sens!$I$3779+Sens!$I$3780-Sens!$I$3783</f>
        <v>0</v>
      </c>
      <c r="J3787" s="41" t="n">
        <f aca="false">Sens!$J$3778+Sens!$J$3779+Sens!$J$3780-Sens!$J$3783</f>
        <v>0</v>
      </c>
      <c r="K3787" s="41" t="n">
        <f aca="false">Sens!$K$3778+Sens!$K$3779+Sens!$K$3780-Sens!$K$3783</f>
        <v>0</v>
      </c>
      <c r="L3787" s="41" t="n">
        <f aca="false">Sens!$L$3778+Sens!$L$3779+Sens!$L$3780-Sens!$L$3783</f>
        <v>0</v>
      </c>
      <c r="M3787" s="41" t="n">
        <f aca="false">Sens!$M$3778+Sens!$M$3779+Sens!$M$3780-Sens!$M$3783</f>
        <v>0</v>
      </c>
      <c r="N3787" s="41" t="n">
        <f aca="false">Sens!$N$3778+Sens!$N$3779+Sens!$N$3780-Sens!$N$3783</f>
        <v>0</v>
      </c>
      <c r="O3787" s="41" t="n">
        <f aca="false">Sens!$O$3778+Sens!$O$3779+Sens!$O$3780-Sens!$O$3783</f>
        <v>0</v>
      </c>
    </row>
    <row r="3788" customFormat="false" ht="17.15" hidden="false" customHeight="false" outlineLevel="0" collapsed="false">
      <c r="A3788" s="1" t="s">
        <v>713</v>
      </c>
    </row>
    <row r="3789" customFormat="false" ht="17.15" hidden="false" customHeight="false" outlineLevel="0" collapsed="false">
      <c r="A3789" s="0" t="s">
        <v>714</v>
      </c>
      <c r="B3789" s="0" t="s">
        <v>86</v>
      </c>
      <c r="C3789" s="38" t="n">
        <f aca="false">Sens!$C$3695*m_ad_hi</f>
        <v>24.6409877297074</v>
      </c>
      <c r="D3789" s="38" t="n">
        <f aca="false">Sens!$D$3695*m_ad_hi</f>
        <v>29.8464740759505</v>
      </c>
      <c r="E3789" s="38" t="n">
        <f aca="false">Sens!$E$3695*m_ad_hi</f>
        <v>16.2020534954649</v>
      </c>
      <c r="F3789" s="38" t="n">
        <f aca="false">Sens!$F$3695*m_ad_hi</f>
        <v>19.8863668998308</v>
      </c>
      <c r="G3789" s="38" t="n">
        <f aca="false">Sens!$G$3695*m_ad_hi</f>
        <v>36.0985103064498</v>
      </c>
      <c r="H3789" s="38" t="n">
        <f aca="false">Sens!$H$3695*m_ad_hi</f>
        <v>43.3381059931577</v>
      </c>
      <c r="I3789" s="38" t="n">
        <f aca="false">Sens!$I$3695*m_ad_hi</f>
        <v>50.5770458678395</v>
      </c>
      <c r="J3789" s="38" t="n">
        <f aca="false">Sens!$J$3695*m_ad_hi</f>
        <v>57.3299428637632</v>
      </c>
      <c r="K3789" s="38" t="n">
        <f aca="false">Sens!$K$3695*m_ad_hi</f>
        <v>63.0629371501395</v>
      </c>
      <c r="L3789" s="38" t="n">
        <f aca="false">Sens!$L$3695*m_ad_hi</f>
        <v>69.3692308651534</v>
      </c>
      <c r="M3789" s="38" t="n">
        <f aca="false">Sens!$M$3695*m_ad_hi</f>
        <v>76.3061539516688</v>
      </c>
      <c r="N3789" s="38" t="n">
        <f aca="false">Sens!$N$3695*m_ad_hi</f>
        <v>13.0252266847498</v>
      </c>
      <c r="O3789" s="38" t="n">
        <f aca="false">Sens!$O$3695*m_ad_hi</f>
        <v>16.8113678185679</v>
      </c>
    </row>
    <row r="3790" customFormat="false" ht="17.15" hidden="false" customHeight="false" outlineLevel="0" collapsed="false">
      <c r="A3790" s="0" t="s">
        <v>715</v>
      </c>
      <c r="B3790" s="0" t="s">
        <v>86</v>
      </c>
      <c r="C3790" s="38" t="n">
        <f aca="false">Sens!$C$3693-Sens!$C$3695</f>
        <v>346.428687117154</v>
      </c>
      <c r="D3790" s="38" t="n">
        <f aca="false">Sens!$D$3693-Sens!$D$3695</f>
        <v>376.560876540083</v>
      </c>
      <c r="E3790" s="38" t="n">
        <f aca="false">Sens!$E$3693-Sens!$E$3695</f>
        <v>193.316577507559</v>
      </c>
      <c r="F3790" s="38" t="n">
        <f aca="false">Sens!$F$3693-Sens!$F$3695</f>
        <v>217.495828647535</v>
      </c>
      <c r="G3790" s="38" t="n">
        <f aca="false">Sens!$G$3693-Sens!$G$3695</f>
        <v>410.795589636503</v>
      </c>
      <c r="H3790" s="38" t="n">
        <f aca="false">Sens!$H$3693-Sens!$H$3695</f>
        <v>449.156813761174</v>
      </c>
      <c r="I3790" s="38" t="n">
        <f aca="false">Sens!$I$3693-Sens!$I$3695</f>
        <v>485.848786441156</v>
      </c>
      <c r="J3790" s="38" t="n">
        <f aca="false">Sens!$J$3693-Sens!$J$3695</f>
        <v>519.841531018994</v>
      </c>
      <c r="K3790" s="38" t="n">
        <f aca="false">Sens!$K$3693-Sens!$K$3695</f>
        <v>550.103332311311</v>
      </c>
      <c r="L3790" s="38" t="n">
        <f aca="false">Sens!$L$3693-Sens!$L$3695</f>
        <v>582.192354474511</v>
      </c>
      <c r="M3790" s="38" t="n">
        <f aca="false">Sens!$M$3693-Sens!$M$3695</f>
        <v>616.22240521081</v>
      </c>
      <c r="N3790" s="38" t="n">
        <f aca="false">Sens!$N$3693-Sens!$N$3695</f>
        <v>171.24628885875</v>
      </c>
      <c r="O3790" s="38" t="n">
        <f aca="false">Sens!$O$3693-Sens!$O$3695</f>
        <v>205.33105363572</v>
      </c>
    </row>
    <row r="3791" customFormat="false" ht="17.15" hidden="false" customHeight="false" outlineLevel="0" collapsed="false">
      <c r="A3791" s="0" t="s">
        <v>716</v>
      </c>
      <c r="B3791" s="0" t="s">
        <v>86</v>
      </c>
      <c r="C3791" s="38" t="n">
        <f aca="false">Sens!$C$3742*Sens!$C$3692</f>
        <v>0.123617442257179</v>
      </c>
      <c r="D3791" s="38" t="n">
        <f aca="false">Sens!$D$3742*Sens!$D$3692</f>
        <v>0.874366899302609</v>
      </c>
      <c r="E3791" s="38" t="n">
        <f aca="false">Sens!$E$3742*Sens!$E$3692</f>
        <v>1.29318830502574</v>
      </c>
      <c r="F3791" s="38" t="n">
        <f aca="false">Sens!$F$3742*Sens!$F$3692</f>
        <v>1.51802024162534</v>
      </c>
      <c r="G3791" s="38" t="n">
        <f aca="false">Sens!$G$3742*Sens!$G$3692</f>
        <v>2.81153363597665</v>
      </c>
      <c r="H3791" s="38" t="n">
        <f aca="false">Sens!$H$3742*Sens!$H$3692</f>
        <v>7.39027704264226</v>
      </c>
      <c r="I3791" s="38" t="n">
        <f aca="false">Sens!$I$3742*Sens!$I$3692</f>
        <v>12.899807643047</v>
      </c>
      <c r="J3791" s="38" t="n">
        <f aca="false">Sens!$J$3742*Sens!$J$3692</f>
        <v>18.5585322471382</v>
      </c>
      <c r="K3791" s="38" t="n">
        <f aca="false">Sens!$K$3742*Sens!$K$3692</f>
        <v>24.0966749520672</v>
      </c>
      <c r="L3791" s="38" t="n">
        <f aca="false">Sens!$L$3742*Sens!$L$3692</f>
        <v>27.686623551477</v>
      </c>
      <c r="M3791" s="38" t="n">
        <f aca="false">Sens!$M$3742*Sens!$M$3692</f>
        <v>29.7238645537022</v>
      </c>
      <c r="N3791" s="38" t="n">
        <f aca="false">Sens!$N$3742*Sens!$N$3692</f>
        <v>0.389180508437431</v>
      </c>
      <c r="O3791" s="38" t="n">
        <f aca="false">Sens!$O$3742*Sens!$O$3692</f>
        <v>0.485052120082802</v>
      </c>
    </row>
    <row r="3792" customFormat="false" ht="17.15" hidden="false" customHeight="false" outlineLevel="0" collapsed="false">
      <c r="A3792" s="0" t="s">
        <v>717</v>
      </c>
      <c r="B3792" s="0" t="s">
        <v>52</v>
      </c>
      <c r="C3792" s="28" t="n">
        <f aca="false">(Sens!$C$3793-Sens!$C$3789+Sens!$C$3791)/Sens!$C$3790</f>
        <v>0.00129789976774559</v>
      </c>
      <c r="D3792" s="28" t="n">
        <f aca="false">(Sens!$D$3793-Sens!$D$3789+Sens!$D$3791)/Sens!$D$3790</f>
        <v>0.00171789706168073</v>
      </c>
      <c r="E3792" s="28" t="n">
        <f aca="false">(Sens!$E$3793-Sens!$E$3789+Sens!$E$3791)/Sens!$E$3790</f>
        <v>0.0128345682587096</v>
      </c>
      <c r="F3792" s="28" t="n">
        <f aca="false">Sens!$O$3792+(Sens!$E$3792-Sens!$N$3792)</f>
        <v>0.00830058867948629</v>
      </c>
      <c r="G3792" s="28" t="n">
        <f aca="false">(Sens!$G$3793-Sens!$G$3789+Sens!$G$3791)/Sens!$G$3790</f>
        <v>0.0104108065148017</v>
      </c>
      <c r="H3792" s="28" t="n">
        <f aca="false">Sens!$G$3792+step_na</f>
        <v>0.0134108065148017</v>
      </c>
      <c r="I3792" s="28" t="n">
        <f aca="false">Sens!$H$3792+step_na</f>
        <v>0.0164108065148017</v>
      </c>
      <c r="J3792" s="28" t="n">
        <f aca="false">Sens!$I$3792+step_na</f>
        <v>0.0194108065148017</v>
      </c>
      <c r="K3792" s="28" t="n">
        <f aca="false">Sens!$J$3792+step_na</f>
        <v>0.0224108065148017</v>
      </c>
      <c r="L3792" s="28" t="n">
        <f aca="false">Sens!$K$3792</f>
        <v>0.0224108065148017</v>
      </c>
      <c r="M3792" s="28" t="n">
        <f aca="false">Sens!$L$3792</f>
        <v>0.0224108065148017</v>
      </c>
      <c r="N3792" s="28" t="n">
        <f aca="false">(Sens!$N$3793-Sens!$N$3789+Sens!$N$3791)/Sens!$N$3790</f>
        <v>0.00421588011336783</v>
      </c>
      <c r="O3792" s="28" t="n">
        <f aca="false">(Sens!$O$3793-Sens!$O$3789+Sens!$O$3791)/Sens!$O$3790</f>
        <v>-0.000318099465855462</v>
      </c>
      <c r="P3792" s="8" t="s">
        <v>718</v>
      </c>
    </row>
    <row r="3793" customFormat="false" ht="17.15" hidden="false" customHeight="false" outlineLevel="0" collapsed="false">
      <c r="A3793" s="1" t="s">
        <v>719</v>
      </c>
      <c r="B3793" s="8" t="s">
        <v>86</v>
      </c>
      <c r="C3793" s="38" t="n">
        <f aca="false">Q!$D$22</f>
        <v>24.967</v>
      </c>
      <c r="D3793" s="38" t="n">
        <f aca="false">Q!$E$22</f>
        <v>29.619</v>
      </c>
      <c r="E3793" s="38" t="n">
        <f aca="false">Q!$P$22</f>
        <v>17.39</v>
      </c>
      <c r="F3793" s="38" t="n">
        <f aca="false">Sens!$F$3789+Sens!$F$3790*Sens!$F$3792-Sens!$F$3791</f>
        <v>20.1736900713127</v>
      </c>
      <c r="G3793" s="38" t="n">
        <f aca="false">Sens!$E$3793+Sens!$F$3793</f>
        <v>37.5636900713127</v>
      </c>
      <c r="H3793" s="38" t="n">
        <f aca="false">Sens!$H$3789+Sens!$H$3790*Sens!$H$3792-Sens!$H$3791</f>
        <v>41.9713840746714</v>
      </c>
      <c r="I3793" s="38" t="n">
        <f aca="false">Sens!$I$3789+Sens!$I$3790*Sens!$I$3792-Sens!$I$3791</f>
        <v>45.6504086545295</v>
      </c>
      <c r="J3793" s="38" t="n">
        <f aca="false">Sens!$J$3789+Sens!$J$3790*Sens!$J$3792-Sens!$J$3791</f>
        <v>48.861953993593</v>
      </c>
      <c r="K3793" s="38" t="n">
        <f aca="false">Sens!$K$3789+Sens!$K$3790*Sens!$K$3792-Sens!$K$3791</f>
        <v>51.2945215416487</v>
      </c>
      <c r="L3793" s="38" t="n">
        <f aca="false">Sens!$L$3789+Sens!$L$3790*Sens!$L$3792-Sens!$L$3791</f>
        <v>54.7300075242015</v>
      </c>
      <c r="M3793" s="38" t="n">
        <f aca="false">Sens!$M$3789+Sens!$M$3790*Sens!$M$3792-Sens!$M$3791</f>
        <v>60.3923304912317</v>
      </c>
      <c r="N3793" s="38" t="n">
        <f aca="false">Q!$N$22</f>
        <v>13.358</v>
      </c>
      <c r="O3793" s="38" t="n">
        <f aca="false">Q!$O$22</f>
        <v>16.261</v>
      </c>
    </row>
    <row r="3794" customFormat="false" ht="17.15" hidden="false" customHeight="false" outlineLevel="0" collapsed="false">
      <c r="A3794" s="0" t="s">
        <v>720</v>
      </c>
      <c r="B3794" s="0" t="s">
        <v>86</v>
      </c>
      <c r="C3794" s="38" t="n">
        <f aca="false">Sens!$C$3696*m_ad_hi</f>
        <v>9.08741227029259</v>
      </c>
      <c r="D3794" s="38" t="n">
        <f aca="false">Sens!$D$3696*m_ad_hi</f>
        <v>11.3345259240495</v>
      </c>
      <c r="E3794" s="38" t="n">
        <f aca="false">Sens!$E$3696*m_ad_hi</f>
        <v>6.02914650453514</v>
      </c>
      <c r="F3794" s="38" t="n">
        <f aca="false">Sens!$F$3696*m_ad_hi</f>
        <v>7.80796629681808</v>
      </c>
      <c r="G3794" s="38" t="n">
        <f aca="false">Sens!$G$3696*m_ad_hi</f>
        <v>13.827022890199</v>
      </c>
      <c r="H3794" s="38" t="n">
        <f aca="false">Sens!$H$3696*m_ad_hi</f>
        <v>16.6000474395808</v>
      </c>
      <c r="I3794" s="38" t="n">
        <f aca="false">Sens!$I$3696*m_ad_hi</f>
        <v>19.3728207894582</v>
      </c>
      <c r="J3794" s="38" t="n">
        <f aca="false">Sens!$J$3696*m_ad_hi</f>
        <v>21.9594223014079</v>
      </c>
      <c r="K3794" s="38" t="n">
        <f aca="false">Sens!$K$3696*m_ad_hi</f>
        <v>24.1553645315487</v>
      </c>
      <c r="L3794" s="38" t="n">
        <f aca="false">Sens!$L$3696*m_ad_hi</f>
        <v>26.5709009847036</v>
      </c>
      <c r="M3794" s="38" t="n">
        <f aca="false">Sens!$M$3696*m_ad_hi</f>
        <v>29.2279910831739</v>
      </c>
      <c r="N3794" s="38" t="n">
        <f aca="false">Sens!$N$3696*m_ad_hi</f>
        <v>4.74377331525022</v>
      </c>
      <c r="O3794" s="38" t="n">
        <f aca="false">Sens!$O$3696*m_ad_hi</f>
        <v>6.60063218143213</v>
      </c>
    </row>
    <row r="3795" customFormat="false" ht="17.15" hidden="false" customHeight="false" outlineLevel="0" collapsed="false">
      <c r="A3795" s="0" t="s">
        <v>721</v>
      </c>
      <c r="B3795" s="0" t="s">
        <v>86</v>
      </c>
      <c r="C3795" s="38" t="n">
        <f aca="false">Sens!$C$3694-Sens!$C$3696</f>
        <v>127.760312882846</v>
      </c>
      <c r="D3795" s="38" t="n">
        <f aca="false">Sens!$D$3694-Sens!$D$3696</f>
        <v>143.003123459917</v>
      </c>
      <c r="E3795" s="38" t="n">
        <f aca="false">Sens!$E$3694-Sens!$E$3696</f>
        <v>71.9374224924414</v>
      </c>
      <c r="F3795" s="38" t="n">
        <f aca="false">Sens!$F$3694-Sens!$F$3696</f>
        <v>85.3951910035875</v>
      </c>
      <c r="G3795" s="38" t="n">
        <f aca="false">Sens!$G$3694-Sens!$G$3696</f>
        <v>157.349430014619</v>
      </c>
      <c r="H3795" s="38" t="n">
        <f aca="false">Sens!$H$3694-Sens!$H$3696</f>
        <v>172.043153372315</v>
      </c>
      <c r="I3795" s="38" t="n">
        <f aca="false">Sens!$I$3694-Sens!$I$3696</f>
        <v>186.097493615879</v>
      </c>
      <c r="J3795" s="38" t="n">
        <f aca="false">Sens!$J$3694-Sens!$J$3696</f>
        <v>199.117932780497</v>
      </c>
      <c r="K3795" s="38" t="n">
        <f aca="false">Sens!$K$3694-Sens!$K$3696</f>
        <v>210.70928698363</v>
      </c>
      <c r="L3795" s="38" t="n">
        <f aca="false">Sens!$L$3694-Sens!$L$3696</f>
        <v>223.000532251316</v>
      </c>
      <c r="M3795" s="38" t="n">
        <f aca="false">Sens!$M$3694-Sens!$M$3696</f>
        <v>236.035261011339</v>
      </c>
      <c r="N3795" s="38" t="n">
        <f aca="false">Sens!$N$3694-Sens!$N$3696</f>
        <v>62.3677111412496</v>
      </c>
      <c r="O3795" s="38" t="n">
        <f aca="false">Sens!$O$3694-Sens!$O$3696</f>
        <v>80.6189463642798</v>
      </c>
    </row>
    <row r="3796" customFormat="false" ht="17.15" hidden="false" customHeight="false" outlineLevel="0" collapsed="false">
      <c r="A3796" s="0" t="s">
        <v>722</v>
      </c>
      <c r="B3796" s="0" t="s">
        <v>86</v>
      </c>
      <c r="C3796" s="38" t="n">
        <f aca="false">Sens!$C$3742*(1-Sens!$C$3692)</f>
        <v>0.0455891896019953</v>
      </c>
      <c r="D3796" s="38" t="n">
        <f aca="false">Sens!$D$3742*(1-Sens!$D$3692)</f>
        <v>0.332050421167231</v>
      </c>
      <c r="E3796" s="38" t="n">
        <f aca="false">Sens!$E$3742*(1-Sens!$E$3692)</f>
        <v>0.481224293644882</v>
      </c>
      <c r="F3796" s="38" t="n">
        <f aca="false">Sens!$F$3742*(1-Sens!$F$3692)</f>
        <v>0.596018918096053</v>
      </c>
      <c r="G3796" s="38" t="n">
        <f aca="false">Sens!$G$3742*(1-Sens!$G$3692)</f>
        <v>1.07691812241537</v>
      </c>
      <c r="H3796" s="38" t="n">
        <f aca="false">Sens!$H$3742*(1-Sens!$H$3692)</f>
        <v>2.83074090775622</v>
      </c>
      <c r="I3796" s="38" t="n">
        <f aca="false">Sens!$I$3742*(1-Sens!$I$3692)</f>
        <v>4.94108853926048</v>
      </c>
      <c r="J3796" s="38" t="n">
        <f aca="false">Sens!$J$3742*(1-Sens!$J$3692)</f>
        <v>7.10858281993502</v>
      </c>
      <c r="K3796" s="38" t="n">
        <f aca="false">Sens!$K$3742*(1-Sens!$K$3692)</f>
        <v>9.2298899126701</v>
      </c>
      <c r="L3796" s="38" t="n">
        <f aca="false">Sens!$L$3742*(1-Sens!$L$3692)</f>
        <v>10.6049688574045</v>
      </c>
      <c r="M3796" s="38" t="n">
        <f aca="false">Sens!$M$3742*(1-Sens!$M$3692)</f>
        <v>11.3853051574758</v>
      </c>
      <c r="N3796" s="38" t="n">
        <f aca="false">Sens!$N$3742*(1-Sens!$N$3692)</f>
        <v>0.141739115596548</v>
      </c>
      <c r="O3796" s="38" t="n">
        <f aca="false">Sens!$O$3742*(1-Sens!$O$3692)</f>
        <v>0.190445576353059</v>
      </c>
    </row>
    <row r="3797" customFormat="false" ht="17.15" hidden="false" customHeight="false" outlineLevel="0" collapsed="false">
      <c r="A3797" s="0" t="s">
        <v>723</v>
      </c>
      <c r="B3797" s="0" t="s">
        <v>52</v>
      </c>
      <c r="C3797" s="28" t="n">
        <f aca="false">(Sens!$C$3798-Sens!$C$3794+Sens!$C$3796)/Sens!$C$3795</f>
        <v>-0.0410911883528698</v>
      </c>
      <c r="D3797" s="28" t="n">
        <f aca="false">(Sens!$D$3798-Sens!$D$3794+Sens!$D$3796)/Sens!$D$3795</f>
        <v>-0.043722649908656</v>
      </c>
      <c r="E3797" s="28" t="n">
        <f aca="false">(Sens!$E$3798-Sens!$E$3794+Sens!$E$3796)/Sens!$E$3795</f>
        <v>-0.0334585550537782</v>
      </c>
      <c r="F3797" s="28" t="n">
        <f aca="false">Sens!$O$3797+(Sens!$E$3797-Sens!$N$3797)</f>
        <v>-0.0516705754164325</v>
      </c>
      <c r="G3797" s="28" t="n">
        <f aca="false">(Sens!$G$3798-Sens!$G$3794+Sens!$G$3796)/Sens!$G$3795</f>
        <v>-0.0432767760606474</v>
      </c>
      <c r="H3797" s="28" t="n">
        <f aca="false">Sens!$G$3797+step_in</f>
        <v>-0.0432767760606474</v>
      </c>
      <c r="I3797" s="28" t="n">
        <f aca="false">Sens!$H$3797+step_in</f>
        <v>-0.0432767760606474</v>
      </c>
      <c r="J3797" s="28" t="n">
        <f aca="false">Sens!$I$3797+step_in</f>
        <v>-0.0432767760606474</v>
      </c>
      <c r="K3797" s="28" t="n">
        <f aca="false">Sens!$J$3797+step_in</f>
        <v>-0.0432767760606474</v>
      </c>
      <c r="L3797" s="28" t="n">
        <f aca="false">Sens!$K$3797</f>
        <v>-0.0432767760606474</v>
      </c>
      <c r="M3797" s="28" t="n">
        <f aca="false">Sens!$L$3797</f>
        <v>-0.0432767760606474</v>
      </c>
      <c r="N3797" s="28" t="n">
        <f aca="false">(Sens!$N$3798-Sens!$N$3794+Sens!$N$3796)/Sens!$N$3795</f>
        <v>-0.0335275122557876</v>
      </c>
      <c r="O3797" s="28" t="n">
        <f aca="false">(Sens!$O$3798-Sens!$O$3794+Sens!$O$3796)/Sens!$O$3795</f>
        <v>-0.0517395326184419</v>
      </c>
      <c r="P3797" s="8" t="s">
        <v>718</v>
      </c>
    </row>
    <row r="3798" customFormat="false" ht="17.15" hidden="false" customHeight="false" outlineLevel="0" collapsed="false">
      <c r="A3798" s="1" t="s">
        <v>724</v>
      </c>
      <c r="B3798" s="8" t="s">
        <v>86</v>
      </c>
      <c r="C3798" s="38" t="n">
        <f aca="false">Q!$D$23</f>
        <v>3.792</v>
      </c>
      <c r="D3798" s="38" t="n">
        <f aca="false">Q!$E$23</f>
        <v>4.75</v>
      </c>
      <c r="E3798" s="38" t="n">
        <f aca="false">Q!$P$23</f>
        <v>3.141</v>
      </c>
      <c r="F3798" s="38" t="n">
        <f aca="false">Sens!$F$3794+Sens!$F$3795*Sens!$F$3797-Sens!$F$3796</f>
        <v>2.79952872177049</v>
      </c>
      <c r="G3798" s="38" t="n">
        <f aca="false">Sens!$E$3798+Sens!$F$3798</f>
        <v>5.94052872177049</v>
      </c>
      <c r="H3798" s="38" t="n">
        <f aca="false">Sens!$H$3794+Sens!$H$3795*Sens!$H$3797-Sens!$H$3796</f>
        <v>6.32383351056333</v>
      </c>
      <c r="I3798" s="38" t="n">
        <f aca="false">Sens!$I$3794+Sens!$I$3795*Sens!$I$3797-Sens!$I$3796</f>
        <v>6.3780326935356</v>
      </c>
      <c r="J3798" s="38" t="n">
        <f aca="false">Sens!$J$3794+Sens!$J$3795*Sens!$J$3797-Sens!$J$3796</f>
        <v>6.23365729487227</v>
      </c>
      <c r="K3798" s="38" t="n">
        <f aca="false">Sens!$K$3794+Sens!$K$3795*Sens!$K$3797-Sens!$K$3796</f>
        <v>5.80665599218934</v>
      </c>
      <c r="L3798" s="38" t="n">
        <f aca="false">Sens!$L$3794+Sens!$L$3795*Sens!$L$3797-Sens!$L$3796</f>
        <v>6.31518803165363</v>
      </c>
      <c r="M3798" s="38" t="n">
        <f aca="false">Sens!$M$3794+Sens!$M$3795*Sens!$M$3797-Sens!$M$3796</f>
        <v>7.62784079249393</v>
      </c>
      <c r="N3798" s="38" t="n">
        <f aca="false">Q!$N$23</f>
        <v>2.511</v>
      </c>
      <c r="O3798" s="38" t="n">
        <f aca="false">Q!$O$23</f>
        <v>2.239</v>
      </c>
    </row>
    <row r="3799" customFormat="false" ht="17.15" hidden="false" customHeight="false" outlineLevel="0" collapsed="false">
      <c r="A3799" s="0" t="s">
        <v>725</v>
      </c>
      <c r="B3799" s="0" t="s">
        <v>86</v>
      </c>
      <c r="C3799" s="38" t="n">
        <f aca="false">Sens!$C$3739</f>
        <v>1.64417882953695</v>
      </c>
      <c r="D3799" s="38" t="n">
        <f aca="false">Sens!$D$3739</f>
        <v>3.8781008067718</v>
      </c>
      <c r="E3799" s="38" t="n">
        <f aca="false">Sens!$E$3739</f>
        <v>1.41270258088753</v>
      </c>
      <c r="F3799" s="38" t="n">
        <f aca="false">Sens!$F$3739</f>
        <v>6.50727700583486</v>
      </c>
      <c r="G3799" s="38" t="n">
        <f aca="false">Sens!$G$3739</f>
        <v>7.9199795867224</v>
      </c>
      <c r="H3799" s="38" t="n">
        <f aca="false">Sens!$H$3739</f>
        <v>19.2818189481807</v>
      </c>
      <c r="I3799" s="38" t="n">
        <f aca="false">Sens!$I$3739</f>
        <v>30.140114407202</v>
      </c>
      <c r="J3799" s="38" t="n">
        <f aca="false">Sens!$J$3739</f>
        <v>40.3569468829854</v>
      </c>
      <c r="K3799" s="38" t="n">
        <f aca="false">Sens!$K$3739</f>
        <v>45.1418609242305</v>
      </c>
      <c r="L3799" s="38" t="n">
        <f aca="false">Sens!$L$3739</f>
        <v>48.5617321668703</v>
      </c>
      <c r="M3799" s="38" t="n">
        <f aca="false">Sens!$M$3739</f>
        <v>48.3987625241529</v>
      </c>
      <c r="N3799" s="38" t="n">
        <f aca="false">Sens!$N$3739</f>
        <v>0.92264103489199</v>
      </c>
      <c r="O3799" s="38" t="n">
        <f aca="false">Sens!$O$3739</f>
        <v>2.95545977187981</v>
      </c>
    </row>
    <row r="3800" customFormat="false" ht="17.15" hidden="false" customHeight="false" outlineLevel="0" collapsed="false">
      <c r="A3800" s="0" t="s">
        <v>643</v>
      </c>
      <c r="B3800" s="0" t="s">
        <v>86</v>
      </c>
      <c r="C3800" s="38" t="n">
        <f aca="false">Sens!$C$3744</f>
        <v>38.1898211704631</v>
      </c>
      <c r="D3800" s="38" t="n">
        <f aca="false">Sens!$D$3744</f>
        <v>41.7278991932282</v>
      </c>
      <c r="E3800" s="38" t="n">
        <f aca="false">Sens!$E$3744</f>
        <v>29.3692974191125</v>
      </c>
      <c r="F3800" s="38" t="n">
        <f aca="false">Sens!$F$3744</f>
        <v>26.8997276714137</v>
      </c>
      <c r="G3800" s="38" t="n">
        <f aca="false">Sens!$G$3744</f>
        <v>56.2690250905262</v>
      </c>
      <c r="H3800" s="38" t="n">
        <f aca="false">Sens!$H$3744</f>
        <v>60.3505333937343</v>
      </c>
      <c r="I3800" s="38" t="n">
        <f aca="false">Sens!$I$3744</f>
        <v>67.0043857303571</v>
      </c>
      <c r="J3800" s="38" t="n">
        <f aca="false">Sens!$J$3744</f>
        <v>73.3782922956925</v>
      </c>
      <c r="K3800" s="38" t="n">
        <f aca="false">Sens!$K$3744</f>
        <v>79.2485556793479</v>
      </c>
      <c r="L3800" s="38" t="n">
        <f aca="false">Sens!$L$3744</f>
        <v>85.5884401336958</v>
      </c>
      <c r="M3800" s="38" t="n">
        <f aca="false">Sens!$M$3744</f>
        <v>92.4355153443914</v>
      </c>
      <c r="N3800" s="38" t="n">
        <f aca="false">Sens!$N$3744</f>
        <v>20.784358965108</v>
      </c>
      <c r="O3800" s="38" t="n">
        <f aca="false">Sens!$O$3744</f>
        <v>20.9435402281202</v>
      </c>
    </row>
    <row r="3801" customFormat="false" ht="17.15" hidden="false" customHeight="false" outlineLevel="0" collapsed="false">
      <c r="A3801" s="1" t="s">
        <v>726</v>
      </c>
      <c r="B3801" s="8" t="s">
        <v>86</v>
      </c>
      <c r="C3801" s="38" t="n">
        <f aca="false">Q!$D$24</f>
        <v>39.834</v>
      </c>
      <c r="D3801" s="38" t="n">
        <f aca="false">Q!$E$24</f>
        <v>45.606</v>
      </c>
      <c r="E3801" s="38" t="n">
        <f aca="false">Q!$P$24</f>
        <v>30.782</v>
      </c>
      <c r="F3801" s="38" t="n">
        <f aca="false">Sens!$F$3799+Sens!$F$3800</f>
        <v>33.4070046772486</v>
      </c>
      <c r="G3801" s="38" t="n">
        <f aca="false">Sens!$G$3799+Sens!$G$3800</f>
        <v>64.1890046772486</v>
      </c>
      <c r="H3801" s="38" t="n">
        <f aca="false">Sens!$H$3799+Sens!$H$3800</f>
        <v>79.6323523419149</v>
      </c>
      <c r="I3801" s="38" t="n">
        <f aca="false">Sens!$I$3799+Sens!$I$3800</f>
        <v>97.1445001375591</v>
      </c>
      <c r="J3801" s="38" t="n">
        <f aca="false">Sens!$J$3799+Sens!$J$3800</f>
        <v>113.735239178678</v>
      </c>
      <c r="K3801" s="38" t="n">
        <f aca="false">Sens!$K$3799+Sens!$K$3800</f>
        <v>124.390416603578</v>
      </c>
      <c r="L3801" s="38" t="n">
        <f aca="false">Sens!$L$3799+Sens!$L$3800</f>
        <v>134.150172300566</v>
      </c>
      <c r="M3801" s="38" t="n">
        <f aca="false">Sens!$M$3799+Sens!$M$3800</f>
        <v>140.834277868544</v>
      </c>
      <c r="N3801" s="38" t="n">
        <f aca="false">Q!$N$24</f>
        <v>21.707</v>
      </c>
      <c r="O3801" s="38" t="n">
        <f aca="false">Q!$O$24</f>
        <v>23.899</v>
      </c>
    </row>
    <row r="3802" customFormat="false" ht="17.15" hidden="false" customHeight="false" outlineLevel="0" collapsed="false">
      <c r="A3802" s="5" t="s">
        <v>727</v>
      </c>
      <c r="B3802" s="0" t="s">
        <v>86</v>
      </c>
      <c r="C3802" s="38" t="n">
        <f aca="false">Q!$D$26</f>
        <v>0</v>
      </c>
      <c r="D3802" s="38" t="n">
        <f aca="false">Q!$E$26</f>
        <v>0</v>
      </c>
      <c r="E3802" s="38" t="n">
        <f aca="false">Q!$P$26</f>
        <v>0</v>
      </c>
      <c r="F3802" s="39" t="n">
        <v>0</v>
      </c>
      <c r="G3802" s="38" t="n">
        <f aca="false">Sens!$E$3802+Sens!$F$3802</f>
        <v>0</v>
      </c>
      <c r="H3802" s="39" t="n">
        <v>0</v>
      </c>
      <c r="I3802" s="39" t="n">
        <v>0</v>
      </c>
      <c r="J3802" s="39" t="n">
        <v>0</v>
      </c>
      <c r="K3802" s="39" t="n">
        <v>0</v>
      </c>
      <c r="L3802" s="39" t="n">
        <v>0</v>
      </c>
      <c r="M3802" s="39" t="n">
        <v>0</v>
      </c>
      <c r="N3802" s="38" t="n">
        <f aca="false">Q!$N$26</f>
        <v>0</v>
      </c>
      <c r="O3802" s="38" t="n">
        <f aca="false">Q!$O$26</f>
        <v>0</v>
      </c>
    </row>
    <row r="3803" customFormat="false" ht="15" hidden="false" customHeight="false" outlineLevel="0" collapsed="false">
      <c r="A3803" s="3" t="s">
        <v>531</v>
      </c>
      <c r="B3803" s="8" t="s">
        <v>86</v>
      </c>
      <c r="C3803" s="38" t="n">
        <f aca="false">Q!$D$25</f>
        <v>68.593</v>
      </c>
      <c r="D3803" s="38" t="n">
        <f aca="false">Q!$E$25</f>
        <v>79.975</v>
      </c>
      <c r="E3803" s="38" t="n">
        <f aca="false">Q!$P$25</f>
        <v>51.313</v>
      </c>
      <c r="F3803" s="38" t="n">
        <f aca="false">Sens!$F$3793+Sens!$F$3798+Sens!$F$3801+Sens!$F$3802</f>
        <v>56.3802234703317</v>
      </c>
      <c r="G3803" s="38" t="n">
        <f aca="false">Sens!$G$3793+Sens!$G$3798+Sens!$G$3801+Sens!$G$3802</f>
        <v>107.693223470332</v>
      </c>
      <c r="H3803" s="38" t="n">
        <f aca="false">Sens!$H$3793+Sens!$H$3798+Sens!$H$3801+Sens!$H$3802</f>
        <v>127.92756992715</v>
      </c>
      <c r="I3803" s="38" t="n">
        <f aca="false">Sens!$I$3793+Sens!$I$3798+Sens!$I$3801+Sens!$I$3802</f>
        <v>149.172941485624</v>
      </c>
      <c r="J3803" s="38" t="n">
        <f aca="false">Sens!$J$3793+Sens!$J$3798+Sens!$J$3801+Sens!$J$3802</f>
        <v>168.830850467143</v>
      </c>
      <c r="K3803" s="38" t="n">
        <f aca="false">Sens!$K$3793+Sens!$K$3798+Sens!$K$3801+Sens!$K$3802</f>
        <v>181.491594137416</v>
      </c>
      <c r="L3803" s="38" t="n">
        <f aca="false">Sens!$L$3793+Sens!$L$3798+Sens!$L$3801+Sens!$L$3802</f>
        <v>195.195367856421</v>
      </c>
      <c r="M3803" s="38" t="n">
        <f aca="false">Sens!$M$3793+Sens!$M$3798+Sens!$M$3801+Sens!$M$3802</f>
        <v>208.85444915227</v>
      </c>
      <c r="N3803" s="38" t="n">
        <f aca="false">Q!$N$25</f>
        <v>37.576</v>
      </c>
      <c r="O3803" s="38" t="n">
        <f aca="false">Q!$O$25</f>
        <v>42.399</v>
      </c>
    </row>
    <row r="3804" customFormat="false" ht="17.15" hidden="false" customHeight="false" outlineLevel="0" collapsed="false">
      <c r="A3804" s="24" t="s">
        <v>758</v>
      </c>
      <c r="B3804" s="25" t="s">
        <v>86</v>
      </c>
      <c r="C3804" s="41" t="n">
        <f aca="false">Sens!$C$3793+Sens!$C$3798+Sens!$C$3801+Sens!$C$3802-Sens!$C$3803</f>
        <v>0</v>
      </c>
      <c r="D3804" s="41" t="n">
        <f aca="false">Sens!$D$3793+Sens!$D$3798+Sens!$D$3801+Sens!$D$3802-Sens!$D$3803</f>
        <v>0</v>
      </c>
      <c r="E3804" s="41" t="n">
        <f aca="false">Sens!$E$3793+Sens!$E$3798+Sens!$E$3801+Sens!$E$3802-Sens!$E$3803</f>
        <v>0</v>
      </c>
      <c r="F3804" s="41" t="n">
        <f aca="false">Sens!$F$3793+Sens!$F$3798+Sens!$F$3801+Sens!$F$3802-Sens!$F$3803</f>
        <v>0</v>
      </c>
      <c r="G3804" s="41" t="n">
        <f aca="false">Sens!$G$3793+Sens!$G$3798+Sens!$G$3801+Sens!$G$3802-Sens!$G$3803</f>
        <v>0</v>
      </c>
      <c r="H3804" s="41" t="n">
        <f aca="false">Sens!$H$3793+Sens!$H$3798+Sens!$H$3801+Sens!$H$3802-Sens!$H$3803</f>
        <v>0</v>
      </c>
      <c r="I3804" s="41" t="n">
        <f aca="false">Sens!$I$3793+Sens!$I$3798+Sens!$I$3801+Sens!$I$3802-Sens!$I$3803</f>
        <v>0</v>
      </c>
      <c r="J3804" s="41" t="n">
        <f aca="false">Sens!$J$3793+Sens!$J$3798+Sens!$J$3801+Sens!$J$3802-Sens!$J$3803</f>
        <v>0</v>
      </c>
      <c r="K3804" s="41" t="n">
        <f aca="false">Sens!$K$3793+Sens!$K$3798+Sens!$K$3801+Sens!$K$3802-Sens!$K$3803</f>
        <v>0</v>
      </c>
      <c r="L3804" s="41" t="n">
        <f aca="false">Sens!$L$3793+Sens!$L$3798+Sens!$L$3801+Sens!$L$3802-Sens!$L$3803</f>
        <v>0</v>
      </c>
      <c r="M3804" s="41" t="n">
        <f aca="false">Sens!$M$3793+Sens!$M$3798+Sens!$M$3801+Sens!$M$3802-Sens!$M$3803</f>
        <v>0</v>
      </c>
      <c r="N3804" s="41" t="n">
        <f aca="false">Sens!$N$3793+Sens!$N$3798+Sens!$N$3801+Sens!$N$3802-Sens!$N$3803</f>
        <v>0</v>
      </c>
      <c r="O3804" s="41" t="n">
        <f aca="false">Sens!$O$3793+Sens!$O$3798+Sens!$O$3801+Sens!$O$3802-Sens!$O$3803</f>
        <v>0</v>
      </c>
    </row>
    <row r="3805" customFormat="false" ht="17.15" hidden="false" customHeight="false" outlineLevel="0" collapsed="false">
      <c r="A3805" s="5" t="s">
        <v>729</v>
      </c>
      <c r="B3805" s="0" t="s">
        <v>86</v>
      </c>
      <c r="C3805" s="38" t="n">
        <f aca="false">Sens!$C$3741</f>
        <v>0</v>
      </c>
      <c r="D3805" s="38" t="n">
        <f aca="false">Sens!$D$3741</f>
        <v>0</v>
      </c>
      <c r="E3805" s="38" t="n">
        <f aca="false">Sens!$E$3741</f>
        <v>0</v>
      </c>
      <c r="F3805" s="38" t="n">
        <f aca="false">Sens!$F$3741</f>
        <v>3.77122048175818</v>
      </c>
      <c r="G3805" s="38" t="n">
        <f aca="false">Sens!$G$3741</f>
        <v>3.77122048175818</v>
      </c>
      <c r="H3805" s="38" t="n">
        <f aca="false">Sens!$H$3741</f>
        <v>15.1635543609893</v>
      </c>
      <c r="I3805" s="38" t="n">
        <f aca="false">Sens!$I$3741</f>
        <v>25.5818843619889</v>
      </c>
      <c r="J3805" s="38" t="n">
        <f aca="false">Sens!$J$3741</f>
        <v>36.0465624179122</v>
      </c>
      <c r="K3805" s="38" t="n">
        <f aca="false">Sens!$K$3741</f>
        <v>44.9741164026038</v>
      </c>
      <c r="L3805" s="38" t="n">
        <f aca="false">Sens!$L$3741</f>
        <v>50.8413488057813</v>
      </c>
      <c r="M3805" s="38" t="n">
        <f aca="false">Sens!$M$3741</f>
        <v>53.6407214274315</v>
      </c>
      <c r="N3805" s="38" t="n">
        <f aca="false">Sens!$N$3741</f>
        <v>0</v>
      </c>
      <c r="O3805" s="38" t="n">
        <f aca="false">Sens!$O$3741</f>
        <v>0</v>
      </c>
      <c r="P3805" s="5" t="s">
        <v>730</v>
      </c>
    </row>
    <row r="3806" customFormat="false" ht="17.15" hidden="false" customHeight="false" outlineLevel="0" collapsed="false">
      <c r="A3806" s="5" t="s">
        <v>731</v>
      </c>
      <c r="B3806" s="0" t="s">
        <v>86</v>
      </c>
      <c r="C3806" s="38" t="n">
        <f aca="false">Sens!$C$3803+Sens!$C$3805</f>
        <v>68.593</v>
      </c>
      <c r="D3806" s="38" t="n">
        <f aca="false">Sens!$D$3803+Sens!$D$3805</f>
        <v>79.975</v>
      </c>
      <c r="E3806" s="38" t="n">
        <f aca="false">Sens!$E$3803+Sens!$E$3805</f>
        <v>51.313</v>
      </c>
      <c r="F3806" s="38" t="n">
        <f aca="false">Sens!$F$3803+Sens!$F$3805</f>
        <v>60.1514439520899</v>
      </c>
      <c r="G3806" s="38" t="n">
        <f aca="false">Sens!$G$3803+Sens!$G$3805</f>
        <v>111.46444395209</v>
      </c>
      <c r="H3806" s="38" t="n">
        <f aca="false">Sens!$H$3803+Sens!$H$3805</f>
        <v>143.091124288139</v>
      </c>
      <c r="I3806" s="38" t="n">
        <f aca="false">Sens!$I$3803+Sens!$I$3805</f>
        <v>174.754825847613</v>
      </c>
      <c r="J3806" s="38" t="n">
        <f aca="false">Sens!$J$3803+Sens!$J$3805</f>
        <v>204.877412885055</v>
      </c>
      <c r="K3806" s="38" t="n">
        <f aca="false">Sens!$K$3803+Sens!$K$3805</f>
        <v>226.46571054002</v>
      </c>
      <c r="L3806" s="38" t="n">
        <f aca="false">Sens!$L$3803+Sens!$L$3805</f>
        <v>246.036716662202</v>
      </c>
      <c r="M3806" s="38" t="n">
        <f aca="false">Sens!$M$3803+Sens!$M$3805</f>
        <v>262.495170579702</v>
      </c>
      <c r="N3806" s="38" t="n">
        <f aca="false">Sens!$N$3803+Sens!$N$3805</f>
        <v>37.576</v>
      </c>
      <c r="O3806" s="38" t="n">
        <f aca="false">Sens!$O$3803+Sens!$O$3805</f>
        <v>42.399</v>
      </c>
    </row>
    <row r="3807" customFormat="false" ht="17.15" hidden="false" customHeight="false" outlineLevel="0" collapsed="false">
      <c r="A3807" s="0" t="s">
        <v>732</v>
      </c>
      <c r="B3807" s="0" t="s">
        <v>52</v>
      </c>
      <c r="C3807" s="13" t="n">
        <f aca="false">Sens!$C$3793/Sens!$C$3778</f>
        <v>0.0644314665661928</v>
      </c>
      <c r="D3807" s="13" t="n">
        <f aca="false">Sens!$D$3793/Sens!$D$3778</f>
        <v>0.0694784250712518</v>
      </c>
      <c r="E3807" s="13" t="n">
        <f aca="false">Sens!$E$3793/Sens!$E$3778</f>
        <v>0.0789306463326071</v>
      </c>
      <c r="F3807" s="13" t="n">
        <f aca="false">Sens!$F$3793/Sens!$F$3778</f>
        <v>0.08048878193259</v>
      </c>
      <c r="G3807" s="13" t="n">
        <f aca="false">Sens!$G$3793/Sens!$G$3778</f>
        <v>0.0797598694973492</v>
      </c>
      <c r="H3807" s="13" t="n">
        <f aca="false">Sens!$H$3793/Sens!$H$3778</f>
        <v>0.0804994847323452</v>
      </c>
      <c r="I3807" s="13" t="n">
        <f aca="false">Sens!$I$3793/Sens!$I$3778</f>
        <v>0.0800682277334848</v>
      </c>
      <c r="J3807" s="13" t="n">
        <f aca="false">Sens!$J$3793/Sens!$J$3778</f>
        <v>0.0793997952388039</v>
      </c>
      <c r="K3807" s="13" t="n">
        <f aca="false">Sens!$K$3793/Sens!$K$3778</f>
        <v>0.0782873587112132</v>
      </c>
      <c r="L3807" s="13" t="n">
        <f aca="false">Sens!$L$3793/Sens!$L$3778</f>
        <v>0.0784313564407344</v>
      </c>
      <c r="M3807" s="13" t="n">
        <f aca="false">Sens!$M$3793/Sens!$M$3778</f>
        <v>0.0812380751218145</v>
      </c>
      <c r="N3807" s="13" t="n">
        <f aca="false">Sens!$N$3793/Sens!$N$3778</f>
        <v>0.069228576611127</v>
      </c>
      <c r="O3807" s="13" t="n">
        <f aca="false">Sens!$O$3793/Sens!$O$3778</f>
        <v>0.069685022498393</v>
      </c>
    </row>
    <row r="3808" customFormat="false" ht="17.15" hidden="false" customHeight="false" outlineLevel="0" collapsed="false">
      <c r="A3808" s="0" t="s">
        <v>733</v>
      </c>
      <c r="B3808" s="0" t="s">
        <v>52</v>
      </c>
      <c r="C3808" s="13" t="n">
        <f aca="false">Sens!$C$3798/Sens!$C$3779</f>
        <v>0.026534925055631</v>
      </c>
      <c r="D3808" s="13" t="n">
        <f aca="false">Sens!$D$3798/Sens!$D$3779</f>
        <v>0.0293401855535103</v>
      </c>
      <c r="E3808" s="13" t="n">
        <f aca="false">Sens!$E$3798/Sens!$E$3779</f>
        <v>0.03831141902276</v>
      </c>
      <c r="F3808" s="13" t="n">
        <f aca="false">Sens!$F$3798/Sens!$F$3779</f>
        <v>0.0284480469412242</v>
      </c>
      <c r="G3808" s="13" t="n">
        <f aca="false">Sens!$G$3798/Sens!$G$3779</f>
        <v>0.0329307698966607</v>
      </c>
      <c r="H3808" s="13" t="n">
        <f aca="false">Sens!$H$3798/Sens!$H$3779</f>
        <v>0.0316650979190576</v>
      </c>
      <c r="I3808" s="13" t="n">
        <f aca="false">Sens!$I$3798/Sens!$I$3779</f>
        <v>0.029205381621244</v>
      </c>
      <c r="J3808" s="13" t="n">
        <f aca="false">Sens!$J$3798/Sens!$J$3779</f>
        <v>0.0264455176740457</v>
      </c>
      <c r="K3808" s="13" t="n">
        <f aca="false">Sens!$K$3798/Sens!$K$3779</f>
        <v>0.0231370163525547</v>
      </c>
      <c r="L3808" s="13" t="n">
        <f aca="false">Sens!$L$3798/Sens!$L$3779</f>
        <v>0.0236271371575612</v>
      </c>
      <c r="M3808" s="13" t="n">
        <f aca="false">Sens!$M$3798/Sens!$M$3779</f>
        <v>0.0267879854092175</v>
      </c>
      <c r="N3808" s="13" t="n">
        <f aca="false">Sens!$N$3798/Sens!$N$3779</f>
        <v>0.0357315650169337</v>
      </c>
      <c r="O3808" s="13" t="n">
        <f aca="false">Sens!$O$3798/Sens!$O$3779</f>
        <v>0.0244378956559703</v>
      </c>
    </row>
    <row r="3809" customFormat="false" ht="17.15" hidden="false" customHeight="false" outlineLevel="0" collapsed="false">
      <c r="A3809" s="14" t="s">
        <v>734</v>
      </c>
      <c r="B3809" s="14" t="s">
        <v>52</v>
      </c>
      <c r="C3809" s="17" t="n">
        <f aca="false">Sens!$C$3801/Sens!$C$3780</f>
        <v>0.370355907620217</v>
      </c>
      <c r="D3809" s="17" t="n">
        <f aca="false">Sens!$D$3801/Sens!$D$3780</f>
        <v>0.35429015342785</v>
      </c>
      <c r="E3809" s="17" t="n">
        <f aca="false">Sens!$E$3801/Sens!$E$3780</f>
        <v>0.385647527531039</v>
      </c>
      <c r="F3809" s="17" t="n">
        <f aca="false">Sens!$F$3801/Sens!$F$3780</f>
        <v>0.385171818673936</v>
      </c>
      <c r="G3809" s="17" t="n">
        <f aca="false">Sens!$G$3801/Sens!$G$3780</f>
        <v>0.385399799520974</v>
      </c>
      <c r="H3809" s="17" t="n">
        <f aca="false">Sens!$H$3801/Sens!$H$3780</f>
        <v>0.360029314750347</v>
      </c>
      <c r="I3809" s="17" t="n">
        <f aca="false">Sens!$I$3801/Sens!$I$3780</f>
        <v>0.346606134604193</v>
      </c>
      <c r="J3809" s="17" t="n">
        <f aca="false">Sens!$J$3801/Sens!$J$3780</f>
        <v>0.335699297156574</v>
      </c>
      <c r="K3809" s="17" t="n">
        <f aca="false">Sens!$K$3801/Sens!$K$3780</f>
        <v>0.319043289183739</v>
      </c>
      <c r="L3809" s="17" t="n">
        <f aca="false">Sens!$L$3801/Sens!$L$3780</f>
        <v>0.311918613444893</v>
      </c>
      <c r="M3809" s="17" t="n">
        <f aca="false">Sens!$M$3801/Sens!$M$3780</f>
        <v>0.306523814127389</v>
      </c>
      <c r="N3809" s="17" t="n">
        <f aca="false">Sens!$N$3801/Sens!$N$3780</f>
        <v>0.360941137346192</v>
      </c>
      <c r="O3809" s="17" t="n">
        <f aca="false">Sens!$O$3801/Sens!$O$3780</f>
        <v>0.348458117664212</v>
      </c>
    </row>
    <row r="3810" customFormat="false" ht="17.15" hidden="false" customHeight="false" outlineLevel="0" collapsed="false">
      <c r="A3810" s="0" t="s">
        <v>735</v>
      </c>
      <c r="B3810" s="0" t="s">
        <v>52</v>
      </c>
      <c r="C3810" s="13" t="n">
        <f aca="false">Sens!$C$3799/Sens!$C$3781</f>
        <v>0.708390794789371</v>
      </c>
      <c r="D3810" s="13" t="n">
        <f aca="false">Sens!$D$3799/Sens!$D$3781</f>
        <v>0.445565630441968</v>
      </c>
      <c r="E3810" s="13" t="n">
        <f aca="false">Sens!$E$3799/Sens!$E$3781</f>
        <v>0.165998118402711</v>
      </c>
      <c r="F3810" s="13" t="n">
        <f aca="false">Sens!$F$3799/Sens!$F$3781</f>
        <v>0.434878595403858</v>
      </c>
      <c r="G3810" s="13" t="n">
        <f aca="false">Sens!$G$3799/Sens!$G$3781</f>
        <v>0.3373967615381</v>
      </c>
      <c r="H3810" s="13" t="n">
        <f aca="false">Sens!$H$3799/Sens!$H$3781</f>
        <v>0.320477578041224</v>
      </c>
      <c r="I3810" s="13" t="n">
        <f aca="false">Sens!$I$3799/Sens!$I$3781</f>
        <v>0.296936118226494</v>
      </c>
      <c r="J3810" s="13" t="n">
        <f aca="false">Sens!$J$3799/Sens!$J$3781</f>
        <v>0.282166278613001</v>
      </c>
      <c r="K3810" s="13" t="n">
        <f aca="false">Sens!$K$3799/Sens!$K$3781</f>
        <v>0.252969102881543</v>
      </c>
      <c r="L3810" s="13" t="n">
        <f aca="false">Sens!$L$3799/Sens!$L$3781</f>
        <v>0.240728642826566</v>
      </c>
      <c r="M3810" s="13" t="n">
        <f aca="false">Sens!$M$3799/Sens!$M$3781</f>
        <v>0.227399920863147</v>
      </c>
      <c r="N3810" s="13" t="n">
        <f aca="false">Sens!$N$3799/Sens!$N$3781</f>
        <v>0.302870734830849</v>
      </c>
      <c r="O3810" s="13" t="n">
        <f aca="false">Sens!$O$3799/Sens!$O$3781</f>
        <v>0.52240134346334</v>
      </c>
    </row>
    <row r="3811" customFormat="false" ht="15" hidden="false" customHeight="false" outlineLevel="0" collapsed="false">
      <c r="A3811" s="5" t="s">
        <v>736</v>
      </c>
      <c r="B3811" s="0" t="s">
        <v>52</v>
      </c>
      <c r="C3811" s="13" t="n">
        <f aca="false">Sens!$C$3803/Sens!$C$3783</f>
        <v>0.107519448742004</v>
      </c>
      <c r="D3811" s="13" t="n">
        <f aca="false">Sens!$D$3803/Sens!$D$3783</f>
        <v>0.111552967957552</v>
      </c>
      <c r="E3811" s="13" t="n">
        <f aca="false">Sens!$E$3803/Sens!$E$3783</f>
        <v>0.13428328426562</v>
      </c>
      <c r="F3811" s="13" t="n">
        <f aca="false">Sens!$F$3803/Sens!$F$3783</f>
        <v>0.129377431998721</v>
      </c>
      <c r="G3811" s="13" t="n">
        <f aca="false">Sens!$G$3803/Sens!$G$3783</f>
        <v>0.131669442149759</v>
      </c>
      <c r="H3811" s="13" t="n">
        <f aca="false">Sens!$H$3803/Sens!$H$3783</f>
        <v>0.135763880474825</v>
      </c>
      <c r="I3811" s="13" t="n">
        <f aca="false">Sens!$I$3803/Sens!$I$3783</f>
        <v>0.139570119514636</v>
      </c>
      <c r="J3811" s="13" t="n">
        <f aca="false">Sens!$J$3803/Sens!$J$3783</f>
        <v>0.141885472480711</v>
      </c>
      <c r="K3811" s="13" t="n">
        <f aca="false">Sens!$K$3803/Sens!$K$3783</f>
        <v>0.140033094223645</v>
      </c>
      <c r="L3811" s="13" t="n">
        <f aca="false">Sens!$L$3803/Sens!$L$3783</f>
        <v>0.139907564517321</v>
      </c>
      <c r="M3811" s="13" t="n">
        <f aca="false">Sens!$M$3803/Sens!$M$3783</f>
        <v>0.140396522830943</v>
      </c>
      <c r="N3811" s="13" t="n">
        <f aca="false">Sens!$N$3803/Sens!$N$3783</f>
        <v>0.116201614873411</v>
      </c>
      <c r="O3811" s="13" t="n">
        <f aca="false">Sens!$O$3803/Sens!$O$3783</f>
        <v>0.107733353660861</v>
      </c>
    </row>
    <row r="3812" customFormat="false" ht="17.15" hidden="false" customHeight="false" outlineLevel="0" collapsed="false">
      <c r="A3812" s="1" t="s">
        <v>737</v>
      </c>
    </row>
    <row r="3813" customFormat="false" ht="17.15" hidden="false" customHeight="false" outlineLevel="0" collapsed="false">
      <c r="A3813" s="5" t="s">
        <v>738</v>
      </c>
      <c r="B3813" s="0" t="s">
        <v>52</v>
      </c>
      <c r="D3813" s="28" t="n">
        <f aca="false">(Q!$E$29+Q!$E$30-(1-ext_sh)*Sens!$D$3735)/Sens!$D$3691</f>
        <v>0.0334674312393194</v>
      </c>
    </row>
    <row r="3814" customFormat="false" ht="17.15" hidden="false" customHeight="false" outlineLevel="0" collapsed="false">
      <c r="A3814" s="0" t="s">
        <v>535</v>
      </c>
      <c r="B3814" s="0" t="s">
        <v>86</v>
      </c>
      <c r="C3814" s="38" t="n">
        <f aca="false">Q!$D$29</f>
        <v>14.285</v>
      </c>
      <c r="D3814" s="38" t="n">
        <f aca="false">Q!$E$29</f>
        <v>15.503</v>
      </c>
      <c r="E3814" s="38" t="n">
        <f aca="false">Q!$P$29</f>
        <v>8.78</v>
      </c>
      <c r="F3814" s="38" t="n">
        <f aca="false">(Sens!$D$3813*Sens!$F$3691+(1-ext_sh)*Sens!$F$3735)*Sens!$F$3692</f>
        <v>9.32404990199157</v>
      </c>
      <c r="G3814" s="38" t="n">
        <f aca="false">Sens!$E$3814+Sens!$F$3814</f>
        <v>18.1040499019916</v>
      </c>
      <c r="H3814" s="38" t="n">
        <f aca="false">(Sens!$D$3813*Sens!$H$3691+(1-ext_sh)*Sens!$H$3735)*Sens!$H$3692</f>
        <v>22.5533556752937</v>
      </c>
      <c r="I3814" s="38" t="n">
        <f aca="false">(Sens!$D$3813*Sens!$I$3691+(1-ext_sh)*Sens!$I$3735)*Sens!$I$3692</f>
        <v>28.1941479903215</v>
      </c>
      <c r="J3814" s="38" t="n">
        <f aca="false">(Sens!$D$3813*Sens!$J$3691+(1-ext_sh)*Sens!$J$3735)*Sens!$J$3692</f>
        <v>33.8639126241465</v>
      </c>
      <c r="K3814" s="38" t="n">
        <f aca="false">(Sens!$D$3813*Sens!$K$3691+(1-ext_sh)*Sens!$K$3735)*Sens!$K$3692</f>
        <v>39.4516429979446</v>
      </c>
      <c r="L3814" s="38" t="n">
        <f aca="false">(Sens!$D$3813*Sens!$L$3691+(1-ext_sh)*Sens!$L$3735)*Sens!$L$3692</f>
        <v>43.6240799619622</v>
      </c>
      <c r="M3814" s="38" t="n">
        <f aca="false">(Sens!$D$3813*Sens!$M$3691+(1-ext_sh)*Sens!$M$3735)*Sens!$M$3692</f>
        <v>46.7841679303704</v>
      </c>
      <c r="N3814" s="38" t="n">
        <f aca="false">Q!$N$29</f>
        <v>7.272</v>
      </c>
      <c r="O3814" s="38" t="n">
        <f aca="false">Q!$O$29</f>
        <v>8.231</v>
      </c>
    </row>
    <row r="3815" customFormat="false" ht="17.15" hidden="false" customHeight="false" outlineLevel="0" collapsed="false">
      <c r="A3815" s="0" t="s">
        <v>537</v>
      </c>
      <c r="B3815" s="0" t="s">
        <v>86</v>
      </c>
      <c r="C3815" s="38" t="n">
        <f aca="false">Q!$D$30</f>
        <v>4.462</v>
      </c>
      <c r="D3815" s="38" t="n">
        <f aca="false">Q!$E$30</f>
        <v>4.907</v>
      </c>
      <c r="E3815" s="38" t="n">
        <f aca="false">Q!$P$30</f>
        <v>2.57</v>
      </c>
      <c r="F3815" s="38" t="n">
        <f aca="false">(Sens!$D$3813*Sens!$F$3691+(1-ext_sh)*Sens!$F$3735)*(1-Sens!$F$3692)</f>
        <v>3.66089330199472</v>
      </c>
      <c r="G3815" s="38" t="n">
        <f aca="false">Sens!$E$3815+Sens!$F$3815</f>
        <v>6.23089330199472</v>
      </c>
      <c r="H3815" s="38" t="n">
        <f aca="false">(Sens!$D$3813*Sens!$H$3691+(1-ext_sh)*Sens!$H$3735)*(1-Sens!$H$3692)</f>
        <v>8.63874333111657</v>
      </c>
      <c r="I3815" s="38" t="n">
        <f aca="false">(Sens!$D$3813*Sens!$I$3691+(1-ext_sh)*Sens!$I$3735)*(1-Sens!$I$3692)</f>
        <v>10.7993689025494</v>
      </c>
      <c r="J3815" s="38" t="n">
        <f aca="false">(Sens!$D$3813*Sens!$J$3691+(1-ext_sh)*Sens!$J$3735)*(1-Sens!$J$3692)</f>
        <v>12.9710919101865</v>
      </c>
      <c r="K3815" s="38" t="n">
        <f aca="false">(Sens!$D$3813*Sens!$K$3691+(1-ext_sh)*Sens!$K$3735)*(1-Sens!$K$3692)</f>
        <v>15.1113928568702</v>
      </c>
      <c r="L3815" s="38" t="n">
        <f aca="false">(Sens!$D$3813*Sens!$L$3691+(1-ext_sh)*Sens!$L$3735)*(1-Sens!$L$3692)</f>
        <v>16.7095857163433</v>
      </c>
      <c r="M3815" s="38" t="n">
        <f aca="false">(Sens!$D$3813*Sens!$M$3691+(1-ext_sh)*Sens!$M$3735)*(1-Sens!$M$3692)</f>
        <v>17.9200126371023</v>
      </c>
      <c r="N3815" s="38" t="n">
        <f aca="false">Q!$N$30</f>
        <v>2.316</v>
      </c>
      <c r="O3815" s="38" t="n">
        <f aca="false">Q!$O$30</f>
        <v>2.591</v>
      </c>
    </row>
    <row r="3816" customFormat="false" ht="17.15" hidden="false" customHeight="false" outlineLevel="0" collapsed="false">
      <c r="A3816" s="0" t="s">
        <v>538</v>
      </c>
      <c r="B3816" s="0" t="s">
        <v>86</v>
      </c>
      <c r="C3816" s="38" t="n">
        <f aca="false">Sens!$C$3747</f>
        <v>13.32</v>
      </c>
      <c r="D3816" s="38" t="n">
        <f aca="false">Sens!$D$3747</f>
        <v>21.45</v>
      </c>
      <c r="E3816" s="38" t="n">
        <f aca="false">Sens!$E$3747</f>
        <v>15.353</v>
      </c>
      <c r="F3816" s="38" t="n">
        <f aca="false">Sens!$F$3747</f>
        <v>16.3063747611001</v>
      </c>
      <c r="G3816" s="38" t="n">
        <f aca="false">Sens!$G$3747</f>
        <v>31.6593747611001</v>
      </c>
      <c r="H3816" s="38" t="n">
        <f aca="false">Sens!$H$3747</f>
        <v>53.124242092105</v>
      </c>
      <c r="I3816" s="38" t="n">
        <f aca="false">Sens!$I$3747</f>
        <v>78.046828098133</v>
      </c>
      <c r="J3816" s="38" t="n">
        <f aca="false">Sens!$J$3747</f>
        <v>103.663976940352</v>
      </c>
      <c r="K3816" s="38" t="n">
        <f aca="false">Sens!$K$3747</f>
        <v>129.625086115469</v>
      </c>
      <c r="L3816" s="38" t="n">
        <f aca="false">Sens!$L$3747</f>
        <v>147.435052382502</v>
      </c>
      <c r="M3816" s="38" t="n">
        <f aca="false">Sens!$M$3747</f>
        <v>159.299754080279</v>
      </c>
      <c r="N3816" s="38" t="n">
        <f aca="false">Sens!$N$3747</f>
        <v>9.234</v>
      </c>
      <c r="O3816" s="38" t="n">
        <f aca="false">Sens!$O$3747</f>
        <v>12.216</v>
      </c>
    </row>
    <row r="3817" customFormat="false" ht="17.15" hidden="false" customHeight="false" outlineLevel="0" collapsed="false">
      <c r="A3817" s="5" t="s">
        <v>739</v>
      </c>
      <c r="B3817" s="0" t="s">
        <v>86</v>
      </c>
      <c r="C3817" s="38" t="n">
        <f aca="false">Sens!$C$3814+Sens!$C$3815+Sens!$C$3816</f>
        <v>32.067</v>
      </c>
      <c r="D3817" s="38" t="n">
        <f aca="false">Sens!$D$3814+Sens!$D$3815+Sens!$D$3816</f>
        <v>41.86</v>
      </c>
      <c r="E3817" s="38" t="n">
        <f aca="false">Sens!$E$3814+Sens!$E$3815+Sens!$E$3816</f>
        <v>26.703</v>
      </c>
      <c r="F3817" s="38" t="n">
        <f aca="false">Sens!$F$3814+Sens!$F$3815+Sens!$F$3816</f>
        <v>29.2913179650864</v>
      </c>
      <c r="G3817" s="38" t="n">
        <f aca="false">Sens!$G$3814+Sens!$G$3815+Sens!$G$3816</f>
        <v>55.9943179650864</v>
      </c>
      <c r="H3817" s="38" t="n">
        <f aca="false">Sens!$H$3814+Sens!$H$3815+Sens!$H$3816</f>
        <v>84.3163410985152</v>
      </c>
      <c r="I3817" s="38" t="n">
        <f aca="false">Sens!$I$3814+Sens!$I$3815+Sens!$I$3816</f>
        <v>117.040344991004</v>
      </c>
      <c r="J3817" s="38" t="n">
        <f aca="false">Sens!$J$3814+Sens!$J$3815+Sens!$J$3816</f>
        <v>150.498981474685</v>
      </c>
      <c r="K3817" s="38" t="n">
        <f aca="false">Sens!$K$3814+Sens!$K$3815+Sens!$K$3816</f>
        <v>184.188121970284</v>
      </c>
      <c r="L3817" s="38" t="n">
        <f aca="false">Sens!$L$3814+Sens!$L$3815+Sens!$L$3816</f>
        <v>207.768718060808</v>
      </c>
      <c r="M3817" s="38" t="n">
        <f aca="false">Sens!$M$3814+Sens!$M$3815+Sens!$M$3816</f>
        <v>224.003934647752</v>
      </c>
      <c r="N3817" s="38" t="n">
        <f aca="false">Sens!$N$3814+Sens!$N$3815+Sens!$N$3816</f>
        <v>18.822</v>
      </c>
      <c r="O3817" s="38" t="n">
        <f aca="false">Sens!$O$3814+Sens!$O$3815+Sens!$O$3816</f>
        <v>23.038</v>
      </c>
    </row>
    <row r="3818" customFormat="false" ht="17.15" hidden="false" customHeight="false" outlineLevel="0" collapsed="false">
      <c r="A3818" s="0" t="s">
        <v>740</v>
      </c>
      <c r="B3818" s="0" t="s">
        <v>86</v>
      </c>
      <c r="C3818" s="38" t="n">
        <f aca="false">Sens!$C$3789+Sens!$C$3794</f>
        <v>33.7284</v>
      </c>
      <c r="D3818" s="38" t="n">
        <f aca="false">Sens!$D$3789+Sens!$D$3794</f>
        <v>41.181</v>
      </c>
      <c r="E3818" s="38" t="n">
        <f aca="false">Sens!$E$3789+Sens!$E$3794</f>
        <v>22.2312</v>
      </c>
      <c r="F3818" s="38" t="n">
        <f aca="false">Sens!$F$3789+Sens!$F$3794</f>
        <v>27.6943331966489</v>
      </c>
      <c r="G3818" s="38" t="n">
        <f aca="false">Sens!$G$3789+Sens!$G$3794</f>
        <v>49.9255331966489</v>
      </c>
      <c r="H3818" s="38" t="n">
        <f aca="false">Sens!$H$3789+Sens!$H$3794</f>
        <v>59.9381534327385</v>
      </c>
      <c r="I3818" s="38" t="n">
        <f aca="false">Sens!$I$3789+Sens!$I$3794</f>
        <v>69.9498666572977</v>
      </c>
      <c r="J3818" s="38" t="n">
        <f aca="false">Sens!$J$3789+Sens!$J$3794</f>
        <v>79.2893651651711</v>
      </c>
      <c r="K3818" s="38" t="n">
        <f aca="false">Sens!$K$3789+Sens!$K$3794</f>
        <v>87.2183016816882</v>
      </c>
      <c r="L3818" s="38" t="n">
        <f aca="false">Sens!$L$3789+Sens!$L$3794</f>
        <v>95.940131849857</v>
      </c>
      <c r="M3818" s="38" t="n">
        <f aca="false">Sens!$M$3789+Sens!$M$3794</f>
        <v>105.534145034843</v>
      </c>
      <c r="N3818" s="38" t="n">
        <f aca="false">Sens!$N$3789+Sens!$N$3794</f>
        <v>17.769</v>
      </c>
      <c r="O3818" s="38" t="n">
        <f aca="false">Sens!$O$3789+Sens!$O$3794</f>
        <v>23.412</v>
      </c>
    </row>
    <row r="3819" customFormat="false" ht="17.15" hidden="false" customHeight="false" outlineLevel="0" collapsed="false">
      <c r="A3819" s="0" t="s">
        <v>741</v>
      </c>
      <c r="B3819" s="0" t="s">
        <v>86</v>
      </c>
      <c r="C3819" s="38" t="n">
        <f aca="false">Sens!$C$3793+Sens!$C$3798+Sens!$C$3814+Sens!$C$3815-Sens!$C$3818</f>
        <v>13.7776</v>
      </c>
      <c r="D3819" s="38" t="n">
        <f aca="false">Sens!$D$3793+Sens!$D$3798+Sens!$D$3814+Sens!$D$3815-Sens!$D$3818</f>
        <v>13.598</v>
      </c>
      <c r="E3819" s="38" t="n">
        <f aca="false">Sens!$E$3793+Sens!$E$3798+Sens!$E$3814+Sens!$E$3815-Sens!$E$3818</f>
        <v>9.6498</v>
      </c>
      <c r="F3819" s="38" t="n">
        <f aca="false">Sens!$F$3793+Sens!$F$3798+Sens!$F$3814+Sens!$F$3815-Sens!$F$3818</f>
        <v>8.26382880042058</v>
      </c>
      <c r="G3819" s="38" t="n">
        <f aca="false">Sens!$G$3793+Sens!$G$3798+Sens!$G$3814+Sens!$G$3815-Sens!$G$3818</f>
        <v>17.9136288004206</v>
      </c>
      <c r="H3819" s="38" t="n">
        <f aca="false">Sens!$H$3793+Sens!$H$3798+Sens!$H$3814+Sens!$H$3815-Sens!$H$3818</f>
        <v>19.5491631589064</v>
      </c>
      <c r="I3819" s="38" t="n">
        <f aca="false">Sens!$I$3793+Sens!$I$3798+Sens!$I$3814+Sens!$I$3815-Sens!$I$3818</f>
        <v>21.0720915836383</v>
      </c>
      <c r="J3819" s="38" t="n">
        <f aca="false">Sens!$J$3793+Sens!$J$3798+Sens!$J$3814+Sens!$J$3815-Sens!$J$3818</f>
        <v>22.6412506576272</v>
      </c>
      <c r="K3819" s="38" t="n">
        <f aca="false">Sens!$K$3793+Sens!$K$3798+Sens!$K$3814+Sens!$K$3815-Sens!$K$3818</f>
        <v>24.4459117069647</v>
      </c>
      <c r="L3819" s="38" t="n">
        <f aca="false">Sens!$L$3793+Sens!$L$3798+Sens!$L$3814+Sens!$L$3815-Sens!$L$3818</f>
        <v>25.4387293843036</v>
      </c>
      <c r="M3819" s="38" t="n">
        <f aca="false">Sens!$M$3793+Sens!$M$3798+Sens!$M$3814+Sens!$M$3815-Sens!$M$3818</f>
        <v>27.1902068163556</v>
      </c>
      <c r="N3819" s="38" t="n">
        <f aca="false">Sens!$N$3793+Sens!$N$3798+Sens!$N$3814+Sens!$N$3815-Sens!$N$3818</f>
        <v>7.688</v>
      </c>
      <c r="O3819" s="38" t="n">
        <f aca="false">Sens!$O$3793+Sens!$O$3798+Sens!$O$3814+Sens!$O$3815-Sens!$O$3818</f>
        <v>5.91000000000001</v>
      </c>
    </row>
    <row r="3820" customFormat="false" ht="17.15" hidden="false" customHeight="false" outlineLevel="0" collapsed="false">
      <c r="A3820" s="0" t="s">
        <v>742</v>
      </c>
      <c r="B3820" s="0" t="s">
        <v>86</v>
      </c>
      <c r="C3820" s="38" t="n">
        <f aca="false">Sens!$C$3800+Sens!$C$3816-ext_sh*Sens!$C$3735</f>
        <v>51.3470500115664</v>
      </c>
      <c r="D3820" s="38" t="n">
        <f aca="false">Sens!$D$3800+Sens!$D$3816-ext_sh*Sens!$D$3735</f>
        <v>60.2799375433739</v>
      </c>
      <c r="E3820" s="38" t="n">
        <f aca="false">Sens!$E$3800+Sens!$E$3816-ext_sh*Sens!$E$3735</f>
        <v>39.5095167090767</v>
      </c>
      <c r="F3820" s="38" t="n">
        <f aca="false">Sens!$F$3800+Sens!$F$3816-ext_sh*Sens!$F$3735</f>
        <v>37.993321722478</v>
      </c>
      <c r="G3820" s="38" t="n">
        <f aca="false">Sens!$G$3800+Sens!$G$3816-ext_sh*Sens!$G$3735</f>
        <v>77.5028384315548</v>
      </c>
      <c r="H3820" s="38" t="n">
        <f aca="false">Sens!$H$3800+Sens!$H$3816-ext_sh*Sens!$H$3735</f>
        <v>85.2394217279746</v>
      </c>
      <c r="I3820" s="38" t="n">
        <f aca="false">Sens!$I$3800+Sens!$I$3816-ext_sh*Sens!$I$3735</f>
        <v>94.6373589713254</v>
      </c>
      <c r="J3820" s="38" t="n">
        <f aca="false">Sens!$J$3800+Sens!$J$3816-ext_sh*Sens!$J$3735</f>
        <v>103.639899284146</v>
      </c>
      <c r="K3820" s="38" t="n">
        <f aca="false">Sens!$K$3800+Sens!$K$3816-ext_sh*Sens!$K$3735</f>
        <v>111.931091226878</v>
      </c>
      <c r="L3820" s="38" t="n">
        <f aca="false">Sens!$L$3800+Sens!$L$3816-ext_sh*Sens!$L$3735</f>
        <v>120.885578525028</v>
      </c>
      <c r="M3820" s="38" t="n">
        <f aca="false">Sens!$M$3800+Sens!$M$3816-ext_sh*Sens!$M$3735</f>
        <v>130.55642480703</v>
      </c>
      <c r="N3820" s="38" t="n">
        <f aca="false">Sens!$N$3800+Sens!$N$3816-ext_sh*Sens!$N$3735</f>
        <v>28.5693781401809</v>
      </c>
      <c r="O3820" s="38" t="n">
        <f aca="false">Sens!$O$3800+Sens!$O$3816-ext_sh*Sens!$O$3735</f>
        <v>31.7105594031931</v>
      </c>
    </row>
    <row r="3821" customFormat="false" ht="17.15" hidden="false" customHeight="false" outlineLevel="0" collapsed="false">
      <c r="A3821" s="0" t="s">
        <v>743</v>
      </c>
      <c r="B3821" s="0" t="s">
        <v>86</v>
      </c>
      <c r="C3821" s="38" t="n">
        <f aca="false">Sens!$C$3738</f>
        <v>1.80694998843362</v>
      </c>
      <c r="D3821" s="38" t="n">
        <f aca="false">Sens!$D$3738</f>
        <v>6.77606245662607</v>
      </c>
      <c r="E3821" s="38" t="n">
        <f aca="false">Sens!$E$3738</f>
        <v>6.62548329092326</v>
      </c>
      <c r="F3821" s="38" t="n">
        <f aca="false">Sens!$F$3738</f>
        <v>11.7200577158706</v>
      </c>
      <c r="G3821" s="38" t="n">
        <f aca="false">Sens!$G$3738</f>
        <v>18.3455410067939</v>
      </c>
      <c r="H3821" s="38" t="n">
        <f aca="false">Sens!$H$3738</f>
        <v>47.5171727060453</v>
      </c>
      <c r="I3821" s="38" t="n">
        <f aca="false">Sens!$I$3738</f>
        <v>80.5539692643667</v>
      </c>
      <c r="J3821" s="38" t="n">
        <f aca="false">Sens!$J$3738</f>
        <v>113.759316834883</v>
      </c>
      <c r="K3821" s="38" t="n">
        <f aca="false">Sens!$K$3738</f>
        <v>142.084411492169</v>
      </c>
      <c r="L3821" s="38" t="n">
        <f aca="false">Sens!$L$3738</f>
        <v>160.69964615804</v>
      </c>
      <c r="M3821" s="38" t="n">
        <f aca="false">Sens!$M$3738</f>
        <v>169.577607141793</v>
      </c>
      <c r="N3821" s="38" t="n">
        <f aca="false">Sens!$N$3738</f>
        <v>2.37162185981912</v>
      </c>
      <c r="O3821" s="38" t="n">
        <f aca="false">Sens!$O$3738</f>
        <v>4.40444059680694</v>
      </c>
    </row>
    <row r="3822" customFormat="false" ht="17.15" hidden="false" customHeight="false" outlineLevel="0" collapsed="false">
      <c r="A3822" s="0" t="s">
        <v>744</v>
      </c>
      <c r="B3822" s="0" t="s">
        <v>86</v>
      </c>
      <c r="C3822" s="38" t="n">
        <f aca="false">Sens!$C$3803+Sens!$C$3817</f>
        <v>100.66</v>
      </c>
      <c r="D3822" s="38" t="n">
        <f aca="false">Sens!$D$3803+Sens!$D$3817</f>
        <v>121.835</v>
      </c>
      <c r="E3822" s="38" t="n">
        <f aca="false">Sens!$E$3803+Sens!$E$3817</f>
        <v>78.016</v>
      </c>
      <c r="F3822" s="38" t="n">
        <f aca="false">Sens!$F$3803+Sens!$F$3817</f>
        <v>85.6715414354181</v>
      </c>
      <c r="G3822" s="38" t="n">
        <f aca="false">Sens!$G$3803+Sens!$G$3817</f>
        <v>163.687541435418</v>
      </c>
      <c r="H3822" s="38" t="n">
        <f aca="false">Sens!$H$3803+Sens!$H$3817</f>
        <v>212.243911025665</v>
      </c>
      <c r="I3822" s="38" t="n">
        <f aca="false">Sens!$I$3803+Sens!$I$3817</f>
        <v>266.213286476628</v>
      </c>
      <c r="J3822" s="38" t="n">
        <f aca="false">Sens!$J$3803+Sens!$J$3817</f>
        <v>319.329831941828</v>
      </c>
      <c r="K3822" s="38" t="n">
        <f aca="false">Sens!$K$3803+Sens!$K$3817</f>
        <v>365.6797161077</v>
      </c>
      <c r="L3822" s="38" t="n">
        <f aca="false">Sens!$L$3803+Sens!$L$3817</f>
        <v>402.964085917229</v>
      </c>
      <c r="M3822" s="38" t="n">
        <f aca="false">Sens!$M$3803+Sens!$M$3817</f>
        <v>432.858383800022</v>
      </c>
      <c r="N3822" s="38" t="n">
        <f aca="false">Sens!$N$3803+Sens!$N$3817</f>
        <v>56.398</v>
      </c>
      <c r="O3822" s="38" t="n">
        <f aca="false">Sens!$O$3803+Sens!$O$3817</f>
        <v>65.437</v>
      </c>
    </row>
    <row r="3823" customFormat="false" ht="17.15" hidden="false" customHeight="false" outlineLevel="0" collapsed="false">
      <c r="A3823" s="1" t="s">
        <v>745</v>
      </c>
    </row>
    <row r="3824" customFormat="false" ht="15" hidden="false" customHeight="false" outlineLevel="0" collapsed="false">
      <c r="A3824" s="5" t="s">
        <v>541</v>
      </c>
      <c r="B3824" s="0" t="s">
        <v>86</v>
      </c>
      <c r="C3824" s="38" t="n">
        <f aca="false">Q!$D$34</f>
        <v>2.406</v>
      </c>
      <c r="D3824" s="38" t="n">
        <f aca="false">Q!$E$34</f>
        <v>2.274</v>
      </c>
      <c r="E3824" s="38" t="n">
        <f aca="false">Q!$P$34</f>
        <v>2.114</v>
      </c>
      <c r="F3824" s="38" t="n">
        <f aca="false">Sens!$F$3862</f>
        <v>3.24888962733561</v>
      </c>
      <c r="G3824" s="38" t="n">
        <f aca="false">Sens!$E$3824+Sens!$F$3824</f>
        <v>5.36288962733561</v>
      </c>
      <c r="H3824" s="38" t="n">
        <f aca="false">Sens!$H$3862</f>
        <v>7.42354172302123</v>
      </c>
      <c r="I3824" s="38" t="n">
        <f aca="false">Sens!$I$3862</f>
        <v>8.2363577553782</v>
      </c>
      <c r="J3824" s="38" t="n">
        <f aca="false">Sens!$J$3862</f>
        <v>9.11668338203312</v>
      </c>
      <c r="K3824" s="38" t="n">
        <f aca="false">Sens!$K$3862</f>
        <v>9.11668338203312</v>
      </c>
      <c r="L3824" s="38" t="n">
        <f aca="false">Sens!$L$3862</f>
        <v>9.11668338203312</v>
      </c>
      <c r="M3824" s="38" t="n">
        <f aca="false">Sens!$M$3862</f>
        <v>9.11668338203312</v>
      </c>
      <c r="N3824" s="38" t="n">
        <f aca="false">Q!$N$34</f>
        <v>1.057</v>
      </c>
      <c r="O3824" s="38" t="n">
        <f aca="false">Q!$O$34</f>
        <v>1.217</v>
      </c>
    </row>
    <row r="3825" customFormat="false" ht="15" hidden="false" customHeight="false" outlineLevel="0" collapsed="false">
      <c r="A3825" s="5" t="s">
        <v>746</v>
      </c>
      <c r="B3825" s="0" t="s">
        <v>86</v>
      </c>
      <c r="F3825" s="38" t="n">
        <f aca="false">Sens!$F$3863</f>
        <v>2.59</v>
      </c>
      <c r="H3825" s="38" t="n">
        <f aca="false">Sens!$H$3863</f>
        <v>3.80451541567333</v>
      </c>
      <c r="I3825" s="38" t="n">
        <f aca="false">Sens!$I$3863</f>
        <v>2.10589651022864</v>
      </c>
      <c r="J3825" s="38" t="n">
        <f aca="false">Sens!$J$3863</f>
        <v>2.10589651022864</v>
      </c>
      <c r="K3825" s="38" t="n">
        <f aca="false">Sens!$K$3863</f>
        <v>3.25157657091413</v>
      </c>
      <c r="L3825" s="38" t="n">
        <f aca="false">Sens!$L$3863</f>
        <v>8.49422325437099</v>
      </c>
      <c r="M3825" s="38" t="n">
        <f aca="false">Sens!$M$3863</f>
        <v>16.2325536491298</v>
      </c>
    </row>
    <row r="3826" customFormat="false" ht="17.15" hidden="false" customHeight="false" outlineLevel="0" collapsed="false">
      <c r="A3826" s="5" t="s">
        <v>747</v>
      </c>
      <c r="B3826" s="0" t="s">
        <v>86</v>
      </c>
      <c r="C3826" s="38" t="n">
        <f aca="false">Q!$D$39</f>
        <v>2.427</v>
      </c>
      <c r="D3826" s="38" t="n">
        <f aca="false">Q!$E$39</f>
        <v>19.61</v>
      </c>
      <c r="E3826" s="38" t="n">
        <f aca="false">Q!$P$39</f>
        <v>71.492</v>
      </c>
      <c r="F3826" s="39" t="n">
        <v>0</v>
      </c>
      <c r="G3826" s="38" t="n">
        <f aca="false">Sens!$E$3826+Sens!$F$3826</f>
        <v>71.492</v>
      </c>
      <c r="H3826" s="39" t="n">
        <v>0</v>
      </c>
      <c r="I3826" s="39" t="n">
        <v>0</v>
      </c>
      <c r="J3826" s="39" t="n">
        <v>0</v>
      </c>
      <c r="K3826" s="39" t="n">
        <v>0</v>
      </c>
      <c r="L3826" s="39" t="n">
        <v>0</v>
      </c>
      <c r="M3826" s="39" t="n">
        <v>0</v>
      </c>
      <c r="N3826" s="38" t="n">
        <f aca="false">Q!$N$39</f>
        <v>6.017</v>
      </c>
      <c r="O3826" s="38" t="n">
        <f aca="false">Q!$O$39</f>
        <v>13.593</v>
      </c>
      <c r="P3826" s="5" t="s">
        <v>748</v>
      </c>
    </row>
    <row r="3827" customFormat="false" ht="15" hidden="false" customHeight="false" outlineLevel="0" collapsed="false">
      <c r="A3827" s="5" t="s">
        <v>544</v>
      </c>
      <c r="B3827" s="0" t="s">
        <v>86</v>
      </c>
      <c r="C3827" s="38" t="n">
        <f aca="false">Q!$D$36</f>
        <v>68.614</v>
      </c>
      <c r="D3827" s="38" t="n">
        <f aca="false">Q!$E$36</f>
        <v>97.311</v>
      </c>
      <c r="E3827" s="38" t="n">
        <f aca="false">Q!$P$36</f>
        <v>120.691</v>
      </c>
      <c r="F3827" s="38" t="n">
        <f aca="false">Sens!$F$3803-Sens!$F$3824+Sens!$F$3825+Sens!$F$3826</f>
        <v>55.7213338429961</v>
      </c>
      <c r="G3827" s="38" t="n">
        <f aca="false">Sens!$E$3827+Sens!$F$3827</f>
        <v>176.412333842996</v>
      </c>
      <c r="H3827" s="38" t="n">
        <f aca="false">Sens!$H$3803-Sens!$H$3824+Sens!$H$3825+Sens!$H$3826</f>
        <v>124.308543619802</v>
      </c>
      <c r="I3827" s="38" t="n">
        <f aca="false">Sens!$I$3803-Sens!$I$3824+Sens!$I$3825+Sens!$I$3826</f>
        <v>143.042480240475</v>
      </c>
      <c r="J3827" s="38" t="n">
        <f aca="false">Sens!$J$3803-Sens!$J$3824+Sens!$J$3825+Sens!$J$3826</f>
        <v>161.820063595339</v>
      </c>
      <c r="K3827" s="38" t="n">
        <f aca="false">Sens!$K$3803-Sens!$K$3824+Sens!$K$3825+Sens!$K$3826</f>
        <v>175.626487326298</v>
      </c>
      <c r="L3827" s="38" t="n">
        <f aca="false">Sens!$L$3803-Sens!$L$3824+Sens!$L$3825+Sens!$L$3826</f>
        <v>194.572907728759</v>
      </c>
      <c r="M3827" s="38" t="n">
        <f aca="false">Sens!$M$3803-Sens!$M$3824+Sens!$M$3825+Sens!$M$3826</f>
        <v>215.970319419367</v>
      </c>
      <c r="N3827" s="38" t="n">
        <f aca="false">Q!$N$36</f>
        <v>42.536</v>
      </c>
      <c r="O3827" s="38" t="n">
        <f aca="false">Q!$O$36</f>
        <v>54.775</v>
      </c>
    </row>
    <row r="3828" customFormat="false" ht="15" hidden="false" customHeight="false" outlineLevel="0" collapsed="false">
      <c r="A3828" s="5" t="s">
        <v>545</v>
      </c>
      <c r="B3828" s="0" t="s">
        <v>86</v>
      </c>
      <c r="C3828" s="38" t="n">
        <f aca="false">Q!$D$37</f>
        <v>9.265</v>
      </c>
      <c r="D3828" s="38" t="n">
        <f aca="false">Q!$E$37</f>
        <v>19.087</v>
      </c>
      <c r="E3828" s="38" t="n">
        <f aca="false">Q!$P$37</f>
        <v>27.759</v>
      </c>
      <c r="F3828" s="38" t="n">
        <f aca="false">Sens!$F$3827*tax</f>
        <v>9.67236135782862</v>
      </c>
      <c r="G3828" s="38" t="n">
        <f aca="false">Sens!$E$3828+Sens!$F$3828</f>
        <v>37.4313613578286</v>
      </c>
      <c r="H3828" s="38" t="n">
        <f aca="false">Sens!$H$3827*tax</f>
        <v>21.5780396991924</v>
      </c>
      <c r="I3828" s="38" t="n">
        <f aca="false">Sens!$I$3827*tax</f>
        <v>24.8299612192402</v>
      </c>
      <c r="J3828" s="38" t="n">
        <f aca="false">Sens!$J$3827*tax</f>
        <v>28.0894591369812</v>
      </c>
      <c r="K3828" s="38" t="n">
        <f aca="false">Sens!$K$3827*tax</f>
        <v>30.4860406646489</v>
      </c>
      <c r="L3828" s="38" t="n">
        <f aca="false">Sens!$L$3827*tax</f>
        <v>33.7748460813732</v>
      </c>
      <c r="M3828" s="38" t="n">
        <f aca="false">Sens!$M$3827*tax</f>
        <v>37.4891056606025</v>
      </c>
      <c r="N3828" s="38" t="n">
        <f aca="false">Q!$N$37</f>
        <v>7.231</v>
      </c>
      <c r="O3828" s="38" t="n">
        <f aca="false">Q!$O$37</f>
        <v>11.856</v>
      </c>
    </row>
    <row r="3829" customFormat="false" ht="15" hidden="false" customHeight="false" outlineLevel="0" collapsed="false">
      <c r="A3829" s="3" t="s">
        <v>546</v>
      </c>
      <c r="B3829" s="8" t="s">
        <v>86</v>
      </c>
      <c r="C3829" s="38" t="n">
        <f aca="false">Q!$D$38</f>
        <v>59.248</v>
      </c>
      <c r="D3829" s="38" t="n">
        <f aca="false">Q!$E$38</f>
        <v>77.67</v>
      </c>
      <c r="E3829" s="38" t="n">
        <f aca="false">Q!$P$38</f>
        <v>92.902</v>
      </c>
      <c r="F3829" s="38" t="n">
        <f aca="false">Sens!$F$3827-Sens!$F$3828</f>
        <v>46.0489724851675</v>
      </c>
      <c r="G3829" s="38" t="n">
        <f aca="false">Sens!$E$3829+Sens!$F$3829</f>
        <v>138.950972485167</v>
      </c>
      <c r="H3829" s="38" t="n">
        <f aca="false">Sens!$H$3827-Sens!$H$3828</f>
        <v>102.730503920609</v>
      </c>
      <c r="I3829" s="38" t="n">
        <f aca="false">Sens!$I$3827-Sens!$I$3828</f>
        <v>118.212519021234</v>
      </c>
      <c r="J3829" s="38" t="n">
        <f aca="false">Sens!$J$3827-Sens!$J$3828</f>
        <v>133.730604458358</v>
      </c>
      <c r="K3829" s="38" t="n">
        <f aca="false">Sens!$K$3827-Sens!$K$3828</f>
        <v>145.140446661649</v>
      </c>
      <c r="L3829" s="38" t="n">
        <f aca="false">Sens!$L$3827-Sens!$L$3828</f>
        <v>160.798061647386</v>
      </c>
      <c r="M3829" s="38" t="n">
        <f aca="false">Sens!$M$3827-Sens!$M$3828</f>
        <v>178.481213758764</v>
      </c>
      <c r="N3829" s="38" t="n">
        <f aca="false">Q!$N$38</f>
        <v>35.291</v>
      </c>
      <c r="O3829" s="38" t="n">
        <f aca="false">Q!$O$38</f>
        <v>42.379</v>
      </c>
    </row>
    <row r="3830" customFormat="false" ht="17.15" hidden="false" customHeight="false" outlineLevel="0" collapsed="false">
      <c r="A3830" s="5" t="s">
        <v>549</v>
      </c>
      <c r="B3830" s="5" t="s">
        <v>33</v>
      </c>
      <c r="C3830" s="22" t="n">
        <f aca="false">Q!$D$41</f>
        <v>10.721</v>
      </c>
      <c r="D3830" s="22" t="n">
        <f aca="false">Q!$E$41</f>
        <v>10.827</v>
      </c>
      <c r="E3830" s="22" t="n">
        <f aca="false">(Q!$L$41+Q!$M$41)/2</f>
        <v>10.8885</v>
      </c>
      <c r="F3830" s="22" t="n">
        <f aca="false">Sens!$G$3830</f>
        <v>10.924806</v>
      </c>
      <c r="G3830" s="22" t="n">
        <f aca="false">Q!$M$41*(1+sh_g*0.25)</f>
        <v>10.924806</v>
      </c>
      <c r="H3830" s="22" t="n">
        <f aca="false">Sens!$G$3830*(1+sh_g)</f>
        <v>11.012204448</v>
      </c>
      <c r="I3830" s="22" t="n">
        <f aca="false">Sens!$H$3830*(1+sh_g)</f>
        <v>11.100302083584</v>
      </c>
      <c r="J3830" s="22" t="n">
        <f aca="false">Sens!$I$3830*(1+sh_g)</f>
        <v>11.1891045002527</v>
      </c>
      <c r="K3830" s="22" t="n">
        <f aca="false">Sens!$J$3830*(1+sh_g)</f>
        <v>11.2786173362547</v>
      </c>
      <c r="L3830" s="22" t="n">
        <f aca="false">Sens!$K$3830*(1+sh_g)</f>
        <v>11.3688462749447</v>
      </c>
      <c r="M3830" s="22" t="n">
        <f aca="false">Sens!$L$3830*(1+sh_g)</f>
        <v>11.4597970451443</v>
      </c>
      <c r="P3830" s="5" t="s">
        <v>749</v>
      </c>
    </row>
    <row r="3831" customFormat="false" ht="17.15" hidden="false" customHeight="false" outlineLevel="0" collapsed="false">
      <c r="A3831" s="5" t="s">
        <v>750</v>
      </c>
      <c r="B3831" s="0" t="s">
        <v>86</v>
      </c>
      <c r="C3831" s="38" t="n">
        <f aca="false">Sens!$C$3829+Sens!$C$3805*(1-tax)</f>
        <v>59.248</v>
      </c>
      <c r="D3831" s="38" t="n">
        <f aca="false">Sens!$D$3829+Sens!$D$3805*(1-tax)</f>
        <v>77.67</v>
      </c>
      <c r="E3831" s="38" t="n">
        <f aca="false">Sens!$E$3829+Sens!$E$3805*(1-tax)</f>
        <v>92.902</v>
      </c>
      <c r="F3831" s="38" t="n">
        <f aca="false">Sens!$F$3829+Sens!$F$3805*(1-tax)</f>
        <v>49.1655674448162</v>
      </c>
      <c r="G3831" s="38" t="n">
        <f aca="false">Sens!$G$3829+Sens!$G$3805*(1-tax)</f>
        <v>142.067567444816</v>
      </c>
      <c r="H3831" s="38" t="n">
        <f aca="false">Sens!$H$3829+Sens!$H$3805*(1-tax)</f>
        <v>115.261899875954</v>
      </c>
      <c r="I3831" s="38" t="n">
        <f aca="false">Sens!$I$3829+Sens!$I$3805*(1-tax)</f>
        <v>139.353784096174</v>
      </c>
      <c r="J3831" s="38" t="n">
        <f aca="false">Sens!$J$3829+Sens!$J$3805*(1-tax)</f>
        <v>163.520041402641</v>
      </c>
      <c r="K3831" s="38" t="n">
        <f aca="false">Sens!$K$3829+Sens!$K$3805*(1-tax)</f>
        <v>182.307752358307</v>
      </c>
      <c r="L3831" s="38" t="n">
        <f aca="false">Sens!$L$3829+Sens!$L$3805*(1-tax)</f>
        <v>202.814138987941</v>
      </c>
      <c r="M3831" s="38" t="n">
        <f aca="false">Sens!$M$3829+Sens!$M$3805*(1-tax)</f>
        <v>222.810735949605</v>
      </c>
      <c r="N3831" s="38" t="n">
        <f aca="false">Sens!$N$3829+Sens!$N$3805*(1-tax)</f>
        <v>35.291</v>
      </c>
      <c r="O3831" s="38" t="n">
        <f aca="false">Sens!$O$3829+Sens!$O$3805*(1-tax)</f>
        <v>42.379</v>
      </c>
    </row>
    <row r="3832" customFormat="false" ht="17.15" hidden="false" customHeight="false" outlineLevel="0" collapsed="false">
      <c r="A3832" s="43" t="s">
        <v>751</v>
      </c>
      <c r="B3832" s="14" t="s">
        <v>27</v>
      </c>
      <c r="C3832" s="44" t="n">
        <f aca="false">Sens!$C$3831/Sens!$C$3830</f>
        <v>5.52635015390355</v>
      </c>
      <c r="D3832" s="44" t="n">
        <f aca="false">Sens!$D$3831/Sens!$D$3830</f>
        <v>7.1737323358271</v>
      </c>
      <c r="E3832" s="44" t="n">
        <f aca="false">Sens!$E$3831/Sens!$E$3830</f>
        <v>8.53212104513937</v>
      </c>
      <c r="F3832" s="14"/>
      <c r="G3832" s="44" t="n">
        <f aca="false">Sens!$G$3831/Sens!$G$3830</f>
        <v>13.004127253593</v>
      </c>
      <c r="H3832" s="44" t="n">
        <f aca="false">Sens!$H$3831/Sens!$H$3830</f>
        <v>10.4667417337032</v>
      </c>
      <c r="I3832" s="44" t="n">
        <f aca="false">Sens!$I$3831/Sens!$I$3830</f>
        <v>12.5540533083564</v>
      </c>
      <c r="J3832" s="44" t="n">
        <f aca="false">Sens!$J$3831/Sens!$J$3830</f>
        <v>14.6142205928051</v>
      </c>
      <c r="K3832" s="44" t="n">
        <f aca="false">Sens!$K$3831/Sens!$K$3830</f>
        <v>16.1640161132416</v>
      </c>
      <c r="L3832" s="44" t="n">
        <f aca="false">Sens!$L$3831/Sens!$L$3830</f>
        <v>17.8394653321079</v>
      </c>
      <c r="M3832" s="44" t="n">
        <f aca="false">Sens!$M$3831/Sens!$M$3830</f>
        <v>19.44281692528</v>
      </c>
      <c r="N3832" s="14"/>
      <c r="O3832" s="14"/>
    </row>
    <row r="3833" customFormat="false" ht="17.15" hidden="false" customHeight="false" outlineLevel="0" collapsed="false">
      <c r="A3833" s="0" t="s">
        <v>752</v>
      </c>
      <c r="B3833" s="0" t="s">
        <v>27</v>
      </c>
      <c r="C3833" s="30" t="n">
        <f aca="false">Sens!$C$3829/Sens!$C$3830</f>
        <v>5.52635015390355</v>
      </c>
      <c r="D3833" s="30" t="n">
        <f aca="false">Sens!$D$3829/Sens!$D$3830</f>
        <v>7.1737323358271</v>
      </c>
      <c r="E3833" s="30" t="n">
        <f aca="false">Sens!$E$3829/Sens!$E$3830</f>
        <v>8.53212104513937</v>
      </c>
      <c r="G3833" s="30" t="n">
        <f aca="false">Sens!$G$3829/Sens!$G$3830</f>
        <v>12.7188503379527</v>
      </c>
      <c r="H3833" s="30" t="n">
        <f aca="false">Sens!$H$3829/Sens!$H$3830</f>
        <v>9.32878647556048</v>
      </c>
      <c r="I3833" s="30" t="n">
        <f aca="false">Sens!$I$3829/Sens!$I$3830</f>
        <v>10.6494866654175</v>
      </c>
      <c r="J3833" s="30" t="n">
        <f aca="false">Sens!$J$3829/Sens!$J$3830</f>
        <v>11.951859458935</v>
      </c>
      <c r="K3833" s="30" t="n">
        <f aca="false">Sens!$K$3829/Sens!$K$3830</f>
        <v>12.8686382678398</v>
      </c>
      <c r="L3833" s="30" t="n">
        <f aca="false">Sens!$L$3829/Sens!$L$3830</f>
        <v>14.1437449111931</v>
      </c>
      <c r="M3833" s="30" t="n">
        <f aca="false">Sens!$M$3829/Sens!$M$3830</f>
        <v>15.5745527652595</v>
      </c>
    </row>
    <row r="3834" customFormat="false" ht="17.15" hidden="false" customHeight="false" outlineLevel="0" collapsed="false">
      <c r="A3834" s="0" t="s">
        <v>753</v>
      </c>
      <c r="B3834" s="0" t="s">
        <v>27</v>
      </c>
      <c r="C3834" s="30" t="n">
        <f aca="false">(Sens!$C$3829-Sens!$C$3826*(1-tax))/Sens!$C$3830</f>
        <v>5.33926775917445</v>
      </c>
      <c r="D3834" s="30" t="n">
        <f aca="false">(Sens!$D$3829-Sens!$D$3826*(1-tax))/Sens!$D$3830</f>
        <v>5.67691812755503</v>
      </c>
      <c r="E3834" s="30" t="n">
        <f aca="false">(Sens!$E$3829-Sens!$E$3826*(1-tax))/Sens!$E$3830</f>
        <v>3.10602057006846</v>
      </c>
      <c r="G3834" s="30" t="n">
        <f aca="false">(Sens!$G$3829-Sens!$G$3826*(1-tax))/Sens!$G$3830</f>
        <v>7.3107822200557</v>
      </c>
      <c r="H3834" s="30" t="n">
        <f aca="false">(Sens!$H$3829-Sens!$H$3826*(1-tax))/Sens!$H$3830</f>
        <v>9.32878647556048</v>
      </c>
      <c r="I3834" s="30" t="n">
        <f aca="false">(Sens!$I$3829-Sens!$I$3826*(1-tax))/Sens!$I$3830</f>
        <v>10.6494866654175</v>
      </c>
      <c r="J3834" s="30" t="n">
        <f aca="false">(Sens!$J$3829-Sens!$J$3826*(1-tax))/Sens!$J$3830</f>
        <v>11.951859458935</v>
      </c>
      <c r="K3834" s="30" t="n">
        <f aca="false">(Sens!$K$3829-Sens!$K$3826*(1-tax))/Sens!$K$3830</f>
        <v>12.8686382678398</v>
      </c>
      <c r="L3834" s="30" t="n">
        <f aca="false">(Sens!$L$3829-Sens!$L$3826*(1-tax))/Sens!$L$3830</f>
        <v>14.1437449111931</v>
      </c>
      <c r="M3834" s="30" t="n">
        <f aca="false">(Sens!$M$3829-Sens!$M$3826*(1-tax))/Sens!$M$3830</f>
        <v>15.5745527652595</v>
      </c>
      <c r="P3834" s="5" t="s">
        <v>754</v>
      </c>
    </row>
    <row r="3835" customFormat="false" ht="17.15" hidden="false" customHeight="false" outlineLevel="0" collapsed="false">
      <c r="A3835" s="0" t="s">
        <v>755</v>
      </c>
      <c r="B3835" s="0" t="s">
        <v>52</v>
      </c>
      <c r="H3835" s="13" t="n">
        <f aca="false">Sens!$H$3832/Sens!$G$3832-1</f>
        <v>-0.195121554134951</v>
      </c>
      <c r="I3835" s="13" t="n">
        <f aca="false">Sens!$I$3832/Sens!$H$3832-1</f>
        <v>0.199423242472104</v>
      </c>
      <c r="J3835" s="13" t="n">
        <f aca="false">Sens!$J$3832/Sens!$I$3832-1</f>
        <v>0.164103754687529</v>
      </c>
      <c r="K3835" s="13" t="n">
        <f aca="false">Sens!$K$3832/Sens!$J$3832-1</f>
        <v>0.10604708684906</v>
      </c>
      <c r="L3835" s="13" t="n">
        <f aca="false">Sens!$L$3832/Sens!$K$3832-1</f>
        <v>0.103653028252908</v>
      </c>
      <c r="M3835" s="13" t="n">
        <f aca="false">Sens!$M$3832/Sens!$L$3832-1</f>
        <v>0.0898766618462639</v>
      </c>
    </row>
    <row r="3838" customFormat="false" ht="19.4" hidden="false" customHeight="false" outlineLevel="0" collapsed="false">
      <c r="A3838" s="31" t="s">
        <v>1205</v>
      </c>
    </row>
    <row r="3839" customFormat="false" ht="17.15" hidden="false" customHeight="false" outlineLevel="0" collapsed="false">
      <c r="A3839" s="6" t="s">
        <v>16</v>
      </c>
      <c r="B3839" s="6" t="s">
        <v>17</v>
      </c>
      <c r="C3839" s="20" t="s">
        <v>494</v>
      </c>
      <c r="D3839" s="20" t="s">
        <v>495</v>
      </c>
      <c r="E3839" s="20" t="s">
        <v>577</v>
      </c>
      <c r="F3839" s="20" t="s">
        <v>578</v>
      </c>
      <c r="G3839" s="20" t="s">
        <v>579</v>
      </c>
      <c r="H3839" s="20" t="s">
        <v>580</v>
      </c>
      <c r="I3839" s="20" t="s">
        <v>581</v>
      </c>
      <c r="J3839" s="20" t="s">
        <v>582</v>
      </c>
      <c r="K3839" s="20" t="s">
        <v>583</v>
      </c>
      <c r="L3839" s="20" t="s">
        <v>584</v>
      </c>
      <c r="M3839" s="20" t="s">
        <v>585</v>
      </c>
      <c r="N3839" s="20" t="s">
        <v>586</v>
      </c>
      <c r="O3839" s="20" t="s">
        <v>587</v>
      </c>
      <c r="P3839" s="6" t="s">
        <v>23</v>
      </c>
      <c r="R3839" s="20" t="n">
        <v>2023</v>
      </c>
      <c r="S3839" s="20" t="n">
        <v>2024</v>
      </c>
      <c r="T3839" s="20" t="n">
        <v>2025</v>
      </c>
      <c r="U3839" s="20" t="n">
        <v>2026</v>
      </c>
      <c r="V3839" s="20" t="n">
        <v>2027</v>
      </c>
      <c r="W3839" s="20" t="n">
        <v>2028</v>
      </c>
      <c r="X3839" s="20" t="n">
        <v>2029</v>
      </c>
      <c r="Y3839" s="20" t="n">
        <v>2030</v>
      </c>
      <c r="Z3839" s="20" t="n">
        <v>2031</v>
      </c>
      <c r="AA3839" s="20" t="n">
        <v>2032</v>
      </c>
    </row>
    <row r="3840" customFormat="false" ht="15" hidden="false" customHeight="false" outlineLevel="0" collapsed="false">
      <c r="A3840" s="5" t="s">
        <v>546</v>
      </c>
      <c r="B3840" s="0" t="s">
        <v>86</v>
      </c>
      <c r="C3840" s="38" t="n">
        <f aca="false">Sens!$C$3829</f>
        <v>59.248</v>
      </c>
      <c r="D3840" s="38" t="n">
        <f aca="false">Sens!$D$3829</f>
        <v>77.67</v>
      </c>
      <c r="E3840" s="38" t="n">
        <f aca="false">Sens!$E$3829</f>
        <v>92.902</v>
      </c>
      <c r="F3840" s="38" t="n">
        <f aca="false">Sens!$F$3829</f>
        <v>46.0489724851675</v>
      </c>
      <c r="G3840" s="38" t="n">
        <f aca="false">Sens!$G$3829</f>
        <v>138.950972485167</v>
      </c>
      <c r="H3840" s="38" t="n">
        <f aca="false">Sens!$H$3829</f>
        <v>102.730503920609</v>
      </c>
      <c r="I3840" s="38" t="n">
        <f aca="false">Sens!$I$3829</f>
        <v>118.212519021234</v>
      </c>
      <c r="J3840" s="38" t="n">
        <f aca="false">Sens!$J$3829</f>
        <v>133.730604458358</v>
      </c>
      <c r="K3840" s="38" t="n">
        <f aca="false">Sens!$K$3829</f>
        <v>145.140446661649</v>
      </c>
      <c r="L3840" s="38" t="n">
        <f aca="false">Sens!$L$3829</f>
        <v>160.798061647386</v>
      </c>
      <c r="M3840" s="38" t="n">
        <f aca="false">Sens!$M$3829</f>
        <v>178.481213758764</v>
      </c>
    </row>
    <row r="3841" customFormat="false" ht="17.15" hidden="false" customHeight="false" outlineLevel="0" collapsed="false">
      <c r="A3841" s="5" t="s">
        <v>778</v>
      </c>
      <c r="B3841" s="0" t="s">
        <v>86</v>
      </c>
      <c r="C3841" s="38" t="n">
        <f aca="false">Sens!$C$3817</f>
        <v>32.067</v>
      </c>
      <c r="D3841" s="38" t="n">
        <f aca="false">Sens!$D$3817</f>
        <v>41.86</v>
      </c>
      <c r="E3841" s="38" t="n">
        <f aca="false">Sens!$E$3817</f>
        <v>26.703</v>
      </c>
      <c r="F3841" s="38" t="n">
        <f aca="false">Sens!$F$3817</f>
        <v>29.2913179650864</v>
      </c>
      <c r="G3841" s="38" t="n">
        <f aca="false">Sens!$G$3817</f>
        <v>55.9943179650864</v>
      </c>
      <c r="H3841" s="38" t="n">
        <f aca="false">Sens!$H$3817</f>
        <v>84.3163410985152</v>
      </c>
      <c r="I3841" s="38" t="n">
        <f aca="false">Sens!$I$3817</f>
        <v>117.040344991004</v>
      </c>
      <c r="J3841" s="38" t="n">
        <f aca="false">Sens!$J$3817</f>
        <v>150.498981474685</v>
      </c>
      <c r="K3841" s="38" t="n">
        <f aca="false">Sens!$K$3817</f>
        <v>184.188121970284</v>
      </c>
      <c r="L3841" s="38" t="n">
        <f aca="false">Sens!$L$3817</f>
        <v>207.768718060808</v>
      </c>
      <c r="M3841" s="38" t="n">
        <f aca="false">Sens!$M$3817</f>
        <v>224.003934647752</v>
      </c>
    </row>
    <row r="3842" customFormat="false" ht="15" hidden="false" customHeight="false" outlineLevel="0" collapsed="false">
      <c r="A3842" s="5" t="s">
        <v>779</v>
      </c>
      <c r="B3842" s="0" t="s">
        <v>86</v>
      </c>
      <c r="C3842" s="38" t="n">
        <f aca="false">Q!$D$48</f>
        <v>22.011</v>
      </c>
      <c r="D3842" s="38" t="n">
        <f aca="false">Q!$E$48</f>
        <v>19.467</v>
      </c>
      <c r="E3842" s="38" t="n">
        <f aca="false">Q!$P$48</f>
        <v>10.07</v>
      </c>
      <c r="F3842" s="38" t="n">
        <f aca="false">sbc_r*Sens!$F$3759</f>
        <v>10.8507035798037</v>
      </c>
      <c r="G3842" s="38" t="n">
        <f aca="false">Sens!$E$3842+Sens!$F$3842</f>
        <v>20.9207035798037</v>
      </c>
      <c r="H3842" s="38" t="n">
        <f aca="false">sbc_r*Sens!$H$3759</f>
        <v>23.46224366345</v>
      </c>
      <c r="I3842" s="38" t="n">
        <f aca="false">sbc_r*Sens!$I$3759</f>
        <v>26.6125957111676</v>
      </c>
      <c r="J3842" s="38" t="n">
        <f aca="false">sbc_r*Sens!$J$3759</f>
        <v>29.6280801413323</v>
      </c>
      <c r="K3842" s="38" t="n">
        <f aca="false">sbc_r*Sens!$K$3759</f>
        <v>32.2712258901105</v>
      </c>
      <c r="L3842" s="38" t="n">
        <f aca="false">sbc_r*Sens!$L$3759</f>
        <v>34.7390505016737</v>
      </c>
      <c r="M3842" s="38" t="n">
        <f aca="false">sbc_r*Sens!$M$3759</f>
        <v>37.0405146906692</v>
      </c>
    </row>
    <row r="3843" customFormat="false" ht="17.15" hidden="false" customHeight="false" outlineLevel="0" collapsed="false">
      <c r="A3843" s="5" t="s">
        <v>780</v>
      </c>
      <c r="B3843" s="0" t="s">
        <v>86</v>
      </c>
      <c r="C3843" s="38" t="n">
        <f aca="false">Q!$D$44-Sens!$C$3840-Sens!$C$3841-Sens!$C$3842</f>
        <v>2.551</v>
      </c>
      <c r="D3843" s="38" t="n">
        <f aca="false">Q!$E$44-Sens!$D$3840-Sens!$D$3841-Sens!$D$3842</f>
        <v>0.51700000000001</v>
      </c>
      <c r="E3843" s="38" t="n">
        <f aca="false">Q!$P$44-Sens!$E$3840-Sens!$E$3841-Sens!$E$3842</f>
        <v>-58.256</v>
      </c>
      <c r="F3843" s="38" t="n">
        <f aca="false">oth_r*Sens!$F$3759</f>
        <v>5.22265251035878</v>
      </c>
      <c r="G3843" s="38" t="n">
        <f aca="false">Sens!$E$3843+Sens!$F$3843</f>
        <v>-53.0333474896412</v>
      </c>
      <c r="H3843" s="38" t="n">
        <f aca="false">oth_r*Sens!$H$3759</f>
        <v>11.2928295263397</v>
      </c>
      <c r="I3843" s="38" t="n">
        <f aca="false">oth_r*Sens!$I$3759</f>
        <v>12.8091546115766</v>
      </c>
      <c r="J3843" s="38" t="n">
        <f aca="false">oth_r*Sens!$J$3759</f>
        <v>14.2605653162668</v>
      </c>
      <c r="K3843" s="38" t="n">
        <f aca="false">oth_r*Sens!$K$3759</f>
        <v>15.5327622460396</v>
      </c>
      <c r="L3843" s="38" t="n">
        <f aca="false">oth_r*Sens!$L$3759</f>
        <v>16.720573737517</v>
      </c>
      <c r="M3843" s="38" t="n">
        <f aca="false">oth_r*Sens!$M$3759</f>
        <v>17.8283127551536</v>
      </c>
      <c r="P3843" s="8" t="s">
        <v>781</v>
      </c>
    </row>
    <row r="3844" customFormat="false" ht="15" hidden="false" customHeight="false" outlineLevel="0" collapsed="false">
      <c r="A3844" s="3" t="s">
        <v>552</v>
      </c>
      <c r="B3844" s="8" t="s">
        <v>86</v>
      </c>
      <c r="C3844" s="38" t="n">
        <f aca="false">Q!$D$44</f>
        <v>115.877</v>
      </c>
      <c r="D3844" s="38" t="n">
        <f aca="false">Q!$E$44</f>
        <v>139.514</v>
      </c>
      <c r="E3844" s="38" t="n">
        <f aca="false">Q!$P$44</f>
        <v>71.419</v>
      </c>
      <c r="F3844" s="38" t="n">
        <f aca="false">Sens!$F$3840+Sens!$F$3841+Sens!$F$3842+Sens!$F$3843</f>
        <v>91.4136465404163</v>
      </c>
      <c r="G3844" s="38" t="n">
        <f aca="false">Sens!$E$3844+Sens!$F$3844</f>
        <v>162.832646540416</v>
      </c>
      <c r="H3844" s="38" t="n">
        <f aca="false">Sens!$H$3840+Sens!$H$3841+Sens!$H$3842+Sens!$H$3843</f>
        <v>221.801918208914</v>
      </c>
      <c r="I3844" s="38" t="n">
        <f aca="false">Sens!$I$3840+Sens!$I$3841+Sens!$I$3842+Sens!$I$3843</f>
        <v>274.674614334982</v>
      </c>
      <c r="J3844" s="38" t="n">
        <f aca="false">Sens!$J$3840+Sens!$J$3841+Sens!$J$3842+Sens!$J$3843</f>
        <v>328.118231390641</v>
      </c>
      <c r="K3844" s="38" t="n">
        <f aca="false">Sens!$K$3840+Sens!$K$3841+Sens!$K$3842+Sens!$K$3843</f>
        <v>377.132556768082</v>
      </c>
      <c r="L3844" s="38" t="n">
        <f aca="false">Sens!$L$3840+Sens!$L$3841+Sens!$L$3842+Sens!$L$3843</f>
        <v>420.026403947385</v>
      </c>
      <c r="M3844" s="38" t="n">
        <f aca="false">Sens!$M$3840+Sens!$M$3841+Sens!$M$3842+Sens!$M$3843</f>
        <v>457.353975852339</v>
      </c>
    </row>
    <row r="3845" customFormat="false" ht="17.15" hidden="false" customHeight="false" outlineLevel="0" collapsed="false">
      <c r="A3845" s="5" t="s">
        <v>782</v>
      </c>
      <c r="B3845" s="0" t="s">
        <v>86</v>
      </c>
      <c r="C3845" s="38" t="n">
        <f aca="false">Sens!$C$3728</f>
        <v>25.2781053077374</v>
      </c>
      <c r="D3845" s="38" t="n">
        <f aca="false">Sens!$D$3728</f>
        <v>69.5686316310026</v>
      </c>
      <c r="E3845" s="38" t="n">
        <f aca="false">Sens!$E$3728</f>
        <v>64.1899206485108</v>
      </c>
      <c r="F3845" s="38" t="n">
        <f aca="false">Sens!$F$3728</f>
        <v>96.2481299895</v>
      </c>
      <c r="G3845" s="38" t="n">
        <f aca="false">Sens!$G$3728</f>
        <v>160.438050638011</v>
      </c>
      <c r="H3845" s="38" t="n">
        <f aca="false">Sens!$H$3728</f>
        <v>198.57136494475</v>
      </c>
      <c r="I3845" s="38" t="n">
        <f aca="false">Sens!$I$3728</f>
        <v>204.6464699105</v>
      </c>
      <c r="J3845" s="38" t="n">
        <f aca="false">Sens!$J$3728</f>
        <v>209.8832381105</v>
      </c>
      <c r="K3845" s="38" t="n">
        <f aca="false">Sens!$K$3728</f>
        <v>155.238385275201</v>
      </c>
      <c r="L3845" s="38" t="n">
        <f aca="false">Sens!$L$3728</f>
        <v>132.014141639902</v>
      </c>
      <c r="M3845" s="38" t="n">
        <f aca="false">Sens!$M$3728</f>
        <v>132.230981659852</v>
      </c>
    </row>
    <row r="3846" customFormat="false" ht="17.15" hidden="false" customHeight="false" outlineLevel="0" collapsed="false">
      <c r="A3846" s="5" t="s">
        <v>783</v>
      </c>
      <c r="B3846" s="0" t="s">
        <v>86</v>
      </c>
      <c r="C3846" s="38" t="n">
        <f aca="false">cx_awso*Sens!$C$3757</f>
        <v>21.0469989286053</v>
      </c>
      <c r="D3846" s="38" t="n">
        <f aca="false">cx_awso*Sens!$D$3757</f>
        <v>24.0042459822698</v>
      </c>
      <c r="E3846" s="38" t="n">
        <f aca="false">cx_awso*Sens!$E$3757</f>
        <v>14.261729404886</v>
      </c>
      <c r="F3846" s="38" t="n">
        <f aca="false">cx_awso*Sens!$F$3757</f>
        <v>14.3538599588493</v>
      </c>
      <c r="G3846" s="38" t="n">
        <f aca="false">Sens!$E$3846+Sens!$F$3846</f>
        <v>28.6155893637353</v>
      </c>
      <c r="H3846" s="38" t="n">
        <f aca="false">cx_awso*Sens!$H$3757</f>
        <v>32.2034154158406</v>
      </c>
      <c r="I3846" s="38" t="n">
        <f aca="false">cx_awso*Sens!$I$3757</f>
        <v>35.7539519042915</v>
      </c>
      <c r="J3846" s="38" t="n">
        <f aca="false">cx_awso*Sens!$J$3757</f>
        <v>39.1551076091815</v>
      </c>
      <c r="K3846" s="38" t="n">
        <f aca="false">cx_awso*Sens!$K$3757</f>
        <v>42.287516217916</v>
      </c>
      <c r="L3846" s="38" t="n">
        <f aca="false">cx_awso*Sens!$L$3757</f>
        <v>45.6705175153492</v>
      </c>
      <c r="M3846" s="38" t="n">
        <f aca="false">cx_awso*Sens!$M$3757</f>
        <v>49.3241589165772</v>
      </c>
    </row>
    <row r="3847" customFormat="false" ht="17.15" hidden="false" customHeight="false" outlineLevel="0" collapsed="false">
      <c r="A3847" s="5" t="s">
        <v>784</v>
      </c>
      <c r="B3847" s="0" t="s">
        <v>86</v>
      </c>
      <c r="C3847" s="38" t="n">
        <f aca="false">Q!$D$46-Sens!$C$3845-Sens!$C$3846</f>
        <v>31.3328957636573</v>
      </c>
      <c r="D3847" s="38" t="n">
        <f aca="false">Q!$E$46-Sens!$D$3845-Sens!$D$3846</f>
        <v>34.7471223867276</v>
      </c>
      <c r="E3847" s="38" t="n">
        <f aca="false">Q!$P$46-Sens!$E$3845-Sens!$E$3846</f>
        <v>17.8583499466032</v>
      </c>
      <c r="F3847" s="38" t="n">
        <f aca="false">cx_rt*Sens!$F$3691</f>
        <v>20.6195895799373</v>
      </c>
      <c r="G3847" s="38" t="n">
        <f aca="false">Sens!$E$3847+Sens!$F$3847</f>
        <v>38.4779395265405</v>
      </c>
      <c r="H3847" s="38" t="n">
        <f aca="false">cx_rt*Sens!$H$3691</f>
        <v>42.5978994743075</v>
      </c>
      <c r="I3847" s="38" t="n">
        <f aca="false">cx_rt*Sens!$I$3691</f>
        <v>46.5813904136335</v>
      </c>
      <c r="J3847" s="38" t="n">
        <f aca="false">cx_rt*Sens!$J$3691</f>
        <v>50.2781676586844</v>
      </c>
      <c r="K3847" s="38" t="n">
        <f aca="false">cx_rt*Sens!$K$3691</f>
        <v>53.5312440191755</v>
      </c>
      <c r="L3847" s="38" t="n">
        <f aca="false">cx_rt*Sens!$L$3691</f>
        <v>57.0116717051447</v>
      </c>
      <c r="M3847" s="38" t="n">
        <f aca="false">cx_rt*Sens!$M$3691</f>
        <v>60.7365554669226</v>
      </c>
    </row>
    <row r="3848" customFormat="false" ht="15" hidden="false" customHeight="false" outlineLevel="0" collapsed="false">
      <c r="A3848" s="3" t="s">
        <v>785</v>
      </c>
      <c r="B3848" s="8" t="s">
        <v>86</v>
      </c>
      <c r="C3848" s="38" t="n">
        <f aca="false">Q!$D$46</f>
        <v>77.658</v>
      </c>
      <c r="D3848" s="38" t="n">
        <f aca="false">Q!$E$46</f>
        <v>128.32</v>
      </c>
      <c r="E3848" s="38" t="n">
        <f aca="false">Q!$P$46</f>
        <v>96.31</v>
      </c>
      <c r="F3848" s="38" t="n">
        <f aca="false">Sens!$F$3845+Sens!$F$3846+Sens!$F$3847</f>
        <v>131.221579528287</v>
      </c>
      <c r="G3848" s="38" t="n">
        <f aca="false">Sens!$E$3848+Sens!$F$3848</f>
        <v>227.531579528287</v>
      </c>
      <c r="H3848" s="38" t="n">
        <f aca="false">Sens!$H$3845+Sens!$H$3846+Sens!$H$3847</f>
        <v>273.372679834898</v>
      </c>
      <c r="I3848" s="38" t="n">
        <f aca="false">Sens!$I$3845+Sens!$I$3846+Sens!$I$3847</f>
        <v>286.981812228425</v>
      </c>
      <c r="J3848" s="38" t="n">
        <f aca="false">Sens!$J$3845+Sens!$J$3846+Sens!$J$3847</f>
        <v>299.316513378366</v>
      </c>
      <c r="K3848" s="38" t="n">
        <f aca="false">Sens!$K$3845+Sens!$K$3846+Sens!$K$3847</f>
        <v>251.057145512292</v>
      </c>
      <c r="L3848" s="38" t="n">
        <f aca="false">Sens!$L$3845+Sens!$L$3846+Sens!$L$3847</f>
        <v>234.696330860396</v>
      </c>
      <c r="M3848" s="38" t="n">
        <f aca="false">Sens!$M$3845+Sens!$M$3846+Sens!$M$3847</f>
        <v>242.291696043352</v>
      </c>
    </row>
    <row r="3849" customFormat="false" ht="17.15" hidden="false" customHeight="false" outlineLevel="0" collapsed="false">
      <c r="A3849" s="5" t="s">
        <v>560</v>
      </c>
      <c r="B3849" s="0" t="s">
        <v>86</v>
      </c>
      <c r="C3849" s="38" t="n">
        <f aca="false">Q!$D$50</f>
        <v>2.043</v>
      </c>
      <c r="D3849" s="38" t="n">
        <f aca="false">Q!$E$50</f>
        <v>1.557</v>
      </c>
      <c r="E3849" s="38" t="n">
        <f aca="false">lease_pr/2</f>
        <v>0.8</v>
      </c>
      <c r="F3849" s="38" t="n">
        <f aca="false">lease_pr/2</f>
        <v>0.8</v>
      </c>
      <c r="G3849" s="38" t="n">
        <f aca="false">Sens!$E$3849+Sens!$F$3849</f>
        <v>1.6</v>
      </c>
      <c r="H3849" s="38" t="n">
        <f aca="false">lease_pr</f>
        <v>1.6</v>
      </c>
      <c r="I3849" s="38" t="n">
        <f aca="false">lease_pr</f>
        <v>1.6</v>
      </c>
      <c r="J3849" s="38" t="n">
        <f aca="false">lease_pr</f>
        <v>1.6</v>
      </c>
      <c r="K3849" s="38" t="n">
        <f aca="false">lease_pr</f>
        <v>1.6</v>
      </c>
      <c r="L3849" s="38" t="n">
        <f aca="false">lease_pr</f>
        <v>1.6</v>
      </c>
      <c r="M3849" s="38" t="n">
        <f aca="false">lease_pr</f>
        <v>1.6</v>
      </c>
      <c r="P3849" s="8" t="s">
        <v>786</v>
      </c>
    </row>
    <row r="3850" customFormat="false" ht="15" hidden="false" customHeight="false" outlineLevel="0" collapsed="false">
      <c r="A3850" s="47" t="s">
        <v>787</v>
      </c>
      <c r="B3850" s="14" t="s">
        <v>86</v>
      </c>
      <c r="C3850" s="48" t="n">
        <f aca="false">Sens!$C$3844-Sens!$C$3848-Sens!$C$3849</f>
        <v>36.176</v>
      </c>
      <c r="D3850" s="48" t="n">
        <f aca="false">Sens!$D$3844-Sens!$D$3848-Sens!$D$3849</f>
        <v>9.63700000000002</v>
      </c>
      <c r="E3850" s="48" t="n">
        <f aca="false">Sens!$E$3844-Sens!$E$3848-Sens!$E$3849</f>
        <v>-25.691</v>
      </c>
      <c r="F3850" s="48" t="n">
        <f aca="false">Sens!$F$3844-Sens!$F$3848-Sens!$F$3849</f>
        <v>-40.6079329878703</v>
      </c>
      <c r="G3850" s="48" t="n">
        <f aca="false">Sens!$G$3844-Sens!$G$3848-Sens!$G$3849</f>
        <v>-66.2989329878703</v>
      </c>
      <c r="H3850" s="48" t="n">
        <f aca="false">Sens!$H$3844-Sens!$H$3848-Sens!$H$3849</f>
        <v>-53.1707616259839</v>
      </c>
      <c r="I3850" s="48" t="n">
        <f aca="false">Sens!$I$3844-Sens!$I$3848-Sens!$I$3849</f>
        <v>-13.9071978934426</v>
      </c>
      <c r="J3850" s="48" t="n">
        <f aca="false">Sens!$J$3844-Sens!$J$3848-Sens!$J$3849</f>
        <v>27.2017180122755</v>
      </c>
      <c r="K3850" s="48" t="n">
        <f aca="false">Sens!$K$3844-Sens!$K$3848-Sens!$K$3849</f>
        <v>124.47541125579</v>
      </c>
      <c r="L3850" s="48" t="n">
        <f aca="false">Sens!$L$3844-Sens!$L$3848-Sens!$L$3849</f>
        <v>183.730073086989</v>
      </c>
      <c r="M3850" s="48" t="n">
        <f aca="false">Sens!$M$3844-Sens!$M$3848-Sens!$M$3849</f>
        <v>213.462279808987</v>
      </c>
      <c r="N3850" s="14"/>
      <c r="O3850" s="14"/>
    </row>
    <row r="3851" customFormat="false" ht="17.15" hidden="false" customHeight="false" outlineLevel="0" collapsed="false">
      <c r="A3851" s="5" t="s">
        <v>788</v>
      </c>
      <c r="B3851" s="0" t="s">
        <v>86</v>
      </c>
      <c r="C3851" s="38" t="n">
        <f aca="false">dps*Sens!$C$3830</f>
        <v>0</v>
      </c>
      <c r="D3851" s="38" t="n">
        <f aca="false">dps*Sens!$D$3830</f>
        <v>0</v>
      </c>
      <c r="E3851" s="38" t="n">
        <f aca="false">dps*Sens!$E$3830</f>
        <v>0</v>
      </c>
      <c r="F3851" s="38" t="n">
        <f aca="false">0</f>
        <v>0</v>
      </c>
      <c r="G3851" s="38" t="n">
        <f aca="false">dps*Sens!$G$3830</f>
        <v>0</v>
      </c>
      <c r="H3851" s="38" t="n">
        <f aca="false">dps*Sens!$H$3830</f>
        <v>0</v>
      </c>
      <c r="I3851" s="38" t="n">
        <f aca="false">dps*Sens!$I$3830</f>
        <v>0</v>
      </c>
      <c r="J3851" s="38" t="n">
        <f aca="false">dps*Sens!$J$3830</f>
        <v>0</v>
      </c>
      <c r="K3851" s="38" t="n">
        <f aca="false">dps*Sens!$K$3830</f>
        <v>0</v>
      </c>
      <c r="L3851" s="38" t="n">
        <f aca="false">dps*Sens!$L$3830</f>
        <v>0</v>
      </c>
      <c r="M3851" s="38" t="n">
        <f aca="false">dps*Sens!$M$3830</f>
        <v>0</v>
      </c>
      <c r="P3851" s="8" t="s">
        <v>789</v>
      </c>
    </row>
    <row r="3852" customFormat="false" ht="17.15" hidden="false" customHeight="false" outlineLevel="0" collapsed="false">
      <c r="A3852" s="5" t="s">
        <v>790</v>
      </c>
      <c r="B3852" s="0" t="s">
        <v>86</v>
      </c>
      <c r="C3852" s="38" t="n">
        <f aca="false">0</f>
        <v>0</v>
      </c>
      <c r="D3852" s="38" t="n">
        <f aca="false">0</f>
        <v>0</v>
      </c>
      <c r="E3852" s="38" t="n">
        <f aca="false">0</f>
        <v>0</v>
      </c>
      <c r="F3852" s="38" t="n">
        <f aca="false">0</f>
        <v>0</v>
      </c>
      <c r="G3852" s="38" t="n">
        <f aca="false">0</f>
        <v>0</v>
      </c>
      <c r="H3852" s="38" t="n">
        <f aca="false">0</f>
        <v>0</v>
      </c>
      <c r="I3852" s="38" t="n">
        <f aca="false">0</f>
        <v>0</v>
      </c>
      <c r="J3852" s="38" t="n">
        <f aca="false">0</f>
        <v>0</v>
      </c>
      <c r="K3852" s="38" t="n">
        <f aca="false">0</f>
        <v>0</v>
      </c>
      <c r="L3852" s="38" t="n">
        <f aca="false">0</f>
        <v>0</v>
      </c>
      <c r="M3852" s="38" t="n">
        <f aca="false">0</f>
        <v>0</v>
      </c>
      <c r="P3852" s="8" t="s">
        <v>791</v>
      </c>
    </row>
    <row r="3853" customFormat="false" ht="15" hidden="false" customHeight="false" outlineLevel="0" collapsed="false">
      <c r="A3853" s="3" t="s">
        <v>792</v>
      </c>
      <c r="B3853" s="8" t="s">
        <v>86</v>
      </c>
      <c r="C3853" s="38" t="n">
        <f aca="false">Sens!$C$3850-Sens!$C$3851</f>
        <v>36.176</v>
      </c>
      <c r="D3853" s="38" t="n">
        <f aca="false">Sens!$D$3850-Sens!$D$3851</f>
        <v>9.63700000000002</v>
      </c>
      <c r="E3853" s="38" t="n">
        <f aca="false">Sens!$E$3850-Sens!$E$3851</f>
        <v>-25.691</v>
      </c>
      <c r="F3853" s="38" t="n">
        <f aca="false">Sens!$F$3850-Sens!$F$3851</f>
        <v>-40.6079329878703</v>
      </c>
      <c r="G3853" s="38" t="n">
        <f aca="false">Sens!$G$3850-Sens!$G$3851</f>
        <v>-66.2989329878703</v>
      </c>
      <c r="H3853" s="38" t="n">
        <f aca="false">Sens!$H$3850-Sens!$H$3851</f>
        <v>-53.1707616259839</v>
      </c>
      <c r="I3853" s="38" t="n">
        <f aca="false">Sens!$I$3850-Sens!$I$3851</f>
        <v>-13.9071978934426</v>
      </c>
      <c r="J3853" s="38" t="n">
        <f aca="false">Sens!$J$3850-Sens!$J$3851</f>
        <v>27.2017180122755</v>
      </c>
      <c r="K3853" s="38" t="n">
        <f aca="false">Sens!$K$3850-Sens!$K$3851</f>
        <v>124.47541125579</v>
      </c>
      <c r="L3853" s="38" t="n">
        <f aca="false">Sens!$L$3850-Sens!$L$3851</f>
        <v>183.730073086989</v>
      </c>
      <c r="M3853" s="38" t="n">
        <f aca="false">Sens!$M$3850-Sens!$M$3851</f>
        <v>213.462279808987</v>
      </c>
    </row>
    <row r="3854" customFormat="false" ht="17.15" hidden="false" customHeight="false" outlineLevel="0" collapsed="false">
      <c r="A3854" s="5" t="s">
        <v>793</v>
      </c>
      <c r="B3854" s="0" t="s">
        <v>86</v>
      </c>
      <c r="E3854" s="38" t="n">
        <f aca="false">Q!$P$53</f>
        <v>39.767</v>
      </c>
      <c r="F3854" s="38" t="n">
        <f aca="false">inv_2h26</f>
        <v>21.3</v>
      </c>
      <c r="G3854" s="38" t="n">
        <f aca="false">Sens!$E$3854+Sens!$F$3854</f>
        <v>61.067</v>
      </c>
      <c r="H3854" s="39" t="n">
        <v>0</v>
      </c>
      <c r="I3854" s="39" t="n">
        <v>0</v>
      </c>
      <c r="J3854" s="39" t="n">
        <v>0</v>
      </c>
      <c r="K3854" s="39" t="n">
        <v>0</v>
      </c>
      <c r="L3854" s="39" t="n">
        <v>0</v>
      </c>
      <c r="M3854" s="39" t="n">
        <v>0</v>
      </c>
    </row>
    <row r="3855" customFormat="false" ht="17.15" hidden="false" customHeight="false" outlineLevel="0" collapsed="false">
      <c r="A3855" s="5" t="s">
        <v>794</v>
      </c>
      <c r="B3855" s="0" t="s">
        <v>86</v>
      </c>
      <c r="F3855" s="38" t="n">
        <f aca="false">iss_2h26</f>
        <v>29.249999</v>
      </c>
      <c r="G3855" s="38" t="n">
        <f aca="false">Sens!$F$3855</f>
        <v>29.249999</v>
      </c>
      <c r="H3855" s="39" t="n">
        <v>0</v>
      </c>
      <c r="I3855" s="39" t="n">
        <v>0</v>
      </c>
      <c r="J3855" s="39" t="n">
        <v>0</v>
      </c>
      <c r="K3855" s="39" t="n">
        <v>0</v>
      </c>
      <c r="L3855" s="39" t="n">
        <v>0</v>
      </c>
      <c r="M3855" s="39" t="n">
        <v>0</v>
      </c>
    </row>
    <row r="3856" customFormat="false" ht="17.15" hidden="false" customHeight="false" outlineLevel="0" collapsed="false">
      <c r="A3856" s="5" t="s">
        <v>795</v>
      </c>
      <c r="B3856" s="0" t="s">
        <v>86</v>
      </c>
      <c r="F3856" s="38" t="n">
        <f aca="false">cash_q2</f>
        <v>122.988</v>
      </c>
      <c r="G3856" s="38" t="n">
        <f aca="false">cash_q2</f>
        <v>122.988</v>
      </c>
      <c r="H3856" s="38" t="n">
        <f aca="false">Sens!$G$3859</f>
        <v>90.3300660121297</v>
      </c>
      <c r="I3856" s="38" t="n">
        <f aca="false">Sens!$H$3859</f>
        <v>50</v>
      </c>
      <c r="J3856" s="38" t="n">
        <f aca="false">Sens!$I$3859</f>
        <v>50</v>
      </c>
      <c r="K3856" s="38" t="n">
        <f aca="false">Sens!$J$3859</f>
        <v>77.2017180122755</v>
      </c>
      <c r="L3856" s="38" t="n">
        <f aca="false">Sens!$K$3859</f>
        <v>201.677129268066</v>
      </c>
      <c r="M3856" s="38" t="n">
        <f aca="false">Sens!$L$3859</f>
        <v>385.407202355054</v>
      </c>
    </row>
    <row r="3857" customFormat="false" ht="15" hidden="false" customHeight="false" outlineLevel="0" collapsed="false">
      <c r="A3857" s="5" t="s">
        <v>796</v>
      </c>
      <c r="B3857" s="0" t="s">
        <v>86</v>
      </c>
      <c r="F3857" s="38" t="n">
        <f aca="false">Sens!$F$3856+Sens!$F$3853-Sens!$F$3852-Sens!$F$3854+Sens!$F$3855</f>
        <v>90.3300660121297</v>
      </c>
      <c r="H3857" s="38" t="n">
        <f aca="false">Sens!$H$3856+Sens!$H$3853-Sens!$H$3852-Sens!$H$3854+Sens!$H$3855</f>
        <v>37.1593043861458</v>
      </c>
      <c r="I3857" s="38" t="n">
        <f aca="false">Sens!$I$3856+Sens!$I$3853-Sens!$I$3852-Sens!$I$3854+Sens!$I$3855</f>
        <v>36.0928021065574</v>
      </c>
      <c r="J3857" s="38" t="n">
        <f aca="false">Sens!$J$3856+Sens!$J$3853-Sens!$J$3852-Sens!$J$3854+Sens!$J$3855</f>
        <v>77.2017180122755</v>
      </c>
      <c r="K3857" s="38" t="n">
        <f aca="false">Sens!$K$3856+Sens!$K$3853-Sens!$K$3852-Sens!$K$3854+Sens!$K$3855</f>
        <v>201.677129268066</v>
      </c>
      <c r="L3857" s="38" t="n">
        <f aca="false">Sens!$L$3856+Sens!$L$3853-Sens!$L$3852-Sens!$L$3854+Sens!$L$3855</f>
        <v>385.407202355054</v>
      </c>
      <c r="M3857" s="38" t="n">
        <f aca="false">Sens!$M$3856+Sens!$M$3853-Sens!$M$3852-Sens!$M$3854+Sens!$M$3855</f>
        <v>598.869482164041</v>
      </c>
    </row>
    <row r="3858" customFormat="false" ht="17.15" hidden="false" customHeight="false" outlineLevel="0" collapsed="false">
      <c r="A3858" s="5" t="s">
        <v>797</v>
      </c>
      <c r="B3858" s="0" t="s">
        <v>86</v>
      </c>
      <c r="F3858" s="38" t="n">
        <f aca="false">MAX(0,min_cash-Sens!$F$3857)</f>
        <v>0</v>
      </c>
      <c r="G3858" s="38" t="n">
        <f aca="false">Sens!$F$3858</f>
        <v>0</v>
      </c>
      <c r="H3858" s="38" t="n">
        <f aca="false">MAX(0,min_cash-Sens!$H$3857)</f>
        <v>12.8406956138542</v>
      </c>
      <c r="I3858" s="38" t="n">
        <f aca="false">MAX(0,min_cash-Sens!$I$3857)</f>
        <v>13.9071978934426</v>
      </c>
      <c r="J3858" s="38" t="n">
        <f aca="false">MAX(0,min_cash-Sens!$J$3857)</f>
        <v>0</v>
      </c>
      <c r="K3858" s="38" t="n">
        <f aca="false">MAX(0,min_cash-Sens!$K$3857)</f>
        <v>0</v>
      </c>
      <c r="L3858" s="38" t="n">
        <f aca="false">MAX(0,min_cash-Sens!$L$3857)</f>
        <v>0</v>
      </c>
      <c r="M3858" s="38" t="n">
        <f aca="false">MAX(0,min_cash-Sens!$M$3857)</f>
        <v>0</v>
      </c>
      <c r="P3858" s="5" t="s">
        <v>798</v>
      </c>
    </row>
    <row r="3859" customFormat="false" ht="15" hidden="false" customHeight="false" outlineLevel="0" collapsed="false">
      <c r="A3859" s="5" t="s">
        <v>799</v>
      </c>
      <c r="B3859" s="0" t="s">
        <v>86</v>
      </c>
      <c r="D3859" s="38" t="n">
        <f aca="false">Q!$E$61</f>
        <v>123.029</v>
      </c>
      <c r="E3859" s="38" t="n">
        <f aca="false">Q!$M$61</f>
        <v>122.988</v>
      </c>
      <c r="F3859" s="38" t="n">
        <f aca="false">Sens!$F$3857+Sens!$F$3858</f>
        <v>90.3300660121297</v>
      </c>
      <c r="G3859" s="38" t="n">
        <f aca="false">Sens!$F$3859</f>
        <v>90.3300660121297</v>
      </c>
      <c r="H3859" s="38" t="n">
        <f aca="false">Sens!$H$3857+Sens!$H$3858</f>
        <v>50</v>
      </c>
      <c r="I3859" s="38" t="n">
        <f aca="false">Sens!$I$3857+Sens!$I$3858</f>
        <v>50</v>
      </c>
      <c r="J3859" s="38" t="n">
        <f aca="false">Sens!$J$3857+Sens!$J$3858</f>
        <v>77.2017180122755</v>
      </c>
      <c r="K3859" s="38" t="n">
        <f aca="false">Sens!$K$3857+Sens!$K$3858</f>
        <v>201.677129268066</v>
      </c>
      <c r="L3859" s="38" t="n">
        <f aca="false">Sens!$L$3857+Sens!$L$3858</f>
        <v>385.407202355054</v>
      </c>
      <c r="M3859" s="38" t="n">
        <f aca="false">Sens!$M$3857+Sens!$M$3858</f>
        <v>598.869482164041</v>
      </c>
    </row>
    <row r="3860" customFormat="false" ht="15" hidden="false" customHeight="false" outlineLevel="0" collapsed="false">
      <c r="A3860" s="5" t="s">
        <v>800</v>
      </c>
      <c r="B3860" s="0" t="s">
        <v>86</v>
      </c>
      <c r="D3860" s="38" t="n">
        <f aca="false">Q!$E$62</f>
        <v>68.836</v>
      </c>
      <c r="E3860" s="38" t="n">
        <f aca="false">Q!$M$62</f>
        <v>132.995</v>
      </c>
      <c r="F3860" s="38" t="n">
        <f aca="false">debt_q2+Sens!$F$3855+Sens!$F$3858</f>
        <v>162.244999</v>
      </c>
      <c r="G3860" s="38" t="n">
        <f aca="false">Sens!$F$3860</f>
        <v>162.244999</v>
      </c>
      <c r="H3860" s="38" t="n">
        <f aca="false">Sens!$G$3860+Sens!$H$3858</f>
        <v>175.085694613854</v>
      </c>
      <c r="I3860" s="38" t="n">
        <f aca="false">Sens!$H$3860+Sens!$I$3858</f>
        <v>188.992892507297</v>
      </c>
      <c r="J3860" s="38" t="n">
        <f aca="false">Sens!$I$3860+Sens!$J$3858</f>
        <v>188.992892507297</v>
      </c>
      <c r="K3860" s="38" t="n">
        <f aca="false">Sens!$J$3860+Sens!$K$3858</f>
        <v>188.992892507297</v>
      </c>
      <c r="L3860" s="38" t="n">
        <f aca="false">Sens!$K$3860+Sens!$L$3858</f>
        <v>188.992892507297</v>
      </c>
      <c r="M3860" s="38" t="n">
        <f aca="false">Sens!$L$3860+Sens!$M$3858</f>
        <v>188.992892507297</v>
      </c>
    </row>
    <row r="3861" customFormat="false" ht="15" hidden="false" customHeight="false" outlineLevel="0" collapsed="false">
      <c r="A3861" s="5" t="s">
        <v>801</v>
      </c>
      <c r="B3861" s="0" t="s">
        <v>86</v>
      </c>
      <c r="D3861" s="38" t="n">
        <f aca="false">Sens!$D$3860-Sens!$D$3859</f>
        <v>-54.193</v>
      </c>
      <c r="E3861" s="38" t="n">
        <f aca="false">Sens!$E$3860-Sens!$E$3859</f>
        <v>10.007</v>
      </c>
      <c r="F3861" s="38" t="n">
        <f aca="false">Sens!$F$3860-Sens!$F$3859</f>
        <v>71.9149329878703</v>
      </c>
      <c r="G3861" s="38" t="n">
        <f aca="false">Sens!$G$3860-Sens!$G$3859</f>
        <v>71.9149329878703</v>
      </c>
      <c r="H3861" s="38" t="n">
        <f aca="false">Sens!$H$3860-Sens!$H$3859</f>
        <v>125.085694613854</v>
      </c>
      <c r="I3861" s="38" t="n">
        <f aca="false">Sens!$I$3860-Sens!$I$3859</f>
        <v>138.992892507297</v>
      </c>
      <c r="J3861" s="38" t="n">
        <f aca="false">Sens!$J$3860-Sens!$J$3859</f>
        <v>111.791174495021</v>
      </c>
      <c r="K3861" s="38" t="n">
        <f aca="false">Sens!$K$3860-Sens!$K$3859</f>
        <v>-12.6842367607687</v>
      </c>
      <c r="L3861" s="38" t="n">
        <f aca="false">Sens!$L$3860-Sens!$L$3859</f>
        <v>-196.414309847758</v>
      </c>
      <c r="M3861" s="38" t="n">
        <f aca="false">Sens!$M$3860-Sens!$M$3859</f>
        <v>-409.876589656744</v>
      </c>
    </row>
    <row r="3862" customFormat="false" ht="17.15" hidden="false" customHeight="false" outlineLevel="0" collapsed="false">
      <c r="A3862" s="5" t="s">
        <v>802</v>
      </c>
      <c r="B3862" s="0" t="s">
        <v>86</v>
      </c>
      <c r="F3862" s="38" t="n">
        <f aca="false">debt_q2*kd_book*0.5+iss_2h26*kd_new*iss_t</f>
        <v>3.24888962733561</v>
      </c>
      <c r="H3862" s="38" t="n">
        <f aca="false">debt_q2*kd_book+(Sens!$G$3860-debt_q2)*kd_new</f>
        <v>7.42354172302123</v>
      </c>
      <c r="I3862" s="38" t="n">
        <f aca="false">debt_q2*kd_book+(Sens!$H$3860-debt_q2)*kd_new</f>
        <v>8.2363577553782</v>
      </c>
      <c r="J3862" s="38" t="n">
        <f aca="false">debt_q2*kd_book+(Sens!$I$3860-debt_q2)*kd_new</f>
        <v>9.11668338203312</v>
      </c>
      <c r="K3862" s="38" t="n">
        <f aca="false">debt_q2*kd_book+(Sens!$J$3860-debt_q2)*kd_new</f>
        <v>9.11668338203312</v>
      </c>
      <c r="L3862" s="38" t="n">
        <f aca="false">debt_q2*kd_book+(Sens!$K$3860-debt_q2)*kd_new</f>
        <v>9.11668338203312</v>
      </c>
      <c r="M3862" s="38" t="n">
        <f aca="false">debt_q2*kd_book+(Sens!$L$3860-debt_q2)*kd_new</f>
        <v>9.11668338203312</v>
      </c>
    </row>
    <row r="3863" customFormat="false" ht="17.15" hidden="false" customHeight="false" outlineLevel="0" collapsed="false">
      <c r="A3863" s="5" t="s">
        <v>803</v>
      </c>
      <c r="B3863" s="0" t="s">
        <v>86</v>
      </c>
      <c r="F3863" s="38" t="n">
        <f aca="false">cash_q2*y_cash*0.5</f>
        <v>2.59</v>
      </c>
      <c r="H3863" s="38" t="n">
        <f aca="false">Sens!$G$3859*y_cash</f>
        <v>3.80451541567333</v>
      </c>
      <c r="I3863" s="38" t="n">
        <f aca="false">Sens!$H$3859*y_cash</f>
        <v>2.10589651022864</v>
      </c>
      <c r="J3863" s="38" t="n">
        <f aca="false">Sens!$I$3859*y_cash</f>
        <v>2.10589651022864</v>
      </c>
      <c r="K3863" s="38" t="n">
        <f aca="false">Sens!$J$3859*y_cash</f>
        <v>3.25157657091413</v>
      </c>
      <c r="L3863" s="38" t="n">
        <f aca="false">Sens!$K$3859*y_cash</f>
        <v>8.49422325437099</v>
      </c>
      <c r="M3863" s="38" t="n">
        <f aca="false">Sens!$L$3859*y_cash</f>
        <v>16.2325536491298</v>
      </c>
    </row>
    <row r="3864" customFormat="false" ht="17.15" hidden="false" customHeight="false" outlineLevel="0" collapsed="false">
      <c r="A3864" s="47" t="s">
        <v>804</v>
      </c>
      <c r="B3864" s="14" t="s">
        <v>86</v>
      </c>
      <c r="C3864" s="14"/>
      <c r="D3864" s="14"/>
      <c r="E3864" s="14"/>
      <c r="F3864" s="14"/>
      <c r="G3864" s="48" t="n">
        <f aca="false">SUM(Sens!$G$3853:$K$3853)</f>
        <v>18.3002367607687</v>
      </c>
      <c r="H3864" s="14"/>
      <c r="I3864" s="14"/>
      <c r="J3864" s="14"/>
      <c r="K3864" s="14"/>
      <c r="L3864" s="14"/>
      <c r="M3864" s="14"/>
      <c r="N3864" s="14"/>
      <c r="O3864" s="14"/>
    </row>
    <row r="3865" customFormat="false" ht="17.15" hidden="false" customHeight="false" outlineLevel="0" collapsed="false">
      <c r="A3865" s="0" t="s">
        <v>770</v>
      </c>
      <c r="B3865" s="0" t="s">
        <v>86</v>
      </c>
      <c r="G3865" s="38" t="n">
        <f aca="false">SUM(Sens!$G$3858:$K$3858)</f>
        <v>26.7478935072968</v>
      </c>
    </row>
    <row r="3866" customFormat="false" ht="17.15" hidden="false" customHeight="false" outlineLevel="0" collapsed="false">
      <c r="A3866" s="24" t="s">
        <v>807</v>
      </c>
      <c r="B3866" s="25" t="s">
        <v>86</v>
      </c>
      <c r="C3866" s="25"/>
      <c r="D3866" s="25"/>
      <c r="E3866" s="25"/>
      <c r="F3866" s="25"/>
      <c r="G3866" s="41" t="n">
        <f aca="false">Sens!$G$3864-(Sens!$G$3853+Sens!$H$3853+Sens!$I$3853+Sens!$J$3853+Sens!$K$3853)</f>
        <v>0</v>
      </c>
      <c r="H3866" s="25"/>
      <c r="I3866" s="25"/>
      <c r="J3866" s="25"/>
      <c r="K3866" s="25"/>
      <c r="L3866" s="25"/>
      <c r="M3866" s="25"/>
      <c r="N3866" s="25"/>
      <c r="O3866" s="25"/>
    </row>
    <row r="3869" customFormat="false" ht="19.4" hidden="false" customHeight="false" outlineLevel="0" collapsed="false">
      <c r="A3869" s="31" t="s">
        <v>1206</v>
      </c>
    </row>
    <row r="3870" customFormat="false" ht="17.15" hidden="false" customHeight="false" outlineLevel="0" collapsed="false">
      <c r="A3870" s="6" t="s">
        <v>16</v>
      </c>
      <c r="B3870" s="6" t="s">
        <v>17</v>
      </c>
      <c r="C3870" s="20" t="s">
        <v>494</v>
      </c>
      <c r="D3870" s="20" t="s">
        <v>495</v>
      </c>
      <c r="E3870" s="20" t="s">
        <v>577</v>
      </c>
      <c r="F3870" s="20" t="s">
        <v>578</v>
      </c>
      <c r="G3870" s="20" t="s">
        <v>579</v>
      </c>
      <c r="H3870" s="20" t="s">
        <v>580</v>
      </c>
      <c r="I3870" s="20" t="s">
        <v>581</v>
      </c>
      <c r="J3870" s="20" t="s">
        <v>582</v>
      </c>
      <c r="K3870" s="20" t="s">
        <v>583</v>
      </c>
      <c r="L3870" s="20" t="s">
        <v>584</v>
      </c>
      <c r="M3870" s="20" t="s">
        <v>585</v>
      </c>
      <c r="N3870" s="20" t="s">
        <v>586</v>
      </c>
      <c r="O3870" s="20" t="s">
        <v>587</v>
      </c>
      <c r="P3870" s="6" t="s">
        <v>23</v>
      </c>
      <c r="R3870" s="20" t="n">
        <v>2023</v>
      </c>
      <c r="S3870" s="20" t="n">
        <v>2024</v>
      </c>
      <c r="T3870" s="20" t="n">
        <v>2025</v>
      </c>
      <c r="U3870" s="20" t="n">
        <v>2026</v>
      </c>
      <c r="V3870" s="20" t="n">
        <v>2027</v>
      </c>
      <c r="W3870" s="20" t="n">
        <v>2028</v>
      </c>
      <c r="X3870" s="20" t="n">
        <v>2029</v>
      </c>
      <c r="Y3870" s="20" t="n">
        <v>2030</v>
      </c>
      <c r="Z3870" s="20" t="n">
        <v>2031</v>
      </c>
      <c r="AA3870" s="20" t="n">
        <v>2032</v>
      </c>
    </row>
    <row r="3871" customFormat="false" ht="17.15" hidden="false" customHeight="false" outlineLevel="0" collapsed="false">
      <c r="A3871" s="1" t="s">
        <v>909</v>
      </c>
    </row>
    <row r="3872" customFormat="false" ht="17.15" hidden="false" customHeight="false" outlineLevel="0" collapsed="false">
      <c r="A3872" s="0" t="s">
        <v>910</v>
      </c>
      <c r="B3872" s="0" t="s">
        <v>86</v>
      </c>
      <c r="H3872" s="38" t="n">
        <f aca="false">Sens!$H$3806*(1-tax)</f>
        <v>118.252719214912</v>
      </c>
      <c r="I3872" s="38" t="n">
        <f aca="false">Sens!$I$3806*(1-tax)</f>
        <v>144.420092128115</v>
      </c>
      <c r="J3872" s="38" t="n">
        <f aca="false">Sens!$J$3806*(1-tax)</f>
        <v>169.313864154063</v>
      </c>
      <c r="K3872" s="38" t="n">
        <f aca="false">Sens!$K$3806*(1-tax)</f>
        <v>187.154767380037</v>
      </c>
      <c r="L3872" s="38" t="n">
        <f aca="false">Sens!$L$3806*(1-tax)</f>
        <v>203.328549669003</v>
      </c>
      <c r="M3872" s="38" t="n">
        <f aca="false">Sens!$M$3806*(1-tax)</f>
        <v>216.930070654319</v>
      </c>
    </row>
    <row r="3873" customFormat="false" ht="15" hidden="false" customHeight="false" outlineLevel="0" collapsed="false">
      <c r="A3873" s="5" t="s">
        <v>911</v>
      </c>
      <c r="B3873" s="0" t="s">
        <v>86</v>
      </c>
      <c r="H3873" s="38" t="n">
        <f aca="false">Sens!$H$3817</f>
        <v>84.3163410985152</v>
      </c>
      <c r="I3873" s="38" t="n">
        <f aca="false">Sens!$I$3817</f>
        <v>117.040344991004</v>
      </c>
      <c r="J3873" s="38" t="n">
        <f aca="false">Sens!$J$3817</f>
        <v>150.498981474685</v>
      </c>
      <c r="K3873" s="38" t="n">
        <f aca="false">Sens!$K$3817</f>
        <v>184.188121970284</v>
      </c>
      <c r="L3873" s="38" t="n">
        <f aca="false">Sens!$L$3817</f>
        <v>207.768718060808</v>
      </c>
      <c r="M3873" s="38" t="n">
        <f aca="false">Sens!$M$3817</f>
        <v>224.003934647752</v>
      </c>
    </row>
    <row r="3874" customFormat="false" ht="15" hidden="false" customHeight="false" outlineLevel="0" collapsed="false">
      <c r="A3874" s="5" t="s">
        <v>912</v>
      </c>
      <c r="B3874" s="0" t="s">
        <v>86</v>
      </c>
      <c r="H3874" s="38" t="n">
        <f aca="false">Sens!$H$3848</f>
        <v>273.372679834898</v>
      </c>
      <c r="I3874" s="38" t="n">
        <f aca="false">Sens!$I$3848</f>
        <v>286.981812228425</v>
      </c>
      <c r="J3874" s="38" t="n">
        <f aca="false">Sens!$J$3848</f>
        <v>299.316513378366</v>
      </c>
      <c r="K3874" s="38" t="n">
        <f aca="false">Sens!$K$3848</f>
        <v>251.057145512292</v>
      </c>
      <c r="L3874" s="38" t="n">
        <f aca="false">Sens!$L$3848</f>
        <v>234.696330860396</v>
      </c>
      <c r="M3874" s="38" t="n">
        <f aca="false">Sens!$M$3848</f>
        <v>242.291696043352</v>
      </c>
    </row>
    <row r="3875" customFormat="false" ht="15" hidden="false" customHeight="false" outlineLevel="0" collapsed="false">
      <c r="A3875" s="5" t="s">
        <v>913</v>
      </c>
      <c r="B3875" s="0" t="s">
        <v>86</v>
      </c>
      <c r="H3875" s="38" t="n">
        <f aca="false">Sens!$H$3849</f>
        <v>1.6</v>
      </c>
      <c r="I3875" s="38" t="n">
        <f aca="false">Sens!$I$3849</f>
        <v>1.6</v>
      </c>
      <c r="J3875" s="38" t="n">
        <f aca="false">Sens!$J$3849</f>
        <v>1.6</v>
      </c>
      <c r="K3875" s="38" t="n">
        <f aca="false">Sens!$K$3849</f>
        <v>1.6</v>
      </c>
      <c r="L3875" s="38" t="n">
        <f aca="false">Sens!$L$3849</f>
        <v>1.6</v>
      </c>
      <c r="M3875" s="38" t="n">
        <f aca="false">Sens!$M$3849</f>
        <v>1.6</v>
      </c>
    </row>
    <row r="3876" customFormat="false" ht="15" hidden="false" customHeight="false" outlineLevel="0" collapsed="false">
      <c r="A3876" s="5" t="s">
        <v>914</v>
      </c>
      <c r="B3876" s="0" t="s">
        <v>86</v>
      </c>
      <c r="H3876" s="38" t="n">
        <f aca="false">Sens!$H$3843</f>
        <v>11.2928295263397</v>
      </c>
      <c r="I3876" s="38" t="n">
        <f aca="false">Sens!$I$3843</f>
        <v>12.8091546115766</v>
      </c>
      <c r="J3876" s="38" t="n">
        <f aca="false">Sens!$J$3843</f>
        <v>14.2605653162668</v>
      </c>
      <c r="K3876" s="38" t="n">
        <f aca="false">Sens!$K$3843</f>
        <v>15.5327622460396</v>
      </c>
      <c r="L3876" s="38" t="n">
        <f aca="false">Sens!$L$3843</f>
        <v>16.720573737517</v>
      </c>
      <c r="M3876" s="38" t="n">
        <f aca="false">Sens!$M$3843</f>
        <v>17.8283127551536</v>
      </c>
    </row>
    <row r="3877" customFormat="false" ht="17.15" hidden="false" customHeight="false" outlineLevel="0" collapsed="false">
      <c r="A3877" s="1" t="s">
        <v>915</v>
      </c>
      <c r="B3877" s="8" t="s">
        <v>86</v>
      </c>
      <c r="H3877" s="38" t="n">
        <f aca="false">Sens!$H$3872+Sens!$H$3873-Sens!$H$3874-Sens!$H$3875+Sens!$H$3876</f>
        <v>-61.1107899951313</v>
      </c>
      <c r="I3877" s="38" t="n">
        <f aca="false">Sens!$I$3872+Sens!$I$3873-Sens!$I$3874-Sens!$I$3875+Sens!$I$3876</f>
        <v>-14.3122204977292</v>
      </c>
      <c r="J3877" s="38" t="n">
        <f aca="false">Sens!$J$3872+Sens!$J$3873-Sens!$J$3874-Sens!$J$3875+Sens!$J$3876</f>
        <v>33.1568975666482</v>
      </c>
      <c r="K3877" s="38" t="n">
        <f aca="false">Sens!$K$3872+Sens!$K$3873-Sens!$K$3874-Sens!$K$3875+Sens!$K$3876</f>
        <v>134.218506084068</v>
      </c>
      <c r="L3877" s="38" t="n">
        <f aca="false">Sens!$L$3872+Sens!$L$3873-Sens!$L$3874-Sens!$L$3875+Sens!$L$3876</f>
        <v>191.521510606932</v>
      </c>
      <c r="M3877" s="38" t="n">
        <f aca="false">Sens!$M$3872+Sens!$M$3873-Sens!$M$3874-Sens!$M$3875+Sens!$M$3876</f>
        <v>214.870622013872</v>
      </c>
    </row>
    <row r="3878" customFormat="false" ht="15" hidden="false" customHeight="false" outlineLevel="0" collapsed="false">
      <c r="A3878" s="5" t="s">
        <v>916</v>
      </c>
      <c r="B3878" s="0" t="s">
        <v>57</v>
      </c>
      <c r="H3878" s="40" t="n">
        <f aca="false">1/(1+wacc)^(2027-2026-0.5)</f>
        <v>0.947751320380232</v>
      </c>
      <c r="I3878" s="40" t="n">
        <f aca="false">1/(1+wacc)^(2028-2026-0.5)</f>
        <v>0.851301099754987</v>
      </c>
      <c r="J3878" s="40" t="n">
        <f aca="false">1/(1+wacc)^(2029-2026-0.5)</f>
        <v>0.764666370660713</v>
      </c>
      <c r="K3878" s="40" t="n">
        <f aca="false">1/(1+wacc)^(2030-2026-0.5)</f>
        <v>0.686848235703811</v>
      </c>
      <c r="L3878" s="40" t="n">
        <f aca="false">1/(1+wacc)^(2031-2026-0.5)</f>
        <v>0.616949452715975</v>
      </c>
      <c r="M3878" s="40" t="n">
        <f aca="false">1/(1+wacc)^(2032-2026-0.5)</f>
        <v>0.554164089562688</v>
      </c>
    </row>
    <row r="3879" customFormat="false" ht="15" hidden="false" customHeight="false" outlineLevel="0" collapsed="false">
      <c r="A3879" s="5" t="s">
        <v>917</v>
      </c>
      <c r="B3879" s="0" t="s">
        <v>86</v>
      </c>
      <c r="H3879" s="38" t="n">
        <f aca="false">Sens!$H$3877*Sens!$H$3878</f>
        <v>-57.9178319073647</v>
      </c>
      <c r="I3879" s="38" t="n">
        <f aca="false">Sens!$I$3877*Sens!$I$3878</f>
        <v>-12.1840090496527</v>
      </c>
      <c r="J3879" s="38" t="n">
        <f aca="false">Sens!$J$3877*Sens!$J$3878</f>
        <v>25.3539645246579</v>
      </c>
      <c r="K3879" s="38" t="n">
        <f aca="false">Sens!$K$3877*Sens!$K$3878</f>
        <v>92.1877441026431</v>
      </c>
      <c r="L3879" s="38" t="n">
        <f aca="false">Sens!$L$3877*Sens!$L$3878</f>
        <v>118.159091152283</v>
      </c>
      <c r="M3879" s="38" t="n">
        <f aca="false">Sens!$M$3877*Sens!$M$3878</f>
        <v>119.073582622086</v>
      </c>
    </row>
    <row r="3880" customFormat="false" ht="15" hidden="false" customHeight="false" outlineLevel="0" collapsed="false">
      <c r="A3880" s="5" t="s">
        <v>918</v>
      </c>
      <c r="B3880" s="0" t="s">
        <v>86</v>
      </c>
      <c r="C3880" s="38" t="n">
        <f aca="false">SUM(Sens!$H$3879:$M$3879)</f>
        <v>284.672541444653</v>
      </c>
    </row>
    <row r="3881" customFormat="false" ht="17.15" hidden="false" customHeight="false" outlineLevel="0" collapsed="false">
      <c r="A3881" s="5" t="s">
        <v>919</v>
      </c>
      <c r="B3881" s="0" t="s">
        <v>86</v>
      </c>
      <c r="C3881" s="38" t="n">
        <f aca="false">Sens!$M$3872*(1+tg)*(1-tg/ronic)/(wacc-tg)</f>
        <v>1972.13641105659</v>
      </c>
    </row>
    <row r="3882" customFormat="false" ht="15" hidden="false" customHeight="false" outlineLevel="0" collapsed="false">
      <c r="A3882" s="5" t="s">
        <v>920</v>
      </c>
      <c r="B3882" s="0" t="s">
        <v>86</v>
      </c>
      <c r="C3882" s="38" t="n">
        <f aca="false">Sens!$C$3881/(1+wacc)^6</f>
        <v>1035.78526666476</v>
      </c>
    </row>
    <row r="3883" customFormat="false" ht="17.15" hidden="false" customHeight="false" outlineLevel="0" collapsed="false">
      <c r="A3883" s="5" t="s">
        <v>921</v>
      </c>
      <c r="B3883" s="0" t="s">
        <v>86</v>
      </c>
      <c r="C3883" s="38" t="n">
        <f aca="false">Sens!$C$3880+Sens!$C$3882</f>
        <v>1320.45780810942</v>
      </c>
    </row>
    <row r="3884" customFormat="false" ht="17.15" hidden="false" customHeight="false" outlineLevel="0" collapsed="false">
      <c r="A3884" s="5" t="s">
        <v>922</v>
      </c>
      <c r="B3884" s="0" t="s">
        <v>52</v>
      </c>
      <c r="C3884" s="13" t="n">
        <f aca="false">Sens!$C$3882/Sens!$C$3883</f>
        <v>0.78441375430826</v>
      </c>
    </row>
    <row r="3885" customFormat="false" ht="17.15" hidden="false" customHeight="false" outlineLevel="0" collapsed="false">
      <c r="A3885" s="5" t="s">
        <v>923</v>
      </c>
      <c r="B3885" s="0" t="s">
        <v>86</v>
      </c>
      <c r="C3885" s="38" t="n">
        <f aca="false">Sens!$G$3861+fin_debt</f>
        <v>96.4359329878703</v>
      </c>
    </row>
    <row r="3886" customFormat="false" ht="17.15" hidden="false" customHeight="false" outlineLevel="0" collapsed="false">
      <c r="A3886" s="5" t="s">
        <v>924</v>
      </c>
      <c r="B3886" s="0" t="s">
        <v>86</v>
      </c>
      <c r="C3886" s="38" t="n">
        <f aca="false">(ant_val*ant_sh+oai_val*oai_sh)*(1-liq_disc)</f>
        <v>178.944</v>
      </c>
    </row>
    <row r="3887" customFormat="false" ht="15" hidden="false" customHeight="false" outlineLevel="0" collapsed="false">
      <c r="A3887" s="5" t="s">
        <v>925</v>
      </c>
      <c r="B3887" s="0" t="s">
        <v>86</v>
      </c>
      <c r="C3887" s="38" t="n">
        <f aca="false">Sens!$C$3883-Sens!$C$3885+Sens!$C$3886</f>
        <v>1402.96587512155</v>
      </c>
    </row>
    <row r="3888" customFormat="false" ht="17.15" hidden="false" customHeight="false" outlineLevel="0" collapsed="false">
      <c r="A3888" s="5" t="s">
        <v>926</v>
      </c>
      <c r="B3888" s="0" t="s">
        <v>27</v>
      </c>
      <c r="C3888" s="30" t="n">
        <f aca="false">Sens!$C$3887/sh_out</f>
        <v>130.069074117585</v>
      </c>
    </row>
    <row r="3889" customFormat="false" ht="17.15" hidden="false" customHeight="false" outlineLevel="0" collapsed="false">
      <c r="A3889" s="1" t="s">
        <v>927</v>
      </c>
      <c r="B3889" s="8" t="s">
        <v>27</v>
      </c>
      <c r="C3889" s="30" t="n">
        <f aca="false">Sens!$C$3888*(1+ke)^tp_yf-dps*tp_yf</f>
        <v>142.473611678203</v>
      </c>
    </row>
    <row r="3890" customFormat="false" ht="17.15" hidden="false" customHeight="false" outlineLevel="0" collapsed="false">
      <c r="A3890" s="3" t="s">
        <v>928</v>
      </c>
    </row>
    <row r="3891" customFormat="false" ht="17.15" hidden="false" customHeight="false" outlineLevel="0" collapsed="false">
      <c r="A3891" s="5" t="s">
        <v>929</v>
      </c>
      <c r="B3891" s="0" t="s">
        <v>86</v>
      </c>
      <c r="C3891" s="38" t="n">
        <f aca="false">(1-tp_yf)*(Sens!$H$3818+Sens!$H$3842*Sens!$H$3684/Sens!$H$3759)+tp_yf*(Sens!$I$3818+Sens!$I$3842*Sens!$I$3684/Sens!$I$3759)</f>
        <v>70.9958243401468</v>
      </c>
    </row>
    <row r="3892" customFormat="false" ht="15" hidden="false" customHeight="false" outlineLevel="0" collapsed="false">
      <c r="A3892" s="5" t="s">
        <v>930</v>
      </c>
      <c r="B3892" s="0" t="s">
        <v>57</v>
      </c>
      <c r="C3892" s="30" t="n">
        <f aca="false">m_ads*m_x</f>
        <v>9.11</v>
      </c>
    </row>
    <row r="3893" customFormat="false" ht="17.15" hidden="false" customHeight="false" outlineLevel="0" collapsed="false">
      <c r="A3893" s="5" t="s">
        <v>931</v>
      </c>
      <c r="B3893" s="0" t="s">
        <v>86</v>
      </c>
      <c r="C3893" s="38" t="n">
        <f aca="false">Sens!$C$3891*Sens!$C$3892</f>
        <v>646.771959738738</v>
      </c>
    </row>
    <row r="3894" customFormat="false" ht="17.15" hidden="false" customHeight="false" outlineLevel="0" collapsed="false">
      <c r="A3894" s="5" t="s">
        <v>932</v>
      </c>
      <c r="B3894" s="0" t="s">
        <v>86</v>
      </c>
      <c r="C3894" s="38" t="n">
        <f aca="false">(1-tp_yf)*(Sens!$H$3819+Sens!$H$3842*(Sens!$H$3691-Sens!$H$3684)/Sens!$H$3759+IF(internal_ai_reading=2,1,0)*(1-ext_sh)*Sens!$H$3721)+tp_yf*(Sens!$I$3819+Sens!$I$3842*(Sens!$I$3691-Sens!$I$3684)/Sens!$I$3759+IF(internal_ai_reading=2,1,0)*(1-ext_sh)*Sens!$I$3721)</f>
        <v>42.1748235393669</v>
      </c>
    </row>
    <row r="3895" customFormat="false" ht="17.15" hidden="false" customHeight="false" outlineLevel="0" collapsed="false">
      <c r="A3895" s="5" t="s">
        <v>933</v>
      </c>
      <c r="B3895" s="0" t="s">
        <v>57</v>
      </c>
      <c r="C3895" s="30" t="n">
        <f aca="false">m_retail*m_x</f>
        <v>17.72</v>
      </c>
    </row>
    <row r="3896" customFormat="false" ht="17.15" hidden="false" customHeight="false" outlineLevel="0" collapsed="false">
      <c r="A3896" s="5" t="s">
        <v>934</v>
      </c>
      <c r="B3896" s="0" t="s">
        <v>86</v>
      </c>
      <c r="C3896" s="38" t="n">
        <f aca="false">Sens!$C$3894*Sens!$C$3895</f>
        <v>747.337873117582</v>
      </c>
    </row>
    <row r="3897" customFormat="false" ht="17.15" hidden="false" customHeight="false" outlineLevel="0" collapsed="false">
      <c r="A3897" s="0" t="s">
        <v>935</v>
      </c>
      <c r="B3897" s="0" t="s">
        <v>86</v>
      </c>
      <c r="C3897" s="38" t="n">
        <f aca="false">(1-tp_yf)*(Sens!$H$3820+Sens!$H$3842*Sens!$H$3757/Sens!$H$3759)+tp_yf*(Sens!$I$3820+Sens!$I$3842*Sens!$I$3757/Sens!$I$3759)</f>
        <v>97.3363031479074</v>
      </c>
    </row>
    <row r="3898" customFormat="false" ht="17.15" hidden="false" customHeight="false" outlineLevel="0" collapsed="false">
      <c r="A3898" s="0" t="s">
        <v>936</v>
      </c>
      <c r="B3898" s="0" t="s">
        <v>57</v>
      </c>
      <c r="C3898" s="30" t="n">
        <f aca="false">m_cloud*m_x</f>
        <v>13.82</v>
      </c>
    </row>
    <row r="3899" customFormat="false" ht="17.15" hidden="false" customHeight="false" outlineLevel="0" collapsed="false">
      <c r="A3899" s="0" t="s">
        <v>937</v>
      </c>
      <c r="B3899" s="0" t="s">
        <v>86</v>
      </c>
      <c r="C3899" s="38" t="n">
        <f aca="false">Sens!$C$3897*Sens!$C$3898</f>
        <v>1345.18770950408</v>
      </c>
    </row>
    <row r="3900" customFormat="false" ht="17.15" hidden="false" customHeight="false" outlineLevel="0" collapsed="false">
      <c r="A3900" s="0" t="s">
        <v>938</v>
      </c>
      <c r="B3900" s="0" t="s">
        <v>86</v>
      </c>
      <c r="H3900" s="38" t="n">
        <f aca="false">Sens!$H$3738-tax*Sens!$H$3739-ext_sh*Sens!$H$3728</f>
        <v>-114.686944664267</v>
      </c>
      <c r="I3900" s="38" t="n">
        <f aca="false">Sens!$I$3738-tax*Sens!$I$3739-ext_sh*Sens!$I$3728</f>
        <v>-88.3950641557111</v>
      </c>
      <c r="J3900" s="38" t="n">
        <f aca="false">Sens!$J$3738-tax*Sens!$J$3739-ext_sh*Sens!$J$3728</f>
        <v>-61.1526151740695</v>
      </c>
      <c r="K3900" s="38" t="n">
        <f aca="false">Sens!$K$3738-tax*Sens!$K$3739-ext_sh*Sens!$K$3728</f>
        <v>10.057774712684</v>
      </c>
      <c r="L3900" s="38" t="n">
        <f aca="false">Sens!$L$3738-tax*Sens!$L$3739-ext_sh*Sens!$L$3728</f>
        <v>46.6587675560356</v>
      </c>
      <c r="M3900" s="38" t="n">
        <f aca="false">Sens!$M$3738-tax*Sens!$M$3739-ext_sh*Sens!$M$3728</f>
        <v>55.3915455321129</v>
      </c>
    </row>
    <row r="3901" customFormat="false" ht="17.15" hidden="false" customHeight="false" outlineLevel="0" collapsed="false">
      <c r="A3901" s="5" t="s">
        <v>939</v>
      </c>
      <c r="B3901" s="0" t="s">
        <v>86</v>
      </c>
      <c r="H3901" s="38" t="n">
        <f aca="false">Sens!$H$3900*Sens!$H$3878</f>
        <v>-108.694703235934</v>
      </c>
      <c r="I3901" s="38" t="n">
        <f aca="false">Sens!$I$3900*Sens!$I$3878</f>
        <v>-75.2508153286695</v>
      </c>
      <c r="J3901" s="38" t="n">
        <f aca="false">Sens!$J$3900*Sens!$J$3878</f>
        <v>-46.761348301567</v>
      </c>
      <c r="K3901" s="38" t="n">
        <f aca="false">Sens!$K$3900*Sens!$K$3878</f>
        <v>6.90816481651338</v>
      </c>
      <c r="L3901" s="38" t="n">
        <f aca="false">Sens!$L$3900*Sens!$L$3878</f>
        <v>28.7861011080981</v>
      </c>
      <c r="M3901" s="38" t="n">
        <f aca="false">Sens!$M$3900*Sens!$M$3878</f>
        <v>30.6960053992735</v>
      </c>
    </row>
    <row r="3902" customFormat="false" ht="17.15" hidden="false" customHeight="false" outlineLevel="0" collapsed="false">
      <c r="A3902" s="5" t="s">
        <v>940</v>
      </c>
      <c r="B3902" s="0" t="s">
        <v>86</v>
      </c>
      <c r="C3902" s="38" t="n">
        <f aca="false">Sens!$M$3739*(1-tax)*(1+tg)*(1-tg/ronic)/(wacc-tg)</f>
        <v>363.621782500497</v>
      </c>
    </row>
    <row r="3903" customFormat="false" ht="17.15" hidden="false" customHeight="false" outlineLevel="0" collapsed="false">
      <c r="A3903" s="0" t="s">
        <v>941</v>
      </c>
      <c r="B3903" s="0" t="s">
        <v>86</v>
      </c>
      <c r="C3903" s="38" t="n">
        <f aca="false">(SUM(Sens!$H$3901:$M$3901)+Sens!$C$3902/(1+wacc)^6)*(1+wacc)^tp_yf</f>
        <v>29.1198269558345</v>
      </c>
    </row>
    <row r="3904" customFormat="false" ht="17.15" hidden="false" customHeight="false" outlineLevel="0" collapsed="false">
      <c r="A3904" s="5" t="s">
        <v>942</v>
      </c>
      <c r="B3904" s="0" t="s">
        <v>86</v>
      </c>
      <c r="C3904" s="38" t="n">
        <f aca="false">(1-tp_yf)*(Sens!$H$3821)+tp_yf*(Sens!$I$3821)</f>
        <v>74.6707041238437</v>
      </c>
    </row>
    <row r="3905" customFormat="false" ht="17.15" hidden="false" customHeight="false" outlineLevel="0" collapsed="false">
      <c r="A3905" s="5" t="s">
        <v>943</v>
      </c>
      <c r="B3905" s="0" t="s">
        <v>86</v>
      </c>
      <c r="C3905" s="38" t="n">
        <f aca="false">Sens!$C$3904*m_ai</f>
        <v>448.024224743062</v>
      </c>
    </row>
    <row r="3906" customFormat="false" ht="17.15" hidden="false" customHeight="false" outlineLevel="0" collapsed="false">
      <c r="A3906" s="0" t="s">
        <v>944</v>
      </c>
      <c r="B3906" s="0" t="s">
        <v>86</v>
      </c>
      <c r="C3906" s="38" t="n">
        <f aca="false">IF(ai_leg=1,Sens!$C$3903,Sens!$C$3905)</f>
        <v>29.1198269558345</v>
      </c>
    </row>
    <row r="3907" customFormat="false" ht="17.15" hidden="false" customHeight="false" outlineLevel="0" collapsed="false">
      <c r="A3907" s="5" t="s">
        <v>945</v>
      </c>
      <c r="B3907" s="0" t="s">
        <v>86</v>
      </c>
      <c r="C3907" s="38" t="n">
        <f aca="false">Sens!$C$3893+Sens!$C$3896+Sens!$C$3899+Sens!$C$3906</f>
        <v>2768.41736931623</v>
      </c>
    </row>
    <row r="3908" customFormat="false" ht="17.15" hidden="false" customHeight="false" outlineLevel="0" collapsed="false">
      <c r="A3908" s="5" t="s">
        <v>946</v>
      </c>
      <c r="B3908" s="0" t="s">
        <v>86</v>
      </c>
      <c r="C3908" s="38" t="n">
        <f aca="false">Sens!$H$3861+fin_debt</f>
        <v>149.606694613854</v>
      </c>
    </row>
    <row r="3909" customFormat="false" ht="15" hidden="false" customHeight="false" outlineLevel="0" collapsed="false">
      <c r="A3909" s="5" t="s">
        <v>947</v>
      </c>
      <c r="B3909" s="0" t="s">
        <v>86</v>
      </c>
      <c r="C3909" s="38" t="n">
        <f aca="false">Sens!$C$3907-Sens!$C$3908+Sens!$C$3886</f>
        <v>2797.75467470238</v>
      </c>
    </row>
    <row r="3910" customFormat="false" ht="15" hidden="false" customHeight="false" outlineLevel="0" collapsed="false">
      <c r="A3910" s="3" t="s">
        <v>948</v>
      </c>
      <c r="B3910" s="8" t="s">
        <v>27</v>
      </c>
      <c r="C3910" s="30" t="n">
        <f aca="false">Sens!$C$3909/sh_val</f>
        <v>253.642341886403</v>
      </c>
    </row>
    <row r="3911" customFormat="false" ht="17.15" hidden="false" customHeight="false" outlineLevel="0" collapsed="false">
      <c r="A3911" s="47" t="s">
        <v>949</v>
      </c>
      <c r="B3911" s="14" t="s">
        <v>27</v>
      </c>
      <c r="C3911" s="44" t="n">
        <f aca="false">w_dcf*Sens!$C$3889+(1-w_dcf)*Sens!$C$3910</f>
        <v>198.057976782303</v>
      </c>
      <c r="D3911" s="14"/>
      <c r="E3911" s="14"/>
      <c r="F3911" s="14"/>
      <c r="G3911" s="14"/>
      <c r="H3911" s="14"/>
      <c r="I3911" s="14"/>
      <c r="J3911" s="14"/>
      <c r="K3911" s="14"/>
      <c r="L3911" s="14"/>
      <c r="M3911" s="14"/>
      <c r="N3911" s="14"/>
      <c r="O3911" s="14"/>
    </row>
    <row r="3912" customFormat="false" ht="17.15" hidden="false" customHeight="false" outlineLevel="0" collapsed="false">
      <c r="A3912" s="5" t="s">
        <v>950</v>
      </c>
      <c r="B3912" s="0" t="s">
        <v>27</v>
      </c>
      <c r="C3912" s="30" t="n">
        <f aca="false">v022_wdcf*Sens!$C$3889+(1-v022_wdcf)*Sens!$C$3910</f>
        <v>203.616413292713</v>
      </c>
    </row>
    <row r="3913" customFormat="false" ht="17.15" hidden="false" customHeight="false" outlineLevel="0" collapsed="false">
      <c r="A3913" s="5" t="s">
        <v>951</v>
      </c>
      <c r="B3913" s="0" t="s">
        <v>27</v>
      </c>
      <c r="C3913" s="30" t="n">
        <f aca="false">(Sens!$C$3909-Sens!$C$3906+Sens!$C$3905)/sh_val</f>
        <v>291.619900620201</v>
      </c>
    </row>
    <row r="3916" customFormat="false" ht="19.4" hidden="false" customHeight="false" outlineLevel="0" collapsed="false">
      <c r="A3916" s="31" t="s">
        <v>1207</v>
      </c>
    </row>
    <row r="3917" customFormat="false" ht="17.15" hidden="false" customHeight="false" outlineLevel="0" collapsed="false">
      <c r="A3917" s="6" t="s">
        <v>16</v>
      </c>
      <c r="B3917" s="6" t="s">
        <v>17</v>
      </c>
      <c r="C3917" s="20" t="s">
        <v>494</v>
      </c>
      <c r="D3917" s="20" t="s">
        <v>495</v>
      </c>
      <c r="E3917" s="20" t="s">
        <v>577</v>
      </c>
      <c r="F3917" s="20" t="s">
        <v>578</v>
      </c>
      <c r="G3917" s="20" t="s">
        <v>579</v>
      </c>
      <c r="H3917" s="20" t="s">
        <v>580</v>
      </c>
      <c r="I3917" s="20" t="s">
        <v>581</v>
      </c>
      <c r="J3917" s="20" t="s">
        <v>582</v>
      </c>
      <c r="K3917" s="20" t="s">
        <v>583</v>
      </c>
      <c r="L3917" s="20" t="s">
        <v>584</v>
      </c>
      <c r="M3917" s="20" t="s">
        <v>585</v>
      </c>
      <c r="N3917" s="20" t="s">
        <v>586</v>
      </c>
      <c r="O3917" s="20" t="s">
        <v>587</v>
      </c>
      <c r="P3917" s="6" t="s">
        <v>23</v>
      </c>
      <c r="R3917" s="20" t="n">
        <v>2023</v>
      </c>
      <c r="S3917" s="20" t="n">
        <v>2024</v>
      </c>
      <c r="T3917" s="20" t="n">
        <v>2025</v>
      </c>
      <c r="U3917" s="20" t="n">
        <v>2026</v>
      </c>
      <c r="V3917" s="20" t="n">
        <v>2027</v>
      </c>
      <c r="W3917" s="20" t="n">
        <v>2028</v>
      </c>
      <c r="X3917" s="20" t="n">
        <v>2029</v>
      </c>
      <c r="Y3917" s="20" t="n">
        <v>2030</v>
      </c>
      <c r="Z3917" s="20" t="n">
        <v>2031</v>
      </c>
      <c r="AA3917" s="20" t="n">
        <v>2032</v>
      </c>
    </row>
    <row r="3918" customFormat="false" ht="17.15" hidden="false" customHeight="false" outlineLevel="0" collapsed="false">
      <c r="A3918" s="1" t="s">
        <v>660</v>
      </c>
    </row>
    <row r="3919" customFormat="false" ht="17.15" hidden="false" customHeight="false" outlineLevel="0" collapsed="false">
      <c r="A3919" s="0" t="s">
        <v>516</v>
      </c>
      <c r="B3919" s="0" t="s">
        <v>86</v>
      </c>
      <c r="C3919" s="38" t="n">
        <f aca="false">Q!$D$10</f>
        <v>247.029</v>
      </c>
      <c r="D3919" s="38" t="n">
        <f aca="false">Q!$E$10</f>
        <v>269.287</v>
      </c>
      <c r="E3919" s="38" t="n">
        <f aca="false">Q!$P$10</f>
        <v>134.686</v>
      </c>
      <c r="F3919" s="38" t="n">
        <f aca="false">Sens!$O$3919*(1+Sens!$F$3920)*Sens!$F$3931</f>
        <v>158.293876822267</v>
      </c>
      <c r="G3919" s="38" t="n">
        <f aca="false">Sens!$E$3919+Sens!$F$3919</f>
        <v>292.979876822267</v>
      </c>
      <c r="H3919" s="38" t="n">
        <f aca="false">Sens!$G$3919*(1+Sens!$H$3920)</f>
        <v>318.184543087396</v>
      </c>
      <c r="I3919" s="38" t="n">
        <f aca="false">Sens!$H$3919*(1+Sens!$I$3920)</f>
        <v>341.736278761793</v>
      </c>
      <c r="J3919" s="38" t="n">
        <f aca="false">Sens!$I$3919*(1+Sens!$J$3920)</f>
        <v>362.927192787048</v>
      </c>
      <c r="K3919" s="38" t="n">
        <f aca="false">Sens!$J$3919*(1+Sens!$K$3920)</f>
        <v>381.0735524264</v>
      </c>
      <c r="L3919" s="38" t="n">
        <f aca="false">Sens!$K$3919*(1+Sens!$L$3920)</f>
        <v>400.12723004772</v>
      </c>
      <c r="M3919" s="38" t="n">
        <f aca="false">Sens!$L$3919*(1+Sens!$M$3920)</f>
        <v>420.133591550106</v>
      </c>
      <c r="N3919" s="38" t="n">
        <f aca="false">Q!$N$10</f>
        <v>118.892</v>
      </c>
      <c r="O3919" s="38" t="n">
        <f aca="false">Q!$O$10</f>
        <v>150.395</v>
      </c>
      <c r="P3919" s="8" t="s">
        <v>661</v>
      </c>
    </row>
    <row r="3920" customFormat="false" ht="17.15" hidden="false" customHeight="false" outlineLevel="0" collapsed="false">
      <c r="A3920" s="0" t="s">
        <v>662</v>
      </c>
      <c r="B3920" s="0" t="s">
        <v>52</v>
      </c>
      <c r="E3920" s="13" t="n">
        <f aca="false">Sens!$E$3919/Sens!$N$3919-1</f>
        <v>0.132843252699929</v>
      </c>
      <c r="F3920" s="13" t="n">
        <f aca="false">Sens!$O$3919/(Q!$F$10+Q!$G$10)-1</f>
        <v>0.0980382135842941</v>
      </c>
      <c r="G3920" s="13" t="n">
        <f aca="false">Sens!$G$3919/Sens!$D$3919-1</f>
        <v>0.0879837378791657</v>
      </c>
      <c r="H3920" s="13" t="n">
        <f aca="false">Sens!$F$3920+(g_os-Sens!$F$3920)*1/4</f>
        <v>0.0860286601882206</v>
      </c>
      <c r="I3920" s="13" t="n">
        <f aca="false">Sens!$F$3920+(g_os-Sens!$F$3920)*2/4</f>
        <v>0.074019106792147</v>
      </c>
      <c r="J3920" s="13" t="n">
        <f aca="false">Sens!$F$3920+(g_os-Sens!$F$3920)*3/4</f>
        <v>0.0620095533960735</v>
      </c>
      <c r="K3920" s="13" t="n">
        <f aca="false">Sens!$F$3920+(g_os-Sens!$F$3920)*4/4</f>
        <v>0.05</v>
      </c>
      <c r="L3920" s="13" t="n">
        <f aca="false">g_os</f>
        <v>0.05</v>
      </c>
      <c r="M3920" s="13" t="n">
        <f aca="false">g_os</f>
        <v>0.05</v>
      </c>
      <c r="P3920" s="8" t="s">
        <v>663</v>
      </c>
    </row>
    <row r="3921" customFormat="false" ht="17.15" hidden="false" customHeight="false" outlineLevel="0" collapsed="false">
      <c r="A3921" s="0" t="s">
        <v>517</v>
      </c>
      <c r="B3921" s="0" t="s">
        <v>86</v>
      </c>
      <c r="C3921" s="38" t="n">
        <f aca="false">Q!$D$11</f>
        <v>21.215</v>
      </c>
      <c r="D3921" s="38" t="n">
        <f aca="false">Q!$E$11</f>
        <v>22.561</v>
      </c>
      <c r="E3921" s="38" t="n">
        <f aca="false">Q!$P$11</f>
        <v>11.579</v>
      </c>
      <c r="F3921" s="38" t="n">
        <f aca="false">Sens!$O$3921*(1+Sens!$F$3922)*Sens!$F$3931</f>
        <v>11.5938724610325</v>
      </c>
      <c r="G3921" s="38" t="n">
        <f aca="false">Sens!$E$3921+Sens!$F$3921</f>
        <v>23.1728724610325</v>
      </c>
      <c r="H3921" s="38" t="n">
        <f aca="false">Sens!$G$3921*(1+Sens!$H$3922)</f>
        <v>24.353392759506</v>
      </c>
      <c r="I3921" s="38" t="n">
        <f aca="false">Sens!$H$3921*(1+Sens!$I$3922)</f>
        <v>25.4240338872015</v>
      </c>
      <c r="J3921" s="38" t="n">
        <f aca="false">Sens!$I$3921*(1+Sens!$J$3922)</f>
        <v>26.3642491017174</v>
      </c>
      <c r="K3921" s="38" t="n">
        <f aca="false">Sens!$J$3921*(1+Sens!$K$3922)</f>
        <v>27.155176574769</v>
      </c>
      <c r="L3921" s="38" t="n">
        <f aca="false">Sens!$K$3921*(1+Sens!$L$3922)</f>
        <v>27.969831872012</v>
      </c>
      <c r="M3921" s="38" t="n">
        <f aca="false">Sens!$L$3921*(1+Sens!$M$3922)</f>
        <v>28.8089268281724</v>
      </c>
      <c r="N3921" s="38" t="n">
        <f aca="false">Q!$N$11</f>
        <v>11.128</v>
      </c>
      <c r="O3921" s="38" t="n">
        <f aca="false">Q!$O$11</f>
        <v>11.433</v>
      </c>
      <c r="P3921" s="8" t="s">
        <v>661</v>
      </c>
    </row>
    <row r="3922" customFormat="false" ht="17.15" hidden="false" customHeight="false" outlineLevel="0" collapsed="false">
      <c r="A3922" s="0" t="s">
        <v>664</v>
      </c>
      <c r="B3922" s="0" t="s">
        <v>52</v>
      </c>
      <c r="E3922" s="13" t="n">
        <f aca="false">Sens!$E$3921/Sens!$N$3921-1</f>
        <v>0.0405283968368082</v>
      </c>
      <c r="F3922" s="13" t="n">
        <f aca="false">Sens!$O$3921/(Q!$F$11+Q!$G$11)-1</f>
        <v>0.0579254187100955</v>
      </c>
      <c r="G3922" s="13" t="n">
        <f aca="false">Sens!$G$3921/Sens!$D$3921-1</f>
        <v>0.0271208040881397</v>
      </c>
      <c r="H3922" s="13" t="n">
        <f aca="false">Sens!$F$3922+(g_ps-Sens!$F$3922)*1/4</f>
        <v>0.0509440640325716</v>
      </c>
      <c r="I3922" s="13" t="n">
        <f aca="false">Sens!$F$3922+(g_ps-Sens!$F$3922)*2/4</f>
        <v>0.0439627093550477</v>
      </c>
      <c r="J3922" s="13" t="n">
        <f aca="false">Sens!$F$3922+(g_ps-Sens!$F$3922)*3/4</f>
        <v>0.0369813546775239</v>
      </c>
      <c r="K3922" s="13" t="n">
        <f aca="false">Sens!$F$3922+(g_ps-Sens!$F$3922)*4/4</f>
        <v>0.03</v>
      </c>
      <c r="L3922" s="13" t="n">
        <f aca="false">g_ps</f>
        <v>0.03</v>
      </c>
      <c r="M3922" s="13" t="n">
        <f aca="false">g_ps</f>
        <v>0.03</v>
      </c>
      <c r="P3922" s="8" t="s">
        <v>665</v>
      </c>
    </row>
    <row r="3923" customFormat="false" ht="17.15" hidden="false" customHeight="false" outlineLevel="0" collapsed="false">
      <c r="A3923" s="0" t="s">
        <v>518</v>
      </c>
      <c r="B3923" s="0" t="s">
        <v>86</v>
      </c>
      <c r="C3923" s="38" t="n">
        <f aca="false">Q!$D$12</f>
        <v>156.146</v>
      </c>
      <c r="D3923" s="38" t="n">
        <f aca="false">Q!$E$12</f>
        <v>172.162</v>
      </c>
      <c r="E3923" s="38" t="n">
        <f aca="false">Q!$P$12</f>
        <v>88.358</v>
      </c>
      <c r="F3923" s="38" t="n">
        <f aca="false">Sens!$O$3923*(1+Sens!$F$3924)*Sens!$F$3931</f>
        <v>102.004388260171</v>
      </c>
      <c r="G3923" s="38" t="n">
        <f aca="false">Sens!$E$3923+Sens!$F$3923</f>
        <v>190.362388260171</v>
      </c>
      <c r="H3923" s="38" t="n">
        <f aca="false">Sens!$G$3923*(1+Sens!$H$3924)</f>
        <v>210.343106588311</v>
      </c>
      <c r="I3923" s="38" t="n">
        <f aca="false">Sens!$H$3923*(1+Sens!$I$3924)</f>
        <v>229.969728494648</v>
      </c>
      <c r="J3923" s="38" t="n">
        <f aca="false">Sens!$I$3923*(1+Sens!$J$3924)</f>
        <v>248.747636972598</v>
      </c>
      <c r="K3923" s="38" t="n">
        <f aca="false">Sens!$J$3923*(1+Sens!$K$3924)</f>
        <v>266.15997156068</v>
      </c>
      <c r="L3923" s="38" t="n">
        <f aca="false">Sens!$K$3923*(1+Sens!$L$3924)</f>
        <v>284.791169569927</v>
      </c>
      <c r="M3923" s="38" t="n">
        <f aca="false">Sens!$L$3923*(1+Sens!$M$3924)</f>
        <v>304.726551439822</v>
      </c>
      <c r="N3923" s="38" t="n">
        <f aca="false">Q!$N$12</f>
        <v>76.86</v>
      </c>
      <c r="O3923" s="38" t="n">
        <f aca="false">Q!$O$12</f>
        <v>95.302</v>
      </c>
      <c r="P3923" s="8" t="s">
        <v>661</v>
      </c>
    </row>
    <row r="3924" customFormat="false" ht="17.15" hidden="false" customHeight="false" outlineLevel="0" collapsed="false">
      <c r="A3924" s="0" t="s">
        <v>666</v>
      </c>
      <c r="B3924" s="0" t="s">
        <v>52</v>
      </c>
      <c r="E3924" s="13" t="n">
        <f aca="false">Sens!$E$3923/Sens!$N$3923-1</f>
        <v>0.1495966692688</v>
      </c>
      <c r="F3924" s="13" t="n">
        <f aca="false">Sens!$O$3923/(Q!$F$12+Q!$G$12)-1</f>
        <v>0.11661530890813</v>
      </c>
      <c r="G3924" s="13" t="n">
        <f aca="false">Sens!$G$3923/Sens!$D$3923-1</f>
        <v>0.105716640490767</v>
      </c>
      <c r="H3924" s="13" t="n">
        <f aca="false">Sens!$F$3924+(g_sp-Sens!$F$3924)*1/4</f>
        <v>0.104961481681098</v>
      </c>
      <c r="I3924" s="13" t="n">
        <f aca="false">Sens!$F$3924+(g_sp-Sens!$F$3924)*2/4</f>
        <v>0.0933076544540651</v>
      </c>
      <c r="J3924" s="13" t="n">
        <f aca="false">Sens!$F$3924+(g_sp-Sens!$F$3924)*3/4</f>
        <v>0.0816538272270325</v>
      </c>
      <c r="K3924" s="13" t="n">
        <f aca="false">Sens!$F$3924+(g_sp-Sens!$F$3924)*4/4</f>
        <v>0.07</v>
      </c>
      <c r="L3924" s="13" t="n">
        <f aca="false">g_sp</f>
        <v>0.07</v>
      </c>
      <c r="M3924" s="13" t="n">
        <f aca="false">g_sp</f>
        <v>0.07</v>
      </c>
      <c r="P3924" s="8" t="s">
        <v>667</v>
      </c>
    </row>
    <row r="3925" customFormat="false" ht="17.15" hidden="false" customHeight="false" outlineLevel="0" collapsed="false">
      <c r="A3925" s="0" t="s">
        <v>519</v>
      </c>
      <c r="B3925" s="0" t="s">
        <v>86</v>
      </c>
      <c r="C3925" s="38" t="n">
        <f aca="false">Q!$D$13</f>
        <v>56.214</v>
      </c>
      <c r="D3925" s="38" t="n">
        <f aca="false">Q!$E$13</f>
        <v>68.635</v>
      </c>
      <c r="E3925" s="38" t="n">
        <f aca="false">Q!$P$13</f>
        <v>37.052</v>
      </c>
      <c r="F3925" s="38" t="n">
        <f aca="false">Sens!$O$3925*(1+Sens!$F$3926)*Sens!$F$3931</f>
        <v>46.1572219944148</v>
      </c>
      <c r="G3925" s="38" t="n">
        <f aca="false">Sens!$E$3925+Sens!$F$3925</f>
        <v>83.2092219944148</v>
      </c>
      <c r="H3925" s="38" t="n">
        <f aca="false">Sens!$G$3925*(1+Sens!$H$3926)</f>
        <v>99.2728532229395</v>
      </c>
      <c r="I3925" s="38" t="n">
        <f aca="false">Sens!$H$3925*(1+Sens!$I$3926)</f>
        <v>114.365708324728</v>
      </c>
      <c r="J3925" s="38" t="n">
        <f aca="false">Sens!$I$3925*(1+Sens!$J$3926)</f>
        <v>127.062249699617</v>
      </c>
      <c r="K3925" s="38" t="n">
        <f aca="false">Sens!$J$3925*(1+Sens!$K$3926)</f>
        <v>135.95660717859</v>
      </c>
      <c r="L3925" s="38" t="n">
        <f aca="false">Sens!$K$3925*(1+Sens!$L$3926)</f>
        <v>145.473569681091</v>
      </c>
      <c r="M3925" s="38" t="n">
        <f aca="false">Sens!$L$3925*(1+Sens!$M$3926)</f>
        <v>155.656719558768</v>
      </c>
      <c r="N3925" s="38" t="n">
        <f aca="false">Q!$N$13</f>
        <v>29.615</v>
      </c>
      <c r="O3925" s="38" t="n">
        <f aca="false">Q!$O$13</f>
        <v>39.02</v>
      </c>
      <c r="P3925" s="8" t="s">
        <v>661</v>
      </c>
    </row>
    <row r="3926" customFormat="false" ht="17.15" hidden="false" customHeight="false" outlineLevel="0" collapsed="false">
      <c r="A3926" s="0" t="s">
        <v>668</v>
      </c>
      <c r="B3926" s="0" t="s">
        <v>52</v>
      </c>
      <c r="E3926" s="13" t="n">
        <f aca="false">Sens!$E$3925/Sens!$N$3925-1</f>
        <v>0.25112274185379</v>
      </c>
      <c r="F3926" s="13" t="n">
        <f aca="false">Sens!$O$3925/(Q!$F$13+Q!$G$13)-1</f>
        <v>0.234068123596572</v>
      </c>
      <c r="G3926" s="13" t="n">
        <f aca="false">Sens!$G$3925/Sens!$D$3925-1</f>
        <v>0.212343876949294</v>
      </c>
      <c r="H3926" s="13" t="n">
        <f aca="false">Sens!$F$3926+(g_ad_lo-Sens!$F$3926)*1/4</f>
        <v>0.193051092697429</v>
      </c>
      <c r="I3926" s="13" t="n">
        <f aca="false">Sens!$F$3926+(g_ad_lo-Sens!$F$3926)*2/4</f>
        <v>0.152034061798286</v>
      </c>
      <c r="J3926" s="13" t="n">
        <f aca="false">Sens!$F$3926+(g_ad_lo-Sens!$F$3926)*3/4</f>
        <v>0.111017030899143</v>
      </c>
      <c r="K3926" s="13" t="n">
        <f aca="false">Sens!$F$3926+(g_ad_lo-Sens!$F$3926)*4/4</f>
        <v>0.07</v>
      </c>
      <c r="L3926" s="13" t="n">
        <f aca="false">g_ad_lo</f>
        <v>0.07</v>
      </c>
      <c r="M3926" s="13" t="n">
        <f aca="false">g_ad_lo</f>
        <v>0.07</v>
      </c>
      <c r="P3926" s="8" t="s">
        <v>669</v>
      </c>
    </row>
    <row r="3927" customFormat="false" ht="17.15" hidden="false" customHeight="false" outlineLevel="0" collapsed="false">
      <c r="A3927" s="0" t="s">
        <v>520</v>
      </c>
      <c r="B3927" s="0" t="s">
        <v>86</v>
      </c>
      <c r="C3927" s="38" t="n">
        <f aca="false">Q!$D$14</f>
        <v>44.374</v>
      </c>
      <c r="D3927" s="38" t="n">
        <f aca="false">Q!$E$14</f>
        <v>49.619</v>
      </c>
      <c r="E3927" s="38" t="n">
        <f aca="false">Q!$P$14</f>
        <v>27.157</v>
      </c>
      <c r="F3927" s="38" t="n">
        <f aca="false">Sens!$O$3927*(1+Sens!$F$3928)*Sens!$F$3931</f>
        <v>27.7764165988154</v>
      </c>
      <c r="G3927" s="38" t="n">
        <f aca="false">Sens!$E$3927+Sens!$F$3927</f>
        <v>54.9334165988154</v>
      </c>
      <c r="H3927" s="38" t="n">
        <f aca="false">Sens!$G$3927*(1+Sens!$H$3928)</f>
        <v>61.1564112561829</v>
      </c>
      <c r="I3927" s="38" t="n">
        <f aca="false">Sens!$H$3927*(1+Sens!$I$3928)</f>
        <v>67.2020282103945</v>
      </c>
      <c r="J3927" s="38" t="n">
        <f aca="false">Sens!$I$3927*(1+Sens!$J$3928)</f>
        <v>72.8757274028885</v>
      </c>
      <c r="K3927" s="38" t="n">
        <f aca="false">Sens!$J$3927*(1+Sens!$K$3928)</f>
        <v>77.9770283210907</v>
      </c>
      <c r="L3927" s="38" t="n">
        <f aca="false">Sens!$K$3927*(1+Sens!$L$3928)</f>
        <v>83.4354203035671</v>
      </c>
      <c r="M3927" s="38" t="n">
        <f aca="false">Sens!$L$3927*(1+Sens!$M$3928)</f>
        <v>89.2758997248168</v>
      </c>
      <c r="N3927" s="38" t="n">
        <f aca="false">Q!$N$14</f>
        <v>23.923</v>
      </c>
      <c r="O3927" s="38" t="n">
        <f aca="false">Q!$O$14</f>
        <v>25.696</v>
      </c>
      <c r="P3927" s="8" t="s">
        <v>661</v>
      </c>
    </row>
    <row r="3928" customFormat="false" ht="17.15" hidden="false" customHeight="false" outlineLevel="0" collapsed="false">
      <c r="A3928" s="0" t="s">
        <v>670</v>
      </c>
      <c r="B3928" s="0" t="s">
        <v>52</v>
      </c>
      <c r="E3928" s="13" t="n">
        <f aca="false">Sens!$E$3927/Sens!$N$3927-1</f>
        <v>0.135183714417088</v>
      </c>
      <c r="F3928" s="13" t="n">
        <f aca="false">Sens!$O$3927/(Q!$F$14+Q!$G$14)-1</f>
        <v>0.127709997366804</v>
      </c>
      <c r="G3928" s="13" t="n">
        <f aca="false">Sens!$G$3927/Sens!$D$3927-1</f>
        <v>0.107104468022641</v>
      </c>
      <c r="H3928" s="13" t="n">
        <f aca="false">Sens!$F$3928+(g_sub-Sens!$F$3928)*1/4</f>
        <v>0.113282498025103</v>
      </c>
      <c r="I3928" s="13" t="n">
        <f aca="false">Sens!$F$3928+(g_sub-Sens!$F$3928)*2/4</f>
        <v>0.0988549986834021</v>
      </c>
      <c r="J3928" s="13" t="n">
        <f aca="false">Sens!$F$3928+(g_sub-Sens!$F$3928)*3/4</f>
        <v>0.084427499341701</v>
      </c>
      <c r="K3928" s="13" t="n">
        <f aca="false">Sens!$F$3928+(g_sub-Sens!$F$3928)*4/4</f>
        <v>0.07</v>
      </c>
      <c r="L3928" s="13" t="n">
        <f aca="false">g_sub</f>
        <v>0.07</v>
      </c>
      <c r="M3928" s="13" t="n">
        <f aca="false">g_sub</f>
        <v>0.07</v>
      </c>
      <c r="P3928" s="8" t="s">
        <v>671</v>
      </c>
    </row>
    <row r="3929" customFormat="false" ht="17.15" hidden="false" customHeight="false" outlineLevel="0" collapsed="false">
      <c r="A3929" s="0" t="s">
        <v>521</v>
      </c>
      <c r="B3929" s="0" t="s">
        <v>86</v>
      </c>
      <c r="C3929" s="38" t="n">
        <f aca="false">Q!$D$15</f>
        <v>5.425</v>
      </c>
      <c r="D3929" s="38" t="n">
        <f aca="false">Q!$E$15</f>
        <v>5.935</v>
      </c>
      <c r="E3929" s="38" t="n">
        <f aca="false">Q!$P$15</f>
        <v>3.474</v>
      </c>
      <c r="F3929" s="38" t="n">
        <f aca="false">Sens!$O$3929*(1+Sens!$F$3930)*Sens!$F$3931</f>
        <v>3.22246550883619</v>
      </c>
      <c r="G3929" s="38" t="n">
        <f aca="false">Sens!$E$3929+Sens!$F$3929</f>
        <v>6.69646550883619</v>
      </c>
      <c r="H3929" s="38" t="n">
        <f aca="false">Sens!$G$3929*(1+Sens!$H$3930)</f>
        <v>7.16251344209196</v>
      </c>
      <c r="I3929" s="38" t="n">
        <f aca="false">Sens!$H$3929*(1+Sens!$I$3930)</f>
        <v>7.61421070299826</v>
      </c>
      <c r="J3929" s="38" t="n">
        <f aca="false">Sens!$I$3929*(1+Sens!$J$3930)</f>
        <v>8.04465753523932</v>
      </c>
      <c r="K3929" s="38" t="n">
        <f aca="false">Sens!$J$3929*(1+Sens!$K$3930)</f>
        <v>8.44689041200128</v>
      </c>
      <c r="L3929" s="38" t="n">
        <f aca="false">Sens!$K$3929*(1+Sens!$L$3930)</f>
        <v>8.86923493260135</v>
      </c>
      <c r="M3929" s="38" t="n">
        <f aca="false">Sens!$L$3929*(1+Sens!$M$3930)</f>
        <v>9.31269667923142</v>
      </c>
      <c r="N3929" s="38" t="n">
        <f aca="false">Q!$N$15</f>
        <v>2.811</v>
      </c>
      <c r="O3929" s="38" t="n">
        <f aca="false">Q!$O$15</f>
        <v>3.124</v>
      </c>
      <c r="P3929" s="8" t="s">
        <v>661</v>
      </c>
    </row>
    <row r="3930" customFormat="false" ht="17.15" hidden="false" customHeight="false" outlineLevel="0" collapsed="false">
      <c r="A3930" s="0" t="s">
        <v>672</v>
      </c>
      <c r="B3930" s="0" t="s">
        <v>52</v>
      </c>
      <c r="E3930" s="13" t="n">
        <f aca="false">Sens!$E$3929/Sens!$N$3929-1</f>
        <v>0.235859124866596</v>
      </c>
      <c r="F3930" s="13" t="n">
        <f aca="false">Sens!$O$3929/(Q!$F$15+Q!$G$15)-1</f>
        <v>0.0761281433000345</v>
      </c>
      <c r="G3930" s="13" t="n">
        <f aca="false">Sens!$G$3929/Sens!$D$3929-1</f>
        <v>0.128300843948811</v>
      </c>
      <c r="H3930" s="13" t="n">
        <f aca="false">Sens!$F$3930+(g_ot-Sens!$F$3930)*1/4</f>
        <v>0.0695961074750259</v>
      </c>
      <c r="I3930" s="13" t="n">
        <f aca="false">Sens!$F$3930+(g_ot-Sens!$F$3930)*2/4</f>
        <v>0.0630640716500172</v>
      </c>
      <c r="J3930" s="13" t="n">
        <f aca="false">Sens!$F$3930+(g_ot-Sens!$F$3930)*3/4</f>
        <v>0.0565320358250086</v>
      </c>
      <c r="K3930" s="13" t="n">
        <f aca="false">Sens!$F$3930+(g_ot-Sens!$F$3930)*4/4</f>
        <v>0.05</v>
      </c>
      <c r="L3930" s="13" t="n">
        <f aca="false">g_ot</f>
        <v>0.05</v>
      </c>
      <c r="M3930" s="13" t="n">
        <f aca="false">g_ot</f>
        <v>0.05</v>
      </c>
      <c r="P3930" s="8" t="s">
        <v>673</v>
      </c>
    </row>
    <row r="3931" customFormat="false" ht="17.15" hidden="false" customHeight="false" outlineLevel="0" collapsed="false">
      <c r="A3931" s="0" t="s">
        <v>674</v>
      </c>
      <c r="B3931" s="0" t="s">
        <v>57</v>
      </c>
      <c r="F3931" s="40" t="n">
        <f aca="false">(g26q3_mid*Q!$O$8/Q!$J$8-Sens!$F$3960-Sens!$F$3964)/(Sens!$O$3919*(1+Sens!$F$3920)+Sens!$O$3921*(1+Sens!$F$3922)+Sens!$O$3923*(1+Sens!$F$3924)+Sens!$O$3925*(1+Sens!$F$3926)+Sens!$O$3927*(1+Sens!$F$3928)+Sens!$O$3929*(1+Sens!$F$3930))</f>
        <v>0.958546670622329</v>
      </c>
      <c r="P3931" s="8" t="s">
        <v>675</v>
      </c>
    </row>
    <row r="3932" customFormat="false" ht="17.15" hidden="false" customHeight="false" outlineLevel="0" collapsed="false">
      <c r="A3932" s="3" t="s">
        <v>676</v>
      </c>
      <c r="B3932" s="8" t="s">
        <v>86</v>
      </c>
      <c r="C3932" s="38" t="n">
        <f aca="false">Sens!$C$3919+Sens!$C$3921+Sens!$C$3923+Sens!$C$3925+Sens!$C$3927+Sens!$C$3929</f>
        <v>530.403</v>
      </c>
      <c r="D3932" s="38" t="n">
        <f aca="false">Sens!$D$3919+Sens!$D$3921+Sens!$D$3923+Sens!$D$3925+Sens!$D$3927+Sens!$D$3929</f>
        <v>588.199</v>
      </c>
      <c r="E3932" s="38" t="n">
        <f aca="false">Sens!$E$3919+Sens!$E$3921+Sens!$E$3923+Sens!$E$3925+Sens!$E$3927+Sens!$E$3929</f>
        <v>302.306</v>
      </c>
      <c r="F3932" s="38" t="n">
        <f aca="false">Sens!$F$3919+Sens!$F$3921+Sens!$F$3923+Sens!$F$3925+Sens!$F$3927+Sens!$F$3929</f>
        <v>349.048241645537</v>
      </c>
      <c r="G3932" s="38" t="n">
        <f aca="false">Sens!$G$3919+Sens!$G$3921+Sens!$G$3923+Sens!$G$3925+Sens!$G$3927+Sens!$G$3929</f>
        <v>651.354241645537</v>
      </c>
      <c r="H3932" s="38" t="n">
        <f aca="false">Sens!$H$3919+Sens!$H$3921+Sens!$H$3923+Sens!$H$3925+Sens!$H$3927+Sens!$H$3929</f>
        <v>720.472820356428</v>
      </c>
      <c r="I3932" s="38" t="n">
        <f aca="false">Sens!$I$3919+Sens!$I$3921+Sens!$I$3923+Sens!$I$3925+Sens!$I$3927+Sens!$I$3929</f>
        <v>786.311988381763</v>
      </c>
      <c r="J3932" s="38" t="n">
        <f aca="false">Sens!$J$3919+Sens!$J$3921+Sens!$J$3923+Sens!$J$3925+Sens!$J$3927+Sens!$J$3929</f>
        <v>846.021713499108</v>
      </c>
      <c r="K3932" s="38" t="n">
        <f aca="false">Sens!$K$3919+Sens!$K$3921+Sens!$K$3923+Sens!$K$3925+Sens!$K$3927+Sens!$K$3929</f>
        <v>896.769226473531</v>
      </c>
      <c r="L3932" s="38" t="n">
        <f aca="false">Sens!$L$3919+Sens!$L$3921+Sens!$L$3923+Sens!$L$3925+Sens!$L$3927+Sens!$L$3929</f>
        <v>950.666456406919</v>
      </c>
      <c r="M3932" s="38" t="n">
        <f aca="false">Sens!$M$3919+Sens!$M$3921+Sens!$M$3923+Sens!$M$3925+Sens!$M$3927+Sens!$M$3929</f>
        <v>1007.91438578092</v>
      </c>
      <c r="N3932" s="38" t="n">
        <f aca="false">Sens!$N$3919+Sens!$N$3921+Sens!$N$3923+Sens!$N$3925+Sens!$N$3927+Sens!$N$3929</f>
        <v>263.229</v>
      </c>
      <c r="O3932" s="38" t="n">
        <f aca="false">Sens!$O$3919+Sens!$O$3921+Sens!$O$3923+Sens!$O$3925+Sens!$O$3927+Sens!$O$3929</f>
        <v>324.97</v>
      </c>
    </row>
    <row r="3933" customFormat="false" ht="17.15" hidden="false" customHeight="false" outlineLevel="0" collapsed="false">
      <c r="A3933" s="5" t="s">
        <v>677</v>
      </c>
      <c r="B3933" s="0" t="s">
        <v>52</v>
      </c>
      <c r="C3933" s="13" t="n">
        <f aca="false">Q!$D$5/(Q!$D$5+Q!$D$6)</f>
        <v>0.730570905519011</v>
      </c>
      <c r="D3933" s="13" t="n">
        <f aca="false">Q!$E$5/(Q!$E$5+Q!$E$6)</f>
        <v>0.724763217890544</v>
      </c>
      <c r="E3933" s="13" t="n">
        <f aca="false">Q!$P$5/(Q!$P$5+Q!$P$6)</f>
        <v>0.728797972914861</v>
      </c>
      <c r="F3933" s="13" t="n">
        <f aca="false">Sens!$O$3933</f>
        <v>0.718066283041511</v>
      </c>
      <c r="G3933" s="13" t="n">
        <f aca="false">Sens!$G$3934/Sens!$G$3932</f>
        <v>0.723047066202847</v>
      </c>
      <c r="H3933" s="13" t="n">
        <f aca="false">Sens!$G$3933</f>
        <v>0.723047066202847</v>
      </c>
      <c r="I3933" s="13" t="n">
        <f aca="false">Sens!$G$3933</f>
        <v>0.723047066202847</v>
      </c>
      <c r="J3933" s="13" t="n">
        <f aca="false">Sens!$G$3933</f>
        <v>0.723047066202847</v>
      </c>
      <c r="K3933" s="13" t="n">
        <f aca="false">Sens!$G$3933</f>
        <v>0.723047066202847</v>
      </c>
      <c r="L3933" s="13" t="n">
        <f aca="false">Sens!$G$3933</f>
        <v>0.723047066202847</v>
      </c>
      <c r="M3933" s="13" t="n">
        <f aca="false">Sens!$G$3933</f>
        <v>0.723047066202847</v>
      </c>
      <c r="N3933" s="13" t="n">
        <f aca="false">Q!$N$5/(Q!$N$5+Q!$N$6)</f>
        <v>0.733030935041352</v>
      </c>
      <c r="O3933" s="13" t="n">
        <f aca="false">Q!$O$5/(Q!$O$5+Q!$O$6)</f>
        <v>0.718066283041511</v>
      </c>
      <c r="P3933" s="8" t="s">
        <v>678</v>
      </c>
    </row>
    <row r="3934" customFormat="false" ht="17.15" hidden="false" customHeight="false" outlineLevel="0" collapsed="false">
      <c r="A3934" s="1" t="s">
        <v>509</v>
      </c>
      <c r="B3934" s="8" t="s">
        <v>86</v>
      </c>
      <c r="C3934" s="38" t="n">
        <f aca="false">Q!$D$5</f>
        <v>387.497</v>
      </c>
      <c r="D3934" s="38" t="n">
        <f aca="false">Q!$E$5</f>
        <v>426.305</v>
      </c>
      <c r="E3934" s="38" t="n">
        <f aca="false">Q!$P$5</f>
        <v>220.32</v>
      </c>
      <c r="F3934" s="38" t="n">
        <f aca="false">Sens!$F$3932*Sens!$F$3933</f>
        <v>250.639773480586</v>
      </c>
      <c r="G3934" s="38" t="n">
        <f aca="false">Sens!$E$3934+Sens!$F$3934</f>
        <v>470.959773480586</v>
      </c>
      <c r="H3934" s="38" t="n">
        <f aca="false">Sens!$H$3932*Sens!$H$3933</f>
        <v>520.935759037606</v>
      </c>
      <c r="I3934" s="38" t="n">
        <f aca="false">Sens!$I$3932*Sens!$I$3933</f>
        <v>568.540576319561</v>
      </c>
      <c r="J3934" s="38" t="n">
        <f aca="false">Sens!$J$3932*Sens!$J$3933</f>
        <v>611.713517889435</v>
      </c>
      <c r="K3934" s="38" t="n">
        <f aca="false">Sens!$K$3932*Sens!$K$3933</f>
        <v>648.406358262683</v>
      </c>
      <c r="L3934" s="38" t="n">
        <f aca="false">Sens!$L$3932*Sens!$L$3933</f>
        <v>687.37659224248</v>
      </c>
      <c r="M3934" s="38" t="n">
        <f aca="false">Sens!$M$3932*Sens!$M$3933</f>
        <v>728.769539622536</v>
      </c>
      <c r="N3934" s="38" t="n">
        <f aca="false">Q!$N$5</f>
        <v>192.955</v>
      </c>
      <c r="O3934" s="38" t="n">
        <f aca="false">Q!$O$5</f>
        <v>233.35</v>
      </c>
      <c r="P3934" s="5" t="s">
        <v>679</v>
      </c>
    </row>
    <row r="3935" customFormat="false" ht="17.15" hidden="false" customHeight="false" outlineLevel="0" collapsed="false">
      <c r="A3935" s="1" t="s">
        <v>512</v>
      </c>
      <c r="B3935" s="8" t="s">
        <v>86</v>
      </c>
      <c r="C3935" s="38" t="n">
        <f aca="false">Q!$D$6</f>
        <v>142.906</v>
      </c>
      <c r="D3935" s="38" t="n">
        <f aca="false">Q!$E$6</f>
        <v>161.894</v>
      </c>
      <c r="E3935" s="38" t="n">
        <f aca="false">Q!$P$6</f>
        <v>81.986</v>
      </c>
      <c r="F3935" s="38" t="n">
        <f aca="false">Sens!$F$3932*(1-Sens!$F$3933)</f>
        <v>98.408468164951</v>
      </c>
      <c r="G3935" s="38" t="n">
        <f aca="false">Sens!$E$3935+Sens!$F$3935</f>
        <v>180.394468164951</v>
      </c>
      <c r="H3935" s="38" t="n">
        <f aca="false">Sens!$H$3932*(1-Sens!$H$3933)</f>
        <v>199.537061318822</v>
      </c>
      <c r="I3935" s="38" t="n">
        <f aca="false">Sens!$I$3932*(1-Sens!$I$3933)</f>
        <v>217.771412062202</v>
      </c>
      <c r="J3935" s="38" t="n">
        <f aca="false">Sens!$J$3932*(1-Sens!$J$3933)</f>
        <v>234.308195609672</v>
      </c>
      <c r="K3935" s="38" t="n">
        <f aca="false">Sens!$K$3932*(1-Sens!$K$3933)</f>
        <v>248.362868210848</v>
      </c>
      <c r="L3935" s="38" t="n">
        <f aca="false">Sens!$L$3932*(1-Sens!$L$3933)</f>
        <v>263.289864164439</v>
      </c>
      <c r="M3935" s="38" t="n">
        <f aca="false">Sens!$M$3932*(1-Sens!$M$3933)</f>
        <v>279.14484615838</v>
      </c>
      <c r="N3935" s="38" t="n">
        <f aca="false">Q!$N$6</f>
        <v>70.274</v>
      </c>
      <c r="O3935" s="38" t="n">
        <f aca="false">Q!$O$6</f>
        <v>91.62</v>
      </c>
      <c r="P3935" s="5" t="s">
        <v>680</v>
      </c>
    </row>
    <row r="3936" customFormat="false" ht="17.15" hidden="false" customHeight="false" outlineLevel="0" collapsed="false">
      <c r="A3936" s="5" t="s">
        <v>681</v>
      </c>
      <c r="B3936" s="0" t="s">
        <v>86</v>
      </c>
      <c r="C3936" s="38" t="n">
        <f aca="false">Sens!$C$3925*Sens!$C$3933</f>
        <v>41.0683128828457</v>
      </c>
      <c r="D3936" s="38" t="n">
        <f aca="false">Sens!$D$3925*Sens!$D$3933</f>
        <v>49.7441234599175</v>
      </c>
      <c r="E3936" s="38" t="n">
        <f aca="false">Sens!$E$3925*Sens!$E$3933</f>
        <v>27.0034224924414</v>
      </c>
      <c r="F3936" s="38" t="n">
        <f aca="false">Sens!$F$3925*Sens!$F$3933</f>
        <v>33.1439448330513</v>
      </c>
      <c r="G3936" s="38" t="n">
        <f aca="false">Sens!$G$3925*Sens!$G$3933</f>
        <v>60.164183844083</v>
      </c>
      <c r="H3936" s="38" t="n">
        <f aca="false">Sens!$H$3925*Sens!$H$3933</f>
        <v>71.7789452764322</v>
      </c>
      <c r="I3936" s="38" t="n">
        <f aca="false">Sens!$I$3925*Sens!$I$3933</f>
        <v>82.6917898784051</v>
      </c>
      <c r="J3936" s="38" t="n">
        <f aca="false">Sens!$J$3925*Sens!$J$3933</f>
        <v>91.8719868704415</v>
      </c>
      <c r="K3936" s="38" t="n">
        <f aca="false">Sens!$K$3925*Sens!$K$3933</f>
        <v>98.3030259513724</v>
      </c>
      <c r="L3936" s="38" t="n">
        <f aca="false">Sens!$L$3925*Sens!$L$3933</f>
        <v>105.184237767968</v>
      </c>
      <c r="M3936" s="38" t="n">
        <f aca="false">Sens!$M$3925*Sens!$M$3933</f>
        <v>112.547134411726</v>
      </c>
      <c r="N3936" s="38" t="n">
        <f aca="false">Sens!$N$3925*Sens!$N$3933</f>
        <v>21.7087111412496</v>
      </c>
      <c r="O3936" s="38" t="n">
        <f aca="false">Sens!$O$3925*Sens!$O$3933</f>
        <v>28.0189463642798</v>
      </c>
      <c r="P3936" s="5" t="s">
        <v>682</v>
      </c>
    </row>
    <row r="3937" customFormat="false" ht="15" hidden="false" customHeight="false" outlineLevel="0" collapsed="false">
      <c r="A3937" s="5" t="s">
        <v>683</v>
      </c>
      <c r="B3937" s="0" t="s">
        <v>86</v>
      </c>
      <c r="C3937" s="38" t="n">
        <f aca="false">Sens!$C$3925-Sens!$C$3936</f>
        <v>15.1456871171543</v>
      </c>
      <c r="D3937" s="38" t="n">
        <f aca="false">Sens!$D$3925-Sens!$D$3936</f>
        <v>18.8908765400825</v>
      </c>
      <c r="E3937" s="38" t="n">
        <f aca="false">Sens!$E$3925-Sens!$E$3936</f>
        <v>10.0485775075586</v>
      </c>
      <c r="F3937" s="38" t="n">
        <f aca="false">Sens!$F$3925-Sens!$F$3936</f>
        <v>13.0132771613635</v>
      </c>
      <c r="G3937" s="38" t="n">
        <f aca="false">Sens!$G$3925-Sens!$G$3936</f>
        <v>23.0450381503318</v>
      </c>
      <c r="H3937" s="38" t="n">
        <f aca="false">Sens!$H$3925-Sens!$H$3936</f>
        <v>27.4939079465072</v>
      </c>
      <c r="I3937" s="38" t="n">
        <f aca="false">Sens!$I$3925-Sens!$I$3936</f>
        <v>31.6739184463229</v>
      </c>
      <c r="J3937" s="38" t="n">
        <f aca="false">Sens!$J$3925-Sens!$J$3936</f>
        <v>35.1902628291752</v>
      </c>
      <c r="K3937" s="38" t="n">
        <f aca="false">Sens!$K$3925-Sens!$K$3936</f>
        <v>37.6535812272175</v>
      </c>
      <c r="L3937" s="38" t="n">
        <f aca="false">Sens!$L$3925-Sens!$L$3936</f>
        <v>40.2893319131227</v>
      </c>
      <c r="M3937" s="38" t="n">
        <f aca="false">Sens!$M$3925-Sens!$M$3936</f>
        <v>43.1095851470413</v>
      </c>
      <c r="N3937" s="38" t="n">
        <f aca="false">Sens!$N$3925-Sens!$N$3936</f>
        <v>7.90628885875037</v>
      </c>
      <c r="O3937" s="38" t="n">
        <f aca="false">Sens!$O$3925-Sens!$O$3936</f>
        <v>11.0010536357202</v>
      </c>
    </row>
    <row r="3938" customFormat="false" ht="19.4" hidden="false" customHeight="false" outlineLevel="0" collapsed="false">
      <c r="A3938" s="31" t="s">
        <v>1208</v>
      </c>
    </row>
    <row r="3939" customFormat="false" ht="17.15" hidden="false" customHeight="false" outlineLevel="0" collapsed="false">
      <c r="A3939" s="6" t="s">
        <v>16</v>
      </c>
      <c r="B3939" s="6" t="s">
        <v>17</v>
      </c>
      <c r="C3939" s="20" t="s">
        <v>494</v>
      </c>
      <c r="D3939" s="20" t="s">
        <v>495</v>
      </c>
      <c r="E3939" s="20" t="s">
        <v>577</v>
      </c>
      <c r="F3939" s="20" t="s">
        <v>578</v>
      </c>
      <c r="G3939" s="20" t="s">
        <v>579</v>
      </c>
      <c r="H3939" s="20" t="s">
        <v>580</v>
      </c>
      <c r="I3939" s="20" t="s">
        <v>581</v>
      </c>
      <c r="J3939" s="20" t="s">
        <v>582</v>
      </c>
      <c r="K3939" s="20" t="s">
        <v>583</v>
      </c>
      <c r="L3939" s="20" t="s">
        <v>584</v>
      </c>
      <c r="M3939" s="20" t="s">
        <v>585</v>
      </c>
      <c r="N3939" s="20" t="s">
        <v>586</v>
      </c>
      <c r="O3939" s="20" t="s">
        <v>587</v>
      </c>
      <c r="P3939" s="6" t="s">
        <v>23</v>
      </c>
      <c r="R3939" s="20" t="n">
        <v>2023</v>
      </c>
      <c r="S3939" s="20" t="n">
        <v>2024</v>
      </c>
      <c r="T3939" s="20" t="n">
        <v>2025</v>
      </c>
      <c r="U3939" s="20" t="n">
        <v>2026</v>
      </c>
      <c r="V3939" s="20" t="n">
        <v>2027</v>
      </c>
      <c r="W3939" s="20" t="n">
        <v>2028</v>
      </c>
      <c r="X3939" s="20" t="n">
        <v>2029</v>
      </c>
      <c r="Y3939" s="20" t="n">
        <v>2030</v>
      </c>
      <c r="Z3939" s="20" t="n">
        <v>2031</v>
      </c>
      <c r="AA3939" s="20" t="n">
        <v>2032</v>
      </c>
    </row>
    <row r="3940" customFormat="false" ht="17.15" hidden="false" customHeight="false" outlineLevel="0" collapsed="false">
      <c r="A3940" s="1" t="s">
        <v>588</v>
      </c>
    </row>
    <row r="3941" customFormat="false" ht="17.15" hidden="false" customHeight="false" outlineLevel="0" collapsed="false">
      <c r="A3941" s="5" t="s">
        <v>589</v>
      </c>
      <c r="B3941" s="0" t="s">
        <v>144</v>
      </c>
      <c r="H3941" s="32" t="n">
        <f aca="false">pace_B</f>
        <v>3634.3</v>
      </c>
      <c r="I3941" s="32" t="n">
        <f aca="false">pace_B</f>
        <v>3634.3</v>
      </c>
      <c r="J3941" s="32" t="n">
        <f aca="false">pace_B</f>
        <v>3634.3</v>
      </c>
      <c r="K3941" s="32" t="n">
        <f aca="false">pace_B+(Sens!$J$3942*tg-pace_B)*1/3</f>
        <v>2570.86716666667</v>
      </c>
      <c r="L3941" s="32" t="n">
        <f aca="false">pace_B+(Sens!$J$3942*tg-pace_B)*2/3</f>
        <v>1507.43433333333</v>
      </c>
      <c r="M3941" s="32" t="n">
        <f aca="false">pace_B+(Sens!$J$3942*tg-pace_B)*3/3</f>
        <v>444.0015</v>
      </c>
      <c r="P3941" s="5" t="s">
        <v>590</v>
      </c>
    </row>
    <row r="3942" customFormat="false" ht="17.15" hidden="false" customHeight="false" outlineLevel="0" collapsed="false">
      <c r="A3942" s="15" t="s">
        <v>591</v>
      </c>
      <c r="B3942" s="14" t="s">
        <v>129</v>
      </c>
      <c r="C3942" s="33" t="n">
        <f aca="false">mw_ye24</f>
        <v>360</v>
      </c>
      <c r="D3942" s="33" t="n">
        <f aca="false">mw_ye25</f>
        <v>1440</v>
      </c>
      <c r="E3942" s="33" t="n">
        <f aca="false">mw_open</f>
        <v>2080</v>
      </c>
      <c r="F3942" s="33" t="n">
        <f aca="false">Sens!$E$3942+pace_B*0.5</f>
        <v>3897.15</v>
      </c>
      <c r="G3942" s="33" t="n">
        <f aca="false">Sens!$F$3942</f>
        <v>3897.15</v>
      </c>
      <c r="H3942" s="33" t="n">
        <f aca="false">Sens!$G$3942+Sens!$H$3941</f>
        <v>7531.45</v>
      </c>
      <c r="I3942" s="33" t="n">
        <f aca="false">Sens!$H$3942+Sens!$I$3941</f>
        <v>11165.75</v>
      </c>
      <c r="J3942" s="33" t="n">
        <f aca="false">Sens!$I$3942+Sens!$J$3941</f>
        <v>14800.05</v>
      </c>
      <c r="K3942" s="33" t="n">
        <f aca="false">Sens!$J$3942+Sens!$K$3941</f>
        <v>17370.9171666667</v>
      </c>
      <c r="L3942" s="33" t="n">
        <f aca="false">Sens!$K$3942+Sens!$L$3941</f>
        <v>18878.3515</v>
      </c>
      <c r="M3942" s="33" t="n">
        <f aca="false">Sens!$L$3942+Sens!$M$3941</f>
        <v>19322.353</v>
      </c>
      <c r="N3942" s="33" t="n">
        <f aca="false">(mw_ye24+mw_ye25)/2</f>
        <v>900</v>
      </c>
      <c r="O3942" s="33" t="n">
        <f aca="false">mw_ye25</f>
        <v>1440</v>
      </c>
      <c r="P3942" s="5" t="s">
        <v>592</v>
      </c>
    </row>
    <row r="3943" customFormat="false" ht="17.15" hidden="false" customHeight="false" outlineLevel="0" collapsed="false">
      <c r="A3943" s="5" t="s">
        <v>593</v>
      </c>
      <c r="B3943" s="0" t="s">
        <v>129</v>
      </c>
      <c r="C3943" s="32" t="n">
        <f aca="false">(mw_ye23+mw_ye24)/2</f>
        <v>240</v>
      </c>
      <c r="D3943" s="32" t="n">
        <f aca="false">(Sens!$C$3942+Sens!$D$3942)/2</f>
        <v>900</v>
      </c>
      <c r="E3943" s="32" t="n">
        <f aca="false">(Sens!$D$3942+Sens!$E$3942)/2</f>
        <v>1760</v>
      </c>
      <c r="F3943" s="32" t="n">
        <f aca="false">(Sens!$E$3942+Sens!$F$3942)/2</f>
        <v>2988.575</v>
      </c>
      <c r="G3943" s="32" t="n">
        <f aca="false">(Sens!$E$3943+Sens!$F$3943)/2</f>
        <v>2374.2875</v>
      </c>
      <c r="H3943" s="32" t="n">
        <f aca="false">(Sens!$G$3942+Sens!$H$3942)/2</f>
        <v>5714.3</v>
      </c>
      <c r="I3943" s="32" t="n">
        <f aca="false">(Sens!$H$3942+Sens!$I$3942)/2</f>
        <v>9348.6</v>
      </c>
      <c r="J3943" s="32" t="n">
        <f aca="false">(Sens!$I$3942+Sens!$J$3942)/2</f>
        <v>12982.9</v>
      </c>
      <c r="K3943" s="32" t="n">
        <f aca="false">(Sens!$J$3942+Sens!$K$3942)/2</f>
        <v>16085.4835833333</v>
      </c>
      <c r="L3943" s="32" t="n">
        <f aca="false">(Sens!$K$3942+Sens!$L$3942)/2</f>
        <v>18124.6343333333</v>
      </c>
      <c r="M3943" s="32" t="n">
        <f aca="false">(Sens!$L$3942+Sens!$M$3942)/2</f>
        <v>19100.35225</v>
      </c>
      <c r="N3943" s="32" t="n">
        <f aca="false">(Sens!$C$3942+Sens!$N$3942)/2</f>
        <v>630</v>
      </c>
      <c r="O3943" s="32" t="n">
        <f aca="false">(Sens!$N$3942+Sens!$O$3942)/2</f>
        <v>1170</v>
      </c>
    </row>
    <row r="3944" customFormat="false" ht="15" hidden="false" customHeight="false" outlineLevel="0" collapsed="false">
      <c r="A3944" s="5" t="s">
        <v>594</v>
      </c>
      <c r="B3944" s="5" t="s">
        <v>123</v>
      </c>
      <c r="C3944" s="34" t="n">
        <v>1</v>
      </c>
      <c r="D3944" s="34" t="n">
        <v>1</v>
      </c>
      <c r="E3944" s="34" t="n">
        <v>0.5</v>
      </c>
      <c r="F3944" s="34" t="n">
        <v>0.5</v>
      </c>
      <c r="G3944" s="34" t="n">
        <v>1</v>
      </c>
      <c r="H3944" s="34" t="n">
        <v>1</v>
      </c>
      <c r="I3944" s="34" t="n">
        <v>1</v>
      </c>
      <c r="J3944" s="34" t="n">
        <v>1</v>
      </c>
      <c r="K3944" s="34" t="n">
        <v>1</v>
      </c>
      <c r="L3944" s="34" t="n">
        <v>1</v>
      </c>
      <c r="M3944" s="34" t="n">
        <v>1</v>
      </c>
      <c r="N3944" s="34" t="n">
        <v>0.5</v>
      </c>
      <c r="O3944" s="34" t="n">
        <v>0.5</v>
      </c>
    </row>
    <row r="3945" customFormat="false" ht="17.15" hidden="false" customHeight="false" outlineLevel="0" collapsed="false">
      <c r="A3945" s="5" t="s">
        <v>595</v>
      </c>
      <c r="B3945" s="0" t="s">
        <v>129</v>
      </c>
      <c r="C3945" s="32" t="n">
        <f aca="false">Sens!$C$3942-mw_ye23</f>
        <v>240</v>
      </c>
      <c r="D3945" s="32" t="n">
        <f aca="false">Sens!$D$3942-Sens!$C$3942</f>
        <v>1080</v>
      </c>
      <c r="E3945" s="32" t="n">
        <f aca="false">Sens!$E$3942-Sens!$D$3942</f>
        <v>640</v>
      </c>
      <c r="F3945" s="32" t="n">
        <f aca="false">Sens!$F$3942-Sens!$E$3942</f>
        <v>1817.15</v>
      </c>
      <c r="G3945" s="32" t="n">
        <f aca="false">Sens!$E$3945+Sens!$F$3945</f>
        <v>2457.15</v>
      </c>
      <c r="H3945" s="32" t="n">
        <f aca="false">Sens!$H$3942-Sens!$G$3942</f>
        <v>3634.3</v>
      </c>
      <c r="I3945" s="32" t="n">
        <f aca="false">Sens!$I$3942-Sens!$H$3942</f>
        <v>3634.3</v>
      </c>
      <c r="J3945" s="32" t="n">
        <f aca="false">Sens!$J$3942-Sens!$I$3942</f>
        <v>3634.3</v>
      </c>
      <c r="K3945" s="32" t="n">
        <f aca="false">Sens!$K$3942-Sens!$J$3942</f>
        <v>2570.86716666667</v>
      </c>
      <c r="L3945" s="32" t="n">
        <f aca="false">Sens!$L$3942-Sens!$K$3942</f>
        <v>1507.43433333333</v>
      </c>
      <c r="M3945" s="32" t="n">
        <f aca="false">Sens!$M$3942-Sens!$L$3942</f>
        <v>444.001499999999</v>
      </c>
      <c r="N3945" s="32" t="n">
        <f aca="false">Sens!$N$3942-Sens!$C$3942</f>
        <v>540</v>
      </c>
      <c r="O3945" s="32" t="n">
        <f aca="false">Sens!$O$3942-Sens!$N$3942</f>
        <v>540</v>
      </c>
    </row>
    <row r="3946" customFormat="false" ht="17.15" hidden="false" customHeight="false" outlineLevel="0" collapsed="false">
      <c r="A3946" s="5" t="s">
        <v>596</v>
      </c>
      <c r="B3946" s="0" t="s">
        <v>129</v>
      </c>
      <c r="C3946" s="32" t="n">
        <f aca="false">Sens!$C$3945/ext_sh</f>
        <v>300</v>
      </c>
      <c r="D3946" s="32" t="n">
        <f aca="false">Sens!$D$3945/ext_sh</f>
        <v>1350</v>
      </c>
      <c r="E3946" s="32" t="n">
        <f aca="false">Sens!$E$3945/ext_sh</f>
        <v>800</v>
      </c>
      <c r="F3946" s="32" t="n">
        <f aca="false">Sens!$F$3945/ext_sh</f>
        <v>2271.4375</v>
      </c>
      <c r="G3946" s="32" t="n">
        <f aca="false">Sens!$G$3945/ext_sh</f>
        <v>3071.4375</v>
      </c>
      <c r="H3946" s="32" t="n">
        <f aca="false">Sens!$H$3945/ext_sh</f>
        <v>4542.875</v>
      </c>
      <c r="I3946" s="32" t="n">
        <f aca="false">Sens!$I$3945/ext_sh</f>
        <v>4542.875</v>
      </c>
      <c r="J3946" s="32" t="n">
        <f aca="false">Sens!$J$3945/ext_sh</f>
        <v>4542.875</v>
      </c>
      <c r="K3946" s="32" t="n">
        <f aca="false">Sens!$K$3945/ext_sh</f>
        <v>3213.58395833333</v>
      </c>
      <c r="L3946" s="32" t="n">
        <f aca="false">Sens!$L$3945/ext_sh</f>
        <v>1884.29291666667</v>
      </c>
      <c r="M3946" s="32" t="n">
        <f aca="false">Sens!$M$3945/ext_sh</f>
        <v>555.001874999998</v>
      </c>
      <c r="N3946" s="32" t="n">
        <f aca="false">Sens!$N$3945/ext_sh</f>
        <v>675</v>
      </c>
      <c r="O3946" s="32" t="n">
        <f aca="false">Sens!$O$3945/ext_sh</f>
        <v>675</v>
      </c>
      <c r="P3946" s="8" t="s">
        <v>597</v>
      </c>
      <c r="R3946" s="32" t="n">
        <f aca="false">mw_ye23/ext_sh</f>
        <v>150</v>
      </c>
      <c r="S3946" s="32" t="n">
        <f aca="false">Sens!$C$3946</f>
        <v>300</v>
      </c>
      <c r="T3946" s="32" t="n">
        <f aca="false">Sens!$D$3946</f>
        <v>1350</v>
      </c>
      <c r="U3946" s="32" t="n">
        <f aca="false">Sens!$G$3946</f>
        <v>3071.4375</v>
      </c>
      <c r="V3946" s="32" t="n">
        <f aca="false">Sens!$H$3946</f>
        <v>4542.875</v>
      </c>
      <c r="W3946" s="32" t="n">
        <f aca="false">Sens!$I$3946</f>
        <v>4542.875</v>
      </c>
      <c r="X3946" s="32" t="n">
        <f aca="false">Sens!$J$3946</f>
        <v>4542.875</v>
      </c>
      <c r="Y3946" s="32" t="n">
        <f aca="false">Sens!$K$3946</f>
        <v>3213.58395833333</v>
      </c>
      <c r="Z3946" s="32" t="n">
        <f aca="false">Sens!$L$3946</f>
        <v>1884.29291666667</v>
      </c>
      <c r="AA3946" s="32" t="n">
        <f aca="false">Sens!$M$3946</f>
        <v>555.001874999998</v>
      </c>
    </row>
    <row r="3947" customFormat="false" ht="17.15" hidden="false" customHeight="false" outlineLevel="0" collapsed="false">
      <c r="A3947" s="1" t="s">
        <v>598</v>
      </c>
    </row>
    <row r="3948" customFormat="false" ht="17.15" hidden="false" customHeight="false" outlineLevel="0" collapsed="false">
      <c r="A3948" s="0" t="s">
        <v>599</v>
      </c>
      <c r="B3948" s="0" t="s">
        <v>52</v>
      </c>
      <c r="F3948" s="35" t="n">
        <f aca="false">na_vr26</f>
        <v>0</v>
      </c>
      <c r="G3948" s="35" t="n">
        <f aca="false">na_vr26</f>
        <v>0</v>
      </c>
      <c r="H3948" s="35" t="n">
        <f aca="false">na_vr27</f>
        <v>0.5</v>
      </c>
      <c r="I3948" s="35" t="n">
        <f aca="false">na_vr28</f>
        <v>1</v>
      </c>
      <c r="J3948" s="35" t="n">
        <f aca="false">na_vr28</f>
        <v>1</v>
      </c>
      <c r="K3948" s="35" t="n">
        <f aca="false">na_vr28</f>
        <v>1</v>
      </c>
      <c r="L3948" s="35" t="n">
        <f aca="false">na_vr28</f>
        <v>1</v>
      </c>
      <c r="M3948" s="35" t="n">
        <f aca="false">na_vr28</f>
        <v>1</v>
      </c>
    </row>
    <row r="3949" customFormat="false" ht="17.15" hidden="false" customHeight="false" outlineLevel="0" collapsed="false">
      <c r="A3949" s="5" t="s">
        <v>600</v>
      </c>
      <c r="B3949" s="0" t="s">
        <v>173</v>
      </c>
      <c r="F3949" s="36" t="n">
        <f aca="false">cust_sh*tk_he_gb300*cf_chip+(1-cust_sh)*((1-Sens!$F$3948)*tk_he_gb300+Sens!$F$3948*tk_he_vr200)</f>
        <v>10.8864110021101</v>
      </c>
      <c r="G3949" s="36" t="n">
        <f aca="false">cust_sh*tk_he_gb300*cf_chip+(1-cust_sh)*((1-Sens!$G$3948)*tk_he_gb300+Sens!$G$3948*tk_he_vr200)</f>
        <v>10.8864110021101</v>
      </c>
      <c r="H3949" s="36" t="n">
        <f aca="false">cust_sh*tk_he_gb300*cf_chip+(1-cust_sh)*((1-Sens!$H$3948)*tk_he_gb300+Sens!$H$3948*tk_he_vr200)</f>
        <v>11.2211760027286</v>
      </c>
      <c r="I3949" s="36" t="n">
        <f aca="false">cust_sh*tk_he_gb300*cf_chip+(1-cust_sh)*((1-Sens!$I$3948)*tk_he_gb300+Sens!$I$3948*tk_he_vr200)</f>
        <v>11.5559410033471</v>
      </c>
      <c r="J3949" s="36" t="n">
        <f aca="false">cust_sh*tk_he_gb300*cf_chip+(1-cust_sh)*((1-Sens!$J$3948)*tk_he_gb300+Sens!$J$3948*tk_he_vr200)</f>
        <v>11.5559410033471</v>
      </c>
      <c r="K3949" s="36" t="n">
        <f aca="false">cust_sh*tk_he_gb300*cf_chip+(1-cust_sh)*((1-Sens!$K$3948)*tk_he_gb300+Sens!$K$3948*tk_he_vr200)</f>
        <v>11.5559410033471</v>
      </c>
      <c r="L3949" s="36" t="n">
        <f aca="false">cust_sh*tk_he_gb300*cf_chip+(1-cust_sh)*((1-Sens!$L$3948)*tk_he_gb300+Sens!$L$3948*tk_he_vr200)</f>
        <v>11.5559410033471</v>
      </c>
      <c r="M3949" s="36" t="n">
        <f aca="false">cust_sh*tk_he_gb300*cf_chip+(1-cust_sh)*((1-Sens!$M$3948)*tk_he_gb300+Sens!$M$3948*tk_he_vr200)</f>
        <v>11.5559410033471</v>
      </c>
    </row>
    <row r="3950" customFormat="false" ht="17.15" hidden="false" customHeight="false" outlineLevel="0" collapsed="false">
      <c r="A3950" s="5" t="s">
        <v>601</v>
      </c>
      <c r="B3950" s="0" t="s">
        <v>173</v>
      </c>
      <c r="F3950" s="36" t="n">
        <f aca="false">cust_sh*tk_ox_gb300+(1-cust_sh)*((1-Sens!$F$3948)*tk_ox_gb300+Sens!$F$3948*tk_ox_vr200)</f>
        <v>1.98263481314457</v>
      </c>
      <c r="G3950" s="36" t="n">
        <f aca="false">cust_sh*tk_ox_gb300+(1-cust_sh)*((1-Sens!$G$3948)*tk_ox_gb300+Sens!$G$3948*tk_ox_vr200)</f>
        <v>1.98263481314457</v>
      </c>
      <c r="H3950" s="36" t="n">
        <f aca="false">cust_sh*tk_ox_gb300+(1-cust_sh)*((1-Sens!$H$3948)*tk_ox_gb300+Sens!$H$3948*tk_ox_vr200)</f>
        <v>2.01034999693694</v>
      </c>
      <c r="I3950" s="36" t="n">
        <f aca="false">cust_sh*tk_ox_gb300+(1-cust_sh)*((1-Sens!$I$3948)*tk_ox_gb300+Sens!$I$3948*tk_ox_vr200)</f>
        <v>2.0380651807293</v>
      </c>
      <c r="J3950" s="36" t="n">
        <f aca="false">cust_sh*tk_ox_gb300+(1-cust_sh)*((1-Sens!$J$3948)*tk_ox_gb300+Sens!$J$3948*tk_ox_vr200)</f>
        <v>2.0380651807293</v>
      </c>
      <c r="K3950" s="36" t="n">
        <f aca="false">cust_sh*tk_ox_gb300+(1-cust_sh)*((1-Sens!$K$3948)*tk_ox_gb300+Sens!$K$3948*tk_ox_vr200)</f>
        <v>2.0380651807293</v>
      </c>
      <c r="L3950" s="36" t="n">
        <f aca="false">cust_sh*tk_ox_gb300+(1-cust_sh)*((1-Sens!$L$3948)*tk_ox_gb300+Sens!$L$3948*tk_ox_vr200)</f>
        <v>2.0380651807293</v>
      </c>
      <c r="M3950" s="36" t="n">
        <f aca="false">cust_sh*tk_ox_gb300+(1-cust_sh)*((1-Sens!$M$3948)*tk_ox_gb300+Sens!$M$3948*tk_ox_vr200)</f>
        <v>2.0380651807293</v>
      </c>
    </row>
    <row r="3951" customFormat="false" ht="17.15" hidden="false" customHeight="false" outlineLevel="0" collapsed="false">
      <c r="A3951" s="5" t="s">
        <v>602</v>
      </c>
      <c r="B3951" s="0" t="s">
        <v>192</v>
      </c>
      <c r="F3951" s="36" t="n">
        <f aca="false">cust_sh*tk_cx_gb300*cf_cx+(1-cust_sh)*((1-Sens!$F$3948)*tk_cx_gb300+Sens!$F$3948*tk_cx_vr200)</f>
        <v>32.237224</v>
      </c>
      <c r="G3951" s="36" t="n">
        <f aca="false">cust_sh*tk_cx_gb300*cf_cx+(1-cust_sh)*((1-Sens!$G$3948)*tk_cx_gb300+Sens!$G$3948*tk_cx_vr200)</f>
        <v>32.237224</v>
      </c>
      <c r="H3951" s="36" t="n">
        <f aca="false">cust_sh*tk_cx_gb300*cf_cx+(1-cust_sh)*((1-Sens!$H$3948)*tk_cx_gb300+Sens!$H$3948*tk_cx_vr200)</f>
        <v>33.574506</v>
      </c>
      <c r="I3951" s="36" t="n">
        <f aca="false">cust_sh*tk_cx_gb300*cf_cx+(1-cust_sh)*((1-Sens!$I$3948)*tk_cx_gb300+Sens!$I$3948*tk_cx_vr200)</f>
        <v>34.911788</v>
      </c>
      <c r="J3951" s="36" t="n">
        <f aca="false">cust_sh*tk_cx_gb300*cf_cx+(1-cust_sh)*((1-Sens!$J$3948)*tk_cx_gb300+Sens!$J$3948*tk_cx_vr200)</f>
        <v>34.911788</v>
      </c>
      <c r="K3951" s="36" t="n">
        <f aca="false">cust_sh*tk_cx_gb300*cf_cx+(1-cust_sh)*((1-Sens!$K$3948)*tk_cx_gb300+Sens!$K$3948*tk_cx_vr200)</f>
        <v>34.911788</v>
      </c>
      <c r="L3951" s="36" t="n">
        <f aca="false">cust_sh*tk_cx_gb300*cf_cx+(1-cust_sh)*((1-Sens!$L$3948)*tk_cx_gb300+Sens!$L$3948*tk_cx_vr200)</f>
        <v>34.911788</v>
      </c>
      <c r="M3951" s="36" t="n">
        <f aca="false">cust_sh*tk_cx_gb300*cf_cx+(1-cust_sh)*((1-Sens!$M$3948)*tk_cx_gb300+Sens!$M$3948*tk_cx_vr200)</f>
        <v>34.911788</v>
      </c>
    </row>
    <row r="3952" customFormat="false" ht="17.15" hidden="false" customHeight="false" outlineLevel="0" collapsed="false">
      <c r="A3952" s="5" t="s">
        <v>603</v>
      </c>
      <c r="B3952" s="0" t="s">
        <v>129</v>
      </c>
      <c r="F3952" s="32" t="n">
        <f aca="false">Sens!$F$3942-mw_open</f>
        <v>1817.15</v>
      </c>
      <c r="G3952" s="32" t="n">
        <f aca="false">Sens!$F$3952</f>
        <v>1817.15</v>
      </c>
      <c r="H3952" s="32" t="n">
        <f aca="false">Sens!$H$3942-mw_open</f>
        <v>5451.45</v>
      </c>
      <c r="I3952" s="32" t="n">
        <f aca="false">Sens!$I$3942-mw_open</f>
        <v>9085.75</v>
      </c>
      <c r="J3952" s="32" t="n">
        <f aca="false">Sens!$J$3942-mw_open</f>
        <v>12720.05</v>
      </c>
      <c r="K3952" s="32" t="n">
        <f aca="false">Sens!$K$3942-mw_open</f>
        <v>15290.9171666667</v>
      </c>
      <c r="L3952" s="32" t="n">
        <f aca="false">Sens!$L$3942-mw_open</f>
        <v>16798.3515</v>
      </c>
      <c r="M3952" s="32" t="n">
        <f aca="false">Sens!$M$3942-mw_open</f>
        <v>17242.353</v>
      </c>
    </row>
    <row r="3953" customFormat="false" ht="17.15" hidden="false" customHeight="false" outlineLevel="0" collapsed="false">
      <c r="A3953" s="0" t="s">
        <v>604</v>
      </c>
      <c r="B3953" s="0" t="s">
        <v>605</v>
      </c>
      <c r="F3953" s="32" t="n">
        <f aca="false">Sens!$F$3945*Sens!$F$3949</f>
        <v>19782.2417524844</v>
      </c>
      <c r="G3953" s="32" t="n">
        <f aca="false">Sens!$F$3953</f>
        <v>19782.2417524844</v>
      </c>
      <c r="H3953" s="32" t="n">
        <f aca="false">Sens!$G$3953+Sens!$H$3945*Sens!$H$3949</f>
        <v>60563.3616992009</v>
      </c>
      <c r="I3953" s="32" t="n">
        <f aca="false">Sens!$H$3953+Sens!$I$3945*Sens!$I$3949</f>
        <v>102561.118087665</v>
      </c>
      <c r="J3953" s="32" t="n">
        <f aca="false">Sens!$I$3953+Sens!$J$3945*Sens!$J$3949</f>
        <v>144558.87447613</v>
      </c>
      <c r="K3953" s="32" t="n">
        <f aca="false">Sens!$J$3953+Sens!$K$3945*Sens!$K$3949</f>
        <v>174267.663781572</v>
      </c>
      <c r="L3953" s="32" t="n">
        <f aca="false">Sens!$K$3953+Sens!$L$3945*Sens!$L$3949</f>
        <v>191687.486003992</v>
      </c>
      <c r="M3953" s="32" t="n">
        <f aca="false">Sens!$L$3953+Sens!$M$3945*Sens!$M$3949</f>
        <v>196818.341143389</v>
      </c>
    </row>
    <row r="3954" customFormat="false" ht="17.15" hidden="false" customHeight="false" outlineLevel="0" collapsed="false">
      <c r="A3954" s="0" t="s">
        <v>606</v>
      </c>
      <c r="B3954" s="0" t="s">
        <v>605</v>
      </c>
      <c r="F3954" s="32" t="n">
        <f aca="false">Sens!$F$3945*Sens!$F$3950</f>
        <v>3602.74485070566</v>
      </c>
      <c r="G3954" s="32" t="n">
        <f aca="false">Sens!$F$3954</f>
        <v>3602.74485070566</v>
      </c>
      <c r="H3954" s="32" t="n">
        <f aca="false">Sens!$G$3954+Sens!$H$3945*Sens!$H$3950</f>
        <v>10908.9598445736</v>
      </c>
      <c r="I3954" s="32" t="n">
        <f aca="false">Sens!$H$3954+Sens!$I$3945*Sens!$I$3950</f>
        <v>18315.9001308981</v>
      </c>
      <c r="J3954" s="32" t="n">
        <f aca="false">Sens!$I$3954+Sens!$J$3945*Sens!$J$3950</f>
        <v>25722.8404172225</v>
      </c>
      <c r="K3954" s="32" t="n">
        <f aca="false">Sens!$J$3954+Sens!$K$3945*Sens!$K$3950</f>
        <v>30962.4352738861</v>
      </c>
      <c r="L3954" s="32" t="n">
        <f aca="false">Sens!$K$3954+Sens!$L$3945*Sens!$L$3950</f>
        <v>34034.6847008886</v>
      </c>
      <c r="M3954" s="32" t="n">
        <f aca="false">Sens!$L$3954+Sens!$M$3945*Sens!$M$3950</f>
        <v>34939.5886982302</v>
      </c>
    </row>
    <row r="3955" customFormat="false" ht="17.15" hidden="false" customHeight="false" outlineLevel="0" collapsed="false">
      <c r="A3955" s="5" t="s">
        <v>607</v>
      </c>
      <c r="B3955" s="0" t="s">
        <v>173</v>
      </c>
      <c r="F3955" s="36" t="n">
        <f aca="false">IF(Sens!$F$3952&gt;0,Sens!$F$3953/Sens!$F$3952,Sens!$F$3949)</f>
        <v>10.8864110021101</v>
      </c>
      <c r="G3955" s="36" t="n">
        <f aca="false">IF(Sens!$G$3952&gt;0,Sens!$G$3953/Sens!$G$3952,Sens!$G$3949)</f>
        <v>10.8864110021101</v>
      </c>
      <c r="H3955" s="36" t="n">
        <f aca="false">IF(Sens!$H$3952&gt;0,Sens!$H$3953/Sens!$H$3952,Sens!$H$3949)</f>
        <v>11.1095876691891</v>
      </c>
      <c r="I3955" s="36" t="n">
        <f aca="false">IF(Sens!$I$3952&gt;0,Sens!$I$3953/Sens!$I$3952,Sens!$I$3949)</f>
        <v>11.2881290028523</v>
      </c>
      <c r="J3955" s="36" t="n">
        <f aca="false">IF(Sens!$J$3952&gt;0,Sens!$J$3953/Sens!$J$3952,Sens!$J$3949)</f>
        <v>11.3646467172794</v>
      </c>
      <c r="K3955" s="36" t="n">
        <f aca="false">IF(Sens!$K$3952&gt;0,Sens!$K$3953/Sens!$K$3952,Sens!$K$3949)</f>
        <v>11.3968090914432</v>
      </c>
      <c r="L3955" s="36" t="n">
        <f aca="false">IF(Sens!$L$3952&gt;0,Sens!$L$3953/Sens!$L$3952,Sens!$L$3949)</f>
        <v>11.4110891181192</v>
      </c>
      <c r="M3955" s="36" t="n">
        <f aca="false">IF(Sens!$M$3952&gt;0,Sens!$M$3953/Sens!$M$3952,Sens!$M$3949)</f>
        <v>11.4148191458201</v>
      </c>
    </row>
    <row r="3956" customFormat="false" ht="17.15" hidden="false" customHeight="false" outlineLevel="0" collapsed="false">
      <c r="A3956" s="5" t="s">
        <v>608</v>
      </c>
      <c r="B3956" s="0" t="s">
        <v>173</v>
      </c>
      <c r="F3956" s="36" t="n">
        <f aca="false">IF(Sens!$F$3952&gt;0,Sens!$F$3954/Sens!$F$3952,Sens!$F$3950)</f>
        <v>1.98263481314457</v>
      </c>
      <c r="G3956" s="36" t="n">
        <f aca="false">IF(Sens!$G$3952&gt;0,Sens!$G$3954/Sens!$G$3952,Sens!$G$3950)</f>
        <v>1.98263481314457</v>
      </c>
      <c r="H3956" s="36" t="n">
        <f aca="false">IF(Sens!$H$3952&gt;0,Sens!$H$3954/Sens!$H$3952,Sens!$H$3950)</f>
        <v>2.00111160233948</v>
      </c>
      <c r="I3956" s="36" t="n">
        <f aca="false">IF(Sens!$I$3952&gt;0,Sens!$I$3954/Sens!$I$3952,Sens!$I$3950)</f>
        <v>2.01589303369541</v>
      </c>
      <c r="J3956" s="36" t="n">
        <f aca="false">IF(Sens!$J$3952&gt;0,Sens!$J$3954/Sens!$J$3952,Sens!$J$3950)</f>
        <v>2.02222793284795</v>
      </c>
      <c r="K3956" s="36" t="n">
        <f aca="false">IF(Sens!$K$3952&gt;0,Sens!$K$3954/Sens!$K$3952,Sens!$K$3950)</f>
        <v>2.02489065478573</v>
      </c>
      <c r="L3956" s="36" t="n">
        <f aca="false">IF(Sens!$L$3952&gt;0,Sens!$L$3954/Sens!$L$3952,Sens!$L$3950)</f>
        <v>2.0260728977417</v>
      </c>
      <c r="M3956" s="36" t="n">
        <f aca="false">IF(Sens!$M$3952&gt;0,Sens!$M$3954/Sens!$M$3952,Sens!$M$3950)</f>
        <v>2.02638170661685</v>
      </c>
    </row>
    <row r="3957" customFormat="false" ht="17.15" hidden="false" customHeight="false" outlineLevel="0" collapsed="false">
      <c r="A3957" s="15" t="s">
        <v>609</v>
      </c>
      <c r="B3957" s="14" t="s">
        <v>173</v>
      </c>
      <c r="C3957" s="14"/>
      <c r="D3957" s="14"/>
      <c r="E3957" s="14"/>
      <c r="F3957" s="37" t="n">
        <f aca="false">Sens!$F$3955*k_B</f>
        <v>10.7987645808025</v>
      </c>
      <c r="G3957" s="37" t="n">
        <f aca="false">Sens!$G$3955*k_B</f>
        <v>10.7987645808025</v>
      </c>
      <c r="H3957" s="37" t="n">
        <f aca="false">Sens!$H$3955*k_B</f>
        <v>11.0201444540452</v>
      </c>
      <c r="I3957" s="37" t="n">
        <f aca="false">Sens!$I$3955*k_B</f>
        <v>11.1972483526393</v>
      </c>
      <c r="J3957" s="37" t="n">
        <f aca="false">Sens!$J$3955*k_B</f>
        <v>11.2731500234653</v>
      </c>
      <c r="K3957" s="37" t="n">
        <f aca="false">Sens!$K$3955*k_B</f>
        <v>11.3050534585724</v>
      </c>
      <c r="L3957" s="37" t="n">
        <f aca="false">Sens!$L$3955*k_B</f>
        <v>11.3192185168503</v>
      </c>
      <c r="M3957" s="37" t="n">
        <f aca="false">Sens!$M$3955*k_B</f>
        <v>11.3229185141234</v>
      </c>
      <c r="N3957" s="14"/>
      <c r="O3957" s="14"/>
      <c r="P3957" s="5" t="s">
        <v>610</v>
      </c>
    </row>
    <row r="3958" customFormat="false" ht="17.15" hidden="false" customHeight="false" outlineLevel="0" collapsed="false">
      <c r="A3958" s="5" t="s">
        <v>611</v>
      </c>
      <c r="B3958" s="0" t="s">
        <v>129</v>
      </c>
      <c r="F3958" s="32" t="n">
        <f aca="false">Sens!$F$3952/2</f>
        <v>908.575</v>
      </c>
      <c r="H3958" s="32" t="n">
        <f aca="false">(Sens!$G$3952+Sens!$H$3952)/2</f>
        <v>3634.3</v>
      </c>
      <c r="I3958" s="32" t="n">
        <f aca="false">(Sens!$H$3952+Sens!$I$3952)/2</f>
        <v>7268.6</v>
      </c>
      <c r="J3958" s="32" t="n">
        <f aca="false">(Sens!$I$3952+Sens!$J$3952)/2</f>
        <v>10902.9</v>
      </c>
      <c r="K3958" s="32" t="n">
        <f aca="false">(Sens!$J$3952+Sens!$K$3952)/2</f>
        <v>14005.4835833333</v>
      </c>
      <c r="L3958" s="32" t="n">
        <f aca="false">(Sens!$K$3952+Sens!$L$3952)/2</f>
        <v>16044.6343333333</v>
      </c>
      <c r="M3958" s="32" t="n">
        <f aca="false">(Sens!$L$3952+Sens!$M$3952)/2</f>
        <v>17020.35225</v>
      </c>
    </row>
    <row r="3959" customFormat="false" ht="17.15" hidden="false" customHeight="false" outlineLevel="0" collapsed="false">
      <c r="A3959" s="1" t="s">
        <v>612</v>
      </c>
    </row>
    <row r="3960" customFormat="false" ht="17.15" hidden="false" customHeight="false" outlineLevel="0" collapsed="false">
      <c r="A3960" s="1" t="s">
        <v>613</v>
      </c>
      <c r="B3960" s="8" t="s">
        <v>86</v>
      </c>
      <c r="C3960" s="38" t="n">
        <f aca="false">Sens!$C$3943*rpm_open*Sens!$C$3944/1000</f>
        <v>2.32100535697364</v>
      </c>
      <c r="D3960" s="38" t="n">
        <f aca="false">Sens!$D$3943*rpm_open*Sens!$D$3944/1000</f>
        <v>8.70377008865116</v>
      </c>
      <c r="E3960" s="38" t="n">
        <f aca="false">Sens!$E$3943*rpm_open*Sens!$E$3944/1000</f>
        <v>8.51035297557002</v>
      </c>
      <c r="F3960" s="38" t="n">
        <f aca="false">(mw_open*rpm_open+Sens!$F$3958*Sens!$F$3957)*Sens!$F$3944/1000</f>
        <v>14.9634336447205</v>
      </c>
      <c r="G3960" s="38" t="n">
        <f aca="false">Sens!$E$3960+Sens!$F$3960</f>
        <v>23.4737866202905</v>
      </c>
      <c r="H3960" s="38" t="n">
        <f aca="false">(mw_open*rpm_open+Sens!$H$3958*Sens!$H$3957)/1000</f>
        <v>60.1658907497746</v>
      </c>
      <c r="I3960" s="38" t="n">
        <f aca="false">(mw_open*rpm_open+Sens!$I$3958*Sens!$I$3957)/1000</f>
        <v>101.503699136432</v>
      </c>
      <c r="J3960" s="38" t="n">
        <f aca="false">(mw_open*rpm_open+Sens!$J$3958*Sens!$J$3957)/1000</f>
        <v>143.025407151278</v>
      </c>
      <c r="K3960" s="38" t="n">
        <f aca="false">(mw_open*rpm_open+Sens!$K$3958*Sens!$K$3957)/1000</f>
        <v>178.44812038318</v>
      </c>
      <c r="L3960" s="38" t="n">
        <f aca="false">(mw_open*rpm_open+Sens!$L$3958*Sens!$L$3957)/1000</f>
        <v>201.728101802396</v>
      </c>
      <c r="M3960" s="38" t="n">
        <f aca="false">(mw_open*rpm_open+Sens!$M$3958*Sens!$M$3957)/1000</f>
        <v>212.835441368865</v>
      </c>
      <c r="N3960" s="38" t="n">
        <f aca="false">Sens!$N$3943*rpm_open*Sens!$N$3944/1000</f>
        <v>3.04631953102791</v>
      </c>
      <c r="O3960" s="38" t="n">
        <f aca="false">Sens!$O$3943*rpm_open*Sens!$O$3944/1000</f>
        <v>5.65745055762326</v>
      </c>
      <c r="P3960" s="5" t="s">
        <v>614</v>
      </c>
    </row>
    <row r="3961" customFormat="false" ht="17.15" hidden="false" customHeight="false" outlineLevel="0" collapsed="false">
      <c r="A3961" s="5" t="s">
        <v>615</v>
      </c>
      <c r="B3961" s="0" t="s">
        <v>173</v>
      </c>
      <c r="C3961" s="36" t="n">
        <f aca="false">Sens!$C$3960*1000/(Sens!$C$3943*Sens!$C$3944)</f>
        <v>9.67085565405685</v>
      </c>
      <c r="D3961" s="36" t="n">
        <f aca="false">Sens!$D$3960*1000/(Sens!$D$3943*Sens!$D$3944)</f>
        <v>9.67085565405685</v>
      </c>
      <c r="E3961" s="36" t="n">
        <f aca="false">Sens!$E$3960*1000/(Sens!$E$3943*Sens!$E$3944)</f>
        <v>9.67085565405685</v>
      </c>
      <c r="F3961" s="36" t="n">
        <f aca="false">Sens!$F$3960*1000/(Sens!$F$3943*Sens!$F$3944)</f>
        <v>10.0137581588017</v>
      </c>
      <c r="G3961" s="36" t="n">
        <f aca="false">Sens!$G$3960*1000/(Sens!$G$3943*Sens!$G$3944)</f>
        <v>9.88666562928478</v>
      </c>
      <c r="H3961" s="36" t="n">
        <f aca="false">Sens!$H$3960*1000/(Sens!$H$3943*Sens!$H$3944)</f>
        <v>10.5290045586992</v>
      </c>
      <c r="I3961" s="36" t="n">
        <f aca="false">Sens!$I$3960*1000/(Sens!$I$3943*Sens!$I$3944)</f>
        <v>10.8576363451674</v>
      </c>
      <c r="J3961" s="36" t="n">
        <f aca="false">Sens!$J$3960*1000/(Sens!$J$3943*Sens!$J$3944)</f>
        <v>11.0164452588619</v>
      </c>
      <c r="K3961" s="36" t="n">
        <f aca="false">Sens!$K$3960*1000/(Sens!$K$3943*Sens!$K$3944)</f>
        <v>11.0937367508227</v>
      </c>
      <c r="L3961" s="36" t="n">
        <f aca="false">Sens!$L$3960*1000/(Sens!$L$3943*Sens!$L$3944)</f>
        <v>11.1300508519168</v>
      </c>
      <c r="M3961" s="36" t="n">
        <f aca="false">Sens!$M$3960*1000/(Sens!$M$3943*Sens!$M$3944)</f>
        <v>11.1430113216297</v>
      </c>
      <c r="N3961" s="36" t="n">
        <f aca="false">Sens!$N$3960*1000/(Sens!$N$3943*Sens!$N$3944)</f>
        <v>9.67085565405685</v>
      </c>
      <c r="O3961" s="36" t="n">
        <f aca="false">Sens!$O$3960*1000/(Sens!$O$3943*Sens!$O$3944)</f>
        <v>9.67085565405685</v>
      </c>
    </row>
    <row r="3962" customFormat="false" ht="17.15" hidden="false" customHeight="false" outlineLevel="0" collapsed="false">
      <c r="A3962" s="0" t="s">
        <v>616</v>
      </c>
      <c r="B3962" s="0" t="s">
        <v>86</v>
      </c>
      <c r="C3962" s="38" t="n">
        <f aca="false">Sens!$C$3943/ext_sh*(ox_open+rent_mw)*Sens!$C$3944/1000</f>
        <v>0.642569210675032</v>
      </c>
      <c r="D3962" s="38" t="n">
        <f aca="false">Sens!$D$3943/ext_sh*(ox_open+rent_mw)*Sens!$D$3944/1000</f>
        <v>2.40963454003137</v>
      </c>
      <c r="E3962" s="38" t="n">
        <f aca="false">Sens!$E$3943/ext_sh*(ox_open+rent_mw)*Sens!$E$3944/1000</f>
        <v>2.35608710580845</v>
      </c>
      <c r="F3962" s="38" t="n">
        <f aca="false">((mw_open*ox_open+Sens!$F$3958*Sens!$F$3956)/ext_sh+Sens!$F$3943/ext_sh*rent_mw)*Sens!$F$3944/1000</f>
        <v>4.05421991106232</v>
      </c>
      <c r="G3962" s="38" t="n">
        <f aca="false">Sens!$E$3962+Sens!$F$3962</f>
        <v>6.41030701687077</v>
      </c>
      <c r="H3962" s="38" t="n">
        <f aca="false">((mw_open*ox_open+Sens!$H$3958*Sens!$H$3956)/ext_sh+Sens!$H$3943/ext_sh*rent_mw)*Sens!$H$3944/1000</f>
        <v>15.8108975546616</v>
      </c>
      <c r="I3962" s="38" t="n">
        <f aca="false">((mw_open*ox_open+Sens!$I$3958*Sens!$I$3956)/ext_sh+Sens!$I$3943/ext_sh*rent_mw)*Sens!$I$3944/1000</f>
        <v>26.1871623400817</v>
      </c>
      <c r="J3962" s="38" t="n">
        <f aca="false">((mw_open*ox_open+Sens!$J$3958*Sens!$J$3956)/ext_sh+Sens!$J$3943/ext_sh*rent_mw)*Sens!$J$3944/1000</f>
        <v>36.5826128954935</v>
      </c>
      <c r="K3962" s="38" t="n">
        <f aca="false">((mw_open*ox_open+Sens!$K$3958*Sens!$K$3956)/ext_sh+Sens!$K$3943/ext_sh*rent_mw)*Sens!$K$3944/1000</f>
        <v>45.4546361137628</v>
      </c>
      <c r="L3962" s="38" t="n">
        <f aca="false">((mw_open*ox_open+Sens!$L$3958*Sens!$L$3956)/ext_sh+Sens!$L$3943/ext_sh*rent_mw)*Sens!$L$3944/1000</f>
        <v>51.2855695554452</v>
      </c>
      <c r="M3962" s="38" t="n">
        <f aca="false">((mw_open*ox_open+Sens!$M$3958*Sens!$M$3956)/ext_sh+Sens!$M$3943/ext_sh*rent_mw)*Sens!$M$3944/1000</f>
        <v>54.0722927838398</v>
      </c>
      <c r="N3962" s="38" t="n">
        <f aca="false">Sens!$N$3943/ext_sh*(ox_open+rent_mw)*Sens!$N$3944/1000</f>
        <v>0.84337208901098</v>
      </c>
      <c r="O3962" s="38" t="n">
        <f aca="false">Sens!$O$3943/ext_sh*(ox_open+rent_mw)*Sens!$O$3944/1000</f>
        <v>1.56626245102039</v>
      </c>
    </row>
    <row r="3963" customFormat="false" ht="17.15" hidden="false" customHeight="false" outlineLevel="0" collapsed="false">
      <c r="A3963" s="0" t="s">
        <v>617</v>
      </c>
      <c r="B3963" s="0" t="s">
        <v>86</v>
      </c>
      <c r="C3963" s="38" t="n">
        <f aca="false">Q!$D$7</f>
        <v>107.556</v>
      </c>
      <c r="D3963" s="38" t="n">
        <f aca="false">Q!$E$7</f>
        <v>128.725</v>
      </c>
      <c r="E3963" s="38" t="n">
        <f aca="false">Q!$P$7</f>
        <v>79.819</v>
      </c>
      <c r="N3963" s="38" t="n">
        <f aca="false">Q!$N$7</f>
        <v>60.14</v>
      </c>
      <c r="O3963" s="38" t="n">
        <f aca="false">Q!$O$7</f>
        <v>68.585</v>
      </c>
    </row>
    <row r="3964" customFormat="false" ht="17.15" hidden="false" customHeight="false" outlineLevel="0" collapsed="false">
      <c r="A3964" s="1" t="s">
        <v>618</v>
      </c>
      <c r="B3964" s="8" t="s">
        <v>86</v>
      </c>
      <c r="C3964" s="38" t="n">
        <f aca="false">Sens!$C$3963-Sens!$C$3960</f>
        <v>105.234994643026</v>
      </c>
      <c r="D3964" s="38" t="n">
        <f aca="false">Sens!$D$3963-Sens!$D$3960</f>
        <v>120.021229911349</v>
      </c>
      <c r="E3964" s="38" t="n">
        <f aca="false">Sens!$E$3963-Sens!$E$3960</f>
        <v>71.30864702443</v>
      </c>
      <c r="F3964" s="38" t="n">
        <f aca="false">Sens!$O$3964*(1+Sens!$F$3965)</f>
        <v>71.7692997942464</v>
      </c>
      <c r="G3964" s="38" t="n">
        <f aca="false">Sens!$E$3964+Sens!$F$3964</f>
        <v>143.077946818676</v>
      </c>
      <c r="H3964" s="38" t="n">
        <f aca="false">Sens!$G$3964*(1+Sens!$H$3965)</f>
        <v>161.017077079203</v>
      </c>
      <c r="I3964" s="38" t="n">
        <f aca="false">Sens!$H$3964*(1+Sens!$I$3965)</f>
        <v>178.769759521457</v>
      </c>
      <c r="J3964" s="38" t="n">
        <f aca="false">Sens!$I$3964*(1+Sens!$J$3965)</f>
        <v>195.775538045907</v>
      </c>
      <c r="K3964" s="38" t="n">
        <f aca="false">Sens!$J$3964*(1+Sens!$K$3965)</f>
        <v>211.43758108958</v>
      </c>
      <c r="L3964" s="38" t="n">
        <f aca="false">Sens!$K$3964*(1+Sens!$L$3965)</f>
        <v>228.352587576746</v>
      </c>
      <c r="M3964" s="38" t="n">
        <f aca="false">Sens!$L$3964*(1+Sens!$M$3965)</f>
        <v>246.620794582886</v>
      </c>
      <c r="N3964" s="38" t="n">
        <f aca="false">Sens!$N$3963-Sens!$N$3960</f>
        <v>57.0936804689721</v>
      </c>
      <c r="O3964" s="38" t="n">
        <f aca="false">Sens!$O$3963-Sens!$O$3960</f>
        <v>62.9275494423768</v>
      </c>
      <c r="P3964" s="5" t="s">
        <v>619</v>
      </c>
    </row>
    <row r="3965" customFormat="false" ht="17.15" hidden="false" customHeight="false" outlineLevel="0" collapsed="false">
      <c r="A3965" s="0" t="s">
        <v>620</v>
      </c>
      <c r="B3965" s="0" t="s">
        <v>52</v>
      </c>
      <c r="D3965" s="13" t="n">
        <f aca="false">Sens!$D$3964/Sens!$C$3964-1</f>
        <v>0.140506827776062</v>
      </c>
      <c r="E3965" s="13" t="n">
        <f aca="false">Sens!$E$3964/Sens!$N$3964-1</f>
        <v>0.248976181579029</v>
      </c>
      <c r="F3965" s="13" t="n">
        <f aca="false">Sens!$D$3965</f>
        <v>0.140506827776062</v>
      </c>
      <c r="G3965" s="13" t="n">
        <f aca="false">Sens!$G$3964/Sens!$D$3964-1</f>
        <v>0.19210532106993</v>
      </c>
      <c r="H3965" s="13" t="n">
        <f aca="false">Sens!$F$3965+(g_awso_lt-Sens!$F$3965)*1/4</f>
        <v>0.125380120832046</v>
      </c>
      <c r="I3965" s="13" t="n">
        <f aca="false">Sens!$F$3965+(g_awso_lt-Sens!$F$3965)*2/4</f>
        <v>0.110253413888031</v>
      </c>
      <c r="J3965" s="13" t="n">
        <f aca="false">Sens!$F$3965+(g_awso_lt-Sens!$F$3965)*3/4</f>
        <v>0.0951267069440154</v>
      </c>
      <c r="K3965" s="13" t="n">
        <f aca="false">Sens!$F$3965+(g_awso_lt-Sens!$F$3965)*4/4</f>
        <v>0.08</v>
      </c>
      <c r="L3965" s="13" t="n">
        <f aca="false">g_awso_lt</f>
        <v>0.08</v>
      </c>
      <c r="M3965" s="13" t="n">
        <f aca="false">g_awso_lt</f>
        <v>0.08</v>
      </c>
      <c r="P3965" s="5" t="s">
        <v>621</v>
      </c>
    </row>
    <row r="3966" customFormat="false" ht="17.15" hidden="false" customHeight="false" outlineLevel="0" collapsed="false">
      <c r="A3966" s="1" t="s">
        <v>622</v>
      </c>
    </row>
    <row r="3967" customFormat="false" ht="17.15" hidden="false" customHeight="false" outlineLevel="0" collapsed="false">
      <c r="A3967" s="0" t="s">
        <v>623</v>
      </c>
      <c r="B3967" s="0" t="s">
        <v>86</v>
      </c>
      <c r="F3967" s="38" t="n">
        <f aca="false">cx_rt*Sens!$F$3932+cx_awso*Sens!$F$3964</f>
        <v>34.9734495387866</v>
      </c>
    </row>
    <row r="3968" customFormat="false" ht="17.15" hidden="false" customHeight="false" outlineLevel="0" collapsed="false">
      <c r="A3968" s="0" t="s">
        <v>624</v>
      </c>
      <c r="B3968" s="0" t="s">
        <v>52</v>
      </c>
      <c r="C3968" s="13" t="n">
        <f aca="false">tk_cx_h100/(tk_cx_h100+tk_fac*(1-colo_sh))</f>
        <v>0.730756458006641</v>
      </c>
      <c r="D3968" s="13" t="n">
        <f aca="false">tk_cx_h100/(tk_cx_h100+tk_fac*(1-colo_sh))</f>
        <v>0.730756458006641</v>
      </c>
      <c r="E3968" s="13" t="n">
        <f aca="false">Sens!$F$3968</f>
        <v>0.760792334328868</v>
      </c>
      <c r="F3968" s="13" t="n">
        <f aca="false">Sens!$F$3951/(Sens!$F$3951+tk_fac*(1-colo_sh))</f>
        <v>0.760792334328868</v>
      </c>
      <c r="G3968" s="13" t="n">
        <f aca="false">Sens!$G$3951/(Sens!$G$3951+tk_fac*(1-colo_sh))</f>
        <v>0.760792334328868</v>
      </c>
      <c r="H3968" s="13" t="n">
        <f aca="false">Sens!$H$3951/(Sens!$H$3951+tk_fac*(1-colo_sh))</f>
        <v>0.768110668862996</v>
      </c>
      <c r="I3968" s="13" t="n">
        <f aca="false">Sens!$I$3951/(Sens!$I$3951+tk_fac*(1-colo_sh))</f>
        <v>0.77499450139483</v>
      </c>
      <c r="J3968" s="13" t="n">
        <f aca="false">Sens!$J$3951/(Sens!$J$3951+tk_fac*(1-colo_sh))</f>
        <v>0.77499450139483</v>
      </c>
      <c r="K3968" s="13" t="n">
        <f aca="false">Sens!$K$3951/(Sens!$K$3951+tk_fac*(1-colo_sh))</f>
        <v>0.77499450139483</v>
      </c>
      <c r="L3968" s="13" t="n">
        <f aca="false">Sens!$L$3951/(Sens!$L$3951+tk_fac*(1-colo_sh))</f>
        <v>0.77499450139483</v>
      </c>
      <c r="M3968" s="13" t="n">
        <f aca="false">Sens!$M$3951/(Sens!$M$3951+tk_fac*(1-colo_sh))</f>
        <v>0.77499450139483</v>
      </c>
    </row>
    <row r="3969" customFormat="false" ht="17.15" hidden="false" customHeight="false" outlineLevel="0" collapsed="false">
      <c r="A3969" s="1" t="s">
        <v>625</v>
      </c>
      <c r="B3969" s="8" t="s">
        <v>86</v>
      </c>
      <c r="C3969" s="38" t="n">
        <f aca="false">Q!$D$46-cx_rt*Q!$D$16-cx_awso*Sens!$C$3964</f>
        <v>25.2781053077374</v>
      </c>
      <c r="D3969" s="38" t="n">
        <f aca="false">Q!$E$46-cx_rt*Q!$E$16-cx_awso*Sens!$D$3964</f>
        <v>69.5686316310026</v>
      </c>
      <c r="E3969" s="38" t="n">
        <f aca="false">Q!$P$46-cx_rt*Q!$P$16-cx_awso*Sens!$E$3964</f>
        <v>64.1899206485108</v>
      </c>
      <c r="F3969" s="38" t="n">
        <f aca="false">MAX(Sens!$F$3946*(Sens!$F$3951+tk_fac*(1-colo_sh))/1000,capex_g26-Q!$P$46-Sens!$F$3967)</f>
        <v>96.2481299895</v>
      </c>
      <c r="G3969" s="38" t="n">
        <f aca="false">Sens!$E$3969+Sens!$F$3969</f>
        <v>160.438050638011</v>
      </c>
      <c r="H3969" s="38" t="n">
        <f aca="false">Sens!$H$3946*(Sens!$H$3951+tk_fac*(1-colo_sh))/1000+Sens!$H$3970</f>
        <v>198.57136494475</v>
      </c>
      <c r="I3969" s="38" t="n">
        <f aca="false">Sens!$I$3946*(Sens!$I$3951+tk_fac*(1-colo_sh))/1000+Sens!$I$3970</f>
        <v>204.6464699105</v>
      </c>
      <c r="J3969" s="38" t="n">
        <f aca="false">Sens!$J$3946*(Sens!$J$3951+tk_fac*(1-colo_sh))/1000+Sens!$J$3970</f>
        <v>209.8832381105</v>
      </c>
      <c r="K3969" s="38" t="n">
        <f aca="false">Sens!$K$3946*(Sens!$K$3951+tk_fac*(1-colo_sh))/1000+Sens!$K$3970</f>
        <v>155.238385275201</v>
      </c>
      <c r="L3969" s="38" t="n">
        <f aca="false">Sens!$L$3946*(Sens!$L$3951+tk_fac*(1-colo_sh))/1000+Sens!$L$3970</f>
        <v>132.014141639902</v>
      </c>
      <c r="M3969" s="38" t="n">
        <f aca="false">Sens!$M$3946*(Sens!$M$3951+tk_fac*(1-colo_sh))/1000+Sens!$M$3970</f>
        <v>132.230981659852</v>
      </c>
      <c r="P3969" s="5" t="s">
        <v>626</v>
      </c>
      <c r="R3969" s="38" t="n">
        <f aca="false">Q!$C$46-cx_rt*Q!$C$16-cx_awso*(Q!$C$7-mw_ye23/2*rpm_open/1000)</f>
        <v>1.50429979529945</v>
      </c>
      <c r="S3969" s="38" t="n">
        <f aca="false">Sens!$C$3969</f>
        <v>25.2781053077374</v>
      </c>
      <c r="T3969" s="38" t="n">
        <f aca="false">Sens!$D$3969</f>
        <v>69.5686316310026</v>
      </c>
      <c r="U3969" s="38" t="n">
        <f aca="false">Sens!$G$3969</f>
        <v>160.438050638011</v>
      </c>
      <c r="V3969" s="38" t="n">
        <f aca="false">Sens!$H$3969</f>
        <v>198.57136494475</v>
      </c>
      <c r="W3969" s="38" t="n">
        <f aca="false">Sens!$I$3969</f>
        <v>204.6464699105</v>
      </c>
      <c r="X3969" s="38" t="n">
        <f aca="false">Sens!$J$3969</f>
        <v>209.8832381105</v>
      </c>
      <c r="Y3969" s="38" t="n">
        <f aca="false">Sens!$K$3969</f>
        <v>155.238385275201</v>
      </c>
      <c r="Z3969" s="38" t="n">
        <f aca="false">Sens!$L$3969</f>
        <v>132.014141639902</v>
      </c>
      <c r="AA3969" s="38" t="n">
        <f aca="false">Sens!$M$3969</f>
        <v>132.230981659852</v>
      </c>
    </row>
    <row r="3970" customFormat="false" ht="17.15" hidden="false" customHeight="false" outlineLevel="0" collapsed="false">
      <c r="A3970" s="0" t="s">
        <v>627</v>
      </c>
      <c r="B3970" s="0" t="s">
        <v>86</v>
      </c>
      <c r="H3970" s="38" t="n">
        <f aca="false">SUMPRODUCT(--(Sens!$R$3939:$AA$3939=2027-tk_life),Sens!$R$3946:$AA$3946)*Sens!$H$3951/1000</f>
        <v>0</v>
      </c>
      <c r="I3970" s="38" t="n">
        <f aca="false">SUMPRODUCT(--(Sens!$R$3939:$AA$3939=2028-tk_life),Sens!$R$3946:$AA$3946)*Sens!$I$3951/1000</f>
        <v>0</v>
      </c>
      <c r="J3970" s="38" t="n">
        <f aca="false">SUMPRODUCT(--(Sens!$R$3939:$AA$3939=2029-tk_life),Sens!$R$3946:$AA$3946)*Sens!$J$3951/1000</f>
        <v>5.2367682</v>
      </c>
      <c r="K3970" s="38" t="n">
        <f aca="false">SUMPRODUCT(--(Sens!$R$3939:$AA$3939=2030-tk_life),Sens!$R$3946:$AA$3946)*Sens!$K$3951/1000</f>
        <v>10.4735364</v>
      </c>
      <c r="L3970" s="38" t="n">
        <f aca="false">SUMPRODUCT(--(Sens!$R$3939:$AA$3939=2031-tk_life),Sens!$R$3946:$AA$3946)*Sens!$L$3951/1000</f>
        <v>47.1309138</v>
      </c>
      <c r="M3970" s="38" t="n">
        <f aca="false">SUMPRODUCT(--(Sens!$R$3939:$AA$3939=2032-tk_life),Sens!$R$3946:$AA$3946)*Sens!$M$3951/1000</f>
        <v>107.22937485525</v>
      </c>
    </row>
    <row r="3971" customFormat="false" ht="17.15" hidden="false" customHeight="false" outlineLevel="0" collapsed="false">
      <c r="A3971" s="5" t="s">
        <v>628</v>
      </c>
      <c r="B3971" s="0" t="s">
        <v>86</v>
      </c>
      <c r="C3971" s="38" t="n">
        <f aca="false">Sens!$C$3969*Sens!$C$3968</f>
        <v>18.472138699801</v>
      </c>
      <c r="D3971" s="38" t="n">
        <f aca="false">Sens!$D$3969*Sens!$D$3968</f>
        <v>50.8377268390402</v>
      </c>
      <c r="E3971" s="38" t="n">
        <f aca="false">Sens!$E$3969*Sens!$E$3968</f>
        <v>48.8351995705653</v>
      </c>
      <c r="F3971" s="38" t="n">
        <f aca="false">Sens!$F$3969*Sens!$F$3968</f>
        <v>73.2248394895</v>
      </c>
      <c r="G3971" s="38" t="n">
        <f aca="false">Sens!$E$3971+Sens!$F$3971</f>
        <v>122.060039060065</v>
      </c>
      <c r="H3971" s="38" t="n">
        <f aca="false">(Sens!$H$3969-Sens!$H$3970)*Sens!$H$3968+Sens!$H$3970</f>
        <v>152.52478394475</v>
      </c>
      <c r="I3971" s="38" t="n">
        <f aca="false">(Sens!$I$3969-Sens!$I$3970)*Sens!$I$3968+Sens!$I$3970</f>
        <v>158.5998889105</v>
      </c>
      <c r="J3971" s="38" t="n">
        <f aca="false">(Sens!$J$3969-Sens!$J$3970)*Sens!$J$3968+Sens!$J$3970</f>
        <v>163.8366571105</v>
      </c>
      <c r="K3971" s="38" t="n">
        <f aca="false">(Sens!$K$3969-Sens!$K$3970)*Sens!$K$3968+Sens!$K$3970</f>
        <v>122.665498273534</v>
      </c>
      <c r="L3971" s="38" t="n">
        <f aca="false">(Sens!$L$3969-Sens!$L$3970)*Sens!$L$3968+Sens!$L$3970</f>
        <v>112.914948636568</v>
      </c>
      <c r="M3971" s="38" t="n">
        <f aca="false">(Sens!$M$3969-Sens!$M$3970)*Sens!$M$3968+Sens!$M$3970</f>
        <v>126.605482654852</v>
      </c>
      <c r="R3971" s="38" t="n">
        <f aca="false">Sens!$R$3969*Sens!$C$3968</f>
        <v>1.09927679019314</v>
      </c>
      <c r="S3971" s="38" t="n">
        <f aca="false">Sens!$C$3971</f>
        <v>18.472138699801</v>
      </c>
      <c r="T3971" s="38" t="n">
        <f aca="false">Sens!$D$3971</f>
        <v>50.8377268390402</v>
      </c>
      <c r="U3971" s="38" t="n">
        <f aca="false">Sens!$G$3971</f>
        <v>122.060039060065</v>
      </c>
      <c r="V3971" s="38" t="n">
        <f aca="false">Sens!$H$3971</f>
        <v>152.52478394475</v>
      </c>
      <c r="W3971" s="38" t="n">
        <f aca="false">Sens!$I$3971</f>
        <v>158.5998889105</v>
      </c>
      <c r="X3971" s="38" t="n">
        <f aca="false">Sens!$J$3971</f>
        <v>163.8366571105</v>
      </c>
      <c r="Y3971" s="38" t="n">
        <f aca="false">Sens!$K$3971</f>
        <v>122.665498273534</v>
      </c>
      <c r="Z3971" s="38" t="n">
        <f aca="false">Sens!$L$3971</f>
        <v>112.914948636568</v>
      </c>
      <c r="AA3971" s="38" t="n">
        <f aca="false">Sens!$M$3971</f>
        <v>126.605482654852</v>
      </c>
    </row>
    <row r="3972" customFormat="false" ht="15" hidden="false" customHeight="false" outlineLevel="0" collapsed="false">
      <c r="A3972" s="5" t="s">
        <v>629</v>
      </c>
      <c r="B3972" s="0" t="s">
        <v>86</v>
      </c>
      <c r="C3972" s="38" t="n">
        <f aca="false">Sens!$C$3969-Sens!$C$3971</f>
        <v>6.80596660793636</v>
      </c>
      <c r="D3972" s="38" t="n">
        <f aca="false">Sens!$D$3969-Sens!$D$3971</f>
        <v>18.7309047919624</v>
      </c>
      <c r="E3972" s="38" t="n">
        <f aca="false">Sens!$E$3969-Sens!$E$3971</f>
        <v>15.3547210779455</v>
      </c>
      <c r="F3972" s="38" t="n">
        <f aca="false">Sens!$F$3969-Sens!$F$3971</f>
        <v>23.0232905</v>
      </c>
      <c r="G3972" s="38" t="n">
        <f aca="false">Sens!$G$3969-Sens!$G$3971</f>
        <v>38.3780115779455</v>
      </c>
      <c r="H3972" s="38" t="n">
        <f aca="false">Sens!$H$3969-Sens!$H$3971</f>
        <v>46.046581</v>
      </c>
      <c r="I3972" s="38" t="n">
        <f aca="false">Sens!$I$3969-Sens!$I$3971</f>
        <v>46.046581</v>
      </c>
      <c r="J3972" s="38" t="n">
        <f aca="false">Sens!$J$3969-Sens!$J$3971</f>
        <v>46.046581</v>
      </c>
      <c r="K3972" s="38" t="n">
        <f aca="false">Sens!$K$3969-Sens!$K$3971</f>
        <v>32.5728870016667</v>
      </c>
      <c r="L3972" s="38" t="n">
        <f aca="false">Sens!$L$3969-Sens!$L$3971</f>
        <v>19.0991930033334</v>
      </c>
      <c r="M3972" s="38" t="n">
        <f aca="false">Sens!$M$3969-Sens!$M$3971</f>
        <v>5.62549900499998</v>
      </c>
      <c r="R3972" s="38" t="n">
        <f aca="false">Sens!$R$3969-Sens!$R$3971</f>
        <v>0.405023005106309</v>
      </c>
      <c r="S3972" s="38" t="n">
        <f aca="false">Sens!$S$3969-Sens!$S$3971</f>
        <v>6.80596660793636</v>
      </c>
      <c r="T3972" s="38" t="n">
        <f aca="false">Sens!$T$3969-Sens!$T$3971</f>
        <v>18.7309047919624</v>
      </c>
      <c r="U3972" s="38" t="n">
        <f aca="false">Sens!$U$3969-Sens!$U$3971</f>
        <v>38.3780115779455</v>
      </c>
      <c r="V3972" s="38" t="n">
        <f aca="false">Sens!$V$3969-Sens!$V$3971</f>
        <v>46.046581</v>
      </c>
      <c r="W3972" s="38" t="n">
        <f aca="false">Sens!$W$3969-Sens!$W$3971</f>
        <v>46.046581</v>
      </c>
      <c r="X3972" s="38" t="n">
        <f aca="false">Sens!$X$3969-Sens!$X$3971</f>
        <v>46.046581</v>
      </c>
      <c r="Y3972" s="38" t="n">
        <f aca="false">Sens!$Y$3969-Sens!$Y$3971</f>
        <v>32.5728870016667</v>
      </c>
      <c r="Z3972" s="38" t="n">
        <f aca="false">Sens!$Z$3969-Sens!$Z$3971</f>
        <v>19.0991930033334</v>
      </c>
      <c r="AA3972" s="38" t="n">
        <f aca="false">Sens!$AA$3969-Sens!$AA$3971</f>
        <v>5.62549900499998</v>
      </c>
    </row>
    <row r="3973" customFormat="false" ht="17.15" hidden="false" customHeight="false" outlineLevel="0" collapsed="false">
      <c r="A3973" s="0" t="s">
        <v>630</v>
      </c>
      <c r="B3973" s="0" t="s">
        <v>52</v>
      </c>
      <c r="C3973" s="13" t="n">
        <f aca="false">Sens!$C$3969/Sens!$C$4089</f>
        <v>0.325505489553393</v>
      </c>
      <c r="D3973" s="13" t="n">
        <f aca="false">Sens!$D$3969/Sens!$D$4089</f>
        <v>0.54214956071542</v>
      </c>
      <c r="E3973" s="13" t="n">
        <f aca="false">Sens!$E$3969/Sens!$E$4089</f>
        <v>0.666492790452817</v>
      </c>
      <c r="F3973" s="13" t="n">
        <f aca="false">Sens!$F$3969/Sens!$F$4089</f>
        <v>0.733477910687338</v>
      </c>
      <c r="G3973" s="13" t="n">
        <f aca="false">Sens!$G$3969/Sens!$G$4089</f>
        <v>0.705124321514523</v>
      </c>
      <c r="H3973" s="13" t="n">
        <f aca="false">Sens!$H$3969/Sens!$H$4089</f>
        <v>0.726474010986705</v>
      </c>
      <c r="I3973" s="13" t="n">
        <f aca="false">Sens!$I$3969/Sens!$I$4089</f>
        <v>0.713424729052975</v>
      </c>
      <c r="J3973" s="13" t="n">
        <f aca="false">Sens!$J$3969/Sens!$J$4089</f>
        <v>0.701913013689475</v>
      </c>
      <c r="K3973" s="13" t="n">
        <f aca="false">Sens!$K$3969/Sens!$K$4089</f>
        <v>0.619710587097091</v>
      </c>
      <c r="L3973" s="13" t="n">
        <f aca="false">Sens!$L$3969/Sens!$L$4089</f>
        <v>0.564539129896629</v>
      </c>
      <c r="M3973" s="13" t="n">
        <f aca="false">Sens!$M$3969/Sens!$M$4089</f>
        <v>0.548456830649279</v>
      </c>
    </row>
    <row r="3974" customFormat="false" ht="17.15" hidden="false" customHeight="false" outlineLevel="0" collapsed="false">
      <c r="A3974" s="0" t="s">
        <v>631</v>
      </c>
      <c r="B3974" s="0" t="s">
        <v>86</v>
      </c>
      <c r="C3974" s="38" t="n">
        <f aca="false">Sens!$S$3974</f>
        <v>0.183212798365523</v>
      </c>
      <c r="D3974" s="38" t="n">
        <f aca="false">Sens!$T$3974</f>
        <v>3.2619025816657</v>
      </c>
      <c r="E3974" s="38" t="n">
        <f aca="false">Sens!$G$3974/2</f>
        <v>5.86742852741953</v>
      </c>
      <c r="F3974" s="38" t="n">
        <f aca="false">Sens!$G$3974/2</f>
        <v>5.86742852741953</v>
      </c>
      <c r="G3974" s="38" t="n">
        <f aca="false">Sens!$U$3974</f>
        <v>11.7348570548391</v>
      </c>
      <c r="H3974" s="38" t="n">
        <f aca="false">Sens!$V$3974</f>
        <v>32.0781968981833</v>
      </c>
      <c r="I3974" s="38" t="n">
        <f aca="false">Sens!$W$3974</f>
        <v>57.4989942223083</v>
      </c>
      <c r="J3974" s="38" t="n">
        <f aca="false">Sens!$X$3974</f>
        <v>83.932309040725</v>
      </c>
      <c r="K3974" s="38" t="n">
        <f aca="false">Sens!$Y$3974</f>
        <v>111.055205760776</v>
      </c>
      <c r="L3974" s="38" t="n">
        <f aca="false">Sens!$Z$3974</f>
        <v>128.420765689732</v>
      </c>
      <c r="M3974" s="38" t="n">
        <f aca="false">Sens!$AA$3974</f>
        <v>138.766969322653</v>
      </c>
      <c r="N3974" s="38" t="n">
        <f aca="false">Sens!$D$3974/2</f>
        <v>1.63095129083285</v>
      </c>
      <c r="O3974" s="38" t="n">
        <f aca="false">Sens!$D$3974/2</f>
        <v>1.63095129083285</v>
      </c>
      <c r="R3974" s="38" t="n">
        <f aca="false">SUMPRODUCT(--(Sens!$R$3939:$AA$3939&lt;Sens!R$3939),--(Sens!$R$3939:$AA$3939&gt;=Sens!R$3939-tk_life),Sens!$R$3971:$AA$3971)/tk_life</f>
        <v>0</v>
      </c>
      <c r="S3974" s="38" t="n">
        <f aca="false">SUMPRODUCT(--(Sens!$R$3939:$AA$3939&lt;Sens!S$3939),--(Sens!$R$3939:$AA$3939&gt;=Sens!S$3939-tk_life),Sens!$R$3971:$AA$3971)/tk_life</f>
        <v>0.183212798365523</v>
      </c>
      <c r="T3974" s="38" t="n">
        <f aca="false">SUMPRODUCT(--(Sens!$R$3939:$AA$3939&lt;Sens!T$3939),--(Sens!$R$3939:$AA$3939&gt;=Sens!T$3939-tk_life),Sens!$R$3971:$AA$3971)/tk_life</f>
        <v>3.2619025816657</v>
      </c>
      <c r="U3974" s="38" t="n">
        <f aca="false">SUMPRODUCT(--(Sens!$R$3939:$AA$3939&lt;Sens!U$3939),--(Sens!$R$3939:$AA$3939&gt;=Sens!U$3939-tk_life),Sens!$R$3971:$AA$3971)/tk_life</f>
        <v>11.7348570548391</v>
      </c>
      <c r="V3974" s="38" t="n">
        <f aca="false">SUMPRODUCT(--(Sens!$R$3939:$AA$3939&lt;Sens!V$3939),--(Sens!$R$3939:$AA$3939&gt;=Sens!V$3939-tk_life),Sens!$R$3971:$AA$3971)/tk_life</f>
        <v>32.0781968981833</v>
      </c>
      <c r="W3974" s="38" t="n">
        <f aca="false">SUMPRODUCT(--(Sens!$R$3939:$AA$3939&lt;Sens!W$3939),--(Sens!$R$3939:$AA$3939&gt;=Sens!W$3939-tk_life),Sens!$R$3971:$AA$3971)/tk_life</f>
        <v>57.4989942223083</v>
      </c>
      <c r="X3974" s="38" t="n">
        <f aca="false">SUMPRODUCT(--(Sens!$R$3939:$AA$3939&lt;Sens!X$3939),--(Sens!$R$3939:$AA$3939&gt;=Sens!X$3939-tk_life),Sens!$R$3971:$AA$3971)/tk_life</f>
        <v>83.932309040725</v>
      </c>
      <c r="Y3974" s="38" t="n">
        <f aca="false">SUMPRODUCT(--(Sens!$R$3939:$AA$3939&lt;Sens!Y$3939),--(Sens!$R$3939:$AA$3939&gt;=Sens!Y$3939-tk_life),Sens!$R$3971:$AA$3971)/tk_life</f>
        <v>111.055205760776</v>
      </c>
      <c r="Z3974" s="38" t="n">
        <f aca="false">SUMPRODUCT(--(Sens!$R$3939:$AA$3939&lt;Sens!Z$3939),--(Sens!$R$3939:$AA$3939&gt;=Sens!Z$3939-tk_life),Sens!$R$3971:$AA$3971)/tk_life</f>
        <v>128.420765689732</v>
      </c>
      <c r="AA3974" s="38" t="n">
        <f aca="false">SUMPRODUCT(--(Sens!$R$3939:$AA$3939&lt;Sens!AA$3939),--(Sens!$R$3939:$AA$3939&gt;=Sens!AA$3939-tk_life),Sens!$R$3971:$AA$3971)/tk_life</f>
        <v>138.766969322653</v>
      </c>
    </row>
    <row r="3975" customFormat="false" ht="17.15" hidden="false" customHeight="false" outlineLevel="0" collapsed="false">
      <c r="A3975" s="0" t="s">
        <v>632</v>
      </c>
      <c r="B3975" s="0" t="s">
        <v>86</v>
      </c>
      <c r="C3975" s="38" t="n">
        <f aca="false">Sens!$S$3975</f>
        <v>0.0202511502553155</v>
      </c>
      <c r="D3975" s="38" t="n">
        <f aca="false">Sens!$T$3975</f>
        <v>0.360549480652134</v>
      </c>
      <c r="E3975" s="38" t="n">
        <f aca="false">Sens!$G$3975/2</f>
        <v>0.648547360125127</v>
      </c>
      <c r="F3975" s="38" t="n">
        <f aca="false">Sens!$G$3975/2</f>
        <v>0.648547360125127</v>
      </c>
      <c r="G3975" s="38" t="n">
        <f aca="false">Sens!$U$3975</f>
        <v>1.29709472025025</v>
      </c>
      <c r="H3975" s="38" t="n">
        <f aca="false">Sens!$V$3975</f>
        <v>3.21599529914753</v>
      </c>
      <c r="I3975" s="38" t="n">
        <f aca="false">Sens!$W$3975</f>
        <v>5.51832434914753</v>
      </c>
      <c r="J3975" s="38" t="n">
        <f aca="false">Sens!$X$3975</f>
        <v>7.82065339914753</v>
      </c>
      <c r="K3975" s="38" t="n">
        <f aca="false">Sens!$Y$3975</f>
        <v>10.1229824491475</v>
      </c>
      <c r="L3975" s="38" t="n">
        <f aca="false">Sens!$Z$3975</f>
        <v>11.7516267992309</v>
      </c>
      <c r="M3975" s="38" t="n">
        <f aca="false">Sens!$AA$3975</f>
        <v>12.7065864493975</v>
      </c>
      <c r="N3975" s="38" t="n">
        <f aca="false">Sens!$D$3975/2</f>
        <v>0.180274740326067</v>
      </c>
      <c r="O3975" s="38" t="n">
        <f aca="false">Sens!$D$3975/2</f>
        <v>0.180274740326067</v>
      </c>
      <c r="R3975" s="38" t="n">
        <f aca="false">SUMPRODUCT(--(Sens!$R$3939:$AA$3939&lt;Sens!R$3939),Sens!$R$3972:$AA$3972)/fac_life</f>
        <v>0</v>
      </c>
      <c r="S3975" s="38" t="n">
        <f aca="false">SUMPRODUCT(--(Sens!$R$3939:$AA$3939&lt;Sens!S$3939),Sens!$R$3972:$AA$3972)/fac_life</f>
        <v>0.0202511502553155</v>
      </c>
      <c r="T3975" s="38" t="n">
        <f aca="false">SUMPRODUCT(--(Sens!$R$3939:$AA$3939&lt;Sens!T$3939),Sens!$R$3972:$AA$3972)/fac_life</f>
        <v>0.360549480652134</v>
      </c>
      <c r="U3975" s="38" t="n">
        <f aca="false">SUMPRODUCT(--(Sens!$R$3939:$AA$3939&lt;Sens!U$3939),Sens!$R$3972:$AA$3972)/fac_life</f>
        <v>1.29709472025025</v>
      </c>
      <c r="V3975" s="38" t="n">
        <f aca="false">SUMPRODUCT(--(Sens!$R$3939:$AA$3939&lt;Sens!V$3939),Sens!$R$3972:$AA$3972)/fac_life</f>
        <v>3.21599529914753</v>
      </c>
      <c r="W3975" s="38" t="n">
        <f aca="false">SUMPRODUCT(--(Sens!$R$3939:$AA$3939&lt;Sens!W$3939),Sens!$R$3972:$AA$3972)/fac_life</f>
        <v>5.51832434914753</v>
      </c>
      <c r="X3975" s="38" t="n">
        <f aca="false">SUMPRODUCT(--(Sens!$R$3939:$AA$3939&lt;Sens!X$3939),Sens!$R$3972:$AA$3972)/fac_life</f>
        <v>7.82065339914753</v>
      </c>
      <c r="Y3975" s="38" t="n">
        <f aca="false">SUMPRODUCT(--(Sens!$R$3939:$AA$3939&lt;Sens!Y$3939),Sens!$R$3972:$AA$3972)/fac_life</f>
        <v>10.1229824491475</v>
      </c>
      <c r="Z3975" s="38" t="n">
        <f aca="false">SUMPRODUCT(--(Sens!$R$3939:$AA$3939&lt;Sens!Z$3939),Sens!$R$3972:$AA$3972)/fac_life</f>
        <v>11.7516267992309</v>
      </c>
      <c r="AA3975" s="38" t="n">
        <f aca="false">SUMPRODUCT(--(Sens!$R$3939:$AA$3939&lt;Sens!AA$3939),Sens!$R$3972:$AA$3972)/fac_life</f>
        <v>12.7065864493975</v>
      </c>
    </row>
    <row r="3976" customFormat="false" ht="17.15" hidden="false" customHeight="false" outlineLevel="0" collapsed="false">
      <c r="A3976" s="1" t="s">
        <v>633</v>
      </c>
      <c r="B3976" s="8" t="s">
        <v>86</v>
      </c>
      <c r="C3976" s="38" t="n">
        <f aca="false">Sens!$C$3974+Sens!$C$3975</f>
        <v>0.203463948620839</v>
      </c>
      <c r="D3976" s="38" t="n">
        <f aca="false">Sens!$D$3974+Sens!$D$3975</f>
        <v>3.62245206231783</v>
      </c>
      <c r="E3976" s="38" t="n">
        <f aca="false">Sens!$E$3974+Sens!$E$3975</f>
        <v>6.51597588754466</v>
      </c>
      <c r="F3976" s="38" t="n">
        <f aca="false">Sens!$F$3974+Sens!$F$3975</f>
        <v>6.51597588754466</v>
      </c>
      <c r="G3976" s="38" t="n">
        <f aca="false">Sens!$G$3974+Sens!$G$3975</f>
        <v>13.0319517750893</v>
      </c>
      <c r="H3976" s="38" t="n">
        <f aca="false">Sens!$H$3974+Sens!$H$3975</f>
        <v>35.2941921973308</v>
      </c>
      <c r="I3976" s="38" t="n">
        <f aca="false">Sens!$I$3974+Sens!$I$3975</f>
        <v>63.0173185714558</v>
      </c>
      <c r="J3976" s="38" t="n">
        <f aca="false">Sens!$J$3974+Sens!$J$3975</f>
        <v>91.7529624398725</v>
      </c>
      <c r="K3976" s="38" t="n">
        <f aca="false">Sens!$K$3974+Sens!$K$3975</f>
        <v>121.178188209924</v>
      </c>
      <c r="L3976" s="38" t="n">
        <f aca="false">Sens!$L$3974+Sens!$L$3975</f>
        <v>140.172392488963</v>
      </c>
      <c r="M3976" s="38" t="n">
        <f aca="false">Sens!$M$3974+Sens!$M$3975</f>
        <v>151.473555772051</v>
      </c>
      <c r="N3976" s="38" t="n">
        <f aca="false">Sens!$N$3974+Sens!$N$3975</f>
        <v>1.81122603115892</v>
      </c>
      <c r="O3976" s="38" t="n">
        <f aca="false">Sens!$O$3974+Sens!$O$3975</f>
        <v>1.81122603115892</v>
      </c>
      <c r="R3976" s="38" t="n">
        <f aca="false">Sens!$R$3974+Sens!$R$3975</f>
        <v>0</v>
      </c>
      <c r="S3976" s="38" t="n">
        <f aca="false">Sens!$S$3974+Sens!$S$3975</f>
        <v>0.203463948620839</v>
      </c>
      <c r="T3976" s="38" t="n">
        <f aca="false">Sens!$T$3974+Sens!$T$3975</f>
        <v>3.62245206231783</v>
      </c>
      <c r="U3976" s="38" t="n">
        <f aca="false">Sens!$U$3974+Sens!$U$3975</f>
        <v>13.0319517750893</v>
      </c>
      <c r="V3976" s="38" t="n">
        <f aca="false">Sens!$V$3974+Sens!$V$3975</f>
        <v>35.2941921973308</v>
      </c>
      <c r="W3976" s="38" t="n">
        <f aca="false">Sens!$W$3974+Sens!$W$3975</f>
        <v>63.0173185714558</v>
      </c>
      <c r="X3976" s="38" t="n">
        <f aca="false">Sens!$X$3974+Sens!$X$3975</f>
        <v>91.7529624398725</v>
      </c>
      <c r="Y3976" s="38" t="n">
        <f aca="false">Sens!$Y$3974+Sens!$Y$3975</f>
        <v>121.178188209924</v>
      </c>
      <c r="Z3976" s="38" t="n">
        <f aca="false">Sens!$Z$3974+Sens!$Z$3975</f>
        <v>140.172392488963</v>
      </c>
      <c r="AA3976" s="38" t="n">
        <f aca="false">Sens!$AA$3974+Sens!$AA$3975</f>
        <v>151.473555772051</v>
      </c>
    </row>
    <row r="3977" customFormat="false" ht="17.15" hidden="false" customHeight="false" outlineLevel="0" collapsed="false">
      <c r="A3977" s="0" t="s">
        <v>634</v>
      </c>
      <c r="B3977" s="0" t="s">
        <v>86</v>
      </c>
      <c r="C3977" s="38" t="n">
        <f aca="false">Sens!$S$3977</f>
        <v>26.578941154416</v>
      </c>
      <c r="D3977" s="38" t="n">
        <f aca="false">Sens!$T$3977</f>
        <v>92.5251207231008</v>
      </c>
      <c r="G3977" s="38" t="n">
        <f aca="false">Sens!$U$3977</f>
        <v>239.931219586022</v>
      </c>
      <c r="H3977" s="38" t="n">
        <f aca="false">Sens!$V$3977</f>
        <v>403.208392333442</v>
      </c>
      <c r="I3977" s="38" t="n">
        <f aca="false">Sens!$W$3977</f>
        <v>544.837543672486</v>
      </c>
      <c r="J3977" s="38" t="n">
        <f aca="false">Sens!$X$3977</f>
        <v>662.967819343113</v>
      </c>
      <c r="K3977" s="38" t="n">
        <f aca="false">Sens!$Y$3977</f>
        <v>697.028016408391</v>
      </c>
      <c r="L3977" s="38" t="n">
        <f aca="false">Sens!$Z$3977</f>
        <v>688.86976555933</v>
      </c>
      <c r="M3977" s="38" t="n">
        <f aca="false">Sens!$AA$3977</f>
        <v>669.627191447132</v>
      </c>
      <c r="R3977" s="38" t="n">
        <f aca="false">SUM(Sens!$R$3969:$R$3969)-SUM(Sens!$R$3976:$R$3976)</f>
        <v>1.50429979529945</v>
      </c>
      <c r="S3977" s="38" t="n">
        <f aca="false">SUM(Sens!$R$3969:$S$3969)-SUM(Sens!$R$3976:$S$3976)</f>
        <v>26.578941154416</v>
      </c>
      <c r="T3977" s="38" t="n">
        <f aca="false">SUM(Sens!$R$3969:$T$3969)-SUM(Sens!$R$3976:$T$3976)</f>
        <v>92.5251207231008</v>
      </c>
      <c r="U3977" s="38" t="n">
        <f aca="false">SUM(Sens!$R$3969:$U$3969)-SUM(Sens!$R$3976:$U$3976)</f>
        <v>239.931219586022</v>
      </c>
      <c r="V3977" s="38" t="n">
        <f aca="false">SUM(Sens!$R$3969:$V$3969)-SUM(Sens!$R$3976:$V$3976)</f>
        <v>403.208392333442</v>
      </c>
      <c r="W3977" s="38" t="n">
        <f aca="false">SUM(Sens!$R$3969:$W$3969)-SUM(Sens!$R$3976:$W$3976)</f>
        <v>544.837543672486</v>
      </c>
      <c r="X3977" s="38" t="n">
        <f aca="false">SUM(Sens!$R$3969:$X$3969)-SUM(Sens!$R$3976:$X$3976)</f>
        <v>662.967819343113</v>
      </c>
      <c r="Y3977" s="38" t="n">
        <f aca="false">SUM(Sens!$R$3969:$Y$3969)-SUM(Sens!$R$3976:$Y$3976)</f>
        <v>697.028016408391</v>
      </c>
      <c r="Z3977" s="38" t="n">
        <f aca="false">SUM(Sens!$R$3969:$Z$3969)-SUM(Sens!$R$3976:$Z$3976)</f>
        <v>688.86976555933</v>
      </c>
      <c r="AA3977" s="38" t="n">
        <f aca="false">SUM(Sens!$R$3969:$AA$3969)-SUM(Sens!$R$3976:$AA$3976)</f>
        <v>669.627191447132</v>
      </c>
    </row>
    <row r="3978" customFormat="false" ht="17.15" hidden="false" customHeight="false" outlineLevel="0" collapsed="false">
      <c r="A3978" s="1" t="s">
        <v>635</v>
      </c>
    </row>
    <row r="3979" customFormat="false" ht="17.15" hidden="false" customHeight="false" outlineLevel="0" collapsed="false">
      <c r="A3979" s="0" t="s">
        <v>636</v>
      </c>
      <c r="B3979" s="0" t="s">
        <v>86</v>
      </c>
      <c r="C3979" s="38" t="n">
        <f aca="false">Sens!$C$3960-ext_sh*Sens!$C$3962</f>
        <v>1.80694998843362</v>
      </c>
      <c r="D3979" s="38" t="n">
        <f aca="false">Sens!$D$3960-ext_sh*Sens!$D$3962</f>
        <v>6.77606245662607</v>
      </c>
      <c r="E3979" s="38" t="n">
        <f aca="false">Sens!$E$3960-ext_sh*Sens!$E$3962</f>
        <v>6.62548329092326</v>
      </c>
      <c r="F3979" s="38" t="n">
        <f aca="false">Sens!$F$3960-ext_sh*Sens!$F$3962</f>
        <v>11.7200577158706</v>
      </c>
      <c r="G3979" s="38" t="n">
        <f aca="false">Sens!$G$3960-ext_sh*Sens!$G$3962</f>
        <v>18.3455410067939</v>
      </c>
      <c r="H3979" s="38" t="n">
        <f aca="false">Sens!$H$3960-ext_sh*Sens!$H$3962</f>
        <v>47.5171727060453</v>
      </c>
      <c r="I3979" s="38" t="n">
        <f aca="false">Sens!$I$3960-ext_sh*Sens!$I$3962</f>
        <v>80.5539692643667</v>
      </c>
      <c r="J3979" s="38" t="n">
        <f aca="false">Sens!$J$3960-ext_sh*Sens!$J$3962</f>
        <v>113.759316834883</v>
      </c>
      <c r="K3979" s="38" t="n">
        <f aca="false">Sens!$K$3960-ext_sh*Sens!$K$3962</f>
        <v>142.084411492169</v>
      </c>
      <c r="L3979" s="38" t="n">
        <f aca="false">Sens!$L$3960-ext_sh*Sens!$L$3962</f>
        <v>160.69964615804</v>
      </c>
      <c r="M3979" s="38" t="n">
        <f aca="false">Sens!$M$3960-ext_sh*Sens!$M$3962</f>
        <v>169.577607141793</v>
      </c>
      <c r="N3979" s="38" t="n">
        <f aca="false">Sens!$N$3960-ext_sh*Sens!$N$3962</f>
        <v>2.37162185981912</v>
      </c>
      <c r="O3979" s="38" t="n">
        <f aca="false">Sens!$O$3960-ext_sh*Sens!$O$3962</f>
        <v>4.40444059680694</v>
      </c>
    </row>
    <row r="3980" customFormat="false" ht="17.15" hidden="false" customHeight="false" outlineLevel="0" collapsed="false">
      <c r="A3980" s="1" t="s">
        <v>637</v>
      </c>
      <c r="B3980" s="8" t="s">
        <v>86</v>
      </c>
      <c r="C3980" s="38" t="n">
        <f aca="false">Sens!$C$3979-ext_sh*Sens!$C$3976</f>
        <v>1.64417882953695</v>
      </c>
      <c r="D3980" s="38" t="n">
        <f aca="false">Sens!$D$3979-ext_sh*Sens!$D$3976</f>
        <v>3.8781008067718</v>
      </c>
      <c r="E3980" s="38" t="n">
        <f aca="false">Sens!$E$3979-ext_sh*Sens!$E$3976</f>
        <v>1.41270258088753</v>
      </c>
      <c r="F3980" s="38" t="n">
        <f aca="false">Sens!$F$3979-ext_sh*Sens!$F$3976</f>
        <v>6.50727700583486</v>
      </c>
      <c r="G3980" s="38" t="n">
        <f aca="false">Sens!$G$3979-ext_sh*Sens!$G$3976</f>
        <v>7.9199795867224</v>
      </c>
      <c r="H3980" s="38" t="n">
        <f aca="false">Sens!$H$3979-ext_sh*Sens!$H$3976</f>
        <v>19.2818189481807</v>
      </c>
      <c r="I3980" s="38" t="n">
        <f aca="false">Sens!$I$3979-ext_sh*Sens!$I$3976</f>
        <v>30.140114407202</v>
      </c>
      <c r="J3980" s="38" t="n">
        <f aca="false">Sens!$J$3979-ext_sh*Sens!$J$3976</f>
        <v>40.3569468829854</v>
      </c>
      <c r="K3980" s="38" t="n">
        <f aca="false">Sens!$K$3979-ext_sh*Sens!$K$3976</f>
        <v>45.1418609242305</v>
      </c>
      <c r="L3980" s="38" t="n">
        <f aca="false">Sens!$L$3979-ext_sh*Sens!$L$3976</f>
        <v>48.5617321668703</v>
      </c>
      <c r="M3980" s="38" t="n">
        <f aca="false">Sens!$M$3979-ext_sh*Sens!$M$3976</f>
        <v>48.3987625241529</v>
      </c>
      <c r="N3980" s="38" t="n">
        <f aca="false">Sens!$N$3979-ext_sh*Sens!$N$3976</f>
        <v>0.92264103489199</v>
      </c>
      <c r="O3980" s="38" t="n">
        <f aca="false">Sens!$O$3979-ext_sh*Sens!$O$3976</f>
        <v>2.95545977187981</v>
      </c>
    </row>
    <row r="3981" customFormat="false" ht="17.15" hidden="false" customHeight="false" outlineLevel="0" collapsed="false">
      <c r="A3981" s="0" t="s">
        <v>638</v>
      </c>
      <c r="B3981" s="0" t="s">
        <v>52</v>
      </c>
      <c r="C3981" s="13" t="n">
        <f aca="false">Sens!$C$3980/Sens!$C$3960</f>
        <v>0.708390794789371</v>
      </c>
      <c r="D3981" s="13" t="n">
        <f aca="false">Sens!$D$3980/Sens!$D$3960</f>
        <v>0.445565630441968</v>
      </c>
      <c r="E3981" s="13" t="n">
        <f aca="false">Sens!$E$3980/Sens!$E$3960</f>
        <v>0.165998118402711</v>
      </c>
      <c r="F3981" s="13" t="n">
        <f aca="false">Sens!$F$3980/Sens!$F$3960</f>
        <v>0.434878595403858</v>
      </c>
      <c r="G3981" s="13" t="n">
        <f aca="false">Sens!$G$3980/Sens!$G$3960</f>
        <v>0.3373967615381</v>
      </c>
      <c r="H3981" s="13" t="n">
        <f aca="false">Sens!$H$3980/Sens!$H$3960</f>
        <v>0.320477578041224</v>
      </c>
      <c r="I3981" s="13" t="n">
        <f aca="false">Sens!$I$3980/Sens!$I$3960</f>
        <v>0.296936118226494</v>
      </c>
      <c r="J3981" s="13" t="n">
        <f aca="false">Sens!$J$3980/Sens!$J$3960</f>
        <v>0.282166278613001</v>
      </c>
      <c r="K3981" s="13" t="n">
        <f aca="false">Sens!$K$3980/Sens!$K$3960</f>
        <v>0.252969102881543</v>
      </c>
      <c r="L3981" s="13" t="n">
        <f aca="false">Sens!$L$3980/Sens!$L$3960</f>
        <v>0.240728642826566</v>
      </c>
      <c r="M3981" s="13" t="n">
        <f aca="false">Sens!$M$3980/Sens!$M$3960</f>
        <v>0.227399920863147</v>
      </c>
      <c r="N3981" s="13" t="n">
        <f aca="false">Sens!$N$3980/Sens!$N$3960</f>
        <v>0.302870734830849</v>
      </c>
      <c r="O3981" s="13" t="n">
        <f aca="false">Sens!$O$3980/Sens!$O$3960</f>
        <v>0.52240134346334</v>
      </c>
    </row>
    <row r="3982" customFormat="false" ht="17.15" hidden="false" customHeight="false" outlineLevel="0" collapsed="false">
      <c r="A3982" s="5" t="s">
        <v>639</v>
      </c>
      <c r="B3982" s="0" t="s">
        <v>86</v>
      </c>
      <c r="C3982" s="39" t="n">
        <v>0</v>
      </c>
      <c r="D3982" s="39" t="n">
        <v>0</v>
      </c>
      <c r="E3982" s="39" t="n">
        <v>0</v>
      </c>
      <c r="F3982" s="38" t="n">
        <f aca="false">IF(internal_ai_reading=2,1,0)*(1-ext_sh)/ext_sh*(mw_open*he_open+Sens!$F$3958*Sens!$F$3955)*Sens!$F$3944/1000</f>
        <v>3.77122048175818</v>
      </c>
      <c r="G3982" s="38" t="n">
        <f aca="false">Sens!$E$3982+Sens!$F$3982</f>
        <v>3.77122048175818</v>
      </c>
      <c r="H3982" s="38" t="n">
        <f aca="false">IF(internal_ai_reading=2,1,0)*(1-ext_sh)/ext_sh*(mw_open*he_open+Sens!$H$3958*Sens!$H$3955)*Sens!$H$3944/1000</f>
        <v>15.1635543609893</v>
      </c>
      <c r="I3982" s="38" t="n">
        <f aca="false">IF(internal_ai_reading=2,1,0)*(1-ext_sh)/ext_sh*(mw_open*he_open+Sens!$I$3958*Sens!$I$3955)*Sens!$I$3944/1000</f>
        <v>25.5818843619889</v>
      </c>
      <c r="J3982" s="38" t="n">
        <f aca="false">IF(internal_ai_reading=2,1,0)*(1-ext_sh)/ext_sh*(mw_open*he_open+Sens!$J$3958*Sens!$J$3955)*Sens!$J$3944/1000</f>
        <v>36.0465624179122</v>
      </c>
      <c r="K3982" s="38" t="n">
        <f aca="false">IF(internal_ai_reading=2,1,0)*(1-ext_sh)/ext_sh*(mw_open*he_open+Sens!$K$3958*Sens!$K$3955)*Sens!$K$3944/1000</f>
        <v>44.9741164026038</v>
      </c>
      <c r="L3982" s="38" t="n">
        <f aca="false">IF(internal_ai_reading=2,1,0)*(1-ext_sh)/ext_sh*(mw_open*he_open+Sens!$L$3958*Sens!$L$3955)*Sens!$L$3944/1000</f>
        <v>50.8413488057813</v>
      </c>
      <c r="M3982" s="38" t="n">
        <f aca="false">IF(internal_ai_reading=2,1,0)*(1-ext_sh)/ext_sh*(mw_open*he_open+Sens!$M$3958*Sens!$M$3955)*Sens!$M$3944/1000</f>
        <v>53.6407214274315</v>
      </c>
      <c r="N3982" s="39" t="n">
        <v>0</v>
      </c>
      <c r="O3982" s="39" t="n">
        <v>0</v>
      </c>
      <c r="P3982" s="8" t="s">
        <v>640</v>
      </c>
    </row>
    <row r="3983" customFormat="false" ht="17.15" hidden="false" customHeight="false" outlineLevel="0" collapsed="false">
      <c r="A3983" s="5" t="s">
        <v>641</v>
      </c>
      <c r="B3983" s="0" t="s">
        <v>86</v>
      </c>
      <c r="C3983" s="38" t="n">
        <f aca="false">(1-ext_sh)*(Sens!$C$3962+Sens!$C$3976)</f>
        <v>0.169206631859174</v>
      </c>
      <c r="D3983" s="38" t="n">
        <f aca="false">(1-ext_sh)*(Sens!$D$3962+Sens!$D$3976)</f>
        <v>1.20641732046984</v>
      </c>
      <c r="E3983" s="38" t="n">
        <f aca="false">(1-ext_sh)*(Sens!$E$3962+Sens!$E$3976)</f>
        <v>1.77441259867062</v>
      </c>
      <c r="F3983" s="38" t="n">
        <f aca="false">(1-ext_sh)*(Sens!$F$3962+Sens!$F$3976)</f>
        <v>2.1140391597214</v>
      </c>
      <c r="G3983" s="38" t="n">
        <f aca="false">(1-ext_sh)*(Sens!$G$3962+Sens!$G$3976)</f>
        <v>3.88845175839202</v>
      </c>
      <c r="H3983" s="38" t="n">
        <f aca="false">(1-ext_sh)*(Sens!$H$3962+Sens!$H$3976)</f>
        <v>10.2210179503985</v>
      </c>
      <c r="I3983" s="38" t="n">
        <f aca="false">(1-ext_sh)*(Sens!$I$3962+Sens!$I$3976)</f>
        <v>17.8408961823075</v>
      </c>
      <c r="J3983" s="38" t="n">
        <f aca="false">(1-ext_sh)*(Sens!$J$3962+Sens!$J$3976)</f>
        <v>25.6671150670732</v>
      </c>
      <c r="K3983" s="38" t="n">
        <f aca="false">(1-ext_sh)*(Sens!$K$3962+Sens!$K$3976)</f>
        <v>33.3265648647373</v>
      </c>
      <c r="L3983" s="38" t="n">
        <f aca="false">(1-ext_sh)*(Sens!$L$3962+Sens!$L$3976)</f>
        <v>38.2915924088815</v>
      </c>
      <c r="M3983" s="38" t="n">
        <f aca="false">(1-ext_sh)*(Sens!$M$3962+Sens!$M$3976)</f>
        <v>41.1091697111781</v>
      </c>
      <c r="N3983" s="38" t="n">
        <f aca="false">(1-ext_sh)*(Sens!$N$3962+Sens!$N$3976)</f>
        <v>0.530919624033979</v>
      </c>
      <c r="O3983" s="38" t="n">
        <f aca="false">(1-ext_sh)*(Sens!$O$3962+Sens!$O$3976)</f>
        <v>0.675497696435861</v>
      </c>
    </row>
    <row r="3984" customFormat="false" ht="17.15" hidden="false" customHeight="false" outlineLevel="0" collapsed="false">
      <c r="A3984" s="0" t="s">
        <v>642</v>
      </c>
      <c r="B3984" s="0" t="s">
        <v>86</v>
      </c>
      <c r="C3984" s="38" t="n">
        <f aca="false">Q!$D$24</f>
        <v>39.834</v>
      </c>
      <c r="D3984" s="38" t="n">
        <f aca="false">Q!$E$24</f>
        <v>45.606</v>
      </c>
      <c r="E3984" s="38" t="n">
        <f aca="false">Q!$P$24</f>
        <v>30.782</v>
      </c>
      <c r="N3984" s="38" t="n">
        <f aca="false">Q!$N$24</f>
        <v>21.707</v>
      </c>
      <c r="O3984" s="38" t="n">
        <f aca="false">Q!$O$24</f>
        <v>23.899</v>
      </c>
    </row>
    <row r="3985" customFormat="false" ht="17.15" hidden="false" customHeight="false" outlineLevel="0" collapsed="false">
      <c r="A3985" s="0" t="s">
        <v>643</v>
      </c>
      <c r="B3985" s="0" t="s">
        <v>86</v>
      </c>
      <c r="C3985" s="38" t="n">
        <f aca="false">Sens!$C$3984-Sens!$C$3980</f>
        <v>38.1898211704631</v>
      </c>
      <c r="D3985" s="38" t="n">
        <f aca="false">Sens!$D$3984-Sens!$D$3980</f>
        <v>41.7278991932282</v>
      </c>
      <c r="E3985" s="38" t="n">
        <f aca="false">Sens!$E$3984-Sens!$E$3980</f>
        <v>29.3692974191125</v>
      </c>
      <c r="F3985" s="38" t="n">
        <f aca="false">Sens!$F$3964*Sens!$F$3986</f>
        <v>26.8997276714137</v>
      </c>
      <c r="G3985" s="38" t="n">
        <f aca="false">Sens!$E$3985+Sens!$F$3985</f>
        <v>56.2690250905262</v>
      </c>
      <c r="H3985" s="38" t="n">
        <f aca="false">Sens!$H$3964*Sens!$H$3986</f>
        <v>60.3505333937343</v>
      </c>
      <c r="I3985" s="38" t="n">
        <f aca="false">Sens!$I$3964*Sens!$I$3986</f>
        <v>67.0043857303571</v>
      </c>
      <c r="J3985" s="38" t="n">
        <f aca="false">Sens!$J$3964*Sens!$J$3986</f>
        <v>73.3782922956925</v>
      </c>
      <c r="K3985" s="38" t="n">
        <f aca="false">Sens!$K$3964*Sens!$K$3986</f>
        <v>79.2485556793479</v>
      </c>
      <c r="L3985" s="38" t="n">
        <f aca="false">Sens!$L$3964*Sens!$L$3986</f>
        <v>85.5884401336958</v>
      </c>
      <c r="M3985" s="38" t="n">
        <f aca="false">Sens!$M$3964*Sens!$M$3986</f>
        <v>92.4355153443914</v>
      </c>
      <c r="N3985" s="38" t="n">
        <f aca="false">Sens!$N$3984-Sens!$N$3980</f>
        <v>20.784358965108</v>
      </c>
      <c r="O3985" s="38" t="n">
        <f aca="false">Sens!$O$3984-Sens!$O$3980</f>
        <v>20.9435402281202</v>
      </c>
      <c r="P3985" s="5" t="s">
        <v>644</v>
      </c>
    </row>
    <row r="3986" customFormat="false" ht="17.15" hidden="false" customHeight="false" outlineLevel="0" collapsed="false">
      <c r="A3986" s="0" t="s">
        <v>645</v>
      </c>
      <c r="B3986" s="0" t="s">
        <v>52</v>
      </c>
      <c r="C3986" s="13" t="n">
        <f aca="false">Sens!$C$3985/Sens!$C$3964</f>
        <v>0.362900395443635</v>
      </c>
      <c r="D3986" s="13" t="n">
        <f aca="false">Sens!$D$3985/Sens!$D$3964</f>
        <v>0.34767098474203</v>
      </c>
      <c r="E3986" s="13" t="n">
        <f aca="false">Sens!$E$3985/Sens!$E$3964</f>
        <v>0.411861655558416</v>
      </c>
      <c r="F3986" s="13" t="n">
        <f aca="false">(Sens!$O$3985+Sens!$E$3985)/(Sens!$O$3964+Sens!$E$3964)</f>
        <v>0.37480827803158</v>
      </c>
      <c r="G3986" s="13" t="n">
        <f aca="false">Sens!$G$3985/Sens!$G$3964</f>
        <v>0.393275318395757</v>
      </c>
      <c r="H3986" s="13" t="n">
        <f aca="false">Sens!$F$3986</f>
        <v>0.37480827803158</v>
      </c>
      <c r="I3986" s="13" t="n">
        <f aca="false">Sens!$F$3986</f>
        <v>0.37480827803158</v>
      </c>
      <c r="J3986" s="13" t="n">
        <f aca="false">Sens!$F$3986</f>
        <v>0.37480827803158</v>
      </c>
      <c r="K3986" s="13" t="n">
        <f aca="false">Sens!$F$3986</f>
        <v>0.37480827803158</v>
      </c>
      <c r="L3986" s="13" t="n">
        <f aca="false">Sens!$F$3986</f>
        <v>0.37480827803158</v>
      </c>
      <c r="M3986" s="13" t="n">
        <f aca="false">Sens!$F$3986</f>
        <v>0.37480827803158</v>
      </c>
      <c r="N3986" s="13" t="n">
        <f aca="false">Sens!$N$3985/Sens!$N$3964</f>
        <v>0.364039571356823</v>
      </c>
      <c r="O3986" s="13" t="n">
        <f aca="false">Sens!$O$3985/Sens!$O$3964</f>
        <v>0.332819892300086</v>
      </c>
      <c r="P3986" s="8" t="s">
        <v>646</v>
      </c>
    </row>
    <row r="3987" customFormat="false" ht="17.15" hidden="false" customHeight="false" outlineLevel="0" collapsed="false">
      <c r="A3987" s="0" t="s">
        <v>647</v>
      </c>
      <c r="B3987" s="0" t="s">
        <v>52</v>
      </c>
      <c r="D3987" s="13" t="n">
        <f aca="false">(Q!$E$31-ext_sh*Sens!$D$3976)/Sens!$D$3964</f>
        <v>0.154572973163571</v>
      </c>
    </row>
    <row r="3988" customFormat="false" ht="17.15" hidden="false" customHeight="false" outlineLevel="0" collapsed="false">
      <c r="A3988" s="0" t="s">
        <v>648</v>
      </c>
      <c r="B3988" s="0" t="s">
        <v>86</v>
      </c>
      <c r="C3988" s="38" t="n">
        <f aca="false">Q!$D$31</f>
        <v>13.32</v>
      </c>
      <c r="D3988" s="38" t="n">
        <f aca="false">Q!$E$31</f>
        <v>21.45</v>
      </c>
      <c r="E3988" s="38" t="n">
        <f aca="false">Q!$P$31</f>
        <v>15.353</v>
      </c>
      <c r="F3988" s="38" t="n">
        <f aca="false">ext_sh*Sens!$F$3976+Sens!$D$3987*Sens!$F$3964</f>
        <v>16.3063747611001</v>
      </c>
      <c r="G3988" s="38" t="n">
        <f aca="false">Sens!$E$3988+Sens!$F$3988</f>
        <v>31.6593747611001</v>
      </c>
      <c r="H3988" s="38" t="n">
        <f aca="false">ext_sh*Sens!$H$3976+Sens!$D$3987*Sens!$H$3964</f>
        <v>53.124242092105</v>
      </c>
      <c r="I3988" s="38" t="n">
        <f aca="false">ext_sh*Sens!$I$3976+Sens!$D$3987*Sens!$I$3964</f>
        <v>78.046828098133</v>
      </c>
      <c r="J3988" s="38" t="n">
        <f aca="false">ext_sh*Sens!$J$3976+Sens!$D$3987*Sens!$J$3964</f>
        <v>103.663976940352</v>
      </c>
      <c r="K3988" s="38" t="n">
        <f aca="false">ext_sh*Sens!$K$3976+Sens!$D$3987*Sens!$K$3964</f>
        <v>129.625086115469</v>
      </c>
      <c r="L3988" s="38" t="n">
        <f aca="false">ext_sh*Sens!$L$3976+Sens!$D$3987*Sens!$L$3964</f>
        <v>147.435052382502</v>
      </c>
      <c r="M3988" s="38" t="n">
        <f aca="false">ext_sh*Sens!$M$3976+Sens!$D$3987*Sens!$M$3964</f>
        <v>159.299754080279</v>
      </c>
      <c r="N3988" s="38" t="n">
        <f aca="false">Q!$N$31</f>
        <v>9.234</v>
      </c>
      <c r="O3988" s="38" t="n">
        <f aca="false">Q!$O$31</f>
        <v>12.216</v>
      </c>
    </row>
    <row r="3989" customFormat="false" ht="17.15" hidden="false" customHeight="false" outlineLevel="0" collapsed="false">
      <c r="A3989" s="1" t="s">
        <v>649</v>
      </c>
    </row>
    <row r="3990" customFormat="false" ht="17.15" hidden="false" customHeight="false" outlineLevel="0" collapsed="false">
      <c r="A3990" s="15" t="s">
        <v>650</v>
      </c>
      <c r="B3990" s="14" t="s">
        <v>52</v>
      </c>
      <c r="C3990" s="14"/>
      <c r="D3990" s="14"/>
      <c r="E3990" s="14"/>
      <c r="F3990" s="14"/>
      <c r="G3990" s="17" t="n">
        <f aca="false">Sens!$G$3980*(1-tax)/(ext_sh*(Sens!$D$3977+Sens!$G$3977)/2)</f>
        <v>0.0492184452944045</v>
      </c>
      <c r="H3990" s="17" t="n">
        <f aca="false">Sens!$H$3980*(1-tax)/(ext_sh*(Sens!$G$3977+Sens!$H$3977)/2)</f>
        <v>0.0619414246858107</v>
      </c>
      <c r="I3990" s="17" t="n">
        <f aca="false">Sens!$I$3980*(1-tax)/(ext_sh*(Sens!$H$3977+Sens!$I$3977)/2)</f>
        <v>0.0656831488051666</v>
      </c>
      <c r="J3990" s="17" t="n">
        <f aca="false">Sens!$J$3980*(1-tax)/(ext_sh*(Sens!$I$3977+Sens!$J$3977)/2)</f>
        <v>0.0690334849962116</v>
      </c>
      <c r="K3990" s="17" t="n">
        <f aca="false">Sens!$K$3980*(1-tax)/(ext_sh*(Sens!$J$3977+Sens!$K$3977)/2)</f>
        <v>0.0685772915331967</v>
      </c>
      <c r="L3990" s="17" t="n">
        <f aca="false">Sens!$L$3980*(1-tax)/(ext_sh*(Sens!$K$3977+Sens!$L$3977)/2)</f>
        <v>0.0723938074635756</v>
      </c>
      <c r="M3990" s="17" t="n">
        <f aca="false">Sens!$M$3980*(1-tax)/(ext_sh*(Sens!$L$3977+Sens!$M$3977)/2)</f>
        <v>0.0736061388214139</v>
      </c>
      <c r="N3990" s="14"/>
      <c r="O3990" s="14"/>
      <c r="P3990" s="8" t="s">
        <v>651</v>
      </c>
    </row>
    <row r="3991" customFormat="false" ht="17.15" hidden="false" customHeight="false" outlineLevel="0" collapsed="false">
      <c r="A3991" s="5" t="s">
        <v>652</v>
      </c>
      <c r="B3991" s="0" t="s">
        <v>57</v>
      </c>
      <c r="H3991" s="36" t="n">
        <f aca="false">Sens!$H$3960*1000/(mw_open*he_open+Sens!$H$3958*Sens!$H$3955)</f>
        <v>0.991949006767191</v>
      </c>
      <c r="I3991" s="36" t="n">
        <f aca="false">Sens!$I$3960*1000/(mw_open*he_open+Sens!$I$3958*Sens!$I$3955)</f>
        <v>0.991949006767191</v>
      </c>
      <c r="J3991" s="36" t="n">
        <f aca="false">Sens!$J$3960*1000/(mw_open*he_open+Sens!$J$3958*Sens!$J$3955)</f>
        <v>0.991949006767191</v>
      </c>
      <c r="K3991" s="36" t="n">
        <f aca="false">Sens!$K$3960*1000/(mw_open*he_open+Sens!$K$3958*Sens!$K$3955)</f>
        <v>0.991949006767191</v>
      </c>
      <c r="L3991" s="36" t="n">
        <f aca="false">Sens!$L$3960*1000/(mw_open*he_open+Sens!$L$3958*Sens!$L$3955)</f>
        <v>0.991949006767191</v>
      </c>
      <c r="M3991" s="36" t="n">
        <f aca="false">Sens!$M$3960*1000/(mw_open*he_open+Sens!$M$3958*Sens!$M$3955)</f>
        <v>0.991949006767191</v>
      </c>
    </row>
    <row r="3992" customFormat="false" ht="17.15" hidden="false" customHeight="false" outlineLevel="0" collapsed="false">
      <c r="A3992" s="5" t="s">
        <v>653</v>
      </c>
      <c r="B3992" s="0" t="s">
        <v>57</v>
      </c>
      <c r="H3992" s="36" t="n">
        <f aca="false">Sens!$H$3991*(Sens!$H$3960+wacc*ext_sh*(Sens!$G$3977+Sens!$H$3977)/2/(1-tax)-Sens!$H$3980)/Sens!$H$3960</f>
        <v>1.25551961623259</v>
      </c>
      <c r="I3992" s="36" t="n">
        <f aca="false">Sens!$I$3991*(Sens!$I$3960+wacc*ext_sh*(Sens!$H$3977+Sens!$I$3977)/2/(1-tax)-Sens!$I$3980)/Sens!$I$3960</f>
        <v>1.2054675393263</v>
      </c>
      <c r="J3992" s="36" t="n">
        <f aca="false">Sens!$J$3991*(Sens!$J$3960+wacc*ext_sh*(Sens!$I$3977+Sens!$J$3977)/2/(1-tax)-Sens!$J$3980)/Sens!$J$3960</f>
        <v>1.17141604927023</v>
      </c>
      <c r="K3992" s="36" t="n">
        <f aca="false">Sens!$K$3991*(Sens!$K$3960+wacc*ext_sh*(Sens!$J$3977+Sens!$K$3977)/2/(1-tax)-Sens!$K$3980)/Sens!$K$3960</f>
        <v>1.15558527566281</v>
      </c>
      <c r="L3992" s="36" t="n">
        <f aca="false">Sens!$L$3991*(Sens!$L$3960+wacc*ext_sh*(Sens!$K$3977+Sens!$L$3977)/2/(1-tax)-Sens!$L$3980)/Sens!$L$3960</f>
        <v>1.12686933572495</v>
      </c>
      <c r="M3992" s="36" t="n">
        <f aca="false">Sens!$M$3991*(Sens!$M$3960+wacc*ext_sh*(Sens!$L$3977+Sens!$M$3977)/2/(1-tax)-Sens!$M$3980)/Sens!$M$3960</f>
        <v>1.11358462527531</v>
      </c>
    </row>
    <row r="3993" customFormat="false" ht="17.15" hidden="false" customHeight="false" outlineLevel="0" collapsed="false">
      <c r="A3993" s="5" t="s">
        <v>654</v>
      </c>
      <c r="B3993" s="0" t="s">
        <v>52</v>
      </c>
      <c r="C3993" s="13" t="n">
        <f aca="false">Sens!$C$3961/tk_pq</f>
        <v>0.195316432429398</v>
      </c>
      <c r="D3993" s="13" t="n">
        <f aca="false">Sens!$D$3961/tk_pq</f>
        <v>0.195316432429398</v>
      </c>
      <c r="E3993" s="13" t="n">
        <f aca="false">Sens!$E$3961/tk_pq</f>
        <v>0.195316432429398</v>
      </c>
      <c r="F3993" s="13" t="n">
        <f aca="false">Sens!$F$3961/tk_pq</f>
        <v>0.202241827274866</v>
      </c>
      <c r="G3993" s="13" t="n">
        <f aca="false">Sens!$G$3961/tk_pq</f>
        <v>0.199675016194063</v>
      </c>
      <c r="H3993" s="13" t="n">
        <f aca="false">Sens!$H$3961/tk_pq</f>
        <v>0.212647947710325</v>
      </c>
      <c r="I3993" s="13" t="n">
        <f aca="false">Sens!$I$3961/tk_pq</f>
        <v>0.219285125475351</v>
      </c>
      <c r="J3993" s="13" t="n">
        <f aca="false">Sens!$J$3961/tk_pq</f>
        <v>0.222492493217189</v>
      </c>
      <c r="K3993" s="13" t="n">
        <f aca="false">Sens!$K$3961/tk_pq</f>
        <v>0.224053502812094</v>
      </c>
      <c r="L3993" s="13" t="n">
        <f aca="false">Sens!$L$3961/tk_pq</f>
        <v>0.224786916785614</v>
      </c>
      <c r="M3993" s="13" t="n">
        <f aca="false">Sens!$M$3961/tk_pq</f>
        <v>0.225048671566937</v>
      </c>
      <c r="N3993" s="13" t="n">
        <f aca="false">Sens!$N$3961/tk_pq</f>
        <v>0.195316432429398</v>
      </c>
      <c r="O3993" s="13" t="n">
        <f aca="false">Sens!$O$3961/tk_pq</f>
        <v>0.195316432429398</v>
      </c>
      <c r="P3993" s="5" t="s">
        <v>655</v>
      </c>
    </row>
    <row r="3996" customFormat="false" ht="17.15" hidden="false" customHeight="false" outlineLevel="0" collapsed="false">
      <c r="A3996" s="1" t="s">
        <v>684</v>
      </c>
    </row>
    <row r="3997" customFormat="false" ht="17.15" hidden="false" customHeight="false" outlineLevel="0" collapsed="false">
      <c r="A3997" s="0" t="s">
        <v>685</v>
      </c>
      <c r="B3997" s="0" t="s">
        <v>86</v>
      </c>
      <c r="C3997" s="38" t="n">
        <f aca="false">Sens!$C$3960</f>
        <v>2.32100535697364</v>
      </c>
      <c r="D3997" s="38" t="n">
        <f aca="false">Sens!$D$3960</f>
        <v>8.70377008865116</v>
      </c>
      <c r="E3997" s="38" t="n">
        <f aca="false">Sens!$E$3960</f>
        <v>8.51035297557002</v>
      </c>
      <c r="F3997" s="38" t="n">
        <f aca="false">Sens!$F$3960</f>
        <v>14.9634336447205</v>
      </c>
      <c r="G3997" s="38" t="n">
        <f aca="false">Sens!$G$3960</f>
        <v>23.4737866202905</v>
      </c>
      <c r="H3997" s="38" t="n">
        <f aca="false">Sens!$H$3960</f>
        <v>60.1658907497746</v>
      </c>
      <c r="I3997" s="38" t="n">
        <f aca="false">Sens!$I$3960</f>
        <v>101.503699136432</v>
      </c>
      <c r="J3997" s="38" t="n">
        <f aca="false">Sens!$J$3960</f>
        <v>143.025407151278</v>
      </c>
      <c r="K3997" s="38" t="n">
        <f aca="false">Sens!$K$3960</f>
        <v>178.44812038318</v>
      </c>
      <c r="L3997" s="38" t="n">
        <f aca="false">Sens!$L$3960</f>
        <v>201.728101802396</v>
      </c>
      <c r="M3997" s="38" t="n">
        <f aca="false">Sens!$M$3960</f>
        <v>212.835441368865</v>
      </c>
      <c r="N3997" s="38" t="n">
        <f aca="false">Sens!$N$3960</f>
        <v>3.04631953102791</v>
      </c>
      <c r="O3997" s="38" t="n">
        <f aca="false">Sens!$O$3960</f>
        <v>5.65745055762326</v>
      </c>
      <c r="P3997" s="8" t="s">
        <v>686</v>
      </c>
    </row>
    <row r="3998" customFormat="false" ht="17.15" hidden="false" customHeight="false" outlineLevel="0" collapsed="false">
      <c r="A3998" s="0" t="s">
        <v>687</v>
      </c>
      <c r="B3998" s="0" t="s">
        <v>86</v>
      </c>
      <c r="C3998" s="38" t="n">
        <f aca="false">Sens!$C$3964</f>
        <v>105.234994643026</v>
      </c>
      <c r="D3998" s="38" t="n">
        <f aca="false">Sens!$D$3964</f>
        <v>120.021229911349</v>
      </c>
      <c r="E3998" s="38" t="n">
        <f aca="false">Sens!$E$3964</f>
        <v>71.30864702443</v>
      </c>
      <c r="F3998" s="38" t="n">
        <f aca="false">Sens!$F$3964</f>
        <v>71.7692997942464</v>
      </c>
      <c r="G3998" s="38" t="n">
        <f aca="false">Sens!$G$3964</f>
        <v>143.077946818676</v>
      </c>
      <c r="H3998" s="38" t="n">
        <f aca="false">Sens!$H$3964</f>
        <v>161.017077079203</v>
      </c>
      <c r="I3998" s="38" t="n">
        <f aca="false">Sens!$I$3964</f>
        <v>178.769759521457</v>
      </c>
      <c r="J3998" s="38" t="n">
        <f aca="false">Sens!$J$3964</f>
        <v>195.775538045907</v>
      </c>
      <c r="K3998" s="38" t="n">
        <f aca="false">Sens!$K$3964</f>
        <v>211.43758108958</v>
      </c>
      <c r="L3998" s="38" t="n">
        <f aca="false">Sens!$L$3964</f>
        <v>228.352587576746</v>
      </c>
      <c r="M3998" s="38" t="n">
        <f aca="false">Sens!$M$3964</f>
        <v>246.620794582886</v>
      </c>
      <c r="N3998" s="38" t="n">
        <f aca="false">Sens!$N$3964</f>
        <v>57.0936804689721</v>
      </c>
      <c r="O3998" s="38" t="n">
        <f aca="false">Sens!$O$3964</f>
        <v>62.9275494423768</v>
      </c>
      <c r="P3998" s="8" t="s">
        <v>686</v>
      </c>
    </row>
    <row r="3999" customFormat="false" ht="17.15" hidden="false" customHeight="false" outlineLevel="0" collapsed="false">
      <c r="A3999" s="1" t="s">
        <v>513</v>
      </c>
      <c r="B3999" s="8" t="s">
        <v>86</v>
      </c>
      <c r="C3999" s="38" t="n">
        <f aca="false">Q!$D$7</f>
        <v>107.556</v>
      </c>
      <c r="D3999" s="38" t="n">
        <f aca="false">Q!$E$7</f>
        <v>128.725</v>
      </c>
      <c r="E3999" s="38" t="n">
        <f aca="false">Q!$P$7</f>
        <v>79.819</v>
      </c>
      <c r="F3999" s="38" t="n">
        <f aca="false">Sens!$F$3997+Sens!$F$3998</f>
        <v>86.7327334389669</v>
      </c>
      <c r="G3999" s="38" t="n">
        <f aca="false">Sens!$G$3997+Sens!$G$3998</f>
        <v>166.551733438967</v>
      </c>
      <c r="H3999" s="38" t="n">
        <f aca="false">Sens!$H$3997+Sens!$H$3998</f>
        <v>221.182967828978</v>
      </c>
      <c r="I3999" s="38" t="n">
        <f aca="false">Sens!$I$3997+Sens!$I$3998</f>
        <v>280.27345865789</v>
      </c>
      <c r="J3999" s="38" t="n">
        <f aca="false">Sens!$J$3997+Sens!$J$3998</f>
        <v>338.800945197185</v>
      </c>
      <c r="K3999" s="38" t="n">
        <f aca="false">Sens!$K$3997+Sens!$K$3998</f>
        <v>389.88570147276</v>
      </c>
      <c r="L3999" s="38" t="n">
        <f aca="false">Sens!$L$3997+Sens!$L$3998</f>
        <v>430.080689379143</v>
      </c>
      <c r="M3999" s="38" t="n">
        <f aca="false">Sens!$M$3997+Sens!$M$3998</f>
        <v>459.456235951751</v>
      </c>
      <c r="N3999" s="38" t="n">
        <f aca="false">Q!$N$7</f>
        <v>60.14</v>
      </c>
      <c r="O3999" s="38" t="n">
        <f aca="false">Q!$O$7</f>
        <v>68.585</v>
      </c>
      <c r="P3999" s="5" t="s">
        <v>688</v>
      </c>
    </row>
    <row r="4000" customFormat="false" ht="15" hidden="false" customHeight="false" outlineLevel="0" collapsed="false">
      <c r="A4000" s="3" t="s">
        <v>689</v>
      </c>
      <c r="B4000" s="8" t="s">
        <v>86</v>
      </c>
      <c r="C4000" s="38" t="n">
        <f aca="false">Q!$D$8</f>
        <v>637.959</v>
      </c>
      <c r="D4000" s="38" t="n">
        <f aca="false">Q!$E$8</f>
        <v>716.924</v>
      </c>
      <c r="E4000" s="38" t="n">
        <f aca="false">Q!$P$8</f>
        <v>382.125</v>
      </c>
      <c r="F4000" s="38" t="n">
        <f aca="false">Sens!$F$3932+Sens!$F$3999</f>
        <v>435.780975084504</v>
      </c>
      <c r="G4000" s="38" t="n">
        <f aca="false">Sens!$G$3932+Sens!$G$3999</f>
        <v>817.905975084504</v>
      </c>
      <c r="H4000" s="38" t="n">
        <f aca="false">Sens!$H$3932+Sens!$H$3999</f>
        <v>941.655788185406</v>
      </c>
      <c r="I4000" s="38" t="n">
        <f aca="false">Sens!$I$3932+Sens!$I$3999</f>
        <v>1066.58544703965</v>
      </c>
      <c r="J4000" s="38" t="n">
        <f aca="false">Sens!$J$3932+Sens!$J$3999</f>
        <v>1184.82265869629</v>
      </c>
      <c r="K4000" s="38" t="n">
        <f aca="false">Sens!$K$3932+Sens!$K$3999</f>
        <v>1286.65492794629</v>
      </c>
      <c r="L4000" s="38" t="n">
        <f aca="false">Sens!$L$3932+Sens!$L$3999</f>
        <v>1380.74714578606</v>
      </c>
      <c r="M4000" s="38" t="n">
        <f aca="false">Sens!$M$3932+Sens!$M$3999</f>
        <v>1467.37062173267</v>
      </c>
      <c r="N4000" s="38" t="n">
        <f aca="false">Q!$N$8</f>
        <v>323.369</v>
      </c>
      <c r="O4000" s="38" t="n">
        <f aca="false">Q!$O$8</f>
        <v>393.555</v>
      </c>
    </row>
    <row r="4001" customFormat="false" ht="17.15" hidden="false" customHeight="false" outlineLevel="0" collapsed="false">
      <c r="A4001" s="24" t="s">
        <v>697</v>
      </c>
      <c r="B4001" s="25" t="s">
        <v>86</v>
      </c>
      <c r="C4001" s="41" t="n">
        <f aca="false">Sens!$C$3932-(Sens!$C$3934+Sens!$C$3935)</f>
        <v>0</v>
      </c>
      <c r="D4001" s="41" t="n">
        <f aca="false">Sens!$D$3932-(Sens!$D$3934+Sens!$D$3935)</f>
        <v>0</v>
      </c>
      <c r="E4001" s="41" t="n">
        <f aca="false">Sens!$E$3932-(Sens!$E$3934+Sens!$E$3935)</f>
        <v>0</v>
      </c>
      <c r="F4001" s="41" t="n">
        <f aca="false">Sens!$F$3932-(Sens!$F$3934+Sens!$F$3935)</f>
        <v>0</v>
      </c>
      <c r="G4001" s="41" t="n">
        <f aca="false">Sens!$G$3932-(Sens!$G$3934+Sens!$G$3935)</f>
        <v>0</v>
      </c>
      <c r="H4001" s="41" t="n">
        <f aca="false">Sens!$H$3932-(Sens!$H$3934+Sens!$H$3935)</f>
        <v>0</v>
      </c>
      <c r="I4001" s="41" t="n">
        <f aca="false">Sens!$I$3932-(Sens!$I$3934+Sens!$I$3935)</f>
        <v>0</v>
      </c>
      <c r="J4001" s="41" t="n">
        <f aca="false">Sens!$J$3932-(Sens!$J$3934+Sens!$J$3935)</f>
        <v>0</v>
      </c>
      <c r="K4001" s="41" t="n">
        <f aca="false">Sens!$K$3932-(Sens!$K$3934+Sens!$K$3935)</f>
        <v>0</v>
      </c>
      <c r="L4001" s="41" t="n">
        <f aca="false">Sens!$L$3932-(Sens!$L$3934+Sens!$L$3935)</f>
        <v>0</v>
      </c>
      <c r="M4001" s="41" t="n">
        <f aca="false">Sens!$M$3932-(Sens!$M$3934+Sens!$M$3935)</f>
        <v>0</v>
      </c>
      <c r="N4001" s="41" t="n">
        <f aca="false">Sens!$N$3932-(Sens!$N$3934+Sens!$N$3935)</f>
        <v>0</v>
      </c>
      <c r="O4001" s="41" t="n">
        <f aca="false">Sens!$O$3932-(Sens!$O$3934+Sens!$O$3935)</f>
        <v>0</v>
      </c>
    </row>
    <row r="4002" customFormat="false" ht="17.15" hidden="false" customHeight="false" outlineLevel="0" collapsed="false">
      <c r="A4002" s="24" t="s">
        <v>698</v>
      </c>
      <c r="B4002" s="25" t="s">
        <v>86</v>
      </c>
      <c r="C4002" s="41" t="n">
        <f aca="false">Sens!$C$3997+Sens!$C$3998-Sens!$C$3999</f>
        <v>0</v>
      </c>
      <c r="D4002" s="41" t="n">
        <f aca="false">Sens!$D$3997+Sens!$D$3998-Sens!$D$3999</f>
        <v>0</v>
      </c>
      <c r="E4002" s="41" t="n">
        <f aca="false">Sens!$E$3997+Sens!$E$3998-Sens!$E$3999</f>
        <v>0</v>
      </c>
      <c r="F4002" s="41" t="n">
        <f aca="false">Sens!$F$3997+Sens!$F$3998-Sens!$F$3999</f>
        <v>0</v>
      </c>
      <c r="G4002" s="41" t="n">
        <f aca="false">Sens!$G$3997+Sens!$G$3998-Sens!$G$3999</f>
        <v>0</v>
      </c>
      <c r="H4002" s="41" t="n">
        <f aca="false">Sens!$H$3997+Sens!$H$3998-Sens!$H$3999</f>
        <v>0</v>
      </c>
      <c r="I4002" s="41" t="n">
        <f aca="false">Sens!$I$3997+Sens!$I$3998-Sens!$I$3999</f>
        <v>0</v>
      </c>
      <c r="J4002" s="41" t="n">
        <f aca="false">Sens!$J$3997+Sens!$J$3998-Sens!$J$3999</f>
        <v>0</v>
      </c>
      <c r="K4002" s="41" t="n">
        <f aca="false">Sens!$K$3997+Sens!$K$3998-Sens!$K$3999</f>
        <v>0</v>
      </c>
      <c r="L4002" s="41" t="n">
        <f aca="false">Sens!$L$3997+Sens!$L$3998-Sens!$L$3999</f>
        <v>0</v>
      </c>
      <c r="M4002" s="41" t="n">
        <f aca="false">Sens!$M$3997+Sens!$M$3998-Sens!$M$3999</f>
        <v>0</v>
      </c>
      <c r="N4002" s="41" t="n">
        <f aca="false">Sens!$N$3997+Sens!$N$3998-Sens!$N$3999</f>
        <v>0</v>
      </c>
      <c r="O4002" s="41" t="n">
        <f aca="false">Sens!$O$3997+Sens!$O$3998-Sens!$O$3999</f>
        <v>0</v>
      </c>
    </row>
    <row r="4003" customFormat="false" ht="17.15" hidden="false" customHeight="false" outlineLevel="0" collapsed="false">
      <c r="A4003" s="24" t="s">
        <v>699</v>
      </c>
      <c r="B4003" s="25" t="s">
        <v>86</v>
      </c>
      <c r="C4003" s="41" t="n">
        <f aca="false">Sens!$C$3934+Sens!$C$3935+Sens!$C$3999-Sens!$C$4000</f>
        <v>0</v>
      </c>
      <c r="D4003" s="41" t="n">
        <f aca="false">Sens!$D$3934+Sens!$D$3935+Sens!$D$3999-Sens!$D$4000</f>
        <v>0</v>
      </c>
      <c r="E4003" s="41" t="n">
        <f aca="false">Sens!$E$3934+Sens!$E$3935+Sens!$E$3999-Sens!$E$4000</f>
        <v>0</v>
      </c>
      <c r="F4003" s="41" t="n">
        <f aca="false">Sens!$F$3934+Sens!$F$3935+Sens!$F$3999-Sens!$F$4000</f>
        <v>0</v>
      </c>
      <c r="G4003" s="41" t="n">
        <f aca="false">Sens!$G$3934+Sens!$G$3935+Sens!$G$3999-Sens!$G$4000</f>
        <v>0</v>
      </c>
      <c r="H4003" s="41" t="n">
        <f aca="false">Sens!$H$3934+Sens!$H$3935+Sens!$H$3999-Sens!$H$4000</f>
        <v>0</v>
      </c>
      <c r="I4003" s="41" t="n">
        <f aca="false">Sens!$I$3934+Sens!$I$3935+Sens!$I$3999-Sens!$I$4000</f>
        <v>0</v>
      </c>
      <c r="J4003" s="41" t="n">
        <f aca="false">Sens!$J$3934+Sens!$J$3935+Sens!$J$3999-Sens!$J$4000</f>
        <v>0</v>
      </c>
      <c r="K4003" s="41" t="n">
        <f aca="false">Sens!$K$3934+Sens!$K$3935+Sens!$K$3999-Sens!$K$4000</f>
        <v>0</v>
      </c>
      <c r="L4003" s="41" t="n">
        <f aca="false">Sens!$L$3934+Sens!$L$3935+Sens!$L$3999-Sens!$L$4000</f>
        <v>0</v>
      </c>
      <c r="M4003" s="41" t="n">
        <f aca="false">Sens!$M$3934+Sens!$M$3935+Sens!$M$3999-Sens!$M$4000</f>
        <v>0</v>
      </c>
      <c r="N4003" s="41" t="n">
        <f aca="false">Sens!$N$3934+Sens!$N$3935+Sens!$N$3999-Sens!$N$4000</f>
        <v>0</v>
      </c>
      <c r="O4003" s="41" t="n">
        <f aca="false">Sens!$O$3934+Sens!$O$3935+Sens!$O$3999-Sens!$O$4000</f>
        <v>0</v>
      </c>
    </row>
    <row r="4004" customFormat="false" ht="15" hidden="false" customHeight="false" outlineLevel="0" collapsed="false">
      <c r="A4004" s="5" t="s">
        <v>693</v>
      </c>
      <c r="B4004" s="0" t="s">
        <v>52</v>
      </c>
      <c r="G4004" s="13" t="n">
        <f aca="false">Sens!$G$4000/Sens!$D$4000-1</f>
        <v>0.140854504918937</v>
      </c>
      <c r="H4004" s="13" t="n">
        <f aca="false">Sens!$H$4000/Sens!$G$4000-1</f>
        <v>0.151300781349734</v>
      </c>
      <c r="I4004" s="13" t="n">
        <f aca="false">Sens!$I$4000/Sens!$H$4000-1</f>
        <v>0.132670196925131</v>
      </c>
      <c r="J4004" s="13" t="n">
        <f aca="false">Sens!$J$4000/Sens!$I$4000-1</f>
        <v>0.110855826867704</v>
      </c>
      <c r="K4004" s="13" t="n">
        <f aca="false">Sens!$K$4000/Sens!$J$4000-1</f>
        <v>0.0859472668779371</v>
      </c>
      <c r="L4004" s="13" t="n">
        <f aca="false">Sens!$L$4000/Sens!$K$4000-1</f>
        <v>0.0731293338999275</v>
      </c>
      <c r="M4004" s="13" t="n">
        <f aca="false">Sens!$M$4000/Sens!$L$4000-1</f>
        <v>0.0627366684848667</v>
      </c>
    </row>
    <row r="4005" customFormat="false" ht="17.15" hidden="false" customHeight="false" outlineLevel="0" collapsed="false">
      <c r="A4005" s="0" t="s">
        <v>694</v>
      </c>
      <c r="B4005" s="0" t="s">
        <v>52</v>
      </c>
      <c r="C4005" s="13" t="n">
        <f aca="false">Sens!$C$3999/Sens!$C$4000</f>
        <v>0.168593906504964</v>
      </c>
      <c r="D4005" s="13" t="n">
        <f aca="false">Sens!$D$3999/Sens!$D$4000</f>
        <v>0.179551807444025</v>
      </c>
      <c r="E4005" s="13" t="n">
        <f aca="false">Sens!$E$3999/Sens!$E$4000</f>
        <v>0.208881910369643</v>
      </c>
      <c r="F4005" s="13" t="n">
        <f aca="false">Sens!$F$3999/Sens!$F$4000</f>
        <v>0.199028269699356</v>
      </c>
      <c r="G4005" s="13" t="n">
        <f aca="false">Sens!$G$3999/Sens!$G$4000</f>
        <v>0.203631882529968</v>
      </c>
      <c r="H4005" s="13" t="n">
        <f aca="false">Sens!$H$3999/Sens!$H$4000</f>
        <v>0.234887281110652</v>
      </c>
      <c r="I4005" s="13" t="n">
        <f aca="false">Sens!$I$3999/Sens!$I$4000</f>
        <v>0.262776376178579</v>
      </c>
      <c r="J4005" s="13" t="n">
        <f aca="false">Sens!$J$3999/Sens!$J$4000</f>
        <v>0.285950764623274</v>
      </c>
      <c r="K4005" s="13" t="n">
        <f aca="false">Sens!$K$3999/Sens!$K$4000</f>
        <v>0.303022739822775</v>
      </c>
      <c r="L4005" s="13" t="n">
        <f aca="false">Sens!$L$3999/Sens!$L$4000</f>
        <v>0.311484032896043</v>
      </c>
      <c r="M4005" s="13" t="n">
        <f aca="false">Sens!$M$3999/Sens!$M$4000</f>
        <v>0.313115329656271</v>
      </c>
      <c r="N4005" s="13" t="n">
        <f aca="false">Sens!$N$3999/Sens!$N$4000</f>
        <v>0.185979484737251</v>
      </c>
      <c r="O4005" s="13" t="n">
        <f aca="false">Sens!$O$3999/Sens!$O$4000</f>
        <v>0.174270432341096</v>
      </c>
    </row>
    <row r="4006" customFormat="false" ht="17.15" hidden="false" customHeight="false" outlineLevel="0" collapsed="false">
      <c r="A4006" s="0" t="s">
        <v>695</v>
      </c>
      <c r="B4006" s="0" t="s">
        <v>52</v>
      </c>
      <c r="C4006" s="13" t="n">
        <f aca="false">Sens!$C$3997/Sens!$C$3999</f>
        <v>0.0215795060896058</v>
      </c>
      <c r="D4006" s="13" t="n">
        <f aca="false">Sens!$D$3997/Sens!$D$3999</f>
        <v>0.0676152269462122</v>
      </c>
      <c r="E4006" s="13" t="n">
        <f aca="false">Sens!$E$3997/Sens!$E$3999</f>
        <v>0.106620641395783</v>
      </c>
      <c r="F4006" s="13" t="n">
        <f aca="false">Sens!$F$3997/Sens!$F$3999</f>
        <v>0.172523487401099</v>
      </c>
      <c r="G4006" s="13" t="n">
        <f aca="false">Sens!$G$3997/Sens!$G$3999</f>
        <v>0.140939911795589</v>
      </c>
      <c r="H4006" s="13" t="n">
        <f aca="false">Sens!$H$3997/Sens!$H$3999</f>
        <v>0.272018642937714</v>
      </c>
      <c r="I4006" s="13" t="n">
        <f aca="false">Sens!$I$3997/Sens!$I$3999</f>
        <v>0.362159512436497</v>
      </c>
      <c r="J4006" s="13" t="n">
        <f aca="false">Sens!$J$3997/Sens!$J$3999</f>
        <v>0.422151735934609</v>
      </c>
      <c r="K4006" s="13" t="n">
        <f aca="false">Sens!$K$3997/Sens!$K$3999</f>
        <v>0.45769342068485</v>
      </c>
      <c r="L4006" s="13" t="n">
        <f aca="false">Sens!$L$3997/Sens!$L$3999</f>
        <v>0.469047103913472</v>
      </c>
      <c r="M4006" s="13" t="n">
        <f aca="false">Sens!$M$3997/Sens!$M$3999</f>
        <v>0.463233328258093</v>
      </c>
      <c r="N4006" s="13" t="n">
        <f aca="false">Sens!$N$3997/Sens!$N$3999</f>
        <v>0.0506537999838362</v>
      </c>
      <c r="O4006" s="13" t="n">
        <f aca="false">Sens!$O$3997/Sens!$O$3999</f>
        <v>0.0824881615167056</v>
      </c>
    </row>
    <row r="4009" customFormat="false" ht="19.4" hidden="false" customHeight="false" outlineLevel="0" collapsed="false">
      <c r="A4009" s="31" t="s">
        <v>1209</v>
      </c>
    </row>
    <row r="4010" customFormat="false" ht="17.15" hidden="false" customHeight="false" outlineLevel="0" collapsed="false">
      <c r="A4010" s="6" t="s">
        <v>16</v>
      </c>
      <c r="B4010" s="6" t="s">
        <v>17</v>
      </c>
      <c r="C4010" s="20" t="s">
        <v>494</v>
      </c>
      <c r="D4010" s="20" t="s">
        <v>495</v>
      </c>
      <c r="E4010" s="20" t="s">
        <v>577</v>
      </c>
      <c r="F4010" s="20" t="s">
        <v>578</v>
      </c>
      <c r="G4010" s="20" t="s">
        <v>579</v>
      </c>
      <c r="H4010" s="20" t="s">
        <v>580</v>
      </c>
      <c r="I4010" s="20" t="s">
        <v>581</v>
      </c>
      <c r="J4010" s="20" t="s">
        <v>582</v>
      </c>
      <c r="K4010" s="20" t="s">
        <v>583</v>
      </c>
      <c r="L4010" s="20" t="s">
        <v>584</v>
      </c>
      <c r="M4010" s="20" t="s">
        <v>585</v>
      </c>
      <c r="N4010" s="20" t="s">
        <v>586</v>
      </c>
      <c r="O4010" s="20" t="s">
        <v>587</v>
      </c>
      <c r="P4010" s="6" t="s">
        <v>23</v>
      </c>
      <c r="R4010" s="20" t="n">
        <v>2023</v>
      </c>
      <c r="S4010" s="20" t="n">
        <v>2024</v>
      </c>
      <c r="T4010" s="20" t="n">
        <v>2025</v>
      </c>
      <c r="U4010" s="20" t="n">
        <v>2026</v>
      </c>
      <c r="V4010" s="20" t="n">
        <v>2027</v>
      </c>
      <c r="W4010" s="20" t="n">
        <v>2028</v>
      </c>
      <c r="X4010" s="20" t="n">
        <v>2029</v>
      </c>
      <c r="Y4010" s="20" t="n">
        <v>2030</v>
      </c>
      <c r="Z4010" s="20" t="n">
        <v>2031</v>
      </c>
      <c r="AA4010" s="20" t="n">
        <v>2032</v>
      </c>
    </row>
    <row r="4011" customFormat="false" ht="17.15" hidden="false" customHeight="false" outlineLevel="0" collapsed="false">
      <c r="A4011" s="1" t="s">
        <v>710</v>
      </c>
    </row>
    <row r="4012" customFormat="false" ht="15" hidden="false" customHeight="false" outlineLevel="0" collapsed="false">
      <c r="A4012" s="0" t="s">
        <v>516</v>
      </c>
      <c r="B4012" s="0" t="s">
        <v>86</v>
      </c>
      <c r="C4012" s="38" t="n">
        <f aca="false">Sens!$C$3919</f>
        <v>247.029</v>
      </c>
      <c r="D4012" s="38" t="n">
        <f aca="false">Sens!$D$3919</f>
        <v>269.287</v>
      </c>
      <c r="E4012" s="38" t="n">
        <f aca="false">Sens!$E$3919</f>
        <v>134.686</v>
      </c>
      <c r="F4012" s="38" t="n">
        <f aca="false">Sens!$F$3919</f>
        <v>158.293876822267</v>
      </c>
      <c r="G4012" s="38" t="n">
        <f aca="false">Sens!$G$3919</f>
        <v>292.979876822267</v>
      </c>
      <c r="H4012" s="38" t="n">
        <f aca="false">Sens!$H$3919</f>
        <v>318.184543087396</v>
      </c>
      <c r="I4012" s="38" t="n">
        <f aca="false">Sens!$I$3919</f>
        <v>341.736278761793</v>
      </c>
      <c r="J4012" s="38" t="n">
        <f aca="false">Sens!$J$3919</f>
        <v>362.927192787048</v>
      </c>
      <c r="K4012" s="38" t="n">
        <f aca="false">Sens!$K$3919</f>
        <v>381.0735524264</v>
      </c>
      <c r="L4012" s="38" t="n">
        <f aca="false">Sens!$L$3919</f>
        <v>400.12723004772</v>
      </c>
      <c r="M4012" s="38" t="n">
        <f aca="false">Sens!$M$3919</f>
        <v>420.133591550106</v>
      </c>
      <c r="N4012" s="38" t="n">
        <f aca="false">Sens!$N$3919</f>
        <v>118.892</v>
      </c>
      <c r="O4012" s="38" t="n">
        <f aca="false">Sens!$O$3919</f>
        <v>150.395</v>
      </c>
    </row>
    <row r="4013" customFormat="false" ht="15" hidden="false" customHeight="false" outlineLevel="0" collapsed="false">
      <c r="A4013" s="0" t="s">
        <v>517</v>
      </c>
      <c r="B4013" s="0" t="s">
        <v>86</v>
      </c>
      <c r="C4013" s="38" t="n">
        <f aca="false">Sens!$C$3921</f>
        <v>21.215</v>
      </c>
      <c r="D4013" s="38" t="n">
        <f aca="false">Sens!$D$3921</f>
        <v>22.561</v>
      </c>
      <c r="E4013" s="38" t="n">
        <f aca="false">Sens!$E$3921</f>
        <v>11.579</v>
      </c>
      <c r="F4013" s="38" t="n">
        <f aca="false">Sens!$F$3921</f>
        <v>11.5938724610325</v>
      </c>
      <c r="G4013" s="38" t="n">
        <f aca="false">Sens!$G$3921</f>
        <v>23.1728724610325</v>
      </c>
      <c r="H4013" s="38" t="n">
        <f aca="false">Sens!$H$3921</f>
        <v>24.353392759506</v>
      </c>
      <c r="I4013" s="38" t="n">
        <f aca="false">Sens!$I$3921</f>
        <v>25.4240338872015</v>
      </c>
      <c r="J4013" s="38" t="n">
        <f aca="false">Sens!$J$3921</f>
        <v>26.3642491017174</v>
      </c>
      <c r="K4013" s="38" t="n">
        <f aca="false">Sens!$K$3921</f>
        <v>27.155176574769</v>
      </c>
      <c r="L4013" s="38" t="n">
        <f aca="false">Sens!$L$3921</f>
        <v>27.969831872012</v>
      </c>
      <c r="M4013" s="38" t="n">
        <f aca="false">Sens!$M$3921</f>
        <v>28.8089268281724</v>
      </c>
      <c r="N4013" s="38" t="n">
        <f aca="false">Sens!$N$3921</f>
        <v>11.128</v>
      </c>
      <c r="O4013" s="38" t="n">
        <f aca="false">Sens!$O$3921</f>
        <v>11.433</v>
      </c>
    </row>
    <row r="4014" customFormat="false" ht="15" hidden="false" customHeight="false" outlineLevel="0" collapsed="false">
      <c r="A4014" s="0" t="s">
        <v>518</v>
      </c>
      <c r="B4014" s="0" t="s">
        <v>86</v>
      </c>
      <c r="C4014" s="38" t="n">
        <f aca="false">Sens!$C$3923</f>
        <v>156.146</v>
      </c>
      <c r="D4014" s="38" t="n">
        <f aca="false">Sens!$D$3923</f>
        <v>172.162</v>
      </c>
      <c r="E4014" s="38" t="n">
        <f aca="false">Sens!$E$3923</f>
        <v>88.358</v>
      </c>
      <c r="F4014" s="38" t="n">
        <f aca="false">Sens!$F$3923</f>
        <v>102.004388260171</v>
      </c>
      <c r="G4014" s="38" t="n">
        <f aca="false">Sens!$G$3923</f>
        <v>190.362388260171</v>
      </c>
      <c r="H4014" s="38" t="n">
        <f aca="false">Sens!$H$3923</f>
        <v>210.343106588311</v>
      </c>
      <c r="I4014" s="38" t="n">
        <f aca="false">Sens!$I$3923</f>
        <v>229.969728494648</v>
      </c>
      <c r="J4014" s="38" t="n">
        <f aca="false">Sens!$J$3923</f>
        <v>248.747636972598</v>
      </c>
      <c r="K4014" s="38" t="n">
        <f aca="false">Sens!$K$3923</f>
        <v>266.15997156068</v>
      </c>
      <c r="L4014" s="38" t="n">
        <f aca="false">Sens!$L$3923</f>
        <v>284.791169569927</v>
      </c>
      <c r="M4014" s="38" t="n">
        <f aca="false">Sens!$M$3923</f>
        <v>304.726551439822</v>
      </c>
      <c r="N4014" s="38" t="n">
        <f aca="false">Sens!$N$3923</f>
        <v>76.86</v>
      </c>
      <c r="O4014" s="38" t="n">
        <f aca="false">Sens!$O$3923</f>
        <v>95.302</v>
      </c>
    </row>
    <row r="4015" customFormat="false" ht="15" hidden="false" customHeight="false" outlineLevel="0" collapsed="false">
      <c r="A4015" s="0" t="s">
        <v>519</v>
      </c>
      <c r="B4015" s="0" t="s">
        <v>86</v>
      </c>
      <c r="C4015" s="38" t="n">
        <f aca="false">Sens!$C$3925</f>
        <v>56.214</v>
      </c>
      <c r="D4015" s="38" t="n">
        <f aca="false">Sens!$D$3925</f>
        <v>68.635</v>
      </c>
      <c r="E4015" s="38" t="n">
        <f aca="false">Sens!$E$3925</f>
        <v>37.052</v>
      </c>
      <c r="F4015" s="38" t="n">
        <f aca="false">Sens!$F$3925</f>
        <v>46.1572219944148</v>
      </c>
      <c r="G4015" s="38" t="n">
        <f aca="false">Sens!$G$3925</f>
        <v>83.2092219944148</v>
      </c>
      <c r="H4015" s="38" t="n">
        <f aca="false">Sens!$H$3925</f>
        <v>99.2728532229395</v>
      </c>
      <c r="I4015" s="38" t="n">
        <f aca="false">Sens!$I$3925</f>
        <v>114.365708324728</v>
      </c>
      <c r="J4015" s="38" t="n">
        <f aca="false">Sens!$J$3925</f>
        <v>127.062249699617</v>
      </c>
      <c r="K4015" s="38" t="n">
        <f aca="false">Sens!$K$3925</f>
        <v>135.95660717859</v>
      </c>
      <c r="L4015" s="38" t="n">
        <f aca="false">Sens!$L$3925</f>
        <v>145.473569681091</v>
      </c>
      <c r="M4015" s="38" t="n">
        <f aca="false">Sens!$M$3925</f>
        <v>155.656719558768</v>
      </c>
      <c r="N4015" s="38" t="n">
        <f aca="false">Sens!$N$3925</f>
        <v>29.615</v>
      </c>
      <c r="O4015" s="38" t="n">
        <f aca="false">Sens!$O$3925</f>
        <v>39.02</v>
      </c>
    </row>
    <row r="4016" customFormat="false" ht="15" hidden="false" customHeight="false" outlineLevel="0" collapsed="false">
      <c r="A4016" s="0" t="s">
        <v>520</v>
      </c>
      <c r="B4016" s="0" t="s">
        <v>86</v>
      </c>
      <c r="C4016" s="38" t="n">
        <f aca="false">Sens!$C$3927</f>
        <v>44.374</v>
      </c>
      <c r="D4016" s="38" t="n">
        <f aca="false">Sens!$D$3927</f>
        <v>49.619</v>
      </c>
      <c r="E4016" s="38" t="n">
        <f aca="false">Sens!$E$3927</f>
        <v>27.157</v>
      </c>
      <c r="F4016" s="38" t="n">
        <f aca="false">Sens!$F$3927</f>
        <v>27.7764165988154</v>
      </c>
      <c r="G4016" s="38" t="n">
        <f aca="false">Sens!$G$3927</f>
        <v>54.9334165988154</v>
      </c>
      <c r="H4016" s="38" t="n">
        <f aca="false">Sens!$H$3927</f>
        <v>61.1564112561829</v>
      </c>
      <c r="I4016" s="38" t="n">
        <f aca="false">Sens!$I$3927</f>
        <v>67.2020282103945</v>
      </c>
      <c r="J4016" s="38" t="n">
        <f aca="false">Sens!$J$3927</f>
        <v>72.8757274028885</v>
      </c>
      <c r="K4016" s="38" t="n">
        <f aca="false">Sens!$K$3927</f>
        <v>77.9770283210907</v>
      </c>
      <c r="L4016" s="38" t="n">
        <f aca="false">Sens!$L$3927</f>
        <v>83.4354203035671</v>
      </c>
      <c r="M4016" s="38" t="n">
        <f aca="false">Sens!$M$3927</f>
        <v>89.2758997248168</v>
      </c>
      <c r="N4016" s="38" t="n">
        <f aca="false">Sens!$N$3927</f>
        <v>23.923</v>
      </c>
      <c r="O4016" s="38" t="n">
        <f aca="false">Sens!$O$3927</f>
        <v>25.696</v>
      </c>
    </row>
    <row r="4017" customFormat="false" ht="15" hidden="false" customHeight="false" outlineLevel="0" collapsed="false">
      <c r="A4017" s="0" t="s">
        <v>521</v>
      </c>
      <c r="B4017" s="0" t="s">
        <v>86</v>
      </c>
      <c r="C4017" s="38" t="n">
        <f aca="false">Sens!$C$3929</f>
        <v>5.425</v>
      </c>
      <c r="D4017" s="38" t="n">
        <f aca="false">Sens!$D$3929</f>
        <v>5.935</v>
      </c>
      <c r="E4017" s="38" t="n">
        <f aca="false">Sens!$E$3929</f>
        <v>3.474</v>
      </c>
      <c r="F4017" s="38" t="n">
        <f aca="false">Sens!$F$3929</f>
        <v>3.22246550883619</v>
      </c>
      <c r="G4017" s="38" t="n">
        <f aca="false">Sens!$G$3929</f>
        <v>6.69646550883619</v>
      </c>
      <c r="H4017" s="38" t="n">
        <f aca="false">Sens!$H$3929</f>
        <v>7.16251344209196</v>
      </c>
      <c r="I4017" s="38" t="n">
        <f aca="false">Sens!$I$3929</f>
        <v>7.61421070299826</v>
      </c>
      <c r="J4017" s="38" t="n">
        <f aca="false">Sens!$J$3929</f>
        <v>8.04465753523932</v>
      </c>
      <c r="K4017" s="38" t="n">
        <f aca="false">Sens!$K$3929</f>
        <v>8.44689041200128</v>
      </c>
      <c r="L4017" s="38" t="n">
        <f aca="false">Sens!$L$3929</f>
        <v>8.86923493260135</v>
      </c>
      <c r="M4017" s="38" t="n">
        <f aca="false">Sens!$M$3929</f>
        <v>9.31269667923142</v>
      </c>
      <c r="N4017" s="38" t="n">
        <f aca="false">Sens!$N$3929</f>
        <v>2.811</v>
      </c>
      <c r="O4017" s="38" t="n">
        <f aca="false">Sens!$O$3929</f>
        <v>3.124</v>
      </c>
    </row>
    <row r="4018" customFormat="false" ht="17.15" hidden="false" customHeight="false" outlineLevel="0" collapsed="false">
      <c r="A4018" s="0" t="s">
        <v>711</v>
      </c>
      <c r="B4018" s="0" t="s">
        <v>86</v>
      </c>
      <c r="C4018" s="38" t="n">
        <f aca="false">Sens!$C$3999</f>
        <v>107.556</v>
      </c>
      <c r="D4018" s="38" t="n">
        <f aca="false">Sens!$D$3999</f>
        <v>128.725</v>
      </c>
      <c r="E4018" s="38" t="n">
        <f aca="false">Sens!$E$3999</f>
        <v>79.819</v>
      </c>
      <c r="F4018" s="38" t="n">
        <f aca="false">Sens!$F$3999</f>
        <v>86.7327334389669</v>
      </c>
      <c r="G4018" s="38" t="n">
        <f aca="false">Sens!$G$3999</f>
        <v>166.551733438967</v>
      </c>
      <c r="H4018" s="38" t="n">
        <f aca="false">Sens!$H$3999</f>
        <v>221.182967828978</v>
      </c>
      <c r="I4018" s="38" t="n">
        <f aca="false">Sens!$I$3999</f>
        <v>280.27345865789</v>
      </c>
      <c r="J4018" s="38" t="n">
        <f aca="false">Sens!$J$3999</f>
        <v>338.800945197185</v>
      </c>
      <c r="K4018" s="38" t="n">
        <f aca="false">Sens!$K$3999</f>
        <v>389.88570147276</v>
      </c>
      <c r="L4018" s="38" t="n">
        <f aca="false">Sens!$L$3999</f>
        <v>430.080689379143</v>
      </c>
      <c r="M4018" s="38" t="n">
        <f aca="false">Sens!$M$3999</f>
        <v>459.456235951751</v>
      </c>
      <c r="N4018" s="38" t="n">
        <f aca="false">Sens!$N$3999</f>
        <v>60.14</v>
      </c>
      <c r="O4018" s="38" t="n">
        <f aca="false">Sens!$O$3999</f>
        <v>68.585</v>
      </c>
    </row>
    <row r="4019" customFormat="false" ht="15" hidden="false" customHeight="false" outlineLevel="0" collapsed="false">
      <c r="A4019" s="1" t="s">
        <v>509</v>
      </c>
      <c r="B4019" s="8" t="s">
        <v>86</v>
      </c>
      <c r="C4019" s="38" t="n">
        <f aca="false">Sens!$C$3934</f>
        <v>387.497</v>
      </c>
      <c r="D4019" s="38" t="n">
        <f aca="false">Sens!$D$3934</f>
        <v>426.305</v>
      </c>
      <c r="E4019" s="38" t="n">
        <f aca="false">Sens!$E$3934</f>
        <v>220.32</v>
      </c>
      <c r="F4019" s="38" t="n">
        <f aca="false">Sens!$F$3934</f>
        <v>250.639773480586</v>
      </c>
      <c r="G4019" s="38" t="n">
        <f aca="false">Sens!$G$3934</f>
        <v>470.959773480586</v>
      </c>
      <c r="H4019" s="38" t="n">
        <f aca="false">Sens!$H$3934</f>
        <v>520.935759037606</v>
      </c>
      <c r="I4019" s="38" t="n">
        <f aca="false">Sens!$I$3934</f>
        <v>568.540576319561</v>
      </c>
      <c r="J4019" s="38" t="n">
        <f aca="false">Sens!$J$3934</f>
        <v>611.713517889435</v>
      </c>
      <c r="K4019" s="38" t="n">
        <f aca="false">Sens!$K$3934</f>
        <v>648.406358262683</v>
      </c>
      <c r="L4019" s="38" t="n">
        <f aca="false">Sens!$L$3934</f>
        <v>687.37659224248</v>
      </c>
      <c r="M4019" s="38" t="n">
        <f aca="false">Sens!$M$3934</f>
        <v>728.769539622536</v>
      </c>
      <c r="N4019" s="38" t="n">
        <f aca="false">Sens!$N$3934</f>
        <v>192.955</v>
      </c>
      <c r="O4019" s="38" t="n">
        <f aca="false">Sens!$O$3934</f>
        <v>233.35</v>
      </c>
    </row>
    <row r="4020" customFormat="false" ht="15" hidden="false" customHeight="false" outlineLevel="0" collapsed="false">
      <c r="A4020" s="1" t="s">
        <v>512</v>
      </c>
      <c r="B4020" s="8" t="s">
        <v>86</v>
      </c>
      <c r="C4020" s="38" t="n">
        <f aca="false">Sens!$C$3935</f>
        <v>142.906</v>
      </c>
      <c r="D4020" s="38" t="n">
        <f aca="false">Sens!$D$3935</f>
        <v>161.894</v>
      </c>
      <c r="E4020" s="38" t="n">
        <f aca="false">Sens!$E$3935</f>
        <v>81.986</v>
      </c>
      <c r="F4020" s="38" t="n">
        <f aca="false">Sens!$F$3935</f>
        <v>98.408468164951</v>
      </c>
      <c r="G4020" s="38" t="n">
        <f aca="false">Sens!$G$3935</f>
        <v>180.394468164951</v>
      </c>
      <c r="H4020" s="38" t="n">
        <f aca="false">Sens!$H$3935</f>
        <v>199.537061318822</v>
      </c>
      <c r="I4020" s="38" t="n">
        <f aca="false">Sens!$I$3935</f>
        <v>217.771412062202</v>
      </c>
      <c r="J4020" s="38" t="n">
        <f aca="false">Sens!$J$3935</f>
        <v>234.308195609672</v>
      </c>
      <c r="K4020" s="38" t="n">
        <f aca="false">Sens!$K$3935</f>
        <v>248.362868210848</v>
      </c>
      <c r="L4020" s="38" t="n">
        <f aca="false">Sens!$L$3935</f>
        <v>263.289864164439</v>
      </c>
      <c r="M4020" s="38" t="n">
        <f aca="false">Sens!$M$3935</f>
        <v>279.14484615838</v>
      </c>
      <c r="N4020" s="38" t="n">
        <f aca="false">Sens!$N$3935</f>
        <v>70.274</v>
      </c>
      <c r="O4020" s="38" t="n">
        <f aca="false">Sens!$O$3935</f>
        <v>91.62</v>
      </c>
    </row>
    <row r="4021" customFormat="false" ht="15" hidden="false" customHeight="false" outlineLevel="0" collapsed="false">
      <c r="A4021" s="1" t="s">
        <v>513</v>
      </c>
      <c r="B4021" s="8" t="s">
        <v>86</v>
      </c>
      <c r="C4021" s="38" t="n">
        <f aca="false">Sens!$C$3999</f>
        <v>107.556</v>
      </c>
      <c r="D4021" s="38" t="n">
        <f aca="false">Sens!$D$3999</f>
        <v>128.725</v>
      </c>
      <c r="E4021" s="38" t="n">
        <f aca="false">Sens!$E$3999</f>
        <v>79.819</v>
      </c>
      <c r="F4021" s="38" t="n">
        <f aca="false">Sens!$F$3999</f>
        <v>86.7327334389669</v>
      </c>
      <c r="G4021" s="38" t="n">
        <f aca="false">Sens!$G$3999</f>
        <v>166.551733438967</v>
      </c>
      <c r="H4021" s="38" t="n">
        <f aca="false">Sens!$H$3999</f>
        <v>221.182967828978</v>
      </c>
      <c r="I4021" s="38" t="n">
        <f aca="false">Sens!$I$3999</f>
        <v>280.27345865789</v>
      </c>
      <c r="J4021" s="38" t="n">
        <f aca="false">Sens!$J$3999</f>
        <v>338.800945197185</v>
      </c>
      <c r="K4021" s="38" t="n">
        <f aca="false">Sens!$K$3999</f>
        <v>389.88570147276</v>
      </c>
      <c r="L4021" s="38" t="n">
        <f aca="false">Sens!$L$3999</f>
        <v>430.080689379143</v>
      </c>
      <c r="M4021" s="38" t="n">
        <f aca="false">Sens!$M$3999</f>
        <v>459.456235951751</v>
      </c>
      <c r="N4021" s="38" t="n">
        <f aca="false">Sens!$N$3999</f>
        <v>60.14</v>
      </c>
      <c r="O4021" s="38" t="n">
        <f aca="false">Sens!$O$3999</f>
        <v>68.585</v>
      </c>
    </row>
    <row r="4022" customFormat="false" ht="17.15" hidden="false" customHeight="false" outlineLevel="0" collapsed="false">
      <c r="A4022" s="0" t="s">
        <v>685</v>
      </c>
      <c r="B4022" s="0" t="s">
        <v>86</v>
      </c>
      <c r="C4022" s="38" t="n">
        <f aca="false">Sens!$C$3997</f>
        <v>2.32100535697364</v>
      </c>
      <c r="D4022" s="38" t="n">
        <f aca="false">Sens!$D$3997</f>
        <v>8.70377008865116</v>
      </c>
      <c r="E4022" s="38" t="n">
        <f aca="false">Sens!$E$3997</f>
        <v>8.51035297557002</v>
      </c>
      <c r="F4022" s="38" t="n">
        <f aca="false">Sens!$F$3997</f>
        <v>14.9634336447205</v>
      </c>
      <c r="G4022" s="38" t="n">
        <f aca="false">Sens!$G$3997</f>
        <v>23.4737866202905</v>
      </c>
      <c r="H4022" s="38" t="n">
        <f aca="false">Sens!$H$3997</f>
        <v>60.1658907497746</v>
      </c>
      <c r="I4022" s="38" t="n">
        <f aca="false">Sens!$I$3997</f>
        <v>101.503699136432</v>
      </c>
      <c r="J4022" s="38" t="n">
        <f aca="false">Sens!$J$3997</f>
        <v>143.025407151278</v>
      </c>
      <c r="K4022" s="38" t="n">
        <f aca="false">Sens!$K$3997</f>
        <v>178.44812038318</v>
      </c>
      <c r="L4022" s="38" t="n">
        <f aca="false">Sens!$L$3997</f>
        <v>201.728101802396</v>
      </c>
      <c r="M4022" s="38" t="n">
        <f aca="false">Sens!$M$3997</f>
        <v>212.835441368865</v>
      </c>
      <c r="N4022" s="38" t="n">
        <f aca="false">Sens!$N$3997</f>
        <v>3.04631953102791</v>
      </c>
      <c r="O4022" s="38" t="n">
        <f aca="false">Sens!$O$3997</f>
        <v>5.65745055762326</v>
      </c>
    </row>
    <row r="4023" customFormat="false" ht="17.15" hidden="false" customHeight="false" outlineLevel="0" collapsed="false">
      <c r="A4023" s="0" t="s">
        <v>687</v>
      </c>
      <c r="B4023" s="0" t="s">
        <v>86</v>
      </c>
      <c r="C4023" s="38" t="n">
        <f aca="false">Sens!$C$3998</f>
        <v>105.234994643026</v>
      </c>
      <c r="D4023" s="38" t="n">
        <f aca="false">Sens!$D$3998</f>
        <v>120.021229911349</v>
      </c>
      <c r="E4023" s="38" t="n">
        <f aca="false">Sens!$E$3998</f>
        <v>71.30864702443</v>
      </c>
      <c r="F4023" s="38" t="n">
        <f aca="false">Sens!$F$3998</f>
        <v>71.7692997942464</v>
      </c>
      <c r="G4023" s="38" t="n">
        <f aca="false">Sens!$G$3998</f>
        <v>143.077946818676</v>
      </c>
      <c r="H4023" s="38" t="n">
        <f aca="false">Sens!$H$3998</f>
        <v>161.017077079203</v>
      </c>
      <c r="I4023" s="38" t="n">
        <f aca="false">Sens!$I$3998</f>
        <v>178.769759521457</v>
      </c>
      <c r="J4023" s="38" t="n">
        <f aca="false">Sens!$J$3998</f>
        <v>195.775538045907</v>
      </c>
      <c r="K4023" s="38" t="n">
        <f aca="false">Sens!$K$3998</f>
        <v>211.43758108958</v>
      </c>
      <c r="L4023" s="38" t="n">
        <f aca="false">Sens!$L$3998</f>
        <v>228.352587576746</v>
      </c>
      <c r="M4023" s="38" t="n">
        <f aca="false">Sens!$M$3998</f>
        <v>246.620794582886</v>
      </c>
      <c r="N4023" s="38" t="n">
        <f aca="false">Sens!$N$3998</f>
        <v>57.0936804689721</v>
      </c>
      <c r="O4023" s="38" t="n">
        <f aca="false">Sens!$O$3998</f>
        <v>62.9275494423768</v>
      </c>
    </row>
    <row r="4024" customFormat="false" ht="15" hidden="false" customHeight="false" outlineLevel="0" collapsed="false">
      <c r="A4024" s="3" t="s">
        <v>514</v>
      </c>
      <c r="B4024" s="8" t="s">
        <v>86</v>
      </c>
      <c r="C4024" s="38" t="n">
        <f aca="false">Sens!$C$4000</f>
        <v>637.959</v>
      </c>
      <c r="D4024" s="38" t="n">
        <f aca="false">Sens!$D$4000</f>
        <v>716.924</v>
      </c>
      <c r="E4024" s="38" t="n">
        <f aca="false">Sens!$E$4000</f>
        <v>382.125</v>
      </c>
      <c r="F4024" s="38" t="n">
        <f aca="false">Sens!$F$4000</f>
        <v>435.780975084504</v>
      </c>
      <c r="G4024" s="38" t="n">
        <f aca="false">Sens!$G$4000</f>
        <v>817.905975084504</v>
      </c>
      <c r="H4024" s="38" t="n">
        <f aca="false">Sens!$H$4000</f>
        <v>941.655788185406</v>
      </c>
      <c r="I4024" s="38" t="n">
        <f aca="false">Sens!$I$4000</f>
        <v>1066.58544703965</v>
      </c>
      <c r="J4024" s="38" t="n">
        <f aca="false">Sens!$J$4000</f>
        <v>1184.82265869629</v>
      </c>
      <c r="K4024" s="38" t="n">
        <f aca="false">Sens!$K$4000</f>
        <v>1286.65492794629</v>
      </c>
      <c r="L4024" s="38" t="n">
        <f aca="false">Sens!$L$4000</f>
        <v>1380.74714578606</v>
      </c>
      <c r="M4024" s="38" t="n">
        <f aca="false">Sens!$M$4000</f>
        <v>1467.37062173267</v>
      </c>
      <c r="N4024" s="38" t="n">
        <f aca="false">Sens!$N$4000</f>
        <v>323.369</v>
      </c>
      <c r="O4024" s="38" t="n">
        <f aca="false">Sens!$O$4000</f>
        <v>393.555</v>
      </c>
    </row>
    <row r="4025" customFormat="false" ht="17.15" hidden="false" customHeight="false" outlineLevel="0" collapsed="false">
      <c r="A4025" s="24" t="s">
        <v>697</v>
      </c>
      <c r="B4025" s="25" t="s">
        <v>86</v>
      </c>
      <c r="C4025" s="41" t="n">
        <f aca="false">Sens!$C$4012+Sens!$C$4013+Sens!$C$4014+Sens!$C$4015+Sens!$C$4016+Sens!$C$4017-(Sens!$C$4019+Sens!$C$4020)</f>
        <v>0</v>
      </c>
      <c r="D4025" s="41" t="n">
        <f aca="false">Sens!$D$4012+Sens!$D$4013+Sens!$D$4014+Sens!$D$4015+Sens!$D$4016+Sens!$D$4017-(Sens!$D$4019+Sens!$D$4020)</f>
        <v>0</v>
      </c>
      <c r="E4025" s="41" t="n">
        <f aca="false">Sens!$E$4012+Sens!$E$4013+Sens!$E$4014+Sens!$E$4015+Sens!$E$4016+Sens!$E$4017-(Sens!$E$4019+Sens!$E$4020)</f>
        <v>0</v>
      </c>
      <c r="F4025" s="41" t="n">
        <f aca="false">Sens!$F$4012+Sens!$F$4013+Sens!$F$4014+Sens!$F$4015+Sens!$F$4016+Sens!$F$4017-(Sens!$F$4019+Sens!$F$4020)</f>
        <v>0</v>
      </c>
      <c r="G4025" s="41" t="n">
        <f aca="false">Sens!$G$4012+Sens!$G$4013+Sens!$G$4014+Sens!$G$4015+Sens!$G$4016+Sens!$G$4017-(Sens!$G$4019+Sens!$G$4020)</f>
        <v>0</v>
      </c>
      <c r="H4025" s="41" t="n">
        <f aca="false">Sens!$H$4012+Sens!$H$4013+Sens!$H$4014+Sens!$H$4015+Sens!$H$4016+Sens!$H$4017-(Sens!$H$4019+Sens!$H$4020)</f>
        <v>0</v>
      </c>
      <c r="I4025" s="41" t="n">
        <f aca="false">Sens!$I$4012+Sens!$I$4013+Sens!$I$4014+Sens!$I$4015+Sens!$I$4016+Sens!$I$4017-(Sens!$I$4019+Sens!$I$4020)</f>
        <v>0</v>
      </c>
      <c r="J4025" s="41" t="n">
        <f aca="false">Sens!$J$4012+Sens!$J$4013+Sens!$J$4014+Sens!$J$4015+Sens!$J$4016+Sens!$J$4017-(Sens!$J$4019+Sens!$J$4020)</f>
        <v>0</v>
      </c>
      <c r="K4025" s="41" t="n">
        <f aca="false">Sens!$K$4012+Sens!$K$4013+Sens!$K$4014+Sens!$K$4015+Sens!$K$4016+Sens!$K$4017-(Sens!$K$4019+Sens!$K$4020)</f>
        <v>0</v>
      </c>
      <c r="L4025" s="41" t="n">
        <f aca="false">Sens!$L$4012+Sens!$L$4013+Sens!$L$4014+Sens!$L$4015+Sens!$L$4016+Sens!$L$4017-(Sens!$L$4019+Sens!$L$4020)</f>
        <v>0</v>
      </c>
      <c r="M4025" s="41" t="n">
        <f aca="false">Sens!$M$4012+Sens!$M$4013+Sens!$M$4014+Sens!$M$4015+Sens!$M$4016+Sens!$M$4017-(Sens!$M$4019+Sens!$M$4020)</f>
        <v>0</v>
      </c>
      <c r="N4025" s="41" t="n">
        <f aca="false">Sens!$N$4012+Sens!$N$4013+Sens!$N$4014+Sens!$N$4015+Sens!$N$4016+Sens!$N$4017-(Sens!$N$4019+Sens!$N$4020)</f>
        <v>0</v>
      </c>
      <c r="O4025" s="41" t="n">
        <f aca="false">Sens!$O$4012+Sens!$O$4013+Sens!$O$4014+Sens!$O$4015+Sens!$O$4016+Sens!$O$4017-(Sens!$O$4019+Sens!$O$4020)</f>
        <v>0</v>
      </c>
    </row>
    <row r="4026" customFormat="false" ht="17.15" hidden="false" customHeight="false" outlineLevel="0" collapsed="false">
      <c r="A4026" s="24" t="s">
        <v>698</v>
      </c>
      <c r="B4026" s="25" t="s">
        <v>86</v>
      </c>
      <c r="C4026" s="41" t="n">
        <f aca="false">Sens!$C$4022+Sens!$C$4023-Sens!$C$4021</f>
        <v>0</v>
      </c>
      <c r="D4026" s="41" t="n">
        <f aca="false">Sens!$D$4022+Sens!$D$4023-Sens!$D$4021</f>
        <v>0</v>
      </c>
      <c r="E4026" s="41" t="n">
        <f aca="false">Sens!$E$4022+Sens!$E$4023-Sens!$E$4021</f>
        <v>0</v>
      </c>
      <c r="F4026" s="41" t="n">
        <f aca="false">Sens!$F$4022+Sens!$F$4023-Sens!$F$4021</f>
        <v>0</v>
      </c>
      <c r="G4026" s="41" t="n">
        <f aca="false">Sens!$G$4022+Sens!$G$4023-Sens!$G$4021</f>
        <v>0</v>
      </c>
      <c r="H4026" s="41" t="n">
        <f aca="false">Sens!$H$4022+Sens!$H$4023-Sens!$H$4021</f>
        <v>0</v>
      </c>
      <c r="I4026" s="41" t="n">
        <f aca="false">Sens!$I$4022+Sens!$I$4023-Sens!$I$4021</f>
        <v>0</v>
      </c>
      <c r="J4026" s="41" t="n">
        <f aca="false">Sens!$J$4022+Sens!$J$4023-Sens!$J$4021</f>
        <v>0</v>
      </c>
      <c r="K4026" s="41" t="n">
        <f aca="false">Sens!$K$4022+Sens!$K$4023-Sens!$K$4021</f>
        <v>0</v>
      </c>
      <c r="L4026" s="41" t="n">
        <f aca="false">Sens!$L$4022+Sens!$L$4023-Sens!$L$4021</f>
        <v>0</v>
      </c>
      <c r="M4026" s="41" t="n">
        <f aca="false">Sens!$M$4022+Sens!$M$4023-Sens!$M$4021</f>
        <v>0</v>
      </c>
      <c r="N4026" s="41" t="n">
        <f aca="false">Sens!$N$4022+Sens!$N$4023-Sens!$N$4021</f>
        <v>0</v>
      </c>
      <c r="O4026" s="41" t="n">
        <f aca="false">Sens!$O$4022+Sens!$O$4023-Sens!$O$4021</f>
        <v>0</v>
      </c>
    </row>
    <row r="4027" customFormat="false" ht="17.15" hidden="false" customHeight="false" outlineLevel="0" collapsed="false">
      <c r="A4027" s="24" t="s">
        <v>757</v>
      </c>
      <c r="B4027" s="25" t="s">
        <v>86</v>
      </c>
      <c r="C4027" s="41" t="n">
        <f aca="false">Sens!$C$4012+Sens!$C$4013+Sens!$C$4014+Sens!$C$4015+Sens!$C$4016+Sens!$C$4017+Sens!$C$4018-Sens!$C$4024</f>
        <v>0</v>
      </c>
      <c r="D4027" s="41" t="n">
        <f aca="false">Sens!$D$4012+Sens!$D$4013+Sens!$D$4014+Sens!$D$4015+Sens!$D$4016+Sens!$D$4017+Sens!$D$4018-Sens!$D$4024</f>
        <v>0</v>
      </c>
      <c r="E4027" s="41" t="n">
        <f aca="false">Sens!$E$4012+Sens!$E$4013+Sens!$E$4014+Sens!$E$4015+Sens!$E$4016+Sens!$E$4017+Sens!$E$4018-Sens!$E$4024</f>
        <v>0</v>
      </c>
      <c r="F4027" s="41" t="n">
        <f aca="false">Sens!$F$4012+Sens!$F$4013+Sens!$F$4014+Sens!$F$4015+Sens!$F$4016+Sens!$F$4017+Sens!$F$4018-Sens!$F$4024</f>
        <v>0</v>
      </c>
      <c r="G4027" s="41" t="n">
        <f aca="false">Sens!$G$4012+Sens!$G$4013+Sens!$G$4014+Sens!$G$4015+Sens!$G$4016+Sens!$G$4017+Sens!$G$4018-Sens!$G$4024</f>
        <v>0</v>
      </c>
      <c r="H4027" s="41" t="n">
        <f aca="false">Sens!$H$4012+Sens!$H$4013+Sens!$H$4014+Sens!$H$4015+Sens!$H$4016+Sens!$H$4017+Sens!$H$4018-Sens!$H$4024</f>
        <v>0</v>
      </c>
      <c r="I4027" s="41" t="n">
        <f aca="false">Sens!$I$4012+Sens!$I$4013+Sens!$I$4014+Sens!$I$4015+Sens!$I$4016+Sens!$I$4017+Sens!$I$4018-Sens!$I$4024</f>
        <v>0</v>
      </c>
      <c r="J4027" s="41" t="n">
        <f aca="false">Sens!$J$4012+Sens!$J$4013+Sens!$J$4014+Sens!$J$4015+Sens!$J$4016+Sens!$J$4017+Sens!$J$4018-Sens!$J$4024</f>
        <v>0</v>
      </c>
      <c r="K4027" s="41" t="n">
        <f aca="false">Sens!$K$4012+Sens!$K$4013+Sens!$K$4014+Sens!$K$4015+Sens!$K$4016+Sens!$K$4017+Sens!$K$4018-Sens!$K$4024</f>
        <v>0</v>
      </c>
      <c r="L4027" s="41" t="n">
        <f aca="false">Sens!$L$4012+Sens!$L$4013+Sens!$L$4014+Sens!$L$4015+Sens!$L$4016+Sens!$L$4017+Sens!$L$4018-Sens!$L$4024</f>
        <v>0</v>
      </c>
      <c r="M4027" s="41" t="n">
        <f aca="false">Sens!$M$4012+Sens!$M$4013+Sens!$M$4014+Sens!$M$4015+Sens!$M$4016+Sens!$M$4017+Sens!$M$4018-Sens!$M$4024</f>
        <v>0</v>
      </c>
      <c r="N4027" s="41" t="n">
        <f aca="false">Sens!$N$4012+Sens!$N$4013+Sens!$N$4014+Sens!$N$4015+Sens!$N$4016+Sens!$N$4017+Sens!$N$4018-Sens!$N$4024</f>
        <v>0</v>
      </c>
      <c r="O4027" s="41" t="n">
        <f aca="false">Sens!$O$4012+Sens!$O$4013+Sens!$O$4014+Sens!$O$4015+Sens!$O$4016+Sens!$O$4017+Sens!$O$4018-Sens!$O$4024</f>
        <v>0</v>
      </c>
    </row>
    <row r="4028" customFormat="false" ht="17.15" hidden="false" customHeight="false" outlineLevel="0" collapsed="false">
      <c r="A4028" s="24" t="s">
        <v>699</v>
      </c>
      <c r="B4028" s="25" t="s">
        <v>86</v>
      </c>
      <c r="C4028" s="41" t="n">
        <f aca="false">Sens!$C$4019+Sens!$C$4020+Sens!$C$4021-Sens!$C$4024</f>
        <v>0</v>
      </c>
      <c r="D4028" s="41" t="n">
        <f aca="false">Sens!$D$4019+Sens!$D$4020+Sens!$D$4021-Sens!$D$4024</f>
        <v>0</v>
      </c>
      <c r="E4028" s="41" t="n">
        <f aca="false">Sens!$E$4019+Sens!$E$4020+Sens!$E$4021-Sens!$E$4024</f>
        <v>0</v>
      </c>
      <c r="F4028" s="41" t="n">
        <f aca="false">Sens!$F$4019+Sens!$F$4020+Sens!$F$4021-Sens!$F$4024</f>
        <v>0</v>
      </c>
      <c r="G4028" s="41" t="n">
        <f aca="false">Sens!$G$4019+Sens!$G$4020+Sens!$G$4021-Sens!$G$4024</f>
        <v>0</v>
      </c>
      <c r="H4028" s="41" t="n">
        <f aca="false">Sens!$H$4019+Sens!$H$4020+Sens!$H$4021-Sens!$H$4024</f>
        <v>0</v>
      </c>
      <c r="I4028" s="41" t="n">
        <f aca="false">Sens!$I$4019+Sens!$I$4020+Sens!$I$4021-Sens!$I$4024</f>
        <v>0</v>
      </c>
      <c r="J4028" s="41" t="n">
        <f aca="false">Sens!$J$4019+Sens!$J$4020+Sens!$J$4021-Sens!$J$4024</f>
        <v>0</v>
      </c>
      <c r="K4028" s="41" t="n">
        <f aca="false">Sens!$K$4019+Sens!$K$4020+Sens!$K$4021-Sens!$K$4024</f>
        <v>0</v>
      </c>
      <c r="L4028" s="41" t="n">
        <f aca="false">Sens!$L$4019+Sens!$L$4020+Sens!$L$4021-Sens!$L$4024</f>
        <v>0</v>
      </c>
      <c r="M4028" s="41" t="n">
        <f aca="false">Sens!$M$4019+Sens!$M$4020+Sens!$M$4021-Sens!$M$4024</f>
        <v>0</v>
      </c>
      <c r="N4028" s="41" t="n">
        <f aca="false">Sens!$N$4019+Sens!$N$4020+Sens!$N$4021-Sens!$N$4024</f>
        <v>0</v>
      </c>
      <c r="O4028" s="41" t="n">
        <f aca="false">Sens!$O$4019+Sens!$O$4020+Sens!$O$4021-Sens!$O$4024</f>
        <v>0</v>
      </c>
    </row>
    <row r="4029" customFormat="false" ht="17.15" hidden="false" customHeight="false" outlineLevel="0" collapsed="false">
      <c r="A4029" s="1" t="s">
        <v>713</v>
      </c>
    </row>
    <row r="4030" customFormat="false" ht="17.15" hidden="false" customHeight="false" outlineLevel="0" collapsed="false">
      <c r="A4030" s="0" t="s">
        <v>714</v>
      </c>
      <c r="B4030" s="0" t="s">
        <v>86</v>
      </c>
      <c r="C4030" s="38" t="n">
        <f aca="false">Sens!$C$3936*m_ad</f>
        <v>20.5341564414228</v>
      </c>
      <c r="D4030" s="38" t="n">
        <f aca="false">Sens!$D$3936*m_ad</f>
        <v>24.8720617299587</v>
      </c>
      <c r="E4030" s="38" t="n">
        <f aca="false">Sens!$E$3936*m_ad</f>
        <v>13.5017112462207</v>
      </c>
      <c r="F4030" s="38" t="n">
        <f aca="false">Sens!$F$3936*m_ad</f>
        <v>16.5719724165257</v>
      </c>
      <c r="G4030" s="38" t="n">
        <f aca="false">Sens!$G$3936*m_ad</f>
        <v>30.0820919220415</v>
      </c>
      <c r="H4030" s="38" t="n">
        <f aca="false">Sens!$H$3936*m_ad</f>
        <v>35.8894726382161</v>
      </c>
      <c r="I4030" s="38" t="n">
        <f aca="false">Sens!$I$3936*m_ad</f>
        <v>41.3458949392026</v>
      </c>
      <c r="J4030" s="38" t="n">
        <f aca="false">Sens!$J$3936*m_ad</f>
        <v>45.9359934352207</v>
      </c>
      <c r="K4030" s="38" t="n">
        <f aca="false">Sens!$K$3936*m_ad</f>
        <v>49.1515129756862</v>
      </c>
      <c r="L4030" s="38" t="n">
        <f aca="false">Sens!$L$3936*m_ad</f>
        <v>52.5921188839842</v>
      </c>
      <c r="M4030" s="38" t="n">
        <f aca="false">Sens!$M$3936*m_ad</f>
        <v>56.2735672058631</v>
      </c>
      <c r="N4030" s="38" t="n">
        <f aca="false">Sens!$N$3936*m_ad</f>
        <v>10.8543555706248</v>
      </c>
      <c r="O4030" s="38" t="n">
        <f aca="false">Sens!$O$3936*m_ad</f>
        <v>14.0094731821399</v>
      </c>
    </row>
    <row r="4031" customFormat="false" ht="17.15" hidden="false" customHeight="false" outlineLevel="0" collapsed="false">
      <c r="A4031" s="0" t="s">
        <v>715</v>
      </c>
      <c r="B4031" s="0" t="s">
        <v>86</v>
      </c>
      <c r="C4031" s="38" t="n">
        <f aca="false">Sens!$C$3934-Sens!$C$3936</f>
        <v>346.428687117154</v>
      </c>
      <c r="D4031" s="38" t="n">
        <f aca="false">Sens!$D$3934-Sens!$D$3936</f>
        <v>376.560876540083</v>
      </c>
      <c r="E4031" s="38" t="n">
        <f aca="false">Sens!$E$3934-Sens!$E$3936</f>
        <v>193.316577507559</v>
      </c>
      <c r="F4031" s="38" t="n">
        <f aca="false">Sens!$F$3934-Sens!$F$3936</f>
        <v>217.495828647535</v>
      </c>
      <c r="G4031" s="38" t="n">
        <f aca="false">Sens!$G$3934-Sens!$G$3936</f>
        <v>410.795589636503</v>
      </c>
      <c r="H4031" s="38" t="n">
        <f aca="false">Sens!$H$3934-Sens!$H$3936</f>
        <v>449.156813761174</v>
      </c>
      <c r="I4031" s="38" t="n">
        <f aca="false">Sens!$I$3934-Sens!$I$3936</f>
        <v>485.848786441156</v>
      </c>
      <c r="J4031" s="38" t="n">
        <f aca="false">Sens!$J$3934-Sens!$J$3936</f>
        <v>519.841531018994</v>
      </c>
      <c r="K4031" s="38" t="n">
        <f aca="false">Sens!$K$3934-Sens!$K$3936</f>
        <v>550.103332311311</v>
      </c>
      <c r="L4031" s="38" t="n">
        <f aca="false">Sens!$L$3934-Sens!$L$3936</f>
        <v>582.192354474511</v>
      </c>
      <c r="M4031" s="38" t="n">
        <f aca="false">Sens!$M$3934-Sens!$M$3936</f>
        <v>616.22240521081</v>
      </c>
      <c r="N4031" s="38" t="n">
        <f aca="false">Sens!$N$3934-Sens!$N$3936</f>
        <v>171.24628885875</v>
      </c>
      <c r="O4031" s="38" t="n">
        <f aca="false">Sens!$O$3934-Sens!$O$3936</f>
        <v>205.33105363572</v>
      </c>
    </row>
    <row r="4032" customFormat="false" ht="17.15" hidden="false" customHeight="false" outlineLevel="0" collapsed="false">
      <c r="A4032" s="0" t="s">
        <v>716</v>
      </c>
      <c r="B4032" s="0" t="s">
        <v>86</v>
      </c>
      <c r="C4032" s="38" t="n">
        <f aca="false">Sens!$C$3983*Sens!$C$3933</f>
        <v>0.123617442257179</v>
      </c>
      <c r="D4032" s="38" t="n">
        <f aca="false">Sens!$D$3983*Sens!$D$3933</f>
        <v>0.874366899302609</v>
      </c>
      <c r="E4032" s="38" t="n">
        <f aca="false">Sens!$E$3983*Sens!$E$3933</f>
        <v>1.29318830502574</v>
      </c>
      <c r="F4032" s="38" t="n">
        <f aca="false">Sens!$F$3983*Sens!$F$3933</f>
        <v>1.51802024162534</v>
      </c>
      <c r="G4032" s="38" t="n">
        <f aca="false">Sens!$G$3983*Sens!$G$3933</f>
        <v>2.81153363597665</v>
      </c>
      <c r="H4032" s="38" t="n">
        <f aca="false">Sens!$H$3983*Sens!$H$3933</f>
        <v>7.39027704264226</v>
      </c>
      <c r="I4032" s="38" t="n">
        <f aca="false">Sens!$I$3983*Sens!$I$3933</f>
        <v>12.899807643047</v>
      </c>
      <c r="J4032" s="38" t="n">
        <f aca="false">Sens!$J$3983*Sens!$J$3933</f>
        <v>18.5585322471382</v>
      </c>
      <c r="K4032" s="38" t="n">
        <f aca="false">Sens!$K$3983*Sens!$K$3933</f>
        <v>24.0966749520672</v>
      </c>
      <c r="L4032" s="38" t="n">
        <f aca="false">Sens!$L$3983*Sens!$L$3933</f>
        <v>27.686623551477</v>
      </c>
      <c r="M4032" s="38" t="n">
        <f aca="false">Sens!$M$3983*Sens!$M$3933</f>
        <v>29.7238645537022</v>
      </c>
      <c r="N4032" s="38" t="n">
        <f aca="false">Sens!$N$3983*Sens!$N$3933</f>
        <v>0.389180508437431</v>
      </c>
      <c r="O4032" s="38" t="n">
        <f aca="false">Sens!$O$3983*Sens!$O$3933</f>
        <v>0.485052120082802</v>
      </c>
    </row>
    <row r="4033" customFormat="false" ht="17.15" hidden="false" customHeight="false" outlineLevel="0" collapsed="false">
      <c r="A4033" s="0" t="s">
        <v>717</v>
      </c>
      <c r="B4033" s="0" t="s">
        <v>52</v>
      </c>
      <c r="C4033" s="28" t="n">
        <f aca="false">(Sens!$C$4034-Sens!$C$4030+Sens!$C$4032)/Sens!$C$4031</f>
        <v>0.0131526665379575</v>
      </c>
      <c r="D4033" s="28" t="n">
        <f aca="false">(Sens!$D$4034-Sens!$D$4030+Sens!$D$4032)/Sens!$D$4031</f>
        <v>0.0149280116962589</v>
      </c>
      <c r="E4033" s="28" t="n">
        <f aca="false">(Sens!$E$4034-Sens!$E$4030+Sens!$E$4032)/Sens!$E$4031</f>
        <v>0.0268030663774938</v>
      </c>
      <c r="F4033" s="28" t="n">
        <f aca="false">Sens!$O$4033+(Sens!$E$4033-Sens!$N$4033)</f>
        <v>0.0232379346966962</v>
      </c>
      <c r="G4033" s="28" t="n">
        <f aca="false">(Sens!$G$4034-Sens!$G$4030+Sens!$G$4032)/Sens!$G$4031</f>
        <v>0.0248969268652583</v>
      </c>
      <c r="H4033" s="28" t="n">
        <f aca="false">Sens!$G$4033+step_na</f>
        <v>0.0278969268652583</v>
      </c>
      <c r="I4033" s="28" t="n">
        <f aca="false">Sens!$H$4033+step_na</f>
        <v>0.0308969268652583</v>
      </c>
      <c r="J4033" s="28" t="n">
        <f aca="false">Sens!$I$4033+step_na</f>
        <v>0.0338969268652583</v>
      </c>
      <c r="K4033" s="28" t="n">
        <f aca="false">Sens!$J$4033+step_na</f>
        <v>0.0368969268652584</v>
      </c>
      <c r="L4033" s="28" t="n">
        <f aca="false">Sens!$K$4033</f>
        <v>0.0368969268652584</v>
      </c>
      <c r="M4033" s="28" t="n">
        <f aca="false">Sens!$L$4033</f>
        <v>0.0368969268652584</v>
      </c>
      <c r="N4033" s="28" t="n">
        <f aca="false">(Sens!$N$4034-Sens!$N$4030+Sens!$N$4032)/Sens!$N$4031</f>
        <v>0.0168927744775755</v>
      </c>
      <c r="O4033" s="28" t="n">
        <f aca="false">(Sens!$O$4034-Sens!$O$4030+Sens!$O$4032)/Sens!$O$4031</f>
        <v>0.0133276427967779</v>
      </c>
      <c r="P4033" s="8" t="s">
        <v>718</v>
      </c>
    </row>
    <row r="4034" customFormat="false" ht="17.15" hidden="false" customHeight="false" outlineLevel="0" collapsed="false">
      <c r="A4034" s="1" t="s">
        <v>719</v>
      </c>
      <c r="B4034" s="8" t="s">
        <v>86</v>
      </c>
      <c r="C4034" s="38" t="n">
        <f aca="false">Q!$D$22</f>
        <v>24.967</v>
      </c>
      <c r="D4034" s="38" t="n">
        <f aca="false">Q!$E$22</f>
        <v>29.619</v>
      </c>
      <c r="E4034" s="38" t="n">
        <f aca="false">Q!$P$22</f>
        <v>17.39</v>
      </c>
      <c r="F4034" s="38" t="n">
        <f aca="false">Sens!$F$4030+Sens!$F$4031*Sens!$F$4033-Sens!$F$4032</f>
        <v>20.1081060378156</v>
      </c>
      <c r="G4034" s="38" t="n">
        <f aca="false">Sens!$E$4034+Sens!$F$4034</f>
        <v>37.4981060378156</v>
      </c>
      <c r="H4034" s="38" t="n">
        <f aca="false">Sens!$H$4030+Sens!$H$4031*Sens!$H$4033-Sens!$H$4032</f>
        <v>41.0292903801018</v>
      </c>
      <c r="I4034" s="38" t="n">
        <f aca="false">Sens!$I$4030+Sens!$I$4031*Sens!$I$4033-Sens!$I$4032</f>
        <v>43.4573217184025</v>
      </c>
      <c r="J4034" s="38" t="n">
        <f aca="false">Sens!$J$4030+Sens!$J$4031*Sens!$J$4033-Sens!$J$4032</f>
        <v>44.9984915465573</v>
      </c>
      <c r="K4034" s="38" t="n">
        <f aca="false">Sens!$K$4030+Sens!$K$4031*Sens!$K$4033-Sens!$K$4032</f>
        <v>45.3519604442443</v>
      </c>
      <c r="L4034" s="38" t="n">
        <f aca="false">Sens!$L$4030+Sens!$L$4031*Sens!$L$4033-Sens!$L$4032</f>
        <v>46.3866040570658</v>
      </c>
      <c r="M4034" s="38" t="n">
        <f aca="false">Sens!$M$4030+Sens!$M$4031*Sens!$M$4033-Sens!$M$4032</f>
        <v>49.2864156699577</v>
      </c>
      <c r="N4034" s="38" t="n">
        <f aca="false">Q!$N$22</f>
        <v>13.358</v>
      </c>
      <c r="O4034" s="38" t="n">
        <f aca="false">Q!$O$22</f>
        <v>16.261</v>
      </c>
    </row>
    <row r="4035" customFormat="false" ht="17.15" hidden="false" customHeight="false" outlineLevel="0" collapsed="false">
      <c r="A4035" s="0" t="s">
        <v>720</v>
      </c>
      <c r="B4035" s="0" t="s">
        <v>86</v>
      </c>
      <c r="C4035" s="38" t="n">
        <f aca="false">Sens!$C$3937*m_ad</f>
        <v>7.57284355857716</v>
      </c>
      <c r="D4035" s="38" t="n">
        <f aca="false">Sens!$D$3937*m_ad</f>
        <v>9.44543827004127</v>
      </c>
      <c r="E4035" s="38" t="n">
        <f aca="false">Sens!$E$3937*m_ad</f>
        <v>5.02428875377928</v>
      </c>
      <c r="F4035" s="38" t="n">
        <f aca="false">Sens!$F$3937*m_ad</f>
        <v>6.50663858068173</v>
      </c>
      <c r="G4035" s="38" t="n">
        <f aca="false">Sens!$G$3937*m_ad</f>
        <v>11.5225190751659</v>
      </c>
      <c r="H4035" s="38" t="n">
        <f aca="false">Sens!$H$3937*m_ad</f>
        <v>13.7469539732536</v>
      </c>
      <c r="I4035" s="38" t="n">
        <f aca="false">Sens!$I$3937*m_ad</f>
        <v>15.8369592231614</v>
      </c>
      <c r="J4035" s="38" t="n">
        <f aca="false">Sens!$J$3937*m_ad</f>
        <v>17.5951314145876</v>
      </c>
      <c r="K4035" s="38" t="n">
        <f aca="false">Sens!$K$3937*m_ad</f>
        <v>18.8267906136088</v>
      </c>
      <c r="L4035" s="38" t="n">
        <f aca="false">Sens!$L$3937*m_ad</f>
        <v>20.1446659565614</v>
      </c>
      <c r="M4035" s="38" t="n">
        <f aca="false">Sens!$M$3937*m_ad</f>
        <v>21.5547925735207</v>
      </c>
      <c r="N4035" s="38" t="n">
        <f aca="false">Sens!$N$3937*m_ad</f>
        <v>3.95314442937518</v>
      </c>
      <c r="O4035" s="38" t="n">
        <f aca="false">Sens!$O$3937*m_ad</f>
        <v>5.50052681786011</v>
      </c>
    </row>
    <row r="4036" customFormat="false" ht="17.15" hidden="false" customHeight="false" outlineLevel="0" collapsed="false">
      <c r="A4036" s="0" t="s">
        <v>721</v>
      </c>
      <c r="B4036" s="0" t="s">
        <v>86</v>
      </c>
      <c r="C4036" s="38" t="n">
        <f aca="false">Sens!$C$3935-Sens!$C$3937</f>
        <v>127.760312882846</v>
      </c>
      <c r="D4036" s="38" t="n">
        <f aca="false">Sens!$D$3935-Sens!$D$3937</f>
        <v>143.003123459917</v>
      </c>
      <c r="E4036" s="38" t="n">
        <f aca="false">Sens!$E$3935-Sens!$E$3937</f>
        <v>71.9374224924414</v>
      </c>
      <c r="F4036" s="38" t="n">
        <f aca="false">Sens!$F$3935-Sens!$F$3937</f>
        <v>85.3951910035875</v>
      </c>
      <c r="G4036" s="38" t="n">
        <f aca="false">Sens!$G$3935-Sens!$G$3937</f>
        <v>157.349430014619</v>
      </c>
      <c r="H4036" s="38" t="n">
        <f aca="false">Sens!$H$3935-Sens!$H$3937</f>
        <v>172.043153372315</v>
      </c>
      <c r="I4036" s="38" t="n">
        <f aca="false">Sens!$I$3935-Sens!$I$3937</f>
        <v>186.097493615879</v>
      </c>
      <c r="J4036" s="38" t="n">
        <f aca="false">Sens!$J$3935-Sens!$J$3937</f>
        <v>199.117932780497</v>
      </c>
      <c r="K4036" s="38" t="n">
        <f aca="false">Sens!$K$3935-Sens!$K$3937</f>
        <v>210.70928698363</v>
      </c>
      <c r="L4036" s="38" t="n">
        <f aca="false">Sens!$L$3935-Sens!$L$3937</f>
        <v>223.000532251317</v>
      </c>
      <c r="M4036" s="38" t="n">
        <f aca="false">Sens!$M$3935-Sens!$M$3937</f>
        <v>236.035261011339</v>
      </c>
      <c r="N4036" s="38" t="n">
        <f aca="false">Sens!$N$3935-Sens!$N$3937</f>
        <v>62.3677111412496</v>
      </c>
      <c r="O4036" s="38" t="n">
        <f aca="false">Sens!$O$3935-Sens!$O$3937</f>
        <v>80.6189463642798</v>
      </c>
    </row>
    <row r="4037" customFormat="false" ht="17.15" hidden="false" customHeight="false" outlineLevel="0" collapsed="false">
      <c r="A4037" s="0" t="s">
        <v>722</v>
      </c>
      <c r="B4037" s="0" t="s">
        <v>86</v>
      </c>
      <c r="C4037" s="38" t="n">
        <f aca="false">Sens!$C$3983*(1-Sens!$C$3933)</f>
        <v>0.0455891896019953</v>
      </c>
      <c r="D4037" s="38" t="n">
        <f aca="false">Sens!$D$3983*(1-Sens!$D$3933)</f>
        <v>0.332050421167231</v>
      </c>
      <c r="E4037" s="38" t="n">
        <f aca="false">Sens!$E$3983*(1-Sens!$E$3933)</f>
        <v>0.481224293644882</v>
      </c>
      <c r="F4037" s="38" t="n">
        <f aca="false">Sens!$F$3983*(1-Sens!$F$3933)</f>
        <v>0.596018918096053</v>
      </c>
      <c r="G4037" s="38" t="n">
        <f aca="false">Sens!$G$3983*(1-Sens!$G$3933)</f>
        <v>1.07691812241537</v>
      </c>
      <c r="H4037" s="38" t="n">
        <f aca="false">Sens!$H$3983*(1-Sens!$H$3933)</f>
        <v>2.83074090775622</v>
      </c>
      <c r="I4037" s="38" t="n">
        <f aca="false">Sens!$I$3983*(1-Sens!$I$3933)</f>
        <v>4.94108853926048</v>
      </c>
      <c r="J4037" s="38" t="n">
        <f aca="false">Sens!$J$3983*(1-Sens!$J$3933)</f>
        <v>7.10858281993502</v>
      </c>
      <c r="K4037" s="38" t="n">
        <f aca="false">Sens!$K$3983*(1-Sens!$K$3933)</f>
        <v>9.2298899126701</v>
      </c>
      <c r="L4037" s="38" t="n">
        <f aca="false">Sens!$L$3983*(1-Sens!$L$3933)</f>
        <v>10.6049688574045</v>
      </c>
      <c r="M4037" s="38" t="n">
        <f aca="false">Sens!$M$3983*(1-Sens!$M$3933)</f>
        <v>11.3853051574758</v>
      </c>
      <c r="N4037" s="38" t="n">
        <f aca="false">Sens!$N$3983*(1-Sens!$N$3933)</f>
        <v>0.141739115596548</v>
      </c>
      <c r="O4037" s="38" t="n">
        <f aca="false">Sens!$O$3983*(1-Sens!$O$3933)</f>
        <v>0.190445576353059</v>
      </c>
    </row>
    <row r="4038" customFormat="false" ht="17.15" hidden="false" customHeight="false" outlineLevel="0" collapsed="false">
      <c r="A4038" s="0" t="s">
        <v>723</v>
      </c>
      <c r="B4038" s="0" t="s">
        <v>52</v>
      </c>
      <c r="C4038" s="28" t="n">
        <f aca="false">(Sens!$C$4039-Sens!$C$4035+Sens!$C$4037)/Sens!$C$4036</f>
        <v>-0.0292364215826579</v>
      </c>
      <c r="D4038" s="28" t="n">
        <f aca="false">(Sens!$D$4039-Sens!$D$4035+Sens!$D$4037)/Sens!$D$4036</f>
        <v>-0.0305125352740778</v>
      </c>
      <c r="E4038" s="28" t="n">
        <f aca="false">(Sens!$E$4039-Sens!$E$4035+Sens!$E$4037)/Sens!$E$4036</f>
        <v>-0.019490056934994</v>
      </c>
      <c r="F4038" s="28" t="n">
        <f aca="false">Sens!$O$4038+(Sens!$E$4038-Sens!$N$4038)</f>
        <v>-0.0367332293992226</v>
      </c>
      <c r="G4038" s="28" t="n">
        <f aca="false">(Sens!$G$4039-Sens!$G$4035+Sens!$G$4037)/Sens!$G$4036</f>
        <v>-0.0287946542321067</v>
      </c>
      <c r="H4038" s="28" t="n">
        <f aca="false">Sens!$G$4038+step_in</f>
        <v>-0.0287946542321067</v>
      </c>
      <c r="I4038" s="28" t="n">
        <f aca="false">Sens!$H$4038+step_in</f>
        <v>-0.0287946542321067</v>
      </c>
      <c r="J4038" s="28" t="n">
        <f aca="false">Sens!$I$4038+step_in</f>
        <v>-0.0287946542321067</v>
      </c>
      <c r="K4038" s="28" t="n">
        <f aca="false">Sens!$J$4038+step_in</f>
        <v>-0.0287946542321067</v>
      </c>
      <c r="L4038" s="28" t="n">
        <f aca="false">Sens!$K$4038</f>
        <v>-0.0287946542321067</v>
      </c>
      <c r="M4038" s="28" t="n">
        <f aca="false">Sens!$L$4038</f>
        <v>-0.0287946542321067</v>
      </c>
      <c r="N4038" s="28" t="n">
        <f aca="false">(Sens!$N$4039-Sens!$N$4035+Sens!$N$4037)/Sens!$N$4036</f>
        <v>-0.02085061789158</v>
      </c>
      <c r="O4038" s="28" t="n">
        <f aca="false">(Sens!$O$4039-Sens!$O$4035+Sens!$O$4037)/Sens!$O$4036</f>
        <v>-0.0380937903558086</v>
      </c>
      <c r="P4038" s="8" t="s">
        <v>718</v>
      </c>
    </row>
    <row r="4039" customFormat="false" ht="17.15" hidden="false" customHeight="false" outlineLevel="0" collapsed="false">
      <c r="A4039" s="1" t="s">
        <v>724</v>
      </c>
      <c r="B4039" s="8" t="s">
        <v>86</v>
      </c>
      <c r="C4039" s="38" t="n">
        <f aca="false">Q!$D$23</f>
        <v>3.792</v>
      </c>
      <c r="D4039" s="38" t="n">
        <f aca="false">Q!$E$23</f>
        <v>4.75</v>
      </c>
      <c r="E4039" s="38" t="n">
        <f aca="false">Q!$P$23</f>
        <v>3.141</v>
      </c>
      <c r="F4039" s="38" t="n">
        <f aca="false">Sens!$F$4035+Sens!$F$4036*Sens!$F$4038-Sens!$F$4037</f>
        <v>2.77377852186047</v>
      </c>
      <c r="G4039" s="38" t="n">
        <f aca="false">Sens!$E$4039+Sens!$F$4039</f>
        <v>5.91477852186047</v>
      </c>
      <c r="H4039" s="38" t="n">
        <f aca="false">Sens!$H$4035+Sens!$H$4036*Sens!$H$4038-Sens!$H$4037</f>
        <v>5.96228995114029</v>
      </c>
      <c r="I4039" s="38" t="n">
        <f aca="false">Sens!$I$4035+Sens!$I$4036*Sens!$I$4038-Sens!$I$4037</f>
        <v>5.53725770177002</v>
      </c>
      <c r="J4039" s="38" t="n">
        <f aca="false">Sens!$J$4035+Sens!$J$4036*Sens!$J$4038-Sens!$J$4037</f>
        <v>4.75301656882632</v>
      </c>
      <c r="K4039" s="38" t="n">
        <f aca="false">Sens!$K$4035+Sens!$K$4036*Sens!$K$4038-Sens!$K$4037</f>
        <v>3.52959963875127</v>
      </c>
      <c r="L4039" s="38" t="n">
        <f aca="false">Sens!$L$4035+Sens!$L$4036*Sens!$L$4038-Sens!$L$4037</f>
        <v>3.11847387940441</v>
      </c>
      <c r="M4039" s="38" t="n">
        <f aca="false">Sens!$M$4035+Sens!$M$4036*Sens!$M$4038-Sens!$M$4037</f>
        <v>3.37293368863828</v>
      </c>
      <c r="N4039" s="38" t="n">
        <f aca="false">Q!$N$23</f>
        <v>2.511</v>
      </c>
      <c r="O4039" s="38" t="n">
        <f aca="false">Q!$O$23</f>
        <v>2.239</v>
      </c>
    </row>
    <row r="4040" customFormat="false" ht="17.15" hidden="false" customHeight="false" outlineLevel="0" collapsed="false">
      <c r="A4040" s="0" t="s">
        <v>725</v>
      </c>
      <c r="B4040" s="0" t="s">
        <v>86</v>
      </c>
      <c r="C4040" s="38" t="n">
        <f aca="false">Sens!$C$3980</f>
        <v>1.64417882953695</v>
      </c>
      <c r="D4040" s="38" t="n">
        <f aca="false">Sens!$D$3980</f>
        <v>3.8781008067718</v>
      </c>
      <c r="E4040" s="38" t="n">
        <f aca="false">Sens!$E$3980</f>
        <v>1.41270258088753</v>
      </c>
      <c r="F4040" s="38" t="n">
        <f aca="false">Sens!$F$3980</f>
        <v>6.50727700583486</v>
      </c>
      <c r="G4040" s="38" t="n">
        <f aca="false">Sens!$G$3980</f>
        <v>7.9199795867224</v>
      </c>
      <c r="H4040" s="38" t="n">
        <f aca="false">Sens!$H$3980</f>
        <v>19.2818189481807</v>
      </c>
      <c r="I4040" s="38" t="n">
        <f aca="false">Sens!$I$3980</f>
        <v>30.140114407202</v>
      </c>
      <c r="J4040" s="38" t="n">
        <f aca="false">Sens!$J$3980</f>
        <v>40.3569468829854</v>
      </c>
      <c r="K4040" s="38" t="n">
        <f aca="false">Sens!$K$3980</f>
        <v>45.1418609242305</v>
      </c>
      <c r="L4040" s="38" t="n">
        <f aca="false">Sens!$L$3980</f>
        <v>48.5617321668703</v>
      </c>
      <c r="M4040" s="38" t="n">
        <f aca="false">Sens!$M$3980</f>
        <v>48.3987625241529</v>
      </c>
      <c r="N4040" s="38" t="n">
        <f aca="false">Sens!$N$3980</f>
        <v>0.92264103489199</v>
      </c>
      <c r="O4040" s="38" t="n">
        <f aca="false">Sens!$O$3980</f>
        <v>2.95545977187981</v>
      </c>
    </row>
    <row r="4041" customFormat="false" ht="17.15" hidden="false" customHeight="false" outlineLevel="0" collapsed="false">
      <c r="A4041" s="0" t="s">
        <v>643</v>
      </c>
      <c r="B4041" s="0" t="s">
        <v>86</v>
      </c>
      <c r="C4041" s="38" t="n">
        <f aca="false">Sens!$C$3985</f>
        <v>38.1898211704631</v>
      </c>
      <c r="D4041" s="38" t="n">
        <f aca="false">Sens!$D$3985</f>
        <v>41.7278991932282</v>
      </c>
      <c r="E4041" s="38" t="n">
        <f aca="false">Sens!$E$3985</f>
        <v>29.3692974191125</v>
      </c>
      <c r="F4041" s="38" t="n">
        <f aca="false">Sens!$F$3985</f>
        <v>26.8997276714137</v>
      </c>
      <c r="G4041" s="38" t="n">
        <f aca="false">Sens!$G$3985</f>
        <v>56.2690250905262</v>
      </c>
      <c r="H4041" s="38" t="n">
        <f aca="false">Sens!$H$3985</f>
        <v>60.3505333937343</v>
      </c>
      <c r="I4041" s="38" t="n">
        <f aca="false">Sens!$I$3985</f>
        <v>67.0043857303571</v>
      </c>
      <c r="J4041" s="38" t="n">
        <f aca="false">Sens!$J$3985</f>
        <v>73.3782922956925</v>
      </c>
      <c r="K4041" s="38" t="n">
        <f aca="false">Sens!$K$3985</f>
        <v>79.2485556793479</v>
      </c>
      <c r="L4041" s="38" t="n">
        <f aca="false">Sens!$L$3985</f>
        <v>85.5884401336958</v>
      </c>
      <c r="M4041" s="38" t="n">
        <f aca="false">Sens!$M$3985</f>
        <v>92.4355153443914</v>
      </c>
      <c r="N4041" s="38" t="n">
        <f aca="false">Sens!$N$3985</f>
        <v>20.784358965108</v>
      </c>
      <c r="O4041" s="38" t="n">
        <f aca="false">Sens!$O$3985</f>
        <v>20.9435402281202</v>
      </c>
    </row>
    <row r="4042" customFormat="false" ht="17.15" hidden="false" customHeight="false" outlineLevel="0" collapsed="false">
      <c r="A4042" s="1" t="s">
        <v>726</v>
      </c>
      <c r="B4042" s="8" t="s">
        <v>86</v>
      </c>
      <c r="C4042" s="38" t="n">
        <f aca="false">Q!$D$24</f>
        <v>39.834</v>
      </c>
      <c r="D4042" s="38" t="n">
        <f aca="false">Q!$E$24</f>
        <v>45.606</v>
      </c>
      <c r="E4042" s="38" t="n">
        <f aca="false">Q!$P$24</f>
        <v>30.782</v>
      </c>
      <c r="F4042" s="38" t="n">
        <f aca="false">Sens!$F$4040+Sens!$F$4041</f>
        <v>33.4070046772486</v>
      </c>
      <c r="G4042" s="38" t="n">
        <f aca="false">Sens!$G$4040+Sens!$G$4041</f>
        <v>64.1890046772486</v>
      </c>
      <c r="H4042" s="38" t="n">
        <f aca="false">Sens!$H$4040+Sens!$H$4041</f>
        <v>79.6323523419149</v>
      </c>
      <c r="I4042" s="38" t="n">
        <f aca="false">Sens!$I$4040+Sens!$I$4041</f>
        <v>97.1445001375591</v>
      </c>
      <c r="J4042" s="38" t="n">
        <f aca="false">Sens!$J$4040+Sens!$J$4041</f>
        <v>113.735239178678</v>
      </c>
      <c r="K4042" s="38" t="n">
        <f aca="false">Sens!$K$4040+Sens!$K$4041</f>
        <v>124.390416603578</v>
      </c>
      <c r="L4042" s="38" t="n">
        <f aca="false">Sens!$L$4040+Sens!$L$4041</f>
        <v>134.150172300566</v>
      </c>
      <c r="M4042" s="38" t="n">
        <f aca="false">Sens!$M$4040+Sens!$M$4041</f>
        <v>140.834277868544</v>
      </c>
      <c r="N4042" s="38" t="n">
        <f aca="false">Q!$N$24</f>
        <v>21.707</v>
      </c>
      <c r="O4042" s="38" t="n">
        <f aca="false">Q!$O$24</f>
        <v>23.899</v>
      </c>
    </row>
    <row r="4043" customFormat="false" ht="17.15" hidden="false" customHeight="false" outlineLevel="0" collapsed="false">
      <c r="A4043" s="5" t="s">
        <v>727</v>
      </c>
      <c r="B4043" s="0" t="s">
        <v>86</v>
      </c>
      <c r="C4043" s="38" t="n">
        <f aca="false">Q!$D$26</f>
        <v>0</v>
      </c>
      <c r="D4043" s="38" t="n">
        <f aca="false">Q!$E$26</f>
        <v>0</v>
      </c>
      <c r="E4043" s="38" t="n">
        <f aca="false">Q!$P$26</f>
        <v>0</v>
      </c>
      <c r="F4043" s="39" t="n">
        <v>0</v>
      </c>
      <c r="G4043" s="38" t="n">
        <f aca="false">Sens!$E$4043+Sens!$F$4043</f>
        <v>0</v>
      </c>
      <c r="H4043" s="39" t="n">
        <v>0</v>
      </c>
      <c r="I4043" s="39" t="n">
        <v>0</v>
      </c>
      <c r="J4043" s="39" t="n">
        <v>0</v>
      </c>
      <c r="K4043" s="39" t="n">
        <v>0</v>
      </c>
      <c r="L4043" s="39" t="n">
        <v>0</v>
      </c>
      <c r="M4043" s="39" t="n">
        <v>0</v>
      </c>
      <c r="N4043" s="38" t="n">
        <f aca="false">Q!$N$26</f>
        <v>0</v>
      </c>
      <c r="O4043" s="38" t="n">
        <f aca="false">Q!$O$26</f>
        <v>0</v>
      </c>
    </row>
    <row r="4044" customFormat="false" ht="15" hidden="false" customHeight="false" outlineLevel="0" collapsed="false">
      <c r="A4044" s="3" t="s">
        <v>531</v>
      </c>
      <c r="B4044" s="8" t="s">
        <v>86</v>
      </c>
      <c r="C4044" s="38" t="n">
        <f aca="false">Q!$D$25</f>
        <v>68.593</v>
      </c>
      <c r="D4044" s="38" t="n">
        <f aca="false">Q!$E$25</f>
        <v>79.975</v>
      </c>
      <c r="E4044" s="38" t="n">
        <f aca="false">Q!$P$25</f>
        <v>51.313</v>
      </c>
      <c r="F4044" s="38" t="n">
        <f aca="false">Sens!$F$4034+Sens!$F$4039+Sens!$F$4042+Sens!$F$4043</f>
        <v>56.2888892369246</v>
      </c>
      <c r="G4044" s="38" t="n">
        <f aca="false">Sens!$G$4034+Sens!$G$4039+Sens!$G$4042+Sens!$G$4043</f>
        <v>107.601889236925</v>
      </c>
      <c r="H4044" s="38" t="n">
        <f aca="false">Sens!$H$4034+Sens!$H$4039+Sens!$H$4042+Sens!$H$4043</f>
        <v>126.623932673157</v>
      </c>
      <c r="I4044" s="38" t="n">
        <f aca="false">Sens!$I$4034+Sens!$I$4039+Sens!$I$4042+Sens!$I$4043</f>
        <v>146.139079557732</v>
      </c>
      <c r="J4044" s="38" t="n">
        <f aca="false">Sens!$J$4034+Sens!$J$4039+Sens!$J$4042+Sens!$J$4043</f>
        <v>163.486747294062</v>
      </c>
      <c r="K4044" s="38" t="n">
        <f aca="false">Sens!$K$4034+Sens!$K$4039+Sens!$K$4042+Sens!$K$4043</f>
        <v>173.271976686574</v>
      </c>
      <c r="L4044" s="38" t="n">
        <f aca="false">Sens!$L$4034+Sens!$L$4039+Sens!$L$4042+Sens!$L$4043</f>
        <v>183.655250237036</v>
      </c>
      <c r="M4044" s="38" t="n">
        <f aca="false">Sens!$M$4034+Sens!$M$4039+Sens!$M$4042+Sens!$M$4043</f>
        <v>193.49362722714</v>
      </c>
      <c r="N4044" s="38" t="n">
        <f aca="false">Q!$N$25</f>
        <v>37.576</v>
      </c>
      <c r="O4044" s="38" t="n">
        <f aca="false">Q!$O$25</f>
        <v>42.399</v>
      </c>
    </row>
    <row r="4045" customFormat="false" ht="17.15" hidden="false" customHeight="false" outlineLevel="0" collapsed="false">
      <c r="A4045" s="24" t="s">
        <v>758</v>
      </c>
      <c r="B4045" s="25" t="s">
        <v>86</v>
      </c>
      <c r="C4045" s="41" t="n">
        <f aca="false">Sens!$C$4034+Sens!$C$4039+Sens!$C$4042+Sens!$C$4043-Sens!$C$4044</f>
        <v>0</v>
      </c>
      <c r="D4045" s="41" t="n">
        <f aca="false">Sens!$D$4034+Sens!$D$4039+Sens!$D$4042+Sens!$D$4043-Sens!$D$4044</f>
        <v>0</v>
      </c>
      <c r="E4045" s="41" t="n">
        <f aca="false">Sens!$E$4034+Sens!$E$4039+Sens!$E$4042+Sens!$E$4043-Sens!$E$4044</f>
        <v>0</v>
      </c>
      <c r="F4045" s="41" t="n">
        <f aca="false">Sens!$F$4034+Sens!$F$4039+Sens!$F$4042+Sens!$F$4043-Sens!$F$4044</f>
        <v>0</v>
      </c>
      <c r="G4045" s="41" t="n">
        <f aca="false">Sens!$G$4034+Sens!$G$4039+Sens!$G$4042+Sens!$G$4043-Sens!$G$4044</f>
        <v>0</v>
      </c>
      <c r="H4045" s="41" t="n">
        <f aca="false">Sens!$H$4034+Sens!$H$4039+Sens!$H$4042+Sens!$H$4043-Sens!$H$4044</f>
        <v>0</v>
      </c>
      <c r="I4045" s="41" t="n">
        <f aca="false">Sens!$I$4034+Sens!$I$4039+Sens!$I$4042+Sens!$I$4043-Sens!$I$4044</f>
        <v>0</v>
      </c>
      <c r="J4045" s="41" t="n">
        <f aca="false">Sens!$J$4034+Sens!$J$4039+Sens!$J$4042+Sens!$J$4043-Sens!$J$4044</f>
        <v>0</v>
      </c>
      <c r="K4045" s="41" t="n">
        <f aca="false">Sens!$K$4034+Sens!$K$4039+Sens!$K$4042+Sens!$K$4043-Sens!$K$4044</f>
        <v>0</v>
      </c>
      <c r="L4045" s="41" t="n">
        <f aca="false">Sens!$L$4034+Sens!$L$4039+Sens!$L$4042+Sens!$L$4043-Sens!$L$4044</f>
        <v>0</v>
      </c>
      <c r="M4045" s="41" t="n">
        <f aca="false">Sens!$M$4034+Sens!$M$4039+Sens!$M$4042+Sens!$M$4043-Sens!$M$4044</f>
        <v>0</v>
      </c>
      <c r="N4045" s="41" t="n">
        <f aca="false">Sens!$N$4034+Sens!$N$4039+Sens!$N$4042+Sens!$N$4043-Sens!$N$4044</f>
        <v>0</v>
      </c>
      <c r="O4045" s="41" t="n">
        <f aca="false">Sens!$O$4034+Sens!$O$4039+Sens!$O$4042+Sens!$O$4043-Sens!$O$4044</f>
        <v>0</v>
      </c>
    </row>
    <row r="4046" customFormat="false" ht="17.15" hidden="false" customHeight="false" outlineLevel="0" collapsed="false">
      <c r="A4046" s="5" t="s">
        <v>729</v>
      </c>
      <c r="B4046" s="0" t="s">
        <v>86</v>
      </c>
      <c r="C4046" s="38" t="n">
        <f aca="false">Sens!$C$3982</f>
        <v>0</v>
      </c>
      <c r="D4046" s="38" t="n">
        <f aca="false">Sens!$D$3982</f>
        <v>0</v>
      </c>
      <c r="E4046" s="38" t="n">
        <f aca="false">Sens!$E$3982</f>
        <v>0</v>
      </c>
      <c r="F4046" s="38" t="n">
        <f aca="false">Sens!$F$3982</f>
        <v>3.77122048175818</v>
      </c>
      <c r="G4046" s="38" t="n">
        <f aca="false">Sens!$G$3982</f>
        <v>3.77122048175818</v>
      </c>
      <c r="H4046" s="38" t="n">
        <f aca="false">Sens!$H$3982</f>
        <v>15.1635543609893</v>
      </c>
      <c r="I4046" s="38" t="n">
        <f aca="false">Sens!$I$3982</f>
        <v>25.5818843619889</v>
      </c>
      <c r="J4046" s="38" t="n">
        <f aca="false">Sens!$J$3982</f>
        <v>36.0465624179122</v>
      </c>
      <c r="K4046" s="38" t="n">
        <f aca="false">Sens!$K$3982</f>
        <v>44.9741164026038</v>
      </c>
      <c r="L4046" s="38" t="n">
        <f aca="false">Sens!$L$3982</f>
        <v>50.8413488057813</v>
      </c>
      <c r="M4046" s="38" t="n">
        <f aca="false">Sens!$M$3982</f>
        <v>53.6407214274315</v>
      </c>
      <c r="N4046" s="38" t="n">
        <f aca="false">Sens!$N$3982</f>
        <v>0</v>
      </c>
      <c r="O4046" s="38" t="n">
        <f aca="false">Sens!$O$3982</f>
        <v>0</v>
      </c>
      <c r="P4046" s="5" t="s">
        <v>730</v>
      </c>
    </row>
    <row r="4047" customFormat="false" ht="17.15" hidden="false" customHeight="false" outlineLevel="0" collapsed="false">
      <c r="A4047" s="5" t="s">
        <v>731</v>
      </c>
      <c r="B4047" s="0" t="s">
        <v>86</v>
      </c>
      <c r="C4047" s="38" t="n">
        <f aca="false">Sens!$C$4044+Sens!$C$4046</f>
        <v>68.593</v>
      </c>
      <c r="D4047" s="38" t="n">
        <f aca="false">Sens!$D$4044+Sens!$D$4046</f>
        <v>79.975</v>
      </c>
      <c r="E4047" s="38" t="n">
        <f aca="false">Sens!$E$4044+Sens!$E$4046</f>
        <v>51.313</v>
      </c>
      <c r="F4047" s="38" t="n">
        <f aca="false">Sens!$F$4044+Sens!$F$4046</f>
        <v>60.0601097186828</v>
      </c>
      <c r="G4047" s="38" t="n">
        <f aca="false">Sens!$G$4044+Sens!$G$4046</f>
        <v>111.373109718683</v>
      </c>
      <c r="H4047" s="38" t="n">
        <f aca="false">Sens!$H$4044+Sens!$H$4046</f>
        <v>141.787487034146</v>
      </c>
      <c r="I4047" s="38" t="n">
        <f aca="false">Sens!$I$4044+Sens!$I$4046</f>
        <v>171.72096391972</v>
      </c>
      <c r="J4047" s="38" t="n">
        <f aca="false">Sens!$J$4044+Sens!$J$4046</f>
        <v>199.533309711974</v>
      </c>
      <c r="K4047" s="38" t="n">
        <f aca="false">Sens!$K$4044+Sens!$K$4046</f>
        <v>218.246093089178</v>
      </c>
      <c r="L4047" s="38" t="n">
        <f aca="false">Sens!$L$4044+Sens!$L$4046</f>
        <v>234.496599042818</v>
      </c>
      <c r="M4047" s="38" t="n">
        <f aca="false">Sens!$M$4044+Sens!$M$4046</f>
        <v>247.134348654572</v>
      </c>
      <c r="N4047" s="38" t="n">
        <f aca="false">Sens!$N$4044+Sens!$N$4046</f>
        <v>37.576</v>
      </c>
      <c r="O4047" s="38" t="n">
        <f aca="false">Sens!$O$4044+Sens!$O$4046</f>
        <v>42.399</v>
      </c>
    </row>
    <row r="4048" customFormat="false" ht="17.15" hidden="false" customHeight="false" outlineLevel="0" collapsed="false">
      <c r="A4048" s="0" t="s">
        <v>732</v>
      </c>
      <c r="B4048" s="0" t="s">
        <v>52</v>
      </c>
      <c r="C4048" s="13" t="n">
        <f aca="false">Sens!$C$4034/Sens!$C$4019</f>
        <v>0.0644314665661928</v>
      </c>
      <c r="D4048" s="13" t="n">
        <f aca="false">Sens!$D$4034/Sens!$D$4019</f>
        <v>0.0694784250712518</v>
      </c>
      <c r="E4048" s="13" t="n">
        <f aca="false">Sens!$E$4034/Sens!$E$4019</f>
        <v>0.0789306463326071</v>
      </c>
      <c r="F4048" s="13" t="n">
        <f aca="false">Sens!$F$4034/Sens!$F$4019</f>
        <v>0.0802271154277638</v>
      </c>
      <c r="G4048" s="13" t="n">
        <f aca="false">Sens!$G$4034/Sens!$G$4019</f>
        <v>0.0796206133714758</v>
      </c>
      <c r="H4048" s="13" t="n">
        <f aca="false">Sens!$H$4034/Sens!$H$4019</f>
        <v>0.0787607486495084</v>
      </c>
      <c r="I4048" s="13" t="n">
        <f aca="false">Sens!$I$4034/Sens!$I$4019</f>
        <v>0.0764366230458392</v>
      </c>
      <c r="J4048" s="13" t="n">
        <f aca="false">Sens!$J$4034/Sens!$J$4019</f>
        <v>0.0735613816444884</v>
      </c>
      <c r="K4048" s="13" t="n">
        <f aca="false">Sens!$K$4034/Sens!$K$4019</f>
        <v>0.0699437318377919</v>
      </c>
      <c r="L4048" s="13" t="n">
        <f aca="false">Sens!$L$4034/Sens!$L$4019</f>
        <v>0.0674835375259657</v>
      </c>
      <c r="M4048" s="13" t="n">
        <f aca="false">Sens!$M$4034/Sens!$M$4019</f>
        <v>0.0676296318524584</v>
      </c>
      <c r="N4048" s="13" t="n">
        <f aca="false">Sens!$N$4034/Sens!$N$4019</f>
        <v>0.069228576611127</v>
      </c>
      <c r="O4048" s="13" t="n">
        <f aca="false">Sens!$O$4034/Sens!$O$4019</f>
        <v>0.069685022498393</v>
      </c>
    </row>
    <row r="4049" customFormat="false" ht="17.15" hidden="false" customHeight="false" outlineLevel="0" collapsed="false">
      <c r="A4049" s="0" t="s">
        <v>733</v>
      </c>
      <c r="B4049" s="0" t="s">
        <v>52</v>
      </c>
      <c r="C4049" s="13" t="n">
        <f aca="false">Sens!$C$4039/Sens!$C$4020</f>
        <v>0.026534925055631</v>
      </c>
      <c r="D4049" s="13" t="n">
        <f aca="false">Sens!$D$4039/Sens!$D$4020</f>
        <v>0.0293401855535103</v>
      </c>
      <c r="E4049" s="13" t="n">
        <f aca="false">Sens!$E$4039/Sens!$E$4020</f>
        <v>0.03831141902276</v>
      </c>
      <c r="F4049" s="13" t="n">
        <f aca="false">Sens!$F$4039/Sens!$F$4020</f>
        <v>0.028186380436398</v>
      </c>
      <c r="G4049" s="13" t="n">
        <f aca="false">Sens!$G$4039/Sens!$G$4020</f>
        <v>0.0327880260521739</v>
      </c>
      <c r="H4049" s="13" t="n">
        <f aca="false">Sens!$H$4039/Sens!$H$4020</f>
        <v>0.0298806142163921</v>
      </c>
      <c r="I4049" s="13" t="n">
        <f aca="false">Sens!$I$4039/Sens!$I$4020</f>
        <v>0.0254269265618226</v>
      </c>
      <c r="J4049" s="13" t="n">
        <f aca="false">Sens!$J$4039/Sens!$J$4020</f>
        <v>0.0202853193267906</v>
      </c>
      <c r="K4049" s="13" t="n">
        <f aca="false">Sens!$K$4039/Sens!$K$4020</f>
        <v>0.0142114627044604</v>
      </c>
      <c r="L4049" s="13" t="n">
        <f aca="false">Sens!$L$4039/Sens!$L$4020</f>
        <v>0.0118442610364095</v>
      </c>
      <c r="M4049" s="13" t="n">
        <f aca="false">Sens!$M$4039/Sens!$M$4020</f>
        <v>0.0120830949775965</v>
      </c>
      <c r="N4049" s="13" t="n">
        <f aca="false">Sens!$N$4039/Sens!$N$4020</f>
        <v>0.0357315650169337</v>
      </c>
      <c r="O4049" s="13" t="n">
        <f aca="false">Sens!$O$4039/Sens!$O$4020</f>
        <v>0.0244378956559703</v>
      </c>
    </row>
    <row r="4050" customFormat="false" ht="17.15" hidden="false" customHeight="false" outlineLevel="0" collapsed="false">
      <c r="A4050" s="14" t="s">
        <v>734</v>
      </c>
      <c r="B4050" s="14" t="s">
        <v>52</v>
      </c>
      <c r="C4050" s="17" t="n">
        <f aca="false">Sens!$C$4042/Sens!$C$4021</f>
        <v>0.370355907620217</v>
      </c>
      <c r="D4050" s="17" t="n">
        <f aca="false">Sens!$D$4042/Sens!$D$4021</f>
        <v>0.35429015342785</v>
      </c>
      <c r="E4050" s="17" t="n">
        <f aca="false">Sens!$E$4042/Sens!$E$4021</f>
        <v>0.385647527531039</v>
      </c>
      <c r="F4050" s="17" t="n">
        <f aca="false">Sens!$F$4042/Sens!$F$4021</f>
        <v>0.385171818673936</v>
      </c>
      <c r="G4050" s="17" t="n">
        <f aca="false">Sens!$G$4042/Sens!$G$4021</f>
        <v>0.385399799520974</v>
      </c>
      <c r="H4050" s="17" t="n">
        <f aca="false">Sens!$H$4042/Sens!$H$4021</f>
        <v>0.360029314750347</v>
      </c>
      <c r="I4050" s="17" t="n">
        <f aca="false">Sens!$I$4042/Sens!$I$4021</f>
        <v>0.346606134604193</v>
      </c>
      <c r="J4050" s="17" t="n">
        <f aca="false">Sens!$J$4042/Sens!$J$4021</f>
        <v>0.335699297156574</v>
      </c>
      <c r="K4050" s="17" t="n">
        <f aca="false">Sens!$K$4042/Sens!$K$4021</f>
        <v>0.319043289183739</v>
      </c>
      <c r="L4050" s="17" t="n">
        <f aca="false">Sens!$L$4042/Sens!$L$4021</f>
        <v>0.311918613444893</v>
      </c>
      <c r="M4050" s="17" t="n">
        <f aca="false">Sens!$M$4042/Sens!$M$4021</f>
        <v>0.306523814127389</v>
      </c>
      <c r="N4050" s="17" t="n">
        <f aca="false">Sens!$N$4042/Sens!$N$4021</f>
        <v>0.360941137346192</v>
      </c>
      <c r="O4050" s="17" t="n">
        <f aca="false">Sens!$O$4042/Sens!$O$4021</f>
        <v>0.348458117664212</v>
      </c>
    </row>
    <row r="4051" customFormat="false" ht="17.15" hidden="false" customHeight="false" outlineLevel="0" collapsed="false">
      <c r="A4051" s="0" t="s">
        <v>735</v>
      </c>
      <c r="B4051" s="0" t="s">
        <v>52</v>
      </c>
      <c r="C4051" s="13" t="n">
        <f aca="false">Sens!$C$4040/Sens!$C$4022</f>
        <v>0.708390794789371</v>
      </c>
      <c r="D4051" s="13" t="n">
        <f aca="false">Sens!$D$4040/Sens!$D$4022</f>
        <v>0.445565630441968</v>
      </c>
      <c r="E4051" s="13" t="n">
        <f aca="false">Sens!$E$4040/Sens!$E$4022</f>
        <v>0.165998118402711</v>
      </c>
      <c r="F4051" s="13" t="n">
        <f aca="false">Sens!$F$4040/Sens!$F$4022</f>
        <v>0.434878595403858</v>
      </c>
      <c r="G4051" s="13" t="n">
        <f aca="false">Sens!$G$4040/Sens!$G$4022</f>
        <v>0.3373967615381</v>
      </c>
      <c r="H4051" s="13" t="n">
        <f aca="false">Sens!$H$4040/Sens!$H$4022</f>
        <v>0.320477578041224</v>
      </c>
      <c r="I4051" s="13" t="n">
        <f aca="false">Sens!$I$4040/Sens!$I$4022</f>
        <v>0.296936118226494</v>
      </c>
      <c r="J4051" s="13" t="n">
        <f aca="false">Sens!$J$4040/Sens!$J$4022</f>
        <v>0.282166278613001</v>
      </c>
      <c r="K4051" s="13" t="n">
        <f aca="false">Sens!$K$4040/Sens!$K$4022</f>
        <v>0.252969102881543</v>
      </c>
      <c r="L4051" s="13" t="n">
        <f aca="false">Sens!$L$4040/Sens!$L$4022</f>
        <v>0.240728642826566</v>
      </c>
      <c r="M4051" s="13" t="n">
        <f aca="false">Sens!$M$4040/Sens!$M$4022</f>
        <v>0.227399920863147</v>
      </c>
      <c r="N4051" s="13" t="n">
        <f aca="false">Sens!$N$4040/Sens!$N$4022</f>
        <v>0.302870734830849</v>
      </c>
      <c r="O4051" s="13" t="n">
        <f aca="false">Sens!$O$4040/Sens!$O$4022</f>
        <v>0.52240134346334</v>
      </c>
    </row>
    <row r="4052" customFormat="false" ht="15" hidden="false" customHeight="false" outlineLevel="0" collapsed="false">
      <c r="A4052" s="5" t="s">
        <v>736</v>
      </c>
      <c r="B4052" s="0" t="s">
        <v>52</v>
      </c>
      <c r="C4052" s="13" t="n">
        <f aca="false">Sens!$C$4044/Sens!$C$4024</f>
        <v>0.107519448742004</v>
      </c>
      <c r="D4052" s="13" t="n">
        <f aca="false">Sens!$D$4044/Sens!$D$4024</f>
        <v>0.111552967957552</v>
      </c>
      <c r="E4052" s="13" t="n">
        <f aca="false">Sens!$E$4044/Sens!$E$4024</f>
        <v>0.13428328426562</v>
      </c>
      <c r="F4052" s="13" t="n">
        <f aca="false">Sens!$F$4044/Sens!$F$4024</f>
        <v>0.129167844525589</v>
      </c>
      <c r="G4052" s="13" t="n">
        <f aca="false">Sens!$G$4044/Sens!$G$4024</f>
        <v>0.131557773771988</v>
      </c>
      <c r="H4052" s="13" t="n">
        <f aca="false">Sens!$H$4044/Sens!$H$4024</f>
        <v>0.134469446544968</v>
      </c>
      <c r="I4052" s="13" t="n">
        <f aca="false">Sens!$I$4044/Sens!$I$4024</f>
        <v>0.137015819935802</v>
      </c>
      <c r="J4052" s="13" t="n">
        <f aca="false">Sens!$J$4044/Sens!$J$4024</f>
        <v>0.137984149859146</v>
      </c>
      <c r="K4052" s="13" t="n">
        <f aca="false">Sens!$K$4044/Sens!$K$4024</f>
        <v>0.134668568023242</v>
      </c>
      <c r="L4052" s="13" t="n">
        <f aca="false">Sens!$L$4044/Sens!$L$4024</f>
        <v>0.133011500909155</v>
      </c>
      <c r="M4052" s="13" t="n">
        <f aca="false">Sens!$M$4044/Sens!$M$4024</f>
        <v>0.131864182341789</v>
      </c>
      <c r="N4052" s="13" t="n">
        <f aca="false">Sens!$N$4044/Sens!$N$4024</f>
        <v>0.116201614873411</v>
      </c>
      <c r="O4052" s="13" t="n">
        <f aca="false">Sens!$O$4044/Sens!$O$4024</f>
        <v>0.107733353660861</v>
      </c>
    </row>
    <row r="4053" customFormat="false" ht="17.15" hidden="false" customHeight="false" outlineLevel="0" collapsed="false">
      <c r="A4053" s="1" t="s">
        <v>737</v>
      </c>
    </row>
    <row r="4054" customFormat="false" ht="17.15" hidden="false" customHeight="false" outlineLevel="0" collapsed="false">
      <c r="A4054" s="5" t="s">
        <v>738</v>
      </c>
      <c r="B4054" s="0" t="s">
        <v>52</v>
      </c>
      <c r="D4054" s="28" t="n">
        <f aca="false">(Q!$E$29+Q!$E$30-(1-ext_sh)*Sens!$D$3976)/Sens!$D$3932</f>
        <v>0.0334674312393194</v>
      </c>
    </row>
    <row r="4055" customFormat="false" ht="17.15" hidden="false" customHeight="false" outlineLevel="0" collapsed="false">
      <c r="A4055" s="0" t="s">
        <v>535</v>
      </c>
      <c r="B4055" s="0" t="s">
        <v>86</v>
      </c>
      <c r="C4055" s="38" t="n">
        <f aca="false">Q!$D$29</f>
        <v>14.285</v>
      </c>
      <c r="D4055" s="38" t="n">
        <f aca="false">Q!$E$29</f>
        <v>15.503</v>
      </c>
      <c r="E4055" s="38" t="n">
        <f aca="false">Q!$P$29</f>
        <v>8.78</v>
      </c>
      <c r="F4055" s="38" t="n">
        <f aca="false">(Sens!$D$4054*Sens!$F$3932+(1-ext_sh)*Sens!$F$3976)*Sens!$F$3933</f>
        <v>9.32404990199157</v>
      </c>
      <c r="G4055" s="38" t="n">
        <f aca="false">Sens!$E$4055+Sens!$F$4055</f>
        <v>18.1040499019916</v>
      </c>
      <c r="H4055" s="38" t="n">
        <f aca="false">(Sens!$D$4054*Sens!$H$3932+(1-ext_sh)*Sens!$H$3976)*Sens!$H$3933</f>
        <v>22.5382541201496</v>
      </c>
      <c r="I4055" s="38" t="n">
        <f aca="false">(Sens!$D$4054*Sens!$I$3932+(1-ext_sh)*Sens!$I$3976)*Sens!$I$3933</f>
        <v>28.1404901073502</v>
      </c>
      <c r="J4055" s="38" t="n">
        <f aca="false">(Sens!$D$4054*Sens!$J$3932+(1-ext_sh)*Sens!$J$3976)*Sens!$J$3933</f>
        <v>33.7408221596408</v>
      </c>
      <c r="K4055" s="38" t="n">
        <f aca="false">(Sens!$D$4054*Sens!$K$3932+(1-ext_sh)*Sens!$K$3976)*Sens!$K$3933</f>
        <v>39.2240019048862</v>
      </c>
      <c r="L4055" s="38" t="n">
        <f aca="false">(Sens!$D$4054*Sens!$L$3932+(1-ext_sh)*Sens!$L$3976)*Sens!$L$3933</f>
        <v>43.2749762667485</v>
      </c>
      <c r="M4055" s="38" t="n">
        <f aca="false">(Sens!$D$4054*Sens!$M$3932+(1-ext_sh)*Sens!$M$3976)*Sens!$M$3933</f>
        <v>46.2945464782866</v>
      </c>
      <c r="N4055" s="38" t="n">
        <f aca="false">Q!$N$29</f>
        <v>7.272</v>
      </c>
      <c r="O4055" s="38" t="n">
        <f aca="false">Q!$O$29</f>
        <v>8.231</v>
      </c>
    </row>
    <row r="4056" customFormat="false" ht="17.15" hidden="false" customHeight="false" outlineLevel="0" collapsed="false">
      <c r="A4056" s="0" t="s">
        <v>537</v>
      </c>
      <c r="B4056" s="0" t="s">
        <v>86</v>
      </c>
      <c r="C4056" s="38" t="n">
        <f aca="false">Q!$D$30</f>
        <v>4.462</v>
      </c>
      <c r="D4056" s="38" t="n">
        <f aca="false">Q!$E$30</f>
        <v>4.907</v>
      </c>
      <c r="E4056" s="38" t="n">
        <f aca="false">Q!$P$30</f>
        <v>2.57</v>
      </c>
      <c r="F4056" s="38" t="n">
        <f aca="false">(Sens!$D$4054*Sens!$F$3932+(1-ext_sh)*Sens!$F$3976)*(1-Sens!$F$3933)</f>
        <v>3.66089330199472</v>
      </c>
      <c r="G4056" s="38" t="n">
        <f aca="false">Sens!$E$4056+Sens!$F$4056</f>
        <v>6.23089330199472</v>
      </c>
      <c r="H4056" s="38" t="n">
        <f aca="false">(Sens!$D$4054*Sens!$H$3932+(1-ext_sh)*Sens!$H$3976)*(1-Sens!$H$3933)</f>
        <v>8.6329588943938</v>
      </c>
      <c r="I4056" s="38" t="n">
        <f aca="false">(Sens!$D$4054*Sens!$I$3932+(1-ext_sh)*Sens!$I$3976)*(1-Sens!$I$3933)</f>
        <v>10.7788160107601</v>
      </c>
      <c r="J4056" s="38" t="n">
        <f aca="false">(Sens!$D$4054*Sens!$J$3932+(1-ext_sh)*Sens!$J$3976)*(1-Sens!$J$3933)</f>
        <v>12.9239438518362</v>
      </c>
      <c r="K4056" s="38" t="n">
        <f aca="false">(Sens!$D$4054*Sens!$K$3932+(1-ext_sh)*Sens!$K$3976)*(1-Sens!$K$3933)</f>
        <v>15.0241981616391</v>
      </c>
      <c r="L4056" s="38" t="n">
        <f aca="false">(Sens!$D$4054*Sens!$L$3932+(1-ext_sh)*Sens!$L$3976)*(1-Sens!$L$3933)</f>
        <v>16.5758664923699</v>
      </c>
      <c r="M4056" s="38" t="n">
        <f aca="false">(Sens!$D$4054*Sens!$M$3932+(1-ext_sh)*Sens!$M$3976)*(1-Sens!$M$3933)</f>
        <v>17.7324700773672</v>
      </c>
      <c r="N4056" s="38" t="n">
        <f aca="false">Q!$N$30</f>
        <v>2.316</v>
      </c>
      <c r="O4056" s="38" t="n">
        <f aca="false">Q!$O$30</f>
        <v>2.591</v>
      </c>
    </row>
    <row r="4057" customFormat="false" ht="17.15" hidden="false" customHeight="false" outlineLevel="0" collapsed="false">
      <c r="A4057" s="0" t="s">
        <v>538</v>
      </c>
      <c r="B4057" s="0" t="s">
        <v>86</v>
      </c>
      <c r="C4057" s="38" t="n">
        <f aca="false">Sens!$C$3988</f>
        <v>13.32</v>
      </c>
      <c r="D4057" s="38" t="n">
        <f aca="false">Sens!$D$3988</f>
        <v>21.45</v>
      </c>
      <c r="E4057" s="38" t="n">
        <f aca="false">Sens!$E$3988</f>
        <v>15.353</v>
      </c>
      <c r="F4057" s="38" t="n">
        <f aca="false">Sens!$F$3988</f>
        <v>16.3063747611001</v>
      </c>
      <c r="G4057" s="38" t="n">
        <f aca="false">Sens!$G$3988</f>
        <v>31.6593747611001</v>
      </c>
      <c r="H4057" s="38" t="n">
        <f aca="false">Sens!$H$3988</f>
        <v>53.124242092105</v>
      </c>
      <c r="I4057" s="38" t="n">
        <f aca="false">Sens!$I$3988</f>
        <v>78.046828098133</v>
      </c>
      <c r="J4057" s="38" t="n">
        <f aca="false">Sens!$J$3988</f>
        <v>103.663976940352</v>
      </c>
      <c r="K4057" s="38" t="n">
        <f aca="false">Sens!$K$3988</f>
        <v>129.625086115469</v>
      </c>
      <c r="L4057" s="38" t="n">
        <f aca="false">Sens!$L$3988</f>
        <v>147.435052382502</v>
      </c>
      <c r="M4057" s="38" t="n">
        <f aca="false">Sens!$M$3988</f>
        <v>159.299754080279</v>
      </c>
      <c r="N4057" s="38" t="n">
        <f aca="false">Sens!$N$3988</f>
        <v>9.234</v>
      </c>
      <c r="O4057" s="38" t="n">
        <f aca="false">Sens!$O$3988</f>
        <v>12.216</v>
      </c>
    </row>
    <row r="4058" customFormat="false" ht="17.15" hidden="false" customHeight="false" outlineLevel="0" collapsed="false">
      <c r="A4058" s="5" t="s">
        <v>739</v>
      </c>
      <c r="B4058" s="0" t="s">
        <v>86</v>
      </c>
      <c r="C4058" s="38" t="n">
        <f aca="false">Sens!$C$4055+Sens!$C$4056+Sens!$C$4057</f>
        <v>32.067</v>
      </c>
      <c r="D4058" s="38" t="n">
        <f aca="false">Sens!$D$4055+Sens!$D$4056+Sens!$D$4057</f>
        <v>41.86</v>
      </c>
      <c r="E4058" s="38" t="n">
        <f aca="false">Sens!$E$4055+Sens!$E$4056+Sens!$E$4057</f>
        <v>26.703</v>
      </c>
      <c r="F4058" s="38" t="n">
        <f aca="false">Sens!$F$4055+Sens!$F$4056+Sens!$F$4057</f>
        <v>29.2913179650864</v>
      </c>
      <c r="G4058" s="38" t="n">
        <f aca="false">Sens!$G$4055+Sens!$G$4056+Sens!$G$4057</f>
        <v>55.9943179650864</v>
      </c>
      <c r="H4058" s="38" t="n">
        <f aca="false">Sens!$H$4055+Sens!$H$4056+Sens!$H$4057</f>
        <v>84.2954551066484</v>
      </c>
      <c r="I4058" s="38" t="n">
        <f aca="false">Sens!$I$4055+Sens!$I$4056+Sens!$I$4057</f>
        <v>116.966134216243</v>
      </c>
      <c r="J4058" s="38" t="n">
        <f aca="false">Sens!$J$4055+Sens!$J$4056+Sens!$J$4057</f>
        <v>150.328742951829</v>
      </c>
      <c r="K4058" s="38" t="n">
        <f aca="false">Sens!$K$4055+Sens!$K$4056+Sens!$K$4057</f>
        <v>183.873286181994</v>
      </c>
      <c r="L4058" s="38" t="n">
        <f aca="false">Sens!$L$4055+Sens!$L$4056+Sens!$L$4057</f>
        <v>207.285895141621</v>
      </c>
      <c r="M4058" s="38" t="n">
        <f aca="false">Sens!$M$4055+Sens!$M$4056+Sens!$M$4057</f>
        <v>223.326770635933</v>
      </c>
      <c r="N4058" s="38" t="n">
        <f aca="false">Sens!$N$4055+Sens!$N$4056+Sens!$N$4057</f>
        <v>18.822</v>
      </c>
      <c r="O4058" s="38" t="n">
        <f aca="false">Sens!$O$4055+Sens!$O$4056+Sens!$O$4057</f>
        <v>23.038</v>
      </c>
    </row>
    <row r="4059" customFormat="false" ht="17.15" hidden="false" customHeight="false" outlineLevel="0" collapsed="false">
      <c r="A4059" s="0" t="s">
        <v>740</v>
      </c>
      <c r="B4059" s="0" t="s">
        <v>86</v>
      </c>
      <c r="C4059" s="38" t="n">
        <f aca="false">Sens!$C$4030+Sens!$C$4035</f>
        <v>28.107</v>
      </c>
      <c r="D4059" s="38" t="n">
        <f aca="false">Sens!$D$4030+Sens!$D$4035</f>
        <v>34.3175</v>
      </c>
      <c r="E4059" s="38" t="n">
        <f aca="false">Sens!$E$4030+Sens!$E$4035</f>
        <v>18.526</v>
      </c>
      <c r="F4059" s="38" t="n">
        <f aca="false">Sens!$F$4030+Sens!$F$4035</f>
        <v>23.0786109972074</v>
      </c>
      <c r="G4059" s="38" t="n">
        <f aca="false">Sens!$G$4030+Sens!$G$4035</f>
        <v>41.6046109972074</v>
      </c>
      <c r="H4059" s="38" t="n">
        <f aca="false">Sens!$H$4030+Sens!$H$4035</f>
        <v>49.6364266114697</v>
      </c>
      <c r="I4059" s="38" t="n">
        <f aca="false">Sens!$I$4030+Sens!$I$4035</f>
        <v>57.182854162364</v>
      </c>
      <c r="J4059" s="38" t="n">
        <f aca="false">Sens!$J$4030+Sens!$J$4035</f>
        <v>63.5311248498083</v>
      </c>
      <c r="K4059" s="38" t="n">
        <f aca="false">Sens!$K$4030+Sens!$K$4035</f>
        <v>67.9783035892949</v>
      </c>
      <c r="L4059" s="38" t="n">
        <f aca="false">Sens!$L$4030+Sens!$L$4035</f>
        <v>72.7367848405456</v>
      </c>
      <c r="M4059" s="38" t="n">
        <f aca="false">Sens!$M$4030+Sens!$M$4035</f>
        <v>77.8283597793838</v>
      </c>
      <c r="N4059" s="38" t="n">
        <f aca="false">Sens!$N$4030+Sens!$N$4035</f>
        <v>14.8075</v>
      </c>
      <c r="O4059" s="38" t="n">
        <f aca="false">Sens!$O$4030+Sens!$O$4035</f>
        <v>19.51</v>
      </c>
    </row>
    <row r="4060" customFormat="false" ht="17.15" hidden="false" customHeight="false" outlineLevel="0" collapsed="false">
      <c r="A4060" s="0" t="s">
        <v>741</v>
      </c>
      <c r="B4060" s="0" t="s">
        <v>86</v>
      </c>
      <c r="C4060" s="38" t="n">
        <f aca="false">Sens!$C$4034+Sens!$C$4039+Sens!$C$4055+Sens!$C$4056-Sens!$C$4059</f>
        <v>19.399</v>
      </c>
      <c r="D4060" s="38" t="n">
        <f aca="false">Sens!$D$4034+Sens!$D$4039+Sens!$D$4055+Sens!$D$4056-Sens!$D$4059</f>
        <v>20.4615</v>
      </c>
      <c r="E4060" s="38" t="n">
        <f aca="false">Sens!$E$4034+Sens!$E$4039+Sens!$E$4055+Sens!$E$4056-Sens!$E$4059</f>
        <v>13.355</v>
      </c>
      <c r="F4060" s="38" t="n">
        <f aca="false">Sens!$F$4034+Sens!$F$4039+Sens!$F$4055+Sens!$F$4056-Sens!$F$4059</f>
        <v>12.7882167664549</v>
      </c>
      <c r="G4060" s="38" t="n">
        <f aca="false">Sens!$G$4034+Sens!$G$4039+Sens!$G$4055+Sens!$G$4056-Sens!$G$4059</f>
        <v>26.1432167664549</v>
      </c>
      <c r="H4060" s="38" t="n">
        <f aca="false">Sens!$H$4034+Sens!$H$4039+Sens!$H$4055+Sens!$H$4056-Sens!$H$4059</f>
        <v>28.5263667343158</v>
      </c>
      <c r="I4060" s="38" t="n">
        <f aca="false">Sens!$I$4034+Sens!$I$4039+Sens!$I$4055+Sens!$I$4056-Sens!$I$4059</f>
        <v>30.7310313759188</v>
      </c>
      <c r="J4060" s="38" t="n">
        <f aca="false">Sens!$J$4034+Sens!$J$4039+Sens!$J$4055+Sens!$J$4056-Sens!$J$4059</f>
        <v>32.8851492770524</v>
      </c>
      <c r="K4060" s="38" t="n">
        <f aca="false">Sens!$K$4034+Sens!$K$4039+Sens!$K$4055+Sens!$K$4056-Sens!$K$4059</f>
        <v>35.151456560226</v>
      </c>
      <c r="L4060" s="38" t="n">
        <f aca="false">Sens!$L$4034+Sens!$L$4039+Sens!$L$4055+Sens!$L$4056-Sens!$L$4059</f>
        <v>36.6191358550431</v>
      </c>
      <c r="M4060" s="38" t="n">
        <f aca="false">Sens!$M$4034+Sens!$M$4039+Sens!$M$4055+Sens!$M$4056-Sens!$M$4059</f>
        <v>38.858006134866</v>
      </c>
      <c r="N4060" s="38" t="n">
        <f aca="false">Sens!$N$4034+Sens!$N$4039+Sens!$N$4055+Sens!$N$4056-Sens!$N$4059</f>
        <v>10.6495</v>
      </c>
      <c r="O4060" s="38" t="n">
        <f aca="false">Sens!$O$4034+Sens!$O$4039+Sens!$O$4055+Sens!$O$4056-Sens!$O$4059</f>
        <v>9.81200000000001</v>
      </c>
    </row>
    <row r="4061" customFormat="false" ht="17.15" hidden="false" customHeight="false" outlineLevel="0" collapsed="false">
      <c r="A4061" s="0" t="s">
        <v>742</v>
      </c>
      <c r="B4061" s="0" t="s">
        <v>86</v>
      </c>
      <c r="C4061" s="38" t="n">
        <f aca="false">Sens!$C$4041+Sens!$C$4057-ext_sh*Sens!$C$3976</f>
        <v>51.3470500115664</v>
      </c>
      <c r="D4061" s="38" t="n">
        <f aca="false">Sens!$D$4041+Sens!$D$4057-ext_sh*Sens!$D$3976</f>
        <v>60.2799375433739</v>
      </c>
      <c r="E4061" s="38" t="n">
        <f aca="false">Sens!$E$4041+Sens!$E$4057-ext_sh*Sens!$E$3976</f>
        <v>39.5095167090767</v>
      </c>
      <c r="F4061" s="38" t="n">
        <f aca="false">Sens!$F$4041+Sens!$F$4057-ext_sh*Sens!$F$3976</f>
        <v>37.993321722478</v>
      </c>
      <c r="G4061" s="38" t="n">
        <f aca="false">Sens!$G$4041+Sens!$G$4057-ext_sh*Sens!$G$3976</f>
        <v>77.5028384315548</v>
      </c>
      <c r="H4061" s="38" t="n">
        <f aca="false">Sens!$H$4041+Sens!$H$4057-ext_sh*Sens!$H$3976</f>
        <v>85.2394217279746</v>
      </c>
      <c r="I4061" s="38" t="n">
        <f aca="false">Sens!$I$4041+Sens!$I$4057-ext_sh*Sens!$I$3976</f>
        <v>94.6373589713254</v>
      </c>
      <c r="J4061" s="38" t="n">
        <f aca="false">Sens!$J$4041+Sens!$J$4057-ext_sh*Sens!$J$3976</f>
        <v>103.639899284146</v>
      </c>
      <c r="K4061" s="38" t="n">
        <f aca="false">Sens!$K$4041+Sens!$K$4057-ext_sh*Sens!$K$3976</f>
        <v>111.931091226878</v>
      </c>
      <c r="L4061" s="38" t="n">
        <f aca="false">Sens!$L$4041+Sens!$L$4057-ext_sh*Sens!$L$3976</f>
        <v>120.885578525028</v>
      </c>
      <c r="M4061" s="38" t="n">
        <f aca="false">Sens!$M$4041+Sens!$M$4057-ext_sh*Sens!$M$3976</f>
        <v>130.55642480703</v>
      </c>
      <c r="N4061" s="38" t="n">
        <f aca="false">Sens!$N$4041+Sens!$N$4057-ext_sh*Sens!$N$3976</f>
        <v>28.5693781401809</v>
      </c>
      <c r="O4061" s="38" t="n">
        <f aca="false">Sens!$O$4041+Sens!$O$4057-ext_sh*Sens!$O$3976</f>
        <v>31.7105594031931</v>
      </c>
    </row>
    <row r="4062" customFormat="false" ht="17.15" hidden="false" customHeight="false" outlineLevel="0" collapsed="false">
      <c r="A4062" s="0" t="s">
        <v>743</v>
      </c>
      <c r="B4062" s="0" t="s">
        <v>86</v>
      </c>
      <c r="C4062" s="38" t="n">
        <f aca="false">Sens!$C$3979</f>
        <v>1.80694998843362</v>
      </c>
      <c r="D4062" s="38" t="n">
        <f aca="false">Sens!$D$3979</f>
        <v>6.77606245662607</v>
      </c>
      <c r="E4062" s="38" t="n">
        <f aca="false">Sens!$E$3979</f>
        <v>6.62548329092326</v>
      </c>
      <c r="F4062" s="38" t="n">
        <f aca="false">Sens!$F$3979</f>
        <v>11.7200577158706</v>
      </c>
      <c r="G4062" s="38" t="n">
        <f aca="false">Sens!$G$3979</f>
        <v>18.3455410067939</v>
      </c>
      <c r="H4062" s="38" t="n">
        <f aca="false">Sens!$H$3979</f>
        <v>47.5171727060453</v>
      </c>
      <c r="I4062" s="38" t="n">
        <f aca="false">Sens!$I$3979</f>
        <v>80.5539692643667</v>
      </c>
      <c r="J4062" s="38" t="n">
        <f aca="false">Sens!$J$3979</f>
        <v>113.759316834883</v>
      </c>
      <c r="K4062" s="38" t="n">
        <f aca="false">Sens!$K$3979</f>
        <v>142.084411492169</v>
      </c>
      <c r="L4062" s="38" t="n">
        <f aca="false">Sens!$L$3979</f>
        <v>160.69964615804</v>
      </c>
      <c r="M4062" s="38" t="n">
        <f aca="false">Sens!$M$3979</f>
        <v>169.577607141793</v>
      </c>
      <c r="N4062" s="38" t="n">
        <f aca="false">Sens!$N$3979</f>
        <v>2.37162185981912</v>
      </c>
      <c r="O4062" s="38" t="n">
        <f aca="false">Sens!$O$3979</f>
        <v>4.40444059680694</v>
      </c>
    </row>
    <row r="4063" customFormat="false" ht="17.15" hidden="false" customHeight="false" outlineLevel="0" collapsed="false">
      <c r="A4063" s="0" t="s">
        <v>744</v>
      </c>
      <c r="B4063" s="0" t="s">
        <v>86</v>
      </c>
      <c r="C4063" s="38" t="n">
        <f aca="false">Sens!$C$4044+Sens!$C$4058</f>
        <v>100.66</v>
      </c>
      <c r="D4063" s="38" t="n">
        <f aca="false">Sens!$D$4044+Sens!$D$4058</f>
        <v>121.835</v>
      </c>
      <c r="E4063" s="38" t="n">
        <f aca="false">Sens!$E$4044+Sens!$E$4058</f>
        <v>78.016</v>
      </c>
      <c r="F4063" s="38" t="n">
        <f aca="false">Sens!$F$4044+Sens!$F$4058</f>
        <v>85.580207202011</v>
      </c>
      <c r="G4063" s="38" t="n">
        <f aca="false">Sens!$G$4044+Sens!$G$4058</f>
        <v>163.596207202011</v>
      </c>
      <c r="H4063" s="38" t="n">
        <f aca="false">Sens!$H$4044+Sens!$H$4058</f>
        <v>210.919387779805</v>
      </c>
      <c r="I4063" s="38" t="n">
        <f aca="false">Sens!$I$4044+Sens!$I$4058</f>
        <v>263.105213773975</v>
      </c>
      <c r="J4063" s="38" t="n">
        <f aca="false">Sens!$J$4044+Sens!$J$4058</f>
        <v>313.81549024589</v>
      </c>
      <c r="K4063" s="38" t="n">
        <f aca="false">Sens!$K$4044+Sens!$K$4058</f>
        <v>357.145262868568</v>
      </c>
      <c r="L4063" s="38" t="n">
        <f aca="false">Sens!$L$4044+Sens!$L$4058</f>
        <v>390.941145378657</v>
      </c>
      <c r="M4063" s="38" t="n">
        <f aca="false">Sens!$M$4044+Sens!$M$4058</f>
        <v>416.820397863074</v>
      </c>
      <c r="N4063" s="38" t="n">
        <f aca="false">Sens!$N$4044+Sens!$N$4058</f>
        <v>56.398</v>
      </c>
      <c r="O4063" s="38" t="n">
        <f aca="false">Sens!$O$4044+Sens!$O$4058</f>
        <v>65.437</v>
      </c>
    </row>
    <row r="4064" customFormat="false" ht="17.15" hidden="false" customHeight="false" outlineLevel="0" collapsed="false">
      <c r="A4064" s="1" t="s">
        <v>745</v>
      </c>
    </row>
    <row r="4065" customFormat="false" ht="15" hidden="false" customHeight="false" outlineLevel="0" collapsed="false">
      <c r="A4065" s="5" t="s">
        <v>541</v>
      </c>
      <c r="B4065" s="0" t="s">
        <v>86</v>
      </c>
      <c r="C4065" s="38" t="n">
        <f aca="false">Q!$D$34</f>
        <v>2.406</v>
      </c>
      <c r="D4065" s="38" t="n">
        <f aca="false">Q!$E$34</f>
        <v>2.274</v>
      </c>
      <c r="E4065" s="38" t="n">
        <f aca="false">Q!$P$34</f>
        <v>2.114</v>
      </c>
      <c r="F4065" s="38" t="n">
        <f aca="false">Sens!$F$4103</f>
        <v>3.24888962733561</v>
      </c>
      <c r="G4065" s="38" t="n">
        <f aca="false">Sens!$E$4065+Sens!$F$4065</f>
        <v>5.36288962733561</v>
      </c>
      <c r="H4065" s="38" t="n">
        <f aca="false">Sens!$H$4103</f>
        <v>7.42354172302123</v>
      </c>
      <c r="I4065" s="38" t="n">
        <f aca="false">Sens!$I$4103</f>
        <v>8.30994345561331</v>
      </c>
      <c r="J4065" s="38" t="n">
        <f aca="false">Sens!$J$4103</f>
        <v>9.35440914801148</v>
      </c>
      <c r="K4065" s="38" t="n">
        <f aca="false">Sens!$K$4103</f>
        <v>9.35440914801148</v>
      </c>
      <c r="L4065" s="38" t="n">
        <f aca="false">Sens!$L$4103</f>
        <v>9.35440914801148</v>
      </c>
      <c r="M4065" s="38" t="n">
        <f aca="false">Sens!$M$4103</f>
        <v>9.35440914801148</v>
      </c>
      <c r="N4065" s="38" t="n">
        <f aca="false">Q!$N$34</f>
        <v>1.057</v>
      </c>
      <c r="O4065" s="38" t="n">
        <f aca="false">Q!$O$34</f>
        <v>1.217</v>
      </c>
    </row>
    <row r="4066" customFormat="false" ht="15" hidden="false" customHeight="false" outlineLevel="0" collapsed="false">
      <c r="A4066" s="5" t="s">
        <v>746</v>
      </c>
      <c r="B4066" s="0" t="s">
        <v>86</v>
      </c>
      <c r="F4066" s="38" t="n">
        <f aca="false">Sens!$F$4104</f>
        <v>2.59</v>
      </c>
      <c r="H4066" s="38" t="n">
        <f aca="false">Sens!$H$4104</f>
        <v>3.80133635330174</v>
      </c>
      <c r="I4066" s="38" t="n">
        <f aca="false">Sens!$I$4104</f>
        <v>2.10589651022864</v>
      </c>
      <c r="J4066" s="38" t="n">
        <f aca="false">Sens!$J$4104</f>
        <v>2.10589651022864</v>
      </c>
      <c r="K4066" s="38" t="n">
        <f aca="false">Sens!$K$4104</f>
        <v>3.0548742119873</v>
      </c>
      <c r="L4066" s="38" t="n">
        <f aca="false">Sens!$L$4104</f>
        <v>7.99183194408666</v>
      </c>
      <c r="M4066" s="38" t="n">
        <f aca="false">Sens!$M$4104</f>
        <v>15.2958727595785</v>
      </c>
    </row>
    <row r="4067" customFormat="false" ht="17.15" hidden="false" customHeight="false" outlineLevel="0" collapsed="false">
      <c r="A4067" s="5" t="s">
        <v>747</v>
      </c>
      <c r="B4067" s="0" t="s">
        <v>86</v>
      </c>
      <c r="C4067" s="38" t="n">
        <f aca="false">Q!$D$39</f>
        <v>2.427</v>
      </c>
      <c r="D4067" s="38" t="n">
        <f aca="false">Q!$E$39</f>
        <v>19.61</v>
      </c>
      <c r="E4067" s="38" t="n">
        <f aca="false">Q!$P$39</f>
        <v>71.492</v>
      </c>
      <c r="F4067" s="39" t="n">
        <v>0</v>
      </c>
      <c r="G4067" s="38" t="n">
        <f aca="false">Sens!$E$4067+Sens!$F$4067</f>
        <v>71.492</v>
      </c>
      <c r="H4067" s="39" t="n">
        <v>0</v>
      </c>
      <c r="I4067" s="39" t="n">
        <v>0</v>
      </c>
      <c r="J4067" s="39" t="n">
        <v>0</v>
      </c>
      <c r="K4067" s="39" t="n">
        <v>0</v>
      </c>
      <c r="L4067" s="39" t="n">
        <v>0</v>
      </c>
      <c r="M4067" s="39" t="n">
        <v>0</v>
      </c>
      <c r="N4067" s="38" t="n">
        <f aca="false">Q!$N$39</f>
        <v>6.017</v>
      </c>
      <c r="O4067" s="38" t="n">
        <f aca="false">Q!$O$39</f>
        <v>13.593</v>
      </c>
      <c r="P4067" s="5" t="s">
        <v>748</v>
      </c>
    </row>
    <row r="4068" customFormat="false" ht="15" hidden="false" customHeight="false" outlineLevel="0" collapsed="false">
      <c r="A4068" s="5" t="s">
        <v>544</v>
      </c>
      <c r="B4068" s="0" t="s">
        <v>86</v>
      </c>
      <c r="C4068" s="38" t="n">
        <f aca="false">Q!$D$36</f>
        <v>68.614</v>
      </c>
      <c r="D4068" s="38" t="n">
        <f aca="false">Q!$E$36</f>
        <v>97.311</v>
      </c>
      <c r="E4068" s="38" t="n">
        <f aca="false">Q!$P$36</f>
        <v>120.691</v>
      </c>
      <c r="F4068" s="38" t="n">
        <f aca="false">Sens!$F$4044-Sens!$F$4065+Sens!$F$4066+Sens!$F$4067</f>
        <v>55.629999609589</v>
      </c>
      <c r="G4068" s="38" t="n">
        <f aca="false">Sens!$E$4068+Sens!$F$4068</f>
        <v>176.320999609589</v>
      </c>
      <c r="H4068" s="38" t="n">
        <f aca="false">Sens!$H$4044-Sens!$H$4065+Sens!$H$4066+Sens!$H$4067</f>
        <v>123.001727303438</v>
      </c>
      <c r="I4068" s="38" t="n">
        <f aca="false">Sens!$I$4044-Sens!$I$4065+Sens!$I$4066+Sens!$I$4067</f>
        <v>139.935032612347</v>
      </c>
      <c r="J4068" s="38" t="n">
        <f aca="false">Sens!$J$4044-Sens!$J$4065+Sens!$J$4066+Sens!$J$4067</f>
        <v>156.238234656279</v>
      </c>
      <c r="K4068" s="38" t="n">
        <f aca="false">Sens!$K$4044-Sens!$K$4065+Sens!$K$4066+Sens!$K$4067</f>
        <v>166.97244175055</v>
      </c>
      <c r="L4068" s="38" t="n">
        <f aca="false">Sens!$L$4044-Sens!$L$4065+Sens!$L$4066+Sens!$L$4067</f>
        <v>182.292673033111</v>
      </c>
      <c r="M4068" s="38" t="n">
        <f aca="false">Sens!$M$4044-Sens!$M$4065+Sens!$M$4066+Sens!$M$4067</f>
        <v>199.435090838707</v>
      </c>
      <c r="N4068" s="38" t="n">
        <f aca="false">Q!$N$36</f>
        <v>42.536</v>
      </c>
      <c r="O4068" s="38" t="n">
        <f aca="false">Q!$O$36</f>
        <v>54.775</v>
      </c>
    </row>
    <row r="4069" customFormat="false" ht="15" hidden="false" customHeight="false" outlineLevel="0" collapsed="false">
      <c r="A4069" s="5" t="s">
        <v>545</v>
      </c>
      <c r="B4069" s="0" t="s">
        <v>86</v>
      </c>
      <c r="C4069" s="38" t="n">
        <f aca="false">Q!$D$37</f>
        <v>9.265</v>
      </c>
      <c r="D4069" s="38" t="n">
        <f aca="false">Q!$E$37</f>
        <v>19.087</v>
      </c>
      <c r="E4069" s="38" t="n">
        <f aca="false">Q!$P$37</f>
        <v>27.759</v>
      </c>
      <c r="F4069" s="38" t="n">
        <f aca="false">Sens!$F$4068*tax</f>
        <v>9.65650714815835</v>
      </c>
      <c r="G4069" s="38" t="n">
        <f aca="false">Sens!$E$4069+Sens!$F$4069</f>
        <v>37.4155071481584</v>
      </c>
      <c r="H4069" s="38" t="n">
        <f aca="false">Sens!$H$4068*tax</f>
        <v>21.3511966075357</v>
      </c>
      <c r="I4069" s="38" t="n">
        <f aca="false">Sens!$I$4068*tax</f>
        <v>24.2905563937121</v>
      </c>
      <c r="J4069" s="38" t="n">
        <f aca="false">Sens!$J$4068*tax</f>
        <v>27.1205400029149</v>
      </c>
      <c r="K4069" s="38" t="n">
        <f aca="false">Sens!$K$4068*tax</f>
        <v>28.983832260026</v>
      </c>
      <c r="L4069" s="38" t="n">
        <f aca="false">Sens!$L$4068*tax</f>
        <v>31.6431873549341</v>
      </c>
      <c r="M4069" s="38" t="n">
        <f aca="false">Sens!$M$4068*tax</f>
        <v>34.6188458348583</v>
      </c>
      <c r="N4069" s="38" t="n">
        <f aca="false">Q!$N$37</f>
        <v>7.231</v>
      </c>
      <c r="O4069" s="38" t="n">
        <f aca="false">Q!$O$37</f>
        <v>11.856</v>
      </c>
    </row>
    <row r="4070" customFormat="false" ht="15" hidden="false" customHeight="false" outlineLevel="0" collapsed="false">
      <c r="A4070" s="3" t="s">
        <v>546</v>
      </c>
      <c r="B4070" s="8" t="s">
        <v>86</v>
      </c>
      <c r="C4070" s="38" t="n">
        <f aca="false">Q!$D$38</f>
        <v>59.248</v>
      </c>
      <c r="D4070" s="38" t="n">
        <f aca="false">Q!$E$38</f>
        <v>77.67</v>
      </c>
      <c r="E4070" s="38" t="n">
        <f aca="false">Q!$P$38</f>
        <v>92.902</v>
      </c>
      <c r="F4070" s="38" t="n">
        <f aca="false">Sens!$F$4068-Sens!$F$4069</f>
        <v>45.9734924614306</v>
      </c>
      <c r="G4070" s="38" t="n">
        <f aca="false">Sens!$E$4070+Sens!$F$4070</f>
        <v>138.875492461431</v>
      </c>
      <c r="H4070" s="38" t="n">
        <f aca="false">Sens!$H$4068-Sens!$H$4069</f>
        <v>101.650530695902</v>
      </c>
      <c r="I4070" s="38" t="n">
        <f aca="false">Sens!$I$4068-Sens!$I$4069</f>
        <v>115.644476218635</v>
      </c>
      <c r="J4070" s="38" t="n">
        <f aca="false">Sens!$J$4068-Sens!$J$4069</f>
        <v>129.117694653364</v>
      </c>
      <c r="K4070" s="38" t="n">
        <f aca="false">Sens!$K$4068-Sens!$K$4069</f>
        <v>137.988609490524</v>
      </c>
      <c r="L4070" s="38" t="n">
        <f aca="false">Sens!$L$4068-Sens!$L$4069</f>
        <v>150.649485678177</v>
      </c>
      <c r="M4070" s="38" t="n">
        <f aca="false">Sens!$M$4068-Sens!$M$4069</f>
        <v>164.816245003849</v>
      </c>
      <c r="N4070" s="38" t="n">
        <f aca="false">Q!$N$38</f>
        <v>35.291</v>
      </c>
      <c r="O4070" s="38" t="n">
        <f aca="false">Q!$O$38</f>
        <v>42.379</v>
      </c>
    </row>
    <row r="4071" customFormat="false" ht="17.15" hidden="false" customHeight="false" outlineLevel="0" collapsed="false">
      <c r="A4071" s="5" t="s">
        <v>549</v>
      </c>
      <c r="B4071" s="5" t="s">
        <v>33</v>
      </c>
      <c r="C4071" s="22" t="n">
        <f aca="false">Q!$D$41</f>
        <v>10.721</v>
      </c>
      <c r="D4071" s="22" t="n">
        <f aca="false">Q!$E$41</f>
        <v>10.827</v>
      </c>
      <c r="E4071" s="22" t="n">
        <f aca="false">(Q!$L$41+Q!$M$41)/2</f>
        <v>10.8885</v>
      </c>
      <c r="F4071" s="22" t="n">
        <f aca="false">Sens!$G$4071</f>
        <v>10.924806</v>
      </c>
      <c r="G4071" s="22" t="n">
        <f aca="false">Q!$M$41*(1+sh_g*0.25)</f>
        <v>10.924806</v>
      </c>
      <c r="H4071" s="22" t="n">
        <f aca="false">Sens!$G$4071*(1+sh_g)</f>
        <v>11.012204448</v>
      </c>
      <c r="I4071" s="22" t="n">
        <f aca="false">Sens!$H$4071*(1+sh_g)</f>
        <v>11.100302083584</v>
      </c>
      <c r="J4071" s="22" t="n">
        <f aca="false">Sens!$I$4071*(1+sh_g)</f>
        <v>11.1891045002527</v>
      </c>
      <c r="K4071" s="22" t="n">
        <f aca="false">Sens!$J$4071*(1+sh_g)</f>
        <v>11.2786173362547</v>
      </c>
      <c r="L4071" s="22" t="n">
        <f aca="false">Sens!$K$4071*(1+sh_g)</f>
        <v>11.3688462749447</v>
      </c>
      <c r="M4071" s="22" t="n">
        <f aca="false">Sens!$L$4071*(1+sh_g)</f>
        <v>11.4597970451443</v>
      </c>
      <c r="P4071" s="5" t="s">
        <v>749</v>
      </c>
    </row>
    <row r="4072" customFormat="false" ht="17.15" hidden="false" customHeight="false" outlineLevel="0" collapsed="false">
      <c r="A4072" s="5" t="s">
        <v>750</v>
      </c>
      <c r="B4072" s="0" t="s">
        <v>86</v>
      </c>
      <c r="C4072" s="38" t="n">
        <f aca="false">Sens!$C$4070+Sens!$C$4046*(1-tax)</f>
        <v>59.248</v>
      </c>
      <c r="D4072" s="38" t="n">
        <f aca="false">Sens!$D$4070+Sens!$D$4046*(1-tax)</f>
        <v>77.67</v>
      </c>
      <c r="E4072" s="38" t="n">
        <f aca="false">Sens!$E$4070+Sens!$E$4046*(1-tax)</f>
        <v>92.902</v>
      </c>
      <c r="F4072" s="38" t="n">
        <f aca="false">Sens!$F$4070+Sens!$F$4046*(1-tax)</f>
        <v>49.0900874210793</v>
      </c>
      <c r="G4072" s="38" t="n">
        <f aca="false">Sens!$G$4070+Sens!$G$4046*(1-tax)</f>
        <v>141.992087421079</v>
      </c>
      <c r="H4072" s="38" t="n">
        <f aca="false">Sens!$H$4070+Sens!$H$4046*(1-tax)</f>
        <v>114.181926651247</v>
      </c>
      <c r="I4072" s="38" t="n">
        <f aca="false">Sens!$I$4070+Sens!$I$4046*(1-tax)</f>
        <v>136.785741293574</v>
      </c>
      <c r="J4072" s="38" t="n">
        <f aca="false">Sens!$J$4070+Sens!$J$4046*(1-tax)</f>
        <v>158.907131597647</v>
      </c>
      <c r="K4072" s="38" t="n">
        <f aca="false">Sens!$K$4070+Sens!$K$4046*(1-tax)</f>
        <v>175.155915187183</v>
      </c>
      <c r="L4072" s="38" t="n">
        <f aca="false">Sens!$L$4070+Sens!$L$4046*(1-tax)</f>
        <v>192.665563018733</v>
      </c>
      <c r="M4072" s="38" t="n">
        <f aca="false">Sens!$M$4070+Sens!$M$4046*(1-tax)</f>
        <v>209.14576719469</v>
      </c>
      <c r="N4072" s="38" t="n">
        <f aca="false">Sens!$N$4070+Sens!$N$4046*(1-tax)</f>
        <v>35.291</v>
      </c>
      <c r="O4072" s="38" t="n">
        <f aca="false">Sens!$O$4070+Sens!$O$4046*(1-tax)</f>
        <v>42.379</v>
      </c>
    </row>
    <row r="4073" customFormat="false" ht="17.15" hidden="false" customHeight="false" outlineLevel="0" collapsed="false">
      <c r="A4073" s="43" t="s">
        <v>751</v>
      </c>
      <c r="B4073" s="14" t="s">
        <v>27</v>
      </c>
      <c r="C4073" s="44" t="n">
        <f aca="false">Sens!$C$4072/Sens!$C$4071</f>
        <v>5.52635015390355</v>
      </c>
      <c r="D4073" s="44" t="n">
        <f aca="false">Sens!$D$4072/Sens!$D$4071</f>
        <v>7.1737323358271</v>
      </c>
      <c r="E4073" s="44" t="n">
        <f aca="false">Sens!$E$4072/Sens!$E$4071</f>
        <v>8.53212104513937</v>
      </c>
      <c r="F4073" s="14"/>
      <c r="G4073" s="44" t="n">
        <f aca="false">Sens!$G$4072/Sens!$G$4071</f>
        <v>12.9972182042481</v>
      </c>
      <c r="H4073" s="44" t="n">
        <f aca="false">Sens!$H$4072/Sens!$H$4071</f>
        <v>10.3686711584785</v>
      </c>
      <c r="I4073" s="44" t="n">
        <f aca="false">Sens!$I$4072/Sens!$I$4071</f>
        <v>12.3227043970149</v>
      </c>
      <c r="J4073" s="44" t="n">
        <f aca="false">Sens!$J$4072/Sens!$J$4071</f>
        <v>14.2019525864701</v>
      </c>
      <c r="K4073" s="44" t="n">
        <f aca="false">Sens!$K$4072/Sens!$K$4071</f>
        <v>15.5299102687127</v>
      </c>
      <c r="L4073" s="44" t="n">
        <f aca="false">Sens!$L$4072/Sens!$L$4071</f>
        <v>16.9467999090936</v>
      </c>
      <c r="M4073" s="44" t="n">
        <f aca="false">Sens!$M$4072/Sens!$M$4071</f>
        <v>18.2503901570672</v>
      </c>
      <c r="N4073" s="14"/>
      <c r="O4073" s="14"/>
    </row>
    <row r="4074" customFormat="false" ht="17.15" hidden="false" customHeight="false" outlineLevel="0" collapsed="false">
      <c r="A4074" s="0" t="s">
        <v>752</v>
      </c>
      <c r="B4074" s="0" t="s">
        <v>27</v>
      </c>
      <c r="C4074" s="30" t="n">
        <f aca="false">Sens!$C$4070/Sens!$C$4071</f>
        <v>5.52635015390355</v>
      </c>
      <c r="D4074" s="30" t="n">
        <f aca="false">Sens!$D$4070/Sens!$D$4071</f>
        <v>7.1737323358271</v>
      </c>
      <c r="E4074" s="30" t="n">
        <f aca="false">Sens!$E$4070/Sens!$E$4071</f>
        <v>8.53212104513937</v>
      </c>
      <c r="G4074" s="30" t="n">
        <f aca="false">Sens!$G$4070/Sens!$G$4071</f>
        <v>12.7119412886078</v>
      </c>
      <c r="H4074" s="30" t="n">
        <f aca="false">Sens!$H$4070/Sens!$H$4071</f>
        <v>9.23071590033576</v>
      </c>
      <c r="I4074" s="30" t="n">
        <f aca="false">Sens!$I$4070/Sens!$I$4071</f>
        <v>10.418137754076</v>
      </c>
      <c r="J4074" s="30" t="n">
        <f aca="false">Sens!$J$4070/Sens!$J$4071</f>
        <v>11.5395914526</v>
      </c>
      <c r="K4074" s="30" t="n">
        <f aca="false">Sens!$K$4070/Sens!$K$4071</f>
        <v>12.2345324233108</v>
      </c>
      <c r="L4074" s="30" t="n">
        <f aca="false">Sens!$L$4070/Sens!$L$4071</f>
        <v>13.2510794881787</v>
      </c>
      <c r="M4074" s="30" t="n">
        <f aca="false">Sens!$M$4070/Sens!$M$4071</f>
        <v>14.3821259970467</v>
      </c>
    </row>
    <row r="4075" customFormat="false" ht="17.15" hidden="false" customHeight="false" outlineLevel="0" collapsed="false">
      <c r="A4075" s="0" t="s">
        <v>753</v>
      </c>
      <c r="B4075" s="0" t="s">
        <v>27</v>
      </c>
      <c r="C4075" s="30" t="n">
        <f aca="false">(Sens!$C$4070-Sens!$C$4067*(1-tax))/Sens!$C$4071</f>
        <v>5.33926775917445</v>
      </c>
      <c r="D4075" s="30" t="n">
        <f aca="false">(Sens!$D$4070-Sens!$D$4067*(1-tax))/Sens!$D$4071</f>
        <v>5.67691812755503</v>
      </c>
      <c r="E4075" s="30" t="n">
        <f aca="false">(Sens!$E$4070-Sens!$E$4067*(1-tax))/Sens!$E$4071</f>
        <v>3.10602057006846</v>
      </c>
      <c r="G4075" s="30" t="n">
        <f aca="false">(Sens!$G$4070-Sens!$G$4067*(1-tax))/Sens!$G$4071</f>
        <v>7.30387317071086</v>
      </c>
      <c r="H4075" s="30" t="n">
        <f aca="false">(Sens!$H$4070-Sens!$H$4067*(1-tax))/Sens!$H$4071</f>
        <v>9.23071590033576</v>
      </c>
      <c r="I4075" s="30" t="n">
        <f aca="false">(Sens!$I$4070-Sens!$I$4067*(1-tax))/Sens!$I$4071</f>
        <v>10.418137754076</v>
      </c>
      <c r="J4075" s="30" t="n">
        <f aca="false">(Sens!$J$4070-Sens!$J$4067*(1-tax))/Sens!$J$4071</f>
        <v>11.5395914526</v>
      </c>
      <c r="K4075" s="30" t="n">
        <f aca="false">(Sens!$K$4070-Sens!$K$4067*(1-tax))/Sens!$K$4071</f>
        <v>12.2345324233108</v>
      </c>
      <c r="L4075" s="30" t="n">
        <f aca="false">(Sens!$L$4070-Sens!$L$4067*(1-tax))/Sens!$L$4071</f>
        <v>13.2510794881787</v>
      </c>
      <c r="M4075" s="30" t="n">
        <f aca="false">(Sens!$M$4070-Sens!$M$4067*(1-tax))/Sens!$M$4071</f>
        <v>14.3821259970467</v>
      </c>
      <c r="P4075" s="5" t="s">
        <v>754</v>
      </c>
    </row>
    <row r="4076" customFormat="false" ht="17.15" hidden="false" customHeight="false" outlineLevel="0" collapsed="false">
      <c r="A4076" s="0" t="s">
        <v>755</v>
      </c>
      <c r="B4076" s="0" t="s">
        <v>52</v>
      </c>
      <c r="H4076" s="13" t="n">
        <f aca="false">Sens!$H$4073/Sens!$G$4073-1</f>
        <v>-0.20223920260956</v>
      </c>
      <c r="I4076" s="13" t="n">
        <f aca="false">Sens!$I$4073/Sens!$H$4073-1</f>
        <v>0.188455512637078</v>
      </c>
      <c r="J4076" s="13" t="n">
        <f aca="false">Sens!$J$4073/Sens!$I$4073-1</f>
        <v>0.152502902683475</v>
      </c>
      <c r="K4076" s="13" t="n">
        <f aca="false">Sens!$K$4073/Sens!$J$4073-1</f>
        <v>0.0935052890901589</v>
      </c>
      <c r="L4076" s="13" t="n">
        <f aca="false">Sens!$L$4073/Sens!$K$4073-1</f>
        <v>0.0912361768912118</v>
      </c>
      <c r="M4076" s="13" t="n">
        <f aca="false">Sens!$M$4073/Sens!$L$4073-1</f>
        <v>0.0769225018862778</v>
      </c>
    </row>
    <row r="4079" customFormat="false" ht="19.4" hidden="false" customHeight="false" outlineLevel="0" collapsed="false">
      <c r="A4079" s="31" t="s">
        <v>1210</v>
      </c>
    </row>
    <row r="4080" customFormat="false" ht="17.15" hidden="false" customHeight="false" outlineLevel="0" collapsed="false">
      <c r="A4080" s="6" t="s">
        <v>16</v>
      </c>
      <c r="B4080" s="6" t="s">
        <v>17</v>
      </c>
      <c r="C4080" s="20" t="s">
        <v>494</v>
      </c>
      <c r="D4080" s="20" t="s">
        <v>495</v>
      </c>
      <c r="E4080" s="20" t="s">
        <v>577</v>
      </c>
      <c r="F4080" s="20" t="s">
        <v>578</v>
      </c>
      <c r="G4080" s="20" t="s">
        <v>579</v>
      </c>
      <c r="H4080" s="20" t="s">
        <v>580</v>
      </c>
      <c r="I4080" s="20" t="s">
        <v>581</v>
      </c>
      <c r="J4080" s="20" t="s">
        <v>582</v>
      </c>
      <c r="K4080" s="20" t="s">
        <v>583</v>
      </c>
      <c r="L4080" s="20" t="s">
        <v>584</v>
      </c>
      <c r="M4080" s="20" t="s">
        <v>585</v>
      </c>
      <c r="N4080" s="20" t="s">
        <v>586</v>
      </c>
      <c r="O4080" s="20" t="s">
        <v>587</v>
      </c>
      <c r="P4080" s="6" t="s">
        <v>23</v>
      </c>
      <c r="R4080" s="20" t="n">
        <v>2023</v>
      </c>
      <c r="S4080" s="20" t="n">
        <v>2024</v>
      </c>
      <c r="T4080" s="20" t="n">
        <v>2025</v>
      </c>
      <c r="U4080" s="20" t="n">
        <v>2026</v>
      </c>
      <c r="V4080" s="20" t="n">
        <v>2027</v>
      </c>
      <c r="W4080" s="20" t="n">
        <v>2028</v>
      </c>
      <c r="X4080" s="20" t="n">
        <v>2029</v>
      </c>
      <c r="Y4080" s="20" t="n">
        <v>2030</v>
      </c>
      <c r="Z4080" s="20" t="n">
        <v>2031</v>
      </c>
      <c r="AA4080" s="20" t="n">
        <v>2032</v>
      </c>
    </row>
    <row r="4081" customFormat="false" ht="15" hidden="false" customHeight="false" outlineLevel="0" collapsed="false">
      <c r="A4081" s="5" t="s">
        <v>546</v>
      </c>
      <c r="B4081" s="0" t="s">
        <v>86</v>
      </c>
      <c r="C4081" s="38" t="n">
        <f aca="false">Sens!$C$4070</f>
        <v>59.248</v>
      </c>
      <c r="D4081" s="38" t="n">
        <f aca="false">Sens!$D$4070</f>
        <v>77.67</v>
      </c>
      <c r="E4081" s="38" t="n">
        <f aca="false">Sens!$E$4070</f>
        <v>92.902</v>
      </c>
      <c r="F4081" s="38" t="n">
        <f aca="false">Sens!$F$4070</f>
        <v>45.9734924614306</v>
      </c>
      <c r="G4081" s="38" t="n">
        <f aca="false">Sens!$G$4070</f>
        <v>138.875492461431</v>
      </c>
      <c r="H4081" s="38" t="n">
        <f aca="false">Sens!$H$4070</f>
        <v>101.650530695902</v>
      </c>
      <c r="I4081" s="38" t="n">
        <f aca="false">Sens!$I$4070</f>
        <v>115.644476218635</v>
      </c>
      <c r="J4081" s="38" t="n">
        <f aca="false">Sens!$J$4070</f>
        <v>129.117694653364</v>
      </c>
      <c r="K4081" s="38" t="n">
        <f aca="false">Sens!$K$4070</f>
        <v>137.988609490524</v>
      </c>
      <c r="L4081" s="38" t="n">
        <f aca="false">Sens!$L$4070</f>
        <v>150.649485678177</v>
      </c>
      <c r="M4081" s="38" t="n">
        <f aca="false">Sens!$M$4070</f>
        <v>164.816245003849</v>
      </c>
    </row>
    <row r="4082" customFormat="false" ht="17.15" hidden="false" customHeight="false" outlineLevel="0" collapsed="false">
      <c r="A4082" s="5" t="s">
        <v>778</v>
      </c>
      <c r="B4082" s="0" t="s">
        <v>86</v>
      </c>
      <c r="C4082" s="38" t="n">
        <f aca="false">Sens!$C$4058</f>
        <v>32.067</v>
      </c>
      <c r="D4082" s="38" t="n">
        <f aca="false">Sens!$D$4058</f>
        <v>41.86</v>
      </c>
      <c r="E4082" s="38" t="n">
        <f aca="false">Sens!$E$4058</f>
        <v>26.703</v>
      </c>
      <c r="F4082" s="38" t="n">
        <f aca="false">Sens!$F$4058</f>
        <v>29.2913179650864</v>
      </c>
      <c r="G4082" s="38" t="n">
        <f aca="false">Sens!$G$4058</f>
        <v>55.9943179650864</v>
      </c>
      <c r="H4082" s="38" t="n">
        <f aca="false">Sens!$H$4058</f>
        <v>84.2954551066484</v>
      </c>
      <c r="I4082" s="38" t="n">
        <f aca="false">Sens!$I$4058</f>
        <v>116.966134216243</v>
      </c>
      <c r="J4082" s="38" t="n">
        <f aca="false">Sens!$J$4058</f>
        <v>150.328742951829</v>
      </c>
      <c r="K4082" s="38" t="n">
        <f aca="false">Sens!$K$4058</f>
        <v>183.873286181994</v>
      </c>
      <c r="L4082" s="38" t="n">
        <f aca="false">Sens!$L$4058</f>
        <v>207.285895141621</v>
      </c>
      <c r="M4082" s="38" t="n">
        <f aca="false">Sens!$M$4058</f>
        <v>223.326770635933</v>
      </c>
    </row>
    <row r="4083" customFormat="false" ht="15" hidden="false" customHeight="false" outlineLevel="0" collapsed="false">
      <c r="A4083" s="5" t="s">
        <v>779</v>
      </c>
      <c r="B4083" s="0" t="s">
        <v>86</v>
      </c>
      <c r="C4083" s="38" t="n">
        <f aca="false">Q!$D$48</f>
        <v>22.011</v>
      </c>
      <c r="D4083" s="38" t="n">
        <f aca="false">Q!$E$48</f>
        <v>19.467</v>
      </c>
      <c r="E4083" s="38" t="n">
        <f aca="false">Q!$P$48</f>
        <v>10.07</v>
      </c>
      <c r="F4083" s="38" t="n">
        <f aca="false">sbc_r*Sens!$F$4000</f>
        <v>10.8507035798037</v>
      </c>
      <c r="G4083" s="38" t="n">
        <f aca="false">Sens!$E$4083+Sens!$F$4083</f>
        <v>20.9207035798037</v>
      </c>
      <c r="H4083" s="38" t="n">
        <f aca="false">sbc_r*Sens!$H$4000</f>
        <v>23.4467046888059</v>
      </c>
      <c r="I4083" s="38" t="n">
        <f aca="false">sbc_r*Sens!$I$4000</f>
        <v>26.5573836171151</v>
      </c>
      <c r="J4083" s="38" t="n">
        <f aca="false">sbc_r*Sens!$J$4000</f>
        <v>29.5014243374332</v>
      </c>
      <c r="K4083" s="38" t="n">
        <f aca="false">sbc_r*Sens!$K$4000</f>
        <v>32.0369911282419</v>
      </c>
      <c r="L4083" s="38" t="n">
        <f aca="false">sbc_r*Sens!$L$4000</f>
        <v>34.3798349496081</v>
      </c>
      <c r="M4083" s="38" t="n">
        <f aca="false">sbc_r*Sens!$M$4000</f>
        <v>36.5367112574061</v>
      </c>
    </row>
    <row r="4084" customFormat="false" ht="17.15" hidden="false" customHeight="false" outlineLevel="0" collapsed="false">
      <c r="A4084" s="5" t="s">
        <v>780</v>
      </c>
      <c r="B4084" s="0" t="s">
        <v>86</v>
      </c>
      <c r="C4084" s="38" t="n">
        <f aca="false">Q!$D$44-Sens!$C$4081-Sens!$C$4082-Sens!$C$4083</f>
        <v>2.551</v>
      </c>
      <c r="D4084" s="38" t="n">
        <f aca="false">Q!$E$44-Sens!$D$4081-Sens!$D$4082-Sens!$D$4083</f>
        <v>0.51700000000001</v>
      </c>
      <c r="E4084" s="38" t="n">
        <f aca="false">Q!$P$44-Sens!$E$4081-Sens!$E$4082-Sens!$E$4083</f>
        <v>-58.256</v>
      </c>
      <c r="F4084" s="38" t="n">
        <f aca="false">oth_r*Sens!$F$4000</f>
        <v>5.22265251035878</v>
      </c>
      <c r="G4084" s="38" t="n">
        <f aca="false">Sens!$E$4084+Sens!$F$4084</f>
        <v>-53.0333474896412</v>
      </c>
      <c r="H4084" s="38" t="n">
        <f aca="false">oth_r*Sens!$H$4000</f>
        <v>11.2853503187163</v>
      </c>
      <c r="I4084" s="38" t="n">
        <f aca="false">oth_r*Sens!$I$4000</f>
        <v>12.7825799678694</v>
      </c>
      <c r="J4084" s="38" t="n">
        <f aca="false">oth_r*Sens!$J$4000</f>
        <v>14.1996034397101</v>
      </c>
      <c r="K4084" s="38" t="n">
        <f aca="false">oth_r*Sens!$K$4000</f>
        <v>15.4200205461038</v>
      </c>
      <c r="L4084" s="38" t="n">
        <f aca="false">oth_r*Sens!$L$4000</f>
        <v>16.5476763773635</v>
      </c>
      <c r="M4084" s="38" t="n">
        <f aca="false">oth_r*Sens!$M$4000</f>
        <v>17.5858224644451</v>
      </c>
      <c r="P4084" s="8" t="s">
        <v>781</v>
      </c>
    </row>
    <row r="4085" customFormat="false" ht="15" hidden="false" customHeight="false" outlineLevel="0" collapsed="false">
      <c r="A4085" s="3" t="s">
        <v>552</v>
      </c>
      <c r="B4085" s="8" t="s">
        <v>86</v>
      </c>
      <c r="C4085" s="38" t="n">
        <f aca="false">Q!$D$44</f>
        <v>115.877</v>
      </c>
      <c r="D4085" s="38" t="n">
        <f aca="false">Q!$E$44</f>
        <v>139.514</v>
      </c>
      <c r="E4085" s="38" t="n">
        <f aca="false">Q!$P$44</f>
        <v>71.419</v>
      </c>
      <c r="F4085" s="38" t="n">
        <f aca="false">Sens!$F$4081+Sens!$F$4082+Sens!$F$4083+Sens!$F$4084</f>
        <v>91.3381665166794</v>
      </c>
      <c r="G4085" s="38" t="n">
        <f aca="false">Sens!$E$4085+Sens!$F$4085</f>
        <v>162.757166516679</v>
      </c>
      <c r="H4085" s="38" t="n">
        <f aca="false">Sens!$H$4081+Sens!$H$4082+Sens!$H$4083+Sens!$H$4084</f>
        <v>220.678040810072</v>
      </c>
      <c r="I4085" s="38" t="n">
        <f aca="false">Sens!$I$4081+Sens!$I$4082+Sens!$I$4083+Sens!$I$4084</f>
        <v>271.950574019863</v>
      </c>
      <c r="J4085" s="38" t="n">
        <f aca="false">Sens!$J$4081+Sens!$J$4082+Sens!$J$4083+Sens!$J$4084</f>
        <v>323.147465382336</v>
      </c>
      <c r="K4085" s="38" t="n">
        <f aca="false">Sens!$K$4081+Sens!$K$4082+Sens!$K$4083+Sens!$K$4084</f>
        <v>369.318907346864</v>
      </c>
      <c r="L4085" s="38" t="n">
        <f aca="false">Sens!$L$4081+Sens!$L$4082+Sens!$L$4083+Sens!$L$4084</f>
        <v>408.86289214677</v>
      </c>
      <c r="M4085" s="38" t="n">
        <f aca="false">Sens!$M$4081+Sens!$M$4082+Sens!$M$4083+Sens!$M$4084</f>
        <v>442.265549361634</v>
      </c>
    </row>
    <row r="4086" customFormat="false" ht="17.15" hidden="false" customHeight="false" outlineLevel="0" collapsed="false">
      <c r="A4086" s="5" t="s">
        <v>782</v>
      </c>
      <c r="B4086" s="0" t="s">
        <v>86</v>
      </c>
      <c r="C4086" s="38" t="n">
        <f aca="false">Sens!$C$3969</f>
        <v>25.2781053077374</v>
      </c>
      <c r="D4086" s="38" t="n">
        <f aca="false">Sens!$D$3969</f>
        <v>69.5686316310026</v>
      </c>
      <c r="E4086" s="38" t="n">
        <f aca="false">Sens!$E$3969</f>
        <v>64.1899206485108</v>
      </c>
      <c r="F4086" s="38" t="n">
        <f aca="false">Sens!$F$3969</f>
        <v>96.2481299895</v>
      </c>
      <c r="G4086" s="38" t="n">
        <f aca="false">Sens!$G$3969</f>
        <v>160.438050638011</v>
      </c>
      <c r="H4086" s="38" t="n">
        <f aca="false">Sens!$H$3969</f>
        <v>198.57136494475</v>
      </c>
      <c r="I4086" s="38" t="n">
        <f aca="false">Sens!$I$3969</f>
        <v>204.6464699105</v>
      </c>
      <c r="J4086" s="38" t="n">
        <f aca="false">Sens!$J$3969</f>
        <v>209.8832381105</v>
      </c>
      <c r="K4086" s="38" t="n">
        <f aca="false">Sens!$K$3969</f>
        <v>155.238385275201</v>
      </c>
      <c r="L4086" s="38" t="n">
        <f aca="false">Sens!$L$3969</f>
        <v>132.014141639902</v>
      </c>
      <c r="M4086" s="38" t="n">
        <f aca="false">Sens!$M$3969</f>
        <v>132.230981659852</v>
      </c>
    </row>
    <row r="4087" customFormat="false" ht="17.15" hidden="false" customHeight="false" outlineLevel="0" collapsed="false">
      <c r="A4087" s="5" t="s">
        <v>783</v>
      </c>
      <c r="B4087" s="0" t="s">
        <v>86</v>
      </c>
      <c r="C4087" s="38" t="n">
        <f aca="false">cx_awso*Sens!$C$3998</f>
        <v>21.0469989286053</v>
      </c>
      <c r="D4087" s="38" t="n">
        <f aca="false">cx_awso*Sens!$D$3998</f>
        <v>24.0042459822698</v>
      </c>
      <c r="E4087" s="38" t="n">
        <f aca="false">cx_awso*Sens!$E$3998</f>
        <v>14.261729404886</v>
      </c>
      <c r="F4087" s="38" t="n">
        <f aca="false">cx_awso*Sens!$F$3998</f>
        <v>14.3538599588493</v>
      </c>
      <c r="G4087" s="38" t="n">
        <f aca="false">Sens!$E$4087+Sens!$F$4087</f>
        <v>28.6155893637353</v>
      </c>
      <c r="H4087" s="38" t="n">
        <f aca="false">cx_awso*Sens!$H$3998</f>
        <v>32.2034154158406</v>
      </c>
      <c r="I4087" s="38" t="n">
        <f aca="false">cx_awso*Sens!$I$3998</f>
        <v>35.7539519042915</v>
      </c>
      <c r="J4087" s="38" t="n">
        <f aca="false">cx_awso*Sens!$J$3998</f>
        <v>39.1551076091815</v>
      </c>
      <c r="K4087" s="38" t="n">
        <f aca="false">cx_awso*Sens!$K$3998</f>
        <v>42.287516217916</v>
      </c>
      <c r="L4087" s="38" t="n">
        <f aca="false">cx_awso*Sens!$L$3998</f>
        <v>45.6705175153492</v>
      </c>
      <c r="M4087" s="38" t="n">
        <f aca="false">cx_awso*Sens!$M$3998</f>
        <v>49.3241589165772</v>
      </c>
    </row>
    <row r="4088" customFormat="false" ht="17.15" hidden="false" customHeight="false" outlineLevel="0" collapsed="false">
      <c r="A4088" s="5" t="s">
        <v>784</v>
      </c>
      <c r="B4088" s="0" t="s">
        <v>86</v>
      </c>
      <c r="C4088" s="38" t="n">
        <f aca="false">Q!$D$46-Sens!$C$4086-Sens!$C$4087</f>
        <v>31.3328957636573</v>
      </c>
      <c r="D4088" s="38" t="n">
        <f aca="false">Q!$E$46-Sens!$D$4086-Sens!$D$4087</f>
        <v>34.7471223867276</v>
      </c>
      <c r="E4088" s="38" t="n">
        <f aca="false">Q!$P$46-Sens!$E$4086-Sens!$E$4087</f>
        <v>17.8583499466032</v>
      </c>
      <c r="F4088" s="38" t="n">
        <f aca="false">cx_rt*Sens!$F$3932</f>
        <v>20.6195895799373</v>
      </c>
      <c r="G4088" s="38" t="n">
        <f aca="false">Sens!$E$4088+Sens!$F$4088</f>
        <v>38.4779395265405</v>
      </c>
      <c r="H4088" s="38" t="n">
        <f aca="false">cx_rt*Sens!$H$3932</f>
        <v>42.5610333666593</v>
      </c>
      <c r="I4088" s="38" t="n">
        <f aca="false">cx_rt*Sens!$I$3932</f>
        <v>46.4504001102556</v>
      </c>
      <c r="J4088" s="38" t="n">
        <f aca="false">cx_rt*Sens!$J$3932</f>
        <v>49.9776776580417</v>
      </c>
      <c r="K4088" s="38" t="n">
        <f aca="false">cx_rt*Sens!$K$3932</f>
        <v>52.9755237001879</v>
      </c>
      <c r="L4088" s="38" t="n">
        <f aca="false">cx_rt*Sens!$L$3932</f>
        <v>56.159435343698</v>
      </c>
      <c r="M4088" s="38" t="n">
        <f aca="false">cx_rt*Sens!$M$3932</f>
        <v>59.5412853780317</v>
      </c>
    </row>
    <row r="4089" customFormat="false" ht="15" hidden="false" customHeight="false" outlineLevel="0" collapsed="false">
      <c r="A4089" s="3" t="s">
        <v>785</v>
      </c>
      <c r="B4089" s="8" t="s">
        <v>86</v>
      </c>
      <c r="C4089" s="38" t="n">
        <f aca="false">Q!$D$46</f>
        <v>77.658</v>
      </c>
      <c r="D4089" s="38" t="n">
        <f aca="false">Q!$E$46</f>
        <v>128.32</v>
      </c>
      <c r="E4089" s="38" t="n">
        <f aca="false">Q!$P$46</f>
        <v>96.31</v>
      </c>
      <c r="F4089" s="38" t="n">
        <f aca="false">Sens!$F$4086+Sens!$F$4087+Sens!$F$4088</f>
        <v>131.221579528287</v>
      </c>
      <c r="G4089" s="38" t="n">
        <f aca="false">Sens!$E$4089+Sens!$F$4089</f>
        <v>227.531579528287</v>
      </c>
      <c r="H4089" s="38" t="n">
        <f aca="false">Sens!$H$4086+Sens!$H$4087+Sens!$H$4088</f>
        <v>273.33581372725</v>
      </c>
      <c r="I4089" s="38" t="n">
        <f aca="false">Sens!$I$4086+Sens!$I$4087+Sens!$I$4088</f>
        <v>286.850821925047</v>
      </c>
      <c r="J4089" s="38" t="n">
        <f aca="false">Sens!$J$4086+Sens!$J$4087+Sens!$J$4088</f>
        <v>299.016023377723</v>
      </c>
      <c r="K4089" s="38" t="n">
        <f aca="false">Sens!$K$4086+Sens!$K$4087+Sens!$K$4088</f>
        <v>250.501425193305</v>
      </c>
      <c r="L4089" s="38" t="n">
        <f aca="false">Sens!$L$4086+Sens!$L$4087+Sens!$L$4088</f>
        <v>233.844094498949</v>
      </c>
      <c r="M4089" s="38" t="n">
        <f aca="false">Sens!$M$4086+Sens!$M$4087+Sens!$M$4088</f>
        <v>241.096425954461</v>
      </c>
    </row>
    <row r="4090" customFormat="false" ht="17.15" hidden="false" customHeight="false" outlineLevel="0" collapsed="false">
      <c r="A4090" s="5" t="s">
        <v>560</v>
      </c>
      <c r="B4090" s="0" t="s">
        <v>86</v>
      </c>
      <c r="C4090" s="38" t="n">
        <f aca="false">Q!$D$50</f>
        <v>2.043</v>
      </c>
      <c r="D4090" s="38" t="n">
        <f aca="false">Q!$E$50</f>
        <v>1.557</v>
      </c>
      <c r="E4090" s="38" t="n">
        <f aca="false">lease_pr/2</f>
        <v>0.8</v>
      </c>
      <c r="F4090" s="38" t="n">
        <f aca="false">lease_pr/2</f>
        <v>0.8</v>
      </c>
      <c r="G4090" s="38" t="n">
        <f aca="false">Sens!$E$4090+Sens!$F$4090</f>
        <v>1.6</v>
      </c>
      <c r="H4090" s="38" t="n">
        <f aca="false">lease_pr</f>
        <v>1.6</v>
      </c>
      <c r="I4090" s="38" t="n">
        <f aca="false">lease_pr</f>
        <v>1.6</v>
      </c>
      <c r="J4090" s="38" t="n">
        <f aca="false">lease_pr</f>
        <v>1.6</v>
      </c>
      <c r="K4090" s="38" t="n">
        <f aca="false">lease_pr</f>
        <v>1.6</v>
      </c>
      <c r="L4090" s="38" t="n">
        <f aca="false">lease_pr</f>
        <v>1.6</v>
      </c>
      <c r="M4090" s="38" t="n">
        <f aca="false">lease_pr</f>
        <v>1.6</v>
      </c>
      <c r="P4090" s="8" t="s">
        <v>786</v>
      </c>
    </row>
    <row r="4091" customFormat="false" ht="15" hidden="false" customHeight="false" outlineLevel="0" collapsed="false">
      <c r="A4091" s="47" t="s">
        <v>787</v>
      </c>
      <c r="B4091" s="14" t="s">
        <v>86</v>
      </c>
      <c r="C4091" s="48" t="n">
        <f aca="false">Sens!$C$4085-Sens!$C$4089-Sens!$C$4090</f>
        <v>36.176</v>
      </c>
      <c r="D4091" s="48" t="n">
        <f aca="false">Sens!$D$4085-Sens!$D$4089-Sens!$D$4090</f>
        <v>9.63700000000002</v>
      </c>
      <c r="E4091" s="48" t="n">
        <f aca="false">Sens!$E$4085-Sens!$E$4089-Sens!$E$4090</f>
        <v>-25.691</v>
      </c>
      <c r="F4091" s="48" t="n">
        <f aca="false">Sens!$F$4085-Sens!$F$4089-Sens!$F$4090</f>
        <v>-40.6834130116072</v>
      </c>
      <c r="G4091" s="48" t="n">
        <f aca="false">Sens!$G$4085-Sens!$G$4089-Sens!$G$4090</f>
        <v>-66.3744130116072</v>
      </c>
      <c r="H4091" s="48" t="n">
        <f aca="false">Sens!$H$4085-Sens!$H$4089-Sens!$H$4090</f>
        <v>-54.2577729171776</v>
      </c>
      <c r="I4091" s="48" t="n">
        <f aca="false">Sens!$I$4085-Sens!$I$4089-Sens!$I$4090</f>
        <v>-16.5002479051844</v>
      </c>
      <c r="J4091" s="48" t="n">
        <f aca="false">Sens!$J$4085-Sens!$J$4089-Sens!$J$4090</f>
        <v>22.5314420046127</v>
      </c>
      <c r="K4091" s="48" t="n">
        <f aca="false">Sens!$K$4085-Sens!$K$4089-Sens!$K$4090</f>
        <v>117.217482153559</v>
      </c>
      <c r="L4091" s="48" t="n">
        <f aca="false">Sens!$L$4085-Sens!$L$4089-Sens!$L$4090</f>
        <v>173.418797647821</v>
      </c>
      <c r="M4091" s="48" t="n">
        <f aca="false">Sens!$M$4085-Sens!$M$4089-Sens!$M$4090</f>
        <v>199.569123407172</v>
      </c>
      <c r="N4091" s="14"/>
      <c r="O4091" s="14"/>
    </row>
    <row r="4092" customFormat="false" ht="17.15" hidden="false" customHeight="false" outlineLevel="0" collapsed="false">
      <c r="A4092" s="5" t="s">
        <v>788</v>
      </c>
      <c r="B4092" s="0" t="s">
        <v>86</v>
      </c>
      <c r="C4092" s="38" t="n">
        <f aca="false">dps*Sens!$C$4071</f>
        <v>0</v>
      </c>
      <c r="D4092" s="38" t="n">
        <f aca="false">dps*Sens!$D$4071</f>
        <v>0</v>
      </c>
      <c r="E4092" s="38" t="n">
        <f aca="false">dps*Sens!$E$4071</f>
        <v>0</v>
      </c>
      <c r="F4092" s="38" t="n">
        <f aca="false">0</f>
        <v>0</v>
      </c>
      <c r="G4092" s="38" t="n">
        <f aca="false">dps*Sens!$G$4071</f>
        <v>0</v>
      </c>
      <c r="H4092" s="38" t="n">
        <f aca="false">dps*Sens!$H$4071</f>
        <v>0</v>
      </c>
      <c r="I4092" s="38" t="n">
        <f aca="false">dps*Sens!$I$4071</f>
        <v>0</v>
      </c>
      <c r="J4092" s="38" t="n">
        <f aca="false">dps*Sens!$J$4071</f>
        <v>0</v>
      </c>
      <c r="K4092" s="38" t="n">
        <f aca="false">dps*Sens!$K$4071</f>
        <v>0</v>
      </c>
      <c r="L4092" s="38" t="n">
        <f aca="false">dps*Sens!$L$4071</f>
        <v>0</v>
      </c>
      <c r="M4092" s="38" t="n">
        <f aca="false">dps*Sens!$M$4071</f>
        <v>0</v>
      </c>
      <c r="P4092" s="8" t="s">
        <v>789</v>
      </c>
    </row>
    <row r="4093" customFormat="false" ht="17.15" hidden="false" customHeight="false" outlineLevel="0" collapsed="false">
      <c r="A4093" s="5" t="s">
        <v>790</v>
      </c>
      <c r="B4093" s="0" t="s">
        <v>86</v>
      </c>
      <c r="C4093" s="38" t="n">
        <f aca="false">0</f>
        <v>0</v>
      </c>
      <c r="D4093" s="38" t="n">
        <f aca="false">0</f>
        <v>0</v>
      </c>
      <c r="E4093" s="38" t="n">
        <f aca="false">0</f>
        <v>0</v>
      </c>
      <c r="F4093" s="38" t="n">
        <f aca="false">0</f>
        <v>0</v>
      </c>
      <c r="G4093" s="38" t="n">
        <f aca="false">0</f>
        <v>0</v>
      </c>
      <c r="H4093" s="38" t="n">
        <f aca="false">0</f>
        <v>0</v>
      </c>
      <c r="I4093" s="38" t="n">
        <f aca="false">0</f>
        <v>0</v>
      </c>
      <c r="J4093" s="38" t="n">
        <f aca="false">0</f>
        <v>0</v>
      </c>
      <c r="K4093" s="38" t="n">
        <f aca="false">0</f>
        <v>0</v>
      </c>
      <c r="L4093" s="38" t="n">
        <f aca="false">0</f>
        <v>0</v>
      </c>
      <c r="M4093" s="38" t="n">
        <f aca="false">0</f>
        <v>0</v>
      </c>
      <c r="P4093" s="8" t="s">
        <v>791</v>
      </c>
    </row>
    <row r="4094" customFormat="false" ht="15" hidden="false" customHeight="false" outlineLevel="0" collapsed="false">
      <c r="A4094" s="3" t="s">
        <v>792</v>
      </c>
      <c r="B4094" s="8" t="s">
        <v>86</v>
      </c>
      <c r="C4094" s="38" t="n">
        <f aca="false">Sens!$C$4091-Sens!$C$4092</f>
        <v>36.176</v>
      </c>
      <c r="D4094" s="38" t="n">
        <f aca="false">Sens!$D$4091-Sens!$D$4092</f>
        <v>9.63700000000002</v>
      </c>
      <c r="E4094" s="38" t="n">
        <f aca="false">Sens!$E$4091-Sens!$E$4092</f>
        <v>-25.691</v>
      </c>
      <c r="F4094" s="38" t="n">
        <f aca="false">Sens!$F$4091-Sens!$F$4092</f>
        <v>-40.6834130116072</v>
      </c>
      <c r="G4094" s="38" t="n">
        <f aca="false">Sens!$G$4091-Sens!$G$4092</f>
        <v>-66.3744130116072</v>
      </c>
      <c r="H4094" s="38" t="n">
        <f aca="false">Sens!$H$4091-Sens!$H$4092</f>
        <v>-54.2577729171776</v>
      </c>
      <c r="I4094" s="38" t="n">
        <f aca="false">Sens!$I$4091-Sens!$I$4092</f>
        <v>-16.5002479051844</v>
      </c>
      <c r="J4094" s="38" t="n">
        <f aca="false">Sens!$J$4091-Sens!$J$4092</f>
        <v>22.5314420046127</v>
      </c>
      <c r="K4094" s="38" t="n">
        <f aca="false">Sens!$K$4091-Sens!$K$4092</f>
        <v>117.217482153559</v>
      </c>
      <c r="L4094" s="38" t="n">
        <f aca="false">Sens!$L$4091-Sens!$L$4092</f>
        <v>173.418797647821</v>
      </c>
      <c r="M4094" s="38" t="n">
        <f aca="false">Sens!$M$4091-Sens!$M$4092</f>
        <v>199.569123407172</v>
      </c>
    </row>
    <row r="4095" customFormat="false" ht="17.15" hidden="false" customHeight="false" outlineLevel="0" collapsed="false">
      <c r="A4095" s="5" t="s">
        <v>793</v>
      </c>
      <c r="B4095" s="0" t="s">
        <v>86</v>
      </c>
      <c r="E4095" s="38" t="n">
        <f aca="false">Q!$P$53</f>
        <v>39.767</v>
      </c>
      <c r="F4095" s="38" t="n">
        <f aca="false">inv_2h26</f>
        <v>21.3</v>
      </c>
      <c r="G4095" s="38" t="n">
        <f aca="false">Sens!$E$4095+Sens!$F$4095</f>
        <v>61.067</v>
      </c>
      <c r="H4095" s="39" t="n">
        <v>0</v>
      </c>
      <c r="I4095" s="39" t="n">
        <v>0</v>
      </c>
      <c r="J4095" s="39" t="n">
        <v>0</v>
      </c>
      <c r="K4095" s="39" t="n">
        <v>0</v>
      </c>
      <c r="L4095" s="39" t="n">
        <v>0</v>
      </c>
      <c r="M4095" s="39" t="n">
        <v>0</v>
      </c>
    </row>
    <row r="4096" customFormat="false" ht="17.15" hidden="false" customHeight="false" outlineLevel="0" collapsed="false">
      <c r="A4096" s="5" t="s">
        <v>794</v>
      </c>
      <c r="B4096" s="0" t="s">
        <v>86</v>
      </c>
      <c r="F4096" s="38" t="n">
        <f aca="false">iss_2h26</f>
        <v>29.249999</v>
      </c>
      <c r="G4096" s="38" t="n">
        <f aca="false">Sens!$F$4096</f>
        <v>29.249999</v>
      </c>
      <c r="H4096" s="39" t="n">
        <v>0</v>
      </c>
      <c r="I4096" s="39" t="n">
        <v>0</v>
      </c>
      <c r="J4096" s="39" t="n">
        <v>0</v>
      </c>
      <c r="K4096" s="39" t="n">
        <v>0</v>
      </c>
      <c r="L4096" s="39" t="n">
        <v>0</v>
      </c>
      <c r="M4096" s="39" t="n">
        <v>0</v>
      </c>
    </row>
    <row r="4097" customFormat="false" ht="17.15" hidden="false" customHeight="false" outlineLevel="0" collapsed="false">
      <c r="A4097" s="5" t="s">
        <v>795</v>
      </c>
      <c r="B4097" s="0" t="s">
        <v>86</v>
      </c>
      <c r="F4097" s="38" t="n">
        <f aca="false">cash_q2</f>
        <v>122.988</v>
      </c>
      <c r="G4097" s="38" t="n">
        <f aca="false">cash_q2</f>
        <v>122.988</v>
      </c>
      <c r="H4097" s="38" t="n">
        <f aca="false">Sens!$G$4100</f>
        <v>90.2545859883928</v>
      </c>
      <c r="I4097" s="38" t="n">
        <f aca="false">Sens!$H$4100</f>
        <v>50</v>
      </c>
      <c r="J4097" s="38" t="n">
        <f aca="false">Sens!$I$4100</f>
        <v>50</v>
      </c>
      <c r="K4097" s="38" t="n">
        <f aca="false">Sens!$J$4100</f>
        <v>72.5314420046127</v>
      </c>
      <c r="L4097" s="38" t="n">
        <f aca="false">Sens!$K$4100</f>
        <v>189.748924158172</v>
      </c>
      <c r="M4097" s="38" t="n">
        <f aca="false">Sens!$L$4100</f>
        <v>363.167721805993</v>
      </c>
    </row>
    <row r="4098" customFormat="false" ht="15" hidden="false" customHeight="false" outlineLevel="0" collapsed="false">
      <c r="A4098" s="5" t="s">
        <v>796</v>
      </c>
      <c r="B4098" s="0" t="s">
        <v>86</v>
      </c>
      <c r="F4098" s="38" t="n">
        <f aca="false">Sens!$F$4097+Sens!$F$4094-Sens!$F$4093-Sens!$F$4095+Sens!$F$4096</f>
        <v>90.2545859883928</v>
      </c>
      <c r="H4098" s="38" t="n">
        <f aca="false">Sens!$H$4097+Sens!$H$4094-Sens!$H$4093-Sens!$H$4095+Sens!$H$4096</f>
        <v>35.9968130712152</v>
      </c>
      <c r="I4098" s="38" t="n">
        <f aca="false">Sens!$I$4097+Sens!$I$4094-Sens!$I$4093-Sens!$I$4095+Sens!$I$4096</f>
        <v>33.4997520948156</v>
      </c>
      <c r="J4098" s="38" t="n">
        <f aca="false">Sens!$J$4097+Sens!$J$4094-Sens!$J$4093-Sens!$J$4095+Sens!$J$4096</f>
        <v>72.5314420046127</v>
      </c>
      <c r="K4098" s="38" t="n">
        <f aca="false">Sens!$K$4097+Sens!$K$4094-Sens!$K$4093-Sens!$K$4095+Sens!$K$4096</f>
        <v>189.748924158172</v>
      </c>
      <c r="L4098" s="38" t="n">
        <f aca="false">Sens!$L$4097+Sens!$L$4094-Sens!$L$4093-Sens!$L$4095+Sens!$L$4096</f>
        <v>363.167721805993</v>
      </c>
      <c r="M4098" s="38" t="n">
        <f aca="false">Sens!$M$4097+Sens!$M$4094-Sens!$M$4093-Sens!$M$4095+Sens!$M$4096</f>
        <v>562.736845213165</v>
      </c>
    </row>
    <row r="4099" customFormat="false" ht="17.15" hidden="false" customHeight="false" outlineLevel="0" collapsed="false">
      <c r="A4099" s="5" t="s">
        <v>797</v>
      </c>
      <c r="B4099" s="0" t="s">
        <v>86</v>
      </c>
      <c r="F4099" s="38" t="n">
        <f aca="false">MAX(0,min_cash-Sens!$F$4098)</f>
        <v>0</v>
      </c>
      <c r="G4099" s="38" t="n">
        <f aca="false">Sens!$F$4099</f>
        <v>0</v>
      </c>
      <c r="H4099" s="38" t="n">
        <f aca="false">MAX(0,min_cash-Sens!$H$4098)</f>
        <v>14.0031869287848</v>
      </c>
      <c r="I4099" s="38" t="n">
        <f aca="false">MAX(0,min_cash-Sens!$I$4098)</f>
        <v>16.5002479051844</v>
      </c>
      <c r="J4099" s="38" t="n">
        <f aca="false">MAX(0,min_cash-Sens!$J$4098)</f>
        <v>0</v>
      </c>
      <c r="K4099" s="38" t="n">
        <f aca="false">MAX(0,min_cash-Sens!$K$4098)</f>
        <v>0</v>
      </c>
      <c r="L4099" s="38" t="n">
        <f aca="false">MAX(0,min_cash-Sens!$L$4098)</f>
        <v>0</v>
      </c>
      <c r="M4099" s="38" t="n">
        <f aca="false">MAX(0,min_cash-Sens!$M$4098)</f>
        <v>0</v>
      </c>
      <c r="P4099" s="5" t="s">
        <v>798</v>
      </c>
    </row>
    <row r="4100" customFormat="false" ht="15" hidden="false" customHeight="false" outlineLevel="0" collapsed="false">
      <c r="A4100" s="5" t="s">
        <v>799</v>
      </c>
      <c r="B4100" s="0" t="s">
        <v>86</v>
      </c>
      <c r="D4100" s="38" t="n">
        <f aca="false">Q!$E$61</f>
        <v>123.029</v>
      </c>
      <c r="E4100" s="38" t="n">
        <f aca="false">Q!$M$61</f>
        <v>122.988</v>
      </c>
      <c r="F4100" s="38" t="n">
        <f aca="false">Sens!$F$4098+Sens!$F$4099</f>
        <v>90.2545859883928</v>
      </c>
      <c r="G4100" s="38" t="n">
        <f aca="false">Sens!$F$4100</f>
        <v>90.2545859883928</v>
      </c>
      <c r="H4100" s="38" t="n">
        <f aca="false">Sens!$H$4098+Sens!$H$4099</f>
        <v>50</v>
      </c>
      <c r="I4100" s="38" t="n">
        <f aca="false">Sens!$I$4098+Sens!$I$4099</f>
        <v>50</v>
      </c>
      <c r="J4100" s="38" t="n">
        <f aca="false">Sens!$J$4098+Sens!$J$4099</f>
        <v>72.5314420046127</v>
      </c>
      <c r="K4100" s="38" t="n">
        <f aca="false">Sens!$K$4098+Sens!$K$4099</f>
        <v>189.748924158172</v>
      </c>
      <c r="L4100" s="38" t="n">
        <f aca="false">Sens!$L$4098+Sens!$L$4099</f>
        <v>363.167721805993</v>
      </c>
      <c r="M4100" s="38" t="n">
        <f aca="false">Sens!$M$4098+Sens!$M$4099</f>
        <v>562.736845213165</v>
      </c>
    </row>
    <row r="4101" customFormat="false" ht="15" hidden="false" customHeight="false" outlineLevel="0" collapsed="false">
      <c r="A4101" s="5" t="s">
        <v>800</v>
      </c>
      <c r="B4101" s="0" t="s">
        <v>86</v>
      </c>
      <c r="D4101" s="38" t="n">
        <f aca="false">Q!$E$62</f>
        <v>68.836</v>
      </c>
      <c r="E4101" s="38" t="n">
        <f aca="false">Q!$M$62</f>
        <v>132.995</v>
      </c>
      <c r="F4101" s="38" t="n">
        <f aca="false">debt_q2+Sens!$F$4096+Sens!$F$4099</f>
        <v>162.244999</v>
      </c>
      <c r="G4101" s="38" t="n">
        <f aca="false">Sens!$F$4101</f>
        <v>162.244999</v>
      </c>
      <c r="H4101" s="38" t="n">
        <f aca="false">Sens!$G$4101+Sens!$H$4099</f>
        <v>176.248185928785</v>
      </c>
      <c r="I4101" s="38" t="n">
        <f aca="false">Sens!$H$4101+Sens!$I$4099</f>
        <v>192.748433833969</v>
      </c>
      <c r="J4101" s="38" t="n">
        <f aca="false">Sens!$I$4101+Sens!$J$4099</f>
        <v>192.748433833969</v>
      </c>
      <c r="K4101" s="38" t="n">
        <f aca="false">Sens!$J$4101+Sens!$K$4099</f>
        <v>192.748433833969</v>
      </c>
      <c r="L4101" s="38" t="n">
        <f aca="false">Sens!$K$4101+Sens!$L$4099</f>
        <v>192.748433833969</v>
      </c>
      <c r="M4101" s="38" t="n">
        <f aca="false">Sens!$L$4101+Sens!$M$4099</f>
        <v>192.748433833969</v>
      </c>
    </row>
    <row r="4102" customFormat="false" ht="15" hidden="false" customHeight="false" outlineLevel="0" collapsed="false">
      <c r="A4102" s="5" t="s">
        <v>801</v>
      </c>
      <c r="B4102" s="0" t="s">
        <v>86</v>
      </c>
      <c r="D4102" s="38" t="n">
        <f aca="false">Sens!$D$4101-Sens!$D$4100</f>
        <v>-54.193</v>
      </c>
      <c r="E4102" s="38" t="n">
        <f aca="false">Sens!$E$4101-Sens!$E$4100</f>
        <v>10.007</v>
      </c>
      <c r="F4102" s="38" t="n">
        <f aca="false">Sens!$F$4101-Sens!$F$4100</f>
        <v>71.9904130116072</v>
      </c>
      <c r="G4102" s="38" t="n">
        <f aca="false">Sens!$G$4101-Sens!$G$4100</f>
        <v>71.9904130116072</v>
      </c>
      <c r="H4102" s="38" t="n">
        <f aca="false">Sens!$H$4101-Sens!$H$4100</f>
        <v>126.248185928785</v>
      </c>
      <c r="I4102" s="38" t="n">
        <f aca="false">Sens!$I$4101-Sens!$I$4100</f>
        <v>142.748433833969</v>
      </c>
      <c r="J4102" s="38" t="n">
        <f aca="false">Sens!$J$4101-Sens!$J$4100</f>
        <v>120.216991829356</v>
      </c>
      <c r="K4102" s="38" t="n">
        <f aca="false">Sens!$K$4101-Sens!$K$4100</f>
        <v>2.99950967579738</v>
      </c>
      <c r="L4102" s="38" t="n">
        <f aca="false">Sens!$L$4101-Sens!$L$4100</f>
        <v>-170.419287972023</v>
      </c>
      <c r="M4102" s="38" t="n">
        <f aca="false">Sens!$M$4101-Sens!$M$4100</f>
        <v>-369.988411379196</v>
      </c>
    </row>
    <row r="4103" customFormat="false" ht="17.15" hidden="false" customHeight="false" outlineLevel="0" collapsed="false">
      <c r="A4103" s="5" t="s">
        <v>802</v>
      </c>
      <c r="B4103" s="0" t="s">
        <v>86</v>
      </c>
      <c r="F4103" s="38" t="n">
        <f aca="false">debt_q2*kd_book*0.5+iss_2h26*kd_new*iss_t</f>
        <v>3.24888962733561</v>
      </c>
      <c r="H4103" s="38" t="n">
        <f aca="false">debt_q2*kd_book+(Sens!$G$4101-debt_q2)*kd_new</f>
        <v>7.42354172302123</v>
      </c>
      <c r="I4103" s="38" t="n">
        <f aca="false">debt_q2*kd_book+(Sens!$H$4101-debt_q2)*kd_new</f>
        <v>8.30994345561331</v>
      </c>
      <c r="J4103" s="38" t="n">
        <f aca="false">debt_q2*kd_book+(Sens!$I$4101-debt_q2)*kd_new</f>
        <v>9.35440914801148</v>
      </c>
      <c r="K4103" s="38" t="n">
        <f aca="false">debt_q2*kd_book+(Sens!$J$4101-debt_q2)*kd_new</f>
        <v>9.35440914801148</v>
      </c>
      <c r="L4103" s="38" t="n">
        <f aca="false">debt_q2*kd_book+(Sens!$K$4101-debt_q2)*kd_new</f>
        <v>9.35440914801148</v>
      </c>
      <c r="M4103" s="38" t="n">
        <f aca="false">debt_q2*kd_book+(Sens!$L$4101-debt_q2)*kd_new</f>
        <v>9.35440914801148</v>
      </c>
    </row>
    <row r="4104" customFormat="false" ht="17.15" hidden="false" customHeight="false" outlineLevel="0" collapsed="false">
      <c r="A4104" s="5" t="s">
        <v>803</v>
      </c>
      <c r="B4104" s="0" t="s">
        <v>86</v>
      </c>
      <c r="F4104" s="38" t="n">
        <f aca="false">cash_q2*y_cash*0.5</f>
        <v>2.59</v>
      </c>
      <c r="H4104" s="38" t="n">
        <f aca="false">Sens!$G$4100*y_cash</f>
        <v>3.80133635330174</v>
      </c>
      <c r="I4104" s="38" t="n">
        <f aca="false">Sens!$H$4100*y_cash</f>
        <v>2.10589651022864</v>
      </c>
      <c r="J4104" s="38" t="n">
        <f aca="false">Sens!$I$4100*y_cash</f>
        <v>2.10589651022864</v>
      </c>
      <c r="K4104" s="38" t="n">
        <f aca="false">Sens!$J$4100*y_cash</f>
        <v>3.0548742119873</v>
      </c>
      <c r="L4104" s="38" t="n">
        <f aca="false">Sens!$K$4100*y_cash</f>
        <v>7.99183194408666</v>
      </c>
      <c r="M4104" s="38" t="n">
        <f aca="false">Sens!$L$4100*y_cash</f>
        <v>15.2958727595785</v>
      </c>
    </row>
    <row r="4105" customFormat="false" ht="17.15" hidden="false" customHeight="false" outlineLevel="0" collapsed="false">
      <c r="A4105" s="47" t="s">
        <v>804</v>
      </c>
      <c r="B4105" s="14" t="s">
        <v>86</v>
      </c>
      <c r="C4105" s="14"/>
      <c r="D4105" s="14"/>
      <c r="E4105" s="14"/>
      <c r="F4105" s="14"/>
      <c r="G4105" s="48" t="n">
        <f aca="false">SUM(Sens!$G$4094:$K$4094)</f>
        <v>2.6164903242026</v>
      </c>
      <c r="H4105" s="14"/>
      <c r="I4105" s="14"/>
      <c r="J4105" s="14"/>
      <c r="K4105" s="14"/>
      <c r="L4105" s="14"/>
      <c r="M4105" s="14"/>
      <c r="N4105" s="14"/>
      <c r="O4105" s="14"/>
    </row>
    <row r="4106" customFormat="false" ht="17.15" hidden="false" customHeight="false" outlineLevel="0" collapsed="false">
      <c r="A4106" s="0" t="s">
        <v>770</v>
      </c>
      <c r="B4106" s="0" t="s">
        <v>86</v>
      </c>
      <c r="G4106" s="38" t="n">
        <f aca="false">SUM(Sens!$G$4099:$K$4099)</f>
        <v>30.5034348339692</v>
      </c>
    </row>
    <row r="4107" customFormat="false" ht="17.15" hidden="false" customHeight="false" outlineLevel="0" collapsed="false">
      <c r="A4107" s="24" t="s">
        <v>807</v>
      </c>
      <c r="B4107" s="25" t="s">
        <v>86</v>
      </c>
      <c r="C4107" s="25"/>
      <c r="D4107" s="25"/>
      <c r="E4107" s="25"/>
      <c r="F4107" s="25"/>
      <c r="G4107" s="41" t="n">
        <f aca="false">Sens!$G$4105-(Sens!$G$4094+Sens!$H$4094+Sens!$I$4094+Sens!$J$4094+Sens!$K$4094)</f>
        <v>-2.8421709430404E-014</v>
      </c>
      <c r="H4107" s="25"/>
      <c r="I4107" s="25"/>
      <c r="J4107" s="25"/>
      <c r="K4107" s="25"/>
      <c r="L4107" s="25"/>
      <c r="M4107" s="25"/>
      <c r="N4107" s="25"/>
      <c r="O4107" s="25"/>
    </row>
    <row r="4110" customFormat="false" ht="19.4" hidden="false" customHeight="false" outlineLevel="0" collapsed="false">
      <c r="A4110" s="31" t="s">
        <v>1211</v>
      </c>
    </row>
    <row r="4111" customFormat="false" ht="17.15" hidden="false" customHeight="false" outlineLevel="0" collapsed="false">
      <c r="A4111" s="6" t="s">
        <v>16</v>
      </c>
      <c r="B4111" s="6" t="s">
        <v>17</v>
      </c>
      <c r="C4111" s="20" t="s">
        <v>494</v>
      </c>
      <c r="D4111" s="20" t="s">
        <v>495</v>
      </c>
      <c r="E4111" s="20" t="s">
        <v>577</v>
      </c>
      <c r="F4111" s="20" t="s">
        <v>578</v>
      </c>
      <c r="G4111" s="20" t="s">
        <v>579</v>
      </c>
      <c r="H4111" s="20" t="s">
        <v>580</v>
      </c>
      <c r="I4111" s="20" t="s">
        <v>581</v>
      </c>
      <c r="J4111" s="20" t="s">
        <v>582</v>
      </c>
      <c r="K4111" s="20" t="s">
        <v>583</v>
      </c>
      <c r="L4111" s="20" t="s">
        <v>584</v>
      </c>
      <c r="M4111" s="20" t="s">
        <v>585</v>
      </c>
      <c r="N4111" s="20" t="s">
        <v>586</v>
      </c>
      <c r="O4111" s="20" t="s">
        <v>587</v>
      </c>
      <c r="P4111" s="6" t="s">
        <v>23</v>
      </c>
      <c r="R4111" s="20" t="n">
        <v>2023</v>
      </c>
      <c r="S4111" s="20" t="n">
        <v>2024</v>
      </c>
      <c r="T4111" s="20" t="n">
        <v>2025</v>
      </c>
      <c r="U4111" s="20" t="n">
        <v>2026</v>
      </c>
      <c r="V4111" s="20" t="n">
        <v>2027</v>
      </c>
      <c r="W4111" s="20" t="n">
        <v>2028</v>
      </c>
      <c r="X4111" s="20" t="n">
        <v>2029</v>
      </c>
      <c r="Y4111" s="20" t="n">
        <v>2030</v>
      </c>
      <c r="Z4111" s="20" t="n">
        <v>2031</v>
      </c>
      <c r="AA4111" s="20" t="n">
        <v>2032</v>
      </c>
    </row>
    <row r="4112" customFormat="false" ht="17.15" hidden="false" customHeight="false" outlineLevel="0" collapsed="false">
      <c r="A4112" s="1" t="s">
        <v>909</v>
      </c>
    </row>
    <row r="4113" customFormat="false" ht="17.15" hidden="false" customHeight="false" outlineLevel="0" collapsed="false">
      <c r="A4113" s="0" t="s">
        <v>910</v>
      </c>
      <c r="B4113" s="0" t="s">
        <v>86</v>
      </c>
      <c r="H4113" s="38" t="n">
        <f aca="false">Sens!$H$4047*(1-tax)</f>
        <v>117.175373216539</v>
      </c>
      <c r="I4113" s="38" t="n">
        <f aca="false">Sens!$I$4047*(1-tax)</f>
        <v>141.91286168681</v>
      </c>
      <c r="J4113" s="38" t="n">
        <f aca="false">Sens!$J$4047*(1-tax)</f>
        <v>164.897414600494</v>
      </c>
      <c r="K4113" s="38" t="n">
        <f aca="false">Sens!$K$4047*(1-tax)</f>
        <v>180.361948333405</v>
      </c>
      <c r="L4113" s="38" t="n">
        <f aca="false">Sens!$L$4047*(1-tax)</f>
        <v>193.79161790373</v>
      </c>
      <c r="M4113" s="38" t="n">
        <f aca="false">Sens!$M$4047*(1-tax)</f>
        <v>204.235649731572</v>
      </c>
    </row>
    <row r="4114" customFormat="false" ht="15" hidden="false" customHeight="false" outlineLevel="0" collapsed="false">
      <c r="A4114" s="5" t="s">
        <v>911</v>
      </c>
      <c r="B4114" s="0" t="s">
        <v>86</v>
      </c>
      <c r="H4114" s="38" t="n">
        <f aca="false">Sens!$H$4058</f>
        <v>84.2954551066484</v>
      </c>
      <c r="I4114" s="38" t="n">
        <f aca="false">Sens!$I$4058</f>
        <v>116.966134216243</v>
      </c>
      <c r="J4114" s="38" t="n">
        <f aca="false">Sens!$J$4058</f>
        <v>150.328742951829</v>
      </c>
      <c r="K4114" s="38" t="n">
        <f aca="false">Sens!$K$4058</f>
        <v>183.873286181994</v>
      </c>
      <c r="L4114" s="38" t="n">
        <f aca="false">Sens!$L$4058</f>
        <v>207.285895141621</v>
      </c>
      <c r="M4114" s="38" t="n">
        <f aca="false">Sens!$M$4058</f>
        <v>223.326770635933</v>
      </c>
    </row>
    <row r="4115" customFormat="false" ht="15" hidden="false" customHeight="false" outlineLevel="0" collapsed="false">
      <c r="A4115" s="5" t="s">
        <v>912</v>
      </c>
      <c r="B4115" s="0" t="s">
        <v>86</v>
      </c>
      <c r="H4115" s="38" t="n">
        <f aca="false">Sens!$H$4089</f>
        <v>273.33581372725</v>
      </c>
      <c r="I4115" s="38" t="n">
        <f aca="false">Sens!$I$4089</f>
        <v>286.850821925047</v>
      </c>
      <c r="J4115" s="38" t="n">
        <f aca="false">Sens!$J$4089</f>
        <v>299.016023377723</v>
      </c>
      <c r="K4115" s="38" t="n">
        <f aca="false">Sens!$K$4089</f>
        <v>250.501425193305</v>
      </c>
      <c r="L4115" s="38" t="n">
        <f aca="false">Sens!$L$4089</f>
        <v>233.844094498949</v>
      </c>
      <c r="M4115" s="38" t="n">
        <f aca="false">Sens!$M$4089</f>
        <v>241.096425954461</v>
      </c>
    </row>
    <row r="4116" customFormat="false" ht="15" hidden="false" customHeight="false" outlineLevel="0" collapsed="false">
      <c r="A4116" s="5" t="s">
        <v>913</v>
      </c>
      <c r="B4116" s="0" t="s">
        <v>86</v>
      </c>
      <c r="H4116" s="38" t="n">
        <f aca="false">Sens!$H$4090</f>
        <v>1.6</v>
      </c>
      <c r="I4116" s="38" t="n">
        <f aca="false">Sens!$I$4090</f>
        <v>1.6</v>
      </c>
      <c r="J4116" s="38" t="n">
        <f aca="false">Sens!$J$4090</f>
        <v>1.6</v>
      </c>
      <c r="K4116" s="38" t="n">
        <f aca="false">Sens!$K$4090</f>
        <v>1.6</v>
      </c>
      <c r="L4116" s="38" t="n">
        <f aca="false">Sens!$L$4090</f>
        <v>1.6</v>
      </c>
      <c r="M4116" s="38" t="n">
        <f aca="false">Sens!$M$4090</f>
        <v>1.6</v>
      </c>
    </row>
    <row r="4117" customFormat="false" ht="15" hidden="false" customHeight="false" outlineLevel="0" collapsed="false">
      <c r="A4117" s="5" t="s">
        <v>914</v>
      </c>
      <c r="B4117" s="0" t="s">
        <v>86</v>
      </c>
      <c r="H4117" s="38" t="n">
        <f aca="false">Sens!$H$4084</f>
        <v>11.2853503187163</v>
      </c>
      <c r="I4117" s="38" t="n">
        <f aca="false">Sens!$I$4084</f>
        <v>12.7825799678694</v>
      </c>
      <c r="J4117" s="38" t="n">
        <f aca="false">Sens!$J$4084</f>
        <v>14.1996034397101</v>
      </c>
      <c r="K4117" s="38" t="n">
        <f aca="false">Sens!$K$4084</f>
        <v>15.4200205461038</v>
      </c>
      <c r="L4117" s="38" t="n">
        <f aca="false">Sens!$L$4084</f>
        <v>16.5476763773635</v>
      </c>
      <c r="M4117" s="38" t="n">
        <f aca="false">Sens!$M$4084</f>
        <v>17.5858224644451</v>
      </c>
    </row>
    <row r="4118" customFormat="false" ht="17.15" hidden="false" customHeight="false" outlineLevel="0" collapsed="false">
      <c r="A4118" s="1" t="s">
        <v>915</v>
      </c>
      <c r="B4118" s="8" t="s">
        <v>86</v>
      </c>
      <c r="H4118" s="38" t="n">
        <f aca="false">Sens!$H$4113+Sens!$H$4114-Sens!$H$4115-Sens!$H$4116+Sens!$H$4117</f>
        <v>-62.1796350853461</v>
      </c>
      <c r="I4118" s="38" t="n">
        <f aca="false">Sens!$I$4113+Sens!$I$4114-Sens!$I$4115-Sens!$I$4116+Sens!$I$4117</f>
        <v>-16.7892460541248</v>
      </c>
      <c r="J4118" s="38" t="n">
        <f aca="false">Sens!$J$4113+Sens!$J$4114-Sens!$J$4115-Sens!$J$4116+Sens!$J$4117</f>
        <v>28.80973761431</v>
      </c>
      <c r="K4118" s="38" t="n">
        <f aca="false">Sens!$K$4113+Sens!$K$4114-Sens!$K$4115-Sens!$K$4116+Sens!$K$4117</f>
        <v>127.553829868198</v>
      </c>
      <c r="L4118" s="38" t="n">
        <f aca="false">Sens!$L$4113+Sens!$L$4114-Sens!$L$4115-Sens!$L$4116+Sens!$L$4117</f>
        <v>182.181094923765</v>
      </c>
      <c r="M4118" s="38" t="n">
        <f aca="false">Sens!$M$4113+Sens!$M$4114-Sens!$M$4115-Sens!$M$4116+Sens!$M$4117</f>
        <v>202.451816877489</v>
      </c>
    </row>
    <row r="4119" customFormat="false" ht="15" hidden="false" customHeight="false" outlineLevel="0" collapsed="false">
      <c r="A4119" s="5" t="s">
        <v>916</v>
      </c>
      <c r="B4119" s="0" t="s">
        <v>57</v>
      </c>
      <c r="H4119" s="40" t="n">
        <f aca="false">1/(1+wacc)^(2027-2026-0.5)</f>
        <v>0.947751320380232</v>
      </c>
      <c r="I4119" s="40" t="n">
        <f aca="false">1/(1+wacc)^(2028-2026-0.5)</f>
        <v>0.851301099754987</v>
      </c>
      <c r="J4119" s="40" t="n">
        <f aca="false">1/(1+wacc)^(2029-2026-0.5)</f>
        <v>0.764666370660713</v>
      </c>
      <c r="K4119" s="40" t="n">
        <f aca="false">1/(1+wacc)^(2030-2026-0.5)</f>
        <v>0.686848235703811</v>
      </c>
      <c r="L4119" s="40" t="n">
        <f aca="false">1/(1+wacc)^(2031-2026-0.5)</f>
        <v>0.616949452715975</v>
      </c>
      <c r="M4119" s="40" t="n">
        <f aca="false">1/(1+wacc)^(2032-2026-0.5)</f>
        <v>0.554164089562688</v>
      </c>
    </row>
    <row r="4120" customFormat="false" ht="15" hidden="false" customHeight="false" outlineLevel="0" collapsed="false">
      <c r="A4120" s="5" t="s">
        <v>917</v>
      </c>
      <c r="B4120" s="0" t="s">
        <v>86</v>
      </c>
      <c r="H4120" s="38" t="n">
        <f aca="false">Sens!$H$4118*Sens!$H$4119</f>
        <v>-58.9308312528978</v>
      </c>
      <c r="I4120" s="38" t="n">
        <f aca="false">Sens!$I$4118*Sens!$I$4119</f>
        <v>-14.2927036299335</v>
      </c>
      <c r="J4120" s="38" t="n">
        <f aca="false">Sens!$J$4118*Sens!$J$4119</f>
        <v>22.0298375012218</v>
      </c>
      <c r="K4120" s="38" t="n">
        <f aca="false">Sens!$K$4118*Sens!$K$4119</f>
        <v>87.6101230022358</v>
      </c>
      <c r="L4120" s="38" t="n">
        <f aca="false">Sens!$L$4118*Sens!$L$4119</f>
        <v>112.396526808414</v>
      </c>
      <c r="M4120" s="38" t="n">
        <f aca="false">Sens!$M$4118*Sens!$M$4119</f>
        <v>112.191526780226</v>
      </c>
    </row>
    <row r="4121" customFormat="false" ht="15" hidden="false" customHeight="false" outlineLevel="0" collapsed="false">
      <c r="A4121" s="5" t="s">
        <v>918</v>
      </c>
      <c r="B4121" s="0" t="s">
        <v>86</v>
      </c>
      <c r="C4121" s="38" t="n">
        <f aca="false">SUM(Sens!$H$4120:$M$4120)</f>
        <v>261.004479209266</v>
      </c>
    </row>
    <row r="4122" customFormat="false" ht="17.15" hidden="false" customHeight="false" outlineLevel="0" collapsed="false">
      <c r="A4122" s="5" t="s">
        <v>919</v>
      </c>
      <c r="B4122" s="0" t="s">
        <v>86</v>
      </c>
      <c r="C4122" s="38" t="n">
        <f aca="false">Sens!$M$4113*(1+tg)*(1-tg/ronic)/(wacc-tg)</f>
        <v>1856.72995936682</v>
      </c>
    </row>
    <row r="4123" customFormat="false" ht="15" hidden="false" customHeight="false" outlineLevel="0" collapsed="false">
      <c r="A4123" s="5" t="s">
        <v>920</v>
      </c>
      <c r="B4123" s="0" t="s">
        <v>86</v>
      </c>
      <c r="C4123" s="38" t="n">
        <f aca="false">Sens!$C$4122/(1+wacc)^6</f>
        <v>975.172673302482</v>
      </c>
    </row>
    <row r="4124" customFormat="false" ht="17.15" hidden="false" customHeight="false" outlineLevel="0" collapsed="false">
      <c r="A4124" s="5" t="s">
        <v>921</v>
      </c>
      <c r="B4124" s="0" t="s">
        <v>86</v>
      </c>
      <c r="C4124" s="38" t="n">
        <f aca="false">Sens!$C$4121+Sens!$C$4123</f>
        <v>1236.17715251175</v>
      </c>
    </row>
    <row r="4125" customFormat="false" ht="17.15" hidden="false" customHeight="false" outlineLevel="0" collapsed="false">
      <c r="A4125" s="5" t="s">
        <v>922</v>
      </c>
      <c r="B4125" s="0" t="s">
        <v>52</v>
      </c>
      <c r="C4125" s="13" t="n">
        <f aca="false">Sens!$C$4123/Sens!$C$4124</f>
        <v>0.788861589393608</v>
      </c>
    </row>
    <row r="4126" customFormat="false" ht="17.15" hidden="false" customHeight="false" outlineLevel="0" collapsed="false">
      <c r="A4126" s="5" t="s">
        <v>923</v>
      </c>
      <c r="B4126" s="0" t="s">
        <v>86</v>
      </c>
      <c r="C4126" s="38" t="n">
        <f aca="false">Sens!$G$4102+fin_debt</f>
        <v>96.5114130116072</v>
      </c>
    </row>
    <row r="4127" customFormat="false" ht="17.15" hidden="false" customHeight="false" outlineLevel="0" collapsed="false">
      <c r="A4127" s="5" t="s">
        <v>924</v>
      </c>
      <c r="B4127" s="0" t="s">
        <v>86</v>
      </c>
      <c r="C4127" s="38" t="n">
        <f aca="false">(ant_val*ant_sh+oai_val*oai_sh)*(1-liq_disc)</f>
        <v>178.944</v>
      </c>
    </row>
    <row r="4128" customFormat="false" ht="15" hidden="false" customHeight="false" outlineLevel="0" collapsed="false">
      <c r="A4128" s="5" t="s">
        <v>925</v>
      </c>
      <c r="B4128" s="0" t="s">
        <v>86</v>
      </c>
      <c r="C4128" s="38" t="n">
        <f aca="false">Sens!$C$4124-Sens!$C$4126+Sens!$C$4127</f>
        <v>1318.60973950014</v>
      </c>
    </row>
    <row r="4129" customFormat="false" ht="17.15" hidden="false" customHeight="false" outlineLevel="0" collapsed="false">
      <c r="A4129" s="5" t="s">
        <v>926</v>
      </c>
      <c r="B4129" s="0" t="s">
        <v>27</v>
      </c>
      <c r="C4129" s="30" t="n">
        <f aca="false">Sens!$C$4128/sh_out</f>
        <v>122.248410300325</v>
      </c>
    </row>
    <row r="4130" customFormat="false" ht="17.15" hidden="false" customHeight="false" outlineLevel="0" collapsed="false">
      <c r="A4130" s="1" t="s">
        <v>927</v>
      </c>
      <c r="B4130" s="8" t="s">
        <v>27</v>
      </c>
      <c r="C4130" s="30" t="n">
        <f aca="false">Sens!$C$4129*(1+ke)^tp_yf-dps*tp_yf</f>
        <v>133.907100174025</v>
      </c>
    </row>
    <row r="4131" customFormat="false" ht="17.15" hidden="false" customHeight="false" outlineLevel="0" collapsed="false">
      <c r="A4131" s="3" t="s">
        <v>928</v>
      </c>
    </row>
    <row r="4132" customFormat="false" ht="17.15" hidden="false" customHeight="false" outlineLevel="0" collapsed="false">
      <c r="A4132" s="5" t="s">
        <v>929</v>
      </c>
      <c r="B4132" s="0" t="s">
        <v>86</v>
      </c>
      <c r="C4132" s="38" t="n">
        <f aca="false">(1-tp_yf)*(Sens!$H$4059+Sens!$H$4083*Sens!$H$3925/Sens!$H$4000)+tp_yf*(Sens!$I$4059+Sens!$I$4083*Sens!$I$3925/Sens!$I$4000)</f>
        <v>58.6196883033517</v>
      </c>
    </row>
    <row r="4133" customFormat="false" ht="15" hidden="false" customHeight="false" outlineLevel="0" collapsed="false">
      <c r="A4133" s="5" t="s">
        <v>930</v>
      </c>
      <c r="B4133" s="0" t="s">
        <v>57</v>
      </c>
      <c r="C4133" s="30" t="n">
        <f aca="false">m_ads*m_x</f>
        <v>9.11</v>
      </c>
    </row>
    <row r="4134" customFormat="false" ht="17.15" hidden="false" customHeight="false" outlineLevel="0" collapsed="false">
      <c r="A4134" s="5" t="s">
        <v>931</v>
      </c>
      <c r="B4134" s="0" t="s">
        <v>86</v>
      </c>
      <c r="C4134" s="38" t="n">
        <f aca="false">Sens!$C$4132*Sens!$C$4133</f>
        <v>534.025360443534</v>
      </c>
    </row>
    <row r="4135" customFormat="false" ht="17.15" hidden="false" customHeight="false" outlineLevel="0" collapsed="false">
      <c r="A4135" s="5" t="s">
        <v>932</v>
      </c>
      <c r="B4135" s="0" t="s">
        <v>86</v>
      </c>
      <c r="C4135" s="38" t="n">
        <f aca="false">(1-tp_yf)*(Sens!$H$4060+Sens!$H$4083*(Sens!$H$3932-Sens!$H$3925)/Sens!$H$4000+IF(internal_ai_reading=2,1,0)*(1-ext_sh)*Sens!$H$3962)+tp_yf*(Sens!$I$4060+Sens!$I$4083*(Sens!$I$3932-Sens!$I$3925)/Sens!$I$4000+IF(internal_ai_reading=2,1,0)*(1-ext_sh)*Sens!$I$3962)</f>
        <v>51.7123582519307</v>
      </c>
    </row>
    <row r="4136" customFormat="false" ht="17.15" hidden="false" customHeight="false" outlineLevel="0" collapsed="false">
      <c r="A4136" s="5" t="s">
        <v>933</v>
      </c>
      <c r="B4136" s="0" t="s">
        <v>57</v>
      </c>
      <c r="C4136" s="30" t="n">
        <f aca="false">m_retail*m_x</f>
        <v>17.72</v>
      </c>
    </row>
    <row r="4137" customFormat="false" ht="17.15" hidden="false" customHeight="false" outlineLevel="0" collapsed="false">
      <c r="A4137" s="5" t="s">
        <v>934</v>
      </c>
      <c r="B4137" s="0" t="s">
        <v>86</v>
      </c>
      <c r="C4137" s="38" t="n">
        <f aca="false">Sens!$C$4135*Sens!$C$4136</f>
        <v>916.342988224212</v>
      </c>
    </row>
    <row r="4138" customFormat="false" ht="17.15" hidden="false" customHeight="false" outlineLevel="0" collapsed="false">
      <c r="A4138" s="0" t="s">
        <v>935</v>
      </c>
      <c r="B4138" s="0" t="s">
        <v>86</v>
      </c>
      <c r="C4138" s="38" t="n">
        <f aca="false">(1-tp_yf)*(Sens!$H$4061+Sens!$H$4083*Sens!$H$3998/Sens!$H$4000)+tp_yf*(Sens!$I$4061+Sens!$I$4083*Sens!$I$3998/Sens!$I$4000)</f>
        <v>97.3363031479074</v>
      </c>
    </row>
    <row r="4139" customFormat="false" ht="17.15" hidden="false" customHeight="false" outlineLevel="0" collapsed="false">
      <c r="A4139" s="0" t="s">
        <v>936</v>
      </c>
      <c r="B4139" s="0" t="s">
        <v>57</v>
      </c>
      <c r="C4139" s="30" t="n">
        <f aca="false">m_cloud*m_x</f>
        <v>13.82</v>
      </c>
    </row>
    <row r="4140" customFormat="false" ht="17.15" hidden="false" customHeight="false" outlineLevel="0" collapsed="false">
      <c r="A4140" s="0" t="s">
        <v>937</v>
      </c>
      <c r="B4140" s="0" t="s">
        <v>86</v>
      </c>
      <c r="C4140" s="38" t="n">
        <f aca="false">Sens!$C$4138*Sens!$C$4139</f>
        <v>1345.18770950408</v>
      </c>
    </row>
    <row r="4141" customFormat="false" ht="17.15" hidden="false" customHeight="false" outlineLevel="0" collapsed="false">
      <c r="A4141" s="0" t="s">
        <v>938</v>
      </c>
      <c r="B4141" s="0" t="s">
        <v>86</v>
      </c>
      <c r="H4141" s="38" t="n">
        <f aca="false">Sens!$H$3979-tax*Sens!$H$3980-ext_sh*Sens!$H$3969</f>
        <v>-114.686944664267</v>
      </c>
      <c r="I4141" s="38" t="n">
        <f aca="false">Sens!$I$3979-tax*Sens!$I$3980-ext_sh*Sens!$I$3969</f>
        <v>-88.3950641557111</v>
      </c>
      <c r="J4141" s="38" t="n">
        <f aca="false">Sens!$J$3979-tax*Sens!$J$3980-ext_sh*Sens!$J$3969</f>
        <v>-61.1526151740695</v>
      </c>
      <c r="K4141" s="38" t="n">
        <f aca="false">Sens!$K$3979-tax*Sens!$K$3980-ext_sh*Sens!$K$3969</f>
        <v>10.057774712684</v>
      </c>
      <c r="L4141" s="38" t="n">
        <f aca="false">Sens!$L$3979-tax*Sens!$L$3980-ext_sh*Sens!$L$3969</f>
        <v>46.6587675560356</v>
      </c>
      <c r="M4141" s="38" t="n">
        <f aca="false">Sens!$M$3979-tax*Sens!$M$3980-ext_sh*Sens!$M$3969</f>
        <v>55.3915455321129</v>
      </c>
    </row>
    <row r="4142" customFormat="false" ht="17.15" hidden="false" customHeight="false" outlineLevel="0" collapsed="false">
      <c r="A4142" s="5" t="s">
        <v>939</v>
      </c>
      <c r="B4142" s="0" t="s">
        <v>86</v>
      </c>
      <c r="H4142" s="38" t="n">
        <f aca="false">Sens!$H$4141*Sens!$H$4119</f>
        <v>-108.694703235934</v>
      </c>
      <c r="I4142" s="38" t="n">
        <f aca="false">Sens!$I$4141*Sens!$I$4119</f>
        <v>-75.2508153286695</v>
      </c>
      <c r="J4142" s="38" t="n">
        <f aca="false">Sens!$J$4141*Sens!$J$4119</f>
        <v>-46.761348301567</v>
      </c>
      <c r="K4142" s="38" t="n">
        <f aca="false">Sens!$K$4141*Sens!$K$4119</f>
        <v>6.90816481651338</v>
      </c>
      <c r="L4142" s="38" t="n">
        <f aca="false">Sens!$L$4141*Sens!$L$4119</f>
        <v>28.7861011080981</v>
      </c>
      <c r="M4142" s="38" t="n">
        <f aca="false">Sens!$M$4141*Sens!$M$4119</f>
        <v>30.6960053992735</v>
      </c>
    </row>
    <row r="4143" customFormat="false" ht="17.15" hidden="false" customHeight="false" outlineLevel="0" collapsed="false">
      <c r="A4143" s="5" t="s">
        <v>940</v>
      </c>
      <c r="B4143" s="0" t="s">
        <v>86</v>
      </c>
      <c r="C4143" s="38" t="n">
        <f aca="false">Sens!$M$3980*(1-tax)*(1+tg)*(1-tg/ronic)/(wacc-tg)</f>
        <v>363.621782500497</v>
      </c>
    </row>
    <row r="4144" customFormat="false" ht="17.15" hidden="false" customHeight="false" outlineLevel="0" collapsed="false">
      <c r="A4144" s="0" t="s">
        <v>941</v>
      </c>
      <c r="B4144" s="0" t="s">
        <v>86</v>
      </c>
      <c r="C4144" s="38" t="n">
        <f aca="false">(SUM(Sens!$H$4142:$M$4142)+Sens!$C$4143/(1+wacc)^6)*(1+wacc)^tp_yf</f>
        <v>29.1198269558345</v>
      </c>
    </row>
    <row r="4145" customFormat="false" ht="17.15" hidden="false" customHeight="false" outlineLevel="0" collapsed="false">
      <c r="A4145" s="5" t="s">
        <v>942</v>
      </c>
      <c r="B4145" s="0" t="s">
        <v>86</v>
      </c>
      <c r="C4145" s="38" t="n">
        <f aca="false">(1-tp_yf)*(Sens!$H$4062)+tp_yf*(Sens!$I$4062)</f>
        <v>74.6707041238437</v>
      </c>
    </row>
    <row r="4146" customFormat="false" ht="17.15" hidden="false" customHeight="false" outlineLevel="0" collapsed="false">
      <c r="A4146" s="5" t="s">
        <v>943</v>
      </c>
      <c r="B4146" s="0" t="s">
        <v>86</v>
      </c>
      <c r="C4146" s="38" t="n">
        <f aca="false">Sens!$C$4145*m_ai</f>
        <v>448.024224743062</v>
      </c>
    </row>
    <row r="4147" customFormat="false" ht="17.15" hidden="false" customHeight="false" outlineLevel="0" collapsed="false">
      <c r="A4147" s="0" t="s">
        <v>944</v>
      </c>
      <c r="B4147" s="0" t="s">
        <v>86</v>
      </c>
      <c r="C4147" s="38" t="n">
        <f aca="false">IF(ai_leg=1,Sens!$C$4144,Sens!$C$4146)</f>
        <v>29.1198269558345</v>
      </c>
    </row>
    <row r="4148" customFormat="false" ht="17.15" hidden="false" customHeight="false" outlineLevel="0" collapsed="false">
      <c r="A4148" s="5" t="s">
        <v>945</v>
      </c>
      <c r="B4148" s="0" t="s">
        <v>86</v>
      </c>
      <c r="C4148" s="38" t="n">
        <f aca="false">Sens!$C$4134+Sens!$C$4137+Sens!$C$4140+Sens!$C$4147</f>
        <v>2824.67588512766</v>
      </c>
    </row>
    <row r="4149" customFormat="false" ht="17.15" hidden="false" customHeight="false" outlineLevel="0" collapsed="false">
      <c r="A4149" s="5" t="s">
        <v>946</v>
      </c>
      <c r="B4149" s="0" t="s">
        <v>86</v>
      </c>
      <c r="C4149" s="38" t="n">
        <f aca="false">Sens!$H$4102+fin_debt</f>
        <v>150.769185928785</v>
      </c>
    </row>
    <row r="4150" customFormat="false" ht="15" hidden="false" customHeight="false" outlineLevel="0" collapsed="false">
      <c r="A4150" s="5" t="s">
        <v>947</v>
      </c>
      <c r="B4150" s="0" t="s">
        <v>86</v>
      </c>
      <c r="C4150" s="38" t="n">
        <f aca="false">Sens!$C$4148-Sens!$C$4149+Sens!$C$4127</f>
        <v>2852.85069919888</v>
      </c>
    </row>
    <row r="4151" customFormat="false" ht="15" hidden="false" customHeight="false" outlineLevel="0" collapsed="false">
      <c r="A4151" s="3" t="s">
        <v>948</v>
      </c>
      <c r="B4151" s="8" t="s">
        <v>27</v>
      </c>
      <c r="C4151" s="30" t="n">
        <f aca="false">Sens!$C$4150/sh_val</f>
        <v>258.637306172687</v>
      </c>
    </row>
    <row r="4152" customFormat="false" ht="17.15" hidden="false" customHeight="false" outlineLevel="0" collapsed="false">
      <c r="A4152" s="47" t="s">
        <v>949</v>
      </c>
      <c r="B4152" s="14" t="s">
        <v>27</v>
      </c>
      <c r="C4152" s="44" t="n">
        <f aca="false">w_dcf*Sens!$C$4130+(1-w_dcf)*Sens!$C$4151</f>
        <v>196.272203173356</v>
      </c>
      <c r="D4152" s="14"/>
      <c r="E4152" s="14"/>
      <c r="F4152" s="14"/>
      <c r="G4152" s="14"/>
      <c r="H4152" s="14"/>
      <c r="I4152" s="14"/>
      <c r="J4152" s="14"/>
      <c r="K4152" s="14"/>
      <c r="L4152" s="14"/>
      <c r="M4152" s="14"/>
      <c r="N4152" s="14"/>
      <c r="O4152" s="14"/>
    </row>
    <row r="4153" customFormat="false" ht="17.15" hidden="false" customHeight="false" outlineLevel="0" collapsed="false">
      <c r="A4153" s="5" t="s">
        <v>950</v>
      </c>
      <c r="B4153" s="0" t="s">
        <v>27</v>
      </c>
      <c r="C4153" s="30" t="n">
        <f aca="false">v022_wdcf*Sens!$C$4130+(1-v022_wdcf)*Sens!$C$4151</f>
        <v>202.508713473289</v>
      </c>
    </row>
    <row r="4154" customFormat="false" ht="17.15" hidden="false" customHeight="false" outlineLevel="0" collapsed="false">
      <c r="A4154" s="5" t="s">
        <v>951</v>
      </c>
      <c r="B4154" s="0" t="s">
        <v>27</v>
      </c>
      <c r="C4154" s="30" t="n">
        <f aca="false">(Sens!$C$4150-Sens!$C$4147+Sens!$C$4146)/sh_val</f>
        <v>296.614864906485</v>
      </c>
    </row>
    <row r="4157" customFormat="false" ht="19.4" hidden="false" customHeight="false" outlineLevel="0" collapsed="false">
      <c r="A4157" s="31" t="s">
        <v>1212</v>
      </c>
    </row>
    <row r="4158" customFormat="false" ht="17.15" hidden="false" customHeight="false" outlineLevel="0" collapsed="false">
      <c r="A4158" s="6" t="s">
        <v>16</v>
      </c>
      <c r="B4158" s="6" t="s">
        <v>17</v>
      </c>
      <c r="C4158" s="20" t="s">
        <v>494</v>
      </c>
      <c r="D4158" s="20" t="s">
        <v>495</v>
      </c>
      <c r="E4158" s="20" t="s">
        <v>577</v>
      </c>
      <c r="F4158" s="20" t="s">
        <v>578</v>
      </c>
      <c r="G4158" s="20" t="s">
        <v>579</v>
      </c>
      <c r="H4158" s="20" t="s">
        <v>580</v>
      </c>
      <c r="I4158" s="20" t="s">
        <v>581</v>
      </c>
      <c r="J4158" s="20" t="s">
        <v>582</v>
      </c>
      <c r="K4158" s="20" t="s">
        <v>583</v>
      </c>
      <c r="L4158" s="20" t="s">
        <v>584</v>
      </c>
      <c r="M4158" s="20" t="s">
        <v>585</v>
      </c>
      <c r="N4158" s="20" t="s">
        <v>586</v>
      </c>
      <c r="O4158" s="20" t="s">
        <v>587</v>
      </c>
      <c r="P4158" s="6" t="s">
        <v>23</v>
      </c>
      <c r="R4158" s="20" t="n">
        <v>2023</v>
      </c>
      <c r="S4158" s="20" t="n">
        <v>2024</v>
      </c>
      <c r="T4158" s="20" t="n">
        <v>2025</v>
      </c>
      <c r="U4158" s="20" t="n">
        <v>2026</v>
      </c>
      <c r="V4158" s="20" t="n">
        <v>2027</v>
      </c>
      <c r="W4158" s="20" t="n">
        <v>2028</v>
      </c>
      <c r="X4158" s="20" t="n">
        <v>2029</v>
      </c>
      <c r="Y4158" s="20" t="n">
        <v>2030</v>
      </c>
      <c r="Z4158" s="20" t="n">
        <v>2031</v>
      </c>
      <c r="AA4158" s="20" t="n">
        <v>2032</v>
      </c>
    </row>
    <row r="4159" customFormat="false" ht="17.15" hidden="false" customHeight="false" outlineLevel="0" collapsed="false">
      <c r="A4159" s="1" t="s">
        <v>660</v>
      </c>
    </row>
    <row r="4160" customFormat="false" ht="17.15" hidden="false" customHeight="false" outlineLevel="0" collapsed="false">
      <c r="A4160" s="0" t="s">
        <v>516</v>
      </c>
      <c r="B4160" s="0" t="s">
        <v>86</v>
      </c>
      <c r="C4160" s="38" t="n">
        <f aca="false">Q!$D$10</f>
        <v>247.029</v>
      </c>
      <c r="D4160" s="38" t="n">
        <f aca="false">Q!$E$10</f>
        <v>269.287</v>
      </c>
      <c r="E4160" s="38" t="n">
        <f aca="false">Q!$P$10</f>
        <v>134.686</v>
      </c>
      <c r="F4160" s="38" t="n">
        <f aca="false">Sens!$O$4160*(1+Sens!$F$4161)*Sens!$F$4172</f>
        <v>158.293876822267</v>
      </c>
      <c r="G4160" s="38" t="n">
        <f aca="false">Sens!$E$4160+Sens!$F$4160</f>
        <v>292.979876822267</v>
      </c>
      <c r="H4160" s="38" t="n">
        <f aca="false">Sens!$G$4160*(1+Sens!$H$4161)</f>
        <v>318.184543087396</v>
      </c>
      <c r="I4160" s="38" t="n">
        <f aca="false">Sens!$H$4160*(1+Sens!$I$4161)</f>
        <v>341.736278761793</v>
      </c>
      <c r="J4160" s="38" t="n">
        <f aca="false">Sens!$I$4160*(1+Sens!$J$4161)</f>
        <v>362.927192787048</v>
      </c>
      <c r="K4160" s="38" t="n">
        <f aca="false">Sens!$J$4160*(1+Sens!$K$4161)</f>
        <v>381.0735524264</v>
      </c>
      <c r="L4160" s="38" t="n">
        <f aca="false">Sens!$K$4160*(1+Sens!$L$4161)</f>
        <v>400.12723004772</v>
      </c>
      <c r="M4160" s="38" t="n">
        <f aca="false">Sens!$L$4160*(1+Sens!$M$4161)</f>
        <v>420.133591550106</v>
      </c>
      <c r="N4160" s="38" t="n">
        <f aca="false">Q!$N$10</f>
        <v>118.892</v>
      </c>
      <c r="O4160" s="38" t="n">
        <f aca="false">Q!$O$10</f>
        <v>150.395</v>
      </c>
      <c r="P4160" s="8" t="s">
        <v>661</v>
      </c>
    </row>
    <row r="4161" customFormat="false" ht="17.15" hidden="false" customHeight="false" outlineLevel="0" collapsed="false">
      <c r="A4161" s="0" t="s">
        <v>662</v>
      </c>
      <c r="B4161" s="0" t="s">
        <v>52</v>
      </c>
      <c r="E4161" s="13" t="n">
        <f aca="false">Sens!$E$4160/Sens!$N$4160-1</f>
        <v>0.132843252699929</v>
      </c>
      <c r="F4161" s="13" t="n">
        <f aca="false">Sens!$O$4160/(Q!$F$10+Q!$G$10)-1</f>
        <v>0.0980382135842941</v>
      </c>
      <c r="G4161" s="13" t="n">
        <f aca="false">Sens!$G$4160/Sens!$D$4160-1</f>
        <v>0.0879837378791657</v>
      </c>
      <c r="H4161" s="13" t="n">
        <f aca="false">Sens!$F$4161+(g_os-Sens!$F$4161)*1/4</f>
        <v>0.0860286601882206</v>
      </c>
      <c r="I4161" s="13" t="n">
        <f aca="false">Sens!$F$4161+(g_os-Sens!$F$4161)*2/4</f>
        <v>0.074019106792147</v>
      </c>
      <c r="J4161" s="13" t="n">
        <f aca="false">Sens!$F$4161+(g_os-Sens!$F$4161)*3/4</f>
        <v>0.0620095533960735</v>
      </c>
      <c r="K4161" s="13" t="n">
        <f aca="false">Sens!$F$4161+(g_os-Sens!$F$4161)*4/4</f>
        <v>0.05</v>
      </c>
      <c r="L4161" s="13" t="n">
        <f aca="false">g_os</f>
        <v>0.05</v>
      </c>
      <c r="M4161" s="13" t="n">
        <f aca="false">g_os</f>
        <v>0.05</v>
      </c>
      <c r="P4161" s="8" t="s">
        <v>663</v>
      </c>
    </row>
    <row r="4162" customFormat="false" ht="17.15" hidden="false" customHeight="false" outlineLevel="0" collapsed="false">
      <c r="A4162" s="0" t="s">
        <v>517</v>
      </c>
      <c r="B4162" s="0" t="s">
        <v>86</v>
      </c>
      <c r="C4162" s="38" t="n">
        <f aca="false">Q!$D$11</f>
        <v>21.215</v>
      </c>
      <c r="D4162" s="38" t="n">
        <f aca="false">Q!$E$11</f>
        <v>22.561</v>
      </c>
      <c r="E4162" s="38" t="n">
        <f aca="false">Q!$P$11</f>
        <v>11.579</v>
      </c>
      <c r="F4162" s="38" t="n">
        <f aca="false">Sens!$O$4162*(1+Sens!$F$4163)*Sens!$F$4172</f>
        <v>11.5938724610325</v>
      </c>
      <c r="G4162" s="38" t="n">
        <f aca="false">Sens!$E$4162+Sens!$F$4162</f>
        <v>23.1728724610325</v>
      </c>
      <c r="H4162" s="38" t="n">
        <f aca="false">Sens!$G$4162*(1+Sens!$H$4163)</f>
        <v>24.353392759506</v>
      </c>
      <c r="I4162" s="38" t="n">
        <f aca="false">Sens!$H$4162*(1+Sens!$I$4163)</f>
        <v>25.4240338872015</v>
      </c>
      <c r="J4162" s="38" t="n">
        <f aca="false">Sens!$I$4162*(1+Sens!$J$4163)</f>
        <v>26.3642491017174</v>
      </c>
      <c r="K4162" s="38" t="n">
        <f aca="false">Sens!$J$4162*(1+Sens!$K$4163)</f>
        <v>27.155176574769</v>
      </c>
      <c r="L4162" s="38" t="n">
        <f aca="false">Sens!$K$4162*(1+Sens!$L$4163)</f>
        <v>27.969831872012</v>
      </c>
      <c r="M4162" s="38" t="n">
        <f aca="false">Sens!$L$4162*(1+Sens!$M$4163)</f>
        <v>28.8089268281724</v>
      </c>
      <c r="N4162" s="38" t="n">
        <f aca="false">Q!$N$11</f>
        <v>11.128</v>
      </c>
      <c r="O4162" s="38" t="n">
        <f aca="false">Q!$O$11</f>
        <v>11.433</v>
      </c>
      <c r="P4162" s="8" t="s">
        <v>661</v>
      </c>
    </row>
    <row r="4163" customFormat="false" ht="17.15" hidden="false" customHeight="false" outlineLevel="0" collapsed="false">
      <c r="A4163" s="0" t="s">
        <v>664</v>
      </c>
      <c r="B4163" s="0" t="s">
        <v>52</v>
      </c>
      <c r="E4163" s="13" t="n">
        <f aca="false">Sens!$E$4162/Sens!$N$4162-1</f>
        <v>0.0405283968368082</v>
      </c>
      <c r="F4163" s="13" t="n">
        <f aca="false">Sens!$O$4162/(Q!$F$11+Q!$G$11)-1</f>
        <v>0.0579254187100955</v>
      </c>
      <c r="G4163" s="13" t="n">
        <f aca="false">Sens!$G$4162/Sens!$D$4162-1</f>
        <v>0.0271208040881397</v>
      </c>
      <c r="H4163" s="13" t="n">
        <f aca="false">Sens!$F$4163+(g_ps-Sens!$F$4163)*1/4</f>
        <v>0.0509440640325716</v>
      </c>
      <c r="I4163" s="13" t="n">
        <f aca="false">Sens!$F$4163+(g_ps-Sens!$F$4163)*2/4</f>
        <v>0.0439627093550477</v>
      </c>
      <c r="J4163" s="13" t="n">
        <f aca="false">Sens!$F$4163+(g_ps-Sens!$F$4163)*3/4</f>
        <v>0.0369813546775239</v>
      </c>
      <c r="K4163" s="13" t="n">
        <f aca="false">Sens!$F$4163+(g_ps-Sens!$F$4163)*4/4</f>
        <v>0.03</v>
      </c>
      <c r="L4163" s="13" t="n">
        <f aca="false">g_ps</f>
        <v>0.03</v>
      </c>
      <c r="M4163" s="13" t="n">
        <f aca="false">g_ps</f>
        <v>0.03</v>
      </c>
      <c r="P4163" s="8" t="s">
        <v>665</v>
      </c>
    </row>
    <row r="4164" customFormat="false" ht="17.15" hidden="false" customHeight="false" outlineLevel="0" collapsed="false">
      <c r="A4164" s="0" t="s">
        <v>518</v>
      </c>
      <c r="B4164" s="0" t="s">
        <v>86</v>
      </c>
      <c r="C4164" s="38" t="n">
        <f aca="false">Q!$D$12</f>
        <v>156.146</v>
      </c>
      <c r="D4164" s="38" t="n">
        <f aca="false">Q!$E$12</f>
        <v>172.162</v>
      </c>
      <c r="E4164" s="38" t="n">
        <f aca="false">Q!$P$12</f>
        <v>88.358</v>
      </c>
      <c r="F4164" s="38" t="n">
        <f aca="false">Sens!$O$4164*(1+Sens!$F$4165)*Sens!$F$4172</f>
        <v>102.004388260171</v>
      </c>
      <c r="G4164" s="38" t="n">
        <f aca="false">Sens!$E$4164+Sens!$F$4164</f>
        <v>190.362388260171</v>
      </c>
      <c r="H4164" s="38" t="n">
        <f aca="false">Sens!$G$4164*(1+Sens!$H$4165)</f>
        <v>210.343106588311</v>
      </c>
      <c r="I4164" s="38" t="n">
        <f aca="false">Sens!$H$4164*(1+Sens!$I$4165)</f>
        <v>229.969728494648</v>
      </c>
      <c r="J4164" s="38" t="n">
        <f aca="false">Sens!$I$4164*(1+Sens!$J$4165)</f>
        <v>248.747636972598</v>
      </c>
      <c r="K4164" s="38" t="n">
        <f aca="false">Sens!$J$4164*(1+Sens!$K$4165)</f>
        <v>266.15997156068</v>
      </c>
      <c r="L4164" s="38" t="n">
        <f aca="false">Sens!$K$4164*(1+Sens!$L$4165)</f>
        <v>284.791169569927</v>
      </c>
      <c r="M4164" s="38" t="n">
        <f aca="false">Sens!$L$4164*(1+Sens!$M$4165)</f>
        <v>304.726551439822</v>
      </c>
      <c r="N4164" s="38" t="n">
        <f aca="false">Q!$N$12</f>
        <v>76.86</v>
      </c>
      <c r="O4164" s="38" t="n">
        <f aca="false">Q!$O$12</f>
        <v>95.302</v>
      </c>
      <c r="P4164" s="8" t="s">
        <v>661</v>
      </c>
    </row>
    <row r="4165" customFormat="false" ht="17.15" hidden="false" customHeight="false" outlineLevel="0" collapsed="false">
      <c r="A4165" s="0" t="s">
        <v>666</v>
      </c>
      <c r="B4165" s="0" t="s">
        <v>52</v>
      </c>
      <c r="E4165" s="13" t="n">
        <f aca="false">Sens!$E$4164/Sens!$N$4164-1</f>
        <v>0.1495966692688</v>
      </c>
      <c r="F4165" s="13" t="n">
        <f aca="false">Sens!$O$4164/(Q!$F$12+Q!$G$12)-1</f>
        <v>0.11661530890813</v>
      </c>
      <c r="G4165" s="13" t="n">
        <f aca="false">Sens!$G$4164/Sens!$D$4164-1</f>
        <v>0.105716640490767</v>
      </c>
      <c r="H4165" s="13" t="n">
        <f aca="false">Sens!$F$4165+(g_sp-Sens!$F$4165)*1/4</f>
        <v>0.104961481681098</v>
      </c>
      <c r="I4165" s="13" t="n">
        <f aca="false">Sens!$F$4165+(g_sp-Sens!$F$4165)*2/4</f>
        <v>0.0933076544540651</v>
      </c>
      <c r="J4165" s="13" t="n">
        <f aca="false">Sens!$F$4165+(g_sp-Sens!$F$4165)*3/4</f>
        <v>0.0816538272270325</v>
      </c>
      <c r="K4165" s="13" t="n">
        <f aca="false">Sens!$F$4165+(g_sp-Sens!$F$4165)*4/4</f>
        <v>0.07</v>
      </c>
      <c r="L4165" s="13" t="n">
        <f aca="false">g_sp</f>
        <v>0.07</v>
      </c>
      <c r="M4165" s="13" t="n">
        <f aca="false">g_sp</f>
        <v>0.07</v>
      </c>
      <c r="P4165" s="8" t="s">
        <v>667</v>
      </c>
    </row>
    <row r="4166" customFormat="false" ht="17.15" hidden="false" customHeight="false" outlineLevel="0" collapsed="false">
      <c r="A4166" s="0" t="s">
        <v>519</v>
      </c>
      <c r="B4166" s="0" t="s">
        <v>86</v>
      </c>
      <c r="C4166" s="38" t="n">
        <f aca="false">Q!$D$13</f>
        <v>56.214</v>
      </c>
      <c r="D4166" s="38" t="n">
        <f aca="false">Q!$E$13</f>
        <v>68.635</v>
      </c>
      <c r="E4166" s="38" t="n">
        <f aca="false">Q!$P$13</f>
        <v>37.052</v>
      </c>
      <c r="F4166" s="38" t="n">
        <f aca="false">Sens!$O$4166*(1+Sens!$F$4167)*Sens!$F$4172</f>
        <v>46.1572219944148</v>
      </c>
      <c r="G4166" s="38" t="n">
        <f aca="false">Sens!$E$4166+Sens!$F$4166</f>
        <v>83.2092219944148</v>
      </c>
      <c r="H4166" s="38" t="n">
        <f aca="false">Sens!$G$4166*(1+Sens!$H$4167)</f>
        <v>100.520991552856</v>
      </c>
      <c r="I4166" s="38" t="n">
        <f aca="false">Sens!$H$4166*(1+Sens!$I$4167)</f>
        <v>118.819235941213</v>
      </c>
      <c r="J4166" s="38" t="n">
        <f aca="false">Sens!$I$4166*(1+Sens!$J$4167)</f>
        <v>137.357060346466</v>
      </c>
      <c r="K4166" s="38" t="n">
        <f aca="false">Sens!$J$4166*(1+Sens!$K$4167)</f>
        <v>155.213478191507</v>
      </c>
      <c r="L4166" s="38" t="n">
        <f aca="false">Sens!$K$4166*(1+Sens!$L$4167)</f>
        <v>175.391230356402</v>
      </c>
      <c r="M4166" s="38" t="n">
        <f aca="false">Sens!$L$4166*(1+Sens!$M$4167)</f>
        <v>198.192090302735</v>
      </c>
      <c r="N4166" s="38" t="n">
        <f aca="false">Q!$N$13</f>
        <v>29.615</v>
      </c>
      <c r="O4166" s="38" t="n">
        <f aca="false">Q!$O$13</f>
        <v>39.02</v>
      </c>
      <c r="P4166" s="8" t="s">
        <v>661</v>
      </c>
    </row>
    <row r="4167" customFormat="false" ht="17.15" hidden="false" customHeight="false" outlineLevel="0" collapsed="false">
      <c r="A4167" s="0" t="s">
        <v>668</v>
      </c>
      <c r="B4167" s="0" t="s">
        <v>52</v>
      </c>
      <c r="E4167" s="13" t="n">
        <f aca="false">Sens!$E$4166/Sens!$N$4166-1</f>
        <v>0.25112274185379</v>
      </c>
      <c r="F4167" s="13" t="n">
        <f aca="false">Sens!$O$4166/(Q!$F$13+Q!$G$13)-1</f>
        <v>0.234068123596572</v>
      </c>
      <c r="G4167" s="13" t="n">
        <f aca="false">Sens!$G$4166/Sens!$D$4166-1</f>
        <v>0.212343876949294</v>
      </c>
      <c r="H4167" s="13" t="n">
        <f aca="false">Sens!$F$4167+(g_ad_hi-Sens!$F$4167)*1/4</f>
        <v>0.208051092697429</v>
      </c>
      <c r="I4167" s="13" t="n">
        <f aca="false">Sens!$F$4167+(g_ad_hi-Sens!$F$4167)*2/4</f>
        <v>0.182034061798286</v>
      </c>
      <c r="J4167" s="13" t="n">
        <f aca="false">Sens!$F$4167+(g_ad_hi-Sens!$F$4167)*3/4</f>
        <v>0.156017030899143</v>
      </c>
      <c r="K4167" s="13" t="n">
        <f aca="false">Sens!$F$4167+(g_ad_hi-Sens!$F$4167)*4/4</f>
        <v>0.13</v>
      </c>
      <c r="L4167" s="13" t="n">
        <f aca="false">g_ad_hi</f>
        <v>0.13</v>
      </c>
      <c r="M4167" s="13" t="n">
        <f aca="false">g_ad_hi</f>
        <v>0.13</v>
      </c>
      <c r="P4167" s="8" t="s">
        <v>669</v>
      </c>
    </row>
    <row r="4168" customFormat="false" ht="17.15" hidden="false" customHeight="false" outlineLevel="0" collapsed="false">
      <c r="A4168" s="0" t="s">
        <v>520</v>
      </c>
      <c r="B4168" s="0" t="s">
        <v>86</v>
      </c>
      <c r="C4168" s="38" t="n">
        <f aca="false">Q!$D$14</f>
        <v>44.374</v>
      </c>
      <c r="D4168" s="38" t="n">
        <f aca="false">Q!$E$14</f>
        <v>49.619</v>
      </c>
      <c r="E4168" s="38" t="n">
        <f aca="false">Q!$P$14</f>
        <v>27.157</v>
      </c>
      <c r="F4168" s="38" t="n">
        <f aca="false">Sens!$O$4168*(1+Sens!$F$4169)*Sens!$F$4172</f>
        <v>27.7764165988154</v>
      </c>
      <c r="G4168" s="38" t="n">
        <f aca="false">Sens!$E$4168+Sens!$F$4168</f>
        <v>54.9334165988154</v>
      </c>
      <c r="H4168" s="38" t="n">
        <f aca="false">Sens!$G$4168*(1+Sens!$H$4169)</f>
        <v>61.1564112561829</v>
      </c>
      <c r="I4168" s="38" t="n">
        <f aca="false">Sens!$H$4168*(1+Sens!$I$4169)</f>
        <v>67.2020282103945</v>
      </c>
      <c r="J4168" s="38" t="n">
        <f aca="false">Sens!$I$4168*(1+Sens!$J$4169)</f>
        <v>72.8757274028885</v>
      </c>
      <c r="K4168" s="38" t="n">
        <f aca="false">Sens!$J$4168*(1+Sens!$K$4169)</f>
        <v>77.9770283210907</v>
      </c>
      <c r="L4168" s="38" t="n">
        <f aca="false">Sens!$K$4168*(1+Sens!$L$4169)</f>
        <v>83.4354203035671</v>
      </c>
      <c r="M4168" s="38" t="n">
        <f aca="false">Sens!$L$4168*(1+Sens!$M$4169)</f>
        <v>89.2758997248168</v>
      </c>
      <c r="N4168" s="38" t="n">
        <f aca="false">Q!$N$14</f>
        <v>23.923</v>
      </c>
      <c r="O4168" s="38" t="n">
        <f aca="false">Q!$O$14</f>
        <v>25.696</v>
      </c>
      <c r="P4168" s="8" t="s">
        <v>661</v>
      </c>
    </row>
    <row r="4169" customFormat="false" ht="17.15" hidden="false" customHeight="false" outlineLevel="0" collapsed="false">
      <c r="A4169" s="0" t="s">
        <v>670</v>
      </c>
      <c r="B4169" s="0" t="s">
        <v>52</v>
      </c>
      <c r="E4169" s="13" t="n">
        <f aca="false">Sens!$E$4168/Sens!$N$4168-1</f>
        <v>0.135183714417088</v>
      </c>
      <c r="F4169" s="13" t="n">
        <f aca="false">Sens!$O$4168/(Q!$F$14+Q!$G$14)-1</f>
        <v>0.127709997366804</v>
      </c>
      <c r="G4169" s="13" t="n">
        <f aca="false">Sens!$G$4168/Sens!$D$4168-1</f>
        <v>0.107104468022641</v>
      </c>
      <c r="H4169" s="13" t="n">
        <f aca="false">Sens!$F$4169+(g_sub-Sens!$F$4169)*1/4</f>
        <v>0.113282498025103</v>
      </c>
      <c r="I4169" s="13" t="n">
        <f aca="false">Sens!$F$4169+(g_sub-Sens!$F$4169)*2/4</f>
        <v>0.0988549986834021</v>
      </c>
      <c r="J4169" s="13" t="n">
        <f aca="false">Sens!$F$4169+(g_sub-Sens!$F$4169)*3/4</f>
        <v>0.084427499341701</v>
      </c>
      <c r="K4169" s="13" t="n">
        <f aca="false">Sens!$F$4169+(g_sub-Sens!$F$4169)*4/4</f>
        <v>0.07</v>
      </c>
      <c r="L4169" s="13" t="n">
        <f aca="false">g_sub</f>
        <v>0.07</v>
      </c>
      <c r="M4169" s="13" t="n">
        <f aca="false">g_sub</f>
        <v>0.07</v>
      </c>
      <c r="P4169" s="8" t="s">
        <v>671</v>
      </c>
    </row>
    <row r="4170" customFormat="false" ht="17.15" hidden="false" customHeight="false" outlineLevel="0" collapsed="false">
      <c r="A4170" s="0" t="s">
        <v>521</v>
      </c>
      <c r="B4170" s="0" t="s">
        <v>86</v>
      </c>
      <c r="C4170" s="38" t="n">
        <f aca="false">Q!$D$15</f>
        <v>5.425</v>
      </c>
      <c r="D4170" s="38" t="n">
        <f aca="false">Q!$E$15</f>
        <v>5.935</v>
      </c>
      <c r="E4170" s="38" t="n">
        <f aca="false">Q!$P$15</f>
        <v>3.474</v>
      </c>
      <c r="F4170" s="38" t="n">
        <f aca="false">Sens!$O$4170*(1+Sens!$F$4171)*Sens!$F$4172</f>
        <v>3.22246550883619</v>
      </c>
      <c r="G4170" s="38" t="n">
        <f aca="false">Sens!$E$4170+Sens!$F$4170</f>
        <v>6.69646550883619</v>
      </c>
      <c r="H4170" s="38" t="n">
        <f aca="false">Sens!$G$4170*(1+Sens!$H$4171)</f>
        <v>7.16251344209196</v>
      </c>
      <c r="I4170" s="38" t="n">
        <f aca="false">Sens!$H$4170*(1+Sens!$I$4171)</f>
        <v>7.61421070299826</v>
      </c>
      <c r="J4170" s="38" t="n">
        <f aca="false">Sens!$I$4170*(1+Sens!$J$4171)</f>
        <v>8.04465753523932</v>
      </c>
      <c r="K4170" s="38" t="n">
        <f aca="false">Sens!$J$4170*(1+Sens!$K$4171)</f>
        <v>8.44689041200128</v>
      </c>
      <c r="L4170" s="38" t="n">
        <f aca="false">Sens!$K$4170*(1+Sens!$L$4171)</f>
        <v>8.86923493260135</v>
      </c>
      <c r="M4170" s="38" t="n">
        <f aca="false">Sens!$L$4170*(1+Sens!$M$4171)</f>
        <v>9.31269667923142</v>
      </c>
      <c r="N4170" s="38" t="n">
        <f aca="false">Q!$N$15</f>
        <v>2.811</v>
      </c>
      <c r="O4170" s="38" t="n">
        <f aca="false">Q!$O$15</f>
        <v>3.124</v>
      </c>
      <c r="P4170" s="8" t="s">
        <v>661</v>
      </c>
    </row>
    <row r="4171" customFormat="false" ht="17.15" hidden="false" customHeight="false" outlineLevel="0" collapsed="false">
      <c r="A4171" s="0" t="s">
        <v>672</v>
      </c>
      <c r="B4171" s="0" t="s">
        <v>52</v>
      </c>
      <c r="E4171" s="13" t="n">
        <f aca="false">Sens!$E$4170/Sens!$N$4170-1</f>
        <v>0.235859124866596</v>
      </c>
      <c r="F4171" s="13" t="n">
        <f aca="false">Sens!$O$4170/(Q!$F$15+Q!$G$15)-1</f>
        <v>0.0761281433000345</v>
      </c>
      <c r="G4171" s="13" t="n">
        <f aca="false">Sens!$G$4170/Sens!$D$4170-1</f>
        <v>0.128300843948811</v>
      </c>
      <c r="H4171" s="13" t="n">
        <f aca="false">Sens!$F$4171+(g_ot-Sens!$F$4171)*1/4</f>
        <v>0.0695961074750259</v>
      </c>
      <c r="I4171" s="13" t="n">
        <f aca="false">Sens!$F$4171+(g_ot-Sens!$F$4171)*2/4</f>
        <v>0.0630640716500172</v>
      </c>
      <c r="J4171" s="13" t="n">
        <f aca="false">Sens!$F$4171+(g_ot-Sens!$F$4171)*3/4</f>
        <v>0.0565320358250086</v>
      </c>
      <c r="K4171" s="13" t="n">
        <f aca="false">Sens!$F$4171+(g_ot-Sens!$F$4171)*4/4</f>
        <v>0.05</v>
      </c>
      <c r="L4171" s="13" t="n">
        <f aca="false">g_ot</f>
        <v>0.05</v>
      </c>
      <c r="M4171" s="13" t="n">
        <f aca="false">g_ot</f>
        <v>0.05</v>
      </c>
      <c r="P4171" s="8" t="s">
        <v>673</v>
      </c>
    </row>
    <row r="4172" customFormat="false" ht="17.15" hidden="false" customHeight="false" outlineLevel="0" collapsed="false">
      <c r="A4172" s="0" t="s">
        <v>674</v>
      </c>
      <c r="B4172" s="0" t="s">
        <v>57</v>
      </c>
      <c r="F4172" s="40" t="n">
        <f aca="false">(g26q3_mid*Q!$O$8/Q!$J$8-Sens!$F$4201-Sens!$F$4205)/(Sens!$O$4160*(1+Sens!$F$4161)+Sens!$O$4162*(1+Sens!$F$4163)+Sens!$O$4164*(1+Sens!$F$4165)+Sens!$O$4166*(1+Sens!$F$4167)+Sens!$O$4168*(1+Sens!$F$4169)+Sens!$O$4170*(1+Sens!$F$4171))</f>
        <v>0.958546670622329</v>
      </c>
      <c r="P4172" s="8" t="s">
        <v>675</v>
      </c>
    </row>
    <row r="4173" customFormat="false" ht="17.15" hidden="false" customHeight="false" outlineLevel="0" collapsed="false">
      <c r="A4173" s="3" t="s">
        <v>676</v>
      </c>
      <c r="B4173" s="8" t="s">
        <v>86</v>
      </c>
      <c r="C4173" s="38" t="n">
        <f aca="false">Sens!$C$4160+Sens!$C$4162+Sens!$C$4164+Sens!$C$4166+Sens!$C$4168+Sens!$C$4170</f>
        <v>530.403</v>
      </c>
      <c r="D4173" s="38" t="n">
        <f aca="false">Sens!$D$4160+Sens!$D$4162+Sens!$D$4164+Sens!$D$4166+Sens!$D$4168+Sens!$D$4170</f>
        <v>588.199</v>
      </c>
      <c r="E4173" s="38" t="n">
        <f aca="false">Sens!$E$4160+Sens!$E$4162+Sens!$E$4164+Sens!$E$4166+Sens!$E$4168+Sens!$E$4170</f>
        <v>302.306</v>
      </c>
      <c r="F4173" s="38" t="n">
        <f aca="false">Sens!$F$4160+Sens!$F$4162+Sens!$F$4164+Sens!$F$4166+Sens!$F$4168+Sens!$F$4170</f>
        <v>349.048241645537</v>
      </c>
      <c r="G4173" s="38" t="n">
        <f aca="false">Sens!$G$4160+Sens!$G$4162+Sens!$G$4164+Sens!$G$4166+Sens!$G$4168+Sens!$G$4170</f>
        <v>651.354241645537</v>
      </c>
      <c r="H4173" s="38" t="n">
        <f aca="false">Sens!$H$4160+Sens!$H$4162+Sens!$H$4164+Sens!$H$4166+Sens!$H$4168+Sens!$H$4170</f>
        <v>721.720958686344</v>
      </c>
      <c r="I4173" s="38" t="n">
        <f aca="false">Sens!$I$4160+Sens!$I$4162+Sens!$I$4164+Sens!$I$4166+Sens!$I$4168+Sens!$I$4170</f>
        <v>790.765515998248</v>
      </c>
      <c r="J4173" s="38" t="n">
        <f aca="false">Sens!$J$4160+Sens!$J$4162+Sens!$J$4164+Sens!$J$4166+Sens!$J$4168+Sens!$J$4170</f>
        <v>856.316524145957</v>
      </c>
      <c r="K4173" s="38" t="n">
        <f aca="false">Sens!$K$4160+Sens!$K$4162+Sens!$K$4164+Sens!$K$4166+Sens!$K$4168+Sens!$K$4170</f>
        <v>916.026097486447</v>
      </c>
      <c r="L4173" s="38" t="n">
        <f aca="false">Sens!$L$4160+Sens!$L$4162+Sens!$L$4164+Sens!$L$4166+Sens!$L$4168+Sens!$L$4170</f>
        <v>980.58411708223</v>
      </c>
      <c r="M4173" s="38" t="n">
        <f aca="false">Sens!$M$4160+Sens!$M$4162+Sens!$M$4164+Sens!$M$4166+Sens!$M$4168+Sens!$M$4170</f>
        <v>1050.44975652488</v>
      </c>
      <c r="N4173" s="38" t="n">
        <f aca="false">Sens!$N$4160+Sens!$N$4162+Sens!$N$4164+Sens!$N$4166+Sens!$N$4168+Sens!$N$4170</f>
        <v>263.229</v>
      </c>
      <c r="O4173" s="38" t="n">
        <f aca="false">Sens!$O$4160+Sens!$O$4162+Sens!$O$4164+Sens!$O$4166+Sens!$O$4168+Sens!$O$4170</f>
        <v>324.97</v>
      </c>
    </row>
    <row r="4174" customFormat="false" ht="17.15" hidden="false" customHeight="false" outlineLevel="0" collapsed="false">
      <c r="A4174" s="5" t="s">
        <v>677</v>
      </c>
      <c r="B4174" s="0" t="s">
        <v>52</v>
      </c>
      <c r="C4174" s="13" t="n">
        <f aca="false">Q!$D$5/(Q!$D$5+Q!$D$6)</f>
        <v>0.730570905519011</v>
      </c>
      <c r="D4174" s="13" t="n">
        <f aca="false">Q!$E$5/(Q!$E$5+Q!$E$6)</f>
        <v>0.724763217890544</v>
      </c>
      <c r="E4174" s="13" t="n">
        <f aca="false">Q!$P$5/(Q!$P$5+Q!$P$6)</f>
        <v>0.728797972914861</v>
      </c>
      <c r="F4174" s="13" t="n">
        <f aca="false">Sens!$O$4174</f>
        <v>0.718066283041511</v>
      </c>
      <c r="G4174" s="13" t="n">
        <f aca="false">Sens!$G$4175/Sens!$G$4173</f>
        <v>0.723047066202847</v>
      </c>
      <c r="H4174" s="13" t="n">
        <f aca="false">Sens!$G$4174</f>
        <v>0.723047066202847</v>
      </c>
      <c r="I4174" s="13" t="n">
        <f aca="false">Sens!$G$4174</f>
        <v>0.723047066202847</v>
      </c>
      <c r="J4174" s="13" t="n">
        <f aca="false">Sens!$G$4174</f>
        <v>0.723047066202847</v>
      </c>
      <c r="K4174" s="13" t="n">
        <f aca="false">Sens!$G$4174</f>
        <v>0.723047066202847</v>
      </c>
      <c r="L4174" s="13" t="n">
        <f aca="false">Sens!$G$4174</f>
        <v>0.723047066202847</v>
      </c>
      <c r="M4174" s="13" t="n">
        <f aca="false">Sens!$G$4174</f>
        <v>0.723047066202847</v>
      </c>
      <c r="N4174" s="13" t="n">
        <f aca="false">Q!$N$5/(Q!$N$5+Q!$N$6)</f>
        <v>0.733030935041352</v>
      </c>
      <c r="O4174" s="13" t="n">
        <f aca="false">Q!$O$5/(Q!$O$5+Q!$O$6)</f>
        <v>0.718066283041511</v>
      </c>
      <c r="P4174" s="8" t="s">
        <v>678</v>
      </c>
    </row>
    <row r="4175" customFormat="false" ht="17.15" hidden="false" customHeight="false" outlineLevel="0" collapsed="false">
      <c r="A4175" s="1" t="s">
        <v>509</v>
      </c>
      <c r="B4175" s="8" t="s">
        <v>86</v>
      </c>
      <c r="C4175" s="38" t="n">
        <f aca="false">Q!$D$5</f>
        <v>387.497</v>
      </c>
      <c r="D4175" s="38" t="n">
        <f aca="false">Q!$E$5</f>
        <v>426.305</v>
      </c>
      <c r="E4175" s="38" t="n">
        <f aca="false">Q!$P$5</f>
        <v>220.32</v>
      </c>
      <c r="F4175" s="38" t="n">
        <f aca="false">Sens!$F$4173*Sens!$F$4174</f>
        <v>250.639773480586</v>
      </c>
      <c r="G4175" s="38" t="n">
        <f aca="false">Sens!$E$4175+Sens!$F$4175</f>
        <v>470.959773480586</v>
      </c>
      <c r="H4175" s="38" t="n">
        <f aca="false">Sens!$H$4173*Sens!$H$4174</f>
        <v>521.838221795268</v>
      </c>
      <c r="I4175" s="38" t="n">
        <f aca="false">Sens!$I$4173*Sens!$I$4174</f>
        <v>571.760686396914</v>
      </c>
      <c r="J4175" s="38" t="n">
        <f aca="false">Sens!$J$4173*Sens!$J$4174</f>
        <v>619.157150524754</v>
      </c>
      <c r="K4175" s="38" t="n">
        <f aca="false">Sens!$K$4173*Sens!$K$4174</f>
        <v>662.329982352819</v>
      </c>
      <c r="L4175" s="38" t="n">
        <f aca="false">Sens!$L$4173*Sens!$L$4174</f>
        <v>709.008469021416</v>
      </c>
      <c r="M4175" s="38" t="n">
        <f aca="false">Sens!$M$4173*Sens!$M$4174</f>
        <v>759.524614648812</v>
      </c>
      <c r="N4175" s="38" t="n">
        <f aca="false">Q!$N$5</f>
        <v>192.955</v>
      </c>
      <c r="O4175" s="38" t="n">
        <f aca="false">Q!$O$5</f>
        <v>233.35</v>
      </c>
      <c r="P4175" s="5" t="s">
        <v>679</v>
      </c>
    </row>
    <row r="4176" customFormat="false" ht="17.15" hidden="false" customHeight="false" outlineLevel="0" collapsed="false">
      <c r="A4176" s="1" t="s">
        <v>512</v>
      </c>
      <c r="B4176" s="8" t="s">
        <v>86</v>
      </c>
      <c r="C4176" s="38" t="n">
        <f aca="false">Q!$D$6</f>
        <v>142.906</v>
      </c>
      <c r="D4176" s="38" t="n">
        <f aca="false">Q!$E$6</f>
        <v>161.894</v>
      </c>
      <c r="E4176" s="38" t="n">
        <f aca="false">Q!$P$6</f>
        <v>81.986</v>
      </c>
      <c r="F4176" s="38" t="n">
        <f aca="false">Sens!$F$4173*(1-Sens!$F$4174)</f>
        <v>98.408468164951</v>
      </c>
      <c r="G4176" s="38" t="n">
        <f aca="false">Sens!$E$4176+Sens!$F$4176</f>
        <v>180.394468164951</v>
      </c>
      <c r="H4176" s="38" t="n">
        <f aca="false">Sens!$H$4173*(1-Sens!$H$4174)</f>
        <v>199.882736891077</v>
      </c>
      <c r="I4176" s="38" t="n">
        <f aca="false">Sens!$I$4173*(1-Sens!$I$4174)</f>
        <v>219.004829601334</v>
      </c>
      <c r="J4176" s="38" t="n">
        <f aca="false">Sens!$J$4173*(1-Sens!$J$4174)</f>
        <v>237.159373621203</v>
      </c>
      <c r="K4176" s="38" t="n">
        <f aca="false">Sens!$K$4173*(1-Sens!$K$4174)</f>
        <v>253.696115133628</v>
      </c>
      <c r="L4176" s="38" t="n">
        <f aca="false">Sens!$L$4173*(1-Sens!$L$4174)</f>
        <v>271.575648060814</v>
      </c>
      <c r="M4176" s="38" t="n">
        <f aca="false">Sens!$M$4173*(1-Sens!$M$4174)</f>
        <v>290.925141876071</v>
      </c>
      <c r="N4176" s="38" t="n">
        <f aca="false">Q!$N$6</f>
        <v>70.274</v>
      </c>
      <c r="O4176" s="38" t="n">
        <f aca="false">Q!$O$6</f>
        <v>91.62</v>
      </c>
      <c r="P4176" s="5" t="s">
        <v>680</v>
      </c>
    </row>
    <row r="4177" customFormat="false" ht="17.15" hidden="false" customHeight="false" outlineLevel="0" collapsed="false">
      <c r="A4177" s="5" t="s">
        <v>681</v>
      </c>
      <c r="B4177" s="0" t="s">
        <v>86</v>
      </c>
      <c r="C4177" s="38" t="n">
        <f aca="false">Sens!$C$4166*Sens!$C$4174</f>
        <v>41.0683128828457</v>
      </c>
      <c r="D4177" s="38" t="n">
        <f aca="false">Sens!$D$4166*Sens!$D$4174</f>
        <v>49.7441234599175</v>
      </c>
      <c r="E4177" s="38" t="n">
        <f aca="false">Sens!$E$4166*Sens!$E$4174</f>
        <v>27.0034224924414</v>
      </c>
      <c r="F4177" s="38" t="n">
        <f aca="false">Sens!$F$4166*Sens!$F$4174</f>
        <v>33.1439448330513</v>
      </c>
      <c r="G4177" s="38" t="n">
        <f aca="false">Sens!$G$4166*Sens!$G$4174</f>
        <v>60.164183844083</v>
      </c>
      <c r="H4177" s="38" t="n">
        <f aca="false">Sens!$H$4166*Sens!$H$4174</f>
        <v>72.6814080340935</v>
      </c>
      <c r="I4177" s="38" t="n">
        <f aca="false">Sens!$I$4166*Sens!$I$4174</f>
        <v>85.9118999557581</v>
      </c>
      <c r="J4177" s="38" t="n">
        <f aca="false">Sens!$J$4166*Sens!$J$4174</f>
        <v>99.3156195057597</v>
      </c>
      <c r="K4177" s="38" t="n">
        <f aca="false">Sens!$K$4166*Sens!$K$4174</f>
        <v>112.226650041508</v>
      </c>
      <c r="L4177" s="38" t="n">
        <f aca="false">Sens!$L$4166*Sens!$L$4174</f>
        <v>126.816114546904</v>
      </c>
      <c r="M4177" s="38" t="n">
        <f aca="false">Sens!$M$4166*Sens!$M$4174</f>
        <v>143.302209438002</v>
      </c>
      <c r="N4177" s="38" t="n">
        <f aca="false">Sens!$N$4166*Sens!$N$4174</f>
        <v>21.7087111412496</v>
      </c>
      <c r="O4177" s="38" t="n">
        <f aca="false">Sens!$O$4166*Sens!$O$4174</f>
        <v>28.0189463642798</v>
      </c>
      <c r="P4177" s="5" t="s">
        <v>682</v>
      </c>
    </row>
    <row r="4178" customFormat="false" ht="15" hidden="false" customHeight="false" outlineLevel="0" collapsed="false">
      <c r="A4178" s="5" t="s">
        <v>683</v>
      </c>
      <c r="B4178" s="0" t="s">
        <v>86</v>
      </c>
      <c r="C4178" s="38" t="n">
        <f aca="false">Sens!$C$4166-Sens!$C$4177</f>
        <v>15.1456871171543</v>
      </c>
      <c r="D4178" s="38" t="n">
        <f aca="false">Sens!$D$4166-Sens!$D$4177</f>
        <v>18.8908765400825</v>
      </c>
      <c r="E4178" s="38" t="n">
        <f aca="false">Sens!$E$4166-Sens!$E$4177</f>
        <v>10.0485775075586</v>
      </c>
      <c r="F4178" s="38" t="n">
        <f aca="false">Sens!$F$4166-Sens!$F$4177</f>
        <v>13.0132771613635</v>
      </c>
      <c r="G4178" s="38" t="n">
        <f aca="false">Sens!$G$4166-Sens!$G$4177</f>
        <v>23.0450381503318</v>
      </c>
      <c r="H4178" s="38" t="n">
        <f aca="false">Sens!$H$4166-Sens!$H$4177</f>
        <v>27.8395835187622</v>
      </c>
      <c r="I4178" s="38" t="n">
        <f aca="false">Sens!$I$4166-Sens!$I$4177</f>
        <v>32.9073359854551</v>
      </c>
      <c r="J4178" s="38" t="n">
        <f aca="false">Sens!$J$4166-Sens!$J$4177</f>
        <v>38.0414408407063</v>
      </c>
      <c r="K4178" s="38" t="n">
        <f aca="false">Sens!$K$4166-Sens!$K$4177</f>
        <v>42.9868281499981</v>
      </c>
      <c r="L4178" s="38" t="n">
        <f aca="false">Sens!$L$4166-Sens!$L$4177</f>
        <v>48.5751158094979</v>
      </c>
      <c r="M4178" s="38" t="n">
        <f aca="false">Sens!$M$4166-Sens!$M$4177</f>
        <v>54.8898808647326</v>
      </c>
      <c r="N4178" s="38" t="n">
        <f aca="false">Sens!$N$4166-Sens!$N$4177</f>
        <v>7.90628885875037</v>
      </c>
      <c r="O4178" s="38" t="n">
        <f aca="false">Sens!$O$4166-Sens!$O$4177</f>
        <v>11.0010536357202</v>
      </c>
    </row>
    <row r="4179" customFormat="false" ht="19.4" hidden="false" customHeight="false" outlineLevel="0" collapsed="false">
      <c r="A4179" s="31" t="s">
        <v>1213</v>
      </c>
    </row>
    <row r="4180" customFormat="false" ht="17.15" hidden="false" customHeight="false" outlineLevel="0" collapsed="false">
      <c r="A4180" s="6" t="s">
        <v>16</v>
      </c>
      <c r="B4180" s="6" t="s">
        <v>17</v>
      </c>
      <c r="C4180" s="20" t="s">
        <v>494</v>
      </c>
      <c r="D4180" s="20" t="s">
        <v>495</v>
      </c>
      <c r="E4180" s="20" t="s">
        <v>577</v>
      </c>
      <c r="F4180" s="20" t="s">
        <v>578</v>
      </c>
      <c r="G4180" s="20" t="s">
        <v>579</v>
      </c>
      <c r="H4180" s="20" t="s">
        <v>580</v>
      </c>
      <c r="I4180" s="20" t="s">
        <v>581</v>
      </c>
      <c r="J4180" s="20" t="s">
        <v>582</v>
      </c>
      <c r="K4180" s="20" t="s">
        <v>583</v>
      </c>
      <c r="L4180" s="20" t="s">
        <v>584</v>
      </c>
      <c r="M4180" s="20" t="s">
        <v>585</v>
      </c>
      <c r="N4180" s="20" t="s">
        <v>586</v>
      </c>
      <c r="O4180" s="20" t="s">
        <v>587</v>
      </c>
      <c r="P4180" s="6" t="s">
        <v>23</v>
      </c>
      <c r="R4180" s="20" t="n">
        <v>2023</v>
      </c>
      <c r="S4180" s="20" t="n">
        <v>2024</v>
      </c>
      <c r="T4180" s="20" t="n">
        <v>2025</v>
      </c>
      <c r="U4180" s="20" t="n">
        <v>2026</v>
      </c>
      <c r="V4180" s="20" t="n">
        <v>2027</v>
      </c>
      <c r="W4180" s="20" t="n">
        <v>2028</v>
      </c>
      <c r="X4180" s="20" t="n">
        <v>2029</v>
      </c>
      <c r="Y4180" s="20" t="n">
        <v>2030</v>
      </c>
      <c r="Z4180" s="20" t="n">
        <v>2031</v>
      </c>
      <c r="AA4180" s="20" t="n">
        <v>2032</v>
      </c>
    </row>
    <row r="4181" customFormat="false" ht="17.15" hidden="false" customHeight="false" outlineLevel="0" collapsed="false">
      <c r="A4181" s="1" t="s">
        <v>588</v>
      </c>
    </row>
    <row r="4182" customFormat="false" ht="17.15" hidden="false" customHeight="false" outlineLevel="0" collapsed="false">
      <c r="A4182" s="5" t="s">
        <v>589</v>
      </c>
      <c r="B4182" s="0" t="s">
        <v>144</v>
      </c>
      <c r="H4182" s="32" t="n">
        <f aca="false">pace_B</f>
        <v>3634.3</v>
      </c>
      <c r="I4182" s="32" t="n">
        <f aca="false">pace_B</f>
        <v>3634.3</v>
      </c>
      <c r="J4182" s="32" t="n">
        <f aca="false">pace_B</f>
        <v>3634.3</v>
      </c>
      <c r="K4182" s="32" t="n">
        <f aca="false">pace_B+(Sens!$J$4183*tg-pace_B)*1/3</f>
        <v>2570.86716666667</v>
      </c>
      <c r="L4182" s="32" t="n">
        <f aca="false">pace_B+(Sens!$J$4183*tg-pace_B)*2/3</f>
        <v>1507.43433333333</v>
      </c>
      <c r="M4182" s="32" t="n">
        <f aca="false">pace_B+(Sens!$J$4183*tg-pace_B)*3/3</f>
        <v>444.0015</v>
      </c>
      <c r="P4182" s="5" t="s">
        <v>590</v>
      </c>
    </row>
    <row r="4183" customFormat="false" ht="17.15" hidden="false" customHeight="false" outlineLevel="0" collapsed="false">
      <c r="A4183" s="15" t="s">
        <v>591</v>
      </c>
      <c r="B4183" s="14" t="s">
        <v>129</v>
      </c>
      <c r="C4183" s="33" t="n">
        <f aca="false">mw_ye24</f>
        <v>360</v>
      </c>
      <c r="D4183" s="33" t="n">
        <f aca="false">mw_ye25</f>
        <v>1440</v>
      </c>
      <c r="E4183" s="33" t="n">
        <f aca="false">mw_open</f>
        <v>2080</v>
      </c>
      <c r="F4183" s="33" t="n">
        <f aca="false">Sens!$E$4183+pace_B*0.5</f>
        <v>3897.15</v>
      </c>
      <c r="G4183" s="33" t="n">
        <f aca="false">Sens!$F$4183</f>
        <v>3897.15</v>
      </c>
      <c r="H4183" s="33" t="n">
        <f aca="false">Sens!$G$4183+Sens!$H$4182</f>
        <v>7531.45</v>
      </c>
      <c r="I4183" s="33" t="n">
        <f aca="false">Sens!$H$4183+Sens!$I$4182</f>
        <v>11165.75</v>
      </c>
      <c r="J4183" s="33" t="n">
        <f aca="false">Sens!$I$4183+Sens!$J$4182</f>
        <v>14800.05</v>
      </c>
      <c r="K4183" s="33" t="n">
        <f aca="false">Sens!$J$4183+Sens!$K$4182</f>
        <v>17370.9171666667</v>
      </c>
      <c r="L4183" s="33" t="n">
        <f aca="false">Sens!$K$4183+Sens!$L$4182</f>
        <v>18878.3515</v>
      </c>
      <c r="M4183" s="33" t="n">
        <f aca="false">Sens!$L$4183+Sens!$M$4182</f>
        <v>19322.353</v>
      </c>
      <c r="N4183" s="33" t="n">
        <f aca="false">(mw_ye24+mw_ye25)/2</f>
        <v>900</v>
      </c>
      <c r="O4183" s="33" t="n">
        <f aca="false">mw_ye25</f>
        <v>1440</v>
      </c>
      <c r="P4183" s="5" t="s">
        <v>592</v>
      </c>
    </row>
    <row r="4184" customFormat="false" ht="17.15" hidden="false" customHeight="false" outlineLevel="0" collapsed="false">
      <c r="A4184" s="5" t="s">
        <v>593</v>
      </c>
      <c r="B4184" s="0" t="s">
        <v>129</v>
      </c>
      <c r="C4184" s="32" t="n">
        <f aca="false">(mw_ye23+mw_ye24)/2</f>
        <v>240</v>
      </c>
      <c r="D4184" s="32" t="n">
        <f aca="false">(Sens!$C$4183+Sens!$D$4183)/2</f>
        <v>900</v>
      </c>
      <c r="E4184" s="32" t="n">
        <f aca="false">(Sens!$D$4183+Sens!$E$4183)/2</f>
        <v>1760</v>
      </c>
      <c r="F4184" s="32" t="n">
        <f aca="false">(Sens!$E$4183+Sens!$F$4183)/2</f>
        <v>2988.575</v>
      </c>
      <c r="G4184" s="32" t="n">
        <f aca="false">(Sens!$E$4184+Sens!$F$4184)/2</f>
        <v>2374.2875</v>
      </c>
      <c r="H4184" s="32" t="n">
        <f aca="false">(Sens!$G$4183+Sens!$H$4183)/2</f>
        <v>5714.3</v>
      </c>
      <c r="I4184" s="32" t="n">
        <f aca="false">(Sens!$H$4183+Sens!$I$4183)/2</f>
        <v>9348.6</v>
      </c>
      <c r="J4184" s="32" t="n">
        <f aca="false">(Sens!$I$4183+Sens!$J$4183)/2</f>
        <v>12982.9</v>
      </c>
      <c r="K4184" s="32" t="n">
        <f aca="false">(Sens!$J$4183+Sens!$K$4183)/2</f>
        <v>16085.4835833333</v>
      </c>
      <c r="L4184" s="32" t="n">
        <f aca="false">(Sens!$K$4183+Sens!$L$4183)/2</f>
        <v>18124.6343333333</v>
      </c>
      <c r="M4184" s="32" t="n">
        <f aca="false">(Sens!$L$4183+Sens!$M$4183)/2</f>
        <v>19100.35225</v>
      </c>
      <c r="N4184" s="32" t="n">
        <f aca="false">(Sens!$C$4183+Sens!$N$4183)/2</f>
        <v>630</v>
      </c>
      <c r="O4184" s="32" t="n">
        <f aca="false">(Sens!$N$4183+Sens!$O$4183)/2</f>
        <v>1170</v>
      </c>
    </row>
    <row r="4185" customFormat="false" ht="15" hidden="false" customHeight="false" outlineLevel="0" collapsed="false">
      <c r="A4185" s="5" t="s">
        <v>594</v>
      </c>
      <c r="B4185" s="5" t="s">
        <v>123</v>
      </c>
      <c r="C4185" s="34" t="n">
        <v>1</v>
      </c>
      <c r="D4185" s="34" t="n">
        <v>1</v>
      </c>
      <c r="E4185" s="34" t="n">
        <v>0.5</v>
      </c>
      <c r="F4185" s="34" t="n">
        <v>0.5</v>
      </c>
      <c r="G4185" s="34" t="n">
        <v>1</v>
      </c>
      <c r="H4185" s="34" t="n">
        <v>1</v>
      </c>
      <c r="I4185" s="34" t="n">
        <v>1</v>
      </c>
      <c r="J4185" s="34" t="n">
        <v>1</v>
      </c>
      <c r="K4185" s="34" t="n">
        <v>1</v>
      </c>
      <c r="L4185" s="34" t="n">
        <v>1</v>
      </c>
      <c r="M4185" s="34" t="n">
        <v>1</v>
      </c>
      <c r="N4185" s="34" t="n">
        <v>0.5</v>
      </c>
      <c r="O4185" s="34" t="n">
        <v>0.5</v>
      </c>
    </row>
    <row r="4186" customFormat="false" ht="17.15" hidden="false" customHeight="false" outlineLevel="0" collapsed="false">
      <c r="A4186" s="5" t="s">
        <v>595</v>
      </c>
      <c r="B4186" s="0" t="s">
        <v>129</v>
      </c>
      <c r="C4186" s="32" t="n">
        <f aca="false">Sens!$C$4183-mw_ye23</f>
        <v>240</v>
      </c>
      <c r="D4186" s="32" t="n">
        <f aca="false">Sens!$D$4183-Sens!$C$4183</f>
        <v>1080</v>
      </c>
      <c r="E4186" s="32" t="n">
        <f aca="false">Sens!$E$4183-Sens!$D$4183</f>
        <v>640</v>
      </c>
      <c r="F4186" s="32" t="n">
        <f aca="false">Sens!$F$4183-Sens!$E$4183</f>
        <v>1817.15</v>
      </c>
      <c r="G4186" s="32" t="n">
        <f aca="false">Sens!$E$4186+Sens!$F$4186</f>
        <v>2457.15</v>
      </c>
      <c r="H4186" s="32" t="n">
        <f aca="false">Sens!$H$4183-Sens!$G$4183</f>
        <v>3634.3</v>
      </c>
      <c r="I4186" s="32" t="n">
        <f aca="false">Sens!$I$4183-Sens!$H$4183</f>
        <v>3634.3</v>
      </c>
      <c r="J4186" s="32" t="n">
        <f aca="false">Sens!$J$4183-Sens!$I$4183</f>
        <v>3634.3</v>
      </c>
      <c r="K4186" s="32" t="n">
        <f aca="false">Sens!$K$4183-Sens!$J$4183</f>
        <v>2570.86716666667</v>
      </c>
      <c r="L4186" s="32" t="n">
        <f aca="false">Sens!$L$4183-Sens!$K$4183</f>
        <v>1507.43433333333</v>
      </c>
      <c r="M4186" s="32" t="n">
        <f aca="false">Sens!$M$4183-Sens!$L$4183</f>
        <v>444.001499999999</v>
      </c>
      <c r="N4186" s="32" t="n">
        <f aca="false">Sens!$N$4183-Sens!$C$4183</f>
        <v>540</v>
      </c>
      <c r="O4186" s="32" t="n">
        <f aca="false">Sens!$O$4183-Sens!$N$4183</f>
        <v>540</v>
      </c>
    </row>
    <row r="4187" customFormat="false" ht="17.15" hidden="false" customHeight="false" outlineLevel="0" collapsed="false">
      <c r="A4187" s="5" t="s">
        <v>596</v>
      </c>
      <c r="B4187" s="0" t="s">
        <v>129</v>
      </c>
      <c r="C4187" s="32" t="n">
        <f aca="false">Sens!$C$4186/ext_sh</f>
        <v>300</v>
      </c>
      <c r="D4187" s="32" t="n">
        <f aca="false">Sens!$D$4186/ext_sh</f>
        <v>1350</v>
      </c>
      <c r="E4187" s="32" t="n">
        <f aca="false">Sens!$E$4186/ext_sh</f>
        <v>800</v>
      </c>
      <c r="F4187" s="32" t="n">
        <f aca="false">Sens!$F$4186/ext_sh</f>
        <v>2271.4375</v>
      </c>
      <c r="G4187" s="32" t="n">
        <f aca="false">Sens!$G$4186/ext_sh</f>
        <v>3071.4375</v>
      </c>
      <c r="H4187" s="32" t="n">
        <f aca="false">Sens!$H$4186/ext_sh</f>
        <v>4542.875</v>
      </c>
      <c r="I4187" s="32" t="n">
        <f aca="false">Sens!$I$4186/ext_sh</f>
        <v>4542.875</v>
      </c>
      <c r="J4187" s="32" t="n">
        <f aca="false">Sens!$J$4186/ext_sh</f>
        <v>4542.875</v>
      </c>
      <c r="K4187" s="32" t="n">
        <f aca="false">Sens!$K$4186/ext_sh</f>
        <v>3213.58395833333</v>
      </c>
      <c r="L4187" s="32" t="n">
        <f aca="false">Sens!$L$4186/ext_sh</f>
        <v>1884.29291666667</v>
      </c>
      <c r="M4187" s="32" t="n">
        <f aca="false">Sens!$M$4186/ext_sh</f>
        <v>555.001874999998</v>
      </c>
      <c r="N4187" s="32" t="n">
        <f aca="false">Sens!$N$4186/ext_sh</f>
        <v>675</v>
      </c>
      <c r="O4187" s="32" t="n">
        <f aca="false">Sens!$O$4186/ext_sh</f>
        <v>675</v>
      </c>
      <c r="P4187" s="8" t="s">
        <v>597</v>
      </c>
      <c r="R4187" s="32" t="n">
        <f aca="false">mw_ye23/ext_sh</f>
        <v>150</v>
      </c>
      <c r="S4187" s="32" t="n">
        <f aca="false">Sens!$C$4187</f>
        <v>300</v>
      </c>
      <c r="T4187" s="32" t="n">
        <f aca="false">Sens!$D$4187</f>
        <v>1350</v>
      </c>
      <c r="U4187" s="32" t="n">
        <f aca="false">Sens!$G$4187</f>
        <v>3071.4375</v>
      </c>
      <c r="V4187" s="32" t="n">
        <f aca="false">Sens!$H$4187</f>
        <v>4542.875</v>
      </c>
      <c r="W4187" s="32" t="n">
        <f aca="false">Sens!$I$4187</f>
        <v>4542.875</v>
      </c>
      <c r="X4187" s="32" t="n">
        <f aca="false">Sens!$J$4187</f>
        <v>4542.875</v>
      </c>
      <c r="Y4187" s="32" t="n">
        <f aca="false">Sens!$K$4187</f>
        <v>3213.58395833333</v>
      </c>
      <c r="Z4187" s="32" t="n">
        <f aca="false">Sens!$L$4187</f>
        <v>1884.29291666667</v>
      </c>
      <c r="AA4187" s="32" t="n">
        <f aca="false">Sens!$M$4187</f>
        <v>555.001874999998</v>
      </c>
    </row>
    <row r="4188" customFormat="false" ht="17.15" hidden="false" customHeight="false" outlineLevel="0" collapsed="false">
      <c r="A4188" s="1" t="s">
        <v>598</v>
      </c>
    </row>
    <row r="4189" customFormat="false" ht="17.15" hidden="false" customHeight="false" outlineLevel="0" collapsed="false">
      <c r="A4189" s="0" t="s">
        <v>599</v>
      </c>
      <c r="B4189" s="0" t="s">
        <v>52</v>
      </c>
      <c r="F4189" s="35" t="n">
        <f aca="false">na_vr26</f>
        <v>0</v>
      </c>
      <c r="G4189" s="35" t="n">
        <f aca="false">na_vr26</f>
        <v>0</v>
      </c>
      <c r="H4189" s="35" t="n">
        <f aca="false">na_vr27</f>
        <v>0.5</v>
      </c>
      <c r="I4189" s="35" t="n">
        <f aca="false">na_vr28</f>
        <v>1</v>
      </c>
      <c r="J4189" s="35" t="n">
        <f aca="false">na_vr28</f>
        <v>1</v>
      </c>
      <c r="K4189" s="35" t="n">
        <f aca="false">na_vr28</f>
        <v>1</v>
      </c>
      <c r="L4189" s="35" t="n">
        <f aca="false">na_vr28</f>
        <v>1</v>
      </c>
      <c r="M4189" s="35" t="n">
        <f aca="false">na_vr28</f>
        <v>1</v>
      </c>
    </row>
    <row r="4190" customFormat="false" ht="17.15" hidden="false" customHeight="false" outlineLevel="0" collapsed="false">
      <c r="A4190" s="5" t="s">
        <v>600</v>
      </c>
      <c r="B4190" s="0" t="s">
        <v>173</v>
      </c>
      <c r="F4190" s="36" t="n">
        <f aca="false">cust_sh*tk_he_gb300*cf_chip+(1-cust_sh)*((1-Sens!$F$4189)*tk_he_gb300+Sens!$F$4189*tk_he_vr200)</f>
        <v>10.8864110021101</v>
      </c>
      <c r="G4190" s="36" t="n">
        <f aca="false">cust_sh*tk_he_gb300*cf_chip+(1-cust_sh)*((1-Sens!$G$4189)*tk_he_gb300+Sens!$G$4189*tk_he_vr200)</f>
        <v>10.8864110021101</v>
      </c>
      <c r="H4190" s="36" t="n">
        <f aca="false">cust_sh*tk_he_gb300*cf_chip+(1-cust_sh)*((1-Sens!$H$4189)*tk_he_gb300+Sens!$H$4189*tk_he_vr200)</f>
        <v>11.2211760027286</v>
      </c>
      <c r="I4190" s="36" t="n">
        <f aca="false">cust_sh*tk_he_gb300*cf_chip+(1-cust_sh)*((1-Sens!$I$4189)*tk_he_gb300+Sens!$I$4189*tk_he_vr200)</f>
        <v>11.5559410033471</v>
      </c>
      <c r="J4190" s="36" t="n">
        <f aca="false">cust_sh*tk_he_gb300*cf_chip+(1-cust_sh)*((1-Sens!$J$4189)*tk_he_gb300+Sens!$J$4189*tk_he_vr200)</f>
        <v>11.5559410033471</v>
      </c>
      <c r="K4190" s="36" t="n">
        <f aca="false">cust_sh*tk_he_gb300*cf_chip+(1-cust_sh)*((1-Sens!$K$4189)*tk_he_gb300+Sens!$K$4189*tk_he_vr200)</f>
        <v>11.5559410033471</v>
      </c>
      <c r="L4190" s="36" t="n">
        <f aca="false">cust_sh*tk_he_gb300*cf_chip+(1-cust_sh)*((1-Sens!$L$4189)*tk_he_gb300+Sens!$L$4189*tk_he_vr200)</f>
        <v>11.5559410033471</v>
      </c>
      <c r="M4190" s="36" t="n">
        <f aca="false">cust_sh*tk_he_gb300*cf_chip+(1-cust_sh)*((1-Sens!$M$4189)*tk_he_gb300+Sens!$M$4189*tk_he_vr200)</f>
        <v>11.5559410033471</v>
      </c>
    </row>
    <row r="4191" customFormat="false" ht="17.15" hidden="false" customHeight="false" outlineLevel="0" collapsed="false">
      <c r="A4191" s="5" t="s">
        <v>601</v>
      </c>
      <c r="B4191" s="0" t="s">
        <v>173</v>
      </c>
      <c r="F4191" s="36" t="n">
        <f aca="false">cust_sh*tk_ox_gb300+(1-cust_sh)*((1-Sens!$F$4189)*tk_ox_gb300+Sens!$F$4189*tk_ox_vr200)</f>
        <v>1.98263481314457</v>
      </c>
      <c r="G4191" s="36" t="n">
        <f aca="false">cust_sh*tk_ox_gb300+(1-cust_sh)*((1-Sens!$G$4189)*tk_ox_gb300+Sens!$G$4189*tk_ox_vr200)</f>
        <v>1.98263481314457</v>
      </c>
      <c r="H4191" s="36" t="n">
        <f aca="false">cust_sh*tk_ox_gb300+(1-cust_sh)*((1-Sens!$H$4189)*tk_ox_gb300+Sens!$H$4189*tk_ox_vr200)</f>
        <v>2.01034999693694</v>
      </c>
      <c r="I4191" s="36" t="n">
        <f aca="false">cust_sh*tk_ox_gb300+(1-cust_sh)*((1-Sens!$I$4189)*tk_ox_gb300+Sens!$I$4189*tk_ox_vr200)</f>
        <v>2.0380651807293</v>
      </c>
      <c r="J4191" s="36" t="n">
        <f aca="false">cust_sh*tk_ox_gb300+(1-cust_sh)*((1-Sens!$J$4189)*tk_ox_gb300+Sens!$J$4189*tk_ox_vr200)</f>
        <v>2.0380651807293</v>
      </c>
      <c r="K4191" s="36" t="n">
        <f aca="false">cust_sh*tk_ox_gb300+(1-cust_sh)*((1-Sens!$K$4189)*tk_ox_gb300+Sens!$K$4189*tk_ox_vr200)</f>
        <v>2.0380651807293</v>
      </c>
      <c r="L4191" s="36" t="n">
        <f aca="false">cust_sh*tk_ox_gb300+(1-cust_sh)*((1-Sens!$L$4189)*tk_ox_gb300+Sens!$L$4189*tk_ox_vr200)</f>
        <v>2.0380651807293</v>
      </c>
      <c r="M4191" s="36" t="n">
        <f aca="false">cust_sh*tk_ox_gb300+(1-cust_sh)*((1-Sens!$M$4189)*tk_ox_gb300+Sens!$M$4189*tk_ox_vr200)</f>
        <v>2.0380651807293</v>
      </c>
    </row>
    <row r="4192" customFormat="false" ht="17.15" hidden="false" customHeight="false" outlineLevel="0" collapsed="false">
      <c r="A4192" s="5" t="s">
        <v>602</v>
      </c>
      <c r="B4192" s="0" t="s">
        <v>192</v>
      </c>
      <c r="F4192" s="36" t="n">
        <f aca="false">cust_sh*tk_cx_gb300*cf_cx+(1-cust_sh)*((1-Sens!$F$4189)*tk_cx_gb300+Sens!$F$4189*tk_cx_vr200)</f>
        <v>32.237224</v>
      </c>
      <c r="G4192" s="36" t="n">
        <f aca="false">cust_sh*tk_cx_gb300*cf_cx+(1-cust_sh)*((1-Sens!$G$4189)*tk_cx_gb300+Sens!$G$4189*tk_cx_vr200)</f>
        <v>32.237224</v>
      </c>
      <c r="H4192" s="36" t="n">
        <f aca="false">cust_sh*tk_cx_gb300*cf_cx+(1-cust_sh)*((1-Sens!$H$4189)*tk_cx_gb300+Sens!$H$4189*tk_cx_vr200)</f>
        <v>33.574506</v>
      </c>
      <c r="I4192" s="36" t="n">
        <f aca="false">cust_sh*tk_cx_gb300*cf_cx+(1-cust_sh)*((1-Sens!$I$4189)*tk_cx_gb300+Sens!$I$4189*tk_cx_vr200)</f>
        <v>34.911788</v>
      </c>
      <c r="J4192" s="36" t="n">
        <f aca="false">cust_sh*tk_cx_gb300*cf_cx+(1-cust_sh)*((1-Sens!$J$4189)*tk_cx_gb300+Sens!$J$4189*tk_cx_vr200)</f>
        <v>34.911788</v>
      </c>
      <c r="K4192" s="36" t="n">
        <f aca="false">cust_sh*tk_cx_gb300*cf_cx+(1-cust_sh)*((1-Sens!$K$4189)*tk_cx_gb300+Sens!$K$4189*tk_cx_vr200)</f>
        <v>34.911788</v>
      </c>
      <c r="L4192" s="36" t="n">
        <f aca="false">cust_sh*tk_cx_gb300*cf_cx+(1-cust_sh)*((1-Sens!$L$4189)*tk_cx_gb300+Sens!$L$4189*tk_cx_vr200)</f>
        <v>34.911788</v>
      </c>
      <c r="M4192" s="36" t="n">
        <f aca="false">cust_sh*tk_cx_gb300*cf_cx+(1-cust_sh)*((1-Sens!$M$4189)*tk_cx_gb300+Sens!$M$4189*tk_cx_vr200)</f>
        <v>34.911788</v>
      </c>
    </row>
    <row r="4193" customFormat="false" ht="17.15" hidden="false" customHeight="false" outlineLevel="0" collapsed="false">
      <c r="A4193" s="5" t="s">
        <v>603</v>
      </c>
      <c r="B4193" s="0" t="s">
        <v>129</v>
      </c>
      <c r="F4193" s="32" t="n">
        <f aca="false">Sens!$F$4183-mw_open</f>
        <v>1817.15</v>
      </c>
      <c r="G4193" s="32" t="n">
        <f aca="false">Sens!$F$4193</f>
        <v>1817.15</v>
      </c>
      <c r="H4193" s="32" t="n">
        <f aca="false">Sens!$H$4183-mw_open</f>
        <v>5451.45</v>
      </c>
      <c r="I4193" s="32" t="n">
        <f aca="false">Sens!$I$4183-mw_open</f>
        <v>9085.75</v>
      </c>
      <c r="J4193" s="32" t="n">
        <f aca="false">Sens!$J$4183-mw_open</f>
        <v>12720.05</v>
      </c>
      <c r="K4193" s="32" t="n">
        <f aca="false">Sens!$K$4183-mw_open</f>
        <v>15290.9171666667</v>
      </c>
      <c r="L4193" s="32" t="n">
        <f aca="false">Sens!$L$4183-mw_open</f>
        <v>16798.3515</v>
      </c>
      <c r="M4193" s="32" t="n">
        <f aca="false">Sens!$M$4183-mw_open</f>
        <v>17242.353</v>
      </c>
    </row>
    <row r="4194" customFormat="false" ht="17.15" hidden="false" customHeight="false" outlineLevel="0" collapsed="false">
      <c r="A4194" s="0" t="s">
        <v>604</v>
      </c>
      <c r="B4194" s="0" t="s">
        <v>605</v>
      </c>
      <c r="F4194" s="32" t="n">
        <f aca="false">Sens!$F$4186*Sens!$F$4190</f>
        <v>19782.2417524844</v>
      </c>
      <c r="G4194" s="32" t="n">
        <f aca="false">Sens!$F$4194</f>
        <v>19782.2417524844</v>
      </c>
      <c r="H4194" s="32" t="n">
        <f aca="false">Sens!$G$4194+Sens!$H$4186*Sens!$H$4190</f>
        <v>60563.3616992009</v>
      </c>
      <c r="I4194" s="32" t="n">
        <f aca="false">Sens!$H$4194+Sens!$I$4186*Sens!$I$4190</f>
        <v>102561.118087665</v>
      </c>
      <c r="J4194" s="32" t="n">
        <f aca="false">Sens!$I$4194+Sens!$J$4186*Sens!$J$4190</f>
        <v>144558.87447613</v>
      </c>
      <c r="K4194" s="32" t="n">
        <f aca="false">Sens!$J$4194+Sens!$K$4186*Sens!$K$4190</f>
        <v>174267.663781572</v>
      </c>
      <c r="L4194" s="32" t="n">
        <f aca="false">Sens!$K$4194+Sens!$L$4186*Sens!$L$4190</f>
        <v>191687.486003992</v>
      </c>
      <c r="M4194" s="32" t="n">
        <f aca="false">Sens!$L$4194+Sens!$M$4186*Sens!$M$4190</f>
        <v>196818.341143389</v>
      </c>
    </row>
    <row r="4195" customFormat="false" ht="17.15" hidden="false" customHeight="false" outlineLevel="0" collapsed="false">
      <c r="A4195" s="0" t="s">
        <v>606</v>
      </c>
      <c r="B4195" s="0" t="s">
        <v>605</v>
      </c>
      <c r="F4195" s="32" t="n">
        <f aca="false">Sens!$F$4186*Sens!$F$4191</f>
        <v>3602.74485070566</v>
      </c>
      <c r="G4195" s="32" t="n">
        <f aca="false">Sens!$F$4195</f>
        <v>3602.74485070566</v>
      </c>
      <c r="H4195" s="32" t="n">
        <f aca="false">Sens!$G$4195+Sens!$H$4186*Sens!$H$4191</f>
        <v>10908.9598445736</v>
      </c>
      <c r="I4195" s="32" t="n">
        <f aca="false">Sens!$H$4195+Sens!$I$4186*Sens!$I$4191</f>
        <v>18315.9001308981</v>
      </c>
      <c r="J4195" s="32" t="n">
        <f aca="false">Sens!$I$4195+Sens!$J$4186*Sens!$J$4191</f>
        <v>25722.8404172225</v>
      </c>
      <c r="K4195" s="32" t="n">
        <f aca="false">Sens!$J$4195+Sens!$K$4186*Sens!$K$4191</f>
        <v>30962.4352738861</v>
      </c>
      <c r="L4195" s="32" t="n">
        <f aca="false">Sens!$K$4195+Sens!$L$4186*Sens!$L$4191</f>
        <v>34034.6847008886</v>
      </c>
      <c r="M4195" s="32" t="n">
        <f aca="false">Sens!$L$4195+Sens!$M$4186*Sens!$M$4191</f>
        <v>34939.5886982302</v>
      </c>
    </row>
    <row r="4196" customFormat="false" ht="17.15" hidden="false" customHeight="false" outlineLevel="0" collapsed="false">
      <c r="A4196" s="5" t="s">
        <v>607</v>
      </c>
      <c r="B4196" s="0" t="s">
        <v>173</v>
      </c>
      <c r="F4196" s="36" t="n">
        <f aca="false">IF(Sens!$F$4193&gt;0,Sens!$F$4194/Sens!$F$4193,Sens!$F$4190)</f>
        <v>10.8864110021101</v>
      </c>
      <c r="G4196" s="36" t="n">
        <f aca="false">IF(Sens!$G$4193&gt;0,Sens!$G$4194/Sens!$G$4193,Sens!$G$4190)</f>
        <v>10.8864110021101</v>
      </c>
      <c r="H4196" s="36" t="n">
        <f aca="false">IF(Sens!$H$4193&gt;0,Sens!$H$4194/Sens!$H$4193,Sens!$H$4190)</f>
        <v>11.1095876691891</v>
      </c>
      <c r="I4196" s="36" t="n">
        <f aca="false">IF(Sens!$I$4193&gt;0,Sens!$I$4194/Sens!$I$4193,Sens!$I$4190)</f>
        <v>11.2881290028523</v>
      </c>
      <c r="J4196" s="36" t="n">
        <f aca="false">IF(Sens!$J$4193&gt;0,Sens!$J$4194/Sens!$J$4193,Sens!$J$4190)</f>
        <v>11.3646467172794</v>
      </c>
      <c r="K4196" s="36" t="n">
        <f aca="false">IF(Sens!$K$4193&gt;0,Sens!$K$4194/Sens!$K$4193,Sens!$K$4190)</f>
        <v>11.3968090914432</v>
      </c>
      <c r="L4196" s="36" t="n">
        <f aca="false">IF(Sens!$L$4193&gt;0,Sens!$L$4194/Sens!$L$4193,Sens!$L$4190)</f>
        <v>11.4110891181192</v>
      </c>
      <c r="M4196" s="36" t="n">
        <f aca="false">IF(Sens!$M$4193&gt;0,Sens!$M$4194/Sens!$M$4193,Sens!$M$4190)</f>
        <v>11.4148191458201</v>
      </c>
    </row>
    <row r="4197" customFormat="false" ht="17.15" hidden="false" customHeight="false" outlineLevel="0" collapsed="false">
      <c r="A4197" s="5" t="s">
        <v>608</v>
      </c>
      <c r="B4197" s="0" t="s">
        <v>173</v>
      </c>
      <c r="F4197" s="36" t="n">
        <f aca="false">IF(Sens!$F$4193&gt;0,Sens!$F$4195/Sens!$F$4193,Sens!$F$4191)</f>
        <v>1.98263481314457</v>
      </c>
      <c r="G4197" s="36" t="n">
        <f aca="false">IF(Sens!$G$4193&gt;0,Sens!$G$4195/Sens!$G$4193,Sens!$G$4191)</f>
        <v>1.98263481314457</v>
      </c>
      <c r="H4197" s="36" t="n">
        <f aca="false">IF(Sens!$H$4193&gt;0,Sens!$H$4195/Sens!$H$4193,Sens!$H$4191)</f>
        <v>2.00111160233948</v>
      </c>
      <c r="I4197" s="36" t="n">
        <f aca="false">IF(Sens!$I$4193&gt;0,Sens!$I$4195/Sens!$I$4193,Sens!$I$4191)</f>
        <v>2.01589303369541</v>
      </c>
      <c r="J4197" s="36" t="n">
        <f aca="false">IF(Sens!$J$4193&gt;0,Sens!$J$4195/Sens!$J$4193,Sens!$J$4191)</f>
        <v>2.02222793284795</v>
      </c>
      <c r="K4197" s="36" t="n">
        <f aca="false">IF(Sens!$K$4193&gt;0,Sens!$K$4195/Sens!$K$4193,Sens!$K$4191)</f>
        <v>2.02489065478573</v>
      </c>
      <c r="L4197" s="36" t="n">
        <f aca="false">IF(Sens!$L$4193&gt;0,Sens!$L$4195/Sens!$L$4193,Sens!$L$4191)</f>
        <v>2.0260728977417</v>
      </c>
      <c r="M4197" s="36" t="n">
        <f aca="false">IF(Sens!$M$4193&gt;0,Sens!$M$4195/Sens!$M$4193,Sens!$M$4191)</f>
        <v>2.02638170661685</v>
      </c>
    </row>
    <row r="4198" customFormat="false" ht="17.15" hidden="false" customHeight="false" outlineLevel="0" collapsed="false">
      <c r="A4198" s="15" t="s">
        <v>609</v>
      </c>
      <c r="B4198" s="14" t="s">
        <v>173</v>
      </c>
      <c r="C4198" s="14"/>
      <c r="D4198" s="14"/>
      <c r="E4198" s="14"/>
      <c r="F4198" s="37" t="n">
        <f aca="false">Sens!$F$4196*k_B</f>
        <v>10.7987645808025</v>
      </c>
      <c r="G4198" s="37" t="n">
        <f aca="false">Sens!$G$4196*k_B</f>
        <v>10.7987645808025</v>
      </c>
      <c r="H4198" s="37" t="n">
        <f aca="false">Sens!$H$4196*k_B</f>
        <v>11.0201444540452</v>
      </c>
      <c r="I4198" s="37" t="n">
        <f aca="false">Sens!$I$4196*k_B</f>
        <v>11.1972483526393</v>
      </c>
      <c r="J4198" s="37" t="n">
        <f aca="false">Sens!$J$4196*k_B</f>
        <v>11.2731500234653</v>
      </c>
      <c r="K4198" s="37" t="n">
        <f aca="false">Sens!$K$4196*k_B</f>
        <v>11.3050534585724</v>
      </c>
      <c r="L4198" s="37" t="n">
        <f aca="false">Sens!$L$4196*k_B</f>
        <v>11.3192185168503</v>
      </c>
      <c r="M4198" s="37" t="n">
        <f aca="false">Sens!$M$4196*k_B</f>
        <v>11.3229185141234</v>
      </c>
      <c r="N4198" s="14"/>
      <c r="O4198" s="14"/>
      <c r="P4198" s="5" t="s">
        <v>610</v>
      </c>
    </row>
    <row r="4199" customFormat="false" ht="17.15" hidden="false" customHeight="false" outlineLevel="0" collapsed="false">
      <c r="A4199" s="5" t="s">
        <v>611</v>
      </c>
      <c r="B4199" s="0" t="s">
        <v>129</v>
      </c>
      <c r="F4199" s="32" t="n">
        <f aca="false">Sens!$F$4193/2</f>
        <v>908.575</v>
      </c>
      <c r="H4199" s="32" t="n">
        <f aca="false">(Sens!$G$4193+Sens!$H$4193)/2</f>
        <v>3634.3</v>
      </c>
      <c r="I4199" s="32" t="n">
        <f aca="false">(Sens!$H$4193+Sens!$I$4193)/2</f>
        <v>7268.6</v>
      </c>
      <c r="J4199" s="32" t="n">
        <f aca="false">(Sens!$I$4193+Sens!$J$4193)/2</f>
        <v>10902.9</v>
      </c>
      <c r="K4199" s="32" t="n">
        <f aca="false">(Sens!$J$4193+Sens!$K$4193)/2</f>
        <v>14005.4835833333</v>
      </c>
      <c r="L4199" s="32" t="n">
        <f aca="false">(Sens!$K$4193+Sens!$L$4193)/2</f>
        <v>16044.6343333333</v>
      </c>
      <c r="M4199" s="32" t="n">
        <f aca="false">(Sens!$L$4193+Sens!$M$4193)/2</f>
        <v>17020.35225</v>
      </c>
    </row>
    <row r="4200" customFormat="false" ht="17.15" hidden="false" customHeight="false" outlineLevel="0" collapsed="false">
      <c r="A4200" s="1" t="s">
        <v>612</v>
      </c>
    </row>
    <row r="4201" customFormat="false" ht="17.15" hidden="false" customHeight="false" outlineLevel="0" collapsed="false">
      <c r="A4201" s="1" t="s">
        <v>613</v>
      </c>
      <c r="B4201" s="8" t="s">
        <v>86</v>
      </c>
      <c r="C4201" s="38" t="n">
        <f aca="false">Sens!$C$4184*rpm_open*Sens!$C$4185/1000</f>
        <v>2.32100535697364</v>
      </c>
      <c r="D4201" s="38" t="n">
        <f aca="false">Sens!$D$4184*rpm_open*Sens!$D$4185/1000</f>
        <v>8.70377008865116</v>
      </c>
      <c r="E4201" s="38" t="n">
        <f aca="false">Sens!$E$4184*rpm_open*Sens!$E$4185/1000</f>
        <v>8.51035297557002</v>
      </c>
      <c r="F4201" s="38" t="n">
        <f aca="false">(mw_open*rpm_open+Sens!$F$4199*Sens!$F$4198)*Sens!$F$4185/1000</f>
        <v>14.9634336447205</v>
      </c>
      <c r="G4201" s="38" t="n">
        <f aca="false">Sens!$E$4201+Sens!$F$4201</f>
        <v>23.4737866202905</v>
      </c>
      <c r="H4201" s="38" t="n">
        <f aca="false">(mw_open*rpm_open+Sens!$H$4199*Sens!$H$4198)/1000</f>
        <v>60.1658907497746</v>
      </c>
      <c r="I4201" s="38" t="n">
        <f aca="false">(mw_open*rpm_open+Sens!$I$4199*Sens!$I$4198)/1000</f>
        <v>101.503699136432</v>
      </c>
      <c r="J4201" s="38" t="n">
        <f aca="false">(mw_open*rpm_open+Sens!$J$4199*Sens!$J$4198)/1000</f>
        <v>143.025407151278</v>
      </c>
      <c r="K4201" s="38" t="n">
        <f aca="false">(mw_open*rpm_open+Sens!$K$4199*Sens!$K$4198)/1000</f>
        <v>178.44812038318</v>
      </c>
      <c r="L4201" s="38" t="n">
        <f aca="false">(mw_open*rpm_open+Sens!$L$4199*Sens!$L$4198)/1000</f>
        <v>201.728101802396</v>
      </c>
      <c r="M4201" s="38" t="n">
        <f aca="false">(mw_open*rpm_open+Sens!$M$4199*Sens!$M$4198)/1000</f>
        <v>212.835441368865</v>
      </c>
      <c r="N4201" s="38" t="n">
        <f aca="false">Sens!$N$4184*rpm_open*Sens!$N$4185/1000</f>
        <v>3.04631953102791</v>
      </c>
      <c r="O4201" s="38" t="n">
        <f aca="false">Sens!$O$4184*rpm_open*Sens!$O$4185/1000</f>
        <v>5.65745055762326</v>
      </c>
      <c r="P4201" s="5" t="s">
        <v>614</v>
      </c>
    </row>
    <row r="4202" customFormat="false" ht="17.15" hidden="false" customHeight="false" outlineLevel="0" collapsed="false">
      <c r="A4202" s="5" t="s">
        <v>615</v>
      </c>
      <c r="B4202" s="0" t="s">
        <v>173</v>
      </c>
      <c r="C4202" s="36" t="n">
        <f aca="false">Sens!$C$4201*1000/(Sens!$C$4184*Sens!$C$4185)</f>
        <v>9.67085565405685</v>
      </c>
      <c r="D4202" s="36" t="n">
        <f aca="false">Sens!$D$4201*1000/(Sens!$D$4184*Sens!$D$4185)</f>
        <v>9.67085565405685</v>
      </c>
      <c r="E4202" s="36" t="n">
        <f aca="false">Sens!$E$4201*1000/(Sens!$E$4184*Sens!$E$4185)</f>
        <v>9.67085565405685</v>
      </c>
      <c r="F4202" s="36" t="n">
        <f aca="false">Sens!$F$4201*1000/(Sens!$F$4184*Sens!$F$4185)</f>
        <v>10.0137581588017</v>
      </c>
      <c r="G4202" s="36" t="n">
        <f aca="false">Sens!$G$4201*1000/(Sens!$G$4184*Sens!$G$4185)</f>
        <v>9.88666562928478</v>
      </c>
      <c r="H4202" s="36" t="n">
        <f aca="false">Sens!$H$4201*1000/(Sens!$H$4184*Sens!$H$4185)</f>
        <v>10.5290045586992</v>
      </c>
      <c r="I4202" s="36" t="n">
        <f aca="false">Sens!$I$4201*1000/(Sens!$I$4184*Sens!$I$4185)</f>
        <v>10.8576363451674</v>
      </c>
      <c r="J4202" s="36" t="n">
        <f aca="false">Sens!$J$4201*1000/(Sens!$J$4184*Sens!$J$4185)</f>
        <v>11.0164452588619</v>
      </c>
      <c r="K4202" s="36" t="n">
        <f aca="false">Sens!$K$4201*1000/(Sens!$K$4184*Sens!$K$4185)</f>
        <v>11.0937367508227</v>
      </c>
      <c r="L4202" s="36" t="n">
        <f aca="false">Sens!$L$4201*1000/(Sens!$L$4184*Sens!$L$4185)</f>
        <v>11.1300508519168</v>
      </c>
      <c r="M4202" s="36" t="n">
        <f aca="false">Sens!$M$4201*1000/(Sens!$M$4184*Sens!$M$4185)</f>
        <v>11.1430113216297</v>
      </c>
      <c r="N4202" s="36" t="n">
        <f aca="false">Sens!$N$4201*1000/(Sens!$N$4184*Sens!$N$4185)</f>
        <v>9.67085565405685</v>
      </c>
      <c r="O4202" s="36" t="n">
        <f aca="false">Sens!$O$4201*1000/(Sens!$O$4184*Sens!$O$4185)</f>
        <v>9.67085565405685</v>
      </c>
    </row>
    <row r="4203" customFormat="false" ht="17.15" hidden="false" customHeight="false" outlineLevel="0" collapsed="false">
      <c r="A4203" s="0" t="s">
        <v>616</v>
      </c>
      <c r="B4203" s="0" t="s">
        <v>86</v>
      </c>
      <c r="C4203" s="38" t="n">
        <f aca="false">Sens!$C$4184/ext_sh*(ox_open+rent_mw)*Sens!$C$4185/1000</f>
        <v>0.642569210675032</v>
      </c>
      <c r="D4203" s="38" t="n">
        <f aca="false">Sens!$D$4184/ext_sh*(ox_open+rent_mw)*Sens!$D$4185/1000</f>
        <v>2.40963454003137</v>
      </c>
      <c r="E4203" s="38" t="n">
        <f aca="false">Sens!$E$4184/ext_sh*(ox_open+rent_mw)*Sens!$E$4185/1000</f>
        <v>2.35608710580845</v>
      </c>
      <c r="F4203" s="38" t="n">
        <f aca="false">((mw_open*ox_open+Sens!$F$4199*Sens!$F$4197)/ext_sh+Sens!$F$4184/ext_sh*rent_mw)*Sens!$F$4185/1000</f>
        <v>4.05421991106232</v>
      </c>
      <c r="G4203" s="38" t="n">
        <f aca="false">Sens!$E$4203+Sens!$F$4203</f>
        <v>6.41030701687077</v>
      </c>
      <c r="H4203" s="38" t="n">
        <f aca="false">((mw_open*ox_open+Sens!$H$4199*Sens!$H$4197)/ext_sh+Sens!$H$4184/ext_sh*rent_mw)*Sens!$H$4185/1000</f>
        <v>15.8108975546616</v>
      </c>
      <c r="I4203" s="38" t="n">
        <f aca="false">((mw_open*ox_open+Sens!$I$4199*Sens!$I$4197)/ext_sh+Sens!$I$4184/ext_sh*rent_mw)*Sens!$I$4185/1000</f>
        <v>26.1871623400817</v>
      </c>
      <c r="J4203" s="38" t="n">
        <f aca="false">((mw_open*ox_open+Sens!$J$4199*Sens!$J$4197)/ext_sh+Sens!$J$4184/ext_sh*rent_mw)*Sens!$J$4185/1000</f>
        <v>36.5826128954935</v>
      </c>
      <c r="K4203" s="38" t="n">
        <f aca="false">((mw_open*ox_open+Sens!$K$4199*Sens!$K$4197)/ext_sh+Sens!$K$4184/ext_sh*rent_mw)*Sens!$K$4185/1000</f>
        <v>45.4546361137628</v>
      </c>
      <c r="L4203" s="38" t="n">
        <f aca="false">((mw_open*ox_open+Sens!$L$4199*Sens!$L$4197)/ext_sh+Sens!$L$4184/ext_sh*rent_mw)*Sens!$L$4185/1000</f>
        <v>51.2855695554452</v>
      </c>
      <c r="M4203" s="38" t="n">
        <f aca="false">((mw_open*ox_open+Sens!$M$4199*Sens!$M$4197)/ext_sh+Sens!$M$4184/ext_sh*rent_mw)*Sens!$M$4185/1000</f>
        <v>54.0722927838398</v>
      </c>
      <c r="N4203" s="38" t="n">
        <f aca="false">Sens!$N$4184/ext_sh*(ox_open+rent_mw)*Sens!$N$4185/1000</f>
        <v>0.84337208901098</v>
      </c>
      <c r="O4203" s="38" t="n">
        <f aca="false">Sens!$O$4184/ext_sh*(ox_open+rent_mw)*Sens!$O$4185/1000</f>
        <v>1.56626245102039</v>
      </c>
    </row>
    <row r="4204" customFormat="false" ht="17.15" hidden="false" customHeight="false" outlineLevel="0" collapsed="false">
      <c r="A4204" s="0" t="s">
        <v>617</v>
      </c>
      <c r="B4204" s="0" t="s">
        <v>86</v>
      </c>
      <c r="C4204" s="38" t="n">
        <f aca="false">Q!$D$7</f>
        <v>107.556</v>
      </c>
      <c r="D4204" s="38" t="n">
        <f aca="false">Q!$E$7</f>
        <v>128.725</v>
      </c>
      <c r="E4204" s="38" t="n">
        <f aca="false">Q!$P$7</f>
        <v>79.819</v>
      </c>
      <c r="N4204" s="38" t="n">
        <f aca="false">Q!$N$7</f>
        <v>60.14</v>
      </c>
      <c r="O4204" s="38" t="n">
        <f aca="false">Q!$O$7</f>
        <v>68.585</v>
      </c>
    </row>
    <row r="4205" customFormat="false" ht="17.15" hidden="false" customHeight="false" outlineLevel="0" collapsed="false">
      <c r="A4205" s="1" t="s">
        <v>618</v>
      </c>
      <c r="B4205" s="8" t="s">
        <v>86</v>
      </c>
      <c r="C4205" s="38" t="n">
        <f aca="false">Sens!$C$4204-Sens!$C$4201</f>
        <v>105.234994643026</v>
      </c>
      <c r="D4205" s="38" t="n">
        <f aca="false">Sens!$D$4204-Sens!$D$4201</f>
        <v>120.021229911349</v>
      </c>
      <c r="E4205" s="38" t="n">
        <f aca="false">Sens!$E$4204-Sens!$E$4201</f>
        <v>71.30864702443</v>
      </c>
      <c r="F4205" s="38" t="n">
        <f aca="false">Sens!$O$4205*(1+Sens!$F$4206)</f>
        <v>71.7692997942464</v>
      </c>
      <c r="G4205" s="38" t="n">
        <f aca="false">Sens!$E$4205+Sens!$F$4205</f>
        <v>143.077946818676</v>
      </c>
      <c r="H4205" s="38" t="n">
        <f aca="false">Sens!$G$4205*(1+Sens!$H$4206)</f>
        <v>161.017077079203</v>
      </c>
      <c r="I4205" s="38" t="n">
        <f aca="false">Sens!$H$4205*(1+Sens!$I$4206)</f>
        <v>178.769759521457</v>
      </c>
      <c r="J4205" s="38" t="n">
        <f aca="false">Sens!$I$4205*(1+Sens!$J$4206)</f>
        <v>195.775538045907</v>
      </c>
      <c r="K4205" s="38" t="n">
        <f aca="false">Sens!$J$4205*(1+Sens!$K$4206)</f>
        <v>211.43758108958</v>
      </c>
      <c r="L4205" s="38" t="n">
        <f aca="false">Sens!$K$4205*(1+Sens!$L$4206)</f>
        <v>228.352587576746</v>
      </c>
      <c r="M4205" s="38" t="n">
        <f aca="false">Sens!$L$4205*(1+Sens!$M$4206)</f>
        <v>246.620794582886</v>
      </c>
      <c r="N4205" s="38" t="n">
        <f aca="false">Sens!$N$4204-Sens!$N$4201</f>
        <v>57.0936804689721</v>
      </c>
      <c r="O4205" s="38" t="n">
        <f aca="false">Sens!$O$4204-Sens!$O$4201</f>
        <v>62.9275494423768</v>
      </c>
      <c r="P4205" s="5" t="s">
        <v>619</v>
      </c>
    </row>
    <row r="4206" customFormat="false" ht="17.15" hidden="false" customHeight="false" outlineLevel="0" collapsed="false">
      <c r="A4206" s="0" t="s">
        <v>620</v>
      </c>
      <c r="B4206" s="0" t="s">
        <v>52</v>
      </c>
      <c r="D4206" s="13" t="n">
        <f aca="false">Sens!$D$4205/Sens!$C$4205-1</f>
        <v>0.140506827776062</v>
      </c>
      <c r="E4206" s="13" t="n">
        <f aca="false">Sens!$E$4205/Sens!$N$4205-1</f>
        <v>0.248976181579029</v>
      </c>
      <c r="F4206" s="13" t="n">
        <f aca="false">Sens!$D$4206</f>
        <v>0.140506827776062</v>
      </c>
      <c r="G4206" s="13" t="n">
        <f aca="false">Sens!$G$4205/Sens!$D$4205-1</f>
        <v>0.19210532106993</v>
      </c>
      <c r="H4206" s="13" t="n">
        <f aca="false">Sens!$F$4206+(g_awso_lt-Sens!$F$4206)*1/4</f>
        <v>0.125380120832046</v>
      </c>
      <c r="I4206" s="13" t="n">
        <f aca="false">Sens!$F$4206+(g_awso_lt-Sens!$F$4206)*2/4</f>
        <v>0.110253413888031</v>
      </c>
      <c r="J4206" s="13" t="n">
        <f aca="false">Sens!$F$4206+(g_awso_lt-Sens!$F$4206)*3/4</f>
        <v>0.0951267069440154</v>
      </c>
      <c r="K4206" s="13" t="n">
        <f aca="false">Sens!$F$4206+(g_awso_lt-Sens!$F$4206)*4/4</f>
        <v>0.08</v>
      </c>
      <c r="L4206" s="13" t="n">
        <f aca="false">g_awso_lt</f>
        <v>0.08</v>
      </c>
      <c r="M4206" s="13" t="n">
        <f aca="false">g_awso_lt</f>
        <v>0.08</v>
      </c>
      <c r="P4206" s="5" t="s">
        <v>621</v>
      </c>
    </row>
    <row r="4207" customFormat="false" ht="17.15" hidden="false" customHeight="false" outlineLevel="0" collapsed="false">
      <c r="A4207" s="1" t="s">
        <v>622</v>
      </c>
    </row>
    <row r="4208" customFormat="false" ht="17.15" hidden="false" customHeight="false" outlineLevel="0" collapsed="false">
      <c r="A4208" s="0" t="s">
        <v>623</v>
      </c>
      <c r="B4208" s="0" t="s">
        <v>86</v>
      </c>
      <c r="F4208" s="38" t="n">
        <f aca="false">cx_rt*Sens!$F$4173+cx_awso*Sens!$F$4205</f>
        <v>34.9734495387866</v>
      </c>
    </row>
    <row r="4209" customFormat="false" ht="17.15" hidden="false" customHeight="false" outlineLevel="0" collapsed="false">
      <c r="A4209" s="0" t="s">
        <v>624</v>
      </c>
      <c r="B4209" s="0" t="s">
        <v>52</v>
      </c>
      <c r="C4209" s="13" t="n">
        <f aca="false">tk_cx_h100/(tk_cx_h100+tk_fac*(1-colo_sh))</f>
        <v>0.730756458006641</v>
      </c>
      <c r="D4209" s="13" t="n">
        <f aca="false">tk_cx_h100/(tk_cx_h100+tk_fac*(1-colo_sh))</f>
        <v>0.730756458006641</v>
      </c>
      <c r="E4209" s="13" t="n">
        <f aca="false">Sens!$F$4209</f>
        <v>0.760792334328868</v>
      </c>
      <c r="F4209" s="13" t="n">
        <f aca="false">Sens!$F$4192/(Sens!$F$4192+tk_fac*(1-colo_sh))</f>
        <v>0.760792334328868</v>
      </c>
      <c r="G4209" s="13" t="n">
        <f aca="false">Sens!$G$4192/(Sens!$G$4192+tk_fac*(1-colo_sh))</f>
        <v>0.760792334328868</v>
      </c>
      <c r="H4209" s="13" t="n">
        <f aca="false">Sens!$H$4192/(Sens!$H$4192+tk_fac*(1-colo_sh))</f>
        <v>0.768110668862996</v>
      </c>
      <c r="I4209" s="13" t="n">
        <f aca="false">Sens!$I$4192/(Sens!$I$4192+tk_fac*(1-colo_sh))</f>
        <v>0.77499450139483</v>
      </c>
      <c r="J4209" s="13" t="n">
        <f aca="false">Sens!$J$4192/(Sens!$J$4192+tk_fac*(1-colo_sh))</f>
        <v>0.77499450139483</v>
      </c>
      <c r="K4209" s="13" t="n">
        <f aca="false">Sens!$K$4192/(Sens!$K$4192+tk_fac*(1-colo_sh))</f>
        <v>0.77499450139483</v>
      </c>
      <c r="L4209" s="13" t="n">
        <f aca="false">Sens!$L$4192/(Sens!$L$4192+tk_fac*(1-colo_sh))</f>
        <v>0.77499450139483</v>
      </c>
      <c r="M4209" s="13" t="n">
        <f aca="false">Sens!$M$4192/(Sens!$M$4192+tk_fac*(1-colo_sh))</f>
        <v>0.77499450139483</v>
      </c>
    </row>
    <row r="4210" customFormat="false" ht="17.15" hidden="false" customHeight="false" outlineLevel="0" collapsed="false">
      <c r="A4210" s="1" t="s">
        <v>625</v>
      </c>
      <c r="B4210" s="8" t="s">
        <v>86</v>
      </c>
      <c r="C4210" s="38" t="n">
        <f aca="false">Q!$D$46-cx_rt*Q!$D$16-cx_awso*Sens!$C$4205</f>
        <v>25.2781053077374</v>
      </c>
      <c r="D4210" s="38" t="n">
        <f aca="false">Q!$E$46-cx_rt*Q!$E$16-cx_awso*Sens!$D$4205</f>
        <v>69.5686316310026</v>
      </c>
      <c r="E4210" s="38" t="n">
        <f aca="false">Q!$P$46-cx_rt*Q!$P$16-cx_awso*Sens!$E$4205</f>
        <v>64.1899206485108</v>
      </c>
      <c r="F4210" s="38" t="n">
        <f aca="false">MAX(Sens!$F$4187*(Sens!$F$4192+tk_fac*(1-colo_sh))/1000,capex_g26-Q!$P$46-Sens!$F$4208)</f>
        <v>96.2481299895</v>
      </c>
      <c r="G4210" s="38" t="n">
        <f aca="false">Sens!$E$4210+Sens!$F$4210</f>
        <v>160.438050638011</v>
      </c>
      <c r="H4210" s="38" t="n">
        <f aca="false">Sens!$H$4187*(Sens!$H$4192+tk_fac*(1-colo_sh))/1000+Sens!$H$4211</f>
        <v>198.57136494475</v>
      </c>
      <c r="I4210" s="38" t="n">
        <f aca="false">Sens!$I$4187*(Sens!$I$4192+tk_fac*(1-colo_sh))/1000+Sens!$I$4211</f>
        <v>204.6464699105</v>
      </c>
      <c r="J4210" s="38" t="n">
        <f aca="false">Sens!$J$4187*(Sens!$J$4192+tk_fac*(1-colo_sh))/1000+Sens!$J$4211</f>
        <v>209.8832381105</v>
      </c>
      <c r="K4210" s="38" t="n">
        <f aca="false">Sens!$K$4187*(Sens!$K$4192+tk_fac*(1-colo_sh))/1000+Sens!$K$4211</f>
        <v>155.238385275201</v>
      </c>
      <c r="L4210" s="38" t="n">
        <f aca="false">Sens!$L$4187*(Sens!$L$4192+tk_fac*(1-colo_sh))/1000+Sens!$L$4211</f>
        <v>132.014141639902</v>
      </c>
      <c r="M4210" s="38" t="n">
        <f aca="false">Sens!$M$4187*(Sens!$M$4192+tk_fac*(1-colo_sh))/1000+Sens!$M$4211</f>
        <v>132.230981659852</v>
      </c>
      <c r="P4210" s="5" t="s">
        <v>626</v>
      </c>
      <c r="R4210" s="38" t="n">
        <f aca="false">Q!$C$46-cx_rt*Q!$C$16-cx_awso*(Q!$C$7-mw_ye23/2*rpm_open/1000)</f>
        <v>1.50429979529945</v>
      </c>
      <c r="S4210" s="38" t="n">
        <f aca="false">Sens!$C$4210</f>
        <v>25.2781053077374</v>
      </c>
      <c r="T4210" s="38" t="n">
        <f aca="false">Sens!$D$4210</f>
        <v>69.5686316310026</v>
      </c>
      <c r="U4210" s="38" t="n">
        <f aca="false">Sens!$G$4210</f>
        <v>160.438050638011</v>
      </c>
      <c r="V4210" s="38" t="n">
        <f aca="false">Sens!$H$4210</f>
        <v>198.57136494475</v>
      </c>
      <c r="W4210" s="38" t="n">
        <f aca="false">Sens!$I$4210</f>
        <v>204.6464699105</v>
      </c>
      <c r="X4210" s="38" t="n">
        <f aca="false">Sens!$J$4210</f>
        <v>209.8832381105</v>
      </c>
      <c r="Y4210" s="38" t="n">
        <f aca="false">Sens!$K$4210</f>
        <v>155.238385275201</v>
      </c>
      <c r="Z4210" s="38" t="n">
        <f aca="false">Sens!$L$4210</f>
        <v>132.014141639902</v>
      </c>
      <c r="AA4210" s="38" t="n">
        <f aca="false">Sens!$M$4210</f>
        <v>132.230981659852</v>
      </c>
    </row>
    <row r="4211" customFormat="false" ht="17.15" hidden="false" customHeight="false" outlineLevel="0" collapsed="false">
      <c r="A4211" s="0" t="s">
        <v>627</v>
      </c>
      <c r="B4211" s="0" t="s">
        <v>86</v>
      </c>
      <c r="H4211" s="38" t="n">
        <f aca="false">SUMPRODUCT(--(Sens!$R$4180:$AA$4180=2027-tk_life),Sens!$R$4187:$AA$4187)*Sens!$H$4192/1000</f>
        <v>0</v>
      </c>
      <c r="I4211" s="38" t="n">
        <f aca="false">SUMPRODUCT(--(Sens!$R$4180:$AA$4180=2028-tk_life),Sens!$R$4187:$AA$4187)*Sens!$I$4192/1000</f>
        <v>0</v>
      </c>
      <c r="J4211" s="38" t="n">
        <f aca="false">SUMPRODUCT(--(Sens!$R$4180:$AA$4180=2029-tk_life),Sens!$R$4187:$AA$4187)*Sens!$J$4192/1000</f>
        <v>5.2367682</v>
      </c>
      <c r="K4211" s="38" t="n">
        <f aca="false">SUMPRODUCT(--(Sens!$R$4180:$AA$4180=2030-tk_life),Sens!$R$4187:$AA$4187)*Sens!$K$4192/1000</f>
        <v>10.4735364</v>
      </c>
      <c r="L4211" s="38" t="n">
        <f aca="false">SUMPRODUCT(--(Sens!$R$4180:$AA$4180=2031-tk_life),Sens!$R$4187:$AA$4187)*Sens!$L$4192/1000</f>
        <v>47.1309138</v>
      </c>
      <c r="M4211" s="38" t="n">
        <f aca="false">SUMPRODUCT(--(Sens!$R$4180:$AA$4180=2032-tk_life),Sens!$R$4187:$AA$4187)*Sens!$M$4192/1000</f>
        <v>107.22937485525</v>
      </c>
    </row>
    <row r="4212" customFormat="false" ht="17.15" hidden="false" customHeight="false" outlineLevel="0" collapsed="false">
      <c r="A4212" s="5" t="s">
        <v>628</v>
      </c>
      <c r="B4212" s="0" t="s">
        <v>86</v>
      </c>
      <c r="C4212" s="38" t="n">
        <f aca="false">Sens!$C$4210*Sens!$C$4209</f>
        <v>18.472138699801</v>
      </c>
      <c r="D4212" s="38" t="n">
        <f aca="false">Sens!$D$4210*Sens!$D$4209</f>
        <v>50.8377268390402</v>
      </c>
      <c r="E4212" s="38" t="n">
        <f aca="false">Sens!$E$4210*Sens!$E$4209</f>
        <v>48.8351995705653</v>
      </c>
      <c r="F4212" s="38" t="n">
        <f aca="false">Sens!$F$4210*Sens!$F$4209</f>
        <v>73.2248394895</v>
      </c>
      <c r="G4212" s="38" t="n">
        <f aca="false">Sens!$E$4212+Sens!$F$4212</f>
        <v>122.060039060065</v>
      </c>
      <c r="H4212" s="38" t="n">
        <f aca="false">(Sens!$H$4210-Sens!$H$4211)*Sens!$H$4209+Sens!$H$4211</f>
        <v>152.52478394475</v>
      </c>
      <c r="I4212" s="38" t="n">
        <f aca="false">(Sens!$I$4210-Sens!$I$4211)*Sens!$I$4209+Sens!$I$4211</f>
        <v>158.5998889105</v>
      </c>
      <c r="J4212" s="38" t="n">
        <f aca="false">(Sens!$J$4210-Sens!$J$4211)*Sens!$J$4209+Sens!$J$4211</f>
        <v>163.8366571105</v>
      </c>
      <c r="K4212" s="38" t="n">
        <f aca="false">(Sens!$K$4210-Sens!$K$4211)*Sens!$K$4209+Sens!$K$4211</f>
        <v>122.665498273534</v>
      </c>
      <c r="L4212" s="38" t="n">
        <f aca="false">(Sens!$L$4210-Sens!$L$4211)*Sens!$L$4209+Sens!$L$4211</f>
        <v>112.914948636568</v>
      </c>
      <c r="M4212" s="38" t="n">
        <f aca="false">(Sens!$M$4210-Sens!$M$4211)*Sens!$M$4209+Sens!$M$4211</f>
        <v>126.605482654852</v>
      </c>
      <c r="R4212" s="38" t="n">
        <f aca="false">Sens!$R$4210*Sens!$C$4209</f>
        <v>1.09927679019314</v>
      </c>
      <c r="S4212" s="38" t="n">
        <f aca="false">Sens!$C$4212</f>
        <v>18.472138699801</v>
      </c>
      <c r="T4212" s="38" t="n">
        <f aca="false">Sens!$D$4212</f>
        <v>50.8377268390402</v>
      </c>
      <c r="U4212" s="38" t="n">
        <f aca="false">Sens!$G$4212</f>
        <v>122.060039060065</v>
      </c>
      <c r="V4212" s="38" t="n">
        <f aca="false">Sens!$H$4212</f>
        <v>152.52478394475</v>
      </c>
      <c r="W4212" s="38" t="n">
        <f aca="false">Sens!$I$4212</f>
        <v>158.5998889105</v>
      </c>
      <c r="X4212" s="38" t="n">
        <f aca="false">Sens!$J$4212</f>
        <v>163.8366571105</v>
      </c>
      <c r="Y4212" s="38" t="n">
        <f aca="false">Sens!$K$4212</f>
        <v>122.665498273534</v>
      </c>
      <c r="Z4212" s="38" t="n">
        <f aca="false">Sens!$L$4212</f>
        <v>112.914948636568</v>
      </c>
      <c r="AA4212" s="38" t="n">
        <f aca="false">Sens!$M$4212</f>
        <v>126.605482654852</v>
      </c>
    </row>
    <row r="4213" customFormat="false" ht="15" hidden="false" customHeight="false" outlineLevel="0" collapsed="false">
      <c r="A4213" s="5" t="s">
        <v>629</v>
      </c>
      <c r="B4213" s="0" t="s">
        <v>86</v>
      </c>
      <c r="C4213" s="38" t="n">
        <f aca="false">Sens!$C$4210-Sens!$C$4212</f>
        <v>6.80596660793636</v>
      </c>
      <c r="D4213" s="38" t="n">
        <f aca="false">Sens!$D$4210-Sens!$D$4212</f>
        <v>18.7309047919624</v>
      </c>
      <c r="E4213" s="38" t="n">
        <f aca="false">Sens!$E$4210-Sens!$E$4212</f>
        <v>15.3547210779455</v>
      </c>
      <c r="F4213" s="38" t="n">
        <f aca="false">Sens!$F$4210-Sens!$F$4212</f>
        <v>23.0232905</v>
      </c>
      <c r="G4213" s="38" t="n">
        <f aca="false">Sens!$G$4210-Sens!$G$4212</f>
        <v>38.3780115779455</v>
      </c>
      <c r="H4213" s="38" t="n">
        <f aca="false">Sens!$H$4210-Sens!$H$4212</f>
        <v>46.046581</v>
      </c>
      <c r="I4213" s="38" t="n">
        <f aca="false">Sens!$I$4210-Sens!$I$4212</f>
        <v>46.046581</v>
      </c>
      <c r="J4213" s="38" t="n">
        <f aca="false">Sens!$J$4210-Sens!$J$4212</f>
        <v>46.046581</v>
      </c>
      <c r="K4213" s="38" t="n">
        <f aca="false">Sens!$K$4210-Sens!$K$4212</f>
        <v>32.5728870016667</v>
      </c>
      <c r="L4213" s="38" t="n">
        <f aca="false">Sens!$L$4210-Sens!$L$4212</f>
        <v>19.0991930033334</v>
      </c>
      <c r="M4213" s="38" t="n">
        <f aca="false">Sens!$M$4210-Sens!$M$4212</f>
        <v>5.62549900499998</v>
      </c>
      <c r="R4213" s="38" t="n">
        <f aca="false">Sens!$R$4210-Sens!$R$4212</f>
        <v>0.405023005106309</v>
      </c>
      <c r="S4213" s="38" t="n">
        <f aca="false">Sens!$S$4210-Sens!$S$4212</f>
        <v>6.80596660793636</v>
      </c>
      <c r="T4213" s="38" t="n">
        <f aca="false">Sens!$T$4210-Sens!$T$4212</f>
        <v>18.7309047919624</v>
      </c>
      <c r="U4213" s="38" t="n">
        <f aca="false">Sens!$U$4210-Sens!$U$4212</f>
        <v>38.3780115779455</v>
      </c>
      <c r="V4213" s="38" t="n">
        <f aca="false">Sens!$V$4210-Sens!$V$4212</f>
        <v>46.046581</v>
      </c>
      <c r="W4213" s="38" t="n">
        <f aca="false">Sens!$W$4210-Sens!$W$4212</f>
        <v>46.046581</v>
      </c>
      <c r="X4213" s="38" t="n">
        <f aca="false">Sens!$X$4210-Sens!$X$4212</f>
        <v>46.046581</v>
      </c>
      <c r="Y4213" s="38" t="n">
        <f aca="false">Sens!$Y$4210-Sens!$Y$4212</f>
        <v>32.5728870016667</v>
      </c>
      <c r="Z4213" s="38" t="n">
        <f aca="false">Sens!$Z$4210-Sens!$Z$4212</f>
        <v>19.0991930033334</v>
      </c>
      <c r="AA4213" s="38" t="n">
        <f aca="false">Sens!$AA$4210-Sens!$AA$4212</f>
        <v>5.62549900499998</v>
      </c>
    </row>
    <row r="4214" customFormat="false" ht="17.15" hidden="false" customHeight="false" outlineLevel="0" collapsed="false">
      <c r="A4214" s="0" t="s">
        <v>630</v>
      </c>
      <c r="B4214" s="0" t="s">
        <v>52</v>
      </c>
      <c r="C4214" s="13" t="n">
        <f aca="false">Sens!$C$4210/Sens!$C$4330</f>
        <v>0.325505489553393</v>
      </c>
      <c r="D4214" s="13" t="n">
        <f aca="false">Sens!$D$4210/Sens!$D$4330</f>
        <v>0.54214956071542</v>
      </c>
      <c r="E4214" s="13" t="n">
        <f aca="false">Sens!$E$4210/Sens!$E$4330</f>
        <v>0.666492790452817</v>
      </c>
      <c r="F4214" s="13" t="n">
        <f aca="false">Sens!$F$4210/Sens!$F$4330</f>
        <v>0.733477910687338</v>
      </c>
      <c r="G4214" s="13" t="n">
        <f aca="false">Sens!$G$4210/Sens!$G$4330</f>
        <v>0.705124321514523</v>
      </c>
      <c r="H4214" s="13" t="n">
        <f aca="false">Sens!$H$4210/Sens!$H$4330</f>
        <v>0.72627809778989</v>
      </c>
      <c r="I4214" s="13" t="n">
        <f aca="false">Sens!$I$4210/Sens!$I$4330</f>
        <v>0.712771007747211</v>
      </c>
      <c r="J4214" s="13" t="n">
        <f aca="false">Sens!$J$4210/Sens!$J$4330</f>
        <v>0.70048832700199</v>
      </c>
      <c r="K4214" s="13" t="n">
        <f aca="false">Sens!$K$4210/Sens!$K$4330</f>
        <v>0.61690908309574</v>
      </c>
      <c r="L4214" s="13" t="n">
        <f aca="false">Sens!$L$4210/Sens!$L$4330</f>
        <v>0.560304457044873</v>
      </c>
      <c r="M4214" s="13" t="n">
        <f aca="false">Sens!$M$4210/Sens!$M$4330</f>
        <v>0.542799733486147</v>
      </c>
    </row>
    <row r="4215" customFormat="false" ht="17.15" hidden="false" customHeight="false" outlineLevel="0" collapsed="false">
      <c r="A4215" s="0" t="s">
        <v>631</v>
      </c>
      <c r="B4215" s="0" t="s">
        <v>86</v>
      </c>
      <c r="C4215" s="38" t="n">
        <f aca="false">Sens!$S$4215</f>
        <v>0.183212798365523</v>
      </c>
      <c r="D4215" s="38" t="n">
        <f aca="false">Sens!$T$4215</f>
        <v>3.2619025816657</v>
      </c>
      <c r="E4215" s="38" t="n">
        <f aca="false">Sens!$G$4215/2</f>
        <v>5.86742852741953</v>
      </c>
      <c r="F4215" s="38" t="n">
        <f aca="false">Sens!$G$4215/2</f>
        <v>5.86742852741953</v>
      </c>
      <c r="G4215" s="38" t="n">
        <f aca="false">Sens!$U$4215</f>
        <v>11.7348570548391</v>
      </c>
      <c r="H4215" s="38" t="n">
        <f aca="false">Sens!$V$4215</f>
        <v>32.0781968981833</v>
      </c>
      <c r="I4215" s="38" t="n">
        <f aca="false">Sens!$W$4215</f>
        <v>57.4989942223083</v>
      </c>
      <c r="J4215" s="38" t="n">
        <f aca="false">Sens!$X$4215</f>
        <v>83.932309040725</v>
      </c>
      <c r="K4215" s="38" t="n">
        <f aca="false">Sens!$Y$4215</f>
        <v>111.055205760776</v>
      </c>
      <c r="L4215" s="38" t="n">
        <f aca="false">Sens!$Z$4215</f>
        <v>128.420765689732</v>
      </c>
      <c r="M4215" s="38" t="n">
        <f aca="false">Sens!$AA$4215</f>
        <v>138.766969322653</v>
      </c>
      <c r="N4215" s="38" t="n">
        <f aca="false">Sens!$D$4215/2</f>
        <v>1.63095129083285</v>
      </c>
      <c r="O4215" s="38" t="n">
        <f aca="false">Sens!$D$4215/2</f>
        <v>1.63095129083285</v>
      </c>
      <c r="R4215" s="38" t="n">
        <f aca="false">SUMPRODUCT(--(Sens!$R$4180:$AA$4180&lt;Sens!R$4180),--(Sens!$R$4180:$AA$4180&gt;=Sens!R$4180-tk_life),Sens!$R$4212:$AA$4212)/tk_life</f>
        <v>0</v>
      </c>
      <c r="S4215" s="38" t="n">
        <f aca="false">SUMPRODUCT(--(Sens!$R$4180:$AA$4180&lt;Sens!S$4180),--(Sens!$R$4180:$AA$4180&gt;=Sens!S$4180-tk_life),Sens!$R$4212:$AA$4212)/tk_life</f>
        <v>0.183212798365523</v>
      </c>
      <c r="T4215" s="38" t="n">
        <f aca="false">SUMPRODUCT(--(Sens!$R$4180:$AA$4180&lt;Sens!T$4180),--(Sens!$R$4180:$AA$4180&gt;=Sens!T$4180-tk_life),Sens!$R$4212:$AA$4212)/tk_life</f>
        <v>3.2619025816657</v>
      </c>
      <c r="U4215" s="38" t="n">
        <f aca="false">SUMPRODUCT(--(Sens!$R$4180:$AA$4180&lt;Sens!U$4180),--(Sens!$R$4180:$AA$4180&gt;=Sens!U$4180-tk_life),Sens!$R$4212:$AA$4212)/tk_life</f>
        <v>11.7348570548391</v>
      </c>
      <c r="V4215" s="38" t="n">
        <f aca="false">SUMPRODUCT(--(Sens!$R$4180:$AA$4180&lt;Sens!V$4180),--(Sens!$R$4180:$AA$4180&gt;=Sens!V$4180-tk_life),Sens!$R$4212:$AA$4212)/tk_life</f>
        <v>32.0781968981833</v>
      </c>
      <c r="W4215" s="38" t="n">
        <f aca="false">SUMPRODUCT(--(Sens!$R$4180:$AA$4180&lt;Sens!W$4180),--(Sens!$R$4180:$AA$4180&gt;=Sens!W$4180-tk_life),Sens!$R$4212:$AA$4212)/tk_life</f>
        <v>57.4989942223083</v>
      </c>
      <c r="X4215" s="38" t="n">
        <f aca="false">SUMPRODUCT(--(Sens!$R$4180:$AA$4180&lt;Sens!X$4180),--(Sens!$R$4180:$AA$4180&gt;=Sens!X$4180-tk_life),Sens!$R$4212:$AA$4212)/tk_life</f>
        <v>83.932309040725</v>
      </c>
      <c r="Y4215" s="38" t="n">
        <f aca="false">SUMPRODUCT(--(Sens!$R$4180:$AA$4180&lt;Sens!Y$4180),--(Sens!$R$4180:$AA$4180&gt;=Sens!Y$4180-tk_life),Sens!$R$4212:$AA$4212)/tk_life</f>
        <v>111.055205760776</v>
      </c>
      <c r="Z4215" s="38" t="n">
        <f aca="false">SUMPRODUCT(--(Sens!$R$4180:$AA$4180&lt;Sens!Z$4180),--(Sens!$R$4180:$AA$4180&gt;=Sens!Z$4180-tk_life),Sens!$R$4212:$AA$4212)/tk_life</f>
        <v>128.420765689732</v>
      </c>
      <c r="AA4215" s="38" t="n">
        <f aca="false">SUMPRODUCT(--(Sens!$R$4180:$AA$4180&lt;Sens!AA$4180),--(Sens!$R$4180:$AA$4180&gt;=Sens!AA$4180-tk_life),Sens!$R$4212:$AA$4212)/tk_life</f>
        <v>138.766969322653</v>
      </c>
    </row>
    <row r="4216" customFormat="false" ht="17.15" hidden="false" customHeight="false" outlineLevel="0" collapsed="false">
      <c r="A4216" s="0" t="s">
        <v>632</v>
      </c>
      <c r="B4216" s="0" t="s">
        <v>86</v>
      </c>
      <c r="C4216" s="38" t="n">
        <f aca="false">Sens!$S$4216</f>
        <v>0.0202511502553155</v>
      </c>
      <c r="D4216" s="38" t="n">
        <f aca="false">Sens!$T$4216</f>
        <v>0.360549480652134</v>
      </c>
      <c r="E4216" s="38" t="n">
        <f aca="false">Sens!$G$4216/2</f>
        <v>0.648547360125127</v>
      </c>
      <c r="F4216" s="38" t="n">
        <f aca="false">Sens!$G$4216/2</f>
        <v>0.648547360125127</v>
      </c>
      <c r="G4216" s="38" t="n">
        <f aca="false">Sens!$U$4216</f>
        <v>1.29709472025025</v>
      </c>
      <c r="H4216" s="38" t="n">
        <f aca="false">Sens!$V$4216</f>
        <v>3.21599529914753</v>
      </c>
      <c r="I4216" s="38" t="n">
        <f aca="false">Sens!$W$4216</f>
        <v>5.51832434914753</v>
      </c>
      <c r="J4216" s="38" t="n">
        <f aca="false">Sens!$X$4216</f>
        <v>7.82065339914753</v>
      </c>
      <c r="K4216" s="38" t="n">
        <f aca="false">Sens!$Y$4216</f>
        <v>10.1229824491475</v>
      </c>
      <c r="L4216" s="38" t="n">
        <f aca="false">Sens!$Z$4216</f>
        <v>11.7516267992309</v>
      </c>
      <c r="M4216" s="38" t="n">
        <f aca="false">Sens!$AA$4216</f>
        <v>12.7065864493975</v>
      </c>
      <c r="N4216" s="38" t="n">
        <f aca="false">Sens!$D$4216/2</f>
        <v>0.180274740326067</v>
      </c>
      <c r="O4216" s="38" t="n">
        <f aca="false">Sens!$D$4216/2</f>
        <v>0.180274740326067</v>
      </c>
      <c r="R4216" s="38" t="n">
        <f aca="false">SUMPRODUCT(--(Sens!$R$4180:$AA$4180&lt;Sens!R$4180),Sens!$R$4213:$AA$4213)/fac_life</f>
        <v>0</v>
      </c>
      <c r="S4216" s="38" t="n">
        <f aca="false">SUMPRODUCT(--(Sens!$R$4180:$AA$4180&lt;Sens!S$4180),Sens!$R$4213:$AA$4213)/fac_life</f>
        <v>0.0202511502553155</v>
      </c>
      <c r="T4216" s="38" t="n">
        <f aca="false">SUMPRODUCT(--(Sens!$R$4180:$AA$4180&lt;Sens!T$4180),Sens!$R$4213:$AA$4213)/fac_life</f>
        <v>0.360549480652134</v>
      </c>
      <c r="U4216" s="38" t="n">
        <f aca="false">SUMPRODUCT(--(Sens!$R$4180:$AA$4180&lt;Sens!U$4180),Sens!$R$4213:$AA$4213)/fac_life</f>
        <v>1.29709472025025</v>
      </c>
      <c r="V4216" s="38" t="n">
        <f aca="false">SUMPRODUCT(--(Sens!$R$4180:$AA$4180&lt;Sens!V$4180),Sens!$R$4213:$AA$4213)/fac_life</f>
        <v>3.21599529914753</v>
      </c>
      <c r="W4216" s="38" t="n">
        <f aca="false">SUMPRODUCT(--(Sens!$R$4180:$AA$4180&lt;Sens!W$4180),Sens!$R$4213:$AA$4213)/fac_life</f>
        <v>5.51832434914753</v>
      </c>
      <c r="X4216" s="38" t="n">
        <f aca="false">SUMPRODUCT(--(Sens!$R$4180:$AA$4180&lt;Sens!X$4180),Sens!$R$4213:$AA$4213)/fac_life</f>
        <v>7.82065339914753</v>
      </c>
      <c r="Y4216" s="38" t="n">
        <f aca="false">SUMPRODUCT(--(Sens!$R$4180:$AA$4180&lt;Sens!Y$4180),Sens!$R$4213:$AA$4213)/fac_life</f>
        <v>10.1229824491475</v>
      </c>
      <c r="Z4216" s="38" t="n">
        <f aca="false">SUMPRODUCT(--(Sens!$R$4180:$AA$4180&lt;Sens!Z$4180),Sens!$R$4213:$AA$4213)/fac_life</f>
        <v>11.7516267992309</v>
      </c>
      <c r="AA4216" s="38" t="n">
        <f aca="false">SUMPRODUCT(--(Sens!$R$4180:$AA$4180&lt;Sens!AA$4180),Sens!$R$4213:$AA$4213)/fac_life</f>
        <v>12.7065864493975</v>
      </c>
    </row>
    <row r="4217" customFormat="false" ht="17.15" hidden="false" customHeight="false" outlineLevel="0" collapsed="false">
      <c r="A4217" s="1" t="s">
        <v>633</v>
      </c>
      <c r="B4217" s="8" t="s">
        <v>86</v>
      </c>
      <c r="C4217" s="38" t="n">
        <f aca="false">Sens!$C$4215+Sens!$C$4216</f>
        <v>0.203463948620839</v>
      </c>
      <c r="D4217" s="38" t="n">
        <f aca="false">Sens!$D$4215+Sens!$D$4216</f>
        <v>3.62245206231783</v>
      </c>
      <c r="E4217" s="38" t="n">
        <f aca="false">Sens!$E$4215+Sens!$E$4216</f>
        <v>6.51597588754466</v>
      </c>
      <c r="F4217" s="38" t="n">
        <f aca="false">Sens!$F$4215+Sens!$F$4216</f>
        <v>6.51597588754466</v>
      </c>
      <c r="G4217" s="38" t="n">
        <f aca="false">Sens!$G$4215+Sens!$G$4216</f>
        <v>13.0319517750893</v>
      </c>
      <c r="H4217" s="38" t="n">
        <f aca="false">Sens!$H$4215+Sens!$H$4216</f>
        <v>35.2941921973308</v>
      </c>
      <c r="I4217" s="38" t="n">
        <f aca="false">Sens!$I$4215+Sens!$I$4216</f>
        <v>63.0173185714558</v>
      </c>
      <c r="J4217" s="38" t="n">
        <f aca="false">Sens!$J$4215+Sens!$J$4216</f>
        <v>91.7529624398725</v>
      </c>
      <c r="K4217" s="38" t="n">
        <f aca="false">Sens!$K$4215+Sens!$K$4216</f>
        <v>121.178188209924</v>
      </c>
      <c r="L4217" s="38" t="n">
        <f aca="false">Sens!$L$4215+Sens!$L$4216</f>
        <v>140.172392488963</v>
      </c>
      <c r="M4217" s="38" t="n">
        <f aca="false">Sens!$M$4215+Sens!$M$4216</f>
        <v>151.473555772051</v>
      </c>
      <c r="N4217" s="38" t="n">
        <f aca="false">Sens!$N$4215+Sens!$N$4216</f>
        <v>1.81122603115892</v>
      </c>
      <c r="O4217" s="38" t="n">
        <f aca="false">Sens!$O$4215+Sens!$O$4216</f>
        <v>1.81122603115892</v>
      </c>
      <c r="R4217" s="38" t="n">
        <f aca="false">Sens!$R$4215+Sens!$R$4216</f>
        <v>0</v>
      </c>
      <c r="S4217" s="38" t="n">
        <f aca="false">Sens!$S$4215+Sens!$S$4216</f>
        <v>0.203463948620839</v>
      </c>
      <c r="T4217" s="38" t="n">
        <f aca="false">Sens!$T$4215+Sens!$T$4216</f>
        <v>3.62245206231783</v>
      </c>
      <c r="U4217" s="38" t="n">
        <f aca="false">Sens!$U$4215+Sens!$U$4216</f>
        <v>13.0319517750893</v>
      </c>
      <c r="V4217" s="38" t="n">
        <f aca="false">Sens!$V$4215+Sens!$V$4216</f>
        <v>35.2941921973308</v>
      </c>
      <c r="W4217" s="38" t="n">
        <f aca="false">Sens!$W$4215+Sens!$W$4216</f>
        <v>63.0173185714558</v>
      </c>
      <c r="X4217" s="38" t="n">
        <f aca="false">Sens!$X$4215+Sens!$X$4216</f>
        <v>91.7529624398725</v>
      </c>
      <c r="Y4217" s="38" t="n">
        <f aca="false">Sens!$Y$4215+Sens!$Y$4216</f>
        <v>121.178188209924</v>
      </c>
      <c r="Z4217" s="38" t="n">
        <f aca="false">Sens!$Z$4215+Sens!$Z$4216</f>
        <v>140.172392488963</v>
      </c>
      <c r="AA4217" s="38" t="n">
        <f aca="false">Sens!$AA$4215+Sens!$AA$4216</f>
        <v>151.473555772051</v>
      </c>
    </row>
    <row r="4218" customFormat="false" ht="17.15" hidden="false" customHeight="false" outlineLevel="0" collapsed="false">
      <c r="A4218" s="0" t="s">
        <v>634</v>
      </c>
      <c r="B4218" s="0" t="s">
        <v>86</v>
      </c>
      <c r="C4218" s="38" t="n">
        <f aca="false">Sens!$S$4218</f>
        <v>26.578941154416</v>
      </c>
      <c r="D4218" s="38" t="n">
        <f aca="false">Sens!$T$4218</f>
        <v>92.5251207231008</v>
      </c>
      <c r="G4218" s="38" t="n">
        <f aca="false">Sens!$U$4218</f>
        <v>239.931219586022</v>
      </c>
      <c r="H4218" s="38" t="n">
        <f aca="false">Sens!$V$4218</f>
        <v>403.208392333442</v>
      </c>
      <c r="I4218" s="38" t="n">
        <f aca="false">Sens!$W$4218</f>
        <v>544.837543672486</v>
      </c>
      <c r="J4218" s="38" t="n">
        <f aca="false">Sens!$X$4218</f>
        <v>662.967819343113</v>
      </c>
      <c r="K4218" s="38" t="n">
        <f aca="false">Sens!$Y$4218</f>
        <v>697.028016408391</v>
      </c>
      <c r="L4218" s="38" t="n">
        <f aca="false">Sens!$Z$4218</f>
        <v>688.86976555933</v>
      </c>
      <c r="M4218" s="38" t="n">
        <f aca="false">Sens!$AA$4218</f>
        <v>669.627191447132</v>
      </c>
      <c r="R4218" s="38" t="n">
        <f aca="false">SUM(Sens!$R$4210:$R$4210)-SUM(Sens!$R$4217:$R$4217)</f>
        <v>1.50429979529945</v>
      </c>
      <c r="S4218" s="38" t="n">
        <f aca="false">SUM(Sens!$R$4210:$S$4210)-SUM(Sens!$R$4217:$S$4217)</f>
        <v>26.578941154416</v>
      </c>
      <c r="T4218" s="38" t="n">
        <f aca="false">SUM(Sens!$R$4210:$T$4210)-SUM(Sens!$R$4217:$T$4217)</f>
        <v>92.5251207231008</v>
      </c>
      <c r="U4218" s="38" t="n">
        <f aca="false">SUM(Sens!$R$4210:$U$4210)-SUM(Sens!$R$4217:$U$4217)</f>
        <v>239.931219586022</v>
      </c>
      <c r="V4218" s="38" t="n">
        <f aca="false">SUM(Sens!$R$4210:$V$4210)-SUM(Sens!$R$4217:$V$4217)</f>
        <v>403.208392333442</v>
      </c>
      <c r="W4218" s="38" t="n">
        <f aca="false">SUM(Sens!$R$4210:$W$4210)-SUM(Sens!$R$4217:$W$4217)</f>
        <v>544.837543672486</v>
      </c>
      <c r="X4218" s="38" t="n">
        <f aca="false">SUM(Sens!$R$4210:$X$4210)-SUM(Sens!$R$4217:$X$4217)</f>
        <v>662.967819343113</v>
      </c>
      <c r="Y4218" s="38" t="n">
        <f aca="false">SUM(Sens!$R$4210:$Y$4210)-SUM(Sens!$R$4217:$Y$4217)</f>
        <v>697.028016408391</v>
      </c>
      <c r="Z4218" s="38" t="n">
        <f aca="false">SUM(Sens!$R$4210:$Z$4210)-SUM(Sens!$R$4217:$Z$4217)</f>
        <v>688.86976555933</v>
      </c>
      <c r="AA4218" s="38" t="n">
        <f aca="false">SUM(Sens!$R$4210:$AA$4210)-SUM(Sens!$R$4217:$AA$4217)</f>
        <v>669.627191447132</v>
      </c>
    </row>
    <row r="4219" customFormat="false" ht="17.15" hidden="false" customHeight="false" outlineLevel="0" collapsed="false">
      <c r="A4219" s="1" t="s">
        <v>635</v>
      </c>
    </row>
    <row r="4220" customFormat="false" ht="17.15" hidden="false" customHeight="false" outlineLevel="0" collapsed="false">
      <c r="A4220" s="0" t="s">
        <v>636</v>
      </c>
      <c r="B4220" s="0" t="s">
        <v>86</v>
      </c>
      <c r="C4220" s="38" t="n">
        <f aca="false">Sens!$C$4201-ext_sh*Sens!$C$4203</f>
        <v>1.80694998843362</v>
      </c>
      <c r="D4220" s="38" t="n">
        <f aca="false">Sens!$D$4201-ext_sh*Sens!$D$4203</f>
        <v>6.77606245662607</v>
      </c>
      <c r="E4220" s="38" t="n">
        <f aca="false">Sens!$E$4201-ext_sh*Sens!$E$4203</f>
        <v>6.62548329092326</v>
      </c>
      <c r="F4220" s="38" t="n">
        <f aca="false">Sens!$F$4201-ext_sh*Sens!$F$4203</f>
        <v>11.7200577158706</v>
      </c>
      <c r="G4220" s="38" t="n">
        <f aca="false">Sens!$G$4201-ext_sh*Sens!$G$4203</f>
        <v>18.3455410067939</v>
      </c>
      <c r="H4220" s="38" t="n">
        <f aca="false">Sens!$H$4201-ext_sh*Sens!$H$4203</f>
        <v>47.5171727060453</v>
      </c>
      <c r="I4220" s="38" t="n">
        <f aca="false">Sens!$I$4201-ext_sh*Sens!$I$4203</f>
        <v>80.5539692643667</v>
      </c>
      <c r="J4220" s="38" t="n">
        <f aca="false">Sens!$J$4201-ext_sh*Sens!$J$4203</f>
        <v>113.759316834883</v>
      </c>
      <c r="K4220" s="38" t="n">
        <f aca="false">Sens!$K$4201-ext_sh*Sens!$K$4203</f>
        <v>142.084411492169</v>
      </c>
      <c r="L4220" s="38" t="n">
        <f aca="false">Sens!$L$4201-ext_sh*Sens!$L$4203</f>
        <v>160.69964615804</v>
      </c>
      <c r="M4220" s="38" t="n">
        <f aca="false">Sens!$M$4201-ext_sh*Sens!$M$4203</f>
        <v>169.577607141793</v>
      </c>
      <c r="N4220" s="38" t="n">
        <f aca="false">Sens!$N$4201-ext_sh*Sens!$N$4203</f>
        <v>2.37162185981912</v>
      </c>
      <c r="O4220" s="38" t="n">
        <f aca="false">Sens!$O$4201-ext_sh*Sens!$O$4203</f>
        <v>4.40444059680694</v>
      </c>
    </row>
    <row r="4221" customFormat="false" ht="17.15" hidden="false" customHeight="false" outlineLevel="0" collapsed="false">
      <c r="A4221" s="1" t="s">
        <v>637</v>
      </c>
      <c r="B4221" s="8" t="s">
        <v>86</v>
      </c>
      <c r="C4221" s="38" t="n">
        <f aca="false">Sens!$C$4220-ext_sh*Sens!$C$4217</f>
        <v>1.64417882953695</v>
      </c>
      <c r="D4221" s="38" t="n">
        <f aca="false">Sens!$D$4220-ext_sh*Sens!$D$4217</f>
        <v>3.8781008067718</v>
      </c>
      <c r="E4221" s="38" t="n">
        <f aca="false">Sens!$E$4220-ext_sh*Sens!$E$4217</f>
        <v>1.41270258088753</v>
      </c>
      <c r="F4221" s="38" t="n">
        <f aca="false">Sens!$F$4220-ext_sh*Sens!$F$4217</f>
        <v>6.50727700583486</v>
      </c>
      <c r="G4221" s="38" t="n">
        <f aca="false">Sens!$G$4220-ext_sh*Sens!$G$4217</f>
        <v>7.9199795867224</v>
      </c>
      <c r="H4221" s="38" t="n">
        <f aca="false">Sens!$H$4220-ext_sh*Sens!$H$4217</f>
        <v>19.2818189481807</v>
      </c>
      <c r="I4221" s="38" t="n">
        <f aca="false">Sens!$I$4220-ext_sh*Sens!$I$4217</f>
        <v>30.140114407202</v>
      </c>
      <c r="J4221" s="38" t="n">
        <f aca="false">Sens!$J$4220-ext_sh*Sens!$J$4217</f>
        <v>40.3569468829854</v>
      </c>
      <c r="K4221" s="38" t="n">
        <f aca="false">Sens!$K$4220-ext_sh*Sens!$K$4217</f>
        <v>45.1418609242305</v>
      </c>
      <c r="L4221" s="38" t="n">
        <f aca="false">Sens!$L$4220-ext_sh*Sens!$L$4217</f>
        <v>48.5617321668703</v>
      </c>
      <c r="M4221" s="38" t="n">
        <f aca="false">Sens!$M$4220-ext_sh*Sens!$M$4217</f>
        <v>48.3987625241529</v>
      </c>
      <c r="N4221" s="38" t="n">
        <f aca="false">Sens!$N$4220-ext_sh*Sens!$N$4217</f>
        <v>0.92264103489199</v>
      </c>
      <c r="O4221" s="38" t="n">
        <f aca="false">Sens!$O$4220-ext_sh*Sens!$O$4217</f>
        <v>2.95545977187981</v>
      </c>
    </row>
    <row r="4222" customFormat="false" ht="17.15" hidden="false" customHeight="false" outlineLevel="0" collapsed="false">
      <c r="A4222" s="0" t="s">
        <v>638</v>
      </c>
      <c r="B4222" s="0" t="s">
        <v>52</v>
      </c>
      <c r="C4222" s="13" t="n">
        <f aca="false">Sens!$C$4221/Sens!$C$4201</f>
        <v>0.708390794789371</v>
      </c>
      <c r="D4222" s="13" t="n">
        <f aca="false">Sens!$D$4221/Sens!$D$4201</f>
        <v>0.445565630441968</v>
      </c>
      <c r="E4222" s="13" t="n">
        <f aca="false">Sens!$E$4221/Sens!$E$4201</f>
        <v>0.165998118402711</v>
      </c>
      <c r="F4222" s="13" t="n">
        <f aca="false">Sens!$F$4221/Sens!$F$4201</f>
        <v>0.434878595403858</v>
      </c>
      <c r="G4222" s="13" t="n">
        <f aca="false">Sens!$G$4221/Sens!$G$4201</f>
        <v>0.3373967615381</v>
      </c>
      <c r="H4222" s="13" t="n">
        <f aca="false">Sens!$H$4221/Sens!$H$4201</f>
        <v>0.320477578041224</v>
      </c>
      <c r="I4222" s="13" t="n">
        <f aca="false">Sens!$I$4221/Sens!$I$4201</f>
        <v>0.296936118226494</v>
      </c>
      <c r="J4222" s="13" t="n">
        <f aca="false">Sens!$J$4221/Sens!$J$4201</f>
        <v>0.282166278613001</v>
      </c>
      <c r="K4222" s="13" t="n">
        <f aca="false">Sens!$K$4221/Sens!$K$4201</f>
        <v>0.252969102881543</v>
      </c>
      <c r="L4222" s="13" t="n">
        <f aca="false">Sens!$L$4221/Sens!$L$4201</f>
        <v>0.240728642826566</v>
      </c>
      <c r="M4222" s="13" t="n">
        <f aca="false">Sens!$M$4221/Sens!$M$4201</f>
        <v>0.227399920863147</v>
      </c>
      <c r="N4222" s="13" t="n">
        <f aca="false">Sens!$N$4221/Sens!$N$4201</f>
        <v>0.302870734830849</v>
      </c>
      <c r="O4222" s="13" t="n">
        <f aca="false">Sens!$O$4221/Sens!$O$4201</f>
        <v>0.52240134346334</v>
      </c>
    </row>
    <row r="4223" customFormat="false" ht="17.15" hidden="false" customHeight="false" outlineLevel="0" collapsed="false">
      <c r="A4223" s="5" t="s">
        <v>639</v>
      </c>
      <c r="B4223" s="0" t="s">
        <v>86</v>
      </c>
      <c r="C4223" s="39" t="n">
        <v>0</v>
      </c>
      <c r="D4223" s="39" t="n">
        <v>0</v>
      </c>
      <c r="E4223" s="39" t="n">
        <v>0</v>
      </c>
      <c r="F4223" s="38" t="n">
        <f aca="false">IF(internal_ai_reading=2,1,0)*(1-ext_sh)/ext_sh*(mw_open*he_open+Sens!$F$4199*Sens!$F$4196)*Sens!$F$4185/1000</f>
        <v>3.77122048175818</v>
      </c>
      <c r="G4223" s="38" t="n">
        <f aca="false">Sens!$E$4223+Sens!$F$4223</f>
        <v>3.77122048175818</v>
      </c>
      <c r="H4223" s="38" t="n">
        <f aca="false">IF(internal_ai_reading=2,1,0)*(1-ext_sh)/ext_sh*(mw_open*he_open+Sens!$H$4199*Sens!$H$4196)*Sens!$H$4185/1000</f>
        <v>15.1635543609893</v>
      </c>
      <c r="I4223" s="38" t="n">
        <f aca="false">IF(internal_ai_reading=2,1,0)*(1-ext_sh)/ext_sh*(mw_open*he_open+Sens!$I$4199*Sens!$I$4196)*Sens!$I$4185/1000</f>
        <v>25.5818843619889</v>
      </c>
      <c r="J4223" s="38" t="n">
        <f aca="false">IF(internal_ai_reading=2,1,0)*(1-ext_sh)/ext_sh*(mw_open*he_open+Sens!$J$4199*Sens!$J$4196)*Sens!$J$4185/1000</f>
        <v>36.0465624179122</v>
      </c>
      <c r="K4223" s="38" t="n">
        <f aca="false">IF(internal_ai_reading=2,1,0)*(1-ext_sh)/ext_sh*(mw_open*he_open+Sens!$K$4199*Sens!$K$4196)*Sens!$K$4185/1000</f>
        <v>44.9741164026038</v>
      </c>
      <c r="L4223" s="38" t="n">
        <f aca="false">IF(internal_ai_reading=2,1,0)*(1-ext_sh)/ext_sh*(mw_open*he_open+Sens!$L$4199*Sens!$L$4196)*Sens!$L$4185/1000</f>
        <v>50.8413488057813</v>
      </c>
      <c r="M4223" s="38" t="n">
        <f aca="false">IF(internal_ai_reading=2,1,0)*(1-ext_sh)/ext_sh*(mw_open*he_open+Sens!$M$4199*Sens!$M$4196)*Sens!$M$4185/1000</f>
        <v>53.6407214274315</v>
      </c>
      <c r="N4223" s="39" t="n">
        <v>0</v>
      </c>
      <c r="O4223" s="39" t="n">
        <v>0</v>
      </c>
      <c r="P4223" s="8" t="s">
        <v>640</v>
      </c>
    </row>
    <row r="4224" customFormat="false" ht="17.15" hidden="false" customHeight="false" outlineLevel="0" collapsed="false">
      <c r="A4224" s="5" t="s">
        <v>641</v>
      </c>
      <c r="B4224" s="0" t="s">
        <v>86</v>
      </c>
      <c r="C4224" s="38" t="n">
        <f aca="false">(1-ext_sh)*(Sens!$C$4203+Sens!$C$4217)</f>
        <v>0.169206631859174</v>
      </c>
      <c r="D4224" s="38" t="n">
        <f aca="false">(1-ext_sh)*(Sens!$D$4203+Sens!$D$4217)</f>
        <v>1.20641732046984</v>
      </c>
      <c r="E4224" s="38" t="n">
        <f aca="false">(1-ext_sh)*(Sens!$E$4203+Sens!$E$4217)</f>
        <v>1.77441259867062</v>
      </c>
      <c r="F4224" s="38" t="n">
        <f aca="false">(1-ext_sh)*(Sens!$F$4203+Sens!$F$4217)</f>
        <v>2.1140391597214</v>
      </c>
      <c r="G4224" s="38" t="n">
        <f aca="false">(1-ext_sh)*(Sens!$G$4203+Sens!$G$4217)</f>
        <v>3.88845175839202</v>
      </c>
      <c r="H4224" s="38" t="n">
        <f aca="false">(1-ext_sh)*(Sens!$H$4203+Sens!$H$4217)</f>
        <v>10.2210179503985</v>
      </c>
      <c r="I4224" s="38" t="n">
        <f aca="false">(1-ext_sh)*(Sens!$I$4203+Sens!$I$4217)</f>
        <v>17.8408961823075</v>
      </c>
      <c r="J4224" s="38" t="n">
        <f aca="false">(1-ext_sh)*(Sens!$J$4203+Sens!$J$4217)</f>
        <v>25.6671150670732</v>
      </c>
      <c r="K4224" s="38" t="n">
        <f aca="false">(1-ext_sh)*(Sens!$K$4203+Sens!$K$4217)</f>
        <v>33.3265648647373</v>
      </c>
      <c r="L4224" s="38" t="n">
        <f aca="false">(1-ext_sh)*(Sens!$L$4203+Sens!$L$4217)</f>
        <v>38.2915924088815</v>
      </c>
      <c r="M4224" s="38" t="n">
        <f aca="false">(1-ext_sh)*(Sens!$M$4203+Sens!$M$4217)</f>
        <v>41.1091697111781</v>
      </c>
      <c r="N4224" s="38" t="n">
        <f aca="false">(1-ext_sh)*(Sens!$N$4203+Sens!$N$4217)</f>
        <v>0.530919624033979</v>
      </c>
      <c r="O4224" s="38" t="n">
        <f aca="false">(1-ext_sh)*(Sens!$O$4203+Sens!$O$4217)</f>
        <v>0.675497696435861</v>
      </c>
    </row>
    <row r="4225" customFormat="false" ht="17.15" hidden="false" customHeight="false" outlineLevel="0" collapsed="false">
      <c r="A4225" s="0" t="s">
        <v>642</v>
      </c>
      <c r="B4225" s="0" t="s">
        <v>86</v>
      </c>
      <c r="C4225" s="38" t="n">
        <f aca="false">Q!$D$24</f>
        <v>39.834</v>
      </c>
      <c r="D4225" s="38" t="n">
        <f aca="false">Q!$E$24</f>
        <v>45.606</v>
      </c>
      <c r="E4225" s="38" t="n">
        <f aca="false">Q!$P$24</f>
        <v>30.782</v>
      </c>
      <c r="N4225" s="38" t="n">
        <f aca="false">Q!$N$24</f>
        <v>21.707</v>
      </c>
      <c r="O4225" s="38" t="n">
        <f aca="false">Q!$O$24</f>
        <v>23.899</v>
      </c>
    </row>
    <row r="4226" customFormat="false" ht="17.15" hidden="false" customHeight="false" outlineLevel="0" collapsed="false">
      <c r="A4226" s="0" t="s">
        <v>643</v>
      </c>
      <c r="B4226" s="0" t="s">
        <v>86</v>
      </c>
      <c r="C4226" s="38" t="n">
        <f aca="false">Sens!$C$4225-Sens!$C$4221</f>
        <v>38.1898211704631</v>
      </c>
      <c r="D4226" s="38" t="n">
        <f aca="false">Sens!$D$4225-Sens!$D$4221</f>
        <v>41.7278991932282</v>
      </c>
      <c r="E4226" s="38" t="n">
        <f aca="false">Sens!$E$4225-Sens!$E$4221</f>
        <v>29.3692974191125</v>
      </c>
      <c r="F4226" s="38" t="n">
        <f aca="false">Sens!$F$4205*Sens!$F$4227</f>
        <v>26.8997276714137</v>
      </c>
      <c r="G4226" s="38" t="n">
        <f aca="false">Sens!$E$4226+Sens!$F$4226</f>
        <v>56.2690250905262</v>
      </c>
      <c r="H4226" s="38" t="n">
        <f aca="false">Sens!$H$4205*Sens!$H$4227</f>
        <v>60.3505333937343</v>
      </c>
      <c r="I4226" s="38" t="n">
        <f aca="false">Sens!$I$4205*Sens!$I$4227</f>
        <v>67.0043857303571</v>
      </c>
      <c r="J4226" s="38" t="n">
        <f aca="false">Sens!$J$4205*Sens!$J$4227</f>
        <v>73.3782922956925</v>
      </c>
      <c r="K4226" s="38" t="n">
        <f aca="false">Sens!$K$4205*Sens!$K$4227</f>
        <v>79.2485556793479</v>
      </c>
      <c r="L4226" s="38" t="n">
        <f aca="false">Sens!$L$4205*Sens!$L$4227</f>
        <v>85.5884401336958</v>
      </c>
      <c r="M4226" s="38" t="n">
        <f aca="false">Sens!$M$4205*Sens!$M$4227</f>
        <v>92.4355153443914</v>
      </c>
      <c r="N4226" s="38" t="n">
        <f aca="false">Sens!$N$4225-Sens!$N$4221</f>
        <v>20.784358965108</v>
      </c>
      <c r="O4226" s="38" t="n">
        <f aca="false">Sens!$O$4225-Sens!$O$4221</f>
        <v>20.9435402281202</v>
      </c>
      <c r="P4226" s="5" t="s">
        <v>644</v>
      </c>
    </row>
    <row r="4227" customFormat="false" ht="17.15" hidden="false" customHeight="false" outlineLevel="0" collapsed="false">
      <c r="A4227" s="0" t="s">
        <v>645</v>
      </c>
      <c r="B4227" s="0" t="s">
        <v>52</v>
      </c>
      <c r="C4227" s="13" t="n">
        <f aca="false">Sens!$C$4226/Sens!$C$4205</f>
        <v>0.362900395443635</v>
      </c>
      <c r="D4227" s="13" t="n">
        <f aca="false">Sens!$D$4226/Sens!$D$4205</f>
        <v>0.34767098474203</v>
      </c>
      <c r="E4227" s="13" t="n">
        <f aca="false">Sens!$E$4226/Sens!$E$4205</f>
        <v>0.411861655558416</v>
      </c>
      <c r="F4227" s="13" t="n">
        <f aca="false">(Sens!$O$4226+Sens!$E$4226)/(Sens!$O$4205+Sens!$E$4205)</f>
        <v>0.37480827803158</v>
      </c>
      <c r="G4227" s="13" t="n">
        <f aca="false">Sens!$G$4226/Sens!$G$4205</f>
        <v>0.393275318395757</v>
      </c>
      <c r="H4227" s="13" t="n">
        <f aca="false">Sens!$F$4227</f>
        <v>0.37480827803158</v>
      </c>
      <c r="I4227" s="13" t="n">
        <f aca="false">Sens!$F$4227</f>
        <v>0.37480827803158</v>
      </c>
      <c r="J4227" s="13" t="n">
        <f aca="false">Sens!$F$4227</f>
        <v>0.37480827803158</v>
      </c>
      <c r="K4227" s="13" t="n">
        <f aca="false">Sens!$F$4227</f>
        <v>0.37480827803158</v>
      </c>
      <c r="L4227" s="13" t="n">
        <f aca="false">Sens!$F$4227</f>
        <v>0.37480827803158</v>
      </c>
      <c r="M4227" s="13" t="n">
        <f aca="false">Sens!$F$4227</f>
        <v>0.37480827803158</v>
      </c>
      <c r="N4227" s="13" t="n">
        <f aca="false">Sens!$N$4226/Sens!$N$4205</f>
        <v>0.364039571356823</v>
      </c>
      <c r="O4227" s="13" t="n">
        <f aca="false">Sens!$O$4226/Sens!$O$4205</f>
        <v>0.332819892300086</v>
      </c>
      <c r="P4227" s="8" t="s">
        <v>646</v>
      </c>
    </row>
    <row r="4228" customFormat="false" ht="17.15" hidden="false" customHeight="false" outlineLevel="0" collapsed="false">
      <c r="A4228" s="0" t="s">
        <v>647</v>
      </c>
      <c r="B4228" s="0" t="s">
        <v>52</v>
      </c>
      <c r="D4228" s="13" t="n">
        <f aca="false">(Q!$E$31-ext_sh*Sens!$D$4217)/Sens!$D$4205</f>
        <v>0.154572973163571</v>
      </c>
    </row>
    <row r="4229" customFormat="false" ht="17.15" hidden="false" customHeight="false" outlineLevel="0" collapsed="false">
      <c r="A4229" s="0" t="s">
        <v>648</v>
      </c>
      <c r="B4229" s="0" t="s">
        <v>86</v>
      </c>
      <c r="C4229" s="38" t="n">
        <f aca="false">Q!$D$31</f>
        <v>13.32</v>
      </c>
      <c r="D4229" s="38" t="n">
        <f aca="false">Q!$E$31</f>
        <v>21.45</v>
      </c>
      <c r="E4229" s="38" t="n">
        <f aca="false">Q!$P$31</f>
        <v>15.353</v>
      </c>
      <c r="F4229" s="38" t="n">
        <f aca="false">ext_sh*Sens!$F$4217+Sens!$D$4228*Sens!$F$4205</f>
        <v>16.3063747611001</v>
      </c>
      <c r="G4229" s="38" t="n">
        <f aca="false">Sens!$E$4229+Sens!$F$4229</f>
        <v>31.6593747611001</v>
      </c>
      <c r="H4229" s="38" t="n">
        <f aca="false">ext_sh*Sens!$H$4217+Sens!$D$4228*Sens!$H$4205</f>
        <v>53.124242092105</v>
      </c>
      <c r="I4229" s="38" t="n">
        <f aca="false">ext_sh*Sens!$I$4217+Sens!$D$4228*Sens!$I$4205</f>
        <v>78.046828098133</v>
      </c>
      <c r="J4229" s="38" t="n">
        <f aca="false">ext_sh*Sens!$J$4217+Sens!$D$4228*Sens!$J$4205</f>
        <v>103.663976940352</v>
      </c>
      <c r="K4229" s="38" t="n">
        <f aca="false">ext_sh*Sens!$K$4217+Sens!$D$4228*Sens!$K$4205</f>
        <v>129.625086115469</v>
      </c>
      <c r="L4229" s="38" t="n">
        <f aca="false">ext_sh*Sens!$L$4217+Sens!$D$4228*Sens!$L$4205</f>
        <v>147.435052382502</v>
      </c>
      <c r="M4229" s="38" t="n">
        <f aca="false">ext_sh*Sens!$M$4217+Sens!$D$4228*Sens!$M$4205</f>
        <v>159.299754080279</v>
      </c>
      <c r="N4229" s="38" t="n">
        <f aca="false">Q!$N$31</f>
        <v>9.234</v>
      </c>
      <c r="O4229" s="38" t="n">
        <f aca="false">Q!$O$31</f>
        <v>12.216</v>
      </c>
    </row>
    <row r="4230" customFormat="false" ht="17.15" hidden="false" customHeight="false" outlineLevel="0" collapsed="false">
      <c r="A4230" s="1" t="s">
        <v>649</v>
      </c>
    </row>
    <row r="4231" customFormat="false" ht="17.15" hidden="false" customHeight="false" outlineLevel="0" collapsed="false">
      <c r="A4231" s="15" t="s">
        <v>650</v>
      </c>
      <c r="B4231" s="14" t="s">
        <v>52</v>
      </c>
      <c r="C4231" s="14"/>
      <c r="D4231" s="14"/>
      <c r="E4231" s="14"/>
      <c r="F4231" s="14"/>
      <c r="G4231" s="17" t="n">
        <f aca="false">Sens!$G$4221*(1-tax)/(ext_sh*(Sens!$D$4218+Sens!$G$4218)/2)</f>
        <v>0.0492184452944045</v>
      </c>
      <c r="H4231" s="17" t="n">
        <f aca="false">Sens!$H$4221*(1-tax)/(ext_sh*(Sens!$G$4218+Sens!$H$4218)/2)</f>
        <v>0.0619414246858107</v>
      </c>
      <c r="I4231" s="17" t="n">
        <f aca="false">Sens!$I$4221*(1-tax)/(ext_sh*(Sens!$H$4218+Sens!$I$4218)/2)</f>
        <v>0.0656831488051666</v>
      </c>
      <c r="J4231" s="17" t="n">
        <f aca="false">Sens!$J$4221*(1-tax)/(ext_sh*(Sens!$I$4218+Sens!$J$4218)/2)</f>
        <v>0.0690334849962116</v>
      </c>
      <c r="K4231" s="17" t="n">
        <f aca="false">Sens!$K$4221*(1-tax)/(ext_sh*(Sens!$J$4218+Sens!$K$4218)/2)</f>
        <v>0.0685772915331967</v>
      </c>
      <c r="L4231" s="17" t="n">
        <f aca="false">Sens!$L$4221*(1-tax)/(ext_sh*(Sens!$K$4218+Sens!$L$4218)/2)</f>
        <v>0.0723938074635756</v>
      </c>
      <c r="M4231" s="17" t="n">
        <f aca="false">Sens!$M$4221*(1-tax)/(ext_sh*(Sens!$L$4218+Sens!$M$4218)/2)</f>
        <v>0.0736061388214139</v>
      </c>
      <c r="N4231" s="14"/>
      <c r="O4231" s="14"/>
      <c r="P4231" s="8" t="s">
        <v>651</v>
      </c>
    </row>
    <row r="4232" customFormat="false" ht="17.15" hidden="false" customHeight="false" outlineLevel="0" collapsed="false">
      <c r="A4232" s="5" t="s">
        <v>652</v>
      </c>
      <c r="B4232" s="0" t="s">
        <v>57</v>
      </c>
      <c r="H4232" s="36" t="n">
        <f aca="false">Sens!$H$4201*1000/(mw_open*he_open+Sens!$H$4199*Sens!$H$4196)</f>
        <v>0.991949006767191</v>
      </c>
      <c r="I4232" s="36" t="n">
        <f aca="false">Sens!$I$4201*1000/(mw_open*he_open+Sens!$I$4199*Sens!$I$4196)</f>
        <v>0.991949006767191</v>
      </c>
      <c r="J4232" s="36" t="n">
        <f aca="false">Sens!$J$4201*1000/(mw_open*he_open+Sens!$J$4199*Sens!$J$4196)</f>
        <v>0.991949006767191</v>
      </c>
      <c r="K4232" s="36" t="n">
        <f aca="false">Sens!$K$4201*1000/(mw_open*he_open+Sens!$K$4199*Sens!$K$4196)</f>
        <v>0.991949006767191</v>
      </c>
      <c r="L4232" s="36" t="n">
        <f aca="false">Sens!$L$4201*1000/(mw_open*he_open+Sens!$L$4199*Sens!$L$4196)</f>
        <v>0.991949006767191</v>
      </c>
      <c r="M4232" s="36" t="n">
        <f aca="false">Sens!$M$4201*1000/(mw_open*he_open+Sens!$M$4199*Sens!$M$4196)</f>
        <v>0.991949006767191</v>
      </c>
    </row>
    <row r="4233" customFormat="false" ht="17.15" hidden="false" customHeight="false" outlineLevel="0" collapsed="false">
      <c r="A4233" s="5" t="s">
        <v>653</v>
      </c>
      <c r="B4233" s="0" t="s">
        <v>57</v>
      </c>
      <c r="H4233" s="36" t="n">
        <f aca="false">Sens!$H$4232*(Sens!$H$4201+wacc*ext_sh*(Sens!$G$4218+Sens!$H$4218)/2/(1-tax)-Sens!$H$4221)/Sens!$H$4201</f>
        <v>1.25551961623259</v>
      </c>
      <c r="I4233" s="36" t="n">
        <f aca="false">Sens!$I$4232*(Sens!$I$4201+wacc*ext_sh*(Sens!$H$4218+Sens!$I$4218)/2/(1-tax)-Sens!$I$4221)/Sens!$I$4201</f>
        <v>1.2054675393263</v>
      </c>
      <c r="J4233" s="36" t="n">
        <f aca="false">Sens!$J$4232*(Sens!$J$4201+wacc*ext_sh*(Sens!$I$4218+Sens!$J$4218)/2/(1-tax)-Sens!$J$4221)/Sens!$J$4201</f>
        <v>1.17141604927023</v>
      </c>
      <c r="K4233" s="36" t="n">
        <f aca="false">Sens!$K$4232*(Sens!$K$4201+wacc*ext_sh*(Sens!$J$4218+Sens!$K$4218)/2/(1-tax)-Sens!$K$4221)/Sens!$K$4201</f>
        <v>1.15558527566281</v>
      </c>
      <c r="L4233" s="36" t="n">
        <f aca="false">Sens!$L$4232*(Sens!$L$4201+wacc*ext_sh*(Sens!$K$4218+Sens!$L$4218)/2/(1-tax)-Sens!$L$4221)/Sens!$L$4201</f>
        <v>1.12686933572495</v>
      </c>
      <c r="M4233" s="36" t="n">
        <f aca="false">Sens!$M$4232*(Sens!$M$4201+wacc*ext_sh*(Sens!$L$4218+Sens!$M$4218)/2/(1-tax)-Sens!$M$4221)/Sens!$M$4201</f>
        <v>1.11358462527531</v>
      </c>
    </row>
    <row r="4234" customFormat="false" ht="17.15" hidden="false" customHeight="false" outlineLevel="0" collapsed="false">
      <c r="A4234" s="5" t="s">
        <v>654</v>
      </c>
      <c r="B4234" s="0" t="s">
        <v>52</v>
      </c>
      <c r="C4234" s="13" t="n">
        <f aca="false">Sens!$C$4202/tk_pq</f>
        <v>0.195316432429398</v>
      </c>
      <c r="D4234" s="13" t="n">
        <f aca="false">Sens!$D$4202/tk_pq</f>
        <v>0.195316432429398</v>
      </c>
      <c r="E4234" s="13" t="n">
        <f aca="false">Sens!$E$4202/tk_pq</f>
        <v>0.195316432429398</v>
      </c>
      <c r="F4234" s="13" t="n">
        <f aca="false">Sens!$F$4202/tk_pq</f>
        <v>0.202241827274866</v>
      </c>
      <c r="G4234" s="13" t="n">
        <f aca="false">Sens!$G$4202/tk_pq</f>
        <v>0.199675016194063</v>
      </c>
      <c r="H4234" s="13" t="n">
        <f aca="false">Sens!$H$4202/tk_pq</f>
        <v>0.212647947710325</v>
      </c>
      <c r="I4234" s="13" t="n">
        <f aca="false">Sens!$I$4202/tk_pq</f>
        <v>0.219285125475351</v>
      </c>
      <c r="J4234" s="13" t="n">
        <f aca="false">Sens!$J$4202/tk_pq</f>
        <v>0.222492493217189</v>
      </c>
      <c r="K4234" s="13" t="n">
        <f aca="false">Sens!$K$4202/tk_pq</f>
        <v>0.224053502812094</v>
      </c>
      <c r="L4234" s="13" t="n">
        <f aca="false">Sens!$L$4202/tk_pq</f>
        <v>0.224786916785614</v>
      </c>
      <c r="M4234" s="13" t="n">
        <f aca="false">Sens!$M$4202/tk_pq</f>
        <v>0.225048671566937</v>
      </c>
      <c r="N4234" s="13" t="n">
        <f aca="false">Sens!$N$4202/tk_pq</f>
        <v>0.195316432429398</v>
      </c>
      <c r="O4234" s="13" t="n">
        <f aca="false">Sens!$O$4202/tk_pq</f>
        <v>0.195316432429398</v>
      </c>
      <c r="P4234" s="5" t="s">
        <v>655</v>
      </c>
    </row>
    <row r="4237" customFormat="false" ht="17.15" hidden="false" customHeight="false" outlineLevel="0" collapsed="false">
      <c r="A4237" s="1" t="s">
        <v>684</v>
      </c>
    </row>
    <row r="4238" customFormat="false" ht="17.15" hidden="false" customHeight="false" outlineLevel="0" collapsed="false">
      <c r="A4238" s="0" t="s">
        <v>685</v>
      </c>
      <c r="B4238" s="0" t="s">
        <v>86</v>
      </c>
      <c r="C4238" s="38" t="n">
        <f aca="false">Sens!$C$4201</f>
        <v>2.32100535697364</v>
      </c>
      <c r="D4238" s="38" t="n">
        <f aca="false">Sens!$D$4201</f>
        <v>8.70377008865116</v>
      </c>
      <c r="E4238" s="38" t="n">
        <f aca="false">Sens!$E$4201</f>
        <v>8.51035297557002</v>
      </c>
      <c r="F4238" s="38" t="n">
        <f aca="false">Sens!$F$4201</f>
        <v>14.9634336447205</v>
      </c>
      <c r="G4238" s="38" t="n">
        <f aca="false">Sens!$G$4201</f>
        <v>23.4737866202905</v>
      </c>
      <c r="H4238" s="38" t="n">
        <f aca="false">Sens!$H$4201</f>
        <v>60.1658907497746</v>
      </c>
      <c r="I4238" s="38" t="n">
        <f aca="false">Sens!$I$4201</f>
        <v>101.503699136432</v>
      </c>
      <c r="J4238" s="38" t="n">
        <f aca="false">Sens!$J$4201</f>
        <v>143.025407151278</v>
      </c>
      <c r="K4238" s="38" t="n">
        <f aca="false">Sens!$K$4201</f>
        <v>178.44812038318</v>
      </c>
      <c r="L4238" s="38" t="n">
        <f aca="false">Sens!$L$4201</f>
        <v>201.728101802396</v>
      </c>
      <c r="M4238" s="38" t="n">
        <f aca="false">Sens!$M$4201</f>
        <v>212.835441368865</v>
      </c>
      <c r="N4238" s="38" t="n">
        <f aca="false">Sens!$N$4201</f>
        <v>3.04631953102791</v>
      </c>
      <c r="O4238" s="38" t="n">
        <f aca="false">Sens!$O$4201</f>
        <v>5.65745055762326</v>
      </c>
      <c r="P4238" s="8" t="s">
        <v>686</v>
      </c>
    </row>
    <row r="4239" customFormat="false" ht="17.15" hidden="false" customHeight="false" outlineLevel="0" collapsed="false">
      <c r="A4239" s="0" t="s">
        <v>687</v>
      </c>
      <c r="B4239" s="0" t="s">
        <v>86</v>
      </c>
      <c r="C4239" s="38" t="n">
        <f aca="false">Sens!$C$4205</f>
        <v>105.234994643026</v>
      </c>
      <c r="D4239" s="38" t="n">
        <f aca="false">Sens!$D$4205</f>
        <v>120.021229911349</v>
      </c>
      <c r="E4239" s="38" t="n">
        <f aca="false">Sens!$E$4205</f>
        <v>71.30864702443</v>
      </c>
      <c r="F4239" s="38" t="n">
        <f aca="false">Sens!$F$4205</f>
        <v>71.7692997942464</v>
      </c>
      <c r="G4239" s="38" t="n">
        <f aca="false">Sens!$G$4205</f>
        <v>143.077946818676</v>
      </c>
      <c r="H4239" s="38" t="n">
        <f aca="false">Sens!$H$4205</f>
        <v>161.017077079203</v>
      </c>
      <c r="I4239" s="38" t="n">
        <f aca="false">Sens!$I$4205</f>
        <v>178.769759521457</v>
      </c>
      <c r="J4239" s="38" t="n">
        <f aca="false">Sens!$J$4205</f>
        <v>195.775538045907</v>
      </c>
      <c r="K4239" s="38" t="n">
        <f aca="false">Sens!$K$4205</f>
        <v>211.43758108958</v>
      </c>
      <c r="L4239" s="38" t="n">
        <f aca="false">Sens!$L$4205</f>
        <v>228.352587576746</v>
      </c>
      <c r="M4239" s="38" t="n">
        <f aca="false">Sens!$M$4205</f>
        <v>246.620794582886</v>
      </c>
      <c r="N4239" s="38" t="n">
        <f aca="false">Sens!$N$4205</f>
        <v>57.0936804689721</v>
      </c>
      <c r="O4239" s="38" t="n">
        <f aca="false">Sens!$O$4205</f>
        <v>62.9275494423768</v>
      </c>
      <c r="P4239" s="8" t="s">
        <v>686</v>
      </c>
    </row>
    <row r="4240" customFormat="false" ht="17.15" hidden="false" customHeight="false" outlineLevel="0" collapsed="false">
      <c r="A4240" s="1" t="s">
        <v>513</v>
      </c>
      <c r="B4240" s="8" t="s">
        <v>86</v>
      </c>
      <c r="C4240" s="38" t="n">
        <f aca="false">Q!$D$7</f>
        <v>107.556</v>
      </c>
      <c r="D4240" s="38" t="n">
        <f aca="false">Q!$E$7</f>
        <v>128.725</v>
      </c>
      <c r="E4240" s="38" t="n">
        <f aca="false">Q!$P$7</f>
        <v>79.819</v>
      </c>
      <c r="F4240" s="38" t="n">
        <f aca="false">Sens!$F$4238+Sens!$F$4239</f>
        <v>86.7327334389669</v>
      </c>
      <c r="G4240" s="38" t="n">
        <f aca="false">Sens!$G$4238+Sens!$G$4239</f>
        <v>166.551733438967</v>
      </c>
      <c r="H4240" s="38" t="n">
        <f aca="false">Sens!$H$4238+Sens!$H$4239</f>
        <v>221.182967828978</v>
      </c>
      <c r="I4240" s="38" t="n">
        <f aca="false">Sens!$I$4238+Sens!$I$4239</f>
        <v>280.27345865789</v>
      </c>
      <c r="J4240" s="38" t="n">
        <f aca="false">Sens!$J$4238+Sens!$J$4239</f>
        <v>338.800945197185</v>
      </c>
      <c r="K4240" s="38" t="n">
        <f aca="false">Sens!$K$4238+Sens!$K$4239</f>
        <v>389.88570147276</v>
      </c>
      <c r="L4240" s="38" t="n">
        <f aca="false">Sens!$L$4238+Sens!$L$4239</f>
        <v>430.080689379143</v>
      </c>
      <c r="M4240" s="38" t="n">
        <f aca="false">Sens!$M$4238+Sens!$M$4239</f>
        <v>459.456235951751</v>
      </c>
      <c r="N4240" s="38" t="n">
        <f aca="false">Q!$N$7</f>
        <v>60.14</v>
      </c>
      <c r="O4240" s="38" t="n">
        <f aca="false">Q!$O$7</f>
        <v>68.585</v>
      </c>
      <c r="P4240" s="5" t="s">
        <v>688</v>
      </c>
    </row>
    <row r="4241" customFormat="false" ht="15" hidden="false" customHeight="false" outlineLevel="0" collapsed="false">
      <c r="A4241" s="3" t="s">
        <v>689</v>
      </c>
      <c r="B4241" s="8" t="s">
        <v>86</v>
      </c>
      <c r="C4241" s="38" t="n">
        <f aca="false">Q!$D$8</f>
        <v>637.959</v>
      </c>
      <c r="D4241" s="38" t="n">
        <f aca="false">Q!$E$8</f>
        <v>716.924</v>
      </c>
      <c r="E4241" s="38" t="n">
        <f aca="false">Q!$P$8</f>
        <v>382.125</v>
      </c>
      <c r="F4241" s="38" t="n">
        <f aca="false">Sens!$F$4173+Sens!$F$4240</f>
        <v>435.780975084504</v>
      </c>
      <c r="G4241" s="38" t="n">
        <f aca="false">Sens!$G$4173+Sens!$G$4240</f>
        <v>817.905975084504</v>
      </c>
      <c r="H4241" s="38" t="n">
        <f aca="false">Sens!$H$4173+Sens!$H$4240</f>
        <v>942.903926515322</v>
      </c>
      <c r="I4241" s="38" t="n">
        <f aca="false">Sens!$I$4173+Sens!$I$4240</f>
        <v>1071.03897465614</v>
      </c>
      <c r="J4241" s="38" t="n">
        <f aca="false">Sens!$J$4173+Sens!$J$4240</f>
        <v>1195.11746934314</v>
      </c>
      <c r="K4241" s="38" t="n">
        <f aca="false">Sens!$K$4173+Sens!$K$4240</f>
        <v>1305.91179895921</v>
      </c>
      <c r="L4241" s="38" t="n">
        <f aca="false">Sens!$L$4173+Sens!$L$4240</f>
        <v>1410.66480646137</v>
      </c>
      <c r="M4241" s="38" t="n">
        <f aca="false">Sens!$M$4173+Sens!$M$4240</f>
        <v>1509.90599247663</v>
      </c>
      <c r="N4241" s="38" t="n">
        <f aca="false">Q!$N$8</f>
        <v>323.369</v>
      </c>
      <c r="O4241" s="38" t="n">
        <f aca="false">Q!$O$8</f>
        <v>393.555</v>
      </c>
    </row>
    <row r="4242" customFormat="false" ht="17.15" hidden="false" customHeight="false" outlineLevel="0" collapsed="false">
      <c r="A4242" s="24" t="s">
        <v>697</v>
      </c>
      <c r="B4242" s="25" t="s">
        <v>86</v>
      </c>
      <c r="C4242" s="41" t="n">
        <f aca="false">Sens!$C$4173-(Sens!$C$4175+Sens!$C$4176)</f>
        <v>0</v>
      </c>
      <c r="D4242" s="41" t="n">
        <f aca="false">Sens!$D$4173-(Sens!$D$4175+Sens!$D$4176)</f>
        <v>0</v>
      </c>
      <c r="E4242" s="41" t="n">
        <f aca="false">Sens!$E$4173-(Sens!$E$4175+Sens!$E$4176)</f>
        <v>0</v>
      </c>
      <c r="F4242" s="41" t="n">
        <f aca="false">Sens!$F$4173-(Sens!$F$4175+Sens!$F$4176)</f>
        <v>0</v>
      </c>
      <c r="G4242" s="41" t="n">
        <f aca="false">Sens!$G$4173-(Sens!$G$4175+Sens!$G$4176)</f>
        <v>0</v>
      </c>
      <c r="H4242" s="41" t="n">
        <f aca="false">Sens!$H$4173-(Sens!$H$4175+Sens!$H$4176)</f>
        <v>0</v>
      </c>
      <c r="I4242" s="41" t="n">
        <f aca="false">Sens!$I$4173-(Sens!$I$4175+Sens!$I$4176)</f>
        <v>0</v>
      </c>
      <c r="J4242" s="41" t="n">
        <f aca="false">Sens!$J$4173-(Sens!$J$4175+Sens!$J$4176)</f>
        <v>0</v>
      </c>
      <c r="K4242" s="41" t="n">
        <f aca="false">Sens!$K$4173-(Sens!$K$4175+Sens!$K$4176)</f>
        <v>0</v>
      </c>
      <c r="L4242" s="41" t="n">
        <f aca="false">Sens!$L$4173-(Sens!$L$4175+Sens!$L$4176)</f>
        <v>0</v>
      </c>
      <c r="M4242" s="41" t="n">
        <f aca="false">Sens!$M$4173-(Sens!$M$4175+Sens!$M$4176)</f>
        <v>0</v>
      </c>
      <c r="N4242" s="41" t="n">
        <f aca="false">Sens!$N$4173-(Sens!$N$4175+Sens!$N$4176)</f>
        <v>0</v>
      </c>
      <c r="O4242" s="41" t="n">
        <f aca="false">Sens!$O$4173-(Sens!$O$4175+Sens!$O$4176)</f>
        <v>0</v>
      </c>
    </row>
    <row r="4243" customFormat="false" ht="17.15" hidden="false" customHeight="false" outlineLevel="0" collapsed="false">
      <c r="A4243" s="24" t="s">
        <v>698</v>
      </c>
      <c r="B4243" s="25" t="s">
        <v>86</v>
      </c>
      <c r="C4243" s="41" t="n">
        <f aca="false">Sens!$C$4238+Sens!$C$4239-Sens!$C$4240</f>
        <v>0</v>
      </c>
      <c r="D4243" s="41" t="n">
        <f aca="false">Sens!$D$4238+Sens!$D$4239-Sens!$D$4240</f>
        <v>0</v>
      </c>
      <c r="E4243" s="41" t="n">
        <f aca="false">Sens!$E$4238+Sens!$E$4239-Sens!$E$4240</f>
        <v>0</v>
      </c>
      <c r="F4243" s="41" t="n">
        <f aca="false">Sens!$F$4238+Sens!$F$4239-Sens!$F$4240</f>
        <v>0</v>
      </c>
      <c r="G4243" s="41" t="n">
        <f aca="false">Sens!$G$4238+Sens!$G$4239-Sens!$G$4240</f>
        <v>0</v>
      </c>
      <c r="H4243" s="41" t="n">
        <f aca="false">Sens!$H$4238+Sens!$H$4239-Sens!$H$4240</f>
        <v>0</v>
      </c>
      <c r="I4243" s="41" t="n">
        <f aca="false">Sens!$I$4238+Sens!$I$4239-Sens!$I$4240</f>
        <v>0</v>
      </c>
      <c r="J4243" s="41" t="n">
        <f aca="false">Sens!$J$4238+Sens!$J$4239-Sens!$J$4240</f>
        <v>0</v>
      </c>
      <c r="K4243" s="41" t="n">
        <f aca="false">Sens!$K$4238+Sens!$K$4239-Sens!$K$4240</f>
        <v>0</v>
      </c>
      <c r="L4243" s="41" t="n">
        <f aca="false">Sens!$L$4238+Sens!$L$4239-Sens!$L$4240</f>
        <v>0</v>
      </c>
      <c r="M4243" s="41" t="n">
        <f aca="false">Sens!$M$4238+Sens!$M$4239-Sens!$M$4240</f>
        <v>0</v>
      </c>
      <c r="N4243" s="41" t="n">
        <f aca="false">Sens!$N$4238+Sens!$N$4239-Sens!$N$4240</f>
        <v>0</v>
      </c>
      <c r="O4243" s="41" t="n">
        <f aca="false">Sens!$O$4238+Sens!$O$4239-Sens!$O$4240</f>
        <v>0</v>
      </c>
    </row>
    <row r="4244" customFormat="false" ht="17.15" hidden="false" customHeight="false" outlineLevel="0" collapsed="false">
      <c r="A4244" s="24" t="s">
        <v>699</v>
      </c>
      <c r="B4244" s="25" t="s">
        <v>86</v>
      </c>
      <c r="C4244" s="41" t="n">
        <f aca="false">Sens!$C$4175+Sens!$C$4176+Sens!$C$4240-Sens!$C$4241</f>
        <v>0</v>
      </c>
      <c r="D4244" s="41" t="n">
        <f aca="false">Sens!$D$4175+Sens!$D$4176+Sens!$D$4240-Sens!$D$4241</f>
        <v>0</v>
      </c>
      <c r="E4244" s="41" t="n">
        <f aca="false">Sens!$E$4175+Sens!$E$4176+Sens!$E$4240-Sens!$E$4241</f>
        <v>0</v>
      </c>
      <c r="F4244" s="41" t="n">
        <f aca="false">Sens!$F$4175+Sens!$F$4176+Sens!$F$4240-Sens!$F$4241</f>
        <v>0</v>
      </c>
      <c r="G4244" s="41" t="n">
        <f aca="false">Sens!$G$4175+Sens!$G$4176+Sens!$G$4240-Sens!$G$4241</f>
        <v>0</v>
      </c>
      <c r="H4244" s="41" t="n">
        <f aca="false">Sens!$H$4175+Sens!$H$4176+Sens!$H$4240-Sens!$H$4241</f>
        <v>0</v>
      </c>
      <c r="I4244" s="41" t="n">
        <f aca="false">Sens!$I$4175+Sens!$I$4176+Sens!$I$4240-Sens!$I$4241</f>
        <v>0</v>
      </c>
      <c r="J4244" s="41" t="n">
        <f aca="false">Sens!$J$4175+Sens!$J$4176+Sens!$J$4240-Sens!$J$4241</f>
        <v>0</v>
      </c>
      <c r="K4244" s="41" t="n">
        <f aca="false">Sens!$K$4175+Sens!$K$4176+Sens!$K$4240-Sens!$K$4241</f>
        <v>0</v>
      </c>
      <c r="L4244" s="41" t="n">
        <f aca="false">Sens!$L$4175+Sens!$L$4176+Sens!$L$4240-Sens!$L$4241</f>
        <v>0</v>
      </c>
      <c r="M4244" s="41" t="n">
        <f aca="false">Sens!$M$4175+Sens!$M$4176+Sens!$M$4240-Sens!$M$4241</f>
        <v>0</v>
      </c>
      <c r="N4244" s="41" t="n">
        <f aca="false">Sens!$N$4175+Sens!$N$4176+Sens!$N$4240-Sens!$N$4241</f>
        <v>0</v>
      </c>
      <c r="O4244" s="41" t="n">
        <f aca="false">Sens!$O$4175+Sens!$O$4176+Sens!$O$4240-Sens!$O$4241</f>
        <v>0</v>
      </c>
    </row>
    <row r="4245" customFormat="false" ht="15" hidden="false" customHeight="false" outlineLevel="0" collapsed="false">
      <c r="A4245" s="5" t="s">
        <v>693</v>
      </c>
      <c r="B4245" s="0" t="s">
        <v>52</v>
      </c>
      <c r="G4245" s="13" t="n">
        <f aca="false">Sens!$G$4241/Sens!$D$4241-1</f>
        <v>0.140854504918937</v>
      </c>
      <c r="H4245" s="13" t="n">
        <f aca="false">Sens!$H$4241/Sens!$G$4241-1</f>
        <v>0.152826798236684</v>
      </c>
      <c r="I4245" s="13" t="n">
        <f aca="false">Sens!$I$4241/Sens!$H$4241-1</f>
        <v>0.135894065702285</v>
      </c>
      <c r="J4245" s="13" t="n">
        <f aca="false">Sens!$J$4241/Sens!$I$4241-1</f>
        <v>0.11584872037625</v>
      </c>
      <c r="K4245" s="13" t="n">
        <f aca="false">Sens!$K$4241/Sens!$J$4241-1</f>
        <v>0.0927058071345566</v>
      </c>
      <c r="L4245" s="13" t="n">
        <f aca="false">Sens!$L$4241/Sens!$K$4241-1</f>
        <v>0.0802144582701929</v>
      </c>
      <c r="M4245" s="13" t="n">
        <f aca="false">Sens!$M$4241/Sens!$L$4241-1</f>
        <v>0.0703506499635493</v>
      </c>
    </row>
    <row r="4246" customFormat="false" ht="17.15" hidden="false" customHeight="false" outlineLevel="0" collapsed="false">
      <c r="A4246" s="0" t="s">
        <v>694</v>
      </c>
      <c r="B4246" s="0" t="s">
        <v>52</v>
      </c>
      <c r="C4246" s="13" t="n">
        <f aca="false">Sens!$C$4240/Sens!$C$4241</f>
        <v>0.168593906504964</v>
      </c>
      <c r="D4246" s="13" t="n">
        <f aca="false">Sens!$D$4240/Sens!$D$4241</f>
        <v>0.179551807444025</v>
      </c>
      <c r="E4246" s="13" t="n">
        <f aca="false">Sens!$E$4240/Sens!$E$4241</f>
        <v>0.208881910369643</v>
      </c>
      <c r="F4246" s="13" t="n">
        <f aca="false">Sens!$F$4240/Sens!$F$4241</f>
        <v>0.199028269699356</v>
      </c>
      <c r="G4246" s="13" t="n">
        <f aca="false">Sens!$G$4240/Sens!$G$4241</f>
        <v>0.203631882529968</v>
      </c>
      <c r="H4246" s="13" t="n">
        <f aca="false">Sens!$H$4240/Sens!$H$4241</f>
        <v>0.234576356730638</v>
      </c>
      <c r="I4246" s="13" t="n">
        <f aca="false">Sens!$I$4240/Sens!$I$4241</f>
        <v>0.261683715803034</v>
      </c>
      <c r="J4246" s="13" t="n">
        <f aca="false">Sens!$J$4240/Sens!$J$4241</f>
        <v>0.283487568283473</v>
      </c>
      <c r="K4246" s="13" t="n">
        <f aca="false">Sens!$K$4240/Sens!$K$4241</f>
        <v>0.298554390720333</v>
      </c>
      <c r="L4246" s="13" t="n">
        <f aca="false">Sens!$L$4240/Sens!$L$4241</f>
        <v>0.304878017378198</v>
      </c>
      <c r="M4246" s="13" t="n">
        <f aca="false">Sens!$M$4240/Sens!$M$4241</f>
        <v>0.304294597306766</v>
      </c>
      <c r="N4246" s="13" t="n">
        <f aca="false">Sens!$N$4240/Sens!$N$4241</f>
        <v>0.185979484737251</v>
      </c>
      <c r="O4246" s="13" t="n">
        <f aca="false">Sens!$O$4240/Sens!$O$4241</f>
        <v>0.174270432341096</v>
      </c>
    </row>
    <row r="4247" customFormat="false" ht="17.15" hidden="false" customHeight="false" outlineLevel="0" collapsed="false">
      <c r="A4247" s="0" t="s">
        <v>695</v>
      </c>
      <c r="B4247" s="0" t="s">
        <v>52</v>
      </c>
      <c r="C4247" s="13" t="n">
        <f aca="false">Sens!$C$4238/Sens!$C$4240</f>
        <v>0.0215795060896058</v>
      </c>
      <c r="D4247" s="13" t="n">
        <f aca="false">Sens!$D$4238/Sens!$D$4240</f>
        <v>0.0676152269462122</v>
      </c>
      <c r="E4247" s="13" t="n">
        <f aca="false">Sens!$E$4238/Sens!$E$4240</f>
        <v>0.106620641395783</v>
      </c>
      <c r="F4247" s="13" t="n">
        <f aca="false">Sens!$F$4238/Sens!$F$4240</f>
        <v>0.172523487401099</v>
      </c>
      <c r="G4247" s="13" t="n">
        <f aca="false">Sens!$G$4238/Sens!$G$4240</f>
        <v>0.140939911795589</v>
      </c>
      <c r="H4247" s="13" t="n">
        <f aca="false">Sens!$H$4238/Sens!$H$4240</f>
        <v>0.272018642937714</v>
      </c>
      <c r="I4247" s="13" t="n">
        <f aca="false">Sens!$I$4238/Sens!$I$4240</f>
        <v>0.362159512436497</v>
      </c>
      <c r="J4247" s="13" t="n">
        <f aca="false">Sens!$J$4238/Sens!$J$4240</f>
        <v>0.422151735934609</v>
      </c>
      <c r="K4247" s="13" t="n">
        <f aca="false">Sens!$K$4238/Sens!$K$4240</f>
        <v>0.45769342068485</v>
      </c>
      <c r="L4247" s="13" t="n">
        <f aca="false">Sens!$L$4238/Sens!$L$4240</f>
        <v>0.469047103913472</v>
      </c>
      <c r="M4247" s="13" t="n">
        <f aca="false">Sens!$M$4238/Sens!$M$4240</f>
        <v>0.463233328258093</v>
      </c>
      <c r="N4247" s="13" t="n">
        <f aca="false">Sens!$N$4238/Sens!$N$4240</f>
        <v>0.0506537999838362</v>
      </c>
      <c r="O4247" s="13" t="n">
        <f aca="false">Sens!$O$4238/Sens!$O$4240</f>
        <v>0.0824881615167056</v>
      </c>
    </row>
    <row r="4250" customFormat="false" ht="19.4" hidden="false" customHeight="false" outlineLevel="0" collapsed="false">
      <c r="A4250" s="31" t="s">
        <v>1214</v>
      </c>
    </row>
    <row r="4251" customFormat="false" ht="17.15" hidden="false" customHeight="false" outlineLevel="0" collapsed="false">
      <c r="A4251" s="6" t="s">
        <v>16</v>
      </c>
      <c r="B4251" s="6" t="s">
        <v>17</v>
      </c>
      <c r="C4251" s="20" t="s">
        <v>494</v>
      </c>
      <c r="D4251" s="20" t="s">
        <v>495</v>
      </c>
      <c r="E4251" s="20" t="s">
        <v>577</v>
      </c>
      <c r="F4251" s="20" t="s">
        <v>578</v>
      </c>
      <c r="G4251" s="20" t="s">
        <v>579</v>
      </c>
      <c r="H4251" s="20" t="s">
        <v>580</v>
      </c>
      <c r="I4251" s="20" t="s">
        <v>581</v>
      </c>
      <c r="J4251" s="20" t="s">
        <v>582</v>
      </c>
      <c r="K4251" s="20" t="s">
        <v>583</v>
      </c>
      <c r="L4251" s="20" t="s">
        <v>584</v>
      </c>
      <c r="M4251" s="20" t="s">
        <v>585</v>
      </c>
      <c r="N4251" s="20" t="s">
        <v>586</v>
      </c>
      <c r="O4251" s="20" t="s">
        <v>587</v>
      </c>
      <c r="P4251" s="6" t="s">
        <v>23</v>
      </c>
      <c r="R4251" s="20" t="n">
        <v>2023</v>
      </c>
      <c r="S4251" s="20" t="n">
        <v>2024</v>
      </c>
      <c r="T4251" s="20" t="n">
        <v>2025</v>
      </c>
      <c r="U4251" s="20" t="n">
        <v>2026</v>
      </c>
      <c r="V4251" s="20" t="n">
        <v>2027</v>
      </c>
      <c r="W4251" s="20" t="n">
        <v>2028</v>
      </c>
      <c r="X4251" s="20" t="n">
        <v>2029</v>
      </c>
      <c r="Y4251" s="20" t="n">
        <v>2030</v>
      </c>
      <c r="Z4251" s="20" t="n">
        <v>2031</v>
      </c>
      <c r="AA4251" s="20" t="n">
        <v>2032</v>
      </c>
    </row>
    <row r="4252" customFormat="false" ht="17.15" hidden="false" customHeight="false" outlineLevel="0" collapsed="false">
      <c r="A4252" s="1" t="s">
        <v>710</v>
      </c>
    </row>
    <row r="4253" customFormat="false" ht="15" hidden="false" customHeight="false" outlineLevel="0" collapsed="false">
      <c r="A4253" s="0" t="s">
        <v>516</v>
      </c>
      <c r="B4253" s="0" t="s">
        <v>86</v>
      </c>
      <c r="C4253" s="38" t="n">
        <f aca="false">Sens!$C$4160</f>
        <v>247.029</v>
      </c>
      <c r="D4253" s="38" t="n">
        <f aca="false">Sens!$D$4160</f>
        <v>269.287</v>
      </c>
      <c r="E4253" s="38" t="n">
        <f aca="false">Sens!$E$4160</f>
        <v>134.686</v>
      </c>
      <c r="F4253" s="38" t="n">
        <f aca="false">Sens!$F$4160</f>
        <v>158.293876822267</v>
      </c>
      <c r="G4253" s="38" t="n">
        <f aca="false">Sens!$G$4160</f>
        <v>292.979876822267</v>
      </c>
      <c r="H4253" s="38" t="n">
        <f aca="false">Sens!$H$4160</f>
        <v>318.184543087396</v>
      </c>
      <c r="I4253" s="38" t="n">
        <f aca="false">Sens!$I$4160</f>
        <v>341.736278761793</v>
      </c>
      <c r="J4253" s="38" t="n">
        <f aca="false">Sens!$J$4160</f>
        <v>362.927192787048</v>
      </c>
      <c r="K4253" s="38" t="n">
        <f aca="false">Sens!$K$4160</f>
        <v>381.0735524264</v>
      </c>
      <c r="L4253" s="38" t="n">
        <f aca="false">Sens!$L$4160</f>
        <v>400.12723004772</v>
      </c>
      <c r="M4253" s="38" t="n">
        <f aca="false">Sens!$M$4160</f>
        <v>420.133591550106</v>
      </c>
      <c r="N4253" s="38" t="n">
        <f aca="false">Sens!$N$4160</f>
        <v>118.892</v>
      </c>
      <c r="O4253" s="38" t="n">
        <f aca="false">Sens!$O$4160</f>
        <v>150.395</v>
      </c>
    </row>
    <row r="4254" customFormat="false" ht="15" hidden="false" customHeight="false" outlineLevel="0" collapsed="false">
      <c r="A4254" s="0" t="s">
        <v>517</v>
      </c>
      <c r="B4254" s="0" t="s">
        <v>86</v>
      </c>
      <c r="C4254" s="38" t="n">
        <f aca="false">Sens!$C$4162</f>
        <v>21.215</v>
      </c>
      <c r="D4254" s="38" t="n">
        <f aca="false">Sens!$D$4162</f>
        <v>22.561</v>
      </c>
      <c r="E4254" s="38" t="n">
        <f aca="false">Sens!$E$4162</f>
        <v>11.579</v>
      </c>
      <c r="F4254" s="38" t="n">
        <f aca="false">Sens!$F$4162</f>
        <v>11.5938724610325</v>
      </c>
      <c r="G4254" s="38" t="n">
        <f aca="false">Sens!$G$4162</f>
        <v>23.1728724610325</v>
      </c>
      <c r="H4254" s="38" t="n">
        <f aca="false">Sens!$H$4162</f>
        <v>24.353392759506</v>
      </c>
      <c r="I4254" s="38" t="n">
        <f aca="false">Sens!$I$4162</f>
        <v>25.4240338872015</v>
      </c>
      <c r="J4254" s="38" t="n">
        <f aca="false">Sens!$J$4162</f>
        <v>26.3642491017174</v>
      </c>
      <c r="K4254" s="38" t="n">
        <f aca="false">Sens!$K$4162</f>
        <v>27.155176574769</v>
      </c>
      <c r="L4254" s="38" t="n">
        <f aca="false">Sens!$L$4162</f>
        <v>27.969831872012</v>
      </c>
      <c r="M4254" s="38" t="n">
        <f aca="false">Sens!$M$4162</f>
        <v>28.8089268281724</v>
      </c>
      <c r="N4254" s="38" t="n">
        <f aca="false">Sens!$N$4162</f>
        <v>11.128</v>
      </c>
      <c r="O4254" s="38" t="n">
        <f aca="false">Sens!$O$4162</f>
        <v>11.433</v>
      </c>
    </row>
    <row r="4255" customFormat="false" ht="15" hidden="false" customHeight="false" outlineLevel="0" collapsed="false">
      <c r="A4255" s="0" t="s">
        <v>518</v>
      </c>
      <c r="B4255" s="0" t="s">
        <v>86</v>
      </c>
      <c r="C4255" s="38" t="n">
        <f aca="false">Sens!$C$4164</f>
        <v>156.146</v>
      </c>
      <c r="D4255" s="38" t="n">
        <f aca="false">Sens!$D$4164</f>
        <v>172.162</v>
      </c>
      <c r="E4255" s="38" t="n">
        <f aca="false">Sens!$E$4164</f>
        <v>88.358</v>
      </c>
      <c r="F4255" s="38" t="n">
        <f aca="false">Sens!$F$4164</f>
        <v>102.004388260171</v>
      </c>
      <c r="G4255" s="38" t="n">
        <f aca="false">Sens!$G$4164</f>
        <v>190.362388260171</v>
      </c>
      <c r="H4255" s="38" t="n">
        <f aca="false">Sens!$H$4164</f>
        <v>210.343106588311</v>
      </c>
      <c r="I4255" s="38" t="n">
        <f aca="false">Sens!$I$4164</f>
        <v>229.969728494648</v>
      </c>
      <c r="J4255" s="38" t="n">
        <f aca="false">Sens!$J$4164</f>
        <v>248.747636972598</v>
      </c>
      <c r="K4255" s="38" t="n">
        <f aca="false">Sens!$K$4164</f>
        <v>266.15997156068</v>
      </c>
      <c r="L4255" s="38" t="n">
        <f aca="false">Sens!$L$4164</f>
        <v>284.791169569927</v>
      </c>
      <c r="M4255" s="38" t="n">
        <f aca="false">Sens!$M$4164</f>
        <v>304.726551439822</v>
      </c>
      <c r="N4255" s="38" t="n">
        <f aca="false">Sens!$N$4164</f>
        <v>76.86</v>
      </c>
      <c r="O4255" s="38" t="n">
        <f aca="false">Sens!$O$4164</f>
        <v>95.302</v>
      </c>
    </row>
    <row r="4256" customFormat="false" ht="15" hidden="false" customHeight="false" outlineLevel="0" collapsed="false">
      <c r="A4256" s="0" t="s">
        <v>519</v>
      </c>
      <c r="B4256" s="0" t="s">
        <v>86</v>
      </c>
      <c r="C4256" s="38" t="n">
        <f aca="false">Sens!$C$4166</f>
        <v>56.214</v>
      </c>
      <c r="D4256" s="38" t="n">
        <f aca="false">Sens!$D$4166</f>
        <v>68.635</v>
      </c>
      <c r="E4256" s="38" t="n">
        <f aca="false">Sens!$E$4166</f>
        <v>37.052</v>
      </c>
      <c r="F4256" s="38" t="n">
        <f aca="false">Sens!$F$4166</f>
        <v>46.1572219944148</v>
      </c>
      <c r="G4256" s="38" t="n">
        <f aca="false">Sens!$G$4166</f>
        <v>83.2092219944148</v>
      </c>
      <c r="H4256" s="38" t="n">
        <f aca="false">Sens!$H$4166</f>
        <v>100.520991552856</v>
      </c>
      <c r="I4256" s="38" t="n">
        <f aca="false">Sens!$I$4166</f>
        <v>118.819235941213</v>
      </c>
      <c r="J4256" s="38" t="n">
        <f aca="false">Sens!$J$4166</f>
        <v>137.357060346466</v>
      </c>
      <c r="K4256" s="38" t="n">
        <f aca="false">Sens!$K$4166</f>
        <v>155.213478191507</v>
      </c>
      <c r="L4256" s="38" t="n">
        <f aca="false">Sens!$L$4166</f>
        <v>175.391230356402</v>
      </c>
      <c r="M4256" s="38" t="n">
        <f aca="false">Sens!$M$4166</f>
        <v>198.192090302735</v>
      </c>
      <c r="N4256" s="38" t="n">
        <f aca="false">Sens!$N$4166</f>
        <v>29.615</v>
      </c>
      <c r="O4256" s="38" t="n">
        <f aca="false">Sens!$O$4166</f>
        <v>39.02</v>
      </c>
    </row>
    <row r="4257" customFormat="false" ht="15" hidden="false" customHeight="false" outlineLevel="0" collapsed="false">
      <c r="A4257" s="0" t="s">
        <v>520</v>
      </c>
      <c r="B4257" s="0" t="s">
        <v>86</v>
      </c>
      <c r="C4257" s="38" t="n">
        <f aca="false">Sens!$C$4168</f>
        <v>44.374</v>
      </c>
      <c r="D4257" s="38" t="n">
        <f aca="false">Sens!$D$4168</f>
        <v>49.619</v>
      </c>
      <c r="E4257" s="38" t="n">
        <f aca="false">Sens!$E$4168</f>
        <v>27.157</v>
      </c>
      <c r="F4257" s="38" t="n">
        <f aca="false">Sens!$F$4168</f>
        <v>27.7764165988154</v>
      </c>
      <c r="G4257" s="38" t="n">
        <f aca="false">Sens!$G$4168</f>
        <v>54.9334165988154</v>
      </c>
      <c r="H4257" s="38" t="n">
        <f aca="false">Sens!$H$4168</f>
        <v>61.1564112561829</v>
      </c>
      <c r="I4257" s="38" t="n">
        <f aca="false">Sens!$I$4168</f>
        <v>67.2020282103945</v>
      </c>
      <c r="J4257" s="38" t="n">
        <f aca="false">Sens!$J$4168</f>
        <v>72.8757274028885</v>
      </c>
      <c r="K4257" s="38" t="n">
        <f aca="false">Sens!$K$4168</f>
        <v>77.9770283210907</v>
      </c>
      <c r="L4257" s="38" t="n">
        <f aca="false">Sens!$L$4168</f>
        <v>83.4354203035671</v>
      </c>
      <c r="M4257" s="38" t="n">
        <f aca="false">Sens!$M$4168</f>
        <v>89.2758997248168</v>
      </c>
      <c r="N4257" s="38" t="n">
        <f aca="false">Sens!$N$4168</f>
        <v>23.923</v>
      </c>
      <c r="O4257" s="38" t="n">
        <f aca="false">Sens!$O$4168</f>
        <v>25.696</v>
      </c>
    </row>
    <row r="4258" customFormat="false" ht="15" hidden="false" customHeight="false" outlineLevel="0" collapsed="false">
      <c r="A4258" s="0" t="s">
        <v>521</v>
      </c>
      <c r="B4258" s="0" t="s">
        <v>86</v>
      </c>
      <c r="C4258" s="38" t="n">
        <f aca="false">Sens!$C$4170</f>
        <v>5.425</v>
      </c>
      <c r="D4258" s="38" t="n">
        <f aca="false">Sens!$D$4170</f>
        <v>5.935</v>
      </c>
      <c r="E4258" s="38" t="n">
        <f aca="false">Sens!$E$4170</f>
        <v>3.474</v>
      </c>
      <c r="F4258" s="38" t="n">
        <f aca="false">Sens!$F$4170</f>
        <v>3.22246550883619</v>
      </c>
      <c r="G4258" s="38" t="n">
        <f aca="false">Sens!$G$4170</f>
        <v>6.69646550883619</v>
      </c>
      <c r="H4258" s="38" t="n">
        <f aca="false">Sens!$H$4170</f>
        <v>7.16251344209196</v>
      </c>
      <c r="I4258" s="38" t="n">
        <f aca="false">Sens!$I$4170</f>
        <v>7.61421070299826</v>
      </c>
      <c r="J4258" s="38" t="n">
        <f aca="false">Sens!$J$4170</f>
        <v>8.04465753523932</v>
      </c>
      <c r="K4258" s="38" t="n">
        <f aca="false">Sens!$K$4170</f>
        <v>8.44689041200128</v>
      </c>
      <c r="L4258" s="38" t="n">
        <f aca="false">Sens!$L$4170</f>
        <v>8.86923493260135</v>
      </c>
      <c r="M4258" s="38" t="n">
        <f aca="false">Sens!$M$4170</f>
        <v>9.31269667923142</v>
      </c>
      <c r="N4258" s="38" t="n">
        <f aca="false">Sens!$N$4170</f>
        <v>2.811</v>
      </c>
      <c r="O4258" s="38" t="n">
        <f aca="false">Sens!$O$4170</f>
        <v>3.124</v>
      </c>
    </row>
    <row r="4259" customFormat="false" ht="17.15" hidden="false" customHeight="false" outlineLevel="0" collapsed="false">
      <c r="A4259" s="0" t="s">
        <v>711</v>
      </c>
      <c r="B4259" s="0" t="s">
        <v>86</v>
      </c>
      <c r="C4259" s="38" t="n">
        <f aca="false">Sens!$C$4240</f>
        <v>107.556</v>
      </c>
      <c r="D4259" s="38" t="n">
        <f aca="false">Sens!$D$4240</f>
        <v>128.725</v>
      </c>
      <c r="E4259" s="38" t="n">
        <f aca="false">Sens!$E$4240</f>
        <v>79.819</v>
      </c>
      <c r="F4259" s="38" t="n">
        <f aca="false">Sens!$F$4240</f>
        <v>86.7327334389669</v>
      </c>
      <c r="G4259" s="38" t="n">
        <f aca="false">Sens!$G$4240</f>
        <v>166.551733438967</v>
      </c>
      <c r="H4259" s="38" t="n">
        <f aca="false">Sens!$H$4240</f>
        <v>221.182967828978</v>
      </c>
      <c r="I4259" s="38" t="n">
        <f aca="false">Sens!$I$4240</f>
        <v>280.27345865789</v>
      </c>
      <c r="J4259" s="38" t="n">
        <f aca="false">Sens!$J$4240</f>
        <v>338.800945197185</v>
      </c>
      <c r="K4259" s="38" t="n">
        <f aca="false">Sens!$K$4240</f>
        <v>389.88570147276</v>
      </c>
      <c r="L4259" s="38" t="n">
        <f aca="false">Sens!$L$4240</f>
        <v>430.080689379143</v>
      </c>
      <c r="M4259" s="38" t="n">
        <f aca="false">Sens!$M$4240</f>
        <v>459.456235951751</v>
      </c>
      <c r="N4259" s="38" t="n">
        <f aca="false">Sens!$N$4240</f>
        <v>60.14</v>
      </c>
      <c r="O4259" s="38" t="n">
        <f aca="false">Sens!$O$4240</f>
        <v>68.585</v>
      </c>
    </row>
    <row r="4260" customFormat="false" ht="15" hidden="false" customHeight="false" outlineLevel="0" collapsed="false">
      <c r="A4260" s="1" t="s">
        <v>509</v>
      </c>
      <c r="B4260" s="8" t="s">
        <v>86</v>
      </c>
      <c r="C4260" s="38" t="n">
        <f aca="false">Sens!$C$4175</f>
        <v>387.497</v>
      </c>
      <c r="D4260" s="38" t="n">
        <f aca="false">Sens!$D$4175</f>
        <v>426.305</v>
      </c>
      <c r="E4260" s="38" t="n">
        <f aca="false">Sens!$E$4175</f>
        <v>220.32</v>
      </c>
      <c r="F4260" s="38" t="n">
        <f aca="false">Sens!$F$4175</f>
        <v>250.639773480586</v>
      </c>
      <c r="G4260" s="38" t="n">
        <f aca="false">Sens!$G$4175</f>
        <v>470.959773480586</v>
      </c>
      <c r="H4260" s="38" t="n">
        <f aca="false">Sens!$H$4175</f>
        <v>521.838221795268</v>
      </c>
      <c r="I4260" s="38" t="n">
        <f aca="false">Sens!$I$4175</f>
        <v>571.760686396914</v>
      </c>
      <c r="J4260" s="38" t="n">
        <f aca="false">Sens!$J$4175</f>
        <v>619.157150524754</v>
      </c>
      <c r="K4260" s="38" t="n">
        <f aca="false">Sens!$K$4175</f>
        <v>662.329982352819</v>
      </c>
      <c r="L4260" s="38" t="n">
        <f aca="false">Sens!$L$4175</f>
        <v>709.008469021416</v>
      </c>
      <c r="M4260" s="38" t="n">
        <f aca="false">Sens!$M$4175</f>
        <v>759.524614648812</v>
      </c>
      <c r="N4260" s="38" t="n">
        <f aca="false">Sens!$N$4175</f>
        <v>192.955</v>
      </c>
      <c r="O4260" s="38" t="n">
        <f aca="false">Sens!$O$4175</f>
        <v>233.35</v>
      </c>
    </row>
    <row r="4261" customFormat="false" ht="15" hidden="false" customHeight="false" outlineLevel="0" collapsed="false">
      <c r="A4261" s="1" t="s">
        <v>512</v>
      </c>
      <c r="B4261" s="8" t="s">
        <v>86</v>
      </c>
      <c r="C4261" s="38" t="n">
        <f aca="false">Sens!$C$4176</f>
        <v>142.906</v>
      </c>
      <c r="D4261" s="38" t="n">
        <f aca="false">Sens!$D$4176</f>
        <v>161.894</v>
      </c>
      <c r="E4261" s="38" t="n">
        <f aca="false">Sens!$E$4176</f>
        <v>81.986</v>
      </c>
      <c r="F4261" s="38" t="n">
        <f aca="false">Sens!$F$4176</f>
        <v>98.408468164951</v>
      </c>
      <c r="G4261" s="38" t="n">
        <f aca="false">Sens!$G$4176</f>
        <v>180.394468164951</v>
      </c>
      <c r="H4261" s="38" t="n">
        <f aca="false">Sens!$H$4176</f>
        <v>199.882736891077</v>
      </c>
      <c r="I4261" s="38" t="n">
        <f aca="false">Sens!$I$4176</f>
        <v>219.004829601334</v>
      </c>
      <c r="J4261" s="38" t="n">
        <f aca="false">Sens!$J$4176</f>
        <v>237.159373621203</v>
      </c>
      <c r="K4261" s="38" t="n">
        <f aca="false">Sens!$K$4176</f>
        <v>253.696115133628</v>
      </c>
      <c r="L4261" s="38" t="n">
        <f aca="false">Sens!$L$4176</f>
        <v>271.575648060814</v>
      </c>
      <c r="M4261" s="38" t="n">
        <f aca="false">Sens!$M$4176</f>
        <v>290.925141876071</v>
      </c>
      <c r="N4261" s="38" t="n">
        <f aca="false">Sens!$N$4176</f>
        <v>70.274</v>
      </c>
      <c r="O4261" s="38" t="n">
        <f aca="false">Sens!$O$4176</f>
        <v>91.62</v>
      </c>
    </row>
    <row r="4262" customFormat="false" ht="15" hidden="false" customHeight="false" outlineLevel="0" collapsed="false">
      <c r="A4262" s="1" t="s">
        <v>513</v>
      </c>
      <c r="B4262" s="8" t="s">
        <v>86</v>
      </c>
      <c r="C4262" s="38" t="n">
        <f aca="false">Sens!$C$4240</f>
        <v>107.556</v>
      </c>
      <c r="D4262" s="38" t="n">
        <f aca="false">Sens!$D$4240</f>
        <v>128.725</v>
      </c>
      <c r="E4262" s="38" t="n">
        <f aca="false">Sens!$E$4240</f>
        <v>79.819</v>
      </c>
      <c r="F4262" s="38" t="n">
        <f aca="false">Sens!$F$4240</f>
        <v>86.7327334389669</v>
      </c>
      <c r="G4262" s="38" t="n">
        <f aca="false">Sens!$G$4240</f>
        <v>166.551733438967</v>
      </c>
      <c r="H4262" s="38" t="n">
        <f aca="false">Sens!$H$4240</f>
        <v>221.182967828978</v>
      </c>
      <c r="I4262" s="38" t="n">
        <f aca="false">Sens!$I$4240</f>
        <v>280.27345865789</v>
      </c>
      <c r="J4262" s="38" t="n">
        <f aca="false">Sens!$J$4240</f>
        <v>338.800945197185</v>
      </c>
      <c r="K4262" s="38" t="n">
        <f aca="false">Sens!$K$4240</f>
        <v>389.88570147276</v>
      </c>
      <c r="L4262" s="38" t="n">
        <f aca="false">Sens!$L$4240</f>
        <v>430.080689379143</v>
      </c>
      <c r="M4262" s="38" t="n">
        <f aca="false">Sens!$M$4240</f>
        <v>459.456235951751</v>
      </c>
      <c r="N4262" s="38" t="n">
        <f aca="false">Sens!$N$4240</f>
        <v>60.14</v>
      </c>
      <c r="O4262" s="38" t="n">
        <f aca="false">Sens!$O$4240</f>
        <v>68.585</v>
      </c>
    </row>
    <row r="4263" customFormat="false" ht="17.15" hidden="false" customHeight="false" outlineLevel="0" collapsed="false">
      <c r="A4263" s="0" t="s">
        <v>685</v>
      </c>
      <c r="B4263" s="0" t="s">
        <v>86</v>
      </c>
      <c r="C4263" s="38" t="n">
        <f aca="false">Sens!$C$4238</f>
        <v>2.32100535697364</v>
      </c>
      <c r="D4263" s="38" t="n">
        <f aca="false">Sens!$D$4238</f>
        <v>8.70377008865116</v>
      </c>
      <c r="E4263" s="38" t="n">
        <f aca="false">Sens!$E$4238</f>
        <v>8.51035297557002</v>
      </c>
      <c r="F4263" s="38" t="n">
        <f aca="false">Sens!$F$4238</f>
        <v>14.9634336447205</v>
      </c>
      <c r="G4263" s="38" t="n">
        <f aca="false">Sens!$G$4238</f>
        <v>23.4737866202905</v>
      </c>
      <c r="H4263" s="38" t="n">
        <f aca="false">Sens!$H$4238</f>
        <v>60.1658907497746</v>
      </c>
      <c r="I4263" s="38" t="n">
        <f aca="false">Sens!$I$4238</f>
        <v>101.503699136432</v>
      </c>
      <c r="J4263" s="38" t="n">
        <f aca="false">Sens!$J$4238</f>
        <v>143.025407151278</v>
      </c>
      <c r="K4263" s="38" t="n">
        <f aca="false">Sens!$K$4238</f>
        <v>178.44812038318</v>
      </c>
      <c r="L4263" s="38" t="n">
        <f aca="false">Sens!$L$4238</f>
        <v>201.728101802396</v>
      </c>
      <c r="M4263" s="38" t="n">
        <f aca="false">Sens!$M$4238</f>
        <v>212.835441368865</v>
      </c>
      <c r="N4263" s="38" t="n">
        <f aca="false">Sens!$N$4238</f>
        <v>3.04631953102791</v>
      </c>
      <c r="O4263" s="38" t="n">
        <f aca="false">Sens!$O$4238</f>
        <v>5.65745055762326</v>
      </c>
    </row>
    <row r="4264" customFormat="false" ht="17.15" hidden="false" customHeight="false" outlineLevel="0" collapsed="false">
      <c r="A4264" s="0" t="s">
        <v>687</v>
      </c>
      <c r="B4264" s="0" t="s">
        <v>86</v>
      </c>
      <c r="C4264" s="38" t="n">
        <f aca="false">Sens!$C$4239</f>
        <v>105.234994643026</v>
      </c>
      <c r="D4264" s="38" t="n">
        <f aca="false">Sens!$D$4239</f>
        <v>120.021229911349</v>
      </c>
      <c r="E4264" s="38" t="n">
        <f aca="false">Sens!$E$4239</f>
        <v>71.30864702443</v>
      </c>
      <c r="F4264" s="38" t="n">
        <f aca="false">Sens!$F$4239</f>
        <v>71.7692997942464</v>
      </c>
      <c r="G4264" s="38" t="n">
        <f aca="false">Sens!$G$4239</f>
        <v>143.077946818676</v>
      </c>
      <c r="H4264" s="38" t="n">
        <f aca="false">Sens!$H$4239</f>
        <v>161.017077079203</v>
      </c>
      <c r="I4264" s="38" t="n">
        <f aca="false">Sens!$I$4239</f>
        <v>178.769759521457</v>
      </c>
      <c r="J4264" s="38" t="n">
        <f aca="false">Sens!$J$4239</f>
        <v>195.775538045907</v>
      </c>
      <c r="K4264" s="38" t="n">
        <f aca="false">Sens!$K$4239</f>
        <v>211.43758108958</v>
      </c>
      <c r="L4264" s="38" t="n">
        <f aca="false">Sens!$L$4239</f>
        <v>228.352587576746</v>
      </c>
      <c r="M4264" s="38" t="n">
        <f aca="false">Sens!$M$4239</f>
        <v>246.620794582886</v>
      </c>
      <c r="N4264" s="38" t="n">
        <f aca="false">Sens!$N$4239</f>
        <v>57.0936804689721</v>
      </c>
      <c r="O4264" s="38" t="n">
        <f aca="false">Sens!$O$4239</f>
        <v>62.9275494423768</v>
      </c>
    </row>
    <row r="4265" customFormat="false" ht="15" hidden="false" customHeight="false" outlineLevel="0" collapsed="false">
      <c r="A4265" s="3" t="s">
        <v>514</v>
      </c>
      <c r="B4265" s="8" t="s">
        <v>86</v>
      </c>
      <c r="C4265" s="38" t="n">
        <f aca="false">Sens!$C$4241</f>
        <v>637.959</v>
      </c>
      <c r="D4265" s="38" t="n">
        <f aca="false">Sens!$D$4241</f>
        <v>716.924</v>
      </c>
      <c r="E4265" s="38" t="n">
        <f aca="false">Sens!$E$4241</f>
        <v>382.125</v>
      </c>
      <c r="F4265" s="38" t="n">
        <f aca="false">Sens!$F$4241</f>
        <v>435.780975084504</v>
      </c>
      <c r="G4265" s="38" t="n">
        <f aca="false">Sens!$G$4241</f>
        <v>817.905975084504</v>
      </c>
      <c r="H4265" s="38" t="n">
        <f aca="false">Sens!$H$4241</f>
        <v>942.903926515322</v>
      </c>
      <c r="I4265" s="38" t="n">
        <f aca="false">Sens!$I$4241</f>
        <v>1071.03897465614</v>
      </c>
      <c r="J4265" s="38" t="n">
        <f aca="false">Sens!$J$4241</f>
        <v>1195.11746934314</v>
      </c>
      <c r="K4265" s="38" t="n">
        <f aca="false">Sens!$K$4241</f>
        <v>1305.91179895921</v>
      </c>
      <c r="L4265" s="38" t="n">
        <f aca="false">Sens!$L$4241</f>
        <v>1410.66480646137</v>
      </c>
      <c r="M4265" s="38" t="n">
        <f aca="false">Sens!$M$4241</f>
        <v>1509.90599247663</v>
      </c>
      <c r="N4265" s="38" t="n">
        <f aca="false">Sens!$N$4241</f>
        <v>323.369</v>
      </c>
      <c r="O4265" s="38" t="n">
        <f aca="false">Sens!$O$4241</f>
        <v>393.555</v>
      </c>
    </row>
    <row r="4266" customFormat="false" ht="17.15" hidden="false" customHeight="false" outlineLevel="0" collapsed="false">
      <c r="A4266" s="24" t="s">
        <v>697</v>
      </c>
      <c r="B4266" s="25" t="s">
        <v>86</v>
      </c>
      <c r="C4266" s="41" t="n">
        <f aca="false">Sens!$C$4253+Sens!$C$4254+Sens!$C$4255+Sens!$C$4256+Sens!$C$4257+Sens!$C$4258-(Sens!$C$4260+Sens!$C$4261)</f>
        <v>0</v>
      </c>
      <c r="D4266" s="41" t="n">
        <f aca="false">Sens!$D$4253+Sens!$D$4254+Sens!$D$4255+Sens!$D$4256+Sens!$D$4257+Sens!$D$4258-(Sens!$D$4260+Sens!$D$4261)</f>
        <v>0</v>
      </c>
      <c r="E4266" s="41" t="n">
        <f aca="false">Sens!$E$4253+Sens!$E$4254+Sens!$E$4255+Sens!$E$4256+Sens!$E$4257+Sens!$E$4258-(Sens!$E$4260+Sens!$E$4261)</f>
        <v>0</v>
      </c>
      <c r="F4266" s="41" t="n">
        <f aca="false">Sens!$F$4253+Sens!$F$4254+Sens!$F$4255+Sens!$F$4256+Sens!$F$4257+Sens!$F$4258-(Sens!$F$4260+Sens!$F$4261)</f>
        <v>0</v>
      </c>
      <c r="G4266" s="41" t="n">
        <f aca="false">Sens!$G$4253+Sens!$G$4254+Sens!$G$4255+Sens!$G$4256+Sens!$G$4257+Sens!$G$4258-(Sens!$G$4260+Sens!$G$4261)</f>
        <v>0</v>
      </c>
      <c r="H4266" s="41" t="n">
        <f aca="false">Sens!$H$4253+Sens!$H$4254+Sens!$H$4255+Sens!$H$4256+Sens!$H$4257+Sens!$H$4258-(Sens!$H$4260+Sens!$H$4261)</f>
        <v>0</v>
      </c>
      <c r="I4266" s="41" t="n">
        <f aca="false">Sens!$I$4253+Sens!$I$4254+Sens!$I$4255+Sens!$I$4256+Sens!$I$4257+Sens!$I$4258-(Sens!$I$4260+Sens!$I$4261)</f>
        <v>0</v>
      </c>
      <c r="J4266" s="41" t="n">
        <f aca="false">Sens!$J$4253+Sens!$J$4254+Sens!$J$4255+Sens!$J$4256+Sens!$J$4257+Sens!$J$4258-(Sens!$J$4260+Sens!$J$4261)</f>
        <v>0</v>
      </c>
      <c r="K4266" s="41" t="n">
        <f aca="false">Sens!$K$4253+Sens!$K$4254+Sens!$K$4255+Sens!$K$4256+Sens!$K$4257+Sens!$K$4258-(Sens!$K$4260+Sens!$K$4261)</f>
        <v>0</v>
      </c>
      <c r="L4266" s="41" t="n">
        <f aca="false">Sens!$L$4253+Sens!$L$4254+Sens!$L$4255+Sens!$L$4256+Sens!$L$4257+Sens!$L$4258-(Sens!$L$4260+Sens!$L$4261)</f>
        <v>0</v>
      </c>
      <c r="M4266" s="41" t="n">
        <f aca="false">Sens!$M$4253+Sens!$M$4254+Sens!$M$4255+Sens!$M$4256+Sens!$M$4257+Sens!$M$4258-(Sens!$M$4260+Sens!$M$4261)</f>
        <v>0</v>
      </c>
      <c r="N4266" s="41" t="n">
        <f aca="false">Sens!$N$4253+Sens!$N$4254+Sens!$N$4255+Sens!$N$4256+Sens!$N$4257+Sens!$N$4258-(Sens!$N$4260+Sens!$N$4261)</f>
        <v>0</v>
      </c>
      <c r="O4266" s="41" t="n">
        <f aca="false">Sens!$O$4253+Sens!$O$4254+Sens!$O$4255+Sens!$O$4256+Sens!$O$4257+Sens!$O$4258-(Sens!$O$4260+Sens!$O$4261)</f>
        <v>0</v>
      </c>
    </row>
    <row r="4267" customFormat="false" ht="17.15" hidden="false" customHeight="false" outlineLevel="0" collapsed="false">
      <c r="A4267" s="24" t="s">
        <v>698</v>
      </c>
      <c r="B4267" s="25" t="s">
        <v>86</v>
      </c>
      <c r="C4267" s="41" t="n">
        <f aca="false">Sens!$C$4263+Sens!$C$4264-Sens!$C$4262</f>
        <v>0</v>
      </c>
      <c r="D4267" s="41" t="n">
        <f aca="false">Sens!$D$4263+Sens!$D$4264-Sens!$D$4262</f>
        <v>0</v>
      </c>
      <c r="E4267" s="41" t="n">
        <f aca="false">Sens!$E$4263+Sens!$E$4264-Sens!$E$4262</f>
        <v>0</v>
      </c>
      <c r="F4267" s="41" t="n">
        <f aca="false">Sens!$F$4263+Sens!$F$4264-Sens!$F$4262</f>
        <v>0</v>
      </c>
      <c r="G4267" s="41" t="n">
        <f aca="false">Sens!$G$4263+Sens!$G$4264-Sens!$G$4262</f>
        <v>0</v>
      </c>
      <c r="H4267" s="41" t="n">
        <f aca="false">Sens!$H$4263+Sens!$H$4264-Sens!$H$4262</f>
        <v>0</v>
      </c>
      <c r="I4267" s="41" t="n">
        <f aca="false">Sens!$I$4263+Sens!$I$4264-Sens!$I$4262</f>
        <v>0</v>
      </c>
      <c r="J4267" s="41" t="n">
        <f aca="false">Sens!$J$4263+Sens!$J$4264-Sens!$J$4262</f>
        <v>0</v>
      </c>
      <c r="K4267" s="41" t="n">
        <f aca="false">Sens!$K$4263+Sens!$K$4264-Sens!$K$4262</f>
        <v>0</v>
      </c>
      <c r="L4267" s="41" t="n">
        <f aca="false">Sens!$L$4263+Sens!$L$4264-Sens!$L$4262</f>
        <v>0</v>
      </c>
      <c r="M4267" s="41" t="n">
        <f aca="false">Sens!$M$4263+Sens!$M$4264-Sens!$M$4262</f>
        <v>0</v>
      </c>
      <c r="N4267" s="41" t="n">
        <f aca="false">Sens!$N$4263+Sens!$N$4264-Sens!$N$4262</f>
        <v>0</v>
      </c>
      <c r="O4267" s="41" t="n">
        <f aca="false">Sens!$O$4263+Sens!$O$4264-Sens!$O$4262</f>
        <v>0</v>
      </c>
    </row>
    <row r="4268" customFormat="false" ht="17.15" hidden="false" customHeight="false" outlineLevel="0" collapsed="false">
      <c r="A4268" s="24" t="s">
        <v>757</v>
      </c>
      <c r="B4268" s="25" t="s">
        <v>86</v>
      </c>
      <c r="C4268" s="41" t="n">
        <f aca="false">Sens!$C$4253+Sens!$C$4254+Sens!$C$4255+Sens!$C$4256+Sens!$C$4257+Sens!$C$4258+Sens!$C$4259-Sens!$C$4265</f>
        <v>0</v>
      </c>
      <c r="D4268" s="41" t="n">
        <f aca="false">Sens!$D$4253+Sens!$D$4254+Sens!$D$4255+Sens!$D$4256+Sens!$D$4257+Sens!$D$4258+Sens!$D$4259-Sens!$D$4265</f>
        <v>0</v>
      </c>
      <c r="E4268" s="41" t="n">
        <f aca="false">Sens!$E$4253+Sens!$E$4254+Sens!$E$4255+Sens!$E$4256+Sens!$E$4257+Sens!$E$4258+Sens!$E$4259-Sens!$E$4265</f>
        <v>0</v>
      </c>
      <c r="F4268" s="41" t="n">
        <f aca="false">Sens!$F$4253+Sens!$F$4254+Sens!$F$4255+Sens!$F$4256+Sens!$F$4257+Sens!$F$4258+Sens!$F$4259-Sens!$F$4265</f>
        <v>0</v>
      </c>
      <c r="G4268" s="41" t="n">
        <f aca="false">Sens!$G$4253+Sens!$G$4254+Sens!$G$4255+Sens!$G$4256+Sens!$G$4257+Sens!$G$4258+Sens!$G$4259-Sens!$G$4265</f>
        <v>0</v>
      </c>
      <c r="H4268" s="41" t="n">
        <f aca="false">Sens!$H$4253+Sens!$H$4254+Sens!$H$4255+Sens!$H$4256+Sens!$H$4257+Sens!$H$4258+Sens!$H$4259-Sens!$H$4265</f>
        <v>0</v>
      </c>
      <c r="I4268" s="41" t="n">
        <f aca="false">Sens!$I$4253+Sens!$I$4254+Sens!$I$4255+Sens!$I$4256+Sens!$I$4257+Sens!$I$4258+Sens!$I$4259-Sens!$I$4265</f>
        <v>0</v>
      </c>
      <c r="J4268" s="41" t="n">
        <f aca="false">Sens!$J$4253+Sens!$J$4254+Sens!$J$4255+Sens!$J$4256+Sens!$J$4257+Sens!$J$4258+Sens!$J$4259-Sens!$J$4265</f>
        <v>0</v>
      </c>
      <c r="K4268" s="41" t="n">
        <f aca="false">Sens!$K$4253+Sens!$K$4254+Sens!$K$4255+Sens!$K$4256+Sens!$K$4257+Sens!$K$4258+Sens!$K$4259-Sens!$K$4265</f>
        <v>0</v>
      </c>
      <c r="L4268" s="41" t="n">
        <f aca="false">Sens!$L$4253+Sens!$L$4254+Sens!$L$4255+Sens!$L$4256+Sens!$L$4257+Sens!$L$4258+Sens!$L$4259-Sens!$L$4265</f>
        <v>0</v>
      </c>
      <c r="M4268" s="41" t="n">
        <f aca="false">Sens!$M$4253+Sens!$M$4254+Sens!$M$4255+Sens!$M$4256+Sens!$M$4257+Sens!$M$4258+Sens!$M$4259-Sens!$M$4265</f>
        <v>0</v>
      </c>
      <c r="N4268" s="41" t="n">
        <f aca="false">Sens!$N$4253+Sens!$N$4254+Sens!$N$4255+Sens!$N$4256+Sens!$N$4257+Sens!$N$4258+Sens!$N$4259-Sens!$N$4265</f>
        <v>0</v>
      </c>
      <c r="O4268" s="41" t="n">
        <f aca="false">Sens!$O$4253+Sens!$O$4254+Sens!$O$4255+Sens!$O$4256+Sens!$O$4257+Sens!$O$4258+Sens!$O$4259-Sens!$O$4265</f>
        <v>0</v>
      </c>
    </row>
    <row r="4269" customFormat="false" ht="17.15" hidden="false" customHeight="false" outlineLevel="0" collapsed="false">
      <c r="A4269" s="24" t="s">
        <v>699</v>
      </c>
      <c r="B4269" s="25" t="s">
        <v>86</v>
      </c>
      <c r="C4269" s="41" t="n">
        <f aca="false">Sens!$C$4260+Sens!$C$4261+Sens!$C$4262-Sens!$C$4265</f>
        <v>0</v>
      </c>
      <c r="D4269" s="41" t="n">
        <f aca="false">Sens!$D$4260+Sens!$D$4261+Sens!$D$4262-Sens!$D$4265</f>
        <v>0</v>
      </c>
      <c r="E4269" s="41" t="n">
        <f aca="false">Sens!$E$4260+Sens!$E$4261+Sens!$E$4262-Sens!$E$4265</f>
        <v>0</v>
      </c>
      <c r="F4269" s="41" t="n">
        <f aca="false">Sens!$F$4260+Sens!$F$4261+Sens!$F$4262-Sens!$F$4265</f>
        <v>0</v>
      </c>
      <c r="G4269" s="41" t="n">
        <f aca="false">Sens!$G$4260+Sens!$G$4261+Sens!$G$4262-Sens!$G$4265</f>
        <v>0</v>
      </c>
      <c r="H4269" s="41" t="n">
        <f aca="false">Sens!$H$4260+Sens!$H$4261+Sens!$H$4262-Sens!$H$4265</f>
        <v>0</v>
      </c>
      <c r="I4269" s="41" t="n">
        <f aca="false">Sens!$I$4260+Sens!$I$4261+Sens!$I$4262-Sens!$I$4265</f>
        <v>0</v>
      </c>
      <c r="J4269" s="41" t="n">
        <f aca="false">Sens!$J$4260+Sens!$J$4261+Sens!$J$4262-Sens!$J$4265</f>
        <v>0</v>
      </c>
      <c r="K4269" s="41" t="n">
        <f aca="false">Sens!$K$4260+Sens!$K$4261+Sens!$K$4262-Sens!$K$4265</f>
        <v>0</v>
      </c>
      <c r="L4269" s="41" t="n">
        <f aca="false">Sens!$L$4260+Sens!$L$4261+Sens!$L$4262-Sens!$L$4265</f>
        <v>0</v>
      </c>
      <c r="M4269" s="41" t="n">
        <f aca="false">Sens!$M$4260+Sens!$M$4261+Sens!$M$4262-Sens!$M$4265</f>
        <v>0</v>
      </c>
      <c r="N4269" s="41" t="n">
        <f aca="false">Sens!$N$4260+Sens!$N$4261+Sens!$N$4262-Sens!$N$4265</f>
        <v>0</v>
      </c>
      <c r="O4269" s="41" t="n">
        <f aca="false">Sens!$O$4260+Sens!$O$4261+Sens!$O$4262-Sens!$O$4265</f>
        <v>0</v>
      </c>
    </row>
    <row r="4270" customFormat="false" ht="17.15" hidden="false" customHeight="false" outlineLevel="0" collapsed="false">
      <c r="A4270" s="1" t="s">
        <v>713</v>
      </c>
    </row>
    <row r="4271" customFormat="false" ht="17.15" hidden="false" customHeight="false" outlineLevel="0" collapsed="false">
      <c r="A4271" s="0" t="s">
        <v>714</v>
      </c>
      <c r="B4271" s="0" t="s">
        <v>86</v>
      </c>
      <c r="C4271" s="38" t="n">
        <f aca="false">Sens!$C$4177*m_ad</f>
        <v>20.5341564414228</v>
      </c>
      <c r="D4271" s="38" t="n">
        <f aca="false">Sens!$D$4177*m_ad</f>
        <v>24.8720617299587</v>
      </c>
      <c r="E4271" s="38" t="n">
        <f aca="false">Sens!$E$4177*m_ad</f>
        <v>13.5017112462207</v>
      </c>
      <c r="F4271" s="38" t="n">
        <f aca="false">Sens!$F$4177*m_ad</f>
        <v>16.5719724165257</v>
      </c>
      <c r="G4271" s="38" t="n">
        <f aca="false">Sens!$G$4177*m_ad</f>
        <v>30.0820919220415</v>
      </c>
      <c r="H4271" s="38" t="n">
        <f aca="false">Sens!$H$4177*m_ad</f>
        <v>36.3407040170467</v>
      </c>
      <c r="I4271" s="38" t="n">
        <f aca="false">Sens!$I$4177*m_ad</f>
        <v>42.955949977879</v>
      </c>
      <c r="J4271" s="38" t="n">
        <f aca="false">Sens!$J$4177*m_ad</f>
        <v>49.6578097528798</v>
      </c>
      <c r="K4271" s="38" t="n">
        <f aca="false">Sens!$K$4177*m_ad</f>
        <v>56.1133250207542</v>
      </c>
      <c r="L4271" s="38" t="n">
        <f aca="false">Sens!$L$4177*m_ad</f>
        <v>63.4080572734522</v>
      </c>
      <c r="M4271" s="38" t="n">
        <f aca="false">Sens!$M$4177*m_ad</f>
        <v>71.651104719001</v>
      </c>
      <c r="N4271" s="38" t="n">
        <f aca="false">Sens!$N$4177*m_ad</f>
        <v>10.8543555706248</v>
      </c>
      <c r="O4271" s="38" t="n">
        <f aca="false">Sens!$O$4177*m_ad</f>
        <v>14.0094731821399</v>
      </c>
    </row>
    <row r="4272" customFormat="false" ht="17.15" hidden="false" customHeight="false" outlineLevel="0" collapsed="false">
      <c r="A4272" s="0" t="s">
        <v>715</v>
      </c>
      <c r="B4272" s="0" t="s">
        <v>86</v>
      </c>
      <c r="C4272" s="38" t="n">
        <f aca="false">Sens!$C$4175-Sens!$C$4177</f>
        <v>346.428687117154</v>
      </c>
      <c r="D4272" s="38" t="n">
        <f aca="false">Sens!$D$4175-Sens!$D$4177</f>
        <v>376.560876540083</v>
      </c>
      <c r="E4272" s="38" t="n">
        <f aca="false">Sens!$E$4175-Sens!$E$4177</f>
        <v>193.316577507559</v>
      </c>
      <c r="F4272" s="38" t="n">
        <f aca="false">Sens!$F$4175-Sens!$F$4177</f>
        <v>217.495828647535</v>
      </c>
      <c r="G4272" s="38" t="n">
        <f aca="false">Sens!$G$4175-Sens!$G$4177</f>
        <v>410.795589636503</v>
      </c>
      <c r="H4272" s="38" t="n">
        <f aca="false">Sens!$H$4175-Sens!$H$4177</f>
        <v>449.156813761174</v>
      </c>
      <c r="I4272" s="38" t="n">
        <f aca="false">Sens!$I$4175-Sens!$I$4177</f>
        <v>485.848786441156</v>
      </c>
      <c r="J4272" s="38" t="n">
        <f aca="false">Sens!$J$4175-Sens!$J$4177</f>
        <v>519.841531018994</v>
      </c>
      <c r="K4272" s="38" t="n">
        <f aca="false">Sens!$K$4175-Sens!$K$4177</f>
        <v>550.103332311311</v>
      </c>
      <c r="L4272" s="38" t="n">
        <f aca="false">Sens!$L$4175-Sens!$L$4177</f>
        <v>582.192354474511</v>
      </c>
      <c r="M4272" s="38" t="n">
        <f aca="false">Sens!$M$4175-Sens!$M$4177</f>
        <v>616.22240521081</v>
      </c>
      <c r="N4272" s="38" t="n">
        <f aca="false">Sens!$N$4175-Sens!$N$4177</f>
        <v>171.24628885875</v>
      </c>
      <c r="O4272" s="38" t="n">
        <f aca="false">Sens!$O$4175-Sens!$O$4177</f>
        <v>205.33105363572</v>
      </c>
    </row>
    <row r="4273" customFormat="false" ht="17.15" hidden="false" customHeight="false" outlineLevel="0" collapsed="false">
      <c r="A4273" s="0" t="s">
        <v>716</v>
      </c>
      <c r="B4273" s="0" t="s">
        <v>86</v>
      </c>
      <c r="C4273" s="38" t="n">
        <f aca="false">Sens!$C$4224*Sens!$C$4174</f>
        <v>0.123617442257179</v>
      </c>
      <c r="D4273" s="38" t="n">
        <f aca="false">Sens!$D$4224*Sens!$D$4174</f>
        <v>0.874366899302609</v>
      </c>
      <c r="E4273" s="38" t="n">
        <f aca="false">Sens!$E$4224*Sens!$E$4174</f>
        <v>1.29318830502574</v>
      </c>
      <c r="F4273" s="38" t="n">
        <f aca="false">Sens!$F$4224*Sens!$F$4174</f>
        <v>1.51802024162534</v>
      </c>
      <c r="G4273" s="38" t="n">
        <f aca="false">Sens!$G$4224*Sens!$G$4174</f>
        <v>2.81153363597665</v>
      </c>
      <c r="H4273" s="38" t="n">
        <f aca="false">Sens!$H$4224*Sens!$H$4174</f>
        <v>7.39027704264226</v>
      </c>
      <c r="I4273" s="38" t="n">
        <f aca="false">Sens!$I$4224*Sens!$I$4174</f>
        <v>12.899807643047</v>
      </c>
      <c r="J4273" s="38" t="n">
        <f aca="false">Sens!$J$4224*Sens!$J$4174</f>
        <v>18.5585322471382</v>
      </c>
      <c r="K4273" s="38" t="n">
        <f aca="false">Sens!$K$4224*Sens!$K$4174</f>
        <v>24.0966749520672</v>
      </c>
      <c r="L4273" s="38" t="n">
        <f aca="false">Sens!$L$4224*Sens!$L$4174</f>
        <v>27.686623551477</v>
      </c>
      <c r="M4273" s="38" t="n">
        <f aca="false">Sens!$M$4224*Sens!$M$4174</f>
        <v>29.7238645537022</v>
      </c>
      <c r="N4273" s="38" t="n">
        <f aca="false">Sens!$N$4224*Sens!$N$4174</f>
        <v>0.389180508437431</v>
      </c>
      <c r="O4273" s="38" t="n">
        <f aca="false">Sens!$O$4224*Sens!$O$4174</f>
        <v>0.485052120082802</v>
      </c>
    </row>
    <row r="4274" customFormat="false" ht="17.15" hidden="false" customHeight="false" outlineLevel="0" collapsed="false">
      <c r="A4274" s="0" t="s">
        <v>717</v>
      </c>
      <c r="B4274" s="0" t="s">
        <v>52</v>
      </c>
      <c r="C4274" s="28" t="n">
        <f aca="false">(Sens!$C$4275-Sens!$C$4271+Sens!$C$4273)/Sens!$C$4272</f>
        <v>0.0131526665379575</v>
      </c>
      <c r="D4274" s="28" t="n">
        <f aca="false">(Sens!$D$4275-Sens!$D$4271+Sens!$D$4273)/Sens!$D$4272</f>
        <v>0.0149280116962589</v>
      </c>
      <c r="E4274" s="28" t="n">
        <f aca="false">(Sens!$E$4275-Sens!$E$4271+Sens!$E$4273)/Sens!$E$4272</f>
        <v>0.0268030663774938</v>
      </c>
      <c r="F4274" s="28" t="n">
        <f aca="false">Sens!$O$4274+(Sens!$E$4274-Sens!$N$4274)</f>
        <v>0.0232379346966962</v>
      </c>
      <c r="G4274" s="28" t="n">
        <f aca="false">(Sens!$G$4275-Sens!$G$4271+Sens!$G$4273)/Sens!$G$4272</f>
        <v>0.0248969268652583</v>
      </c>
      <c r="H4274" s="28" t="n">
        <f aca="false">Sens!$G$4274+step_na</f>
        <v>0.0278969268652583</v>
      </c>
      <c r="I4274" s="28" t="n">
        <f aca="false">Sens!$H$4274+step_na</f>
        <v>0.0308969268652583</v>
      </c>
      <c r="J4274" s="28" t="n">
        <f aca="false">Sens!$I$4274+step_na</f>
        <v>0.0338969268652583</v>
      </c>
      <c r="K4274" s="28" t="n">
        <f aca="false">Sens!$J$4274+step_na</f>
        <v>0.0368969268652584</v>
      </c>
      <c r="L4274" s="28" t="n">
        <f aca="false">Sens!$K$4274</f>
        <v>0.0368969268652584</v>
      </c>
      <c r="M4274" s="28" t="n">
        <f aca="false">Sens!$L$4274</f>
        <v>0.0368969268652584</v>
      </c>
      <c r="N4274" s="28" t="n">
        <f aca="false">(Sens!$N$4275-Sens!$N$4271+Sens!$N$4273)/Sens!$N$4272</f>
        <v>0.0168927744775755</v>
      </c>
      <c r="O4274" s="28" t="n">
        <f aca="false">(Sens!$O$4275-Sens!$O$4271+Sens!$O$4273)/Sens!$O$4272</f>
        <v>0.0133276427967779</v>
      </c>
      <c r="P4274" s="8" t="s">
        <v>718</v>
      </c>
    </row>
    <row r="4275" customFormat="false" ht="17.15" hidden="false" customHeight="false" outlineLevel="0" collapsed="false">
      <c r="A4275" s="1" t="s">
        <v>719</v>
      </c>
      <c r="B4275" s="8" t="s">
        <v>86</v>
      </c>
      <c r="C4275" s="38" t="n">
        <f aca="false">Q!$D$22</f>
        <v>24.967</v>
      </c>
      <c r="D4275" s="38" t="n">
        <f aca="false">Q!$E$22</f>
        <v>29.619</v>
      </c>
      <c r="E4275" s="38" t="n">
        <f aca="false">Q!$P$22</f>
        <v>17.39</v>
      </c>
      <c r="F4275" s="38" t="n">
        <f aca="false">Sens!$F$4271+Sens!$F$4272*Sens!$F$4274-Sens!$F$4273</f>
        <v>20.1081060378156</v>
      </c>
      <c r="G4275" s="38" t="n">
        <f aca="false">Sens!$E$4275+Sens!$F$4275</f>
        <v>37.4981060378156</v>
      </c>
      <c r="H4275" s="38" t="n">
        <f aca="false">Sens!$H$4271+Sens!$H$4272*Sens!$H$4274-Sens!$H$4273</f>
        <v>41.4805217589324</v>
      </c>
      <c r="I4275" s="38" t="n">
        <f aca="false">Sens!$I$4271+Sens!$I$4272*Sens!$I$4274-Sens!$I$4273</f>
        <v>45.067376757079</v>
      </c>
      <c r="J4275" s="38" t="n">
        <f aca="false">Sens!$J$4271+Sens!$J$4272*Sens!$J$4274-Sens!$J$4273</f>
        <v>48.7203078642164</v>
      </c>
      <c r="K4275" s="38" t="n">
        <f aca="false">Sens!$K$4271+Sens!$K$4272*Sens!$K$4274-Sens!$K$4273</f>
        <v>52.3137724893124</v>
      </c>
      <c r="L4275" s="38" t="n">
        <f aca="false">Sens!$L$4271+Sens!$L$4272*Sens!$L$4274-Sens!$L$4273</f>
        <v>57.2025424465338</v>
      </c>
      <c r="M4275" s="38" t="n">
        <f aca="false">Sens!$M$4271+Sens!$M$4272*Sens!$M$4274-Sens!$M$4273</f>
        <v>64.6639531830956</v>
      </c>
      <c r="N4275" s="38" t="n">
        <f aca="false">Q!$N$22</f>
        <v>13.358</v>
      </c>
      <c r="O4275" s="38" t="n">
        <f aca="false">Q!$O$22</f>
        <v>16.261</v>
      </c>
    </row>
    <row r="4276" customFormat="false" ht="17.15" hidden="false" customHeight="false" outlineLevel="0" collapsed="false">
      <c r="A4276" s="0" t="s">
        <v>720</v>
      </c>
      <c r="B4276" s="0" t="s">
        <v>86</v>
      </c>
      <c r="C4276" s="38" t="n">
        <f aca="false">Sens!$C$4178*m_ad</f>
        <v>7.57284355857716</v>
      </c>
      <c r="D4276" s="38" t="n">
        <f aca="false">Sens!$D$4178*m_ad</f>
        <v>9.44543827004127</v>
      </c>
      <c r="E4276" s="38" t="n">
        <f aca="false">Sens!$E$4178*m_ad</f>
        <v>5.02428875377928</v>
      </c>
      <c r="F4276" s="38" t="n">
        <f aca="false">Sens!$F$4178*m_ad</f>
        <v>6.50663858068173</v>
      </c>
      <c r="G4276" s="38" t="n">
        <f aca="false">Sens!$G$4178*m_ad</f>
        <v>11.5225190751659</v>
      </c>
      <c r="H4276" s="38" t="n">
        <f aca="false">Sens!$H$4178*m_ad</f>
        <v>13.9197917593811</v>
      </c>
      <c r="I4276" s="38" t="n">
        <f aca="false">Sens!$I$4178*m_ad</f>
        <v>16.4536679927275</v>
      </c>
      <c r="J4276" s="38" t="n">
        <f aca="false">Sens!$J$4178*m_ad</f>
        <v>19.0207204203532</v>
      </c>
      <c r="K4276" s="38" t="n">
        <f aca="false">Sens!$K$4178*m_ad</f>
        <v>21.4934140749991</v>
      </c>
      <c r="L4276" s="38" t="n">
        <f aca="false">Sens!$L$4178*m_ad</f>
        <v>24.2875579047489</v>
      </c>
      <c r="M4276" s="38" t="n">
        <f aca="false">Sens!$M$4178*m_ad</f>
        <v>27.4449404323663</v>
      </c>
      <c r="N4276" s="38" t="n">
        <f aca="false">Sens!$N$4178*m_ad</f>
        <v>3.95314442937518</v>
      </c>
      <c r="O4276" s="38" t="n">
        <f aca="false">Sens!$O$4178*m_ad</f>
        <v>5.50052681786011</v>
      </c>
    </row>
    <row r="4277" customFormat="false" ht="17.15" hidden="false" customHeight="false" outlineLevel="0" collapsed="false">
      <c r="A4277" s="0" t="s">
        <v>721</v>
      </c>
      <c r="B4277" s="0" t="s">
        <v>86</v>
      </c>
      <c r="C4277" s="38" t="n">
        <f aca="false">Sens!$C$4176-Sens!$C$4178</f>
        <v>127.760312882846</v>
      </c>
      <c r="D4277" s="38" t="n">
        <f aca="false">Sens!$D$4176-Sens!$D$4178</f>
        <v>143.003123459917</v>
      </c>
      <c r="E4277" s="38" t="n">
        <f aca="false">Sens!$E$4176-Sens!$E$4178</f>
        <v>71.9374224924414</v>
      </c>
      <c r="F4277" s="38" t="n">
        <f aca="false">Sens!$F$4176-Sens!$F$4178</f>
        <v>85.3951910035875</v>
      </c>
      <c r="G4277" s="38" t="n">
        <f aca="false">Sens!$G$4176-Sens!$G$4178</f>
        <v>157.349430014619</v>
      </c>
      <c r="H4277" s="38" t="n">
        <f aca="false">Sens!$H$4176-Sens!$H$4178</f>
        <v>172.043153372315</v>
      </c>
      <c r="I4277" s="38" t="n">
        <f aca="false">Sens!$I$4176-Sens!$I$4178</f>
        <v>186.097493615879</v>
      </c>
      <c r="J4277" s="38" t="n">
        <f aca="false">Sens!$J$4176-Sens!$J$4178</f>
        <v>199.117932780497</v>
      </c>
      <c r="K4277" s="38" t="n">
        <f aca="false">Sens!$K$4176-Sens!$K$4178</f>
        <v>210.70928698363</v>
      </c>
      <c r="L4277" s="38" t="n">
        <f aca="false">Sens!$L$4176-Sens!$L$4178</f>
        <v>223.000532251317</v>
      </c>
      <c r="M4277" s="38" t="n">
        <f aca="false">Sens!$M$4176-Sens!$M$4178</f>
        <v>236.035261011339</v>
      </c>
      <c r="N4277" s="38" t="n">
        <f aca="false">Sens!$N$4176-Sens!$N$4178</f>
        <v>62.3677111412496</v>
      </c>
      <c r="O4277" s="38" t="n">
        <f aca="false">Sens!$O$4176-Sens!$O$4178</f>
        <v>80.6189463642798</v>
      </c>
    </row>
    <row r="4278" customFormat="false" ht="17.15" hidden="false" customHeight="false" outlineLevel="0" collapsed="false">
      <c r="A4278" s="0" t="s">
        <v>722</v>
      </c>
      <c r="B4278" s="0" t="s">
        <v>86</v>
      </c>
      <c r="C4278" s="38" t="n">
        <f aca="false">Sens!$C$4224*(1-Sens!$C$4174)</f>
        <v>0.0455891896019953</v>
      </c>
      <c r="D4278" s="38" t="n">
        <f aca="false">Sens!$D$4224*(1-Sens!$D$4174)</f>
        <v>0.332050421167231</v>
      </c>
      <c r="E4278" s="38" t="n">
        <f aca="false">Sens!$E$4224*(1-Sens!$E$4174)</f>
        <v>0.481224293644882</v>
      </c>
      <c r="F4278" s="38" t="n">
        <f aca="false">Sens!$F$4224*(1-Sens!$F$4174)</f>
        <v>0.596018918096053</v>
      </c>
      <c r="G4278" s="38" t="n">
        <f aca="false">Sens!$G$4224*(1-Sens!$G$4174)</f>
        <v>1.07691812241537</v>
      </c>
      <c r="H4278" s="38" t="n">
        <f aca="false">Sens!$H$4224*(1-Sens!$H$4174)</f>
        <v>2.83074090775622</v>
      </c>
      <c r="I4278" s="38" t="n">
        <f aca="false">Sens!$I$4224*(1-Sens!$I$4174)</f>
        <v>4.94108853926048</v>
      </c>
      <c r="J4278" s="38" t="n">
        <f aca="false">Sens!$J$4224*(1-Sens!$J$4174)</f>
        <v>7.10858281993502</v>
      </c>
      <c r="K4278" s="38" t="n">
        <f aca="false">Sens!$K$4224*(1-Sens!$K$4174)</f>
        <v>9.2298899126701</v>
      </c>
      <c r="L4278" s="38" t="n">
        <f aca="false">Sens!$L$4224*(1-Sens!$L$4174)</f>
        <v>10.6049688574045</v>
      </c>
      <c r="M4278" s="38" t="n">
        <f aca="false">Sens!$M$4224*(1-Sens!$M$4174)</f>
        <v>11.3853051574758</v>
      </c>
      <c r="N4278" s="38" t="n">
        <f aca="false">Sens!$N$4224*(1-Sens!$N$4174)</f>
        <v>0.141739115596548</v>
      </c>
      <c r="O4278" s="38" t="n">
        <f aca="false">Sens!$O$4224*(1-Sens!$O$4174)</f>
        <v>0.190445576353059</v>
      </c>
    </row>
    <row r="4279" customFormat="false" ht="17.15" hidden="false" customHeight="false" outlineLevel="0" collapsed="false">
      <c r="A4279" s="0" t="s">
        <v>723</v>
      </c>
      <c r="B4279" s="0" t="s">
        <v>52</v>
      </c>
      <c r="C4279" s="28" t="n">
        <f aca="false">(Sens!$C$4280-Sens!$C$4276+Sens!$C$4278)/Sens!$C$4277</f>
        <v>-0.0292364215826579</v>
      </c>
      <c r="D4279" s="28" t="n">
        <f aca="false">(Sens!$D$4280-Sens!$D$4276+Sens!$D$4278)/Sens!$D$4277</f>
        <v>-0.0305125352740778</v>
      </c>
      <c r="E4279" s="28" t="n">
        <f aca="false">(Sens!$E$4280-Sens!$E$4276+Sens!$E$4278)/Sens!$E$4277</f>
        <v>-0.019490056934994</v>
      </c>
      <c r="F4279" s="28" t="n">
        <f aca="false">Sens!$O$4279+(Sens!$E$4279-Sens!$N$4279)</f>
        <v>-0.0367332293992226</v>
      </c>
      <c r="G4279" s="28" t="n">
        <f aca="false">(Sens!$G$4280-Sens!$G$4276+Sens!$G$4278)/Sens!$G$4277</f>
        <v>-0.0287946542321067</v>
      </c>
      <c r="H4279" s="28" t="n">
        <f aca="false">Sens!$G$4279+step_in</f>
        <v>-0.0287946542321067</v>
      </c>
      <c r="I4279" s="28" t="n">
        <f aca="false">Sens!$H$4279+step_in</f>
        <v>-0.0287946542321067</v>
      </c>
      <c r="J4279" s="28" t="n">
        <f aca="false">Sens!$I$4279+step_in</f>
        <v>-0.0287946542321067</v>
      </c>
      <c r="K4279" s="28" t="n">
        <f aca="false">Sens!$J$4279+step_in</f>
        <v>-0.0287946542321067</v>
      </c>
      <c r="L4279" s="28" t="n">
        <f aca="false">Sens!$K$4279</f>
        <v>-0.0287946542321067</v>
      </c>
      <c r="M4279" s="28" t="n">
        <f aca="false">Sens!$L$4279</f>
        <v>-0.0287946542321067</v>
      </c>
      <c r="N4279" s="28" t="n">
        <f aca="false">(Sens!$N$4280-Sens!$N$4276+Sens!$N$4278)/Sens!$N$4277</f>
        <v>-0.02085061789158</v>
      </c>
      <c r="O4279" s="28" t="n">
        <f aca="false">(Sens!$O$4280-Sens!$O$4276+Sens!$O$4278)/Sens!$O$4277</f>
        <v>-0.0380937903558086</v>
      </c>
      <c r="P4279" s="8" t="s">
        <v>718</v>
      </c>
    </row>
    <row r="4280" customFormat="false" ht="17.15" hidden="false" customHeight="false" outlineLevel="0" collapsed="false">
      <c r="A4280" s="1" t="s">
        <v>724</v>
      </c>
      <c r="B4280" s="8" t="s">
        <v>86</v>
      </c>
      <c r="C4280" s="38" t="n">
        <f aca="false">Q!$D$23</f>
        <v>3.792</v>
      </c>
      <c r="D4280" s="38" t="n">
        <f aca="false">Q!$E$23</f>
        <v>4.75</v>
      </c>
      <c r="E4280" s="38" t="n">
        <f aca="false">Q!$P$23</f>
        <v>3.141</v>
      </c>
      <c r="F4280" s="38" t="n">
        <f aca="false">Sens!$F$4276+Sens!$F$4277*Sens!$F$4279-Sens!$F$4278</f>
        <v>2.77377852186047</v>
      </c>
      <c r="G4280" s="38" t="n">
        <f aca="false">Sens!$E$4280+Sens!$F$4280</f>
        <v>5.91477852186047</v>
      </c>
      <c r="H4280" s="38" t="n">
        <f aca="false">Sens!$H$4276+Sens!$H$4277*Sens!$H$4279-Sens!$H$4278</f>
        <v>6.13512773726777</v>
      </c>
      <c r="I4280" s="38" t="n">
        <f aca="false">Sens!$I$4276+Sens!$I$4277*Sens!$I$4279-Sens!$I$4278</f>
        <v>6.15396647133613</v>
      </c>
      <c r="J4280" s="38" t="n">
        <f aca="false">Sens!$J$4276+Sens!$J$4277*Sens!$J$4279-Sens!$J$4278</f>
        <v>6.17860557459186</v>
      </c>
      <c r="K4280" s="38" t="n">
        <f aca="false">Sens!$K$4276+Sens!$K$4277*Sens!$K$4279-Sens!$K$4278</f>
        <v>6.19622310014159</v>
      </c>
      <c r="L4280" s="38" t="n">
        <f aca="false">Sens!$L$4276+Sens!$L$4277*Sens!$L$4279-Sens!$L$4278</f>
        <v>7.26136582759198</v>
      </c>
      <c r="M4280" s="38" t="n">
        <f aca="false">Sens!$M$4276+Sens!$M$4277*Sens!$M$4279-Sens!$M$4278</f>
        <v>9.26308154748391</v>
      </c>
      <c r="N4280" s="38" t="n">
        <f aca="false">Q!$N$23</f>
        <v>2.511</v>
      </c>
      <c r="O4280" s="38" t="n">
        <f aca="false">Q!$O$23</f>
        <v>2.239</v>
      </c>
    </row>
    <row r="4281" customFormat="false" ht="17.15" hidden="false" customHeight="false" outlineLevel="0" collapsed="false">
      <c r="A4281" s="0" t="s">
        <v>725</v>
      </c>
      <c r="B4281" s="0" t="s">
        <v>86</v>
      </c>
      <c r="C4281" s="38" t="n">
        <f aca="false">Sens!$C$4221</f>
        <v>1.64417882953695</v>
      </c>
      <c r="D4281" s="38" t="n">
        <f aca="false">Sens!$D$4221</f>
        <v>3.8781008067718</v>
      </c>
      <c r="E4281" s="38" t="n">
        <f aca="false">Sens!$E$4221</f>
        <v>1.41270258088753</v>
      </c>
      <c r="F4281" s="38" t="n">
        <f aca="false">Sens!$F$4221</f>
        <v>6.50727700583486</v>
      </c>
      <c r="G4281" s="38" t="n">
        <f aca="false">Sens!$G$4221</f>
        <v>7.9199795867224</v>
      </c>
      <c r="H4281" s="38" t="n">
        <f aca="false">Sens!$H$4221</f>
        <v>19.2818189481807</v>
      </c>
      <c r="I4281" s="38" t="n">
        <f aca="false">Sens!$I$4221</f>
        <v>30.140114407202</v>
      </c>
      <c r="J4281" s="38" t="n">
        <f aca="false">Sens!$J$4221</f>
        <v>40.3569468829854</v>
      </c>
      <c r="K4281" s="38" t="n">
        <f aca="false">Sens!$K$4221</f>
        <v>45.1418609242305</v>
      </c>
      <c r="L4281" s="38" t="n">
        <f aca="false">Sens!$L$4221</f>
        <v>48.5617321668703</v>
      </c>
      <c r="M4281" s="38" t="n">
        <f aca="false">Sens!$M$4221</f>
        <v>48.3987625241529</v>
      </c>
      <c r="N4281" s="38" t="n">
        <f aca="false">Sens!$N$4221</f>
        <v>0.92264103489199</v>
      </c>
      <c r="O4281" s="38" t="n">
        <f aca="false">Sens!$O$4221</f>
        <v>2.95545977187981</v>
      </c>
    </row>
    <row r="4282" customFormat="false" ht="17.15" hidden="false" customHeight="false" outlineLevel="0" collapsed="false">
      <c r="A4282" s="0" t="s">
        <v>643</v>
      </c>
      <c r="B4282" s="0" t="s">
        <v>86</v>
      </c>
      <c r="C4282" s="38" t="n">
        <f aca="false">Sens!$C$4226</f>
        <v>38.1898211704631</v>
      </c>
      <c r="D4282" s="38" t="n">
        <f aca="false">Sens!$D$4226</f>
        <v>41.7278991932282</v>
      </c>
      <c r="E4282" s="38" t="n">
        <f aca="false">Sens!$E$4226</f>
        <v>29.3692974191125</v>
      </c>
      <c r="F4282" s="38" t="n">
        <f aca="false">Sens!$F$4226</f>
        <v>26.8997276714137</v>
      </c>
      <c r="G4282" s="38" t="n">
        <f aca="false">Sens!$G$4226</f>
        <v>56.2690250905262</v>
      </c>
      <c r="H4282" s="38" t="n">
        <f aca="false">Sens!$H$4226</f>
        <v>60.3505333937343</v>
      </c>
      <c r="I4282" s="38" t="n">
        <f aca="false">Sens!$I$4226</f>
        <v>67.0043857303571</v>
      </c>
      <c r="J4282" s="38" t="n">
        <f aca="false">Sens!$J$4226</f>
        <v>73.3782922956925</v>
      </c>
      <c r="K4282" s="38" t="n">
        <f aca="false">Sens!$K$4226</f>
        <v>79.2485556793479</v>
      </c>
      <c r="L4282" s="38" t="n">
        <f aca="false">Sens!$L$4226</f>
        <v>85.5884401336958</v>
      </c>
      <c r="M4282" s="38" t="n">
        <f aca="false">Sens!$M$4226</f>
        <v>92.4355153443914</v>
      </c>
      <c r="N4282" s="38" t="n">
        <f aca="false">Sens!$N$4226</f>
        <v>20.784358965108</v>
      </c>
      <c r="O4282" s="38" t="n">
        <f aca="false">Sens!$O$4226</f>
        <v>20.9435402281202</v>
      </c>
    </row>
    <row r="4283" customFormat="false" ht="17.15" hidden="false" customHeight="false" outlineLevel="0" collapsed="false">
      <c r="A4283" s="1" t="s">
        <v>726</v>
      </c>
      <c r="B4283" s="8" t="s">
        <v>86</v>
      </c>
      <c r="C4283" s="38" t="n">
        <f aca="false">Q!$D$24</f>
        <v>39.834</v>
      </c>
      <c r="D4283" s="38" t="n">
        <f aca="false">Q!$E$24</f>
        <v>45.606</v>
      </c>
      <c r="E4283" s="38" t="n">
        <f aca="false">Q!$P$24</f>
        <v>30.782</v>
      </c>
      <c r="F4283" s="38" t="n">
        <f aca="false">Sens!$F$4281+Sens!$F$4282</f>
        <v>33.4070046772486</v>
      </c>
      <c r="G4283" s="38" t="n">
        <f aca="false">Sens!$G$4281+Sens!$G$4282</f>
        <v>64.1890046772486</v>
      </c>
      <c r="H4283" s="38" t="n">
        <f aca="false">Sens!$H$4281+Sens!$H$4282</f>
        <v>79.6323523419149</v>
      </c>
      <c r="I4283" s="38" t="n">
        <f aca="false">Sens!$I$4281+Sens!$I$4282</f>
        <v>97.1445001375591</v>
      </c>
      <c r="J4283" s="38" t="n">
        <f aca="false">Sens!$J$4281+Sens!$J$4282</f>
        <v>113.735239178678</v>
      </c>
      <c r="K4283" s="38" t="n">
        <f aca="false">Sens!$K$4281+Sens!$K$4282</f>
        <v>124.390416603578</v>
      </c>
      <c r="L4283" s="38" t="n">
        <f aca="false">Sens!$L$4281+Sens!$L$4282</f>
        <v>134.150172300566</v>
      </c>
      <c r="M4283" s="38" t="n">
        <f aca="false">Sens!$M$4281+Sens!$M$4282</f>
        <v>140.834277868544</v>
      </c>
      <c r="N4283" s="38" t="n">
        <f aca="false">Q!$N$24</f>
        <v>21.707</v>
      </c>
      <c r="O4283" s="38" t="n">
        <f aca="false">Q!$O$24</f>
        <v>23.899</v>
      </c>
    </row>
    <row r="4284" customFormat="false" ht="17.15" hidden="false" customHeight="false" outlineLevel="0" collapsed="false">
      <c r="A4284" s="5" t="s">
        <v>727</v>
      </c>
      <c r="B4284" s="0" t="s">
        <v>86</v>
      </c>
      <c r="C4284" s="38" t="n">
        <f aca="false">Q!$D$26</f>
        <v>0</v>
      </c>
      <c r="D4284" s="38" t="n">
        <f aca="false">Q!$E$26</f>
        <v>0</v>
      </c>
      <c r="E4284" s="38" t="n">
        <f aca="false">Q!$P$26</f>
        <v>0</v>
      </c>
      <c r="F4284" s="39" t="n">
        <v>0</v>
      </c>
      <c r="G4284" s="38" t="n">
        <f aca="false">Sens!$E$4284+Sens!$F$4284</f>
        <v>0</v>
      </c>
      <c r="H4284" s="39" t="n">
        <v>0</v>
      </c>
      <c r="I4284" s="39" t="n">
        <v>0</v>
      </c>
      <c r="J4284" s="39" t="n">
        <v>0</v>
      </c>
      <c r="K4284" s="39" t="n">
        <v>0</v>
      </c>
      <c r="L4284" s="39" t="n">
        <v>0</v>
      </c>
      <c r="M4284" s="39" t="n">
        <v>0</v>
      </c>
      <c r="N4284" s="38" t="n">
        <f aca="false">Q!$N$26</f>
        <v>0</v>
      </c>
      <c r="O4284" s="38" t="n">
        <f aca="false">Q!$O$26</f>
        <v>0</v>
      </c>
    </row>
    <row r="4285" customFormat="false" ht="15" hidden="false" customHeight="false" outlineLevel="0" collapsed="false">
      <c r="A4285" s="3" t="s">
        <v>531</v>
      </c>
      <c r="B4285" s="8" t="s">
        <v>86</v>
      </c>
      <c r="C4285" s="38" t="n">
        <f aca="false">Q!$D$25</f>
        <v>68.593</v>
      </c>
      <c r="D4285" s="38" t="n">
        <f aca="false">Q!$E$25</f>
        <v>79.975</v>
      </c>
      <c r="E4285" s="38" t="n">
        <f aca="false">Q!$P$25</f>
        <v>51.313</v>
      </c>
      <c r="F4285" s="38" t="n">
        <f aca="false">Sens!$F$4275+Sens!$F$4280+Sens!$F$4283+Sens!$F$4284</f>
        <v>56.2888892369246</v>
      </c>
      <c r="G4285" s="38" t="n">
        <f aca="false">Sens!$G$4275+Sens!$G$4280+Sens!$G$4283+Sens!$G$4284</f>
        <v>107.601889236925</v>
      </c>
      <c r="H4285" s="38" t="n">
        <f aca="false">Sens!$H$4275+Sens!$H$4280+Sens!$H$4283+Sens!$H$4284</f>
        <v>127.248001838115</v>
      </c>
      <c r="I4285" s="38" t="n">
        <f aca="false">Sens!$I$4275+Sens!$I$4280+Sens!$I$4283+Sens!$I$4284</f>
        <v>148.365843365974</v>
      </c>
      <c r="J4285" s="38" t="n">
        <f aca="false">Sens!$J$4275+Sens!$J$4280+Sens!$J$4283+Sens!$J$4284</f>
        <v>168.634152617486</v>
      </c>
      <c r="K4285" s="38" t="n">
        <f aca="false">Sens!$K$4275+Sens!$K$4280+Sens!$K$4283+Sens!$K$4284</f>
        <v>182.900412193032</v>
      </c>
      <c r="L4285" s="38" t="n">
        <f aca="false">Sens!$L$4275+Sens!$L$4280+Sens!$L$4283+Sens!$L$4284</f>
        <v>198.614080574692</v>
      </c>
      <c r="M4285" s="38" t="n">
        <f aca="false">Sens!$M$4275+Sens!$M$4280+Sens!$M$4283+Sens!$M$4284</f>
        <v>214.761312599124</v>
      </c>
      <c r="N4285" s="38" t="n">
        <f aca="false">Q!$N$25</f>
        <v>37.576</v>
      </c>
      <c r="O4285" s="38" t="n">
        <f aca="false">Q!$O$25</f>
        <v>42.399</v>
      </c>
    </row>
    <row r="4286" customFormat="false" ht="17.15" hidden="false" customHeight="false" outlineLevel="0" collapsed="false">
      <c r="A4286" s="24" t="s">
        <v>758</v>
      </c>
      <c r="B4286" s="25" t="s">
        <v>86</v>
      </c>
      <c r="C4286" s="41" t="n">
        <f aca="false">Sens!$C$4275+Sens!$C$4280+Sens!$C$4283+Sens!$C$4284-Sens!$C$4285</f>
        <v>0</v>
      </c>
      <c r="D4286" s="41" t="n">
        <f aca="false">Sens!$D$4275+Sens!$D$4280+Sens!$D$4283+Sens!$D$4284-Sens!$D$4285</f>
        <v>0</v>
      </c>
      <c r="E4286" s="41" t="n">
        <f aca="false">Sens!$E$4275+Sens!$E$4280+Sens!$E$4283+Sens!$E$4284-Sens!$E$4285</f>
        <v>0</v>
      </c>
      <c r="F4286" s="41" t="n">
        <f aca="false">Sens!$F$4275+Sens!$F$4280+Sens!$F$4283+Sens!$F$4284-Sens!$F$4285</f>
        <v>0</v>
      </c>
      <c r="G4286" s="41" t="n">
        <f aca="false">Sens!$G$4275+Sens!$G$4280+Sens!$G$4283+Sens!$G$4284-Sens!$G$4285</f>
        <v>0</v>
      </c>
      <c r="H4286" s="41" t="n">
        <f aca="false">Sens!$H$4275+Sens!$H$4280+Sens!$H$4283+Sens!$H$4284-Sens!$H$4285</f>
        <v>0</v>
      </c>
      <c r="I4286" s="41" t="n">
        <f aca="false">Sens!$I$4275+Sens!$I$4280+Sens!$I$4283+Sens!$I$4284-Sens!$I$4285</f>
        <v>0</v>
      </c>
      <c r="J4286" s="41" t="n">
        <f aca="false">Sens!$J$4275+Sens!$J$4280+Sens!$J$4283+Sens!$J$4284-Sens!$J$4285</f>
        <v>0</v>
      </c>
      <c r="K4286" s="41" t="n">
        <f aca="false">Sens!$K$4275+Sens!$K$4280+Sens!$K$4283+Sens!$K$4284-Sens!$K$4285</f>
        <v>0</v>
      </c>
      <c r="L4286" s="41" t="n">
        <f aca="false">Sens!$L$4275+Sens!$L$4280+Sens!$L$4283+Sens!$L$4284-Sens!$L$4285</f>
        <v>0</v>
      </c>
      <c r="M4286" s="41" t="n">
        <f aca="false">Sens!$M$4275+Sens!$M$4280+Sens!$M$4283+Sens!$M$4284-Sens!$M$4285</f>
        <v>0</v>
      </c>
      <c r="N4286" s="41" t="n">
        <f aca="false">Sens!$N$4275+Sens!$N$4280+Sens!$N$4283+Sens!$N$4284-Sens!$N$4285</f>
        <v>0</v>
      </c>
      <c r="O4286" s="41" t="n">
        <f aca="false">Sens!$O$4275+Sens!$O$4280+Sens!$O$4283+Sens!$O$4284-Sens!$O$4285</f>
        <v>0</v>
      </c>
    </row>
    <row r="4287" customFormat="false" ht="17.15" hidden="false" customHeight="false" outlineLevel="0" collapsed="false">
      <c r="A4287" s="5" t="s">
        <v>729</v>
      </c>
      <c r="B4287" s="0" t="s">
        <v>86</v>
      </c>
      <c r="C4287" s="38" t="n">
        <f aca="false">Sens!$C$4223</f>
        <v>0</v>
      </c>
      <c r="D4287" s="38" t="n">
        <f aca="false">Sens!$D$4223</f>
        <v>0</v>
      </c>
      <c r="E4287" s="38" t="n">
        <f aca="false">Sens!$E$4223</f>
        <v>0</v>
      </c>
      <c r="F4287" s="38" t="n">
        <f aca="false">Sens!$F$4223</f>
        <v>3.77122048175818</v>
      </c>
      <c r="G4287" s="38" t="n">
        <f aca="false">Sens!$G$4223</f>
        <v>3.77122048175818</v>
      </c>
      <c r="H4287" s="38" t="n">
        <f aca="false">Sens!$H$4223</f>
        <v>15.1635543609893</v>
      </c>
      <c r="I4287" s="38" t="n">
        <f aca="false">Sens!$I$4223</f>
        <v>25.5818843619889</v>
      </c>
      <c r="J4287" s="38" t="n">
        <f aca="false">Sens!$J$4223</f>
        <v>36.0465624179122</v>
      </c>
      <c r="K4287" s="38" t="n">
        <f aca="false">Sens!$K$4223</f>
        <v>44.9741164026038</v>
      </c>
      <c r="L4287" s="38" t="n">
        <f aca="false">Sens!$L$4223</f>
        <v>50.8413488057813</v>
      </c>
      <c r="M4287" s="38" t="n">
        <f aca="false">Sens!$M$4223</f>
        <v>53.6407214274315</v>
      </c>
      <c r="N4287" s="38" t="n">
        <f aca="false">Sens!$N$4223</f>
        <v>0</v>
      </c>
      <c r="O4287" s="38" t="n">
        <f aca="false">Sens!$O$4223</f>
        <v>0</v>
      </c>
      <c r="P4287" s="5" t="s">
        <v>730</v>
      </c>
    </row>
    <row r="4288" customFormat="false" ht="17.15" hidden="false" customHeight="false" outlineLevel="0" collapsed="false">
      <c r="A4288" s="5" t="s">
        <v>731</v>
      </c>
      <c r="B4288" s="0" t="s">
        <v>86</v>
      </c>
      <c r="C4288" s="38" t="n">
        <f aca="false">Sens!$C$4285+Sens!$C$4287</f>
        <v>68.593</v>
      </c>
      <c r="D4288" s="38" t="n">
        <f aca="false">Sens!$D$4285+Sens!$D$4287</f>
        <v>79.975</v>
      </c>
      <c r="E4288" s="38" t="n">
        <f aca="false">Sens!$E$4285+Sens!$E$4287</f>
        <v>51.313</v>
      </c>
      <c r="F4288" s="38" t="n">
        <f aca="false">Sens!$F$4285+Sens!$F$4287</f>
        <v>60.0601097186828</v>
      </c>
      <c r="G4288" s="38" t="n">
        <f aca="false">Sens!$G$4285+Sens!$G$4287</f>
        <v>111.373109718683</v>
      </c>
      <c r="H4288" s="38" t="n">
        <f aca="false">Sens!$H$4285+Sens!$H$4287</f>
        <v>142.411556199104</v>
      </c>
      <c r="I4288" s="38" t="n">
        <f aca="false">Sens!$I$4285+Sens!$I$4287</f>
        <v>173.947727727963</v>
      </c>
      <c r="J4288" s="38" t="n">
        <f aca="false">Sens!$J$4285+Sens!$J$4287</f>
        <v>204.680715035398</v>
      </c>
      <c r="K4288" s="38" t="n">
        <f aca="false">Sens!$K$4285+Sens!$K$4287</f>
        <v>227.874528595636</v>
      </c>
      <c r="L4288" s="38" t="n">
        <f aca="false">Sens!$L$4285+Sens!$L$4287</f>
        <v>249.455429380473</v>
      </c>
      <c r="M4288" s="38" t="n">
        <f aca="false">Sens!$M$4285+Sens!$M$4287</f>
        <v>268.402034026555</v>
      </c>
      <c r="N4288" s="38" t="n">
        <f aca="false">Sens!$N$4285+Sens!$N$4287</f>
        <v>37.576</v>
      </c>
      <c r="O4288" s="38" t="n">
        <f aca="false">Sens!$O$4285+Sens!$O$4287</f>
        <v>42.399</v>
      </c>
    </row>
    <row r="4289" customFormat="false" ht="17.15" hidden="false" customHeight="false" outlineLevel="0" collapsed="false">
      <c r="A4289" s="0" t="s">
        <v>732</v>
      </c>
      <c r="B4289" s="0" t="s">
        <v>52</v>
      </c>
      <c r="C4289" s="13" t="n">
        <f aca="false">Sens!$C$4275/Sens!$C$4260</f>
        <v>0.0644314665661928</v>
      </c>
      <c r="D4289" s="13" t="n">
        <f aca="false">Sens!$D$4275/Sens!$D$4260</f>
        <v>0.0694784250712518</v>
      </c>
      <c r="E4289" s="13" t="n">
        <f aca="false">Sens!$E$4275/Sens!$E$4260</f>
        <v>0.0789306463326071</v>
      </c>
      <c r="F4289" s="13" t="n">
        <f aca="false">Sens!$F$4275/Sens!$F$4260</f>
        <v>0.0802271154277638</v>
      </c>
      <c r="G4289" s="13" t="n">
        <f aca="false">Sens!$G$4275/Sens!$G$4260</f>
        <v>0.0796206133714758</v>
      </c>
      <c r="H4289" s="13" t="n">
        <f aca="false">Sens!$H$4275/Sens!$H$4260</f>
        <v>0.079489236369517</v>
      </c>
      <c r="I4289" s="13" t="n">
        <f aca="false">Sens!$I$4275/Sens!$I$4260</f>
        <v>0.07882209782747</v>
      </c>
      <c r="J4289" s="13" t="n">
        <f aca="false">Sens!$J$4275/Sens!$J$4260</f>
        <v>0.0786881130629349</v>
      </c>
      <c r="K4289" s="13" t="n">
        <f aca="false">Sens!$K$4275/Sens!$K$4260</f>
        <v>0.0789844547025883</v>
      </c>
      <c r="L4289" s="13" t="n">
        <f aca="false">Sens!$L$4275/Sens!$L$4260</f>
        <v>0.0806796321142477</v>
      </c>
      <c r="M4289" s="13" t="n">
        <f aca="false">Sens!$M$4275/Sens!$M$4260</f>
        <v>0.0851374029701392</v>
      </c>
      <c r="N4289" s="13" t="n">
        <f aca="false">Sens!$N$4275/Sens!$N$4260</f>
        <v>0.069228576611127</v>
      </c>
      <c r="O4289" s="13" t="n">
        <f aca="false">Sens!$O$4275/Sens!$O$4260</f>
        <v>0.069685022498393</v>
      </c>
    </row>
    <row r="4290" customFormat="false" ht="17.15" hidden="false" customHeight="false" outlineLevel="0" collapsed="false">
      <c r="A4290" s="0" t="s">
        <v>733</v>
      </c>
      <c r="B4290" s="0" t="s">
        <v>52</v>
      </c>
      <c r="C4290" s="13" t="n">
        <f aca="false">Sens!$C$4280/Sens!$C$4261</f>
        <v>0.026534925055631</v>
      </c>
      <c r="D4290" s="13" t="n">
        <f aca="false">Sens!$D$4280/Sens!$D$4261</f>
        <v>0.0293401855535103</v>
      </c>
      <c r="E4290" s="13" t="n">
        <f aca="false">Sens!$E$4280/Sens!$E$4261</f>
        <v>0.03831141902276</v>
      </c>
      <c r="F4290" s="13" t="n">
        <f aca="false">Sens!$F$4280/Sens!$F$4261</f>
        <v>0.028186380436398</v>
      </c>
      <c r="G4290" s="13" t="n">
        <f aca="false">Sens!$G$4280/Sens!$G$4261</f>
        <v>0.0327880260521739</v>
      </c>
      <c r="H4290" s="13" t="n">
        <f aca="false">Sens!$H$4280/Sens!$H$4261</f>
        <v>0.0306936348415673</v>
      </c>
      <c r="I4290" s="13" t="n">
        <f aca="false">Sens!$I$4280/Sens!$I$4261</f>
        <v>0.028099683840482</v>
      </c>
      <c r="J4290" s="13" t="n">
        <f aca="false">Sens!$J$4280/Sens!$J$4261</f>
        <v>0.0260525463541681</v>
      </c>
      <c r="K4290" s="13" t="n">
        <f aca="false">Sens!$K$4280/Sens!$K$4261</f>
        <v>0.0244237996978309</v>
      </c>
      <c r="L4290" s="13" t="n">
        <f aca="false">Sens!$L$4280/Sens!$L$4261</f>
        <v>0.0267379121782154</v>
      </c>
      <c r="M4290" s="13" t="n">
        <f aca="false">Sens!$M$4280/Sens!$M$4261</f>
        <v>0.0318400860363929</v>
      </c>
      <c r="N4290" s="13" t="n">
        <f aca="false">Sens!$N$4280/Sens!$N$4261</f>
        <v>0.0357315650169337</v>
      </c>
      <c r="O4290" s="13" t="n">
        <f aca="false">Sens!$O$4280/Sens!$O$4261</f>
        <v>0.0244378956559703</v>
      </c>
    </row>
    <row r="4291" customFormat="false" ht="17.15" hidden="false" customHeight="false" outlineLevel="0" collapsed="false">
      <c r="A4291" s="14" t="s">
        <v>734</v>
      </c>
      <c r="B4291" s="14" t="s">
        <v>52</v>
      </c>
      <c r="C4291" s="17" t="n">
        <f aca="false">Sens!$C$4283/Sens!$C$4262</f>
        <v>0.370355907620217</v>
      </c>
      <c r="D4291" s="17" t="n">
        <f aca="false">Sens!$D$4283/Sens!$D$4262</f>
        <v>0.35429015342785</v>
      </c>
      <c r="E4291" s="17" t="n">
        <f aca="false">Sens!$E$4283/Sens!$E$4262</f>
        <v>0.385647527531039</v>
      </c>
      <c r="F4291" s="17" t="n">
        <f aca="false">Sens!$F$4283/Sens!$F$4262</f>
        <v>0.385171818673936</v>
      </c>
      <c r="G4291" s="17" t="n">
        <f aca="false">Sens!$G$4283/Sens!$G$4262</f>
        <v>0.385399799520974</v>
      </c>
      <c r="H4291" s="17" t="n">
        <f aca="false">Sens!$H$4283/Sens!$H$4262</f>
        <v>0.360029314750347</v>
      </c>
      <c r="I4291" s="17" t="n">
        <f aca="false">Sens!$I$4283/Sens!$I$4262</f>
        <v>0.346606134604193</v>
      </c>
      <c r="J4291" s="17" t="n">
        <f aca="false">Sens!$J$4283/Sens!$J$4262</f>
        <v>0.335699297156574</v>
      </c>
      <c r="K4291" s="17" t="n">
        <f aca="false">Sens!$K$4283/Sens!$K$4262</f>
        <v>0.319043289183739</v>
      </c>
      <c r="L4291" s="17" t="n">
        <f aca="false">Sens!$L$4283/Sens!$L$4262</f>
        <v>0.311918613444893</v>
      </c>
      <c r="M4291" s="17" t="n">
        <f aca="false">Sens!$M$4283/Sens!$M$4262</f>
        <v>0.306523814127389</v>
      </c>
      <c r="N4291" s="17" t="n">
        <f aca="false">Sens!$N$4283/Sens!$N$4262</f>
        <v>0.360941137346192</v>
      </c>
      <c r="O4291" s="17" t="n">
        <f aca="false">Sens!$O$4283/Sens!$O$4262</f>
        <v>0.348458117664212</v>
      </c>
    </row>
    <row r="4292" customFormat="false" ht="17.15" hidden="false" customHeight="false" outlineLevel="0" collapsed="false">
      <c r="A4292" s="0" t="s">
        <v>735</v>
      </c>
      <c r="B4292" s="0" t="s">
        <v>52</v>
      </c>
      <c r="C4292" s="13" t="n">
        <f aca="false">Sens!$C$4281/Sens!$C$4263</f>
        <v>0.708390794789371</v>
      </c>
      <c r="D4292" s="13" t="n">
        <f aca="false">Sens!$D$4281/Sens!$D$4263</f>
        <v>0.445565630441968</v>
      </c>
      <c r="E4292" s="13" t="n">
        <f aca="false">Sens!$E$4281/Sens!$E$4263</f>
        <v>0.165998118402711</v>
      </c>
      <c r="F4292" s="13" t="n">
        <f aca="false">Sens!$F$4281/Sens!$F$4263</f>
        <v>0.434878595403858</v>
      </c>
      <c r="G4292" s="13" t="n">
        <f aca="false">Sens!$G$4281/Sens!$G$4263</f>
        <v>0.3373967615381</v>
      </c>
      <c r="H4292" s="13" t="n">
        <f aca="false">Sens!$H$4281/Sens!$H$4263</f>
        <v>0.320477578041224</v>
      </c>
      <c r="I4292" s="13" t="n">
        <f aca="false">Sens!$I$4281/Sens!$I$4263</f>
        <v>0.296936118226494</v>
      </c>
      <c r="J4292" s="13" t="n">
        <f aca="false">Sens!$J$4281/Sens!$J$4263</f>
        <v>0.282166278613001</v>
      </c>
      <c r="K4292" s="13" t="n">
        <f aca="false">Sens!$K$4281/Sens!$K$4263</f>
        <v>0.252969102881543</v>
      </c>
      <c r="L4292" s="13" t="n">
        <f aca="false">Sens!$L$4281/Sens!$L$4263</f>
        <v>0.240728642826566</v>
      </c>
      <c r="M4292" s="13" t="n">
        <f aca="false">Sens!$M$4281/Sens!$M$4263</f>
        <v>0.227399920863147</v>
      </c>
      <c r="N4292" s="13" t="n">
        <f aca="false">Sens!$N$4281/Sens!$N$4263</f>
        <v>0.302870734830849</v>
      </c>
      <c r="O4292" s="13" t="n">
        <f aca="false">Sens!$O$4281/Sens!$O$4263</f>
        <v>0.52240134346334</v>
      </c>
    </row>
    <row r="4293" customFormat="false" ht="15" hidden="false" customHeight="false" outlineLevel="0" collapsed="false">
      <c r="A4293" s="5" t="s">
        <v>736</v>
      </c>
      <c r="B4293" s="0" t="s">
        <v>52</v>
      </c>
      <c r="C4293" s="13" t="n">
        <f aca="false">Sens!$C$4285/Sens!$C$4265</f>
        <v>0.107519448742004</v>
      </c>
      <c r="D4293" s="13" t="n">
        <f aca="false">Sens!$D$4285/Sens!$D$4265</f>
        <v>0.111552967957552</v>
      </c>
      <c r="E4293" s="13" t="n">
        <f aca="false">Sens!$E$4285/Sens!$E$4265</f>
        <v>0.13428328426562</v>
      </c>
      <c r="F4293" s="13" t="n">
        <f aca="false">Sens!$F$4285/Sens!$F$4265</f>
        <v>0.129167844525589</v>
      </c>
      <c r="G4293" s="13" t="n">
        <f aca="false">Sens!$G$4285/Sens!$G$4265</f>
        <v>0.131557773771988</v>
      </c>
      <c r="H4293" s="13" t="n">
        <f aca="false">Sens!$H$4285/Sens!$H$4265</f>
        <v>0.134953305697203</v>
      </c>
      <c r="I4293" s="13" t="n">
        <f aca="false">Sens!$I$4285/Sens!$I$4265</f>
        <v>0.138525158165797</v>
      </c>
      <c r="J4293" s="13" t="n">
        <f aca="false">Sens!$J$4285/Sens!$J$4265</f>
        <v>0.141102575222309</v>
      </c>
      <c r="K4293" s="13" t="n">
        <f aca="false">Sens!$K$4285/Sens!$K$4265</f>
        <v>0.140055716120186</v>
      </c>
      <c r="L4293" s="13" t="n">
        <f aca="false">Sens!$L$4285/Sens!$L$4265</f>
        <v>0.140794666220469</v>
      </c>
      <c r="M4293" s="13" t="n">
        <f aca="false">Sens!$M$4285/Sens!$M$4265</f>
        <v>0.142234889899907</v>
      </c>
      <c r="N4293" s="13" t="n">
        <f aca="false">Sens!$N$4285/Sens!$N$4265</f>
        <v>0.116201614873411</v>
      </c>
      <c r="O4293" s="13" t="n">
        <f aca="false">Sens!$O$4285/Sens!$O$4265</f>
        <v>0.107733353660861</v>
      </c>
    </row>
    <row r="4294" customFormat="false" ht="17.15" hidden="false" customHeight="false" outlineLevel="0" collapsed="false">
      <c r="A4294" s="1" t="s">
        <v>737</v>
      </c>
    </row>
    <row r="4295" customFormat="false" ht="17.15" hidden="false" customHeight="false" outlineLevel="0" collapsed="false">
      <c r="A4295" s="5" t="s">
        <v>738</v>
      </c>
      <c r="B4295" s="0" t="s">
        <v>52</v>
      </c>
      <c r="D4295" s="28" t="n">
        <f aca="false">(Q!$E$29+Q!$E$30-(1-ext_sh)*Sens!$D$4217)/Sens!$D$4173</f>
        <v>0.0334674312393194</v>
      </c>
    </row>
    <row r="4296" customFormat="false" ht="17.15" hidden="false" customHeight="false" outlineLevel="0" collapsed="false">
      <c r="A4296" s="0" t="s">
        <v>535</v>
      </c>
      <c r="B4296" s="0" t="s">
        <v>86</v>
      </c>
      <c r="C4296" s="38" t="n">
        <f aca="false">Q!$D$29</f>
        <v>14.285</v>
      </c>
      <c r="D4296" s="38" t="n">
        <f aca="false">Q!$E$29</f>
        <v>15.503</v>
      </c>
      <c r="E4296" s="38" t="n">
        <f aca="false">Q!$P$29</f>
        <v>8.78</v>
      </c>
      <c r="F4296" s="38" t="n">
        <f aca="false">(Sens!$D$4295*Sens!$F$4173+(1-ext_sh)*Sens!$F$4217)*Sens!$F$4174</f>
        <v>9.32404990199157</v>
      </c>
      <c r="G4296" s="38" t="n">
        <f aca="false">Sens!$E$4296+Sens!$F$4296</f>
        <v>18.1040499019916</v>
      </c>
      <c r="H4296" s="38" t="n">
        <f aca="false">(Sens!$D$4295*Sens!$H$4173+(1-ext_sh)*Sens!$H$4217)*Sens!$H$4174</f>
        <v>22.5684572304377</v>
      </c>
      <c r="I4296" s="38" t="n">
        <f aca="false">(Sens!$D$4295*Sens!$I$4173+(1-ext_sh)*Sens!$I$4217)*Sens!$I$4174</f>
        <v>28.248258919947</v>
      </c>
      <c r="J4296" s="38" t="n">
        <f aca="false">(Sens!$D$4295*Sens!$J$4173+(1-ext_sh)*Sens!$J$4217)*Sens!$J$4174</f>
        <v>33.9899414230341</v>
      </c>
      <c r="K4296" s="38" t="n">
        <f aca="false">(Sens!$D$4295*Sens!$K$4173+(1-ext_sh)*Sens!$K$4217)*Sens!$K$4174</f>
        <v>39.689989836725</v>
      </c>
      <c r="L4296" s="38" t="n">
        <f aca="false">(Sens!$D$4295*Sens!$L$4173+(1-ext_sh)*Sens!$L$4217)*Sens!$L$4174</f>
        <v>43.998939615425</v>
      </c>
      <c r="M4296" s="38" t="n">
        <f aca="false">(Sens!$D$4295*Sens!$M$4173+(1-ext_sh)*Sens!$M$4217)*Sens!$M$4174</f>
        <v>47.3238398369886</v>
      </c>
      <c r="N4296" s="38" t="n">
        <f aca="false">Q!$N$29</f>
        <v>7.272</v>
      </c>
      <c r="O4296" s="38" t="n">
        <f aca="false">Q!$O$29</f>
        <v>8.231</v>
      </c>
    </row>
    <row r="4297" customFormat="false" ht="17.15" hidden="false" customHeight="false" outlineLevel="0" collapsed="false">
      <c r="A4297" s="0" t="s">
        <v>537</v>
      </c>
      <c r="B4297" s="0" t="s">
        <v>86</v>
      </c>
      <c r="C4297" s="38" t="n">
        <f aca="false">Q!$D$30</f>
        <v>4.462</v>
      </c>
      <c r="D4297" s="38" t="n">
        <f aca="false">Q!$E$30</f>
        <v>4.907</v>
      </c>
      <c r="E4297" s="38" t="n">
        <f aca="false">Q!$P$30</f>
        <v>2.57</v>
      </c>
      <c r="F4297" s="38" t="n">
        <f aca="false">(Sens!$D$4295*Sens!$F$4173+(1-ext_sh)*Sens!$F$4217)*(1-Sens!$F$4174)</f>
        <v>3.66089330199472</v>
      </c>
      <c r="G4297" s="38" t="n">
        <f aca="false">Sens!$E$4297+Sens!$F$4297</f>
        <v>6.23089330199472</v>
      </c>
      <c r="H4297" s="38" t="n">
        <f aca="false">(Sens!$D$4295*Sens!$H$4173+(1-ext_sh)*Sens!$H$4217)*(1-Sens!$H$4174)</f>
        <v>8.64452776783935</v>
      </c>
      <c r="I4297" s="38" t="n">
        <f aca="false">(Sens!$D$4295*Sens!$I$4173+(1-ext_sh)*Sens!$I$4217)*(1-Sens!$I$4174)</f>
        <v>10.8200953274404</v>
      </c>
      <c r="J4297" s="38" t="n">
        <f aca="false">(Sens!$D$4295*Sens!$J$4173+(1-ext_sh)*Sens!$J$4217)*(1-Sens!$J$4174)</f>
        <v>13.0193654558882</v>
      </c>
      <c r="K4297" s="38" t="n">
        <f aca="false">(Sens!$D$4295*Sens!$K$4173+(1-ext_sh)*Sens!$K$4217)*(1-Sens!$K$4174)</f>
        <v>15.2026882363095</v>
      </c>
      <c r="L4297" s="38" t="n">
        <f aca="false">(Sens!$D$4295*Sens!$L$4173+(1-ext_sh)*Sens!$L$4217)*(1-Sens!$L$4174)</f>
        <v>16.8531703951857</v>
      </c>
      <c r="M4297" s="38" t="n">
        <f aca="false">(Sens!$D$4295*Sens!$M$4173+(1-ext_sh)*Sens!$M$4217)*(1-Sens!$M$4174)</f>
        <v>18.1267263142779</v>
      </c>
      <c r="N4297" s="38" t="n">
        <f aca="false">Q!$N$30</f>
        <v>2.316</v>
      </c>
      <c r="O4297" s="38" t="n">
        <f aca="false">Q!$O$30</f>
        <v>2.591</v>
      </c>
    </row>
    <row r="4298" customFormat="false" ht="17.15" hidden="false" customHeight="false" outlineLevel="0" collapsed="false">
      <c r="A4298" s="0" t="s">
        <v>538</v>
      </c>
      <c r="B4298" s="0" t="s">
        <v>86</v>
      </c>
      <c r="C4298" s="38" t="n">
        <f aca="false">Sens!$C$4229</f>
        <v>13.32</v>
      </c>
      <c r="D4298" s="38" t="n">
        <f aca="false">Sens!$D$4229</f>
        <v>21.45</v>
      </c>
      <c r="E4298" s="38" t="n">
        <f aca="false">Sens!$E$4229</f>
        <v>15.353</v>
      </c>
      <c r="F4298" s="38" t="n">
        <f aca="false">Sens!$F$4229</f>
        <v>16.3063747611001</v>
      </c>
      <c r="G4298" s="38" t="n">
        <f aca="false">Sens!$G$4229</f>
        <v>31.6593747611001</v>
      </c>
      <c r="H4298" s="38" t="n">
        <f aca="false">Sens!$H$4229</f>
        <v>53.124242092105</v>
      </c>
      <c r="I4298" s="38" t="n">
        <f aca="false">Sens!$I$4229</f>
        <v>78.046828098133</v>
      </c>
      <c r="J4298" s="38" t="n">
        <f aca="false">Sens!$J$4229</f>
        <v>103.663976940352</v>
      </c>
      <c r="K4298" s="38" t="n">
        <f aca="false">Sens!$K$4229</f>
        <v>129.625086115469</v>
      </c>
      <c r="L4298" s="38" t="n">
        <f aca="false">Sens!$L$4229</f>
        <v>147.435052382502</v>
      </c>
      <c r="M4298" s="38" t="n">
        <f aca="false">Sens!$M$4229</f>
        <v>159.299754080279</v>
      </c>
      <c r="N4298" s="38" t="n">
        <f aca="false">Sens!$N$4229</f>
        <v>9.234</v>
      </c>
      <c r="O4298" s="38" t="n">
        <f aca="false">Sens!$O$4229</f>
        <v>12.216</v>
      </c>
    </row>
    <row r="4299" customFormat="false" ht="17.15" hidden="false" customHeight="false" outlineLevel="0" collapsed="false">
      <c r="A4299" s="5" t="s">
        <v>739</v>
      </c>
      <c r="B4299" s="0" t="s">
        <v>86</v>
      </c>
      <c r="C4299" s="38" t="n">
        <f aca="false">Sens!$C$4296+Sens!$C$4297+Sens!$C$4298</f>
        <v>32.067</v>
      </c>
      <c r="D4299" s="38" t="n">
        <f aca="false">Sens!$D$4296+Sens!$D$4297+Sens!$D$4298</f>
        <v>41.86</v>
      </c>
      <c r="E4299" s="38" t="n">
        <f aca="false">Sens!$E$4296+Sens!$E$4297+Sens!$E$4298</f>
        <v>26.703</v>
      </c>
      <c r="F4299" s="38" t="n">
        <f aca="false">Sens!$F$4296+Sens!$F$4297+Sens!$F$4298</f>
        <v>29.2913179650864</v>
      </c>
      <c r="G4299" s="38" t="n">
        <f aca="false">Sens!$G$4296+Sens!$G$4297+Sens!$G$4298</f>
        <v>55.9943179650864</v>
      </c>
      <c r="H4299" s="38" t="n">
        <f aca="false">Sens!$H$4296+Sens!$H$4297+Sens!$H$4298</f>
        <v>84.3372270903821</v>
      </c>
      <c r="I4299" s="38" t="n">
        <f aca="false">Sens!$I$4296+Sens!$I$4297+Sens!$I$4298</f>
        <v>117.11518234552</v>
      </c>
      <c r="J4299" s="38" t="n">
        <f aca="false">Sens!$J$4296+Sens!$J$4297+Sens!$J$4298</f>
        <v>150.673283819274</v>
      </c>
      <c r="K4299" s="38" t="n">
        <f aca="false">Sens!$K$4296+Sens!$K$4297+Sens!$K$4298</f>
        <v>184.517764188503</v>
      </c>
      <c r="L4299" s="38" t="n">
        <f aca="false">Sens!$L$4296+Sens!$L$4297+Sens!$L$4298</f>
        <v>208.287162393113</v>
      </c>
      <c r="M4299" s="38" t="n">
        <f aca="false">Sens!$M$4296+Sens!$M$4297+Sens!$M$4298</f>
        <v>224.750320231546</v>
      </c>
      <c r="N4299" s="38" t="n">
        <f aca="false">Sens!$N$4296+Sens!$N$4297+Sens!$N$4298</f>
        <v>18.822</v>
      </c>
      <c r="O4299" s="38" t="n">
        <f aca="false">Sens!$O$4296+Sens!$O$4297+Sens!$O$4298</f>
        <v>23.038</v>
      </c>
    </row>
    <row r="4300" customFormat="false" ht="17.15" hidden="false" customHeight="false" outlineLevel="0" collapsed="false">
      <c r="A4300" s="0" t="s">
        <v>740</v>
      </c>
      <c r="B4300" s="0" t="s">
        <v>86</v>
      </c>
      <c r="C4300" s="38" t="n">
        <f aca="false">Sens!$C$4271+Sens!$C$4276</f>
        <v>28.107</v>
      </c>
      <c r="D4300" s="38" t="n">
        <f aca="false">Sens!$D$4271+Sens!$D$4276</f>
        <v>34.3175</v>
      </c>
      <c r="E4300" s="38" t="n">
        <f aca="false">Sens!$E$4271+Sens!$E$4276</f>
        <v>18.526</v>
      </c>
      <c r="F4300" s="38" t="n">
        <f aca="false">Sens!$F$4271+Sens!$F$4276</f>
        <v>23.0786109972074</v>
      </c>
      <c r="G4300" s="38" t="n">
        <f aca="false">Sens!$G$4271+Sens!$G$4276</f>
        <v>41.6046109972074</v>
      </c>
      <c r="H4300" s="38" t="n">
        <f aca="false">Sens!$H$4271+Sens!$H$4276</f>
        <v>50.2604957764278</v>
      </c>
      <c r="I4300" s="38" t="n">
        <f aca="false">Sens!$I$4271+Sens!$I$4276</f>
        <v>59.4096179706066</v>
      </c>
      <c r="J4300" s="38" t="n">
        <f aca="false">Sens!$J$4271+Sens!$J$4276</f>
        <v>68.678530173233</v>
      </c>
      <c r="K4300" s="38" t="n">
        <f aca="false">Sens!$K$4271+Sens!$K$4276</f>
        <v>77.6067390957533</v>
      </c>
      <c r="L4300" s="38" t="n">
        <f aca="false">Sens!$L$4271+Sens!$L$4276</f>
        <v>87.6956151782012</v>
      </c>
      <c r="M4300" s="38" t="n">
        <f aca="false">Sens!$M$4271+Sens!$M$4276</f>
        <v>99.0960451513673</v>
      </c>
      <c r="N4300" s="38" t="n">
        <f aca="false">Sens!$N$4271+Sens!$N$4276</f>
        <v>14.8075</v>
      </c>
      <c r="O4300" s="38" t="n">
        <f aca="false">Sens!$O$4271+Sens!$O$4276</f>
        <v>19.51</v>
      </c>
    </row>
    <row r="4301" customFormat="false" ht="17.15" hidden="false" customHeight="false" outlineLevel="0" collapsed="false">
      <c r="A4301" s="0" t="s">
        <v>741</v>
      </c>
      <c r="B4301" s="0" t="s">
        <v>86</v>
      </c>
      <c r="C4301" s="38" t="n">
        <f aca="false">Sens!$C$4275+Sens!$C$4280+Sens!$C$4296+Sens!$C$4297-Sens!$C$4300</f>
        <v>19.399</v>
      </c>
      <c r="D4301" s="38" t="n">
        <f aca="false">Sens!$D$4275+Sens!$D$4280+Sens!$D$4296+Sens!$D$4297-Sens!$D$4300</f>
        <v>20.4615</v>
      </c>
      <c r="E4301" s="38" t="n">
        <f aca="false">Sens!$E$4275+Sens!$E$4280+Sens!$E$4296+Sens!$E$4297-Sens!$E$4300</f>
        <v>13.355</v>
      </c>
      <c r="F4301" s="38" t="n">
        <f aca="false">Sens!$F$4275+Sens!$F$4280+Sens!$F$4296+Sens!$F$4297-Sens!$F$4300</f>
        <v>12.7882167664549</v>
      </c>
      <c r="G4301" s="38" t="n">
        <f aca="false">Sens!$G$4275+Sens!$G$4280+Sens!$G$4296+Sens!$G$4297-Sens!$G$4300</f>
        <v>26.1432167664549</v>
      </c>
      <c r="H4301" s="38" t="n">
        <f aca="false">Sens!$H$4275+Sens!$H$4280+Sens!$H$4296+Sens!$H$4297-Sens!$H$4300</f>
        <v>28.5681387180494</v>
      </c>
      <c r="I4301" s="38" t="n">
        <f aca="false">Sens!$I$4275+Sens!$I$4280+Sens!$I$4296+Sens!$I$4297-Sens!$I$4300</f>
        <v>30.880079505196</v>
      </c>
      <c r="J4301" s="38" t="n">
        <f aca="false">Sens!$J$4275+Sens!$J$4280+Sens!$J$4296+Sens!$J$4297-Sens!$J$4300</f>
        <v>33.2296901444976</v>
      </c>
      <c r="K4301" s="38" t="n">
        <f aca="false">Sens!$K$4275+Sens!$K$4280+Sens!$K$4296+Sens!$K$4297-Sens!$K$4300</f>
        <v>35.7959345667352</v>
      </c>
      <c r="L4301" s="38" t="n">
        <f aca="false">Sens!$L$4275+Sens!$L$4280+Sens!$L$4296+Sens!$L$4297-Sens!$L$4300</f>
        <v>37.6204031065354</v>
      </c>
      <c r="M4301" s="38" t="n">
        <f aca="false">Sens!$M$4275+Sens!$M$4280+Sens!$M$4296+Sens!$M$4297-Sens!$M$4300</f>
        <v>40.2815557304787</v>
      </c>
      <c r="N4301" s="38" t="n">
        <f aca="false">Sens!$N$4275+Sens!$N$4280+Sens!$N$4296+Sens!$N$4297-Sens!$N$4300</f>
        <v>10.6495</v>
      </c>
      <c r="O4301" s="38" t="n">
        <f aca="false">Sens!$O$4275+Sens!$O$4280+Sens!$O$4296+Sens!$O$4297-Sens!$O$4300</f>
        <v>9.81200000000001</v>
      </c>
    </row>
    <row r="4302" customFormat="false" ht="17.15" hidden="false" customHeight="false" outlineLevel="0" collapsed="false">
      <c r="A4302" s="0" t="s">
        <v>742</v>
      </c>
      <c r="B4302" s="0" t="s">
        <v>86</v>
      </c>
      <c r="C4302" s="38" t="n">
        <f aca="false">Sens!$C$4282+Sens!$C$4298-ext_sh*Sens!$C$4217</f>
        <v>51.3470500115664</v>
      </c>
      <c r="D4302" s="38" t="n">
        <f aca="false">Sens!$D$4282+Sens!$D$4298-ext_sh*Sens!$D$4217</f>
        <v>60.2799375433739</v>
      </c>
      <c r="E4302" s="38" t="n">
        <f aca="false">Sens!$E$4282+Sens!$E$4298-ext_sh*Sens!$E$4217</f>
        <v>39.5095167090767</v>
      </c>
      <c r="F4302" s="38" t="n">
        <f aca="false">Sens!$F$4282+Sens!$F$4298-ext_sh*Sens!$F$4217</f>
        <v>37.993321722478</v>
      </c>
      <c r="G4302" s="38" t="n">
        <f aca="false">Sens!$G$4282+Sens!$G$4298-ext_sh*Sens!$G$4217</f>
        <v>77.5028384315548</v>
      </c>
      <c r="H4302" s="38" t="n">
        <f aca="false">Sens!$H$4282+Sens!$H$4298-ext_sh*Sens!$H$4217</f>
        <v>85.2394217279746</v>
      </c>
      <c r="I4302" s="38" t="n">
        <f aca="false">Sens!$I$4282+Sens!$I$4298-ext_sh*Sens!$I$4217</f>
        <v>94.6373589713254</v>
      </c>
      <c r="J4302" s="38" t="n">
        <f aca="false">Sens!$J$4282+Sens!$J$4298-ext_sh*Sens!$J$4217</f>
        <v>103.639899284146</v>
      </c>
      <c r="K4302" s="38" t="n">
        <f aca="false">Sens!$K$4282+Sens!$K$4298-ext_sh*Sens!$K$4217</f>
        <v>111.931091226878</v>
      </c>
      <c r="L4302" s="38" t="n">
        <f aca="false">Sens!$L$4282+Sens!$L$4298-ext_sh*Sens!$L$4217</f>
        <v>120.885578525028</v>
      </c>
      <c r="M4302" s="38" t="n">
        <f aca="false">Sens!$M$4282+Sens!$M$4298-ext_sh*Sens!$M$4217</f>
        <v>130.55642480703</v>
      </c>
      <c r="N4302" s="38" t="n">
        <f aca="false">Sens!$N$4282+Sens!$N$4298-ext_sh*Sens!$N$4217</f>
        <v>28.5693781401809</v>
      </c>
      <c r="O4302" s="38" t="n">
        <f aca="false">Sens!$O$4282+Sens!$O$4298-ext_sh*Sens!$O$4217</f>
        <v>31.7105594031931</v>
      </c>
    </row>
    <row r="4303" customFormat="false" ht="17.15" hidden="false" customHeight="false" outlineLevel="0" collapsed="false">
      <c r="A4303" s="0" t="s">
        <v>743</v>
      </c>
      <c r="B4303" s="0" t="s">
        <v>86</v>
      </c>
      <c r="C4303" s="38" t="n">
        <f aca="false">Sens!$C$4220</f>
        <v>1.80694998843362</v>
      </c>
      <c r="D4303" s="38" t="n">
        <f aca="false">Sens!$D$4220</f>
        <v>6.77606245662607</v>
      </c>
      <c r="E4303" s="38" t="n">
        <f aca="false">Sens!$E$4220</f>
        <v>6.62548329092326</v>
      </c>
      <c r="F4303" s="38" t="n">
        <f aca="false">Sens!$F$4220</f>
        <v>11.7200577158706</v>
      </c>
      <c r="G4303" s="38" t="n">
        <f aca="false">Sens!$G$4220</f>
        <v>18.3455410067939</v>
      </c>
      <c r="H4303" s="38" t="n">
        <f aca="false">Sens!$H$4220</f>
        <v>47.5171727060453</v>
      </c>
      <c r="I4303" s="38" t="n">
        <f aca="false">Sens!$I$4220</f>
        <v>80.5539692643667</v>
      </c>
      <c r="J4303" s="38" t="n">
        <f aca="false">Sens!$J$4220</f>
        <v>113.759316834883</v>
      </c>
      <c r="K4303" s="38" t="n">
        <f aca="false">Sens!$K$4220</f>
        <v>142.084411492169</v>
      </c>
      <c r="L4303" s="38" t="n">
        <f aca="false">Sens!$L$4220</f>
        <v>160.69964615804</v>
      </c>
      <c r="M4303" s="38" t="n">
        <f aca="false">Sens!$M$4220</f>
        <v>169.577607141793</v>
      </c>
      <c r="N4303" s="38" t="n">
        <f aca="false">Sens!$N$4220</f>
        <v>2.37162185981912</v>
      </c>
      <c r="O4303" s="38" t="n">
        <f aca="false">Sens!$O$4220</f>
        <v>4.40444059680694</v>
      </c>
    </row>
    <row r="4304" customFormat="false" ht="17.15" hidden="false" customHeight="false" outlineLevel="0" collapsed="false">
      <c r="A4304" s="0" t="s">
        <v>744</v>
      </c>
      <c r="B4304" s="0" t="s">
        <v>86</v>
      </c>
      <c r="C4304" s="38" t="n">
        <f aca="false">Sens!$C$4285+Sens!$C$4299</f>
        <v>100.66</v>
      </c>
      <c r="D4304" s="38" t="n">
        <f aca="false">Sens!$D$4285+Sens!$D$4299</f>
        <v>121.835</v>
      </c>
      <c r="E4304" s="38" t="n">
        <f aca="false">Sens!$E$4285+Sens!$E$4299</f>
        <v>78.016</v>
      </c>
      <c r="F4304" s="38" t="n">
        <f aca="false">Sens!$F$4285+Sens!$F$4299</f>
        <v>85.580207202011</v>
      </c>
      <c r="G4304" s="38" t="n">
        <f aca="false">Sens!$G$4285+Sens!$G$4299</f>
        <v>163.596207202011</v>
      </c>
      <c r="H4304" s="38" t="n">
        <f aca="false">Sens!$H$4285+Sens!$H$4299</f>
        <v>211.585228928497</v>
      </c>
      <c r="I4304" s="38" t="n">
        <f aca="false">Sens!$I$4285+Sens!$I$4299</f>
        <v>265.481025711495</v>
      </c>
      <c r="J4304" s="38" t="n">
        <f aca="false">Sens!$J$4285+Sens!$J$4299</f>
        <v>319.30743643676</v>
      </c>
      <c r="K4304" s="38" t="n">
        <f aca="false">Sens!$K$4285+Sens!$K$4299</f>
        <v>367.418176381536</v>
      </c>
      <c r="L4304" s="38" t="n">
        <f aca="false">Sens!$L$4285+Sens!$L$4299</f>
        <v>406.901242967805</v>
      </c>
      <c r="M4304" s="38" t="n">
        <f aca="false">Sens!$M$4285+Sens!$M$4299</f>
        <v>439.51163283067</v>
      </c>
      <c r="N4304" s="38" t="n">
        <f aca="false">Sens!$N$4285+Sens!$N$4299</f>
        <v>56.398</v>
      </c>
      <c r="O4304" s="38" t="n">
        <f aca="false">Sens!$O$4285+Sens!$O$4299</f>
        <v>65.437</v>
      </c>
    </row>
    <row r="4305" customFormat="false" ht="17.15" hidden="false" customHeight="false" outlineLevel="0" collapsed="false">
      <c r="A4305" s="1" t="s">
        <v>745</v>
      </c>
    </row>
    <row r="4306" customFormat="false" ht="15" hidden="false" customHeight="false" outlineLevel="0" collapsed="false">
      <c r="A4306" s="5" t="s">
        <v>541</v>
      </c>
      <c r="B4306" s="0" t="s">
        <v>86</v>
      </c>
      <c r="C4306" s="38" t="n">
        <f aca="false">Q!$D$34</f>
        <v>2.406</v>
      </c>
      <c r="D4306" s="38" t="n">
        <f aca="false">Q!$E$34</f>
        <v>2.274</v>
      </c>
      <c r="E4306" s="38" t="n">
        <f aca="false">Q!$P$34</f>
        <v>2.114</v>
      </c>
      <c r="F4306" s="38" t="n">
        <f aca="false">Sens!$F$4344</f>
        <v>3.24888962733561</v>
      </c>
      <c r="G4306" s="38" t="n">
        <f aca="false">Sens!$E$4306+Sens!$F$4306</f>
        <v>5.36288962733561</v>
      </c>
      <c r="H4306" s="38" t="n">
        <f aca="false">Sens!$H$4344</f>
        <v>7.42354172302123</v>
      </c>
      <c r="I4306" s="38" t="n">
        <f aca="false">Sens!$I$4344</f>
        <v>8.27640606816589</v>
      </c>
      <c r="J4306" s="38" t="n">
        <f aca="false">Sens!$J$4344</f>
        <v>9.19945138162884</v>
      </c>
      <c r="K4306" s="38" t="n">
        <f aca="false">Sens!$K$4344</f>
        <v>9.19945138162884</v>
      </c>
      <c r="L4306" s="38" t="n">
        <f aca="false">Sens!$L$4344</f>
        <v>9.19945138162884</v>
      </c>
      <c r="M4306" s="38" t="n">
        <f aca="false">Sens!$M$4344</f>
        <v>9.19945138162884</v>
      </c>
      <c r="N4306" s="38" t="n">
        <f aca="false">Q!$N$34</f>
        <v>1.057</v>
      </c>
      <c r="O4306" s="38" t="n">
        <f aca="false">Q!$O$34</f>
        <v>1.217</v>
      </c>
    </row>
    <row r="4307" customFormat="false" ht="15" hidden="false" customHeight="false" outlineLevel="0" collapsed="false">
      <c r="A4307" s="5" t="s">
        <v>746</v>
      </c>
      <c r="B4307" s="0" t="s">
        <v>86</v>
      </c>
      <c r="F4307" s="38" t="n">
        <f aca="false">Sens!$F$4345</f>
        <v>2.59</v>
      </c>
      <c r="H4307" s="38" t="n">
        <f aca="false">Sens!$H$4345</f>
        <v>3.80133635330174</v>
      </c>
      <c r="I4307" s="38" t="n">
        <f aca="false">Sens!$I$4345</f>
        <v>2.10589651022864</v>
      </c>
      <c r="J4307" s="38" t="n">
        <f aca="false">Sens!$J$4345</f>
        <v>2.10589651022864</v>
      </c>
      <c r="K4307" s="38" t="n">
        <f aca="false">Sens!$K$4345</f>
        <v>3.24432305082406</v>
      </c>
      <c r="L4307" s="38" t="n">
        <f aca="false">Sens!$L$4345</f>
        <v>8.53755148148956</v>
      </c>
      <c r="M4307" s="38" t="n">
        <f aca="false">Sens!$M$4345</f>
        <v>16.4008620521791</v>
      </c>
    </row>
    <row r="4308" customFormat="false" ht="17.15" hidden="false" customHeight="false" outlineLevel="0" collapsed="false">
      <c r="A4308" s="5" t="s">
        <v>747</v>
      </c>
      <c r="B4308" s="0" t="s">
        <v>86</v>
      </c>
      <c r="C4308" s="38" t="n">
        <f aca="false">Q!$D$39</f>
        <v>2.427</v>
      </c>
      <c r="D4308" s="38" t="n">
        <f aca="false">Q!$E$39</f>
        <v>19.61</v>
      </c>
      <c r="E4308" s="38" t="n">
        <f aca="false">Q!$P$39</f>
        <v>71.492</v>
      </c>
      <c r="F4308" s="39" t="n">
        <v>0</v>
      </c>
      <c r="G4308" s="38" t="n">
        <f aca="false">Sens!$E$4308+Sens!$F$4308</f>
        <v>71.492</v>
      </c>
      <c r="H4308" s="39" t="n">
        <v>0</v>
      </c>
      <c r="I4308" s="39" t="n">
        <v>0</v>
      </c>
      <c r="J4308" s="39" t="n">
        <v>0</v>
      </c>
      <c r="K4308" s="39" t="n">
        <v>0</v>
      </c>
      <c r="L4308" s="39" t="n">
        <v>0</v>
      </c>
      <c r="M4308" s="39" t="n">
        <v>0</v>
      </c>
      <c r="N4308" s="38" t="n">
        <f aca="false">Q!$N$39</f>
        <v>6.017</v>
      </c>
      <c r="O4308" s="38" t="n">
        <f aca="false">Q!$O$39</f>
        <v>13.593</v>
      </c>
      <c r="P4308" s="5" t="s">
        <v>748</v>
      </c>
    </row>
    <row r="4309" customFormat="false" ht="15" hidden="false" customHeight="false" outlineLevel="0" collapsed="false">
      <c r="A4309" s="5" t="s">
        <v>544</v>
      </c>
      <c r="B4309" s="0" t="s">
        <v>86</v>
      </c>
      <c r="C4309" s="38" t="n">
        <f aca="false">Q!$D$36</f>
        <v>68.614</v>
      </c>
      <c r="D4309" s="38" t="n">
        <f aca="false">Q!$E$36</f>
        <v>97.311</v>
      </c>
      <c r="E4309" s="38" t="n">
        <f aca="false">Q!$P$36</f>
        <v>120.691</v>
      </c>
      <c r="F4309" s="38" t="n">
        <f aca="false">Sens!$F$4285-Sens!$F$4306+Sens!$F$4307+Sens!$F$4308</f>
        <v>55.629999609589</v>
      </c>
      <c r="G4309" s="38" t="n">
        <f aca="false">Sens!$E$4309+Sens!$F$4309</f>
        <v>176.320999609589</v>
      </c>
      <c r="H4309" s="38" t="n">
        <f aca="false">Sens!$H$4285-Sens!$H$4306+Sens!$H$4307+Sens!$H$4308</f>
        <v>123.625796468396</v>
      </c>
      <c r="I4309" s="38" t="n">
        <f aca="false">Sens!$I$4285-Sens!$I$4306+Sens!$I$4307+Sens!$I$4308</f>
        <v>142.195333808037</v>
      </c>
      <c r="J4309" s="38" t="n">
        <f aca="false">Sens!$J$4285-Sens!$J$4306+Sens!$J$4307+Sens!$J$4308</f>
        <v>161.540597746086</v>
      </c>
      <c r="K4309" s="38" t="n">
        <f aca="false">Sens!$K$4285-Sens!$K$4306+Sens!$K$4307+Sens!$K$4308</f>
        <v>176.945283862228</v>
      </c>
      <c r="L4309" s="38" t="n">
        <f aca="false">Sens!$L$4285-Sens!$L$4306+Sens!$L$4307+Sens!$L$4308</f>
        <v>197.952180674553</v>
      </c>
      <c r="M4309" s="38" t="n">
        <f aca="false">Sens!$M$4285-Sens!$M$4306+Sens!$M$4307+Sens!$M$4308</f>
        <v>221.962723269674</v>
      </c>
      <c r="N4309" s="38" t="n">
        <f aca="false">Q!$N$36</f>
        <v>42.536</v>
      </c>
      <c r="O4309" s="38" t="n">
        <f aca="false">Q!$O$36</f>
        <v>54.775</v>
      </c>
    </row>
    <row r="4310" customFormat="false" ht="15" hidden="false" customHeight="false" outlineLevel="0" collapsed="false">
      <c r="A4310" s="5" t="s">
        <v>545</v>
      </c>
      <c r="B4310" s="0" t="s">
        <v>86</v>
      </c>
      <c r="C4310" s="38" t="n">
        <f aca="false">Q!$D$37</f>
        <v>9.265</v>
      </c>
      <c r="D4310" s="38" t="n">
        <f aca="false">Q!$E$37</f>
        <v>19.087</v>
      </c>
      <c r="E4310" s="38" t="n">
        <f aca="false">Q!$P$37</f>
        <v>27.759</v>
      </c>
      <c r="F4310" s="38" t="n">
        <f aca="false">Sens!$F$4309*tax</f>
        <v>9.65650714815835</v>
      </c>
      <c r="G4310" s="38" t="n">
        <f aca="false">Sens!$E$4310+Sens!$F$4310</f>
        <v>37.4155071481584</v>
      </c>
      <c r="H4310" s="38" t="n">
        <f aca="false">Sens!$H$4309*tax</f>
        <v>21.4595253581137</v>
      </c>
      <c r="I4310" s="38" t="n">
        <f aca="false">Sens!$I$4309*tax</f>
        <v>24.6829097067868</v>
      </c>
      <c r="J4310" s="38" t="n">
        <f aca="false">Sens!$J$4309*tax</f>
        <v>28.0409481898319</v>
      </c>
      <c r="K4310" s="38" t="n">
        <f aca="false">Sens!$K$4309*tax</f>
        <v>30.7149633370478</v>
      </c>
      <c r="L4310" s="38" t="n">
        <f aca="false">Sens!$L$4309*tax</f>
        <v>34.361435575992</v>
      </c>
      <c r="M4310" s="38" t="n">
        <f aca="false">Sens!$M$4309*tax</f>
        <v>38.5292942462801</v>
      </c>
      <c r="N4310" s="38" t="n">
        <f aca="false">Q!$N$37</f>
        <v>7.231</v>
      </c>
      <c r="O4310" s="38" t="n">
        <f aca="false">Q!$O$37</f>
        <v>11.856</v>
      </c>
    </row>
    <row r="4311" customFormat="false" ht="15" hidden="false" customHeight="false" outlineLevel="0" collapsed="false">
      <c r="A4311" s="3" t="s">
        <v>546</v>
      </c>
      <c r="B4311" s="8" t="s">
        <v>86</v>
      </c>
      <c r="C4311" s="38" t="n">
        <f aca="false">Q!$D$38</f>
        <v>59.248</v>
      </c>
      <c r="D4311" s="38" t="n">
        <f aca="false">Q!$E$38</f>
        <v>77.67</v>
      </c>
      <c r="E4311" s="38" t="n">
        <f aca="false">Q!$P$38</f>
        <v>92.902</v>
      </c>
      <c r="F4311" s="38" t="n">
        <f aca="false">Sens!$F$4309-Sens!$F$4310</f>
        <v>45.9734924614306</v>
      </c>
      <c r="G4311" s="38" t="n">
        <f aca="false">Sens!$E$4311+Sens!$F$4311</f>
        <v>138.875492461431</v>
      </c>
      <c r="H4311" s="38" t="n">
        <f aca="false">Sens!$H$4309-Sens!$H$4310</f>
        <v>102.166271110282</v>
      </c>
      <c r="I4311" s="38" t="n">
        <f aca="false">Sens!$I$4309-Sens!$I$4310</f>
        <v>117.51242410125</v>
      </c>
      <c r="J4311" s="38" t="n">
        <f aca="false">Sens!$J$4309-Sens!$J$4310</f>
        <v>133.499649556254</v>
      </c>
      <c r="K4311" s="38" t="n">
        <f aca="false">Sens!$K$4309-Sens!$K$4310</f>
        <v>146.23032052518</v>
      </c>
      <c r="L4311" s="38" t="n">
        <f aca="false">Sens!$L$4309-Sens!$L$4310</f>
        <v>163.590745098561</v>
      </c>
      <c r="M4311" s="38" t="n">
        <f aca="false">Sens!$M$4309-Sens!$M$4310</f>
        <v>183.433429023394</v>
      </c>
      <c r="N4311" s="38" t="n">
        <f aca="false">Q!$N$38</f>
        <v>35.291</v>
      </c>
      <c r="O4311" s="38" t="n">
        <f aca="false">Q!$O$38</f>
        <v>42.379</v>
      </c>
    </row>
    <row r="4312" customFormat="false" ht="17.15" hidden="false" customHeight="false" outlineLevel="0" collapsed="false">
      <c r="A4312" s="5" t="s">
        <v>549</v>
      </c>
      <c r="B4312" s="5" t="s">
        <v>33</v>
      </c>
      <c r="C4312" s="22" t="n">
        <f aca="false">Q!$D$41</f>
        <v>10.721</v>
      </c>
      <c r="D4312" s="22" t="n">
        <f aca="false">Q!$E$41</f>
        <v>10.827</v>
      </c>
      <c r="E4312" s="22" t="n">
        <f aca="false">(Q!$L$41+Q!$M$41)/2</f>
        <v>10.8885</v>
      </c>
      <c r="F4312" s="22" t="n">
        <f aca="false">Sens!$G$4312</f>
        <v>10.924806</v>
      </c>
      <c r="G4312" s="22" t="n">
        <f aca="false">Q!$M$41*(1+sh_g*0.25)</f>
        <v>10.924806</v>
      </c>
      <c r="H4312" s="22" t="n">
        <f aca="false">Sens!$G$4312*(1+sh_g)</f>
        <v>11.012204448</v>
      </c>
      <c r="I4312" s="22" t="n">
        <f aca="false">Sens!$H$4312*(1+sh_g)</f>
        <v>11.100302083584</v>
      </c>
      <c r="J4312" s="22" t="n">
        <f aca="false">Sens!$I$4312*(1+sh_g)</f>
        <v>11.1891045002527</v>
      </c>
      <c r="K4312" s="22" t="n">
        <f aca="false">Sens!$J$4312*(1+sh_g)</f>
        <v>11.2786173362547</v>
      </c>
      <c r="L4312" s="22" t="n">
        <f aca="false">Sens!$K$4312*(1+sh_g)</f>
        <v>11.3688462749447</v>
      </c>
      <c r="M4312" s="22" t="n">
        <f aca="false">Sens!$L$4312*(1+sh_g)</f>
        <v>11.4597970451443</v>
      </c>
      <c r="P4312" s="5" t="s">
        <v>749</v>
      </c>
    </row>
    <row r="4313" customFormat="false" ht="17.15" hidden="false" customHeight="false" outlineLevel="0" collapsed="false">
      <c r="A4313" s="5" t="s">
        <v>750</v>
      </c>
      <c r="B4313" s="0" t="s">
        <v>86</v>
      </c>
      <c r="C4313" s="38" t="n">
        <f aca="false">Sens!$C$4311+Sens!$C$4287*(1-tax)</f>
        <v>59.248</v>
      </c>
      <c r="D4313" s="38" t="n">
        <f aca="false">Sens!$D$4311+Sens!$D$4287*(1-tax)</f>
        <v>77.67</v>
      </c>
      <c r="E4313" s="38" t="n">
        <f aca="false">Sens!$E$4311+Sens!$E$4287*(1-tax)</f>
        <v>92.902</v>
      </c>
      <c r="F4313" s="38" t="n">
        <f aca="false">Sens!$F$4311+Sens!$F$4287*(1-tax)</f>
        <v>49.0900874210793</v>
      </c>
      <c r="G4313" s="38" t="n">
        <f aca="false">Sens!$G$4311+Sens!$G$4287*(1-tax)</f>
        <v>141.992087421079</v>
      </c>
      <c r="H4313" s="38" t="n">
        <f aca="false">Sens!$H$4311+Sens!$H$4287*(1-tax)</f>
        <v>114.697667065627</v>
      </c>
      <c r="I4313" s="38" t="n">
        <f aca="false">Sens!$I$4311+Sens!$I$4287*(1-tax)</f>
        <v>138.653689176189</v>
      </c>
      <c r="J4313" s="38" t="n">
        <f aca="false">Sens!$J$4311+Sens!$J$4287*(1-tax)</f>
        <v>163.289086500538</v>
      </c>
      <c r="K4313" s="38" t="n">
        <f aca="false">Sens!$K$4311+Sens!$K$4287*(1-tax)</f>
        <v>183.397626221839</v>
      </c>
      <c r="L4313" s="38" t="n">
        <f aca="false">Sens!$L$4311+Sens!$L$4287*(1-tax)</f>
        <v>205.606822439116</v>
      </c>
      <c r="M4313" s="38" t="n">
        <f aca="false">Sens!$M$4311+Sens!$M$4287*(1-tax)</f>
        <v>227.762951214235</v>
      </c>
      <c r="N4313" s="38" t="n">
        <f aca="false">Sens!$N$4311+Sens!$N$4287*(1-tax)</f>
        <v>35.291</v>
      </c>
      <c r="O4313" s="38" t="n">
        <f aca="false">Sens!$O$4311+Sens!$O$4287*(1-tax)</f>
        <v>42.379</v>
      </c>
    </row>
    <row r="4314" customFormat="false" ht="17.15" hidden="false" customHeight="false" outlineLevel="0" collapsed="false">
      <c r="A4314" s="43" t="s">
        <v>751</v>
      </c>
      <c r="B4314" s="14" t="s">
        <v>27</v>
      </c>
      <c r="C4314" s="44" t="n">
        <f aca="false">Sens!$C$4313/Sens!$C$4312</f>
        <v>5.52635015390355</v>
      </c>
      <c r="D4314" s="44" t="n">
        <f aca="false">Sens!$D$4313/Sens!$D$4312</f>
        <v>7.1737323358271</v>
      </c>
      <c r="E4314" s="44" t="n">
        <f aca="false">Sens!$E$4313/Sens!$E$4312</f>
        <v>8.53212104513937</v>
      </c>
      <c r="F4314" s="14"/>
      <c r="G4314" s="44" t="n">
        <f aca="false">Sens!$G$4313/Sens!$G$4312</f>
        <v>12.9972182042481</v>
      </c>
      <c r="H4314" s="44" t="n">
        <f aca="false">Sens!$H$4313/Sens!$H$4312</f>
        <v>10.4155046891141</v>
      </c>
      <c r="I4314" s="44" t="n">
        <f aca="false">Sens!$I$4313/Sens!$I$4312</f>
        <v>12.4909834103741</v>
      </c>
      <c r="J4314" s="44" t="n">
        <f aca="false">Sens!$J$4313/Sens!$J$4312</f>
        <v>14.5935795395289</v>
      </c>
      <c r="K4314" s="44" t="n">
        <f aca="false">Sens!$K$4313/Sens!$K$4312</f>
        <v>16.2606479814076</v>
      </c>
      <c r="L4314" s="44" t="n">
        <f aca="false">Sens!$L$4313/Sens!$L$4312</f>
        <v>18.0851088550861</v>
      </c>
      <c r="M4314" s="44" t="n">
        <f aca="false">Sens!$M$4313/Sens!$M$4312</f>
        <v>19.8749550552243</v>
      </c>
      <c r="N4314" s="14"/>
      <c r="O4314" s="14"/>
    </row>
    <row r="4315" customFormat="false" ht="17.15" hidden="false" customHeight="false" outlineLevel="0" collapsed="false">
      <c r="A4315" s="0" t="s">
        <v>752</v>
      </c>
      <c r="B4315" s="0" t="s">
        <v>27</v>
      </c>
      <c r="C4315" s="30" t="n">
        <f aca="false">Sens!$C$4311/Sens!$C$4312</f>
        <v>5.52635015390355</v>
      </c>
      <c r="D4315" s="30" t="n">
        <f aca="false">Sens!$D$4311/Sens!$D$4312</f>
        <v>7.1737323358271</v>
      </c>
      <c r="E4315" s="30" t="n">
        <f aca="false">Sens!$E$4311/Sens!$E$4312</f>
        <v>8.53212104513937</v>
      </c>
      <c r="G4315" s="30" t="n">
        <f aca="false">Sens!$G$4311/Sens!$G$4312</f>
        <v>12.7119412886078</v>
      </c>
      <c r="H4315" s="30" t="n">
        <f aca="false">Sens!$H$4311/Sens!$H$4312</f>
        <v>9.27754943097129</v>
      </c>
      <c r="I4315" s="30" t="n">
        <f aca="false">Sens!$I$4311/Sens!$I$4312</f>
        <v>10.5864167674352</v>
      </c>
      <c r="J4315" s="30" t="n">
        <f aca="false">Sens!$J$4311/Sens!$J$4312</f>
        <v>11.9312184056588</v>
      </c>
      <c r="K4315" s="30" t="n">
        <f aca="false">Sens!$K$4311/Sens!$K$4312</f>
        <v>12.9652701360058</v>
      </c>
      <c r="L4315" s="30" t="n">
        <f aca="false">Sens!$L$4311/Sens!$L$4312</f>
        <v>14.3893884341712</v>
      </c>
      <c r="M4315" s="30" t="n">
        <f aca="false">Sens!$M$4311/Sens!$M$4312</f>
        <v>16.0066908952038</v>
      </c>
    </row>
    <row r="4316" customFormat="false" ht="17.15" hidden="false" customHeight="false" outlineLevel="0" collapsed="false">
      <c r="A4316" s="0" t="s">
        <v>753</v>
      </c>
      <c r="B4316" s="0" t="s">
        <v>27</v>
      </c>
      <c r="C4316" s="30" t="n">
        <f aca="false">(Sens!$C$4311-Sens!$C$4308*(1-tax))/Sens!$C$4312</f>
        <v>5.33926775917445</v>
      </c>
      <c r="D4316" s="30" t="n">
        <f aca="false">(Sens!$D$4311-Sens!$D$4308*(1-tax))/Sens!$D$4312</f>
        <v>5.67691812755503</v>
      </c>
      <c r="E4316" s="30" t="n">
        <f aca="false">(Sens!$E$4311-Sens!$E$4308*(1-tax))/Sens!$E$4312</f>
        <v>3.10602057006846</v>
      </c>
      <c r="G4316" s="30" t="n">
        <f aca="false">(Sens!$G$4311-Sens!$G$4308*(1-tax))/Sens!$G$4312</f>
        <v>7.30387317071086</v>
      </c>
      <c r="H4316" s="30" t="n">
        <f aca="false">(Sens!$H$4311-Sens!$H$4308*(1-tax))/Sens!$H$4312</f>
        <v>9.27754943097129</v>
      </c>
      <c r="I4316" s="30" t="n">
        <f aca="false">(Sens!$I$4311-Sens!$I$4308*(1-tax))/Sens!$I$4312</f>
        <v>10.5864167674352</v>
      </c>
      <c r="J4316" s="30" t="n">
        <f aca="false">(Sens!$J$4311-Sens!$J$4308*(1-tax))/Sens!$J$4312</f>
        <v>11.9312184056588</v>
      </c>
      <c r="K4316" s="30" t="n">
        <f aca="false">(Sens!$K$4311-Sens!$K$4308*(1-tax))/Sens!$K$4312</f>
        <v>12.9652701360058</v>
      </c>
      <c r="L4316" s="30" t="n">
        <f aca="false">(Sens!$L$4311-Sens!$L$4308*(1-tax))/Sens!$L$4312</f>
        <v>14.3893884341712</v>
      </c>
      <c r="M4316" s="30" t="n">
        <f aca="false">(Sens!$M$4311-Sens!$M$4308*(1-tax))/Sens!$M$4312</f>
        <v>16.0066908952038</v>
      </c>
      <c r="P4316" s="5" t="s">
        <v>754</v>
      </c>
    </row>
    <row r="4317" customFormat="false" ht="17.15" hidden="false" customHeight="false" outlineLevel="0" collapsed="false">
      <c r="A4317" s="0" t="s">
        <v>755</v>
      </c>
      <c r="B4317" s="0" t="s">
        <v>52</v>
      </c>
      <c r="H4317" s="13" t="n">
        <f aca="false">Sens!$H$4314/Sens!$G$4314-1</f>
        <v>-0.198635852269545</v>
      </c>
      <c r="I4317" s="13" t="n">
        <f aca="false">Sens!$I$4314/Sens!$H$4314-1</f>
        <v>0.199268185576193</v>
      </c>
      <c r="J4317" s="13" t="n">
        <f aca="false">Sens!$J$4314/Sens!$I$4314-1</f>
        <v>0.168329110693434</v>
      </c>
      <c r="K4317" s="13" t="n">
        <f aca="false">Sens!$K$4314/Sens!$J$4314-1</f>
        <v>0.11423300481991</v>
      </c>
      <c r="L4317" s="13" t="n">
        <f aca="false">Sens!$L$4314/Sens!$K$4314-1</f>
        <v>0.112200994435437</v>
      </c>
      <c r="M4317" s="13" t="n">
        <f aca="false">Sens!$M$4314/Sens!$L$4314-1</f>
        <v>0.0989679528323531</v>
      </c>
    </row>
    <row r="4320" customFormat="false" ht="19.4" hidden="false" customHeight="false" outlineLevel="0" collapsed="false">
      <c r="A4320" s="31" t="s">
        <v>1215</v>
      </c>
    </row>
    <row r="4321" customFormat="false" ht="17.15" hidden="false" customHeight="false" outlineLevel="0" collapsed="false">
      <c r="A4321" s="6" t="s">
        <v>16</v>
      </c>
      <c r="B4321" s="6" t="s">
        <v>17</v>
      </c>
      <c r="C4321" s="20" t="s">
        <v>494</v>
      </c>
      <c r="D4321" s="20" t="s">
        <v>495</v>
      </c>
      <c r="E4321" s="20" t="s">
        <v>577</v>
      </c>
      <c r="F4321" s="20" t="s">
        <v>578</v>
      </c>
      <c r="G4321" s="20" t="s">
        <v>579</v>
      </c>
      <c r="H4321" s="20" t="s">
        <v>580</v>
      </c>
      <c r="I4321" s="20" t="s">
        <v>581</v>
      </c>
      <c r="J4321" s="20" t="s">
        <v>582</v>
      </c>
      <c r="K4321" s="20" t="s">
        <v>583</v>
      </c>
      <c r="L4321" s="20" t="s">
        <v>584</v>
      </c>
      <c r="M4321" s="20" t="s">
        <v>585</v>
      </c>
      <c r="N4321" s="20" t="s">
        <v>586</v>
      </c>
      <c r="O4321" s="20" t="s">
        <v>587</v>
      </c>
      <c r="P4321" s="6" t="s">
        <v>23</v>
      </c>
      <c r="R4321" s="20" t="n">
        <v>2023</v>
      </c>
      <c r="S4321" s="20" t="n">
        <v>2024</v>
      </c>
      <c r="T4321" s="20" t="n">
        <v>2025</v>
      </c>
      <c r="U4321" s="20" t="n">
        <v>2026</v>
      </c>
      <c r="V4321" s="20" t="n">
        <v>2027</v>
      </c>
      <c r="W4321" s="20" t="n">
        <v>2028</v>
      </c>
      <c r="X4321" s="20" t="n">
        <v>2029</v>
      </c>
      <c r="Y4321" s="20" t="n">
        <v>2030</v>
      </c>
      <c r="Z4321" s="20" t="n">
        <v>2031</v>
      </c>
      <c r="AA4321" s="20" t="n">
        <v>2032</v>
      </c>
    </row>
    <row r="4322" customFormat="false" ht="15" hidden="false" customHeight="false" outlineLevel="0" collapsed="false">
      <c r="A4322" s="5" t="s">
        <v>546</v>
      </c>
      <c r="B4322" s="0" t="s">
        <v>86</v>
      </c>
      <c r="C4322" s="38" t="n">
        <f aca="false">Sens!$C$4311</f>
        <v>59.248</v>
      </c>
      <c r="D4322" s="38" t="n">
        <f aca="false">Sens!$D$4311</f>
        <v>77.67</v>
      </c>
      <c r="E4322" s="38" t="n">
        <f aca="false">Sens!$E$4311</f>
        <v>92.902</v>
      </c>
      <c r="F4322" s="38" t="n">
        <f aca="false">Sens!$F$4311</f>
        <v>45.9734924614306</v>
      </c>
      <c r="G4322" s="38" t="n">
        <f aca="false">Sens!$G$4311</f>
        <v>138.875492461431</v>
      </c>
      <c r="H4322" s="38" t="n">
        <f aca="false">Sens!$H$4311</f>
        <v>102.166271110282</v>
      </c>
      <c r="I4322" s="38" t="n">
        <f aca="false">Sens!$I$4311</f>
        <v>117.51242410125</v>
      </c>
      <c r="J4322" s="38" t="n">
        <f aca="false">Sens!$J$4311</f>
        <v>133.499649556254</v>
      </c>
      <c r="K4322" s="38" t="n">
        <f aca="false">Sens!$K$4311</f>
        <v>146.23032052518</v>
      </c>
      <c r="L4322" s="38" t="n">
        <f aca="false">Sens!$L$4311</f>
        <v>163.590745098561</v>
      </c>
      <c r="M4322" s="38" t="n">
        <f aca="false">Sens!$M$4311</f>
        <v>183.433429023394</v>
      </c>
    </row>
    <row r="4323" customFormat="false" ht="17.15" hidden="false" customHeight="false" outlineLevel="0" collapsed="false">
      <c r="A4323" s="5" t="s">
        <v>778</v>
      </c>
      <c r="B4323" s="0" t="s">
        <v>86</v>
      </c>
      <c r="C4323" s="38" t="n">
        <f aca="false">Sens!$C$4299</f>
        <v>32.067</v>
      </c>
      <c r="D4323" s="38" t="n">
        <f aca="false">Sens!$D$4299</f>
        <v>41.86</v>
      </c>
      <c r="E4323" s="38" t="n">
        <f aca="false">Sens!$E$4299</f>
        <v>26.703</v>
      </c>
      <c r="F4323" s="38" t="n">
        <f aca="false">Sens!$F$4299</f>
        <v>29.2913179650864</v>
      </c>
      <c r="G4323" s="38" t="n">
        <f aca="false">Sens!$G$4299</f>
        <v>55.9943179650864</v>
      </c>
      <c r="H4323" s="38" t="n">
        <f aca="false">Sens!$H$4299</f>
        <v>84.3372270903821</v>
      </c>
      <c r="I4323" s="38" t="n">
        <f aca="false">Sens!$I$4299</f>
        <v>117.11518234552</v>
      </c>
      <c r="J4323" s="38" t="n">
        <f aca="false">Sens!$J$4299</f>
        <v>150.673283819274</v>
      </c>
      <c r="K4323" s="38" t="n">
        <f aca="false">Sens!$K$4299</f>
        <v>184.517764188503</v>
      </c>
      <c r="L4323" s="38" t="n">
        <f aca="false">Sens!$L$4299</f>
        <v>208.287162393113</v>
      </c>
      <c r="M4323" s="38" t="n">
        <f aca="false">Sens!$M$4299</f>
        <v>224.750320231546</v>
      </c>
    </row>
    <row r="4324" customFormat="false" ht="15" hidden="false" customHeight="false" outlineLevel="0" collapsed="false">
      <c r="A4324" s="5" t="s">
        <v>779</v>
      </c>
      <c r="B4324" s="0" t="s">
        <v>86</v>
      </c>
      <c r="C4324" s="38" t="n">
        <f aca="false">Q!$D$48</f>
        <v>22.011</v>
      </c>
      <c r="D4324" s="38" t="n">
        <f aca="false">Q!$E$48</f>
        <v>19.467</v>
      </c>
      <c r="E4324" s="38" t="n">
        <f aca="false">Q!$P$48</f>
        <v>10.07</v>
      </c>
      <c r="F4324" s="38" t="n">
        <f aca="false">sbc_r*Sens!$F$4241</f>
        <v>10.8507035798037</v>
      </c>
      <c r="G4324" s="38" t="n">
        <f aca="false">Sens!$E$4324+Sens!$F$4324</f>
        <v>20.9207035798037</v>
      </c>
      <c r="H4324" s="38" t="n">
        <f aca="false">sbc_r*Sens!$H$4241</f>
        <v>23.4777826380942</v>
      </c>
      <c r="I4324" s="38" t="n">
        <f aca="false">sbc_r*Sens!$I$4241</f>
        <v>26.6682739744594</v>
      </c>
      <c r="J4324" s="38" t="n">
        <f aca="false">sbc_r*Sens!$J$4241</f>
        <v>29.7577593890437</v>
      </c>
      <c r="K4324" s="38" t="n">
        <f aca="false">sbc_r*Sens!$K$4241</f>
        <v>32.516476491721</v>
      </c>
      <c r="L4324" s="38" t="n">
        <f aca="false">sbc_r*Sens!$L$4241</f>
        <v>35.1247680383598</v>
      </c>
      <c r="M4324" s="38" t="n">
        <f aca="false">sbc_r*Sens!$M$4241</f>
        <v>37.5958182996773</v>
      </c>
    </row>
    <row r="4325" customFormat="false" ht="17.15" hidden="false" customHeight="false" outlineLevel="0" collapsed="false">
      <c r="A4325" s="5" t="s">
        <v>780</v>
      </c>
      <c r="B4325" s="0" t="s">
        <v>86</v>
      </c>
      <c r="C4325" s="38" t="n">
        <f aca="false">Q!$D$44-Sens!$C$4322-Sens!$C$4323-Sens!$C$4324</f>
        <v>2.551</v>
      </c>
      <c r="D4325" s="38" t="n">
        <f aca="false">Q!$E$44-Sens!$D$4322-Sens!$D$4323-Sens!$D$4324</f>
        <v>0.51700000000001</v>
      </c>
      <c r="E4325" s="38" t="n">
        <f aca="false">Q!$P$44-Sens!$E$4322-Sens!$E$4323-Sens!$E$4324</f>
        <v>-58.256</v>
      </c>
      <c r="F4325" s="38" t="n">
        <f aca="false">oth_r*Sens!$F$4241</f>
        <v>5.22265251035878</v>
      </c>
      <c r="G4325" s="38" t="n">
        <f aca="false">Sens!$E$4325+Sens!$F$4325</f>
        <v>-53.0333474896412</v>
      </c>
      <c r="H4325" s="38" t="n">
        <f aca="false">oth_r*Sens!$H$4241</f>
        <v>11.3003087339632</v>
      </c>
      <c r="I4325" s="38" t="n">
        <f aca="false">oth_r*Sens!$I$4241</f>
        <v>12.8359536315124</v>
      </c>
      <c r="J4325" s="38" t="n">
        <f aca="false">oth_r*Sens!$J$4241</f>
        <v>14.322982434532</v>
      </c>
      <c r="K4325" s="38" t="n">
        <f aca="false">oth_r*Sens!$K$4241</f>
        <v>15.6508060816994</v>
      </c>
      <c r="L4325" s="38" t="n">
        <f aca="false">oth_r*Sens!$L$4241</f>
        <v>16.9062270130348</v>
      </c>
      <c r="M4325" s="38" t="n">
        <f aca="false">oth_r*Sens!$M$4241</f>
        <v>18.0955910718331</v>
      </c>
      <c r="P4325" s="8" t="s">
        <v>781</v>
      </c>
    </row>
    <row r="4326" customFormat="false" ht="15" hidden="false" customHeight="false" outlineLevel="0" collapsed="false">
      <c r="A4326" s="3" t="s">
        <v>552</v>
      </c>
      <c r="B4326" s="8" t="s">
        <v>86</v>
      </c>
      <c r="C4326" s="38" t="n">
        <f aca="false">Q!$D$44</f>
        <v>115.877</v>
      </c>
      <c r="D4326" s="38" t="n">
        <f aca="false">Q!$E$44</f>
        <v>139.514</v>
      </c>
      <c r="E4326" s="38" t="n">
        <f aca="false">Q!$P$44</f>
        <v>71.419</v>
      </c>
      <c r="F4326" s="38" t="n">
        <f aca="false">Sens!$F$4322+Sens!$F$4323+Sens!$F$4324+Sens!$F$4325</f>
        <v>91.3381665166794</v>
      </c>
      <c r="G4326" s="38" t="n">
        <f aca="false">Sens!$E$4326+Sens!$F$4326</f>
        <v>162.757166516679</v>
      </c>
      <c r="H4326" s="38" t="n">
        <f aca="false">Sens!$H$4322+Sens!$H$4323+Sens!$H$4324+Sens!$H$4325</f>
        <v>221.281589572721</v>
      </c>
      <c r="I4326" s="38" t="n">
        <f aca="false">Sens!$I$4322+Sens!$I$4323+Sens!$I$4324+Sens!$I$4325</f>
        <v>274.131834052742</v>
      </c>
      <c r="J4326" s="38" t="n">
        <f aca="false">Sens!$J$4322+Sens!$J$4323+Sens!$J$4324+Sens!$J$4325</f>
        <v>328.253675199104</v>
      </c>
      <c r="K4326" s="38" t="n">
        <f aca="false">Sens!$K$4322+Sens!$K$4323+Sens!$K$4324+Sens!$K$4325</f>
        <v>378.915367287104</v>
      </c>
      <c r="L4326" s="38" t="n">
        <f aca="false">Sens!$L$4322+Sens!$L$4323+Sens!$L$4324+Sens!$L$4325</f>
        <v>423.908902543068</v>
      </c>
      <c r="M4326" s="38" t="n">
        <f aca="false">Sens!$M$4322+Sens!$M$4323+Sens!$M$4324+Sens!$M$4325</f>
        <v>463.87515862645</v>
      </c>
    </row>
    <row r="4327" customFormat="false" ht="17.15" hidden="false" customHeight="false" outlineLevel="0" collapsed="false">
      <c r="A4327" s="5" t="s">
        <v>782</v>
      </c>
      <c r="B4327" s="0" t="s">
        <v>86</v>
      </c>
      <c r="C4327" s="38" t="n">
        <f aca="false">Sens!$C$4210</f>
        <v>25.2781053077374</v>
      </c>
      <c r="D4327" s="38" t="n">
        <f aca="false">Sens!$D$4210</f>
        <v>69.5686316310026</v>
      </c>
      <c r="E4327" s="38" t="n">
        <f aca="false">Sens!$E$4210</f>
        <v>64.1899206485108</v>
      </c>
      <c r="F4327" s="38" t="n">
        <f aca="false">Sens!$F$4210</f>
        <v>96.2481299895</v>
      </c>
      <c r="G4327" s="38" t="n">
        <f aca="false">Sens!$G$4210</f>
        <v>160.438050638011</v>
      </c>
      <c r="H4327" s="38" t="n">
        <f aca="false">Sens!$H$4210</f>
        <v>198.57136494475</v>
      </c>
      <c r="I4327" s="38" t="n">
        <f aca="false">Sens!$I$4210</f>
        <v>204.6464699105</v>
      </c>
      <c r="J4327" s="38" t="n">
        <f aca="false">Sens!$J$4210</f>
        <v>209.8832381105</v>
      </c>
      <c r="K4327" s="38" t="n">
        <f aca="false">Sens!$K$4210</f>
        <v>155.238385275201</v>
      </c>
      <c r="L4327" s="38" t="n">
        <f aca="false">Sens!$L$4210</f>
        <v>132.014141639902</v>
      </c>
      <c r="M4327" s="38" t="n">
        <f aca="false">Sens!$M$4210</f>
        <v>132.230981659852</v>
      </c>
    </row>
    <row r="4328" customFormat="false" ht="17.15" hidden="false" customHeight="false" outlineLevel="0" collapsed="false">
      <c r="A4328" s="5" t="s">
        <v>783</v>
      </c>
      <c r="B4328" s="0" t="s">
        <v>86</v>
      </c>
      <c r="C4328" s="38" t="n">
        <f aca="false">cx_awso*Sens!$C$4239</f>
        <v>21.0469989286053</v>
      </c>
      <c r="D4328" s="38" t="n">
        <f aca="false">cx_awso*Sens!$D$4239</f>
        <v>24.0042459822698</v>
      </c>
      <c r="E4328" s="38" t="n">
        <f aca="false">cx_awso*Sens!$E$4239</f>
        <v>14.261729404886</v>
      </c>
      <c r="F4328" s="38" t="n">
        <f aca="false">cx_awso*Sens!$F$4239</f>
        <v>14.3538599588493</v>
      </c>
      <c r="G4328" s="38" t="n">
        <f aca="false">Sens!$E$4328+Sens!$F$4328</f>
        <v>28.6155893637353</v>
      </c>
      <c r="H4328" s="38" t="n">
        <f aca="false">cx_awso*Sens!$H$4239</f>
        <v>32.2034154158406</v>
      </c>
      <c r="I4328" s="38" t="n">
        <f aca="false">cx_awso*Sens!$I$4239</f>
        <v>35.7539519042915</v>
      </c>
      <c r="J4328" s="38" t="n">
        <f aca="false">cx_awso*Sens!$J$4239</f>
        <v>39.1551076091815</v>
      </c>
      <c r="K4328" s="38" t="n">
        <f aca="false">cx_awso*Sens!$K$4239</f>
        <v>42.287516217916</v>
      </c>
      <c r="L4328" s="38" t="n">
        <f aca="false">cx_awso*Sens!$L$4239</f>
        <v>45.6705175153492</v>
      </c>
      <c r="M4328" s="38" t="n">
        <f aca="false">cx_awso*Sens!$M$4239</f>
        <v>49.3241589165772</v>
      </c>
    </row>
    <row r="4329" customFormat="false" ht="17.15" hidden="false" customHeight="false" outlineLevel="0" collapsed="false">
      <c r="A4329" s="5" t="s">
        <v>784</v>
      </c>
      <c r="B4329" s="0" t="s">
        <v>86</v>
      </c>
      <c r="C4329" s="38" t="n">
        <f aca="false">Q!$D$46-Sens!$C$4327-Sens!$C$4328</f>
        <v>31.3328957636573</v>
      </c>
      <c r="D4329" s="38" t="n">
        <f aca="false">Q!$E$46-Sens!$D$4327-Sens!$D$4328</f>
        <v>34.7471223867276</v>
      </c>
      <c r="E4329" s="38" t="n">
        <f aca="false">Q!$P$46-Sens!$E$4327-Sens!$E$4328</f>
        <v>17.8583499466032</v>
      </c>
      <c r="F4329" s="38" t="n">
        <f aca="false">cx_rt*Sens!$F$4173</f>
        <v>20.6195895799373</v>
      </c>
      <c r="G4329" s="38" t="n">
        <f aca="false">Sens!$E$4329+Sens!$F$4329</f>
        <v>38.4779395265405</v>
      </c>
      <c r="H4329" s="38" t="n">
        <f aca="false">cx_rt*Sens!$H$4173</f>
        <v>42.6347655819557</v>
      </c>
      <c r="I4329" s="38" t="n">
        <f aca="false">cx_rt*Sens!$I$4173</f>
        <v>46.7134867002408</v>
      </c>
      <c r="J4329" s="38" t="n">
        <f aca="false">cx_rt*Sens!$J$4173</f>
        <v>50.5858307584282</v>
      </c>
      <c r="K4329" s="38" t="n">
        <f aca="false">cx_rt*Sens!$K$4173</f>
        <v>54.113099340186</v>
      </c>
      <c r="L4329" s="38" t="n">
        <f aca="false">cx_rt*Sens!$L$4173</f>
        <v>57.9267838380165</v>
      </c>
      <c r="M4329" s="38" t="n">
        <f aca="false">cx_rt*Sens!$M$4173</f>
        <v>62.0540093592106</v>
      </c>
    </row>
    <row r="4330" customFormat="false" ht="15" hidden="false" customHeight="false" outlineLevel="0" collapsed="false">
      <c r="A4330" s="3" t="s">
        <v>785</v>
      </c>
      <c r="B4330" s="8" t="s">
        <v>86</v>
      </c>
      <c r="C4330" s="38" t="n">
        <f aca="false">Q!$D$46</f>
        <v>77.658</v>
      </c>
      <c r="D4330" s="38" t="n">
        <f aca="false">Q!$E$46</f>
        <v>128.32</v>
      </c>
      <c r="E4330" s="38" t="n">
        <f aca="false">Q!$P$46</f>
        <v>96.31</v>
      </c>
      <c r="F4330" s="38" t="n">
        <f aca="false">Sens!$F$4327+Sens!$F$4328+Sens!$F$4329</f>
        <v>131.221579528287</v>
      </c>
      <c r="G4330" s="38" t="n">
        <f aca="false">Sens!$E$4330+Sens!$F$4330</f>
        <v>227.531579528287</v>
      </c>
      <c r="H4330" s="38" t="n">
        <f aca="false">Sens!$H$4327+Sens!$H$4328+Sens!$H$4329</f>
        <v>273.409545942546</v>
      </c>
      <c r="I4330" s="38" t="n">
        <f aca="false">Sens!$I$4327+Sens!$I$4328+Sens!$I$4329</f>
        <v>287.113908515032</v>
      </c>
      <c r="J4330" s="38" t="n">
        <f aca="false">Sens!$J$4327+Sens!$J$4328+Sens!$J$4329</f>
        <v>299.62417647811</v>
      </c>
      <c r="K4330" s="38" t="n">
        <f aca="false">Sens!$K$4327+Sens!$K$4328+Sens!$K$4329</f>
        <v>251.639000833303</v>
      </c>
      <c r="L4330" s="38" t="n">
        <f aca="false">Sens!$L$4327+Sens!$L$4328+Sens!$L$4329</f>
        <v>235.611442993267</v>
      </c>
      <c r="M4330" s="38" t="n">
        <f aca="false">Sens!$M$4327+Sens!$M$4328+Sens!$M$4329</f>
        <v>243.60914993564</v>
      </c>
    </row>
    <row r="4331" customFormat="false" ht="17.15" hidden="false" customHeight="false" outlineLevel="0" collapsed="false">
      <c r="A4331" s="5" t="s">
        <v>560</v>
      </c>
      <c r="B4331" s="0" t="s">
        <v>86</v>
      </c>
      <c r="C4331" s="38" t="n">
        <f aca="false">Q!$D$50</f>
        <v>2.043</v>
      </c>
      <c r="D4331" s="38" t="n">
        <f aca="false">Q!$E$50</f>
        <v>1.557</v>
      </c>
      <c r="E4331" s="38" t="n">
        <f aca="false">lease_pr/2</f>
        <v>0.8</v>
      </c>
      <c r="F4331" s="38" t="n">
        <f aca="false">lease_pr/2</f>
        <v>0.8</v>
      </c>
      <c r="G4331" s="38" t="n">
        <f aca="false">Sens!$E$4331+Sens!$F$4331</f>
        <v>1.6</v>
      </c>
      <c r="H4331" s="38" t="n">
        <f aca="false">lease_pr</f>
        <v>1.6</v>
      </c>
      <c r="I4331" s="38" t="n">
        <f aca="false">lease_pr</f>
        <v>1.6</v>
      </c>
      <c r="J4331" s="38" t="n">
        <f aca="false">lease_pr</f>
        <v>1.6</v>
      </c>
      <c r="K4331" s="38" t="n">
        <f aca="false">lease_pr</f>
        <v>1.6</v>
      </c>
      <c r="L4331" s="38" t="n">
        <f aca="false">lease_pr</f>
        <v>1.6</v>
      </c>
      <c r="M4331" s="38" t="n">
        <f aca="false">lease_pr</f>
        <v>1.6</v>
      </c>
      <c r="P4331" s="8" t="s">
        <v>786</v>
      </c>
    </row>
    <row r="4332" customFormat="false" ht="15" hidden="false" customHeight="false" outlineLevel="0" collapsed="false">
      <c r="A4332" s="47" t="s">
        <v>787</v>
      </c>
      <c r="B4332" s="14" t="s">
        <v>86</v>
      </c>
      <c r="C4332" s="48" t="n">
        <f aca="false">Sens!$C$4326-Sens!$C$4330-Sens!$C$4331</f>
        <v>36.176</v>
      </c>
      <c r="D4332" s="48" t="n">
        <f aca="false">Sens!$D$4326-Sens!$D$4330-Sens!$D$4331</f>
        <v>9.63700000000002</v>
      </c>
      <c r="E4332" s="48" t="n">
        <f aca="false">Sens!$E$4326-Sens!$E$4330-Sens!$E$4331</f>
        <v>-25.691</v>
      </c>
      <c r="F4332" s="48" t="n">
        <f aca="false">Sens!$F$4326-Sens!$F$4330-Sens!$F$4331</f>
        <v>-40.6834130116072</v>
      </c>
      <c r="G4332" s="48" t="n">
        <f aca="false">Sens!$G$4326-Sens!$G$4330-Sens!$G$4331</f>
        <v>-66.3744130116072</v>
      </c>
      <c r="H4332" s="48" t="n">
        <f aca="false">Sens!$H$4326-Sens!$H$4330-Sens!$H$4331</f>
        <v>-53.7279563698251</v>
      </c>
      <c r="I4332" s="48" t="n">
        <f aca="false">Sens!$I$4326-Sens!$I$4330-Sens!$I$4331</f>
        <v>-14.58207446229</v>
      </c>
      <c r="J4332" s="48" t="n">
        <f aca="false">Sens!$J$4326-Sens!$J$4330-Sens!$J$4331</f>
        <v>27.0294987209942</v>
      </c>
      <c r="K4332" s="48" t="n">
        <f aca="false">Sens!$K$4326-Sens!$K$4330-Sens!$K$4331</f>
        <v>125.676366453801</v>
      </c>
      <c r="L4332" s="48" t="n">
        <f aca="false">Sens!$L$4326-Sens!$L$4330-Sens!$L$4331</f>
        <v>186.697459549801</v>
      </c>
      <c r="M4332" s="48" t="n">
        <f aca="false">Sens!$M$4326-Sens!$M$4330-Sens!$M$4331</f>
        <v>218.66600869081</v>
      </c>
      <c r="N4332" s="14"/>
      <c r="O4332" s="14"/>
    </row>
    <row r="4333" customFormat="false" ht="17.15" hidden="false" customHeight="false" outlineLevel="0" collapsed="false">
      <c r="A4333" s="5" t="s">
        <v>788</v>
      </c>
      <c r="B4333" s="0" t="s">
        <v>86</v>
      </c>
      <c r="C4333" s="38" t="n">
        <f aca="false">dps*Sens!$C$4312</f>
        <v>0</v>
      </c>
      <c r="D4333" s="38" t="n">
        <f aca="false">dps*Sens!$D$4312</f>
        <v>0</v>
      </c>
      <c r="E4333" s="38" t="n">
        <f aca="false">dps*Sens!$E$4312</f>
        <v>0</v>
      </c>
      <c r="F4333" s="38" t="n">
        <f aca="false">0</f>
        <v>0</v>
      </c>
      <c r="G4333" s="38" t="n">
        <f aca="false">dps*Sens!$G$4312</f>
        <v>0</v>
      </c>
      <c r="H4333" s="38" t="n">
        <f aca="false">dps*Sens!$H$4312</f>
        <v>0</v>
      </c>
      <c r="I4333" s="38" t="n">
        <f aca="false">dps*Sens!$I$4312</f>
        <v>0</v>
      </c>
      <c r="J4333" s="38" t="n">
        <f aca="false">dps*Sens!$J$4312</f>
        <v>0</v>
      </c>
      <c r="K4333" s="38" t="n">
        <f aca="false">dps*Sens!$K$4312</f>
        <v>0</v>
      </c>
      <c r="L4333" s="38" t="n">
        <f aca="false">dps*Sens!$L$4312</f>
        <v>0</v>
      </c>
      <c r="M4333" s="38" t="n">
        <f aca="false">dps*Sens!$M$4312</f>
        <v>0</v>
      </c>
      <c r="P4333" s="8" t="s">
        <v>789</v>
      </c>
    </row>
    <row r="4334" customFormat="false" ht="17.15" hidden="false" customHeight="false" outlineLevel="0" collapsed="false">
      <c r="A4334" s="5" t="s">
        <v>790</v>
      </c>
      <c r="B4334" s="0" t="s">
        <v>86</v>
      </c>
      <c r="C4334" s="38" t="n">
        <f aca="false">0</f>
        <v>0</v>
      </c>
      <c r="D4334" s="38" t="n">
        <f aca="false">0</f>
        <v>0</v>
      </c>
      <c r="E4334" s="38" t="n">
        <f aca="false">0</f>
        <v>0</v>
      </c>
      <c r="F4334" s="38" t="n">
        <f aca="false">0</f>
        <v>0</v>
      </c>
      <c r="G4334" s="38" t="n">
        <f aca="false">0</f>
        <v>0</v>
      </c>
      <c r="H4334" s="38" t="n">
        <f aca="false">0</f>
        <v>0</v>
      </c>
      <c r="I4334" s="38" t="n">
        <f aca="false">0</f>
        <v>0</v>
      </c>
      <c r="J4334" s="38" t="n">
        <f aca="false">0</f>
        <v>0</v>
      </c>
      <c r="K4334" s="38" t="n">
        <f aca="false">0</f>
        <v>0</v>
      </c>
      <c r="L4334" s="38" t="n">
        <f aca="false">0</f>
        <v>0</v>
      </c>
      <c r="M4334" s="38" t="n">
        <f aca="false">0</f>
        <v>0</v>
      </c>
      <c r="P4334" s="8" t="s">
        <v>791</v>
      </c>
    </row>
    <row r="4335" customFormat="false" ht="15" hidden="false" customHeight="false" outlineLevel="0" collapsed="false">
      <c r="A4335" s="3" t="s">
        <v>792</v>
      </c>
      <c r="B4335" s="8" t="s">
        <v>86</v>
      </c>
      <c r="C4335" s="38" t="n">
        <f aca="false">Sens!$C$4332-Sens!$C$4333</f>
        <v>36.176</v>
      </c>
      <c r="D4335" s="38" t="n">
        <f aca="false">Sens!$D$4332-Sens!$D$4333</f>
        <v>9.63700000000002</v>
      </c>
      <c r="E4335" s="38" t="n">
        <f aca="false">Sens!$E$4332-Sens!$E$4333</f>
        <v>-25.691</v>
      </c>
      <c r="F4335" s="38" t="n">
        <f aca="false">Sens!$F$4332-Sens!$F$4333</f>
        <v>-40.6834130116072</v>
      </c>
      <c r="G4335" s="38" t="n">
        <f aca="false">Sens!$G$4332-Sens!$G$4333</f>
        <v>-66.3744130116072</v>
      </c>
      <c r="H4335" s="38" t="n">
        <f aca="false">Sens!$H$4332-Sens!$H$4333</f>
        <v>-53.7279563698251</v>
      </c>
      <c r="I4335" s="38" t="n">
        <f aca="false">Sens!$I$4332-Sens!$I$4333</f>
        <v>-14.58207446229</v>
      </c>
      <c r="J4335" s="38" t="n">
        <f aca="false">Sens!$J$4332-Sens!$J$4333</f>
        <v>27.0294987209942</v>
      </c>
      <c r="K4335" s="38" t="n">
        <f aca="false">Sens!$K$4332-Sens!$K$4333</f>
        <v>125.676366453801</v>
      </c>
      <c r="L4335" s="38" t="n">
        <f aca="false">Sens!$L$4332-Sens!$L$4333</f>
        <v>186.697459549801</v>
      </c>
      <c r="M4335" s="38" t="n">
        <f aca="false">Sens!$M$4332-Sens!$M$4333</f>
        <v>218.66600869081</v>
      </c>
    </row>
    <row r="4336" customFormat="false" ht="17.15" hidden="false" customHeight="false" outlineLevel="0" collapsed="false">
      <c r="A4336" s="5" t="s">
        <v>793</v>
      </c>
      <c r="B4336" s="0" t="s">
        <v>86</v>
      </c>
      <c r="E4336" s="38" t="n">
        <f aca="false">Q!$P$53</f>
        <v>39.767</v>
      </c>
      <c r="F4336" s="38" t="n">
        <f aca="false">inv_2h26</f>
        <v>21.3</v>
      </c>
      <c r="G4336" s="38" t="n">
        <f aca="false">Sens!$E$4336+Sens!$F$4336</f>
        <v>61.067</v>
      </c>
      <c r="H4336" s="39" t="n">
        <v>0</v>
      </c>
      <c r="I4336" s="39" t="n">
        <v>0</v>
      </c>
      <c r="J4336" s="39" t="n">
        <v>0</v>
      </c>
      <c r="K4336" s="39" t="n">
        <v>0</v>
      </c>
      <c r="L4336" s="39" t="n">
        <v>0</v>
      </c>
      <c r="M4336" s="39" t="n">
        <v>0</v>
      </c>
    </row>
    <row r="4337" customFormat="false" ht="17.15" hidden="false" customHeight="false" outlineLevel="0" collapsed="false">
      <c r="A4337" s="5" t="s">
        <v>794</v>
      </c>
      <c r="B4337" s="0" t="s">
        <v>86</v>
      </c>
      <c r="F4337" s="38" t="n">
        <f aca="false">iss_2h26</f>
        <v>29.249999</v>
      </c>
      <c r="G4337" s="38" t="n">
        <f aca="false">Sens!$F$4337</f>
        <v>29.249999</v>
      </c>
      <c r="H4337" s="39" t="n">
        <v>0</v>
      </c>
      <c r="I4337" s="39" t="n">
        <v>0</v>
      </c>
      <c r="J4337" s="39" t="n">
        <v>0</v>
      </c>
      <c r="K4337" s="39" t="n">
        <v>0</v>
      </c>
      <c r="L4337" s="39" t="n">
        <v>0</v>
      </c>
      <c r="M4337" s="39" t="n">
        <v>0</v>
      </c>
    </row>
    <row r="4338" customFormat="false" ht="17.15" hidden="false" customHeight="false" outlineLevel="0" collapsed="false">
      <c r="A4338" s="5" t="s">
        <v>795</v>
      </c>
      <c r="B4338" s="0" t="s">
        <v>86</v>
      </c>
      <c r="F4338" s="38" t="n">
        <f aca="false">cash_q2</f>
        <v>122.988</v>
      </c>
      <c r="G4338" s="38" t="n">
        <f aca="false">cash_q2</f>
        <v>122.988</v>
      </c>
      <c r="H4338" s="38" t="n">
        <f aca="false">Sens!$G$4341</f>
        <v>90.2545859883928</v>
      </c>
      <c r="I4338" s="38" t="n">
        <f aca="false">Sens!$H$4341</f>
        <v>50</v>
      </c>
      <c r="J4338" s="38" t="n">
        <f aca="false">Sens!$I$4341</f>
        <v>50</v>
      </c>
      <c r="K4338" s="38" t="n">
        <f aca="false">Sens!$J$4341</f>
        <v>77.0294987209942</v>
      </c>
      <c r="L4338" s="38" t="n">
        <f aca="false">Sens!$K$4341</f>
        <v>202.705865174795</v>
      </c>
      <c r="M4338" s="38" t="n">
        <f aca="false">Sens!$L$4341</f>
        <v>389.403324724596</v>
      </c>
    </row>
    <row r="4339" customFormat="false" ht="15" hidden="false" customHeight="false" outlineLevel="0" collapsed="false">
      <c r="A4339" s="5" t="s">
        <v>796</v>
      </c>
      <c r="B4339" s="0" t="s">
        <v>86</v>
      </c>
      <c r="F4339" s="38" t="n">
        <f aca="false">Sens!$F$4338+Sens!$F$4335-Sens!$F$4334-Sens!$F$4336+Sens!$F$4337</f>
        <v>90.2545859883928</v>
      </c>
      <c r="H4339" s="38" t="n">
        <f aca="false">Sens!$H$4338+Sens!$H$4335-Sens!$H$4334-Sens!$H$4336+Sens!$H$4337</f>
        <v>36.5266296185678</v>
      </c>
      <c r="I4339" s="38" t="n">
        <f aca="false">Sens!$I$4338+Sens!$I$4335-Sens!$I$4334-Sens!$I$4336+Sens!$I$4337</f>
        <v>35.41792553771</v>
      </c>
      <c r="J4339" s="38" t="n">
        <f aca="false">Sens!$J$4338+Sens!$J$4335-Sens!$J$4334-Sens!$J$4336+Sens!$J$4337</f>
        <v>77.0294987209942</v>
      </c>
      <c r="K4339" s="38" t="n">
        <f aca="false">Sens!$K$4338+Sens!$K$4335-Sens!$K$4334-Sens!$K$4336+Sens!$K$4337</f>
        <v>202.705865174795</v>
      </c>
      <c r="L4339" s="38" t="n">
        <f aca="false">Sens!$L$4338+Sens!$L$4335-Sens!$L$4334-Sens!$L$4336+Sens!$L$4337</f>
        <v>389.403324724596</v>
      </c>
      <c r="M4339" s="38" t="n">
        <f aca="false">Sens!$M$4338+Sens!$M$4335-Sens!$M$4334-Sens!$M$4336+Sens!$M$4337</f>
        <v>608.069333415406</v>
      </c>
    </row>
    <row r="4340" customFormat="false" ht="17.15" hidden="false" customHeight="false" outlineLevel="0" collapsed="false">
      <c r="A4340" s="5" t="s">
        <v>797</v>
      </c>
      <c r="B4340" s="0" t="s">
        <v>86</v>
      </c>
      <c r="F4340" s="38" t="n">
        <f aca="false">MAX(0,min_cash-Sens!$F$4339)</f>
        <v>0</v>
      </c>
      <c r="G4340" s="38" t="n">
        <f aca="false">Sens!$F$4340</f>
        <v>0</v>
      </c>
      <c r="H4340" s="38" t="n">
        <f aca="false">MAX(0,min_cash-Sens!$H$4339)</f>
        <v>13.4733703814322</v>
      </c>
      <c r="I4340" s="38" t="n">
        <f aca="false">MAX(0,min_cash-Sens!$I$4339)</f>
        <v>14.58207446229</v>
      </c>
      <c r="J4340" s="38" t="n">
        <f aca="false">MAX(0,min_cash-Sens!$J$4339)</f>
        <v>0</v>
      </c>
      <c r="K4340" s="38" t="n">
        <f aca="false">MAX(0,min_cash-Sens!$K$4339)</f>
        <v>0</v>
      </c>
      <c r="L4340" s="38" t="n">
        <f aca="false">MAX(0,min_cash-Sens!$L$4339)</f>
        <v>0</v>
      </c>
      <c r="M4340" s="38" t="n">
        <f aca="false">MAX(0,min_cash-Sens!$M$4339)</f>
        <v>0</v>
      </c>
      <c r="P4340" s="5" t="s">
        <v>798</v>
      </c>
    </row>
    <row r="4341" customFormat="false" ht="15" hidden="false" customHeight="false" outlineLevel="0" collapsed="false">
      <c r="A4341" s="5" t="s">
        <v>799</v>
      </c>
      <c r="B4341" s="0" t="s">
        <v>86</v>
      </c>
      <c r="D4341" s="38" t="n">
        <f aca="false">Q!$E$61</f>
        <v>123.029</v>
      </c>
      <c r="E4341" s="38" t="n">
        <f aca="false">Q!$M$61</f>
        <v>122.988</v>
      </c>
      <c r="F4341" s="38" t="n">
        <f aca="false">Sens!$F$4339+Sens!$F$4340</f>
        <v>90.2545859883928</v>
      </c>
      <c r="G4341" s="38" t="n">
        <f aca="false">Sens!$F$4341</f>
        <v>90.2545859883928</v>
      </c>
      <c r="H4341" s="38" t="n">
        <f aca="false">Sens!$H$4339+Sens!$H$4340</f>
        <v>50</v>
      </c>
      <c r="I4341" s="38" t="n">
        <f aca="false">Sens!$I$4339+Sens!$I$4340</f>
        <v>50</v>
      </c>
      <c r="J4341" s="38" t="n">
        <f aca="false">Sens!$J$4339+Sens!$J$4340</f>
        <v>77.0294987209942</v>
      </c>
      <c r="K4341" s="38" t="n">
        <f aca="false">Sens!$K$4339+Sens!$K$4340</f>
        <v>202.705865174795</v>
      </c>
      <c r="L4341" s="38" t="n">
        <f aca="false">Sens!$L$4339+Sens!$L$4340</f>
        <v>389.403324724596</v>
      </c>
      <c r="M4341" s="38" t="n">
        <f aca="false">Sens!$M$4339+Sens!$M$4340</f>
        <v>608.069333415406</v>
      </c>
    </row>
    <row r="4342" customFormat="false" ht="15" hidden="false" customHeight="false" outlineLevel="0" collapsed="false">
      <c r="A4342" s="5" t="s">
        <v>800</v>
      </c>
      <c r="B4342" s="0" t="s">
        <v>86</v>
      </c>
      <c r="D4342" s="38" t="n">
        <f aca="false">Q!$E$62</f>
        <v>68.836</v>
      </c>
      <c r="E4342" s="38" t="n">
        <f aca="false">Q!$M$62</f>
        <v>132.995</v>
      </c>
      <c r="F4342" s="38" t="n">
        <f aca="false">debt_q2+Sens!$F$4337+Sens!$F$4340</f>
        <v>162.244999</v>
      </c>
      <c r="G4342" s="38" t="n">
        <f aca="false">Sens!$F$4342</f>
        <v>162.244999</v>
      </c>
      <c r="H4342" s="38" t="n">
        <f aca="false">Sens!$G$4342+Sens!$H$4340</f>
        <v>175.718369381432</v>
      </c>
      <c r="I4342" s="38" t="n">
        <f aca="false">Sens!$H$4342+Sens!$I$4340</f>
        <v>190.300443843722</v>
      </c>
      <c r="J4342" s="38" t="n">
        <f aca="false">Sens!$I$4342+Sens!$J$4340</f>
        <v>190.300443843722</v>
      </c>
      <c r="K4342" s="38" t="n">
        <f aca="false">Sens!$J$4342+Sens!$K$4340</f>
        <v>190.300443843722</v>
      </c>
      <c r="L4342" s="38" t="n">
        <f aca="false">Sens!$K$4342+Sens!$L$4340</f>
        <v>190.300443843722</v>
      </c>
      <c r="M4342" s="38" t="n">
        <f aca="false">Sens!$L$4342+Sens!$M$4340</f>
        <v>190.300443843722</v>
      </c>
    </row>
    <row r="4343" customFormat="false" ht="15" hidden="false" customHeight="false" outlineLevel="0" collapsed="false">
      <c r="A4343" s="5" t="s">
        <v>801</v>
      </c>
      <c r="B4343" s="0" t="s">
        <v>86</v>
      </c>
      <c r="D4343" s="38" t="n">
        <f aca="false">Sens!$D$4342-Sens!$D$4341</f>
        <v>-54.193</v>
      </c>
      <c r="E4343" s="38" t="n">
        <f aca="false">Sens!$E$4342-Sens!$E$4341</f>
        <v>10.007</v>
      </c>
      <c r="F4343" s="38" t="n">
        <f aca="false">Sens!$F$4342-Sens!$F$4341</f>
        <v>71.9904130116072</v>
      </c>
      <c r="G4343" s="38" t="n">
        <f aca="false">Sens!$G$4342-Sens!$G$4341</f>
        <v>71.9904130116072</v>
      </c>
      <c r="H4343" s="38" t="n">
        <f aca="false">Sens!$H$4342-Sens!$H$4341</f>
        <v>125.718369381432</v>
      </c>
      <c r="I4343" s="38" t="n">
        <f aca="false">Sens!$I$4342-Sens!$I$4341</f>
        <v>140.300443843722</v>
      </c>
      <c r="J4343" s="38" t="n">
        <f aca="false">Sens!$J$4342-Sens!$J$4341</f>
        <v>113.270945122728</v>
      </c>
      <c r="K4343" s="38" t="n">
        <f aca="false">Sens!$K$4342-Sens!$K$4341</f>
        <v>-12.4054213310727</v>
      </c>
      <c r="L4343" s="38" t="n">
        <f aca="false">Sens!$L$4342-Sens!$L$4341</f>
        <v>-199.102880880874</v>
      </c>
      <c r="M4343" s="38" t="n">
        <f aca="false">Sens!$M$4342-Sens!$M$4341</f>
        <v>-417.768889571684</v>
      </c>
    </row>
    <row r="4344" customFormat="false" ht="17.15" hidden="false" customHeight="false" outlineLevel="0" collapsed="false">
      <c r="A4344" s="5" t="s">
        <v>802</v>
      </c>
      <c r="B4344" s="0" t="s">
        <v>86</v>
      </c>
      <c r="F4344" s="38" t="n">
        <f aca="false">debt_q2*kd_book*0.5+iss_2h26*kd_new*iss_t</f>
        <v>3.24888962733561</v>
      </c>
      <c r="H4344" s="38" t="n">
        <f aca="false">debt_q2*kd_book+(Sens!$G$4342-debt_q2)*kd_new</f>
        <v>7.42354172302123</v>
      </c>
      <c r="I4344" s="38" t="n">
        <f aca="false">debt_q2*kd_book+(Sens!$H$4342-debt_q2)*kd_new</f>
        <v>8.27640606816589</v>
      </c>
      <c r="J4344" s="38" t="n">
        <f aca="false">debt_q2*kd_book+(Sens!$I$4342-debt_q2)*kd_new</f>
        <v>9.19945138162884</v>
      </c>
      <c r="K4344" s="38" t="n">
        <f aca="false">debt_q2*kd_book+(Sens!$J$4342-debt_q2)*kd_new</f>
        <v>9.19945138162884</v>
      </c>
      <c r="L4344" s="38" t="n">
        <f aca="false">debt_q2*kd_book+(Sens!$K$4342-debt_q2)*kd_new</f>
        <v>9.19945138162884</v>
      </c>
      <c r="M4344" s="38" t="n">
        <f aca="false">debt_q2*kd_book+(Sens!$L$4342-debt_q2)*kd_new</f>
        <v>9.19945138162884</v>
      </c>
    </row>
    <row r="4345" customFormat="false" ht="17.15" hidden="false" customHeight="false" outlineLevel="0" collapsed="false">
      <c r="A4345" s="5" t="s">
        <v>803</v>
      </c>
      <c r="B4345" s="0" t="s">
        <v>86</v>
      </c>
      <c r="F4345" s="38" t="n">
        <f aca="false">cash_q2*y_cash*0.5</f>
        <v>2.59</v>
      </c>
      <c r="H4345" s="38" t="n">
        <f aca="false">Sens!$G$4341*y_cash</f>
        <v>3.80133635330174</v>
      </c>
      <c r="I4345" s="38" t="n">
        <f aca="false">Sens!$H$4341*y_cash</f>
        <v>2.10589651022864</v>
      </c>
      <c r="J4345" s="38" t="n">
        <f aca="false">Sens!$I$4341*y_cash</f>
        <v>2.10589651022864</v>
      </c>
      <c r="K4345" s="38" t="n">
        <f aca="false">Sens!$J$4341*y_cash</f>
        <v>3.24432305082406</v>
      </c>
      <c r="L4345" s="38" t="n">
        <f aca="false">Sens!$K$4341*y_cash</f>
        <v>8.53755148148956</v>
      </c>
      <c r="M4345" s="38" t="n">
        <f aca="false">Sens!$L$4341*y_cash</f>
        <v>16.4008620521791</v>
      </c>
    </row>
    <row r="4346" customFormat="false" ht="17.15" hidden="false" customHeight="false" outlineLevel="0" collapsed="false">
      <c r="A4346" s="47" t="s">
        <v>804</v>
      </c>
      <c r="B4346" s="14" t="s">
        <v>86</v>
      </c>
      <c r="C4346" s="14"/>
      <c r="D4346" s="14"/>
      <c r="E4346" s="14"/>
      <c r="F4346" s="14"/>
      <c r="G4346" s="48" t="n">
        <f aca="false">SUM(Sens!$G$4335:$K$4335)</f>
        <v>18.0214213310727</v>
      </c>
      <c r="H4346" s="14"/>
      <c r="I4346" s="14"/>
      <c r="J4346" s="14"/>
      <c r="K4346" s="14"/>
      <c r="L4346" s="14"/>
      <c r="M4346" s="14"/>
      <c r="N4346" s="14"/>
      <c r="O4346" s="14"/>
    </row>
    <row r="4347" customFormat="false" ht="17.15" hidden="false" customHeight="false" outlineLevel="0" collapsed="false">
      <c r="A4347" s="0" t="s">
        <v>770</v>
      </c>
      <c r="B4347" s="0" t="s">
        <v>86</v>
      </c>
      <c r="G4347" s="38" t="n">
        <f aca="false">SUM(Sens!$G$4340:$K$4340)</f>
        <v>28.0554448437222</v>
      </c>
    </row>
    <row r="4348" customFormat="false" ht="17.15" hidden="false" customHeight="false" outlineLevel="0" collapsed="false">
      <c r="A4348" s="24" t="s">
        <v>807</v>
      </c>
      <c r="B4348" s="25" t="s">
        <v>86</v>
      </c>
      <c r="C4348" s="25"/>
      <c r="D4348" s="25"/>
      <c r="E4348" s="25"/>
      <c r="F4348" s="25"/>
      <c r="G4348" s="41" t="n">
        <f aca="false">Sens!$G$4346-(Sens!$G$4335+Sens!$H$4335+Sens!$I$4335+Sens!$J$4335+Sens!$K$4335)</f>
        <v>0</v>
      </c>
      <c r="H4348" s="25"/>
      <c r="I4348" s="25"/>
      <c r="J4348" s="25"/>
      <c r="K4348" s="25"/>
      <c r="L4348" s="25"/>
      <c r="M4348" s="25"/>
      <c r="N4348" s="25"/>
      <c r="O4348" s="25"/>
    </row>
    <row r="4351" customFormat="false" ht="19.4" hidden="false" customHeight="false" outlineLevel="0" collapsed="false">
      <c r="A4351" s="31" t="s">
        <v>1216</v>
      </c>
    </row>
    <row r="4352" customFormat="false" ht="17.15" hidden="false" customHeight="false" outlineLevel="0" collapsed="false">
      <c r="A4352" s="6" t="s">
        <v>16</v>
      </c>
      <c r="B4352" s="6" t="s">
        <v>17</v>
      </c>
      <c r="C4352" s="20" t="s">
        <v>494</v>
      </c>
      <c r="D4352" s="20" t="s">
        <v>495</v>
      </c>
      <c r="E4352" s="20" t="s">
        <v>577</v>
      </c>
      <c r="F4352" s="20" t="s">
        <v>578</v>
      </c>
      <c r="G4352" s="20" t="s">
        <v>579</v>
      </c>
      <c r="H4352" s="20" t="s">
        <v>580</v>
      </c>
      <c r="I4352" s="20" t="s">
        <v>581</v>
      </c>
      <c r="J4352" s="20" t="s">
        <v>582</v>
      </c>
      <c r="K4352" s="20" t="s">
        <v>583</v>
      </c>
      <c r="L4352" s="20" t="s">
        <v>584</v>
      </c>
      <c r="M4352" s="20" t="s">
        <v>585</v>
      </c>
      <c r="N4352" s="20" t="s">
        <v>586</v>
      </c>
      <c r="O4352" s="20" t="s">
        <v>587</v>
      </c>
      <c r="P4352" s="6" t="s">
        <v>23</v>
      </c>
      <c r="R4352" s="20" t="n">
        <v>2023</v>
      </c>
      <c r="S4352" s="20" t="n">
        <v>2024</v>
      </c>
      <c r="T4352" s="20" t="n">
        <v>2025</v>
      </c>
      <c r="U4352" s="20" t="n">
        <v>2026</v>
      </c>
      <c r="V4352" s="20" t="n">
        <v>2027</v>
      </c>
      <c r="W4352" s="20" t="n">
        <v>2028</v>
      </c>
      <c r="X4352" s="20" t="n">
        <v>2029</v>
      </c>
      <c r="Y4352" s="20" t="n">
        <v>2030</v>
      </c>
      <c r="Z4352" s="20" t="n">
        <v>2031</v>
      </c>
      <c r="AA4352" s="20" t="n">
        <v>2032</v>
      </c>
    </row>
    <row r="4353" customFormat="false" ht="17.15" hidden="false" customHeight="false" outlineLevel="0" collapsed="false">
      <c r="A4353" s="1" t="s">
        <v>909</v>
      </c>
    </row>
    <row r="4354" customFormat="false" ht="17.15" hidden="false" customHeight="false" outlineLevel="0" collapsed="false">
      <c r="A4354" s="0" t="s">
        <v>910</v>
      </c>
      <c r="B4354" s="0" t="s">
        <v>86</v>
      </c>
      <c r="H4354" s="38" t="n">
        <f aca="false">Sens!$H$4288*(1-tax)</f>
        <v>117.691113630919</v>
      </c>
      <c r="I4354" s="38" t="n">
        <f aca="false">Sens!$I$4288*(1-tax)</f>
        <v>143.753093753502</v>
      </c>
      <c r="J4354" s="38" t="n">
        <f aca="false">Sens!$J$4288*(1-tax)</f>
        <v>169.151310007526</v>
      </c>
      <c r="K4354" s="38" t="n">
        <f aca="false">Sens!$K$4288*(1-tax)</f>
        <v>188.319036420373</v>
      </c>
      <c r="L4354" s="38" t="n">
        <f aca="false">Sens!$L$4288*(1-tax)</f>
        <v>206.153826758419</v>
      </c>
      <c r="M4354" s="38" t="n">
        <f aca="false">Sens!$M$4288*(1-tax)</f>
        <v>221.811594005935</v>
      </c>
    </row>
    <row r="4355" customFormat="false" ht="15" hidden="false" customHeight="false" outlineLevel="0" collapsed="false">
      <c r="A4355" s="5" t="s">
        <v>911</v>
      </c>
      <c r="B4355" s="0" t="s">
        <v>86</v>
      </c>
      <c r="H4355" s="38" t="n">
        <f aca="false">Sens!$H$4299</f>
        <v>84.3372270903821</v>
      </c>
      <c r="I4355" s="38" t="n">
        <f aca="false">Sens!$I$4299</f>
        <v>117.11518234552</v>
      </c>
      <c r="J4355" s="38" t="n">
        <f aca="false">Sens!$J$4299</f>
        <v>150.673283819274</v>
      </c>
      <c r="K4355" s="38" t="n">
        <f aca="false">Sens!$K$4299</f>
        <v>184.517764188503</v>
      </c>
      <c r="L4355" s="38" t="n">
        <f aca="false">Sens!$L$4299</f>
        <v>208.287162393113</v>
      </c>
      <c r="M4355" s="38" t="n">
        <f aca="false">Sens!$M$4299</f>
        <v>224.750320231546</v>
      </c>
    </row>
    <row r="4356" customFormat="false" ht="15" hidden="false" customHeight="false" outlineLevel="0" collapsed="false">
      <c r="A4356" s="5" t="s">
        <v>912</v>
      </c>
      <c r="B4356" s="0" t="s">
        <v>86</v>
      </c>
      <c r="H4356" s="38" t="n">
        <f aca="false">Sens!$H$4330</f>
        <v>273.409545942546</v>
      </c>
      <c r="I4356" s="38" t="n">
        <f aca="false">Sens!$I$4330</f>
        <v>287.113908515032</v>
      </c>
      <c r="J4356" s="38" t="n">
        <f aca="false">Sens!$J$4330</f>
        <v>299.62417647811</v>
      </c>
      <c r="K4356" s="38" t="n">
        <f aca="false">Sens!$K$4330</f>
        <v>251.639000833303</v>
      </c>
      <c r="L4356" s="38" t="n">
        <f aca="false">Sens!$L$4330</f>
        <v>235.611442993267</v>
      </c>
      <c r="M4356" s="38" t="n">
        <f aca="false">Sens!$M$4330</f>
        <v>243.60914993564</v>
      </c>
    </row>
    <row r="4357" customFormat="false" ht="15" hidden="false" customHeight="false" outlineLevel="0" collapsed="false">
      <c r="A4357" s="5" t="s">
        <v>913</v>
      </c>
      <c r="B4357" s="0" t="s">
        <v>86</v>
      </c>
      <c r="H4357" s="38" t="n">
        <f aca="false">Sens!$H$4331</f>
        <v>1.6</v>
      </c>
      <c r="I4357" s="38" t="n">
        <f aca="false">Sens!$I$4331</f>
        <v>1.6</v>
      </c>
      <c r="J4357" s="38" t="n">
        <f aca="false">Sens!$J$4331</f>
        <v>1.6</v>
      </c>
      <c r="K4357" s="38" t="n">
        <f aca="false">Sens!$K$4331</f>
        <v>1.6</v>
      </c>
      <c r="L4357" s="38" t="n">
        <f aca="false">Sens!$L$4331</f>
        <v>1.6</v>
      </c>
      <c r="M4357" s="38" t="n">
        <f aca="false">Sens!$M$4331</f>
        <v>1.6</v>
      </c>
    </row>
    <row r="4358" customFormat="false" ht="15" hidden="false" customHeight="false" outlineLevel="0" collapsed="false">
      <c r="A4358" s="5" t="s">
        <v>914</v>
      </c>
      <c r="B4358" s="0" t="s">
        <v>86</v>
      </c>
      <c r="H4358" s="38" t="n">
        <f aca="false">Sens!$H$4325</f>
        <v>11.3003087339632</v>
      </c>
      <c r="I4358" s="38" t="n">
        <f aca="false">Sens!$I$4325</f>
        <v>12.8359536315124</v>
      </c>
      <c r="J4358" s="38" t="n">
        <f aca="false">Sens!$J$4325</f>
        <v>14.322982434532</v>
      </c>
      <c r="K4358" s="38" t="n">
        <f aca="false">Sens!$K$4325</f>
        <v>15.6508060816994</v>
      </c>
      <c r="L4358" s="38" t="n">
        <f aca="false">Sens!$L$4325</f>
        <v>16.9062270130348</v>
      </c>
      <c r="M4358" s="38" t="n">
        <f aca="false">Sens!$M$4325</f>
        <v>18.0955910718331</v>
      </c>
    </row>
    <row r="4359" customFormat="false" ht="17.15" hidden="false" customHeight="false" outlineLevel="0" collapsed="false">
      <c r="A4359" s="1" t="s">
        <v>915</v>
      </c>
      <c r="B4359" s="8" t="s">
        <v>86</v>
      </c>
      <c r="H4359" s="38" t="n">
        <f aca="false">Sens!$H$4354+Sens!$H$4355-Sens!$H$4356-Sens!$H$4357+Sens!$H$4358</f>
        <v>-61.6808964872819</v>
      </c>
      <c r="I4359" s="38" t="n">
        <f aca="false">Sens!$I$4354+Sens!$I$4355-Sens!$I$4356-Sens!$I$4357+Sens!$I$4358</f>
        <v>-15.0096787844979</v>
      </c>
      <c r="J4359" s="38" t="n">
        <f aca="false">Sens!$J$4354+Sens!$J$4355-Sens!$J$4356-Sens!$J$4357+Sens!$J$4358</f>
        <v>32.923399783222</v>
      </c>
      <c r="K4359" s="38" t="n">
        <f aca="false">Sens!$K$4354+Sens!$K$4355-Sens!$K$4356-Sens!$K$4357+Sens!$K$4358</f>
        <v>135.248605857273</v>
      </c>
      <c r="L4359" s="38" t="n">
        <f aca="false">Sens!$L$4354+Sens!$L$4355-Sens!$L$4356-Sens!$L$4357+Sens!$L$4358</f>
        <v>194.135773171299</v>
      </c>
      <c r="M4359" s="38" t="n">
        <f aca="false">Sens!$M$4354+Sens!$M$4355-Sens!$M$4356-Sens!$M$4357+Sens!$M$4358</f>
        <v>219.448355373674</v>
      </c>
    </row>
    <row r="4360" customFormat="false" ht="15" hidden="false" customHeight="false" outlineLevel="0" collapsed="false">
      <c r="A4360" s="5" t="s">
        <v>916</v>
      </c>
      <c r="B4360" s="0" t="s">
        <v>57</v>
      </c>
      <c r="H4360" s="40" t="n">
        <f aca="false">1/(1+wacc)^(2027-2026-0.5)</f>
        <v>0.947751320380232</v>
      </c>
      <c r="I4360" s="40" t="n">
        <f aca="false">1/(1+wacc)^(2028-2026-0.5)</f>
        <v>0.851301099754987</v>
      </c>
      <c r="J4360" s="40" t="n">
        <f aca="false">1/(1+wacc)^(2029-2026-0.5)</f>
        <v>0.764666370660713</v>
      </c>
      <c r="K4360" s="40" t="n">
        <f aca="false">1/(1+wacc)^(2030-2026-0.5)</f>
        <v>0.686848235703811</v>
      </c>
      <c r="L4360" s="40" t="n">
        <f aca="false">1/(1+wacc)^(2031-2026-0.5)</f>
        <v>0.616949452715975</v>
      </c>
      <c r="M4360" s="40" t="n">
        <f aca="false">1/(1+wacc)^(2032-2026-0.5)</f>
        <v>0.554164089562688</v>
      </c>
    </row>
    <row r="4361" customFormat="false" ht="15" hidden="false" customHeight="false" outlineLevel="0" collapsed="false">
      <c r="A4361" s="5" t="s">
        <v>917</v>
      </c>
      <c r="B4361" s="0" t="s">
        <v>86</v>
      </c>
      <c r="H4361" s="38" t="n">
        <f aca="false">Sens!$H$4359*Sens!$H$4360</f>
        <v>-58.4581510880579</v>
      </c>
      <c r="I4361" s="38" t="n">
        <f aca="false">Sens!$I$4359*Sens!$I$4360</f>
        <v>-12.7777560562121</v>
      </c>
      <c r="J4361" s="38" t="n">
        <f aca="false">Sens!$J$4359*Sens!$J$4360</f>
        <v>25.1754166220481</v>
      </c>
      <c r="K4361" s="38" t="n">
        <f aca="false">Sens!$K$4359*Sens!$K$4360</f>
        <v>92.8952663144683</v>
      </c>
      <c r="L4361" s="38" t="n">
        <f aca="false">Sens!$L$4359*Sens!$L$4360</f>
        <v>119.771959010626</v>
      </c>
      <c r="M4361" s="38" t="n">
        <f aca="false">Sens!$M$4359*Sens!$M$4360</f>
        <v>121.610398061681</v>
      </c>
    </row>
    <row r="4362" customFormat="false" ht="15" hidden="false" customHeight="false" outlineLevel="0" collapsed="false">
      <c r="A4362" s="5" t="s">
        <v>918</v>
      </c>
      <c r="B4362" s="0" t="s">
        <v>86</v>
      </c>
      <c r="C4362" s="38" t="n">
        <f aca="false">SUM(Sens!$H$4361:$M$4361)</f>
        <v>288.217132864554</v>
      </c>
    </row>
    <row r="4363" customFormat="false" ht="17.15" hidden="false" customHeight="false" outlineLevel="0" collapsed="false">
      <c r="A4363" s="5" t="s">
        <v>919</v>
      </c>
      <c r="B4363" s="0" t="s">
        <v>86</v>
      </c>
      <c r="C4363" s="38" t="n">
        <f aca="false">Sens!$M$4354*(1+tg)*(1-tg/ronic)/(wacc-tg)</f>
        <v>2016.5149055369</v>
      </c>
    </row>
    <row r="4364" customFormat="false" ht="15" hidden="false" customHeight="false" outlineLevel="0" collapsed="false">
      <c r="A4364" s="5" t="s">
        <v>920</v>
      </c>
      <c r="B4364" s="0" t="s">
        <v>86</v>
      </c>
      <c r="C4364" s="38" t="n">
        <f aca="false">Sens!$C$4363/(1+wacc)^6</f>
        <v>1059.09328454921</v>
      </c>
    </row>
    <row r="4365" customFormat="false" ht="17.15" hidden="false" customHeight="false" outlineLevel="0" collapsed="false">
      <c r="A4365" s="5" t="s">
        <v>921</v>
      </c>
      <c r="B4365" s="0" t="s">
        <v>86</v>
      </c>
      <c r="C4365" s="38" t="n">
        <f aca="false">Sens!$C$4362+Sens!$C$4364</f>
        <v>1347.31041741376</v>
      </c>
    </row>
    <row r="4366" customFormat="false" ht="17.15" hidden="false" customHeight="false" outlineLevel="0" collapsed="false">
      <c r="A4366" s="5" t="s">
        <v>922</v>
      </c>
      <c r="B4366" s="0" t="s">
        <v>52</v>
      </c>
      <c r="C4366" s="13" t="n">
        <f aca="false">Sens!$C$4364/Sens!$C$4365</f>
        <v>0.786079637521246</v>
      </c>
    </row>
    <row r="4367" customFormat="false" ht="17.15" hidden="false" customHeight="false" outlineLevel="0" collapsed="false">
      <c r="A4367" s="5" t="s">
        <v>923</v>
      </c>
      <c r="B4367" s="0" t="s">
        <v>86</v>
      </c>
      <c r="C4367" s="38" t="n">
        <f aca="false">Sens!$G$4343+fin_debt</f>
        <v>96.5114130116072</v>
      </c>
    </row>
    <row r="4368" customFormat="false" ht="17.15" hidden="false" customHeight="false" outlineLevel="0" collapsed="false">
      <c r="A4368" s="5" t="s">
        <v>924</v>
      </c>
      <c r="B4368" s="0" t="s">
        <v>86</v>
      </c>
      <c r="C4368" s="38" t="n">
        <f aca="false">(ant_val*ant_sh+oai_val*oai_sh)*(1-liq_disc)</f>
        <v>178.944</v>
      </c>
    </row>
    <row r="4369" customFormat="false" ht="15" hidden="false" customHeight="false" outlineLevel="0" collapsed="false">
      <c r="A4369" s="5" t="s">
        <v>925</v>
      </c>
      <c r="B4369" s="0" t="s">
        <v>86</v>
      </c>
      <c r="C4369" s="38" t="n">
        <f aca="false">Sens!$C$4365-Sens!$C$4367+Sens!$C$4368</f>
        <v>1429.74300440216</v>
      </c>
    </row>
    <row r="4370" customFormat="false" ht="17.15" hidden="false" customHeight="false" outlineLevel="0" collapsed="false">
      <c r="A4370" s="5" t="s">
        <v>926</v>
      </c>
      <c r="B4370" s="0" t="s">
        <v>27</v>
      </c>
      <c r="C4370" s="30" t="n">
        <f aca="false">Sens!$C$4369/sh_out</f>
        <v>132.55158383134</v>
      </c>
    </row>
    <row r="4371" customFormat="false" ht="17.15" hidden="false" customHeight="false" outlineLevel="0" collapsed="false">
      <c r="A4371" s="1" t="s">
        <v>927</v>
      </c>
      <c r="B4371" s="8" t="s">
        <v>27</v>
      </c>
      <c r="C4371" s="30" t="n">
        <f aca="false">Sens!$C$4370*(1+ke)^tp_yf-dps*tp_yf</f>
        <v>145.192875479721</v>
      </c>
    </row>
    <row r="4372" customFormat="false" ht="17.15" hidden="false" customHeight="false" outlineLevel="0" collapsed="false">
      <c r="A4372" s="3" t="s">
        <v>928</v>
      </c>
    </row>
    <row r="4373" customFormat="false" ht="17.15" hidden="false" customHeight="false" outlineLevel="0" collapsed="false">
      <c r="A4373" s="5" t="s">
        <v>929</v>
      </c>
      <c r="B4373" s="0" t="s">
        <v>86</v>
      </c>
      <c r="C4373" s="38" t="n">
        <f aca="false">(1-tp_yf)*(Sens!$H$4300+Sens!$H$4324*Sens!$H$4166/Sens!$H$4241)+tp_yf*(Sens!$I$4300+Sens!$I$4324*Sens!$I$4166/Sens!$I$4241)</f>
        <v>60.6577179255492</v>
      </c>
    </row>
    <row r="4374" customFormat="false" ht="15" hidden="false" customHeight="false" outlineLevel="0" collapsed="false">
      <c r="A4374" s="5" t="s">
        <v>930</v>
      </c>
      <c r="B4374" s="0" t="s">
        <v>57</v>
      </c>
      <c r="C4374" s="30" t="n">
        <f aca="false">m_ads*m_x</f>
        <v>9.11</v>
      </c>
    </row>
    <row r="4375" customFormat="false" ht="17.15" hidden="false" customHeight="false" outlineLevel="0" collapsed="false">
      <c r="A4375" s="5" t="s">
        <v>931</v>
      </c>
      <c r="B4375" s="0" t="s">
        <v>86</v>
      </c>
      <c r="C4375" s="38" t="n">
        <f aca="false">Sens!$C$4373*Sens!$C$4374</f>
        <v>552.591810301753</v>
      </c>
    </row>
    <row r="4376" customFormat="false" ht="17.15" hidden="false" customHeight="false" outlineLevel="0" collapsed="false">
      <c r="A4376" s="5" t="s">
        <v>932</v>
      </c>
      <c r="B4376" s="0" t="s">
        <v>86</v>
      </c>
      <c r="C4376" s="38" t="n">
        <f aca="false">(1-tp_yf)*(Sens!$H$4301+Sens!$H$4324*(Sens!$H$4173-Sens!$H$4166)/Sens!$H$4241+IF(internal_ai_reading=2,1,0)*(1-ext_sh)*Sens!$H$4203)+tp_yf*(Sens!$I$4301+Sens!$I$4324*(Sens!$I$4173-Sens!$I$4166)/Sens!$I$4241+IF(internal_ai_reading=2,1,0)*(1-ext_sh)*Sens!$I$4203)</f>
        <v>51.8423024100836</v>
      </c>
    </row>
    <row r="4377" customFormat="false" ht="17.15" hidden="false" customHeight="false" outlineLevel="0" collapsed="false">
      <c r="A4377" s="5" t="s">
        <v>933</v>
      </c>
      <c r="B4377" s="0" t="s">
        <v>57</v>
      </c>
      <c r="C4377" s="30" t="n">
        <f aca="false">m_retail*m_x</f>
        <v>17.72</v>
      </c>
    </row>
    <row r="4378" customFormat="false" ht="17.15" hidden="false" customHeight="false" outlineLevel="0" collapsed="false">
      <c r="A4378" s="5" t="s">
        <v>934</v>
      </c>
      <c r="B4378" s="0" t="s">
        <v>86</v>
      </c>
      <c r="C4378" s="38" t="n">
        <f aca="false">Sens!$C$4376*Sens!$C$4377</f>
        <v>918.645598706682</v>
      </c>
    </row>
    <row r="4379" customFormat="false" ht="17.15" hidden="false" customHeight="false" outlineLevel="0" collapsed="false">
      <c r="A4379" s="0" t="s">
        <v>935</v>
      </c>
      <c r="B4379" s="0" t="s">
        <v>86</v>
      </c>
      <c r="C4379" s="38" t="n">
        <f aca="false">(1-tp_yf)*(Sens!$H$4302+Sens!$H$4324*Sens!$H$4239/Sens!$H$4241)+tp_yf*(Sens!$I$4302+Sens!$I$4324*Sens!$I$4239/Sens!$I$4241)</f>
        <v>97.3363031479074</v>
      </c>
    </row>
    <row r="4380" customFormat="false" ht="17.15" hidden="false" customHeight="false" outlineLevel="0" collapsed="false">
      <c r="A4380" s="0" t="s">
        <v>936</v>
      </c>
      <c r="B4380" s="0" t="s">
        <v>57</v>
      </c>
      <c r="C4380" s="30" t="n">
        <f aca="false">m_cloud*m_x</f>
        <v>13.82</v>
      </c>
    </row>
    <row r="4381" customFormat="false" ht="17.15" hidden="false" customHeight="false" outlineLevel="0" collapsed="false">
      <c r="A4381" s="0" t="s">
        <v>937</v>
      </c>
      <c r="B4381" s="0" t="s">
        <v>86</v>
      </c>
      <c r="C4381" s="38" t="n">
        <f aca="false">Sens!$C$4379*Sens!$C$4380</f>
        <v>1345.18770950408</v>
      </c>
    </row>
    <row r="4382" customFormat="false" ht="17.15" hidden="false" customHeight="false" outlineLevel="0" collapsed="false">
      <c r="A4382" s="0" t="s">
        <v>938</v>
      </c>
      <c r="B4382" s="0" t="s">
        <v>86</v>
      </c>
      <c r="H4382" s="38" t="n">
        <f aca="false">Sens!$H$4220-tax*Sens!$H$4221-ext_sh*Sens!$H$4210</f>
        <v>-114.686944664267</v>
      </c>
      <c r="I4382" s="38" t="n">
        <f aca="false">Sens!$I$4220-tax*Sens!$I$4221-ext_sh*Sens!$I$4210</f>
        <v>-88.3950641557111</v>
      </c>
      <c r="J4382" s="38" t="n">
        <f aca="false">Sens!$J$4220-tax*Sens!$J$4221-ext_sh*Sens!$J$4210</f>
        <v>-61.1526151740695</v>
      </c>
      <c r="K4382" s="38" t="n">
        <f aca="false">Sens!$K$4220-tax*Sens!$K$4221-ext_sh*Sens!$K$4210</f>
        <v>10.057774712684</v>
      </c>
      <c r="L4382" s="38" t="n">
        <f aca="false">Sens!$L$4220-tax*Sens!$L$4221-ext_sh*Sens!$L$4210</f>
        <v>46.6587675560356</v>
      </c>
      <c r="M4382" s="38" t="n">
        <f aca="false">Sens!$M$4220-tax*Sens!$M$4221-ext_sh*Sens!$M$4210</f>
        <v>55.3915455321129</v>
      </c>
    </row>
    <row r="4383" customFormat="false" ht="17.15" hidden="false" customHeight="false" outlineLevel="0" collapsed="false">
      <c r="A4383" s="5" t="s">
        <v>939</v>
      </c>
      <c r="B4383" s="0" t="s">
        <v>86</v>
      </c>
      <c r="H4383" s="38" t="n">
        <f aca="false">Sens!$H$4382*Sens!$H$4360</f>
        <v>-108.694703235934</v>
      </c>
      <c r="I4383" s="38" t="n">
        <f aca="false">Sens!$I$4382*Sens!$I$4360</f>
        <v>-75.2508153286695</v>
      </c>
      <c r="J4383" s="38" t="n">
        <f aca="false">Sens!$J$4382*Sens!$J$4360</f>
        <v>-46.761348301567</v>
      </c>
      <c r="K4383" s="38" t="n">
        <f aca="false">Sens!$K$4382*Sens!$K$4360</f>
        <v>6.90816481651338</v>
      </c>
      <c r="L4383" s="38" t="n">
        <f aca="false">Sens!$L$4382*Sens!$L$4360</f>
        <v>28.7861011080981</v>
      </c>
      <c r="M4383" s="38" t="n">
        <f aca="false">Sens!$M$4382*Sens!$M$4360</f>
        <v>30.6960053992735</v>
      </c>
    </row>
    <row r="4384" customFormat="false" ht="17.15" hidden="false" customHeight="false" outlineLevel="0" collapsed="false">
      <c r="A4384" s="5" t="s">
        <v>940</v>
      </c>
      <c r="B4384" s="0" t="s">
        <v>86</v>
      </c>
      <c r="C4384" s="38" t="n">
        <f aca="false">Sens!$M$4221*(1-tax)*(1+tg)*(1-tg/ronic)/(wacc-tg)</f>
        <v>363.621782500497</v>
      </c>
    </row>
    <row r="4385" customFormat="false" ht="17.15" hidden="false" customHeight="false" outlineLevel="0" collapsed="false">
      <c r="A4385" s="0" t="s">
        <v>941</v>
      </c>
      <c r="B4385" s="0" t="s">
        <v>86</v>
      </c>
      <c r="C4385" s="38" t="n">
        <f aca="false">(SUM(Sens!$H$4383:$M$4383)+Sens!$C$4384/(1+wacc)^6)*(1+wacc)^tp_yf</f>
        <v>29.1198269558345</v>
      </c>
    </row>
    <row r="4386" customFormat="false" ht="17.15" hidden="false" customHeight="false" outlineLevel="0" collapsed="false">
      <c r="A4386" s="5" t="s">
        <v>942</v>
      </c>
      <c r="B4386" s="0" t="s">
        <v>86</v>
      </c>
      <c r="C4386" s="38" t="n">
        <f aca="false">(1-tp_yf)*(Sens!$H$4303)+tp_yf*(Sens!$I$4303)</f>
        <v>74.6707041238437</v>
      </c>
    </row>
    <row r="4387" customFormat="false" ht="17.15" hidden="false" customHeight="false" outlineLevel="0" collapsed="false">
      <c r="A4387" s="5" t="s">
        <v>943</v>
      </c>
      <c r="B4387" s="0" t="s">
        <v>86</v>
      </c>
      <c r="C4387" s="38" t="n">
        <f aca="false">Sens!$C$4386*m_ai</f>
        <v>448.024224743062</v>
      </c>
    </row>
    <row r="4388" customFormat="false" ht="17.15" hidden="false" customHeight="false" outlineLevel="0" collapsed="false">
      <c r="A4388" s="0" t="s">
        <v>944</v>
      </c>
      <c r="B4388" s="0" t="s">
        <v>86</v>
      </c>
      <c r="C4388" s="38" t="n">
        <f aca="false">IF(ai_leg=1,Sens!$C$4385,Sens!$C$4387)</f>
        <v>29.1198269558345</v>
      </c>
    </row>
    <row r="4389" customFormat="false" ht="17.15" hidden="false" customHeight="false" outlineLevel="0" collapsed="false">
      <c r="A4389" s="5" t="s">
        <v>945</v>
      </c>
      <c r="B4389" s="0" t="s">
        <v>86</v>
      </c>
      <c r="C4389" s="38" t="n">
        <f aca="false">Sens!$C$4375+Sens!$C$4378+Sens!$C$4381+Sens!$C$4388</f>
        <v>2845.54494546835</v>
      </c>
    </row>
    <row r="4390" customFormat="false" ht="17.15" hidden="false" customHeight="false" outlineLevel="0" collapsed="false">
      <c r="A4390" s="5" t="s">
        <v>946</v>
      </c>
      <c r="B4390" s="0" t="s">
        <v>86</v>
      </c>
      <c r="C4390" s="38" t="n">
        <f aca="false">Sens!$H$4343+fin_debt</f>
        <v>150.239369381432</v>
      </c>
    </row>
    <row r="4391" customFormat="false" ht="15" hidden="false" customHeight="false" outlineLevel="0" collapsed="false">
      <c r="A4391" s="5" t="s">
        <v>947</v>
      </c>
      <c r="B4391" s="0" t="s">
        <v>86</v>
      </c>
      <c r="C4391" s="38" t="n">
        <f aca="false">Sens!$C$4389-Sens!$C$4390+Sens!$C$4368</f>
        <v>2874.24957608692</v>
      </c>
    </row>
    <row r="4392" customFormat="false" ht="15" hidden="false" customHeight="false" outlineLevel="0" collapsed="false">
      <c r="A4392" s="3" t="s">
        <v>948</v>
      </c>
      <c r="B4392" s="8" t="s">
        <v>27</v>
      </c>
      <c r="C4392" s="30" t="n">
        <f aca="false">Sens!$C$4391/sh_val</f>
        <v>260.577312312861</v>
      </c>
    </row>
    <row r="4393" customFormat="false" ht="17.15" hidden="false" customHeight="false" outlineLevel="0" collapsed="false">
      <c r="A4393" s="47" t="s">
        <v>949</v>
      </c>
      <c r="B4393" s="14" t="s">
        <v>27</v>
      </c>
      <c r="C4393" s="44" t="n">
        <f aca="false">w_dcf*Sens!$C$4371+(1-w_dcf)*Sens!$C$4392</f>
        <v>202.885093896291</v>
      </c>
      <c r="D4393" s="14"/>
      <c r="E4393" s="14"/>
      <c r="F4393" s="14"/>
      <c r="G4393" s="14"/>
      <c r="H4393" s="14"/>
      <c r="I4393" s="14"/>
      <c r="J4393" s="14"/>
      <c r="K4393" s="14"/>
      <c r="L4393" s="14"/>
      <c r="M4393" s="14"/>
      <c r="N4393" s="14"/>
      <c r="O4393" s="14"/>
    </row>
    <row r="4394" customFormat="false" ht="17.15" hidden="false" customHeight="false" outlineLevel="0" collapsed="false">
      <c r="A4394" s="5" t="s">
        <v>950</v>
      </c>
      <c r="B4394" s="0" t="s">
        <v>27</v>
      </c>
      <c r="C4394" s="30" t="n">
        <f aca="false">v022_wdcf*Sens!$C$4371+(1-v022_wdcf)*Sens!$C$4392</f>
        <v>208.654315737948</v>
      </c>
    </row>
    <row r="4395" customFormat="false" ht="17.15" hidden="false" customHeight="false" outlineLevel="0" collapsed="false">
      <c r="A4395" s="5" t="s">
        <v>951</v>
      </c>
      <c r="B4395" s="0" t="s">
        <v>27</v>
      </c>
      <c r="C4395" s="30" t="n">
        <f aca="false">(Sens!$C$4391-Sens!$C$4388+Sens!$C$4387)/sh_val</f>
        <v>298.554871046658</v>
      </c>
    </row>
    <row r="4398" customFormat="false" ht="19.4" hidden="false" customHeight="false" outlineLevel="0" collapsed="false">
      <c r="A4398" s="31" t="s">
        <v>1217</v>
      </c>
    </row>
    <row r="4399" customFormat="false" ht="17.15" hidden="false" customHeight="false" outlineLevel="0" collapsed="false">
      <c r="A4399" s="6" t="s">
        <v>16</v>
      </c>
      <c r="B4399" s="6" t="s">
        <v>17</v>
      </c>
      <c r="C4399" s="20" t="s">
        <v>494</v>
      </c>
      <c r="D4399" s="20" t="s">
        <v>495</v>
      </c>
      <c r="E4399" s="20" t="s">
        <v>577</v>
      </c>
      <c r="F4399" s="20" t="s">
        <v>578</v>
      </c>
      <c r="G4399" s="20" t="s">
        <v>579</v>
      </c>
      <c r="H4399" s="20" t="s">
        <v>580</v>
      </c>
      <c r="I4399" s="20" t="s">
        <v>581</v>
      </c>
      <c r="J4399" s="20" t="s">
        <v>582</v>
      </c>
      <c r="K4399" s="20" t="s">
        <v>583</v>
      </c>
      <c r="L4399" s="20" t="s">
        <v>584</v>
      </c>
      <c r="M4399" s="20" t="s">
        <v>585</v>
      </c>
      <c r="N4399" s="20" t="s">
        <v>586</v>
      </c>
      <c r="O4399" s="20" t="s">
        <v>587</v>
      </c>
      <c r="P4399" s="6" t="s">
        <v>23</v>
      </c>
      <c r="R4399" s="20" t="n">
        <v>2023</v>
      </c>
      <c r="S4399" s="20" t="n">
        <v>2024</v>
      </c>
      <c r="T4399" s="20" t="n">
        <v>2025</v>
      </c>
      <c r="U4399" s="20" t="n">
        <v>2026</v>
      </c>
      <c r="V4399" s="20" t="n">
        <v>2027</v>
      </c>
      <c r="W4399" s="20" t="n">
        <v>2028</v>
      </c>
      <c r="X4399" s="20" t="n">
        <v>2029</v>
      </c>
      <c r="Y4399" s="20" t="n">
        <v>2030</v>
      </c>
      <c r="Z4399" s="20" t="n">
        <v>2031</v>
      </c>
      <c r="AA4399" s="20" t="n">
        <v>2032</v>
      </c>
    </row>
    <row r="4400" customFormat="false" ht="17.15" hidden="false" customHeight="false" outlineLevel="0" collapsed="false">
      <c r="A4400" s="1" t="s">
        <v>660</v>
      </c>
    </row>
    <row r="4401" customFormat="false" ht="17.15" hidden="false" customHeight="false" outlineLevel="0" collapsed="false">
      <c r="A4401" s="0" t="s">
        <v>516</v>
      </c>
      <c r="B4401" s="0" t="s">
        <v>86</v>
      </c>
      <c r="C4401" s="38" t="n">
        <f aca="false">Q!$D$10</f>
        <v>247.029</v>
      </c>
      <c r="D4401" s="38" t="n">
        <f aca="false">Q!$E$10</f>
        <v>269.287</v>
      </c>
      <c r="E4401" s="38" t="n">
        <f aca="false">Q!$P$10</f>
        <v>134.686</v>
      </c>
      <c r="F4401" s="38" t="n">
        <f aca="false">Sens!$O$4401*(1+Sens!$F$4402)*Sens!$F$4413</f>
        <v>158.293876822267</v>
      </c>
      <c r="G4401" s="38" t="n">
        <f aca="false">Sens!$E$4401+Sens!$F$4401</f>
        <v>292.979876822267</v>
      </c>
      <c r="H4401" s="38" t="n">
        <f aca="false">Sens!$G$4401*(1+Sens!$H$4402)</f>
        <v>318.184543087396</v>
      </c>
      <c r="I4401" s="38" t="n">
        <f aca="false">Sens!$H$4401*(1+Sens!$I$4402)</f>
        <v>341.736278761793</v>
      </c>
      <c r="J4401" s="38" t="n">
        <f aca="false">Sens!$I$4401*(1+Sens!$J$4402)</f>
        <v>362.927192787048</v>
      </c>
      <c r="K4401" s="38" t="n">
        <f aca="false">Sens!$J$4401*(1+Sens!$K$4402)</f>
        <v>381.0735524264</v>
      </c>
      <c r="L4401" s="38" t="n">
        <f aca="false">Sens!$K$4401*(1+Sens!$L$4402)</f>
        <v>400.12723004772</v>
      </c>
      <c r="M4401" s="38" t="n">
        <f aca="false">Sens!$L$4401*(1+Sens!$M$4402)</f>
        <v>420.133591550106</v>
      </c>
      <c r="N4401" s="38" t="n">
        <f aca="false">Q!$N$10</f>
        <v>118.892</v>
      </c>
      <c r="O4401" s="38" t="n">
        <f aca="false">Q!$O$10</f>
        <v>150.395</v>
      </c>
      <c r="P4401" s="8" t="s">
        <v>661</v>
      </c>
    </row>
    <row r="4402" customFormat="false" ht="17.15" hidden="false" customHeight="false" outlineLevel="0" collapsed="false">
      <c r="A4402" s="0" t="s">
        <v>662</v>
      </c>
      <c r="B4402" s="0" t="s">
        <v>52</v>
      </c>
      <c r="E4402" s="13" t="n">
        <f aca="false">Sens!$E$4401/Sens!$N$4401-1</f>
        <v>0.132843252699929</v>
      </c>
      <c r="F4402" s="13" t="n">
        <f aca="false">Sens!$O$4401/(Q!$F$10+Q!$G$10)-1</f>
        <v>0.0980382135842941</v>
      </c>
      <c r="G4402" s="13" t="n">
        <f aca="false">Sens!$G$4401/Sens!$D$4401-1</f>
        <v>0.0879837378791657</v>
      </c>
      <c r="H4402" s="13" t="n">
        <f aca="false">Sens!$F$4402+(g_os-Sens!$F$4402)*1/4</f>
        <v>0.0860286601882206</v>
      </c>
      <c r="I4402" s="13" t="n">
        <f aca="false">Sens!$F$4402+(g_os-Sens!$F$4402)*2/4</f>
        <v>0.074019106792147</v>
      </c>
      <c r="J4402" s="13" t="n">
        <f aca="false">Sens!$F$4402+(g_os-Sens!$F$4402)*3/4</f>
        <v>0.0620095533960735</v>
      </c>
      <c r="K4402" s="13" t="n">
        <f aca="false">Sens!$F$4402+(g_os-Sens!$F$4402)*4/4</f>
        <v>0.05</v>
      </c>
      <c r="L4402" s="13" t="n">
        <f aca="false">g_os</f>
        <v>0.05</v>
      </c>
      <c r="M4402" s="13" t="n">
        <f aca="false">g_os</f>
        <v>0.05</v>
      </c>
      <c r="P4402" s="8" t="s">
        <v>663</v>
      </c>
    </row>
    <row r="4403" customFormat="false" ht="17.15" hidden="false" customHeight="false" outlineLevel="0" collapsed="false">
      <c r="A4403" s="0" t="s">
        <v>517</v>
      </c>
      <c r="B4403" s="0" t="s">
        <v>86</v>
      </c>
      <c r="C4403" s="38" t="n">
        <f aca="false">Q!$D$11</f>
        <v>21.215</v>
      </c>
      <c r="D4403" s="38" t="n">
        <f aca="false">Q!$E$11</f>
        <v>22.561</v>
      </c>
      <c r="E4403" s="38" t="n">
        <f aca="false">Q!$P$11</f>
        <v>11.579</v>
      </c>
      <c r="F4403" s="38" t="n">
        <f aca="false">Sens!$O$4403*(1+Sens!$F$4404)*Sens!$F$4413</f>
        <v>11.5938724610325</v>
      </c>
      <c r="G4403" s="38" t="n">
        <f aca="false">Sens!$E$4403+Sens!$F$4403</f>
        <v>23.1728724610325</v>
      </c>
      <c r="H4403" s="38" t="n">
        <f aca="false">Sens!$G$4403*(1+Sens!$H$4404)</f>
        <v>24.353392759506</v>
      </c>
      <c r="I4403" s="38" t="n">
        <f aca="false">Sens!$H$4403*(1+Sens!$I$4404)</f>
        <v>25.4240338872015</v>
      </c>
      <c r="J4403" s="38" t="n">
        <f aca="false">Sens!$I$4403*(1+Sens!$J$4404)</f>
        <v>26.3642491017174</v>
      </c>
      <c r="K4403" s="38" t="n">
        <f aca="false">Sens!$J$4403*(1+Sens!$K$4404)</f>
        <v>27.155176574769</v>
      </c>
      <c r="L4403" s="38" t="n">
        <f aca="false">Sens!$K$4403*(1+Sens!$L$4404)</f>
        <v>27.969831872012</v>
      </c>
      <c r="M4403" s="38" t="n">
        <f aca="false">Sens!$L$4403*(1+Sens!$M$4404)</f>
        <v>28.8089268281724</v>
      </c>
      <c r="N4403" s="38" t="n">
        <f aca="false">Q!$N$11</f>
        <v>11.128</v>
      </c>
      <c r="O4403" s="38" t="n">
        <f aca="false">Q!$O$11</f>
        <v>11.433</v>
      </c>
      <c r="P4403" s="8" t="s">
        <v>661</v>
      </c>
    </row>
    <row r="4404" customFormat="false" ht="17.15" hidden="false" customHeight="false" outlineLevel="0" collapsed="false">
      <c r="A4404" s="0" t="s">
        <v>664</v>
      </c>
      <c r="B4404" s="0" t="s">
        <v>52</v>
      </c>
      <c r="E4404" s="13" t="n">
        <f aca="false">Sens!$E$4403/Sens!$N$4403-1</f>
        <v>0.0405283968368082</v>
      </c>
      <c r="F4404" s="13" t="n">
        <f aca="false">Sens!$O$4403/(Q!$F$11+Q!$G$11)-1</f>
        <v>0.0579254187100955</v>
      </c>
      <c r="G4404" s="13" t="n">
        <f aca="false">Sens!$G$4403/Sens!$D$4403-1</f>
        <v>0.0271208040881397</v>
      </c>
      <c r="H4404" s="13" t="n">
        <f aca="false">Sens!$F$4404+(g_ps-Sens!$F$4404)*1/4</f>
        <v>0.0509440640325716</v>
      </c>
      <c r="I4404" s="13" t="n">
        <f aca="false">Sens!$F$4404+(g_ps-Sens!$F$4404)*2/4</f>
        <v>0.0439627093550477</v>
      </c>
      <c r="J4404" s="13" t="n">
        <f aca="false">Sens!$F$4404+(g_ps-Sens!$F$4404)*3/4</f>
        <v>0.0369813546775239</v>
      </c>
      <c r="K4404" s="13" t="n">
        <f aca="false">Sens!$F$4404+(g_ps-Sens!$F$4404)*4/4</f>
        <v>0.03</v>
      </c>
      <c r="L4404" s="13" t="n">
        <f aca="false">g_ps</f>
        <v>0.03</v>
      </c>
      <c r="M4404" s="13" t="n">
        <f aca="false">g_ps</f>
        <v>0.03</v>
      </c>
      <c r="P4404" s="8" t="s">
        <v>665</v>
      </c>
    </row>
    <row r="4405" customFormat="false" ht="17.15" hidden="false" customHeight="false" outlineLevel="0" collapsed="false">
      <c r="A4405" s="0" t="s">
        <v>518</v>
      </c>
      <c r="B4405" s="0" t="s">
        <v>86</v>
      </c>
      <c r="C4405" s="38" t="n">
        <f aca="false">Q!$D$12</f>
        <v>156.146</v>
      </c>
      <c r="D4405" s="38" t="n">
        <f aca="false">Q!$E$12</f>
        <v>172.162</v>
      </c>
      <c r="E4405" s="38" t="n">
        <f aca="false">Q!$P$12</f>
        <v>88.358</v>
      </c>
      <c r="F4405" s="38" t="n">
        <f aca="false">Sens!$O$4405*(1+Sens!$F$4406)*Sens!$F$4413</f>
        <v>102.004388260171</v>
      </c>
      <c r="G4405" s="38" t="n">
        <f aca="false">Sens!$E$4405+Sens!$F$4405</f>
        <v>190.362388260171</v>
      </c>
      <c r="H4405" s="38" t="n">
        <f aca="false">Sens!$G$4405*(1+Sens!$H$4406)</f>
        <v>210.343106588311</v>
      </c>
      <c r="I4405" s="38" t="n">
        <f aca="false">Sens!$H$4405*(1+Sens!$I$4406)</f>
        <v>229.969728494648</v>
      </c>
      <c r="J4405" s="38" t="n">
        <f aca="false">Sens!$I$4405*(1+Sens!$J$4406)</f>
        <v>248.747636972598</v>
      </c>
      <c r="K4405" s="38" t="n">
        <f aca="false">Sens!$J$4405*(1+Sens!$K$4406)</f>
        <v>266.15997156068</v>
      </c>
      <c r="L4405" s="38" t="n">
        <f aca="false">Sens!$K$4405*(1+Sens!$L$4406)</f>
        <v>284.791169569927</v>
      </c>
      <c r="M4405" s="38" t="n">
        <f aca="false">Sens!$L$4405*(1+Sens!$M$4406)</f>
        <v>304.726551439822</v>
      </c>
      <c r="N4405" s="38" t="n">
        <f aca="false">Q!$N$12</f>
        <v>76.86</v>
      </c>
      <c r="O4405" s="38" t="n">
        <f aca="false">Q!$O$12</f>
        <v>95.302</v>
      </c>
      <c r="P4405" s="8" t="s">
        <v>661</v>
      </c>
    </row>
    <row r="4406" customFormat="false" ht="17.15" hidden="false" customHeight="false" outlineLevel="0" collapsed="false">
      <c r="A4406" s="0" t="s">
        <v>666</v>
      </c>
      <c r="B4406" s="0" t="s">
        <v>52</v>
      </c>
      <c r="E4406" s="13" t="n">
        <f aca="false">Sens!$E$4405/Sens!$N$4405-1</f>
        <v>0.1495966692688</v>
      </c>
      <c r="F4406" s="13" t="n">
        <f aca="false">Sens!$O$4405/(Q!$F$12+Q!$G$12)-1</f>
        <v>0.11661530890813</v>
      </c>
      <c r="G4406" s="13" t="n">
        <f aca="false">Sens!$G$4405/Sens!$D$4405-1</f>
        <v>0.105716640490767</v>
      </c>
      <c r="H4406" s="13" t="n">
        <f aca="false">Sens!$F$4406+(g_sp-Sens!$F$4406)*1/4</f>
        <v>0.104961481681098</v>
      </c>
      <c r="I4406" s="13" t="n">
        <f aca="false">Sens!$F$4406+(g_sp-Sens!$F$4406)*2/4</f>
        <v>0.0933076544540651</v>
      </c>
      <c r="J4406" s="13" t="n">
        <f aca="false">Sens!$F$4406+(g_sp-Sens!$F$4406)*3/4</f>
        <v>0.0816538272270325</v>
      </c>
      <c r="K4406" s="13" t="n">
        <f aca="false">Sens!$F$4406+(g_sp-Sens!$F$4406)*4/4</f>
        <v>0.07</v>
      </c>
      <c r="L4406" s="13" t="n">
        <f aca="false">g_sp</f>
        <v>0.07</v>
      </c>
      <c r="M4406" s="13" t="n">
        <f aca="false">g_sp</f>
        <v>0.07</v>
      </c>
      <c r="P4406" s="8" t="s">
        <v>667</v>
      </c>
    </row>
    <row r="4407" customFormat="false" ht="17.15" hidden="false" customHeight="false" outlineLevel="0" collapsed="false">
      <c r="A4407" s="0" t="s">
        <v>519</v>
      </c>
      <c r="B4407" s="0" t="s">
        <v>86</v>
      </c>
      <c r="C4407" s="38" t="n">
        <f aca="false">Q!$D$13</f>
        <v>56.214</v>
      </c>
      <c r="D4407" s="38" t="n">
        <f aca="false">Q!$E$13</f>
        <v>68.635</v>
      </c>
      <c r="E4407" s="38" t="n">
        <f aca="false">Q!$P$13</f>
        <v>37.052</v>
      </c>
      <c r="F4407" s="38" t="n">
        <f aca="false">Sens!$O$4407*(1+Sens!$F$4408)*Sens!$F$4413</f>
        <v>46.1572219944148</v>
      </c>
      <c r="G4407" s="38" t="n">
        <f aca="false">Sens!$E$4407+Sens!$F$4407</f>
        <v>83.2092219944148</v>
      </c>
      <c r="H4407" s="38" t="n">
        <f aca="false">Sens!$G$4407*(1+Sens!$H$4408)</f>
        <v>99.8969223878976</v>
      </c>
      <c r="I4407" s="38" t="n">
        <f aca="false">Sens!$H$4407*(1+Sens!$I$4408)</f>
        <v>116.583111095496</v>
      </c>
      <c r="J4407" s="38" t="n">
        <f aca="false">Sens!$I$4407*(1+Sens!$J$4408)</f>
        <v>132.148941941952</v>
      </c>
      <c r="K4407" s="38" t="n">
        <f aca="false">Sens!$J$4407*(1+Sens!$K$4408)</f>
        <v>145.363836136147</v>
      </c>
      <c r="L4407" s="38" t="n">
        <f aca="false">Sens!$K$4407*(1+Sens!$L$4408)</f>
        <v>159.900219749762</v>
      </c>
      <c r="M4407" s="38" t="n">
        <f aca="false">Sens!$L$4407*(1+Sens!$M$4408)</f>
        <v>175.890241724738</v>
      </c>
      <c r="N4407" s="38" t="n">
        <f aca="false">Q!$N$13</f>
        <v>29.615</v>
      </c>
      <c r="O4407" s="38" t="n">
        <f aca="false">Q!$O$13</f>
        <v>39.02</v>
      </c>
      <c r="P4407" s="8" t="s">
        <v>661</v>
      </c>
    </row>
    <row r="4408" customFormat="false" ht="17.15" hidden="false" customHeight="false" outlineLevel="0" collapsed="false">
      <c r="A4408" s="0" t="s">
        <v>668</v>
      </c>
      <c r="B4408" s="0" t="s">
        <v>52</v>
      </c>
      <c r="E4408" s="13" t="n">
        <f aca="false">Sens!$E$4407/Sens!$N$4407-1</f>
        <v>0.25112274185379</v>
      </c>
      <c r="F4408" s="13" t="n">
        <f aca="false">Sens!$O$4407/(Q!$F$13+Q!$G$13)-1</f>
        <v>0.234068123596572</v>
      </c>
      <c r="G4408" s="13" t="n">
        <f aca="false">Sens!$G$4407/Sens!$D$4407-1</f>
        <v>0.212343876949294</v>
      </c>
      <c r="H4408" s="13" t="n">
        <f aca="false">Sens!$F$4408+(g_ad-Sens!$F$4408)*1/4</f>
        <v>0.200551092697429</v>
      </c>
      <c r="I4408" s="13" t="n">
        <f aca="false">Sens!$F$4408+(g_ad-Sens!$F$4408)*2/4</f>
        <v>0.167034061798286</v>
      </c>
      <c r="J4408" s="13" t="n">
        <f aca="false">Sens!$F$4408+(g_ad-Sens!$F$4408)*3/4</f>
        <v>0.133517030899143</v>
      </c>
      <c r="K4408" s="13" t="n">
        <f aca="false">Sens!$F$4408+(g_ad-Sens!$F$4408)*4/4</f>
        <v>0.1</v>
      </c>
      <c r="L4408" s="13" t="n">
        <f aca="false">g_ad</f>
        <v>0.1</v>
      </c>
      <c r="M4408" s="13" t="n">
        <f aca="false">g_ad</f>
        <v>0.1</v>
      </c>
      <c r="P4408" s="8" t="s">
        <v>669</v>
      </c>
    </row>
    <row r="4409" customFormat="false" ht="17.15" hidden="false" customHeight="false" outlineLevel="0" collapsed="false">
      <c r="A4409" s="0" t="s">
        <v>520</v>
      </c>
      <c r="B4409" s="0" t="s">
        <v>86</v>
      </c>
      <c r="C4409" s="38" t="n">
        <f aca="false">Q!$D$14</f>
        <v>44.374</v>
      </c>
      <c r="D4409" s="38" t="n">
        <f aca="false">Q!$E$14</f>
        <v>49.619</v>
      </c>
      <c r="E4409" s="38" t="n">
        <f aca="false">Q!$P$14</f>
        <v>27.157</v>
      </c>
      <c r="F4409" s="38" t="n">
        <f aca="false">Sens!$O$4409*(1+Sens!$F$4410)*Sens!$F$4413</f>
        <v>27.7764165988154</v>
      </c>
      <c r="G4409" s="38" t="n">
        <f aca="false">Sens!$E$4409+Sens!$F$4409</f>
        <v>54.9334165988154</v>
      </c>
      <c r="H4409" s="38" t="n">
        <f aca="false">Sens!$G$4409*(1+Sens!$H$4410)</f>
        <v>61.1564112561829</v>
      </c>
      <c r="I4409" s="38" t="n">
        <f aca="false">Sens!$H$4409*(1+Sens!$I$4410)</f>
        <v>67.2020282103945</v>
      </c>
      <c r="J4409" s="38" t="n">
        <f aca="false">Sens!$I$4409*(1+Sens!$J$4410)</f>
        <v>72.8757274028885</v>
      </c>
      <c r="K4409" s="38" t="n">
        <f aca="false">Sens!$J$4409*(1+Sens!$K$4410)</f>
        <v>77.9770283210907</v>
      </c>
      <c r="L4409" s="38" t="n">
        <f aca="false">Sens!$K$4409*(1+Sens!$L$4410)</f>
        <v>83.4354203035671</v>
      </c>
      <c r="M4409" s="38" t="n">
        <f aca="false">Sens!$L$4409*(1+Sens!$M$4410)</f>
        <v>89.2758997248168</v>
      </c>
      <c r="N4409" s="38" t="n">
        <f aca="false">Q!$N$14</f>
        <v>23.923</v>
      </c>
      <c r="O4409" s="38" t="n">
        <f aca="false">Q!$O$14</f>
        <v>25.696</v>
      </c>
      <c r="P4409" s="8" t="s">
        <v>661</v>
      </c>
    </row>
    <row r="4410" customFormat="false" ht="17.15" hidden="false" customHeight="false" outlineLevel="0" collapsed="false">
      <c r="A4410" s="0" t="s">
        <v>670</v>
      </c>
      <c r="B4410" s="0" t="s">
        <v>52</v>
      </c>
      <c r="E4410" s="13" t="n">
        <f aca="false">Sens!$E$4409/Sens!$N$4409-1</f>
        <v>0.135183714417088</v>
      </c>
      <c r="F4410" s="13" t="n">
        <f aca="false">Sens!$O$4409/(Q!$F$14+Q!$G$14)-1</f>
        <v>0.127709997366804</v>
      </c>
      <c r="G4410" s="13" t="n">
        <f aca="false">Sens!$G$4409/Sens!$D$4409-1</f>
        <v>0.107104468022641</v>
      </c>
      <c r="H4410" s="13" t="n">
        <f aca="false">Sens!$F$4410+(g_sub-Sens!$F$4410)*1/4</f>
        <v>0.113282498025103</v>
      </c>
      <c r="I4410" s="13" t="n">
        <f aca="false">Sens!$F$4410+(g_sub-Sens!$F$4410)*2/4</f>
        <v>0.0988549986834021</v>
      </c>
      <c r="J4410" s="13" t="n">
        <f aca="false">Sens!$F$4410+(g_sub-Sens!$F$4410)*3/4</f>
        <v>0.084427499341701</v>
      </c>
      <c r="K4410" s="13" t="n">
        <f aca="false">Sens!$F$4410+(g_sub-Sens!$F$4410)*4/4</f>
        <v>0.07</v>
      </c>
      <c r="L4410" s="13" t="n">
        <f aca="false">g_sub</f>
        <v>0.07</v>
      </c>
      <c r="M4410" s="13" t="n">
        <f aca="false">g_sub</f>
        <v>0.07</v>
      </c>
      <c r="P4410" s="8" t="s">
        <v>671</v>
      </c>
    </row>
    <row r="4411" customFormat="false" ht="17.15" hidden="false" customHeight="false" outlineLevel="0" collapsed="false">
      <c r="A4411" s="0" t="s">
        <v>521</v>
      </c>
      <c r="B4411" s="0" t="s">
        <v>86</v>
      </c>
      <c r="C4411" s="38" t="n">
        <f aca="false">Q!$D$15</f>
        <v>5.425</v>
      </c>
      <c r="D4411" s="38" t="n">
        <f aca="false">Q!$E$15</f>
        <v>5.935</v>
      </c>
      <c r="E4411" s="38" t="n">
        <f aca="false">Q!$P$15</f>
        <v>3.474</v>
      </c>
      <c r="F4411" s="38" t="n">
        <f aca="false">Sens!$O$4411*(1+Sens!$F$4412)*Sens!$F$4413</f>
        <v>3.22246550883619</v>
      </c>
      <c r="G4411" s="38" t="n">
        <f aca="false">Sens!$E$4411+Sens!$F$4411</f>
        <v>6.69646550883619</v>
      </c>
      <c r="H4411" s="38" t="n">
        <f aca="false">Sens!$G$4411*(1+Sens!$H$4412)</f>
        <v>7.16251344209196</v>
      </c>
      <c r="I4411" s="38" t="n">
        <f aca="false">Sens!$H$4411*(1+Sens!$I$4412)</f>
        <v>7.61421070299826</v>
      </c>
      <c r="J4411" s="38" t="n">
        <f aca="false">Sens!$I$4411*(1+Sens!$J$4412)</f>
        <v>8.04465753523932</v>
      </c>
      <c r="K4411" s="38" t="n">
        <f aca="false">Sens!$J$4411*(1+Sens!$K$4412)</f>
        <v>8.44689041200128</v>
      </c>
      <c r="L4411" s="38" t="n">
        <f aca="false">Sens!$K$4411*(1+Sens!$L$4412)</f>
        <v>8.86923493260135</v>
      </c>
      <c r="M4411" s="38" t="n">
        <f aca="false">Sens!$L$4411*(1+Sens!$M$4412)</f>
        <v>9.31269667923142</v>
      </c>
      <c r="N4411" s="38" t="n">
        <f aca="false">Q!$N$15</f>
        <v>2.811</v>
      </c>
      <c r="O4411" s="38" t="n">
        <f aca="false">Q!$O$15</f>
        <v>3.124</v>
      </c>
      <c r="P4411" s="8" t="s">
        <v>661</v>
      </c>
    </row>
    <row r="4412" customFormat="false" ht="17.15" hidden="false" customHeight="false" outlineLevel="0" collapsed="false">
      <c r="A4412" s="0" t="s">
        <v>672</v>
      </c>
      <c r="B4412" s="0" t="s">
        <v>52</v>
      </c>
      <c r="E4412" s="13" t="n">
        <f aca="false">Sens!$E$4411/Sens!$N$4411-1</f>
        <v>0.235859124866596</v>
      </c>
      <c r="F4412" s="13" t="n">
        <f aca="false">Sens!$O$4411/(Q!$F$15+Q!$G$15)-1</f>
        <v>0.0761281433000345</v>
      </c>
      <c r="G4412" s="13" t="n">
        <f aca="false">Sens!$G$4411/Sens!$D$4411-1</f>
        <v>0.128300843948811</v>
      </c>
      <c r="H4412" s="13" t="n">
        <f aca="false">Sens!$F$4412+(g_ot-Sens!$F$4412)*1/4</f>
        <v>0.0695961074750259</v>
      </c>
      <c r="I4412" s="13" t="n">
        <f aca="false">Sens!$F$4412+(g_ot-Sens!$F$4412)*2/4</f>
        <v>0.0630640716500172</v>
      </c>
      <c r="J4412" s="13" t="n">
        <f aca="false">Sens!$F$4412+(g_ot-Sens!$F$4412)*3/4</f>
        <v>0.0565320358250086</v>
      </c>
      <c r="K4412" s="13" t="n">
        <f aca="false">Sens!$F$4412+(g_ot-Sens!$F$4412)*4/4</f>
        <v>0.05</v>
      </c>
      <c r="L4412" s="13" t="n">
        <f aca="false">g_ot</f>
        <v>0.05</v>
      </c>
      <c r="M4412" s="13" t="n">
        <f aca="false">g_ot</f>
        <v>0.05</v>
      </c>
      <c r="P4412" s="8" t="s">
        <v>673</v>
      </c>
    </row>
    <row r="4413" customFormat="false" ht="17.15" hidden="false" customHeight="false" outlineLevel="0" collapsed="false">
      <c r="A4413" s="0" t="s">
        <v>674</v>
      </c>
      <c r="B4413" s="0" t="s">
        <v>57</v>
      </c>
      <c r="F4413" s="40" t="n">
        <f aca="false">(g26q3_mid*Q!$O$8/Q!$J$8-Sens!$F$4442-Sens!$F$4446)/(Sens!$O$4401*(1+Sens!$F$4402)+Sens!$O$4403*(1+Sens!$F$4404)+Sens!$O$4405*(1+Sens!$F$4406)+Sens!$O$4407*(1+Sens!$F$4408)+Sens!$O$4409*(1+Sens!$F$4410)+Sens!$O$4411*(1+Sens!$F$4412))</f>
        <v>0.958546670622329</v>
      </c>
      <c r="P4413" s="8" t="s">
        <v>675</v>
      </c>
    </row>
    <row r="4414" customFormat="false" ht="17.15" hidden="false" customHeight="false" outlineLevel="0" collapsed="false">
      <c r="A4414" s="3" t="s">
        <v>676</v>
      </c>
      <c r="B4414" s="8" t="s">
        <v>86</v>
      </c>
      <c r="C4414" s="38" t="n">
        <f aca="false">Sens!$C$4401+Sens!$C$4403+Sens!$C$4405+Sens!$C$4407+Sens!$C$4409+Sens!$C$4411</f>
        <v>530.403</v>
      </c>
      <c r="D4414" s="38" t="n">
        <f aca="false">Sens!$D$4401+Sens!$D$4403+Sens!$D$4405+Sens!$D$4407+Sens!$D$4409+Sens!$D$4411</f>
        <v>588.199</v>
      </c>
      <c r="E4414" s="38" t="n">
        <f aca="false">Sens!$E$4401+Sens!$E$4403+Sens!$E$4405+Sens!$E$4407+Sens!$E$4409+Sens!$E$4411</f>
        <v>302.306</v>
      </c>
      <c r="F4414" s="38" t="n">
        <f aca="false">Sens!$F$4401+Sens!$F$4403+Sens!$F$4405+Sens!$F$4407+Sens!$F$4409+Sens!$F$4411</f>
        <v>349.048241645537</v>
      </c>
      <c r="G4414" s="38" t="n">
        <f aca="false">Sens!$G$4401+Sens!$G$4403+Sens!$G$4405+Sens!$G$4407+Sens!$G$4409+Sens!$G$4411</f>
        <v>651.354241645537</v>
      </c>
      <c r="H4414" s="38" t="n">
        <f aca="false">Sens!$H$4401+Sens!$H$4403+Sens!$H$4405+Sens!$H$4407+Sens!$H$4409+Sens!$H$4411</f>
        <v>721.096889521386</v>
      </c>
      <c r="I4414" s="38" t="n">
        <f aca="false">Sens!$I$4401+Sens!$I$4403+Sens!$I$4405+Sens!$I$4407+Sens!$I$4409+Sens!$I$4411</f>
        <v>788.529391152531</v>
      </c>
      <c r="J4414" s="38" t="n">
        <f aca="false">Sens!$J$4401+Sens!$J$4403+Sens!$J$4405+Sens!$J$4407+Sens!$J$4409+Sens!$J$4411</f>
        <v>851.108405741443</v>
      </c>
      <c r="K4414" s="38" t="n">
        <f aca="false">Sens!$K$4401+Sens!$K$4403+Sens!$K$4405+Sens!$K$4407+Sens!$K$4409+Sens!$K$4411</f>
        <v>906.176455431088</v>
      </c>
      <c r="L4414" s="38" t="n">
        <f aca="false">Sens!$L$4401+Sens!$L$4403+Sens!$L$4405+Sens!$L$4407+Sens!$L$4409+Sens!$L$4411</f>
        <v>965.093106475589</v>
      </c>
      <c r="M4414" s="38" t="n">
        <f aca="false">Sens!$M$4401+Sens!$M$4403+Sens!$M$4405+Sens!$M$4407+Sens!$M$4409+Sens!$M$4411</f>
        <v>1028.14790794689</v>
      </c>
      <c r="N4414" s="38" t="n">
        <f aca="false">Sens!$N$4401+Sens!$N$4403+Sens!$N$4405+Sens!$N$4407+Sens!$N$4409+Sens!$N$4411</f>
        <v>263.229</v>
      </c>
      <c r="O4414" s="38" t="n">
        <f aca="false">Sens!$O$4401+Sens!$O$4403+Sens!$O$4405+Sens!$O$4407+Sens!$O$4409+Sens!$O$4411</f>
        <v>324.97</v>
      </c>
    </row>
    <row r="4415" customFormat="false" ht="17.15" hidden="false" customHeight="false" outlineLevel="0" collapsed="false">
      <c r="A4415" s="5" t="s">
        <v>677</v>
      </c>
      <c r="B4415" s="0" t="s">
        <v>52</v>
      </c>
      <c r="C4415" s="13" t="n">
        <f aca="false">Q!$D$5/(Q!$D$5+Q!$D$6)</f>
        <v>0.730570905519011</v>
      </c>
      <c r="D4415" s="13" t="n">
        <f aca="false">Q!$E$5/(Q!$E$5+Q!$E$6)</f>
        <v>0.724763217890544</v>
      </c>
      <c r="E4415" s="13" t="n">
        <f aca="false">Q!$P$5/(Q!$P$5+Q!$P$6)</f>
        <v>0.728797972914861</v>
      </c>
      <c r="F4415" s="13" t="n">
        <f aca="false">Sens!$O$4415</f>
        <v>0.718066283041511</v>
      </c>
      <c r="G4415" s="13" t="n">
        <f aca="false">Sens!$G$4416/Sens!$G$4414</f>
        <v>0.723047066202847</v>
      </c>
      <c r="H4415" s="13" t="n">
        <f aca="false">Sens!$G$4415</f>
        <v>0.723047066202847</v>
      </c>
      <c r="I4415" s="13" t="n">
        <f aca="false">Sens!$G$4415</f>
        <v>0.723047066202847</v>
      </c>
      <c r="J4415" s="13" t="n">
        <f aca="false">Sens!$G$4415</f>
        <v>0.723047066202847</v>
      </c>
      <c r="K4415" s="13" t="n">
        <f aca="false">Sens!$G$4415</f>
        <v>0.723047066202847</v>
      </c>
      <c r="L4415" s="13" t="n">
        <f aca="false">Sens!$G$4415</f>
        <v>0.723047066202847</v>
      </c>
      <c r="M4415" s="13" t="n">
        <f aca="false">Sens!$G$4415</f>
        <v>0.723047066202847</v>
      </c>
      <c r="N4415" s="13" t="n">
        <f aca="false">Q!$N$5/(Q!$N$5+Q!$N$6)</f>
        <v>0.733030935041352</v>
      </c>
      <c r="O4415" s="13" t="n">
        <f aca="false">Q!$O$5/(Q!$O$5+Q!$O$6)</f>
        <v>0.718066283041511</v>
      </c>
      <c r="P4415" s="8" t="s">
        <v>678</v>
      </c>
    </row>
    <row r="4416" customFormat="false" ht="17.15" hidden="false" customHeight="false" outlineLevel="0" collapsed="false">
      <c r="A4416" s="1" t="s">
        <v>509</v>
      </c>
      <c r="B4416" s="8" t="s">
        <v>86</v>
      </c>
      <c r="C4416" s="38" t="n">
        <f aca="false">Q!$D$5</f>
        <v>387.497</v>
      </c>
      <c r="D4416" s="38" t="n">
        <f aca="false">Q!$E$5</f>
        <v>426.305</v>
      </c>
      <c r="E4416" s="38" t="n">
        <f aca="false">Q!$P$5</f>
        <v>220.32</v>
      </c>
      <c r="F4416" s="38" t="n">
        <f aca="false">Sens!$F$4414*Sens!$F$4415</f>
        <v>250.639773480586</v>
      </c>
      <c r="G4416" s="38" t="n">
        <f aca="false">Sens!$E$4416+Sens!$F$4416</f>
        <v>470.959773480586</v>
      </c>
      <c r="H4416" s="38" t="n">
        <f aca="false">Sens!$H$4414*Sens!$H$4415</f>
        <v>521.386990416437</v>
      </c>
      <c r="I4416" s="38" t="n">
        <f aca="false">Sens!$I$4414*Sens!$I$4415</f>
        <v>570.143862887555</v>
      </c>
      <c r="J4416" s="38" t="n">
        <f aca="false">Sens!$J$4414*Sens!$J$4415</f>
        <v>615.391435791933</v>
      </c>
      <c r="K4416" s="38" t="n">
        <f aca="false">Sens!$K$4414*Sens!$K$4415</f>
        <v>655.208227561543</v>
      </c>
      <c r="L4416" s="38" t="n">
        <f aca="false">Sens!$L$4414*Sens!$L$4415</f>
        <v>697.807739249767</v>
      </c>
      <c r="M4416" s="38" t="n">
        <f aca="false">Sens!$M$4414*Sens!$M$4415</f>
        <v>743.399328463592</v>
      </c>
      <c r="N4416" s="38" t="n">
        <f aca="false">Q!$N$5</f>
        <v>192.955</v>
      </c>
      <c r="O4416" s="38" t="n">
        <f aca="false">Q!$O$5</f>
        <v>233.35</v>
      </c>
      <c r="P4416" s="5" t="s">
        <v>679</v>
      </c>
    </row>
    <row r="4417" customFormat="false" ht="17.15" hidden="false" customHeight="false" outlineLevel="0" collapsed="false">
      <c r="A4417" s="1" t="s">
        <v>512</v>
      </c>
      <c r="B4417" s="8" t="s">
        <v>86</v>
      </c>
      <c r="C4417" s="38" t="n">
        <f aca="false">Q!$D$6</f>
        <v>142.906</v>
      </c>
      <c r="D4417" s="38" t="n">
        <f aca="false">Q!$E$6</f>
        <v>161.894</v>
      </c>
      <c r="E4417" s="38" t="n">
        <f aca="false">Q!$P$6</f>
        <v>81.986</v>
      </c>
      <c r="F4417" s="38" t="n">
        <f aca="false">Sens!$F$4414*(1-Sens!$F$4415)</f>
        <v>98.408468164951</v>
      </c>
      <c r="G4417" s="38" t="n">
        <f aca="false">Sens!$E$4417+Sens!$F$4417</f>
        <v>180.394468164951</v>
      </c>
      <c r="H4417" s="38" t="n">
        <f aca="false">Sens!$H$4414*(1-Sens!$H$4415)</f>
        <v>199.709899104949</v>
      </c>
      <c r="I4417" s="38" t="n">
        <f aca="false">Sens!$I$4414*(1-Sens!$I$4415)</f>
        <v>218.385528264976</v>
      </c>
      <c r="J4417" s="38" t="n">
        <f aca="false">Sens!$J$4414*(1-Sens!$J$4415)</f>
        <v>235.71696994951</v>
      </c>
      <c r="K4417" s="38" t="n">
        <f aca="false">Sens!$K$4414*(1-Sens!$K$4415)</f>
        <v>250.968227869545</v>
      </c>
      <c r="L4417" s="38" t="n">
        <f aca="false">Sens!$L$4414*(1-Sens!$L$4415)</f>
        <v>267.285367225822</v>
      </c>
      <c r="M4417" s="38" t="n">
        <f aca="false">Sens!$M$4414*(1-Sens!$M$4415)</f>
        <v>284.748579483295</v>
      </c>
      <c r="N4417" s="38" t="n">
        <f aca="false">Q!$N$6</f>
        <v>70.274</v>
      </c>
      <c r="O4417" s="38" t="n">
        <f aca="false">Q!$O$6</f>
        <v>91.62</v>
      </c>
      <c r="P4417" s="5" t="s">
        <v>680</v>
      </c>
    </row>
    <row r="4418" customFormat="false" ht="17.15" hidden="false" customHeight="false" outlineLevel="0" collapsed="false">
      <c r="A4418" s="5" t="s">
        <v>681</v>
      </c>
      <c r="B4418" s="0" t="s">
        <v>86</v>
      </c>
      <c r="C4418" s="38" t="n">
        <f aca="false">Sens!$C$4407*Sens!$C$4415</f>
        <v>41.0683128828457</v>
      </c>
      <c r="D4418" s="38" t="n">
        <f aca="false">Sens!$D$4407*Sens!$D$4415</f>
        <v>49.7441234599175</v>
      </c>
      <c r="E4418" s="38" t="n">
        <f aca="false">Sens!$E$4407*Sens!$E$4415</f>
        <v>27.0034224924414</v>
      </c>
      <c r="F4418" s="38" t="n">
        <f aca="false">Sens!$F$4407*Sens!$F$4415</f>
        <v>33.1439448330513</v>
      </c>
      <c r="G4418" s="38" t="n">
        <f aca="false">Sens!$G$4407*Sens!$G$4415</f>
        <v>60.164183844083</v>
      </c>
      <c r="H4418" s="38" t="n">
        <f aca="false">Sens!$H$4407*Sens!$H$4415</f>
        <v>72.2301766552629</v>
      </c>
      <c r="I4418" s="38" t="n">
        <f aca="false">Sens!$I$4407*Sens!$I$4415</f>
        <v>84.2950764463991</v>
      </c>
      <c r="J4418" s="38" t="n">
        <f aca="false">Sens!$J$4407*Sens!$J$4415</f>
        <v>95.5499047729386</v>
      </c>
      <c r="K4418" s="38" t="n">
        <f aca="false">Sens!$K$4407*Sens!$K$4415</f>
        <v>105.104895250232</v>
      </c>
      <c r="L4418" s="38" t="n">
        <f aca="false">Sens!$L$4407*Sens!$L$4415</f>
        <v>115.615384775256</v>
      </c>
      <c r="M4418" s="38" t="n">
        <f aca="false">Sens!$M$4407*Sens!$M$4415</f>
        <v>127.176923252781</v>
      </c>
      <c r="N4418" s="38" t="n">
        <f aca="false">Sens!$N$4407*Sens!$N$4415</f>
        <v>21.7087111412496</v>
      </c>
      <c r="O4418" s="38" t="n">
        <f aca="false">Sens!$O$4407*Sens!$O$4415</f>
        <v>28.0189463642798</v>
      </c>
      <c r="P4418" s="5" t="s">
        <v>682</v>
      </c>
    </row>
    <row r="4419" customFormat="false" ht="15" hidden="false" customHeight="false" outlineLevel="0" collapsed="false">
      <c r="A4419" s="5" t="s">
        <v>683</v>
      </c>
      <c r="B4419" s="0" t="s">
        <v>86</v>
      </c>
      <c r="C4419" s="38" t="n">
        <f aca="false">Sens!$C$4407-Sens!$C$4418</f>
        <v>15.1456871171543</v>
      </c>
      <c r="D4419" s="38" t="n">
        <f aca="false">Sens!$D$4407-Sens!$D$4418</f>
        <v>18.8908765400825</v>
      </c>
      <c r="E4419" s="38" t="n">
        <f aca="false">Sens!$E$4407-Sens!$E$4418</f>
        <v>10.0485775075586</v>
      </c>
      <c r="F4419" s="38" t="n">
        <f aca="false">Sens!$F$4407-Sens!$F$4418</f>
        <v>13.0132771613635</v>
      </c>
      <c r="G4419" s="38" t="n">
        <f aca="false">Sens!$G$4407-Sens!$G$4418</f>
        <v>23.0450381503318</v>
      </c>
      <c r="H4419" s="38" t="n">
        <f aca="false">Sens!$H$4407-Sens!$H$4418</f>
        <v>27.6667457326347</v>
      </c>
      <c r="I4419" s="38" t="n">
        <f aca="false">Sens!$I$4407-Sens!$I$4418</f>
        <v>32.2880346490971</v>
      </c>
      <c r="J4419" s="38" t="n">
        <f aca="false">Sens!$J$4407-Sens!$J$4418</f>
        <v>36.5990371690132</v>
      </c>
      <c r="K4419" s="38" t="n">
        <f aca="false">Sens!$K$4407-Sens!$K$4418</f>
        <v>40.2589408859145</v>
      </c>
      <c r="L4419" s="38" t="n">
        <f aca="false">Sens!$L$4407-Sens!$L$4418</f>
        <v>44.2848349745059</v>
      </c>
      <c r="M4419" s="38" t="n">
        <f aca="false">Sens!$M$4407-Sens!$M$4418</f>
        <v>48.7133184719565</v>
      </c>
      <c r="N4419" s="38" t="n">
        <f aca="false">Sens!$N$4407-Sens!$N$4418</f>
        <v>7.90628885875037</v>
      </c>
      <c r="O4419" s="38" t="n">
        <f aca="false">Sens!$O$4407-Sens!$O$4418</f>
        <v>11.0010536357202</v>
      </c>
    </row>
    <row r="4420" customFormat="false" ht="19.4" hidden="false" customHeight="false" outlineLevel="0" collapsed="false">
      <c r="A4420" s="31" t="s">
        <v>1218</v>
      </c>
    </row>
    <row r="4421" customFormat="false" ht="17.15" hidden="false" customHeight="false" outlineLevel="0" collapsed="false">
      <c r="A4421" s="6" t="s">
        <v>16</v>
      </c>
      <c r="B4421" s="6" t="s">
        <v>17</v>
      </c>
      <c r="C4421" s="20" t="s">
        <v>494</v>
      </c>
      <c r="D4421" s="20" t="s">
        <v>495</v>
      </c>
      <c r="E4421" s="20" t="s">
        <v>577</v>
      </c>
      <c r="F4421" s="20" t="s">
        <v>578</v>
      </c>
      <c r="G4421" s="20" t="s">
        <v>579</v>
      </c>
      <c r="H4421" s="20" t="s">
        <v>580</v>
      </c>
      <c r="I4421" s="20" t="s">
        <v>581</v>
      </c>
      <c r="J4421" s="20" t="s">
        <v>582</v>
      </c>
      <c r="K4421" s="20" t="s">
        <v>583</v>
      </c>
      <c r="L4421" s="20" t="s">
        <v>584</v>
      </c>
      <c r="M4421" s="20" t="s">
        <v>585</v>
      </c>
      <c r="N4421" s="20" t="s">
        <v>586</v>
      </c>
      <c r="O4421" s="20" t="s">
        <v>587</v>
      </c>
      <c r="P4421" s="6" t="s">
        <v>23</v>
      </c>
      <c r="R4421" s="20" t="n">
        <v>2023</v>
      </c>
      <c r="S4421" s="20" t="n">
        <v>2024</v>
      </c>
      <c r="T4421" s="20" t="n">
        <v>2025</v>
      </c>
      <c r="U4421" s="20" t="n">
        <v>2026</v>
      </c>
      <c r="V4421" s="20" t="n">
        <v>2027</v>
      </c>
      <c r="W4421" s="20" t="n">
        <v>2028</v>
      </c>
      <c r="X4421" s="20" t="n">
        <v>2029</v>
      </c>
      <c r="Y4421" s="20" t="n">
        <v>2030</v>
      </c>
      <c r="Z4421" s="20" t="n">
        <v>2031</v>
      </c>
      <c r="AA4421" s="20" t="n">
        <v>2032</v>
      </c>
    </row>
    <row r="4422" customFormat="false" ht="17.15" hidden="false" customHeight="false" outlineLevel="0" collapsed="false">
      <c r="A4422" s="1" t="s">
        <v>588</v>
      </c>
    </row>
    <row r="4423" customFormat="false" ht="17.15" hidden="false" customHeight="false" outlineLevel="0" collapsed="false">
      <c r="A4423" s="5" t="s">
        <v>589</v>
      </c>
      <c r="B4423" s="0" t="s">
        <v>144</v>
      </c>
      <c r="H4423" s="32" t="n">
        <f aca="false">pace_B</f>
        <v>3634.3</v>
      </c>
      <c r="I4423" s="32" t="n">
        <f aca="false">pace_B</f>
        <v>3634.3</v>
      </c>
      <c r="J4423" s="32" t="n">
        <f aca="false">pace_B</f>
        <v>3634.3</v>
      </c>
      <c r="K4423" s="32" t="n">
        <f aca="false">pace_B+(Sens!$J$4424*tg-pace_B)*1/3</f>
        <v>2570.86716666667</v>
      </c>
      <c r="L4423" s="32" t="n">
        <f aca="false">pace_B+(Sens!$J$4424*tg-pace_B)*2/3</f>
        <v>1507.43433333333</v>
      </c>
      <c r="M4423" s="32" t="n">
        <f aca="false">pace_B+(Sens!$J$4424*tg-pace_B)*3/3</f>
        <v>444.0015</v>
      </c>
      <c r="P4423" s="5" t="s">
        <v>590</v>
      </c>
    </row>
    <row r="4424" customFormat="false" ht="17.15" hidden="false" customHeight="false" outlineLevel="0" collapsed="false">
      <c r="A4424" s="15" t="s">
        <v>591</v>
      </c>
      <c r="B4424" s="14" t="s">
        <v>129</v>
      </c>
      <c r="C4424" s="33" t="n">
        <f aca="false">mw_ye24</f>
        <v>360</v>
      </c>
      <c r="D4424" s="33" t="n">
        <f aca="false">mw_ye25</f>
        <v>1440</v>
      </c>
      <c r="E4424" s="33" t="n">
        <f aca="false">mw_open</f>
        <v>2080</v>
      </c>
      <c r="F4424" s="33" t="n">
        <f aca="false">Sens!$E$4424+pace_B*0.5</f>
        <v>3897.15</v>
      </c>
      <c r="G4424" s="33" t="n">
        <f aca="false">Sens!$F$4424</f>
        <v>3897.15</v>
      </c>
      <c r="H4424" s="33" t="n">
        <f aca="false">Sens!$G$4424+Sens!$H$4423</f>
        <v>7531.45</v>
      </c>
      <c r="I4424" s="33" t="n">
        <f aca="false">Sens!$H$4424+Sens!$I$4423</f>
        <v>11165.75</v>
      </c>
      <c r="J4424" s="33" t="n">
        <f aca="false">Sens!$I$4424+Sens!$J$4423</f>
        <v>14800.05</v>
      </c>
      <c r="K4424" s="33" t="n">
        <f aca="false">Sens!$J$4424+Sens!$K$4423</f>
        <v>17370.9171666667</v>
      </c>
      <c r="L4424" s="33" t="n">
        <f aca="false">Sens!$K$4424+Sens!$L$4423</f>
        <v>18878.3515</v>
      </c>
      <c r="M4424" s="33" t="n">
        <f aca="false">Sens!$L$4424+Sens!$M$4423</f>
        <v>19322.353</v>
      </c>
      <c r="N4424" s="33" t="n">
        <f aca="false">(mw_ye24+mw_ye25)/2</f>
        <v>900</v>
      </c>
      <c r="O4424" s="33" t="n">
        <f aca="false">mw_ye25</f>
        <v>1440</v>
      </c>
      <c r="P4424" s="5" t="s">
        <v>592</v>
      </c>
    </row>
    <row r="4425" customFormat="false" ht="17.15" hidden="false" customHeight="false" outlineLevel="0" collapsed="false">
      <c r="A4425" s="5" t="s">
        <v>593</v>
      </c>
      <c r="B4425" s="0" t="s">
        <v>129</v>
      </c>
      <c r="C4425" s="32" t="n">
        <f aca="false">(mw_ye23+mw_ye24)/2</f>
        <v>240</v>
      </c>
      <c r="D4425" s="32" t="n">
        <f aca="false">(Sens!$C$4424+Sens!$D$4424)/2</f>
        <v>900</v>
      </c>
      <c r="E4425" s="32" t="n">
        <f aca="false">(Sens!$D$4424+Sens!$E$4424)/2</f>
        <v>1760</v>
      </c>
      <c r="F4425" s="32" t="n">
        <f aca="false">(Sens!$E$4424+Sens!$F$4424)/2</f>
        <v>2988.575</v>
      </c>
      <c r="G4425" s="32" t="n">
        <f aca="false">(Sens!$E$4425+Sens!$F$4425)/2</f>
        <v>2374.2875</v>
      </c>
      <c r="H4425" s="32" t="n">
        <f aca="false">(Sens!$G$4424+Sens!$H$4424)/2</f>
        <v>5714.3</v>
      </c>
      <c r="I4425" s="32" t="n">
        <f aca="false">(Sens!$H$4424+Sens!$I$4424)/2</f>
        <v>9348.6</v>
      </c>
      <c r="J4425" s="32" t="n">
        <f aca="false">(Sens!$I$4424+Sens!$J$4424)/2</f>
        <v>12982.9</v>
      </c>
      <c r="K4425" s="32" t="n">
        <f aca="false">(Sens!$J$4424+Sens!$K$4424)/2</f>
        <v>16085.4835833333</v>
      </c>
      <c r="L4425" s="32" t="n">
        <f aca="false">(Sens!$K$4424+Sens!$L$4424)/2</f>
        <v>18124.6343333333</v>
      </c>
      <c r="M4425" s="32" t="n">
        <f aca="false">(Sens!$L$4424+Sens!$M$4424)/2</f>
        <v>19100.35225</v>
      </c>
      <c r="N4425" s="32" t="n">
        <f aca="false">(Sens!$C$4424+Sens!$N$4424)/2</f>
        <v>630</v>
      </c>
      <c r="O4425" s="32" t="n">
        <f aca="false">(Sens!$N$4424+Sens!$O$4424)/2</f>
        <v>1170</v>
      </c>
    </row>
    <row r="4426" customFormat="false" ht="15" hidden="false" customHeight="false" outlineLevel="0" collapsed="false">
      <c r="A4426" s="5" t="s">
        <v>594</v>
      </c>
      <c r="B4426" s="5" t="s">
        <v>123</v>
      </c>
      <c r="C4426" s="34" t="n">
        <v>1</v>
      </c>
      <c r="D4426" s="34" t="n">
        <v>1</v>
      </c>
      <c r="E4426" s="34" t="n">
        <v>0.5</v>
      </c>
      <c r="F4426" s="34" t="n">
        <v>0.5</v>
      </c>
      <c r="G4426" s="34" t="n">
        <v>1</v>
      </c>
      <c r="H4426" s="34" t="n">
        <v>1</v>
      </c>
      <c r="I4426" s="34" t="n">
        <v>1</v>
      </c>
      <c r="J4426" s="34" t="n">
        <v>1</v>
      </c>
      <c r="K4426" s="34" t="n">
        <v>1</v>
      </c>
      <c r="L4426" s="34" t="n">
        <v>1</v>
      </c>
      <c r="M4426" s="34" t="n">
        <v>1</v>
      </c>
      <c r="N4426" s="34" t="n">
        <v>0.5</v>
      </c>
      <c r="O4426" s="34" t="n">
        <v>0.5</v>
      </c>
    </row>
    <row r="4427" customFormat="false" ht="17.15" hidden="false" customHeight="false" outlineLevel="0" collapsed="false">
      <c r="A4427" s="5" t="s">
        <v>595</v>
      </c>
      <c r="B4427" s="0" t="s">
        <v>129</v>
      </c>
      <c r="C4427" s="32" t="n">
        <f aca="false">Sens!$C$4424-mw_ye23</f>
        <v>240</v>
      </c>
      <c r="D4427" s="32" t="n">
        <f aca="false">Sens!$D$4424-Sens!$C$4424</f>
        <v>1080</v>
      </c>
      <c r="E4427" s="32" t="n">
        <f aca="false">Sens!$E$4424-Sens!$D$4424</f>
        <v>640</v>
      </c>
      <c r="F4427" s="32" t="n">
        <f aca="false">Sens!$F$4424-Sens!$E$4424</f>
        <v>1817.15</v>
      </c>
      <c r="G4427" s="32" t="n">
        <f aca="false">Sens!$E$4427+Sens!$F$4427</f>
        <v>2457.15</v>
      </c>
      <c r="H4427" s="32" t="n">
        <f aca="false">Sens!$H$4424-Sens!$G$4424</f>
        <v>3634.3</v>
      </c>
      <c r="I4427" s="32" t="n">
        <f aca="false">Sens!$I$4424-Sens!$H$4424</f>
        <v>3634.3</v>
      </c>
      <c r="J4427" s="32" t="n">
        <f aca="false">Sens!$J$4424-Sens!$I$4424</f>
        <v>3634.3</v>
      </c>
      <c r="K4427" s="32" t="n">
        <f aca="false">Sens!$K$4424-Sens!$J$4424</f>
        <v>2570.86716666667</v>
      </c>
      <c r="L4427" s="32" t="n">
        <f aca="false">Sens!$L$4424-Sens!$K$4424</f>
        <v>1507.43433333333</v>
      </c>
      <c r="M4427" s="32" t="n">
        <f aca="false">Sens!$M$4424-Sens!$L$4424</f>
        <v>444.001499999999</v>
      </c>
      <c r="N4427" s="32" t="n">
        <f aca="false">Sens!$N$4424-Sens!$C$4424</f>
        <v>540</v>
      </c>
      <c r="O4427" s="32" t="n">
        <f aca="false">Sens!$O$4424-Sens!$N$4424</f>
        <v>540</v>
      </c>
    </row>
    <row r="4428" customFormat="false" ht="17.15" hidden="false" customHeight="false" outlineLevel="0" collapsed="false">
      <c r="A4428" s="5" t="s">
        <v>596</v>
      </c>
      <c r="B4428" s="0" t="s">
        <v>129</v>
      </c>
      <c r="C4428" s="32" t="n">
        <f aca="false">Sens!$C$4427/ext_sh</f>
        <v>300</v>
      </c>
      <c r="D4428" s="32" t="n">
        <f aca="false">Sens!$D$4427/ext_sh</f>
        <v>1350</v>
      </c>
      <c r="E4428" s="32" t="n">
        <f aca="false">Sens!$E$4427/ext_sh</f>
        <v>800</v>
      </c>
      <c r="F4428" s="32" t="n">
        <f aca="false">Sens!$F$4427/ext_sh</f>
        <v>2271.4375</v>
      </c>
      <c r="G4428" s="32" t="n">
        <f aca="false">Sens!$G$4427/ext_sh</f>
        <v>3071.4375</v>
      </c>
      <c r="H4428" s="32" t="n">
        <f aca="false">Sens!$H$4427/ext_sh</f>
        <v>4542.875</v>
      </c>
      <c r="I4428" s="32" t="n">
        <f aca="false">Sens!$I$4427/ext_sh</f>
        <v>4542.875</v>
      </c>
      <c r="J4428" s="32" t="n">
        <f aca="false">Sens!$J$4427/ext_sh</f>
        <v>4542.875</v>
      </c>
      <c r="K4428" s="32" t="n">
        <f aca="false">Sens!$K$4427/ext_sh</f>
        <v>3213.58395833333</v>
      </c>
      <c r="L4428" s="32" t="n">
        <f aca="false">Sens!$L$4427/ext_sh</f>
        <v>1884.29291666667</v>
      </c>
      <c r="M4428" s="32" t="n">
        <f aca="false">Sens!$M$4427/ext_sh</f>
        <v>555.001874999998</v>
      </c>
      <c r="N4428" s="32" t="n">
        <f aca="false">Sens!$N$4427/ext_sh</f>
        <v>675</v>
      </c>
      <c r="O4428" s="32" t="n">
        <f aca="false">Sens!$O$4427/ext_sh</f>
        <v>675</v>
      </c>
      <c r="P4428" s="8" t="s">
        <v>597</v>
      </c>
      <c r="R4428" s="32" t="n">
        <f aca="false">mw_ye23/ext_sh</f>
        <v>150</v>
      </c>
      <c r="S4428" s="32" t="n">
        <f aca="false">Sens!$C$4428</f>
        <v>300</v>
      </c>
      <c r="T4428" s="32" t="n">
        <f aca="false">Sens!$D$4428</f>
        <v>1350</v>
      </c>
      <c r="U4428" s="32" t="n">
        <f aca="false">Sens!$G$4428</f>
        <v>3071.4375</v>
      </c>
      <c r="V4428" s="32" t="n">
        <f aca="false">Sens!$H$4428</f>
        <v>4542.875</v>
      </c>
      <c r="W4428" s="32" t="n">
        <f aca="false">Sens!$I$4428</f>
        <v>4542.875</v>
      </c>
      <c r="X4428" s="32" t="n">
        <f aca="false">Sens!$J$4428</f>
        <v>4542.875</v>
      </c>
      <c r="Y4428" s="32" t="n">
        <f aca="false">Sens!$K$4428</f>
        <v>3213.58395833333</v>
      </c>
      <c r="Z4428" s="32" t="n">
        <f aca="false">Sens!$L$4428</f>
        <v>1884.29291666667</v>
      </c>
      <c r="AA4428" s="32" t="n">
        <f aca="false">Sens!$M$4428</f>
        <v>555.001874999998</v>
      </c>
    </row>
    <row r="4429" customFormat="false" ht="17.15" hidden="false" customHeight="false" outlineLevel="0" collapsed="false">
      <c r="A4429" s="1" t="s">
        <v>598</v>
      </c>
    </row>
    <row r="4430" customFormat="false" ht="17.15" hidden="false" customHeight="false" outlineLevel="0" collapsed="false">
      <c r="A4430" s="0" t="s">
        <v>599</v>
      </c>
      <c r="B4430" s="0" t="s">
        <v>52</v>
      </c>
      <c r="F4430" s="35" t="n">
        <f aca="false">na_vr26</f>
        <v>0</v>
      </c>
      <c r="G4430" s="35" t="n">
        <f aca="false">na_vr26</f>
        <v>0</v>
      </c>
      <c r="H4430" s="35" t="n">
        <f aca="false">na_vr27</f>
        <v>0.5</v>
      </c>
      <c r="I4430" s="35" t="n">
        <f aca="false">na_vr28</f>
        <v>1</v>
      </c>
      <c r="J4430" s="35" t="n">
        <f aca="false">na_vr28</f>
        <v>1</v>
      </c>
      <c r="K4430" s="35" t="n">
        <f aca="false">na_vr28</f>
        <v>1</v>
      </c>
      <c r="L4430" s="35" t="n">
        <f aca="false">na_vr28</f>
        <v>1</v>
      </c>
      <c r="M4430" s="35" t="n">
        <f aca="false">na_vr28</f>
        <v>1</v>
      </c>
    </row>
    <row r="4431" customFormat="false" ht="17.15" hidden="false" customHeight="false" outlineLevel="0" collapsed="false">
      <c r="A4431" s="5" t="s">
        <v>600</v>
      </c>
      <c r="B4431" s="0" t="s">
        <v>173</v>
      </c>
      <c r="F4431" s="36" t="n">
        <f aca="false">cust_sh*tk_he_gb300*cf_chip+(1-cust_sh)*((1-Sens!$F$4430)*tk_he_gb300+Sens!$F$4430*tk_he_vr200)</f>
        <v>10.8864110021101</v>
      </c>
      <c r="G4431" s="36" t="n">
        <f aca="false">cust_sh*tk_he_gb300*cf_chip+(1-cust_sh)*((1-Sens!$G$4430)*tk_he_gb300+Sens!$G$4430*tk_he_vr200)</f>
        <v>10.8864110021101</v>
      </c>
      <c r="H4431" s="36" t="n">
        <f aca="false">cust_sh*tk_he_gb300*cf_chip+(1-cust_sh)*((1-Sens!$H$4430)*tk_he_gb300+Sens!$H$4430*tk_he_vr200)</f>
        <v>11.2211760027286</v>
      </c>
      <c r="I4431" s="36" t="n">
        <f aca="false">cust_sh*tk_he_gb300*cf_chip+(1-cust_sh)*((1-Sens!$I$4430)*tk_he_gb300+Sens!$I$4430*tk_he_vr200)</f>
        <v>11.5559410033471</v>
      </c>
      <c r="J4431" s="36" t="n">
        <f aca="false">cust_sh*tk_he_gb300*cf_chip+(1-cust_sh)*((1-Sens!$J$4430)*tk_he_gb300+Sens!$J$4430*tk_he_vr200)</f>
        <v>11.5559410033471</v>
      </c>
      <c r="K4431" s="36" t="n">
        <f aca="false">cust_sh*tk_he_gb300*cf_chip+(1-cust_sh)*((1-Sens!$K$4430)*tk_he_gb300+Sens!$K$4430*tk_he_vr200)</f>
        <v>11.5559410033471</v>
      </c>
      <c r="L4431" s="36" t="n">
        <f aca="false">cust_sh*tk_he_gb300*cf_chip+(1-cust_sh)*((1-Sens!$L$4430)*tk_he_gb300+Sens!$L$4430*tk_he_vr200)</f>
        <v>11.5559410033471</v>
      </c>
      <c r="M4431" s="36" t="n">
        <f aca="false">cust_sh*tk_he_gb300*cf_chip+(1-cust_sh)*((1-Sens!$M$4430)*tk_he_gb300+Sens!$M$4430*tk_he_vr200)</f>
        <v>11.5559410033471</v>
      </c>
    </row>
    <row r="4432" customFormat="false" ht="17.15" hidden="false" customHeight="false" outlineLevel="0" collapsed="false">
      <c r="A4432" s="5" t="s">
        <v>601</v>
      </c>
      <c r="B4432" s="0" t="s">
        <v>173</v>
      </c>
      <c r="F4432" s="36" t="n">
        <f aca="false">cust_sh*tk_ox_gb300+(1-cust_sh)*((1-Sens!$F$4430)*tk_ox_gb300+Sens!$F$4430*tk_ox_vr200)</f>
        <v>1.98263481314457</v>
      </c>
      <c r="G4432" s="36" t="n">
        <f aca="false">cust_sh*tk_ox_gb300+(1-cust_sh)*((1-Sens!$G$4430)*tk_ox_gb300+Sens!$G$4430*tk_ox_vr200)</f>
        <v>1.98263481314457</v>
      </c>
      <c r="H4432" s="36" t="n">
        <f aca="false">cust_sh*tk_ox_gb300+(1-cust_sh)*((1-Sens!$H$4430)*tk_ox_gb300+Sens!$H$4430*tk_ox_vr200)</f>
        <v>2.01034999693694</v>
      </c>
      <c r="I4432" s="36" t="n">
        <f aca="false">cust_sh*tk_ox_gb300+(1-cust_sh)*((1-Sens!$I$4430)*tk_ox_gb300+Sens!$I$4430*tk_ox_vr200)</f>
        <v>2.0380651807293</v>
      </c>
      <c r="J4432" s="36" t="n">
        <f aca="false">cust_sh*tk_ox_gb300+(1-cust_sh)*((1-Sens!$J$4430)*tk_ox_gb300+Sens!$J$4430*tk_ox_vr200)</f>
        <v>2.0380651807293</v>
      </c>
      <c r="K4432" s="36" t="n">
        <f aca="false">cust_sh*tk_ox_gb300+(1-cust_sh)*((1-Sens!$K$4430)*tk_ox_gb300+Sens!$K$4430*tk_ox_vr200)</f>
        <v>2.0380651807293</v>
      </c>
      <c r="L4432" s="36" t="n">
        <f aca="false">cust_sh*tk_ox_gb300+(1-cust_sh)*((1-Sens!$L$4430)*tk_ox_gb300+Sens!$L$4430*tk_ox_vr200)</f>
        <v>2.0380651807293</v>
      </c>
      <c r="M4432" s="36" t="n">
        <f aca="false">cust_sh*tk_ox_gb300+(1-cust_sh)*((1-Sens!$M$4430)*tk_ox_gb300+Sens!$M$4430*tk_ox_vr200)</f>
        <v>2.0380651807293</v>
      </c>
    </row>
    <row r="4433" customFormat="false" ht="17.15" hidden="false" customHeight="false" outlineLevel="0" collapsed="false">
      <c r="A4433" s="5" t="s">
        <v>602</v>
      </c>
      <c r="B4433" s="0" t="s">
        <v>192</v>
      </c>
      <c r="F4433" s="36" t="n">
        <f aca="false">cust_sh*tk_cx_gb300*cf_cx+(1-cust_sh)*((1-Sens!$F$4430)*tk_cx_gb300+Sens!$F$4430*tk_cx_vr200)</f>
        <v>32.237224</v>
      </c>
      <c r="G4433" s="36" t="n">
        <f aca="false">cust_sh*tk_cx_gb300*cf_cx+(1-cust_sh)*((1-Sens!$G$4430)*tk_cx_gb300+Sens!$G$4430*tk_cx_vr200)</f>
        <v>32.237224</v>
      </c>
      <c r="H4433" s="36" t="n">
        <f aca="false">cust_sh*tk_cx_gb300*cf_cx+(1-cust_sh)*((1-Sens!$H$4430)*tk_cx_gb300+Sens!$H$4430*tk_cx_vr200)</f>
        <v>33.574506</v>
      </c>
      <c r="I4433" s="36" t="n">
        <f aca="false">cust_sh*tk_cx_gb300*cf_cx+(1-cust_sh)*((1-Sens!$I$4430)*tk_cx_gb300+Sens!$I$4430*tk_cx_vr200)</f>
        <v>34.911788</v>
      </c>
      <c r="J4433" s="36" t="n">
        <f aca="false">cust_sh*tk_cx_gb300*cf_cx+(1-cust_sh)*((1-Sens!$J$4430)*tk_cx_gb300+Sens!$J$4430*tk_cx_vr200)</f>
        <v>34.911788</v>
      </c>
      <c r="K4433" s="36" t="n">
        <f aca="false">cust_sh*tk_cx_gb300*cf_cx+(1-cust_sh)*((1-Sens!$K$4430)*tk_cx_gb300+Sens!$K$4430*tk_cx_vr200)</f>
        <v>34.911788</v>
      </c>
      <c r="L4433" s="36" t="n">
        <f aca="false">cust_sh*tk_cx_gb300*cf_cx+(1-cust_sh)*((1-Sens!$L$4430)*tk_cx_gb300+Sens!$L$4430*tk_cx_vr200)</f>
        <v>34.911788</v>
      </c>
      <c r="M4433" s="36" t="n">
        <f aca="false">cust_sh*tk_cx_gb300*cf_cx+(1-cust_sh)*((1-Sens!$M$4430)*tk_cx_gb300+Sens!$M$4430*tk_cx_vr200)</f>
        <v>34.911788</v>
      </c>
    </row>
    <row r="4434" customFormat="false" ht="17.15" hidden="false" customHeight="false" outlineLevel="0" collapsed="false">
      <c r="A4434" s="5" t="s">
        <v>603</v>
      </c>
      <c r="B4434" s="0" t="s">
        <v>129</v>
      </c>
      <c r="F4434" s="32" t="n">
        <f aca="false">Sens!$F$4424-mw_open</f>
        <v>1817.15</v>
      </c>
      <c r="G4434" s="32" t="n">
        <f aca="false">Sens!$F$4434</f>
        <v>1817.15</v>
      </c>
      <c r="H4434" s="32" t="n">
        <f aca="false">Sens!$H$4424-mw_open</f>
        <v>5451.45</v>
      </c>
      <c r="I4434" s="32" t="n">
        <f aca="false">Sens!$I$4424-mw_open</f>
        <v>9085.75</v>
      </c>
      <c r="J4434" s="32" t="n">
        <f aca="false">Sens!$J$4424-mw_open</f>
        <v>12720.05</v>
      </c>
      <c r="K4434" s="32" t="n">
        <f aca="false">Sens!$K$4424-mw_open</f>
        <v>15290.9171666667</v>
      </c>
      <c r="L4434" s="32" t="n">
        <f aca="false">Sens!$L$4424-mw_open</f>
        <v>16798.3515</v>
      </c>
      <c r="M4434" s="32" t="n">
        <f aca="false">Sens!$M$4424-mw_open</f>
        <v>17242.353</v>
      </c>
    </row>
    <row r="4435" customFormat="false" ht="17.15" hidden="false" customHeight="false" outlineLevel="0" collapsed="false">
      <c r="A4435" s="0" t="s">
        <v>604</v>
      </c>
      <c r="B4435" s="0" t="s">
        <v>605</v>
      </c>
      <c r="F4435" s="32" t="n">
        <f aca="false">Sens!$F$4427*Sens!$F$4431</f>
        <v>19782.2417524844</v>
      </c>
      <c r="G4435" s="32" t="n">
        <f aca="false">Sens!$F$4435</f>
        <v>19782.2417524844</v>
      </c>
      <c r="H4435" s="32" t="n">
        <f aca="false">Sens!$G$4435+Sens!$H$4427*Sens!$H$4431</f>
        <v>60563.3616992009</v>
      </c>
      <c r="I4435" s="32" t="n">
        <f aca="false">Sens!$H$4435+Sens!$I$4427*Sens!$I$4431</f>
        <v>102561.118087665</v>
      </c>
      <c r="J4435" s="32" t="n">
        <f aca="false">Sens!$I$4435+Sens!$J$4427*Sens!$J$4431</f>
        <v>144558.87447613</v>
      </c>
      <c r="K4435" s="32" t="n">
        <f aca="false">Sens!$J$4435+Sens!$K$4427*Sens!$K$4431</f>
        <v>174267.663781572</v>
      </c>
      <c r="L4435" s="32" t="n">
        <f aca="false">Sens!$K$4435+Sens!$L$4427*Sens!$L$4431</f>
        <v>191687.486003992</v>
      </c>
      <c r="M4435" s="32" t="n">
        <f aca="false">Sens!$L$4435+Sens!$M$4427*Sens!$M$4431</f>
        <v>196818.341143389</v>
      </c>
    </row>
    <row r="4436" customFormat="false" ht="17.15" hidden="false" customHeight="false" outlineLevel="0" collapsed="false">
      <c r="A4436" s="0" t="s">
        <v>606</v>
      </c>
      <c r="B4436" s="0" t="s">
        <v>605</v>
      </c>
      <c r="F4436" s="32" t="n">
        <f aca="false">Sens!$F$4427*Sens!$F$4432</f>
        <v>3602.74485070566</v>
      </c>
      <c r="G4436" s="32" t="n">
        <f aca="false">Sens!$F$4436</f>
        <v>3602.74485070566</v>
      </c>
      <c r="H4436" s="32" t="n">
        <f aca="false">Sens!$G$4436+Sens!$H$4427*Sens!$H$4432</f>
        <v>10908.9598445736</v>
      </c>
      <c r="I4436" s="32" t="n">
        <f aca="false">Sens!$H$4436+Sens!$I$4427*Sens!$I$4432</f>
        <v>18315.9001308981</v>
      </c>
      <c r="J4436" s="32" t="n">
        <f aca="false">Sens!$I$4436+Sens!$J$4427*Sens!$J$4432</f>
        <v>25722.8404172225</v>
      </c>
      <c r="K4436" s="32" t="n">
        <f aca="false">Sens!$J$4436+Sens!$K$4427*Sens!$K$4432</f>
        <v>30962.4352738861</v>
      </c>
      <c r="L4436" s="32" t="n">
        <f aca="false">Sens!$K$4436+Sens!$L$4427*Sens!$L$4432</f>
        <v>34034.6847008886</v>
      </c>
      <c r="M4436" s="32" t="n">
        <f aca="false">Sens!$L$4436+Sens!$M$4427*Sens!$M$4432</f>
        <v>34939.5886982302</v>
      </c>
    </row>
    <row r="4437" customFormat="false" ht="17.15" hidden="false" customHeight="false" outlineLevel="0" collapsed="false">
      <c r="A4437" s="5" t="s">
        <v>607</v>
      </c>
      <c r="B4437" s="0" t="s">
        <v>173</v>
      </c>
      <c r="F4437" s="36" t="n">
        <f aca="false">IF(Sens!$F$4434&gt;0,Sens!$F$4435/Sens!$F$4434,Sens!$F$4431)</f>
        <v>10.8864110021101</v>
      </c>
      <c r="G4437" s="36" t="n">
        <f aca="false">IF(Sens!$G$4434&gt;0,Sens!$G$4435/Sens!$G$4434,Sens!$G$4431)</f>
        <v>10.8864110021101</v>
      </c>
      <c r="H4437" s="36" t="n">
        <f aca="false">IF(Sens!$H$4434&gt;0,Sens!$H$4435/Sens!$H$4434,Sens!$H$4431)</f>
        <v>11.1095876691891</v>
      </c>
      <c r="I4437" s="36" t="n">
        <f aca="false">IF(Sens!$I$4434&gt;0,Sens!$I$4435/Sens!$I$4434,Sens!$I$4431)</f>
        <v>11.2881290028523</v>
      </c>
      <c r="J4437" s="36" t="n">
        <f aca="false">IF(Sens!$J$4434&gt;0,Sens!$J$4435/Sens!$J$4434,Sens!$J$4431)</f>
        <v>11.3646467172794</v>
      </c>
      <c r="K4437" s="36" t="n">
        <f aca="false">IF(Sens!$K$4434&gt;0,Sens!$K$4435/Sens!$K$4434,Sens!$K$4431)</f>
        <v>11.3968090914432</v>
      </c>
      <c r="L4437" s="36" t="n">
        <f aca="false">IF(Sens!$L$4434&gt;0,Sens!$L$4435/Sens!$L$4434,Sens!$L$4431)</f>
        <v>11.4110891181192</v>
      </c>
      <c r="M4437" s="36" t="n">
        <f aca="false">IF(Sens!$M$4434&gt;0,Sens!$M$4435/Sens!$M$4434,Sens!$M$4431)</f>
        <v>11.4148191458201</v>
      </c>
    </row>
    <row r="4438" customFormat="false" ht="17.15" hidden="false" customHeight="false" outlineLevel="0" collapsed="false">
      <c r="A4438" s="5" t="s">
        <v>608</v>
      </c>
      <c r="B4438" s="0" t="s">
        <v>173</v>
      </c>
      <c r="F4438" s="36" t="n">
        <f aca="false">IF(Sens!$F$4434&gt;0,Sens!$F$4436/Sens!$F$4434,Sens!$F$4432)</f>
        <v>1.98263481314457</v>
      </c>
      <c r="G4438" s="36" t="n">
        <f aca="false">IF(Sens!$G$4434&gt;0,Sens!$G$4436/Sens!$G$4434,Sens!$G$4432)</f>
        <v>1.98263481314457</v>
      </c>
      <c r="H4438" s="36" t="n">
        <f aca="false">IF(Sens!$H$4434&gt;0,Sens!$H$4436/Sens!$H$4434,Sens!$H$4432)</f>
        <v>2.00111160233948</v>
      </c>
      <c r="I4438" s="36" t="n">
        <f aca="false">IF(Sens!$I$4434&gt;0,Sens!$I$4436/Sens!$I$4434,Sens!$I$4432)</f>
        <v>2.01589303369541</v>
      </c>
      <c r="J4438" s="36" t="n">
        <f aca="false">IF(Sens!$J$4434&gt;0,Sens!$J$4436/Sens!$J$4434,Sens!$J$4432)</f>
        <v>2.02222793284795</v>
      </c>
      <c r="K4438" s="36" t="n">
        <f aca="false">IF(Sens!$K$4434&gt;0,Sens!$K$4436/Sens!$K$4434,Sens!$K$4432)</f>
        <v>2.02489065478573</v>
      </c>
      <c r="L4438" s="36" t="n">
        <f aca="false">IF(Sens!$L$4434&gt;0,Sens!$L$4436/Sens!$L$4434,Sens!$L$4432)</f>
        <v>2.0260728977417</v>
      </c>
      <c r="M4438" s="36" t="n">
        <f aca="false">IF(Sens!$M$4434&gt;0,Sens!$M$4436/Sens!$M$4434,Sens!$M$4432)</f>
        <v>2.02638170661685</v>
      </c>
    </row>
    <row r="4439" customFormat="false" ht="17.15" hidden="false" customHeight="false" outlineLevel="0" collapsed="false">
      <c r="A4439" s="15" t="s">
        <v>609</v>
      </c>
      <c r="B4439" s="14" t="s">
        <v>173</v>
      </c>
      <c r="C4439" s="14"/>
      <c r="D4439" s="14"/>
      <c r="E4439" s="14"/>
      <c r="F4439" s="37" t="n">
        <f aca="false">Sens!$F$4437*k_B</f>
        <v>10.7987645808025</v>
      </c>
      <c r="G4439" s="37" t="n">
        <f aca="false">Sens!$G$4437*k_B</f>
        <v>10.7987645808025</v>
      </c>
      <c r="H4439" s="37" t="n">
        <f aca="false">Sens!$H$4437*k_B</f>
        <v>11.0201444540452</v>
      </c>
      <c r="I4439" s="37" t="n">
        <f aca="false">Sens!$I$4437*k_B</f>
        <v>11.1972483526393</v>
      </c>
      <c r="J4439" s="37" t="n">
        <f aca="false">Sens!$J$4437*k_B</f>
        <v>11.2731500234653</v>
      </c>
      <c r="K4439" s="37" t="n">
        <f aca="false">Sens!$K$4437*k_B</f>
        <v>11.3050534585724</v>
      </c>
      <c r="L4439" s="37" t="n">
        <f aca="false">Sens!$L$4437*k_B</f>
        <v>11.3192185168503</v>
      </c>
      <c r="M4439" s="37" t="n">
        <f aca="false">Sens!$M$4437*k_B</f>
        <v>11.3229185141234</v>
      </c>
      <c r="N4439" s="14"/>
      <c r="O4439" s="14"/>
      <c r="P4439" s="5" t="s">
        <v>610</v>
      </c>
    </row>
    <row r="4440" customFormat="false" ht="17.15" hidden="false" customHeight="false" outlineLevel="0" collapsed="false">
      <c r="A4440" s="5" t="s">
        <v>611</v>
      </c>
      <c r="B4440" s="0" t="s">
        <v>129</v>
      </c>
      <c r="F4440" s="32" t="n">
        <f aca="false">Sens!$F$4434/2</f>
        <v>908.575</v>
      </c>
      <c r="H4440" s="32" t="n">
        <f aca="false">(Sens!$G$4434+Sens!$H$4434)/2</f>
        <v>3634.3</v>
      </c>
      <c r="I4440" s="32" t="n">
        <f aca="false">(Sens!$H$4434+Sens!$I$4434)/2</f>
        <v>7268.6</v>
      </c>
      <c r="J4440" s="32" t="n">
        <f aca="false">(Sens!$I$4434+Sens!$J$4434)/2</f>
        <v>10902.9</v>
      </c>
      <c r="K4440" s="32" t="n">
        <f aca="false">(Sens!$J$4434+Sens!$K$4434)/2</f>
        <v>14005.4835833333</v>
      </c>
      <c r="L4440" s="32" t="n">
        <f aca="false">(Sens!$K$4434+Sens!$L$4434)/2</f>
        <v>16044.6343333333</v>
      </c>
      <c r="M4440" s="32" t="n">
        <f aca="false">(Sens!$L$4434+Sens!$M$4434)/2</f>
        <v>17020.35225</v>
      </c>
    </row>
    <row r="4441" customFormat="false" ht="17.15" hidden="false" customHeight="false" outlineLevel="0" collapsed="false">
      <c r="A4441" s="1" t="s">
        <v>612</v>
      </c>
    </row>
    <row r="4442" customFormat="false" ht="17.15" hidden="false" customHeight="false" outlineLevel="0" collapsed="false">
      <c r="A4442" s="1" t="s">
        <v>613</v>
      </c>
      <c r="B4442" s="8" t="s">
        <v>86</v>
      </c>
      <c r="C4442" s="38" t="n">
        <f aca="false">Sens!$C$4425*rpm_open*Sens!$C$4426/1000</f>
        <v>2.32100535697364</v>
      </c>
      <c r="D4442" s="38" t="n">
        <f aca="false">Sens!$D$4425*rpm_open*Sens!$D$4426/1000</f>
        <v>8.70377008865116</v>
      </c>
      <c r="E4442" s="38" t="n">
        <f aca="false">Sens!$E$4425*rpm_open*Sens!$E$4426/1000</f>
        <v>8.51035297557002</v>
      </c>
      <c r="F4442" s="38" t="n">
        <f aca="false">(mw_open*rpm_open+Sens!$F$4440*Sens!$F$4439)*Sens!$F$4426/1000</f>
        <v>14.9634336447205</v>
      </c>
      <c r="G4442" s="38" t="n">
        <f aca="false">Sens!$E$4442+Sens!$F$4442</f>
        <v>23.4737866202905</v>
      </c>
      <c r="H4442" s="38" t="n">
        <f aca="false">(mw_open*rpm_open+Sens!$H$4440*Sens!$H$4439)/1000</f>
        <v>60.1658907497746</v>
      </c>
      <c r="I4442" s="38" t="n">
        <f aca="false">(mw_open*rpm_open+Sens!$I$4440*Sens!$I$4439)/1000</f>
        <v>101.503699136432</v>
      </c>
      <c r="J4442" s="38" t="n">
        <f aca="false">(mw_open*rpm_open+Sens!$J$4440*Sens!$J$4439)/1000</f>
        <v>143.025407151278</v>
      </c>
      <c r="K4442" s="38" t="n">
        <f aca="false">(mw_open*rpm_open+Sens!$K$4440*Sens!$K$4439)/1000</f>
        <v>178.44812038318</v>
      </c>
      <c r="L4442" s="38" t="n">
        <f aca="false">(mw_open*rpm_open+Sens!$L$4440*Sens!$L$4439)/1000</f>
        <v>201.728101802396</v>
      </c>
      <c r="M4442" s="38" t="n">
        <f aca="false">(mw_open*rpm_open+Sens!$M$4440*Sens!$M$4439)/1000</f>
        <v>212.835441368865</v>
      </c>
      <c r="N4442" s="38" t="n">
        <f aca="false">Sens!$N$4425*rpm_open*Sens!$N$4426/1000</f>
        <v>3.04631953102791</v>
      </c>
      <c r="O4442" s="38" t="n">
        <f aca="false">Sens!$O$4425*rpm_open*Sens!$O$4426/1000</f>
        <v>5.65745055762326</v>
      </c>
      <c r="P4442" s="5" t="s">
        <v>614</v>
      </c>
    </row>
    <row r="4443" customFormat="false" ht="17.15" hidden="false" customHeight="false" outlineLevel="0" collapsed="false">
      <c r="A4443" s="5" t="s">
        <v>615</v>
      </c>
      <c r="B4443" s="0" t="s">
        <v>173</v>
      </c>
      <c r="C4443" s="36" t="n">
        <f aca="false">Sens!$C$4442*1000/(Sens!$C$4425*Sens!$C$4426)</f>
        <v>9.67085565405685</v>
      </c>
      <c r="D4443" s="36" t="n">
        <f aca="false">Sens!$D$4442*1000/(Sens!$D$4425*Sens!$D$4426)</f>
        <v>9.67085565405685</v>
      </c>
      <c r="E4443" s="36" t="n">
        <f aca="false">Sens!$E$4442*1000/(Sens!$E$4425*Sens!$E$4426)</f>
        <v>9.67085565405685</v>
      </c>
      <c r="F4443" s="36" t="n">
        <f aca="false">Sens!$F$4442*1000/(Sens!$F$4425*Sens!$F$4426)</f>
        <v>10.0137581588017</v>
      </c>
      <c r="G4443" s="36" t="n">
        <f aca="false">Sens!$G$4442*1000/(Sens!$G$4425*Sens!$G$4426)</f>
        <v>9.88666562928478</v>
      </c>
      <c r="H4443" s="36" t="n">
        <f aca="false">Sens!$H$4442*1000/(Sens!$H$4425*Sens!$H$4426)</f>
        <v>10.5290045586992</v>
      </c>
      <c r="I4443" s="36" t="n">
        <f aca="false">Sens!$I$4442*1000/(Sens!$I$4425*Sens!$I$4426)</f>
        <v>10.8576363451674</v>
      </c>
      <c r="J4443" s="36" t="n">
        <f aca="false">Sens!$J$4442*1000/(Sens!$J$4425*Sens!$J$4426)</f>
        <v>11.0164452588619</v>
      </c>
      <c r="K4443" s="36" t="n">
        <f aca="false">Sens!$K$4442*1000/(Sens!$K$4425*Sens!$K$4426)</f>
        <v>11.0937367508227</v>
      </c>
      <c r="L4443" s="36" t="n">
        <f aca="false">Sens!$L$4442*1000/(Sens!$L$4425*Sens!$L$4426)</f>
        <v>11.1300508519168</v>
      </c>
      <c r="M4443" s="36" t="n">
        <f aca="false">Sens!$M$4442*1000/(Sens!$M$4425*Sens!$M$4426)</f>
        <v>11.1430113216297</v>
      </c>
      <c r="N4443" s="36" t="n">
        <f aca="false">Sens!$N$4442*1000/(Sens!$N$4425*Sens!$N$4426)</f>
        <v>9.67085565405685</v>
      </c>
      <c r="O4443" s="36" t="n">
        <f aca="false">Sens!$O$4442*1000/(Sens!$O$4425*Sens!$O$4426)</f>
        <v>9.67085565405685</v>
      </c>
    </row>
    <row r="4444" customFormat="false" ht="17.15" hidden="false" customHeight="false" outlineLevel="0" collapsed="false">
      <c r="A4444" s="0" t="s">
        <v>616</v>
      </c>
      <c r="B4444" s="0" t="s">
        <v>86</v>
      </c>
      <c r="C4444" s="38" t="n">
        <f aca="false">Sens!$C$4425/ext_sh*(ox_open+rent_mw)*Sens!$C$4426/1000</f>
        <v>0.642569210675032</v>
      </c>
      <c r="D4444" s="38" t="n">
        <f aca="false">Sens!$D$4425/ext_sh*(ox_open+rent_mw)*Sens!$D$4426/1000</f>
        <v>2.40963454003137</v>
      </c>
      <c r="E4444" s="38" t="n">
        <f aca="false">Sens!$E$4425/ext_sh*(ox_open+rent_mw)*Sens!$E$4426/1000</f>
        <v>2.35608710580845</v>
      </c>
      <c r="F4444" s="38" t="n">
        <f aca="false">((mw_open*ox_open+Sens!$F$4440*Sens!$F$4438)/ext_sh+Sens!$F$4425/ext_sh*rent_mw)*Sens!$F$4426/1000</f>
        <v>4.05421991106232</v>
      </c>
      <c r="G4444" s="38" t="n">
        <f aca="false">Sens!$E$4444+Sens!$F$4444</f>
        <v>6.41030701687077</v>
      </c>
      <c r="H4444" s="38" t="n">
        <f aca="false">((mw_open*ox_open+Sens!$H$4440*Sens!$H$4438)/ext_sh+Sens!$H$4425/ext_sh*rent_mw)*Sens!$H$4426/1000</f>
        <v>15.8108975546616</v>
      </c>
      <c r="I4444" s="38" t="n">
        <f aca="false">((mw_open*ox_open+Sens!$I$4440*Sens!$I$4438)/ext_sh+Sens!$I$4425/ext_sh*rent_mw)*Sens!$I$4426/1000</f>
        <v>26.1871623400817</v>
      </c>
      <c r="J4444" s="38" t="n">
        <f aca="false">((mw_open*ox_open+Sens!$J$4440*Sens!$J$4438)/ext_sh+Sens!$J$4425/ext_sh*rent_mw)*Sens!$J$4426/1000</f>
        <v>36.5826128954935</v>
      </c>
      <c r="K4444" s="38" t="n">
        <f aca="false">((mw_open*ox_open+Sens!$K$4440*Sens!$K$4438)/ext_sh+Sens!$K$4425/ext_sh*rent_mw)*Sens!$K$4426/1000</f>
        <v>45.4546361137628</v>
      </c>
      <c r="L4444" s="38" t="n">
        <f aca="false">((mw_open*ox_open+Sens!$L$4440*Sens!$L$4438)/ext_sh+Sens!$L$4425/ext_sh*rent_mw)*Sens!$L$4426/1000</f>
        <v>51.2855695554452</v>
      </c>
      <c r="M4444" s="38" t="n">
        <f aca="false">((mw_open*ox_open+Sens!$M$4440*Sens!$M$4438)/ext_sh+Sens!$M$4425/ext_sh*rent_mw)*Sens!$M$4426/1000</f>
        <v>54.0722927838398</v>
      </c>
      <c r="N4444" s="38" t="n">
        <f aca="false">Sens!$N$4425/ext_sh*(ox_open+rent_mw)*Sens!$N$4426/1000</f>
        <v>0.84337208901098</v>
      </c>
      <c r="O4444" s="38" t="n">
        <f aca="false">Sens!$O$4425/ext_sh*(ox_open+rent_mw)*Sens!$O$4426/1000</f>
        <v>1.56626245102039</v>
      </c>
    </row>
    <row r="4445" customFormat="false" ht="17.15" hidden="false" customHeight="false" outlineLevel="0" collapsed="false">
      <c r="A4445" s="0" t="s">
        <v>617</v>
      </c>
      <c r="B4445" s="0" t="s">
        <v>86</v>
      </c>
      <c r="C4445" s="38" t="n">
        <f aca="false">Q!$D$7</f>
        <v>107.556</v>
      </c>
      <c r="D4445" s="38" t="n">
        <f aca="false">Q!$E$7</f>
        <v>128.725</v>
      </c>
      <c r="E4445" s="38" t="n">
        <f aca="false">Q!$P$7</f>
        <v>79.819</v>
      </c>
      <c r="N4445" s="38" t="n">
        <f aca="false">Q!$N$7</f>
        <v>60.14</v>
      </c>
      <c r="O4445" s="38" t="n">
        <f aca="false">Q!$O$7</f>
        <v>68.585</v>
      </c>
    </row>
    <row r="4446" customFormat="false" ht="17.15" hidden="false" customHeight="false" outlineLevel="0" collapsed="false">
      <c r="A4446" s="1" t="s">
        <v>618</v>
      </c>
      <c r="B4446" s="8" t="s">
        <v>86</v>
      </c>
      <c r="C4446" s="38" t="n">
        <f aca="false">Sens!$C$4445-Sens!$C$4442</f>
        <v>105.234994643026</v>
      </c>
      <c r="D4446" s="38" t="n">
        <f aca="false">Sens!$D$4445-Sens!$D$4442</f>
        <v>120.021229911349</v>
      </c>
      <c r="E4446" s="38" t="n">
        <f aca="false">Sens!$E$4445-Sens!$E$4442</f>
        <v>71.30864702443</v>
      </c>
      <c r="F4446" s="38" t="n">
        <f aca="false">Sens!$O$4446*(1+Sens!$F$4447)</f>
        <v>71.7692997942464</v>
      </c>
      <c r="G4446" s="38" t="n">
        <f aca="false">Sens!$E$4446+Sens!$F$4446</f>
        <v>143.077946818676</v>
      </c>
      <c r="H4446" s="38" t="n">
        <f aca="false">Sens!$G$4446*(1+Sens!$H$4447)</f>
        <v>161.017077079203</v>
      </c>
      <c r="I4446" s="38" t="n">
        <f aca="false">Sens!$H$4446*(1+Sens!$I$4447)</f>
        <v>178.769759521457</v>
      </c>
      <c r="J4446" s="38" t="n">
        <f aca="false">Sens!$I$4446*(1+Sens!$J$4447)</f>
        <v>195.775538045907</v>
      </c>
      <c r="K4446" s="38" t="n">
        <f aca="false">Sens!$J$4446*(1+Sens!$K$4447)</f>
        <v>211.43758108958</v>
      </c>
      <c r="L4446" s="38" t="n">
        <f aca="false">Sens!$K$4446*(1+Sens!$L$4447)</f>
        <v>228.352587576746</v>
      </c>
      <c r="M4446" s="38" t="n">
        <f aca="false">Sens!$L$4446*(1+Sens!$M$4447)</f>
        <v>246.620794582886</v>
      </c>
      <c r="N4446" s="38" t="n">
        <f aca="false">Sens!$N$4445-Sens!$N$4442</f>
        <v>57.0936804689721</v>
      </c>
      <c r="O4446" s="38" t="n">
        <f aca="false">Sens!$O$4445-Sens!$O$4442</f>
        <v>62.9275494423768</v>
      </c>
      <c r="P4446" s="5" t="s">
        <v>619</v>
      </c>
    </row>
    <row r="4447" customFormat="false" ht="17.15" hidden="false" customHeight="false" outlineLevel="0" collapsed="false">
      <c r="A4447" s="0" t="s">
        <v>620</v>
      </c>
      <c r="B4447" s="0" t="s">
        <v>52</v>
      </c>
      <c r="D4447" s="13" t="n">
        <f aca="false">Sens!$D$4446/Sens!$C$4446-1</f>
        <v>0.140506827776062</v>
      </c>
      <c r="E4447" s="13" t="n">
        <f aca="false">Sens!$E$4446/Sens!$N$4446-1</f>
        <v>0.248976181579029</v>
      </c>
      <c r="F4447" s="13" t="n">
        <f aca="false">Sens!$D$4447</f>
        <v>0.140506827776062</v>
      </c>
      <c r="G4447" s="13" t="n">
        <f aca="false">Sens!$G$4446/Sens!$D$4446-1</f>
        <v>0.19210532106993</v>
      </c>
      <c r="H4447" s="13" t="n">
        <f aca="false">Sens!$F$4447+(g_awso_lt-Sens!$F$4447)*1/4</f>
        <v>0.125380120832046</v>
      </c>
      <c r="I4447" s="13" t="n">
        <f aca="false">Sens!$F$4447+(g_awso_lt-Sens!$F$4447)*2/4</f>
        <v>0.110253413888031</v>
      </c>
      <c r="J4447" s="13" t="n">
        <f aca="false">Sens!$F$4447+(g_awso_lt-Sens!$F$4447)*3/4</f>
        <v>0.0951267069440154</v>
      </c>
      <c r="K4447" s="13" t="n">
        <f aca="false">Sens!$F$4447+(g_awso_lt-Sens!$F$4447)*4/4</f>
        <v>0.08</v>
      </c>
      <c r="L4447" s="13" t="n">
        <f aca="false">g_awso_lt</f>
        <v>0.08</v>
      </c>
      <c r="M4447" s="13" t="n">
        <f aca="false">g_awso_lt</f>
        <v>0.08</v>
      </c>
      <c r="P4447" s="5" t="s">
        <v>621</v>
      </c>
    </row>
    <row r="4448" customFormat="false" ht="17.15" hidden="false" customHeight="false" outlineLevel="0" collapsed="false">
      <c r="A4448" s="1" t="s">
        <v>622</v>
      </c>
    </row>
    <row r="4449" customFormat="false" ht="17.15" hidden="false" customHeight="false" outlineLevel="0" collapsed="false">
      <c r="A4449" s="0" t="s">
        <v>623</v>
      </c>
      <c r="B4449" s="0" t="s">
        <v>86</v>
      </c>
      <c r="F4449" s="38" t="n">
        <f aca="false">cx_rt*Sens!$F$4414+cx_awso*Sens!$F$4446</f>
        <v>34.9734495387866</v>
      </c>
    </row>
    <row r="4450" customFormat="false" ht="17.15" hidden="false" customHeight="false" outlineLevel="0" collapsed="false">
      <c r="A4450" s="0" t="s">
        <v>624</v>
      </c>
      <c r="B4450" s="0" t="s">
        <v>52</v>
      </c>
      <c r="C4450" s="13" t="n">
        <f aca="false">tk_cx_h100/(tk_cx_h100+tk_fac*(1-colo_sh))</f>
        <v>0.730756458006641</v>
      </c>
      <c r="D4450" s="13" t="n">
        <f aca="false">tk_cx_h100/(tk_cx_h100+tk_fac*(1-colo_sh))</f>
        <v>0.730756458006641</v>
      </c>
      <c r="E4450" s="13" t="n">
        <f aca="false">Sens!$F$4450</f>
        <v>0.760792334328868</v>
      </c>
      <c r="F4450" s="13" t="n">
        <f aca="false">Sens!$F$4433/(Sens!$F$4433+tk_fac*(1-colo_sh))</f>
        <v>0.760792334328868</v>
      </c>
      <c r="G4450" s="13" t="n">
        <f aca="false">Sens!$G$4433/(Sens!$G$4433+tk_fac*(1-colo_sh))</f>
        <v>0.760792334328868</v>
      </c>
      <c r="H4450" s="13" t="n">
        <f aca="false">Sens!$H$4433/(Sens!$H$4433+tk_fac*(1-colo_sh))</f>
        <v>0.768110668862996</v>
      </c>
      <c r="I4450" s="13" t="n">
        <f aca="false">Sens!$I$4433/(Sens!$I$4433+tk_fac*(1-colo_sh))</f>
        <v>0.77499450139483</v>
      </c>
      <c r="J4450" s="13" t="n">
        <f aca="false">Sens!$J$4433/(Sens!$J$4433+tk_fac*(1-colo_sh))</f>
        <v>0.77499450139483</v>
      </c>
      <c r="K4450" s="13" t="n">
        <f aca="false">Sens!$K$4433/(Sens!$K$4433+tk_fac*(1-colo_sh))</f>
        <v>0.77499450139483</v>
      </c>
      <c r="L4450" s="13" t="n">
        <f aca="false">Sens!$L$4433/(Sens!$L$4433+tk_fac*(1-colo_sh))</f>
        <v>0.77499450139483</v>
      </c>
      <c r="M4450" s="13" t="n">
        <f aca="false">Sens!$M$4433/(Sens!$M$4433+tk_fac*(1-colo_sh))</f>
        <v>0.77499450139483</v>
      </c>
    </row>
    <row r="4451" customFormat="false" ht="17.15" hidden="false" customHeight="false" outlineLevel="0" collapsed="false">
      <c r="A4451" s="1" t="s">
        <v>625</v>
      </c>
      <c r="B4451" s="8" t="s">
        <v>86</v>
      </c>
      <c r="C4451" s="38" t="n">
        <f aca="false">Q!$D$46-cx_rt*Q!$D$16-cx_awso*Sens!$C$4446</f>
        <v>25.2781053077374</v>
      </c>
      <c r="D4451" s="38" t="n">
        <f aca="false">Q!$E$46-cx_rt*Q!$E$16-cx_awso*Sens!$D$4446</f>
        <v>69.5686316310026</v>
      </c>
      <c r="E4451" s="38" t="n">
        <f aca="false">Q!$P$46-cx_rt*Q!$P$16-cx_awso*Sens!$E$4446</f>
        <v>64.1899206485108</v>
      </c>
      <c r="F4451" s="38" t="n">
        <f aca="false">MAX(Sens!$F$4428*(Sens!$F$4433+tk_fac*(1-colo_sh))/1000,capex_g26-Q!$P$46-Sens!$F$4449)</f>
        <v>96.2481299895</v>
      </c>
      <c r="G4451" s="38" t="n">
        <f aca="false">Sens!$E$4451+Sens!$F$4451</f>
        <v>160.438050638011</v>
      </c>
      <c r="H4451" s="38" t="n">
        <f aca="false">Sens!$H$4428*(Sens!$H$4433+tk_fac*(1-colo_sh))/1000+Sens!$H$4452</f>
        <v>198.57136494475</v>
      </c>
      <c r="I4451" s="38" t="n">
        <f aca="false">Sens!$I$4428*(Sens!$I$4433+tk_fac*(1-colo_sh))/1000+Sens!$I$4452</f>
        <v>204.6464699105</v>
      </c>
      <c r="J4451" s="38" t="n">
        <f aca="false">Sens!$J$4428*(Sens!$J$4433+tk_fac*(1-colo_sh))/1000+Sens!$J$4452</f>
        <v>209.8832381105</v>
      </c>
      <c r="K4451" s="38" t="n">
        <f aca="false">Sens!$K$4428*(Sens!$K$4433+tk_fac*(1-colo_sh))/1000+Sens!$K$4452</f>
        <v>155.238385275201</v>
      </c>
      <c r="L4451" s="38" t="n">
        <f aca="false">Sens!$L$4428*(Sens!$L$4433+tk_fac*(1-colo_sh))/1000+Sens!$L$4452</f>
        <v>132.014141639902</v>
      </c>
      <c r="M4451" s="38" t="n">
        <f aca="false">Sens!$M$4428*(Sens!$M$4433+tk_fac*(1-colo_sh))/1000+Sens!$M$4452</f>
        <v>132.230981659852</v>
      </c>
      <c r="P4451" s="5" t="s">
        <v>626</v>
      </c>
      <c r="R4451" s="38" t="n">
        <f aca="false">Q!$C$46-cx_rt*Q!$C$16-cx_awso*(Q!$C$7-mw_ye23/2*rpm_open/1000)</f>
        <v>1.50429979529945</v>
      </c>
      <c r="S4451" s="38" t="n">
        <f aca="false">Sens!$C$4451</f>
        <v>25.2781053077374</v>
      </c>
      <c r="T4451" s="38" t="n">
        <f aca="false">Sens!$D$4451</f>
        <v>69.5686316310026</v>
      </c>
      <c r="U4451" s="38" t="n">
        <f aca="false">Sens!$G$4451</f>
        <v>160.438050638011</v>
      </c>
      <c r="V4451" s="38" t="n">
        <f aca="false">Sens!$H$4451</f>
        <v>198.57136494475</v>
      </c>
      <c r="W4451" s="38" t="n">
        <f aca="false">Sens!$I$4451</f>
        <v>204.6464699105</v>
      </c>
      <c r="X4451" s="38" t="n">
        <f aca="false">Sens!$J$4451</f>
        <v>209.8832381105</v>
      </c>
      <c r="Y4451" s="38" t="n">
        <f aca="false">Sens!$K$4451</f>
        <v>155.238385275201</v>
      </c>
      <c r="Z4451" s="38" t="n">
        <f aca="false">Sens!$L$4451</f>
        <v>132.014141639902</v>
      </c>
      <c r="AA4451" s="38" t="n">
        <f aca="false">Sens!$M$4451</f>
        <v>132.230981659852</v>
      </c>
    </row>
    <row r="4452" customFormat="false" ht="17.15" hidden="false" customHeight="false" outlineLevel="0" collapsed="false">
      <c r="A4452" s="0" t="s">
        <v>627</v>
      </c>
      <c r="B4452" s="0" t="s">
        <v>86</v>
      </c>
      <c r="H4452" s="38" t="n">
        <f aca="false">SUMPRODUCT(--(Sens!$R$4421:$AA$4421=2027-tk_life),Sens!$R$4428:$AA$4428)*Sens!$H$4433/1000</f>
        <v>0</v>
      </c>
      <c r="I4452" s="38" t="n">
        <f aca="false">SUMPRODUCT(--(Sens!$R$4421:$AA$4421=2028-tk_life),Sens!$R$4428:$AA$4428)*Sens!$I$4433/1000</f>
        <v>0</v>
      </c>
      <c r="J4452" s="38" t="n">
        <f aca="false">SUMPRODUCT(--(Sens!$R$4421:$AA$4421=2029-tk_life),Sens!$R$4428:$AA$4428)*Sens!$J$4433/1000</f>
        <v>5.2367682</v>
      </c>
      <c r="K4452" s="38" t="n">
        <f aca="false">SUMPRODUCT(--(Sens!$R$4421:$AA$4421=2030-tk_life),Sens!$R$4428:$AA$4428)*Sens!$K$4433/1000</f>
        <v>10.4735364</v>
      </c>
      <c r="L4452" s="38" t="n">
        <f aca="false">SUMPRODUCT(--(Sens!$R$4421:$AA$4421=2031-tk_life),Sens!$R$4428:$AA$4428)*Sens!$L$4433/1000</f>
        <v>47.1309138</v>
      </c>
      <c r="M4452" s="38" t="n">
        <f aca="false">SUMPRODUCT(--(Sens!$R$4421:$AA$4421=2032-tk_life),Sens!$R$4428:$AA$4428)*Sens!$M$4433/1000</f>
        <v>107.22937485525</v>
      </c>
    </row>
    <row r="4453" customFormat="false" ht="17.15" hidden="false" customHeight="false" outlineLevel="0" collapsed="false">
      <c r="A4453" s="5" t="s">
        <v>628</v>
      </c>
      <c r="B4453" s="0" t="s">
        <v>86</v>
      </c>
      <c r="C4453" s="38" t="n">
        <f aca="false">Sens!$C$4451*Sens!$C$4450</f>
        <v>18.472138699801</v>
      </c>
      <c r="D4453" s="38" t="n">
        <f aca="false">Sens!$D$4451*Sens!$D$4450</f>
        <v>50.8377268390402</v>
      </c>
      <c r="E4453" s="38" t="n">
        <f aca="false">Sens!$E$4451*Sens!$E$4450</f>
        <v>48.8351995705653</v>
      </c>
      <c r="F4453" s="38" t="n">
        <f aca="false">Sens!$F$4451*Sens!$F$4450</f>
        <v>73.2248394895</v>
      </c>
      <c r="G4453" s="38" t="n">
        <f aca="false">Sens!$E$4453+Sens!$F$4453</f>
        <v>122.060039060065</v>
      </c>
      <c r="H4453" s="38" t="n">
        <f aca="false">(Sens!$H$4451-Sens!$H$4452)*Sens!$H$4450+Sens!$H$4452</f>
        <v>152.52478394475</v>
      </c>
      <c r="I4453" s="38" t="n">
        <f aca="false">(Sens!$I$4451-Sens!$I$4452)*Sens!$I$4450+Sens!$I$4452</f>
        <v>158.5998889105</v>
      </c>
      <c r="J4453" s="38" t="n">
        <f aca="false">(Sens!$J$4451-Sens!$J$4452)*Sens!$J$4450+Sens!$J$4452</f>
        <v>163.8366571105</v>
      </c>
      <c r="K4453" s="38" t="n">
        <f aca="false">(Sens!$K$4451-Sens!$K$4452)*Sens!$K$4450+Sens!$K$4452</f>
        <v>122.665498273534</v>
      </c>
      <c r="L4453" s="38" t="n">
        <f aca="false">(Sens!$L$4451-Sens!$L$4452)*Sens!$L$4450+Sens!$L$4452</f>
        <v>112.914948636568</v>
      </c>
      <c r="M4453" s="38" t="n">
        <f aca="false">(Sens!$M$4451-Sens!$M$4452)*Sens!$M$4450+Sens!$M$4452</f>
        <v>126.605482654852</v>
      </c>
      <c r="R4453" s="38" t="n">
        <f aca="false">Sens!$R$4451*Sens!$C$4450</f>
        <v>1.09927679019314</v>
      </c>
      <c r="S4453" s="38" t="n">
        <f aca="false">Sens!$C$4453</f>
        <v>18.472138699801</v>
      </c>
      <c r="T4453" s="38" t="n">
        <f aca="false">Sens!$D$4453</f>
        <v>50.8377268390402</v>
      </c>
      <c r="U4453" s="38" t="n">
        <f aca="false">Sens!$G$4453</f>
        <v>122.060039060065</v>
      </c>
      <c r="V4453" s="38" t="n">
        <f aca="false">Sens!$H$4453</f>
        <v>152.52478394475</v>
      </c>
      <c r="W4453" s="38" t="n">
        <f aca="false">Sens!$I$4453</f>
        <v>158.5998889105</v>
      </c>
      <c r="X4453" s="38" t="n">
        <f aca="false">Sens!$J$4453</f>
        <v>163.8366571105</v>
      </c>
      <c r="Y4453" s="38" t="n">
        <f aca="false">Sens!$K$4453</f>
        <v>122.665498273534</v>
      </c>
      <c r="Z4453" s="38" t="n">
        <f aca="false">Sens!$L$4453</f>
        <v>112.914948636568</v>
      </c>
      <c r="AA4453" s="38" t="n">
        <f aca="false">Sens!$M$4453</f>
        <v>126.605482654852</v>
      </c>
    </row>
    <row r="4454" customFormat="false" ht="15" hidden="false" customHeight="false" outlineLevel="0" collapsed="false">
      <c r="A4454" s="5" t="s">
        <v>629</v>
      </c>
      <c r="B4454" s="0" t="s">
        <v>86</v>
      </c>
      <c r="C4454" s="38" t="n">
        <f aca="false">Sens!$C$4451-Sens!$C$4453</f>
        <v>6.80596660793636</v>
      </c>
      <c r="D4454" s="38" t="n">
        <f aca="false">Sens!$D$4451-Sens!$D$4453</f>
        <v>18.7309047919624</v>
      </c>
      <c r="E4454" s="38" t="n">
        <f aca="false">Sens!$E$4451-Sens!$E$4453</f>
        <v>15.3547210779455</v>
      </c>
      <c r="F4454" s="38" t="n">
        <f aca="false">Sens!$F$4451-Sens!$F$4453</f>
        <v>23.0232905</v>
      </c>
      <c r="G4454" s="38" t="n">
        <f aca="false">Sens!$G$4451-Sens!$G$4453</f>
        <v>38.3780115779455</v>
      </c>
      <c r="H4454" s="38" t="n">
        <f aca="false">Sens!$H$4451-Sens!$H$4453</f>
        <v>46.046581</v>
      </c>
      <c r="I4454" s="38" t="n">
        <f aca="false">Sens!$I$4451-Sens!$I$4453</f>
        <v>46.046581</v>
      </c>
      <c r="J4454" s="38" t="n">
        <f aca="false">Sens!$J$4451-Sens!$J$4453</f>
        <v>46.046581</v>
      </c>
      <c r="K4454" s="38" t="n">
        <f aca="false">Sens!$K$4451-Sens!$K$4453</f>
        <v>32.5728870016667</v>
      </c>
      <c r="L4454" s="38" t="n">
        <f aca="false">Sens!$L$4451-Sens!$L$4453</f>
        <v>19.0991930033334</v>
      </c>
      <c r="M4454" s="38" t="n">
        <f aca="false">Sens!$M$4451-Sens!$M$4453</f>
        <v>5.62549900499998</v>
      </c>
      <c r="R4454" s="38" t="n">
        <f aca="false">Sens!$R$4451-Sens!$R$4453</f>
        <v>0.405023005106309</v>
      </c>
      <c r="S4454" s="38" t="n">
        <f aca="false">Sens!$S$4451-Sens!$S$4453</f>
        <v>6.80596660793636</v>
      </c>
      <c r="T4454" s="38" t="n">
        <f aca="false">Sens!$T$4451-Sens!$T$4453</f>
        <v>18.7309047919624</v>
      </c>
      <c r="U4454" s="38" t="n">
        <f aca="false">Sens!$U$4451-Sens!$U$4453</f>
        <v>38.3780115779455</v>
      </c>
      <c r="V4454" s="38" t="n">
        <f aca="false">Sens!$V$4451-Sens!$V$4453</f>
        <v>46.046581</v>
      </c>
      <c r="W4454" s="38" t="n">
        <f aca="false">Sens!$W$4451-Sens!$W$4453</f>
        <v>46.046581</v>
      </c>
      <c r="X4454" s="38" t="n">
        <f aca="false">Sens!$X$4451-Sens!$X$4453</f>
        <v>46.046581</v>
      </c>
      <c r="Y4454" s="38" t="n">
        <f aca="false">Sens!$Y$4451-Sens!$Y$4453</f>
        <v>32.5728870016667</v>
      </c>
      <c r="Z4454" s="38" t="n">
        <f aca="false">Sens!$Z$4451-Sens!$Z$4453</f>
        <v>19.0991930033334</v>
      </c>
      <c r="AA4454" s="38" t="n">
        <f aca="false">Sens!$AA$4451-Sens!$AA$4453</f>
        <v>5.62549900499998</v>
      </c>
    </row>
    <row r="4455" customFormat="false" ht="17.15" hidden="false" customHeight="false" outlineLevel="0" collapsed="false">
      <c r="A4455" s="0" t="s">
        <v>630</v>
      </c>
      <c r="B4455" s="0" t="s">
        <v>52</v>
      </c>
      <c r="C4455" s="13" t="n">
        <f aca="false">Sens!$C$4451/Sens!$C$4571</f>
        <v>0.325505489553393</v>
      </c>
      <c r="D4455" s="13" t="n">
        <f aca="false">Sens!$D$4451/Sens!$D$4571</f>
        <v>0.54214956071542</v>
      </c>
      <c r="E4455" s="13" t="n">
        <f aca="false">Sens!$E$4451/Sens!$E$4571</f>
        <v>0.666492790452817</v>
      </c>
      <c r="F4455" s="13" t="n">
        <f aca="false">Sens!$F$4451/Sens!$F$4571</f>
        <v>0.733477910687338</v>
      </c>
      <c r="G4455" s="13" t="n">
        <f aca="false">Sens!$G$4451/Sens!$G$4571</f>
        <v>0.705124321514523</v>
      </c>
      <c r="H4455" s="13" t="n">
        <f aca="false">Sens!$H$4451/Sens!$H$4571</f>
        <v>0.726376041178204</v>
      </c>
      <c r="I4455" s="13" t="n">
        <f aca="false">Sens!$I$4451/Sens!$I$4571</f>
        <v>0.713099092661699</v>
      </c>
      <c r="J4455" s="13" t="n">
        <f aca="false">Sens!$J$4451/Sens!$J$4571</f>
        <v>0.701208348786245</v>
      </c>
      <c r="K4455" s="13" t="n">
        <f aca="false">Sens!$K$4451/Sens!$K$4571</f>
        <v>0.618338844562383</v>
      </c>
      <c r="L4455" s="13" t="n">
        <f aca="false">Sens!$L$4451/Sens!$L$4571</f>
        <v>0.562489158462506</v>
      </c>
      <c r="M4455" s="13" t="n">
        <f aca="false">Sens!$M$4451/Sens!$M$4571</f>
        <v>0.545751190895923</v>
      </c>
    </row>
    <row r="4456" customFormat="false" ht="17.15" hidden="false" customHeight="false" outlineLevel="0" collapsed="false">
      <c r="A4456" s="0" t="s">
        <v>631</v>
      </c>
      <c r="B4456" s="0" t="s">
        <v>86</v>
      </c>
      <c r="C4456" s="38" t="n">
        <f aca="false">Sens!$S$4456</f>
        <v>0.183212798365523</v>
      </c>
      <c r="D4456" s="38" t="n">
        <f aca="false">Sens!$T$4456</f>
        <v>3.2619025816657</v>
      </c>
      <c r="E4456" s="38" t="n">
        <f aca="false">Sens!$G$4456/2</f>
        <v>5.86742852741953</v>
      </c>
      <c r="F4456" s="38" t="n">
        <f aca="false">Sens!$G$4456/2</f>
        <v>5.86742852741953</v>
      </c>
      <c r="G4456" s="38" t="n">
        <f aca="false">Sens!$U$4456</f>
        <v>11.7348570548391</v>
      </c>
      <c r="H4456" s="38" t="n">
        <f aca="false">Sens!$V$4456</f>
        <v>32.0781968981833</v>
      </c>
      <c r="I4456" s="38" t="n">
        <f aca="false">Sens!$W$4456</f>
        <v>57.4989942223083</v>
      </c>
      <c r="J4456" s="38" t="n">
        <f aca="false">Sens!$X$4456</f>
        <v>83.932309040725</v>
      </c>
      <c r="K4456" s="38" t="n">
        <f aca="false">Sens!$Y$4456</f>
        <v>111.055205760776</v>
      </c>
      <c r="L4456" s="38" t="n">
        <f aca="false">Sens!$Z$4456</f>
        <v>128.420765689732</v>
      </c>
      <c r="M4456" s="38" t="n">
        <f aca="false">Sens!$AA$4456</f>
        <v>138.766969322653</v>
      </c>
      <c r="N4456" s="38" t="n">
        <f aca="false">Sens!$D$4456/2</f>
        <v>1.63095129083285</v>
      </c>
      <c r="O4456" s="38" t="n">
        <f aca="false">Sens!$D$4456/2</f>
        <v>1.63095129083285</v>
      </c>
      <c r="R4456" s="38" t="n">
        <f aca="false">SUMPRODUCT(--(Sens!$R$4421:$AA$4421&lt;Sens!R$4421),--(Sens!$R$4421:$AA$4421&gt;=Sens!R$4421-tk_life),Sens!$R$4453:$AA$4453)/tk_life</f>
        <v>0</v>
      </c>
      <c r="S4456" s="38" t="n">
        <f aca="false">SUMPRODUCT(--(Sens!$R$4421:$AA$4421&lt;Sens!S$4421),--(Sens!$R$4421:$AA$4421&gt;=Sens!S$4421-tk_life),Sens!$R$4453:$AA$4453)/tk_life</f>
        <v>0.183212798365523</v>
      </c>
      <c r="T4456" s="38" t="n">
        <f aca="false">SUMPRODUCT(--(Sens!$R$4421:$AA$4421&lt;Sens!T$4421),--(Sens!$R$4421:$AA$4421&gt;=Sens!T$4421-tk_life),Sens!$R$4453:$AA$4453)/tk_life</f>
        <v>3.2619025816657</v>
      </c>
      <c r="U4456" s="38" t="n">
        <f aca="false">SUMPRODUCT(--(Sens!$R$4421:$AA$4421&lt;Sens!U$4421),--(Sens!$R$4421:$AA$4421&gt;=Sens!U$4421-tk_life),Sens!$R$4453:$AA$4453)/tk_life</f>
        <v>11.7348570548391</v>
      </c>
      <c r="V4456" s="38" t="n">
        <f aca="false">SUMPRODUCT(--(Sens!$R$4421:$AA$4421&lt;Sens!V$4421),--(Sens!$R$4421:$AA$4421&gt;=Sens!V$4421-tk_life),Sens!$R$4453:$AA$4453)/tk_life</f>
        <v>32.0781968981833</v>
      </c>
      <c r="W4456" s="38" t="n">
        <f aca="false">SUMPRODUCT(--(Sens!$R$4421:$AA$4421&lt;Sens!W$4421),--(Sens!$R$4421:$AA$4421&gt;=Sens!W$4421-tk_life),Sens!$R$4453:$AA$4453)/tk_life</f>
        <v>57.4989942223083</v>
      </c>
      <c r="X4456" s="38" t="n">
        <f aca="false">SUMPRODUCT(--(Sens!$R$4421:$AA$4421&lt;Sens!X$4421),--(Sens!$R$4421:$AA$4421&gt;=Sens!X$4421-tk_life),Sens!$R$4453:$AA$4453)/tk_life</f>
        <v>83.932309040725</v>
      </c>
      <c r="Y4456" s="38" t="n">
        <f aca="false">SUMPRODUCT(--(Sens!$R$4421:$AA$4421&lt;Sens!Y$4421),--(Sens!$R$4421:$AA$4421&gt;=Sens!Y$4421-tk_life),Sens!$R$4453:$AA$4453)/tk_life</f>
        <v>111.055205760776</v>
      </c>
      <c r="Z4456" s="38" t="n">
        <f aca="false">SUMPRODUCT(--(Sens!$R$4421:$AA$4421&lt;Sens!Z$4421),--(Sens!$R$4421:$AA$4421&gt;=Sens!Z$4421-tk_life),Sens!$R$4453:$AA$4453)/tk_life</f>
        <v>128.420765689732</v>
      </c>
      <c r="AA4456" s="38" t="n">
        <f aca="false">SUMPRODUCT(--(Sens!$R$4421:$AA$4421&lt;Sens!AA$4421),--(Sens!$R$4421:$AA$4421&gt;=Sens!AA$4421-tk_life),Sens!$R$4453:$AA$4453)/tk_life</f>
        <v>138.766969322653</v>
      </c>
    </row>
    <row r="4457" customFormat="false" ht="17.15" hidden="false" customHeight="false" outlineLevel="0" collapsed="false">
      <c r="A4457" s="0" t="s">
        <v>632</v>
      </c>
      <c r="B4457" s="0" t="s">
        <v>86</v>
      </c>
      <c r="C4457" s="38" t="n">
        <f aca="false">Sens!$S$4457</f>
        <v>0.0202511502553155</v>
      </c>
      <c r="D4457" s="38" t="n">
        <f aca="false">Sens!$T$4457</f>
        <v>0.360549480652134</v>
      </c>
      <c r="E4457" s="38" t="n">
        <f aca="false">Sens!$G$4457/2</f>
        <v>0.648547360125127</v>
      </c>
      <c r="F4457" s="38" t="n">
        <f aca="false">Sens!$G$4457/2</f>
        <v>0.648547360125127</v>
      </c>
      <c r="G4457" s="38" t="n">
        <f aca="false">Sens!$U$4457</f>
        <v>1.29709472025025</v>
      </c>
      <c r="H4457" s="38" t="n">
        <f aca="false">Sens!$V$4457</f>
        <v>3.21599529914753</v>
      </c>
      <c r="I4457" s="38" t="n">
        <f aca="false">Sens!$W$4457</f>
        <v>5.51832434914753</v>
      </c>
      <c r="J4457" s="38" t="n">
        <f aca="false">Sens!$X$4457</f>
        <v>7.82065339914753</v>
      </c>
      <c r="K4457" s="38" t="n">
        <f aca="false">Sens!$Y$4457</f>
        <v>10.1229824491475</v>
      </c>
      <c r="L4457" s="38" t="n">
        <f aca="false">Sens!$Z$4457</f>
        <v>11.7516267992309</v>
      </c>
      <c r="M4457" s="38" t="n">
        <f aca="false">Sens!$AA$4457</f>
        <v>12.7065864493975</v>
      </c>
      <c r="N4457" s="38" t="n">
        <f aca="false">Sens!$D$4457/2</f>
        <v>0.180274740326067</v>
      </c>
      <c r="O4457" s="38" t="n">
        <f aca="false">Sens!$D$4457/2</f>
        <v>0.180274740326067</v>
      </c>
      <c r="R4457" s="38" t="n">
        <f aca="false">SUMPRODUCT(--(Sens!$R$4421:$AA$4421&lt;Sens!R$4421),Sens!$R$4454:$AA$4454)/fac_life</f>
        <v>0</v>
      </c>
      <c r="S4457" s="38" t="n">
        <f aca="false">SUMPRODUCT(--(Sens!$R$4421:$AA$4421&lt;Sens!S$4421),Sens!$R$4454:$AA$4454)/fac_life</f>
        <v>0.0202511502553155</v>
      </c>
      <c r="T4457" s="38" t="n">
        <f aca="false">SUMPRODUCT(--(Sens!$R$4421:$AA$4421&lt;Sens!T$4421),Sens!$R$4454:$AA$4454)/fac_life</f>
        <v>0.360549480652134</v>
      </c>
      <c r="U4457" s="38" t="n">
        <f aca="false">SUMPRODUCT(--(Sens!$R$4421:$AA$4421&lt;Sens!U$4421),Sens!$R$4454:$AA$4454)/fac_life</f>
        <v>1.29709472025025</v>
      </c>
      <c r="V4457" s="38" t="n">
        <f aca="false">SUMPRODUCT(--(Sens!$R$4421:$AA$4421&lt;Sens!V$4421),Sens!$R$4454:$AA$4454)/fac_life</f>
        <v>3.21599529914753</v>
      </c>
      <c r="W4457" s="38" t="n">
        <f aca="false">SUMPRODUCT(--(Sens!$R$4421:$AA$4421&lt;Sens!W$4421),Sens!$R$4454:$AA$4454)/fac_life</f>
        <v>5.51832434914753</v>
      </c>
      <c r="X4457" s="38" t="n">
        <f aca="false">SUMPRODUCT(--(Sens!$R$4421:$AA$4421&lt;Sens!X$4421),Sens!$R$4454:$AA$4454)/fac_life</f>
        <v>7.82065339914753</v>
      </c>
      <c r="Y4457" s="38" t="n">
        <f aca="false">SUMPRODUCT(--(Sens!$R$4421:$AA$4421&lt;Sens!Y$4421),Sens!$R$4454:$AA$4454)/fac_life</f>
        <v>10.1229824491475</v>
      </c>
      <c r="Z4457" s="38" t="n">
        <f aca="false">SUMPRODUCT(--(Sens!$R$4421:$AA$4421&lt;Sens!Z$4421),Sens!$R$4454:$AA$4454)/fac_life</f>
        <v>11.7516267992309</v>
      </c>
      <c r="AA4457" s="38" t="n">
        <f aca="false">SUMPRODUCT(--(Sens!$R$4421:$AA$4421&lt;Sens!AA$4421),Sens!$R$4454:$AA$4454)/fac_life</f>
        <v>12.7065864493975</v>
      </c>
    </row>
    <row r="4458" customFormat="false" ht="17.15" hidden="false" customHeight="false" outlineLevel="0" collapsed="false">
      <c r="A4458" s="1" t="s">
        <v>633</v>
      </c>
      <c r="B4458" s="8" t="s">
        <v>86</v>
      </c>
      <c r="C4458" s="38" t="n">
        <f aca="false">Sens!$C$4456+Sens!$C$4457</f>
        <v>0.203463948620839</v>
      </c>
      <c r="D4458" s="38" t="n">
        <f aca="false">Sens!$D$4456+Sens!$D$4457</f>
        <v>3.62245206231783</v>
      </c>
      <c r="E4458" s="38" t="n">
        <f aca="false">Sens!$E$4456+Sens!$E$4457</f>
        <v>6.51597588754466</v>
      </c>
      <c r="F4458" s="38" t="n">
        <f aca="false">Sens!$F$4456+Sens!$F$4457</f>
        <v>6.51597588754466</v>
      </c>
      <c r="G4458" s="38" t="n">
        <f aca="false">Sens!$G$4456+Sens!$G$4457</f>
        <v>13.0319517750893</v>
      </c>
      <c r="H4458" s="38" t="n">
        <f aca="false">Sens!$H$4456+Sens!$H$4457</f>
        <v>35.2941921973308</v>
      </c>
      <c r="I4458" s="38" t="n">
        <f aca="false">Sens!$I$4456+Sens!$I$4457</f>
        <v>63.0173185714558</v>
      </c>
      <c r="J4458" s="38" t="n">
        <f aca="false">Sens!$J$4456+Sens!$J$4457</f>
        <v>91.7529624398725</v>
      </c>
      <c r="K4458" s="38" t="n">
        <f aca="false">Sens!$K$4456+Sens!$K$4457</f>
        <v>121.178188209924</v>
      </c>
      <c r="L4458" s="38" t="n">
        <f aca="false">Sens!$L$4456+Sens!$L$4457</f>
        <v>140.172392488963</v>
      </c>
      <c r="M4458" s="38" t="n">
        <f aca="false">Sens!$M$4456+Sens!$M$4457</f>
        <v>151.473555772051</v>
      </c>
      <c r="N4458" s="38" t="n">
        <f aca="false">Sens!$N$4456+Sens!$N$4457</f>
        <v>1.81122603115892</v>
      </c>
      <c r="O4458" s="38" t="n">
        <f aca="false">Sens!$O$4456+Sens!$O$4457</f>
        <v>1.81122603115892</v>
      </c>
      <c r="R4458" s="38" t="n">
        <f aca="false">Sens!$R$4456+Sens!$R$4457</f>
        <v>0</v>
      </c>
      <c r="S4458" s="38" t="n">
        <f aca="false">Sens!$S$4456+Sens!$S$4457</f>
        <v>0.203463948620839</v>
      </c>
      <c r="T4458" s="38" t="n">
        <f aca="false">Sens!$T$4456+Sens!$T$4457</f>
        <v>3.62245206231783</v>
      </c>
      <c r="U4458" s="38" t="n">
        <f aca="false">Sens!$U$4456+Sens!$U$4457</f>
        <v>13.0319517750893</v>
      </c>
      <c r="V4458" s="38" t="n">
        <f aca="false">Sens!$V$4456+Sens!$V$4457</f>
        <v>35.2941921973308</v>
      </c>
      <c r="W4458" s="38" t="n">
        <f aca="false">Sens!$W$4456+Sens!$W$4457</f>
        <v>63.0173185714558</v>
      </c>
      <c r="X4458" s="38" t="n">
        <f aca="false">Sens!$X$4456+Sens!$X$4457</f>
        <v>91.7529624398725</v>
      </c>
      <c r="Y4458" s="38" t="n">
        <f aca="false">Sens!$Y$4456+Sens!$Y$4457</f>
        <v>121.178188209924</v>
      </c>
      <c r="Z4458" s="38" t="n">
        <f aca="false">Sens!$Z$4456+Sens!$Z$4457</f>
        <v>140.172392488963</v>
      </c>
      <c r="AA4458" s="38" t="n">
        <f aca="false">Sens!$AA$4456+Sens!$AA$4457</f>
        <v>151.473555772051</v>
      </c>
    </row>
    <row r="4459" customFormat="false" ht="17.15" hidden="false" customHeight="false" outlineLevel="0" collapsed="false">
      <c r="A4459" s="0" t="s">
        <v>634</v>
      </c>
      <c r="B4459" s="0" t="s">
        <v>86</v>
      </c>
      <c r="C4459" s="38" t="n">
        <f aca="false">Sens!$S$4459</f>
        <v>26.578941154416</v>
      </c>
      <c r="D4459" s="38" t="n">
        <f aca="false">Sens!$T$4459</f>
        <v>92.5251207231008</v>
      </c>
      <c r="G4459" s="38" t="n">
        <f aca="false">Sens!$U$4459</f>
        <v>239.931219586022</v>
      </c>
      <c r="H4459" s="38" t="n">
        <f aca="false">Sens!$V$4459</f>
        <v>403.208392333442</v>
      </c>
      <c r="I4459" s="38" t="n">
        <f aca="false">Sens!$W$4459</f>
        <v>544.837543672486</v>
      </c>
      <c r="J4459" s="38" t="n">
        <f aca="false">Sens!$X$4459</f>
        <v>662.967819343113</v>
      </c>
      <c r="K4459" s="38" t="n">
        <f aca="false">Sens!$Y$4459</f>
        <v>697.028016408391</v>
      </c>
      <c r="L4459" s="38" t="n">
        <f aca="false">Sens!$Z$4459</f>
        <v>688.86976555933</v>
      </c>
      <c r="M4459" s="38" t="n">
        <f aca="false">Sens!$AA$4459</f>
        <v>669.627191447132</v>
      </c>
      <c r="R4459" s="38" t="n">
        <f aca="false">SUM(Sens!$R$4451:$R$4451)-SUM(Sens!$R$4458:$R$4458)</f>
        <v>1.50429979529945</v>
      </c>
      <c r="S4459" s="38" t="n">
        <f aca="false">SUM(Sens!$R$4451:$S$4451)-SUM(Sens!$R$4458:$S$4458)</f>
        <v>26.578941154416</v>
      </c>
      <c r="T4459" s="38" t="n">
        <f aca="false">SUM(Sens!$R$4451:$T$4451)-SUM(Sens!$R$4458:$T$4458)</f>
        <v>92.5251207231008</v>
      </c>
      <c r="U4459" s="38" t="n">
        <f aca="false">SUM(Sens!$R$4451:$U$4451)-SUM(Sens!$R$4458:$U$4458)</f>
        <v>239.931219586022</v>
      </c>
      <c r="V4459" s="38" t="n">
        <f aca="false">SUM(Sens!$R$4451:$V$4451)-SUM(Sens!$R$4458:$V$4458)</f>
        <v>403.208392333442</v>
      </c>
      <c r="W4459" s="38" t="n">
        <f aca="false">SUM(Sens!$R$4451:$W$4451)-SUM(Sens!$R$4458:$W$4458)</f>
        <v>544.837543672486</v>
      </c>
      <c r="X4459" s="38" t="n">
        <f aca="false">SUM(Sens!$R$4451:$X$4451)-SUM(Sens!$R$4458:$X$4458)</f>
        <v>662.967819343113</v>
      </c>
      <c r="Y4459" s="38" t="n">
        <f aca="false">SUM(Sens!$R$4451:$Y$4451)-SUM(Sens!$R$4458:$Y$4458)</f>
        <v>697.028016408391</v>
      </c>
      <c r="Z4459" s="38" t="n">
        <f aca="false">SUM(Sens!$R$4451:$Z$4451)-SUM(Sens!$R$4458:$Z$4458)</f>
        <v>688.86976555933</v>
      </c>
      <c r="AA4459" s="38" t="n">
        <f aca="false">SUM(Sens!$R$4451:$AA$4451)-SUM(Sens!$R$4458:$AA$4458)</f>
        <v>669.627191447132</v>
      </c>
    </row>
    <row r="4460" customFormat="false" ht="17.15" hidden="false" customHeight="false" outlineLevel="0" collapsed="false">
      <c r="A4460" s="1" t="s">
        <v>635</v>
      </c>
    </row>
    <row r="4461" customFormat="false" ht="17.15" hidden="false" customHeight="false" outlineLevel="0" collapsed="false">
      <c r="A4461" s="0" t="s">
        <v>636</v>
      </c>
      <c r="B4461" s="0" t="s">
        <v>86</v>
      </c>
      <c r="C4461" s="38" t="n">
        <f aca="false">Sens!$C$4442-ext_sh*Sens!$C$4444</f>
        <v>1.80694998843362</v>
      </c>
      <c r="D4461" s="38" t="n">
        <f aca="false">Sens!$D$4442-ext_sh*Sens!$D$4444</f>
        <v>6.77606245662607</v>
      </c>
      <c r="E4461" s="38" t="n">
        <f aca="false">Sens!$E$4442-ext_sh*Sens!$E$4444</f>
        <v>6.62548329092326</v>
      </c>
      <c r="F4461" s="38" t="n">
        <f aca="false">Sens!$F$4442-ext_sh*Sens!$F$4444</f>
        <v>11.7200577158706</v>
      </c>
      <c r="G4461" s="38" t="n">
        <f aca="false">Sens!$G$4442-ext_sh*Sens!$G$4444</f>
        <v>18.3455410067939</v>
      </c>
      <c r="H4461" s="38" t="n">
        <f aca="false">Sens!$H$4442-ext_sh*Sens!$H$4444</f>
        <v>47.5171727060453</v>
      </c>
      <c r="I4461" s="38" t="n">
        <f aca="false">Sens!$I$4442-ext_sh*Sens!$I$4444</f>
        <v>80.5539692643667</v>
      </c>
      <c r="J4461" s="38" t="n">
        <f aca="false">Sens!$J$4442-ext_sh*Sens!$J$4444</f>
        <v>113.759316834883</v>
      </c>
      <c r="K4461" s="38" t="n">
        <f aca="false">Sens!$K$4442-ext_sh*Sens!$K$4444</f>
        <v>142.084411492169</v>
      </c>
      <c r="L4461" s="38" t="n">
        <f aca="false">Sens!$L$4442-ext_sh*Sens!$L$4444</f>
        <v>160.69964615804</v>
      </c>
      <c r="M4461" s="38" t="n">
        <f aca="false">Sens!$M$4442-ext_sh*Sens!$M$4444</f>
        <v>169.577607141793</v>
      </c>
      <c r="N4461" s="38" t="n">
        <f aca="false">Sens!$N$4442-ext_sh*Sens!$N$4444</f>
        <v>2.37162185981912</v>
      </c>
      <c r="O4461" s="38" t="n">
        <f aca="false">Sens!$O$4442-ext_sh*Sens!$O$4444</f>
        <v>4.40444059680694</v>
      </c>
    </row>
    <row r="4462" customFormat="false" ht="17.15" hidden="false" customHeight="false" outlineLevel="0" collapsed="false">
      <c r="A4462" s="1" t="s">
        <v>637</v>
      </c>
      <c r="B4462" s="8" t="s">
        <v>86</v>
      </c>
      <c r="C4462" s="38" t="n">
        <f aca="false">Sens!$C$4461-ext_sh*Sens!$C$4458</f>
        <v>1.64417882953695</v>
      </c>
      <c r="D4462" s="38" t="n">
        <f aca="false">Sens!$D$4461-ext_sh*Sens!$D$4458</f>
        <v>3.8781008067718</v>
      </c>
      <c r="E4462" s="38" t="n">
        <f aca="false">Sens!$E$4461-ext_sh*Sens!$E$4458</f>
        <v>1.41270258088753</v>
      </c>
      <c r="F4462" s="38" t="n">
        <f aca="false">Sens!$F$4461-ext_sh*Sens!$F$4458</f>
        <v>6.50727700583486</v>
      </c>
      <c r="G4462" s="38" t="n">
        <f aca="false">Sens!$G$4461-ext_sh*Sens!$G$4458</f>
        <v>7.9199795867224</v>
      </c>
      <c r="H4462" s="38" t="n">
        <f aca="false">Sens!$H$4461-ext_sh*Sens!$H$4458</f>
        <v>19.2818189481807</v>
      </c>
      <c r="I4462" s="38" t="n">
        <f aca="false">Sens!$I$4461-ext_sh*Sens!$I$4458</f>
        <v>30.140114407202</v>
      </c>
      <c r="J4462" s="38" t="n">
        <f aca="false">Sens!$J$4461-ext_sh*Sens!$J$4458</f>
        <v>40.3569468829854</v>
      </c>
      <c r="K4462" s="38" t="n">
        <f aca="false">Sens!$K$4461-ext_sh*Sens!$K$4458</f>
        <v>45.1418609242305</v>
      </c>
      <c r="L4462" s="38" t="n">
        <f aca="false">Sens!$L$4461-ext_sh*Sens!$L$4458</f>
        <v>48.5617321668703</v>
      </c>
      <c r="M4462" s="38" t="n">
        <f aca="false">Sens!$M$4461-ext_sh*Sens!$M$4458</f>
        <v>48.3987625241529</v>
      </c>
      <c r="N4462" s="38" t="n">
        <f aca="false">Sens!$N$4461-ext_sh*Sens!$N$4458</f>
        <v>0.92264103489199</v>
      </c>
      <c r="O4462" s="38" t="n">
        <f aca="false">Sens!$O$4461-ext_sh*Sens!$O$4458</f>
        <v>2.95545977187981</v>
      </c>
    </row>
    <row r="4463" customFormat="false" ht="17.15" hidden="false" customHeight="false" outlineLevel="0" collapsed="false">
      <c r="A4463" s="0" t="s">
        <v>638</v>
      </c>
      <c r="B4463" s="0" t="s">
        <v>52</v>
      </c>
      <c r="C4463" s="13" t="n">
        <f aca="false">Sens!$C$4462/Sens!$C$4442</f>
        <v>0.708390794789371</v>
      </c>
      <c r="D4463" s="13" t="n">
        <f aca="false">Sens!$D$4462/Sens!$D$4442</f>
        <v>0.445565630441968</v>
      </c>
      <c r="E4463" s="13" t="n">
        <f aca="false">Sens!$E$4462/Sens!$E$4442</f>
        <v>0.165998118402711</v>
      </c>
      <c r="F4463" s="13" t="n">
        <f aca="false">Sens!$F$4462/Sens!$F$4442</f>
        <v>0.434878595403858</v>
      </c>
      <c r="G4463" s="13" t="n">
        <f aca="false">Sens!$G$4462/Sens!$G$4442</f>
        <v>0.3373967615381</v>
      </c>
      <c r="H4463" s="13" t="n">
        <f aca="false">Sens!$H$4462/Sens!$H$4442</f>
        <v>0.320477578041224</v>
      </c>
      <c r="I4463" s="13" t="n">
        <f aca="false">Sens!$I$4462/Sens!$I$4442</f>
        <v>0.296936118226494</v>
      </c>
      <c r="J4463" s="13" t="n">
        <f aca="false">Sens!$J$4462/Sens!$J$4442</f>
        <v>0.282166278613001</v>
      </c>
      <c r="K4463" s="13" t="n">
        <f aca="false">Sens!$K$4462/Sens!$K$4442</f>
        <v>0.252969102881543</v>
      </c>
      <c r="L4463" s="13" t="n">
        <f aca="false">Sens!$L$4462/Sens!$L$4442</f>
        <v>0.240728642826566</v>
      </c>
      <c r="M4463" s="13" t="n">
        <f aca="false">Sens!$M$4462/Sens!$M$4442</f>
        <v>0.227399920863147</v>
      </c>
      <c r="N4463" s="13" t="n">
        <f aca="false">Sens!$N$4462/Sens!$N$4442</f>
        <v>0.302870734830849</v>
      </c>
      <c r="O4463" s="13" t="n">
        <f aca="false">Sens!$O$4462/Sens!$O$4442</f>
        <v>0.52240134346334</v>
      </c>
    </row>
    <row r="4464" customFormat="false" ht="17.15" hidden="false" customHeight="false" outlineLevel="0" collapsed="false">
      <c r="A4464" s="5" t="s">
        <v>639</v>
      </c>
      <c r="B4464" s="0" t="s">
        <v>86</v>
      </c>
      <c r="C4464" s="39" t="n">
        <v>0</v>
      </c>
      <c r="D4464" s="39" t="n">
        <v>0</v>
      </c>
      <c r="E4464" s="39" t="n">
        <v>0</v>
      </c>
      <c r="F4464" s="38" t="n">
        <f aca="false">IF(internal_ai_reading=2,1,0)*(1-ext_sh)/ext_sh*(mw_open*he_open+Sens!$F$4440*Sens!$F$4437)*Sens!$F$4426/1000</f>
        <v>3.77122048175818</v>
      </c>
      <c r="G4464" s="38" t="n">
        <f aca="false">Sens!$E$4464+Sens!$F$4464</f>
        <v>3.77122048175818</v>
      </c>
      <c r="H4464" s="38" t="n">
        <f aca="false">IF(internal_ai_reading=2,1,0)*(1-ext_sh)/ext_sh*(mw_open*he_open+Sens!$H$4440*Sens!$H$4437)*Sens!$H$4426/1000</f>
        <v>15.1635543609893</v>
      </c>
      <c r="I4464" s="38" t="n">
        <f aca="false">IF(internal_ai_reading=2,1,0)*(1-ext_sh)/ext_sh*(mw_open*he_open+Sens!$I$4440*Sens!$I$4437)*Sens!$I$4426/1000</f>
        <v>25.5818843619889</v>
      </c>
      <c r="J4464" s="38" t="n">
        <f aca="false">IF(internal_ai_reading=2,1,0)*(1-ext_sh)/ext_sh*(mw_open*he_open+Sens!$J$4440*Sens!$J$4437)*Sens!$J$4426/1000</f>
        <v>36.0465624179122</v>
      </c>
      <c r="K4464" s="38" t="n">
        <f aca="false">IF(internal_ai_reading=2,1,0)*(1-ext_sh)/ext_sh*(mw_open*he_open+Sens!$K$4440*Sens!$K$4437)*Sens!$K$4426/1000</f>
        <v>44.9741164026038</v>
      </c>
      <c r="L4464" s="38" t="n">
        <f aca="false">IF(internal_ai_reading=2,1,0)*(1-ext_sh)/ext_sh*(mw_open*he_open+Sens!$L$4440*Sens!$L$4437)*Sens!$L$4426/1000</f>
        <v>50.8413488057813</v>
      </c>
      <c r="M4464" s="38" t="n">
        <f aca="false">IF(internal_ai_reading=2,1,0)*(1-ext_sh)/ext_sh*(mw_open*he_open+Sens!$M$4440*Sens!$M$4437)*Sens!$M$4426/1000</f>
        <v>53.6407214274315</v>
      </c>
      <c r="N4464" s="39" t="n">
        <v>0</v>
      </c>
      <c r="O4464" s="39" t="n">
        <v>0</v>
      </c>
      <c r="P4464" s="8" t="s">
        <v>640</v>
      </c>
    </row>
    <row r="4465" customFormat="false" ht="17.15" hidden="false" customHeight="false" outlineLevel="0" collapsed="false">
      <c r="A4465" s="5" t="s">
        <v>641</v>
      </c>
      <c r="B4465" s="0" t="s">
        <v>86</v>
      </c>
      <c r="C4465" s="38" t="n">
        <f aca="false">(1-ext_sh)*(Sens!$C$4444+Sens!$C$4458)</f>
        <v>0.169206631859174</v>
      </c>
      <c r="D4465" s="38" t="n">
        <f aca="false">(1-ext_sh)*(Sens!$D$4444+Sens!$D$4458)</f>
        <v>1.20641732046984</v>
      </c>
      <c r="E4465" s="38" t="n">
        <f aca="false">(1-ext_sh)*(Sens!$E$4444+Sens!$E$4458)</f>
        <v>1.77441259867062</v>
      </c>
      <c r="F4465" s="38" t="n">
        <f aca="false">(1-ext_sh)*(Sens!$F$4444+Sens!$F$4458)</f>
        <v>2.1140391597214</v>
      </c>
      <c r="G4465" s="38" t="n">
        <f aca="false">(1-ext_sh)*(Sens!$G$4444+Sens!$G$4458)</f>
        <v>3.88845175839202</v>
      </c>
      <c r="H4465" s="38" t="n">
        <f aca="false">(1-ext_sh)*(Sens!$H$4444+Sens!$H$4458)</f>
        <v>10.2210179503985</v>
      </c>
      <c r="I4465" s="38" t="n">
        <f aca="false">(1-ext_sh)*(Sens!$I$4444+Sens!$I$4458)</f>
        <v>17.8408961823075</v>
      </c>
      <c r="J4465" s="38" t="n">
        <f aca="false">(1-ext_sh)*(Sens!$J$4444+Sens!$J$4458)</f>
        <v>25.6671150670732</v>
      </c>
      <c r="K4465" s="38" t="n">
        <f aca="false">(1-ext_sh)*(Sens!$K$4444+Sens!$K$4458)</f>
        <v>33.3265648647373</v>
      </c>
      <c r="L4465" s="38" t="n">
        <f aca="false">(1-ext_sh)*(Sens!$L$4444+Sens!$L$4458)</f>
        <v>38.2915924088815</v>
      </c>
      <c r="M4465" s="38" t="n">
        <f aca="false">(1-ext_sh)*(Sens!$M$4444+Sens!$M$4458)</f>
        <v>41.1091697111781</v>
      </c>
      <c r="N4465" s="38" t="n">
        <f aca="false">(1-ext_sh)*(Sens!$N$4444+Sens!$N$4458)</f>
        <v>0.530919624033979</v>
      </c>
      <c r="O4465" s="38" t="n">
        <f aca="false">(1-ext_sh)*(Sens!$O$4444+Sens!$O$4458)</f>
        <v>0.675497696435861</v>
      </c>
    </row>
    <row r="4466" customFormat="false" ht="17.15" hidden="false" customHeight="false" outlineLevel="0" collapsed="false">
      <c r="A4466" s="0" t="s">
        <v>642</v>
      </c>
      <c r="B4466" s="0" t="s">
        <v>86</v>
      </c>
      <c r="C4466" s="38" t="n">
        <f aca="false">Q!$D$24</f>
        <v>39.834</v>
      </c>
      <c r="D4466" s="38" t="n">
        <f aca="false">Q!$E$24</f>
        <v>45.606</v>
      </c>
      <c r="E4466" s="38" t="n">
        <f aca="false">Q!$P$24</f>
        <v>30.782</v>
      </c>
      <c r="N4466" s="38" t="n">
        <f aca="false">Q!$N$24</f>
        <v>21.707</v>
      </c>
      <c r="O4466" s="38" t="n">
        <f aca="false">Q!$O$24</f>
        <v>23.899</v>
      </c>
    </row>
    <row r="4467" customFormat="false" ht="17.15" hidden="false" customHeight="false" outlineLevel="0" collapsed="false">
      <c r="A4467" s="0" t="s">
        <v>643</v>
      </c>
      <c r="B4467" s="0" t="s">
        <v>86</v>
      </c>
      <c r="C4467" s="38" t="n">
        <f aca="false">Sens!$C$4466-Sens!$C$4462</f>
        <v>38.1898211704631</v>
      </c>
      <c r="D4467" s="38" t="n">
        <f aca="false">Sens!$D$4466-Sens!$D$4462</f>
        <v>41.7278991932282</v>
      </c>
      <c r="E4467" s="38" t="n">
        <f aca="false">Sens!$E$4466-Sens!$E$4462</f>
        <v>29.3692974191125</v>
      </c>
      <c r="F4467" s="38" t="n">
        <f aca="false">Sens!$F$4446*Sens!$F$4468</f>
        <v>26.8997276714137</v>
      </c>
      <c r="G4467" s="38" t="n">
        <f aca="false">Sens!$E$4467+Sens!$F$4467</f>
        <v>56.2690250905262</v>
      </c>
      <c r="H4467" s="38" t="n">
        <f aca="false">Sens!$H$4446*Sens!$H$4468</f>
        <v>60.3505333937343</v>
      </c>
      <c r="I4467" s="38" t="n">
        <f aca="false">Sens!$I$4446*Sens!$I$4468</f>
        <v>67.0043857303571</v>
      </c>
      <c r="J4467" s="38" t="n">
        <f aca="false">Sens!$J$4446*Sens!$J$4468</f>
        <v>73.3782922956925</v>
      </c>
      <c r="K4467" s="38" t="n">
        <f aca="false">Sens!$K$4446*Sens!$K$4468</f>
        <v>79.2485556793479</v>
      </c>
      <c r="L4467" s="38" t="n">
        <f aca="false">Sens!$L$4446*Sens!$L$4468</f>
        <v>85.5884401336958</v>
      </c>
      <c r="M4467" s="38" t="n">
        <f aca="false">Sens!$M$4446*Sens!$M$4468</f>
        <v>92.4355153443914</v>
      </c>
      <c r="N4467" s="38" t="n">
        <f aca="false">Sens!$N$4466-Sens!$N$4462</f>
        <v>20.784358965108</v>
      </c>
      <c r="O4467" s="38" t="n">
        <f aca="false">Sens!$O$4466-Sens!$O$4462</f>
        <v>20.9435402281202</v>
      </c>
      <c r="P4467" s="5" t="s">
        <v>644</v>
      </c>
    </row>
    <row r="4468" customFormat="false" ht="17.15" hidden="false" customHeight="false" outlineLevel="0" collapsed="false">
      <c r="A4468" s="0" t="s">
        <v>645</v>
      </c>
      <c r="B4468" s="0" t="s">
        <v>52</v>
      </c>
      <c r="C4468" s="13" t="n">
        <f aca="false">Sens!$C$4467/Sens!$C$4446</f>
        <v>0.362900395443635</v>
      </c>
      <c r="D4468" s="13" t="n">
        <f aca="false">Sens!$D$4467/Sens!$D$4446</f>
        <v>0.34767098474203</v>
      </c>
      <c r="E4468" s="13" t="n">
        <f aca="false">Sens!$E$4467/Sens!$E$4446</f>
        <v>0.411861655558416</v>
      </c>
      <c r="F4468" s="13" t="n">
        <f aca="false">(Sens!$O$4467+Sens!$E$4467)/(Sens!$O$4446+Sens!$E$4446)</f>
        <v>0.37480827803158</v>
      </c>
      <c r="G4468" s="13" t="n">
        <f aca="false">Sens!$G$4467/Sens!$G$4446</f>
        <v>0.393275318395757</v>
      </c>
      <c r="H4468" s="13" t="n">
        <f aca="false">Sens!$F$4468</f>
        <v>0.37480827803158</v>
      </c>
      <c r="I4468" s="13" t="n">
        <f aca="false">Sens!$F$4468</f>
        <v>0.37480827803158</v>
      </c>
      <c r="J4468" s="13" t="n">
        <f aca="false">Sens!$F$4468</f>
        <v>0.37480827803158</v>
      </c>
      <c r="K4468" s="13" t="n">
        <f aca="false">Sens!$F$4468</f>
        <v>0.37480827803158</v>
      </c>
      <c r="L4468" s="13" t="n">
        <f aca="false">Sens!$F$4468</f>
        <v>0.37480827803158</v>
      </c>
      <c r="M4468" s="13" t="n">
        <f aca="false">Sens!$F$4468</f>
        <v>0.37480827803158</v>
      </c>
      <c r="N4468" s="13" t="n">
        <f aca="false">Sens!$N$4467/Sens!$N$4446</f>
        <v>0.364039571356823</v>
      </c>
      <c r="O4468" s="13" t="n">
        <f aca="false">Sens!$O$4467/Sens!$O$4446</f>
        <v>0.332819892300086</v>
      </c>
      <c r="P4468" s="8" t="s">
        <v>646</v>
      </c>
    </row>
    <row r="4469" customFormat="false" ht="17.15" hidden="false" customHeight="false" outlineLevel="0" collapsed="false">
      <c r="A4469" s="0" t="s">
        <v>647</v>
      </c>
      <c r="B4469" s="0" t="s">
        <v>52</v>
      </c>
      <c r="D4469" s="13" t="n">
        <f aca="false">(Q!$E$31-ext_sh*Sens!$D$4458)/Sens!$D$4446</f>
        <v>0.154572973163571</v>
      </c>
    </row>
    <row r="4470" customFormat="false" ht="17.15" hidden="false" customHeight="false" outlineLevel="0" collapsed="false">
      <c r="A4470" s="0" t="s">
        <v>648</v>
      </c>
      <c r="B4470" s="0" t="s">
        <v>86</v>
      </c>
      <c r="C4470" s="38" t="n">
        <f aca="false">Q!$D$31</f>
        <v>13.32</v>
      </c>
      <c r="D4470" s="38" t="n">
        <f aca="false">Q!$E$31</f>
        <v>21.45</v>
      </c>
      <c r="E4470" s="38" t="n">
        <f aca="false">Q!$P$31</f>
        <v>15.353</v>
      </c>
      <c r="F4470" s="38" t="n">
        <f aca="false">ext_sh*Sens!$F$4458+Sens!$D$4469*Sens!$F$4446</f>
        <v>16.3063747611001</v>
      </c>
      <c r="G4470" s="38" t="n">
        <f aca="false">Sens!$E$4470+Sens!$F$4470</f>
        <v>31.6593747611001</v>
      </c>
      <c r="H4470" s="38" t="n">
        <f aca="false">ext_sh*Sens!$H$4458+Sens!$D$4469*Sens!$H$4446</f>
        <v>53.124242092105</v>
      </c>
      <c r="I4470" s="38" t="n">
        <f aca="false">ext_sh*Sens!$I$4458+Sens!$D$4469*Sens!$I$4446</f>
        <v>78.046828098133</v>
      </c>
      <c r="J4470" s="38" t="n">
        <f aca="false">ext_sh*Sens!$J$4458+Sens!$D$4469*Sens!$J$4446</f>
        <v>103.663976940352</v>
      </c>
      <c r="K4470" s="38" t="n">
        <f aca="false">ext_sh*Sens!$K$4458+Sens!$D$4469*Sens!$K$4446</f>
        <v>129.625086115469</v>
      </c>
      <c r="L4470" s="38" t="n">
        <f aca="false">ext_sh*Sens!$L$4458+Sens!$D$4469*Sens!$L$4446</f>
        <v>147.435052382502</v>
      </c>
      <c r="M4470" s="38" t="n">
        <f aca="false">ext_sh*Sens!$M$4458+Sens!$D$4469*Sens!$M$4446</f>
        <v>159.299754080279</v>
      </c>
      <c r="N4470" s="38" t="n">
        <f aca="false">Q!$N$31</f>
        <v>9.234</v>
      </c>
      <c r="O4470" s="38" t="n">
        <f aca="false">Q!$O$31</f>
        <v>12.216</v>
      </c>
    </row>
    <row r="4471" customFormat="false" ht="17.15" hidden="false" customHeight="false" outlineLevel="0" collapsed="false">
      <c r="A4471" s="1" t="s">
        <v>649</v>
      </c>
    </row>
    <row r="4472" customFormat="false" ht="17.15" hidden="false" customHeight="false" outlineLevel="0" collapsed="false">
      <c r="A4472" s="15" t="s">
        <v>650</v>
      </c>
      <c r="B4472" s="14" t="s">
        <v>52</v>
      </c>
      <c r="C4472" s="14"/>
      <c r="D4472" s="14"/>
      <c r="E4472" s="14"/>
      <c r="F4472" s="14"/>
      <c r="G4472" s="17" t="n">
        <f aca="false">Sens!$G$4462*(1-tax)/(ext_sh*(Sens!$D$4459+Sens!$G$4459)/2)</f>
        <v>0.0492184452944045</v>
      </c>
      <c r="H4472" s="17" t="n">
        <f aca="false">Sens!$H$4462*(1-tax)/(ext_sh*(Sens!$G$4459+Sens!$H$4459)/2)</f>
        <v>0.0619414246858107</v>
      </c>
      <c r="I4472" s="17" t="n">
        <f aca="false">Sens!$I$4462*(1-tax)/(ext_sh*(Sens!$H$4459+Sens!$I$4459)/2)</f>
        <v>0.0656831488051666</v>
      </c>
      <c r="J4472" s="17" t="n">
        <f aca="false">Sens!$J$4462*(1-tax)/(ext_sh*(Sens!$I$4459+Sens!$J$4459)/2)</f>
        <v>0.0690334849962116</v>
      </c>
      <c r="K4472" s="17" t="n">
        <f aca="false">Sens!$K$4462*(1-tax)/(ext_sh*(Sens!$J$4459+Sens!$K$4459)/2)</f>
        <v>0.0685772915331967</v>
      </c>
      <c r="L4472" s="17" t="n">
        <f aca="false">Sens!$L$4462*(1-tax)/(ext_sh*(Sens!$K$4459+Sens!$L$4459)/2)</f>
        <v>0.0723938074635756</v>
      </c>
      <c r="M4472" s="17" t="n">
        <f aca="false">Sens!$M$4462*(1-tax)/(ext_sh*(Sens!$L$4459+Sens!$M$4459)/2)</f>
        <v>0.0736061388214139</v>
      </c>
      <c r="N4472" s="14"/>
      <c r="O4472" s="14"/>
      <c r="P4472" s="8" t="s">
        <v>651</v>
      </c>
    </row>
    <row r="4473" customFormat="false" ht="17.15" hidden="false" customHeight="false" outlineLevel="0" collapsed="false">
      <c r="A4473" s="5" t="s">
        <v>652</v>
      </c>
      <c r="B4473" s="0" t="s">
        <v>57</v>
      </c>
      <c r="H4473" s="36" t="n">
        <f aca="false">Sens!$H$4442*1000/(mw_open*he_open+Sens!$H$4440*Sens!$H$4437)</f>
        <v>0.991949006767191</v>
      </c>
      <c r="I4473" s="36" t="n">
        <f aca="false">Sens!$I$4442*1000/(mw_open*he_open+Sens!$I$4440*Sens!$I$4437)</f>
        <v>0.991949006767191</v>
      </c>
      <c r="J4473" s="36" t="n">
        <f aca="false">Sens!$J$4442*1000/(mw_open*he_open+Sens!$J$4440*Sens!$J$4437)</f>
        <v>0.991949006767191</v>
      </c>
      <c r="K4473" s="36" t="n">
        <f aca="false">Sens!$K$4442*1000/(mw_open*he_open+Sens!$K$4440*Sens!$K$4437)</f>
        <v>0.991949006767191</v>
      </c>
      <c r="L4473" s="36" t="n">
        <f aca="false">Sens!$L$4442*1000/(mw_open*he_open+Sens!$L$4440*Sens!$L$4437)</f>
        <v>0.991949006767191</v>
      </c>
      <c r="M4473" s="36" t="n">
        <f aca="false">Sens!$M$4442*1000/(mw_open*he_open+Sens!$M$4440*Sens!$M$4437)</f>
        <v>0.991949006767191</v>
      </c>
    </row>
    <row r="4474" customFormat="false" ht="17.15" hidden="false" customHeight="false" outlineLevel="0" collapsed="false">
      <c r="A4474" s="5" t="s">
        <v>653</v>
      </c>
      <c r="B4474" s="0" t="s">
        <v>57</v>
      </c>
      <c r="H4474" s="36" t="n">
        <f aca="false">Sens!$H$4473*(Sens!$H$4442+wacc*ext_sh*(Sens!$G$4459+Sens!$H$4459)/2/(1-tax)-Sens!$H$4462)/Sens!$H$4442</f>
        <v>1.25551961623259</v>
      </c>
      <c r="I4474" s="36" t="n">
        <f aca="false">Sens!$I$4473*(Sens!$I$4442+wacc*ext_sh*(Sens!$H$4459+Sens!$I$4459)/2/(1-tax)-Sens!$I$4462)/Sens!$I$4442</f>
        <v>1.2054675393263</v>
      </c>
      <c r="J4474" s="36" t="n">
        <f aca="false">Sens!$J$4473*(Sens!$J$4442+wacc*ext_sh*(Sens!$I$4459+Sens!$J$4459)/2/(1-tax)-Sens!$J$4462)/Sens!$J$4442</f>
        <v>1.17141604927023</v>
      </c>
      <c r="K4474" s="36" t="n">
        <f aca="false">Sens!$K$4473*(Sens!$K$4442+wacc*ext_sh*(Sens!$J$4459+Sens!$K$4459)/2/(1-tax)-Sens!$K$4462)/Sens!$K$4442</f>
        <v>1.15558527566281</v>
      </c>
      <c r="L4474" s="36" t="n">
        <f aca="false">Sens!$L$4473*(Sens!$L$4442+wacc*ext_sh*(Sens!$K$4459+Sens!$L$4459)/2/(1-tax)-Sens!$L$4462)/Sens!$L$4442</f>
        <v>1.12686933572495</v>
      </c>
      <c r="M4474" s="36" t="n">
        <f aca="false">Sens!$M$4473*(Sens!$M$4442+wacc*ext_sh*(Sens!$L$4459+Sens!$M$4459)/2/(1-tax)-Sens!$M$4462)/Sens!$M$4442</f>
        <v>1.11358462527531</v>
      </c>
    </row>
    <row r="4475" customFormat="false" ht="17.15" hidden="false" customHeight="false" outlineLevel="0" collapsed="false">
      <c r="A4475" s="5" t="s">
        <v>654</v>
      </c>
      <c r="B4475" s="0" t="s">
        <v>52</v>
      </c>
      <c r="C4475" s="13" t="n">
        <f aca="false">Sens!$C$4443/tk_pq</f>
        <v>0.195316432429398</v>
      </c>
      <c r="D4475" s="13" t="n">
        <f aca="false">Sens!$D$4443/tk_pq</f>
        <v>0.195316432429398</v>
      </c>
      <c r="E4475" s="13" t="n">
        <f aca="false">Sens!$E$4443/tk_pq</f>
        <v>0.195316432429398</v>
      </c>
      <c r="F4475" s="13" t="n">
        <f aca="false">Sens!$F$4443/tk_pq</f>
        <v>0.202241827274866</v>
      </c>
      <c r="G4475" s="13" t="n">
        <f aca="false">Sens!$G$4443/tk_pq</f>
        <v>0.199675016194063</v>
      </c>
      <c r="H4475" s="13" t="n">
        <f aca="false">Sens!$H$4443/tk_pq</f>
        <v>0.212647947710325</v>
      </c>
      <c r="I4475" s="13" t="n">
        <f aca="false">Sens!$I$4443/tk_pq</f>
        <v>0.219285125475351</v>
      </c>
      <c r="J4475" s="13" t="n">
        <f aca="false">Sens!$J$4443/tk_pq</f>
        <v>0.222492493217189</v>
      </c>
      <c r="K4475" s="13" t="n">
        <f aca="false">Sens!$K$4443/tk_pq</f>
        <v>0.224053502812094</v>
      </c>
      <c r="L4475" s="13" t="n">
        <f aca="false">Sens!$L$4443/tk_pq</f>
        <v>0.224786916785614</v>
      </c>
      <c r="M4475" s="13" t="n">
        <f aca="false">Sens!$M$4443/tk_pq</f>
        <v>0.225048671566937</v>
      </c>
      <c r="N4475" s="13" t="n">
        <f aca="false">Sens!$N$4443/tk_pq</f>
        <v>0.195316432429398</v>
      </c>
      <c r="O4475" s="13" t="n">
        <f aca="false">Sens!$O$4443/tk_pq</f>
        <v>0.195316432429398</v>
      </c>
      <c r="P4475" s="5" t="s">
        <v>655</v>
      </c>
    </row>
    <row r="4478" customFormat="false" ht="17.15" hidden="false" customHeight="false" outlineLevel="0" collapsed="false">
      <c r="A4478" s="1" t="s">
        <v>684</v>
      </c>
    </row>
    <row r="4479" customFormat="false" ht="17.15" hidden="false" customHeight="false" outlineLevel="0" collapsed="false">
      <c r="A4479" s="0" t="s">
        <v>685</v>
      </c>
      <c r="B4479" s="0" t="s">
        <v>86</v>
      </c>
      <c r="C4479" s="38" t="n">
        <f aca="false">Sens!$C$4442</f>
        <v>2.32100535697364</v>
      </c>
      <c r="D4479" s="38" t="n">
        <f aca="false">Sens!$D$4442</f>
        <v>8.70377008865116</v>
      </c>
      <c r="E4479" s="38" t="n">
        <f aca="false">Sens!$E$4442</f>
        <v>8.51035297557002</v>
      </c>
      <c r="F4479" s="38" t="n">
        <f aca="false">Sens!$F$4442</f>
        <v>14.9634336447205</v>
      </c>
      <c r="G4479" s="38" t="n">
        <f aca="false">Sens!$G$4442</f>
        <v>23.4737866202905</v>
      </c>
      <c r="H4479" s="38" t="n">
        <f aca="false">Sens!$H$4442</f>
        <v>60.1658907497746</v>
      </c>
      <c r="I4479" s="38" t="n">
        <f aca="false">Sens!$I$4442</f>
        <v>101.503699136432</v>
      </c>
      <c r="J4479" s="38" t="n">
        <f aca="false">Sens!$J$4442</f>
        <v>143.025407151278</v>
      </c>
      <c r="K4479" s="38" t="n">
        <f aca="false">Sens!$K$4442</f>
        <v>178.44812038318</v>
      </c>
      <c r="L4479" s="38" t="n">
        <f aca="false">Sens!$L$4442</f>
        <v>201.728101802396</v>
      </c>
      <c r="M4479" s="38" t="n">
        <f aca="false">Sens!$M$4442</f>
        <v>212.835441368865</v>
      </c>
      <c r="N4479" s="38" t="n">
        <f aca="false">Sens!$N$4442</f>
        <v>3.04631953102791</v>
      </c>
      <c r="O4479" s="38" t="n">
        <f aca="false">Sens!$O$4442</f>
        <v>5.65745055762326</v>
      </c>
      <c r="P4479" s="8" t="s">
        <v>686</v>
      </c>
    </row>
    <row r="4480" customFormat="false" ht="17.15" hidden="false" customHeight="false" outlineLevel="0" collapsed="false">
      <c r="A4480" s="0" t="s">
        <v>687</v>
      </c>
      <c r="B4480" s="0" t="s">
        <v>86</v>
      </c>
      <c r="C4480" s="38" t="n">
        <f aca="false">Sens!$C$4446</f>
        <v>105.234994643026</v>
      </c>
      <c r="D4480" s="38" t="n">
        <f aca="false">Sens!$D$4446</f>
        <v>120.021229911349</v>
      </c>
      <c r="E4480" s="38" t="n">
        <f aca="false">Sens!$E$4446</f>
        <v>71.30864702443</v>
      </c>
      <c r="F4480" s="38" t="n">
        <f aca="false">Sens!$F$4446</f>
        <v>71.7692997942464</v>
      </c>
      <c r="G4480" s="38" t="n">
        <f aca="false">Sens!$G$4446</f>
        <v>143.077946818676</v>
      </c>
      <c r="H4480" s="38" t="n">
        <f aca="false">Sens!$H$4446</f>
        <v>161.017077079203</v>
      </c>
      <c r="I4480" s="38" t="n">
        <f aca="false">Sens!$I$4446</f>
        <v>178.769759521457</v>
      </c>
      <c r="J4480" s="38" t="n">
        <f aca="false">Sens!$J$4446</f>
        <v>195.775538045907</v>
      </c>
      <c r="K4480" s="38" t="n">
        <f aca="false">Sens!$K$4446</f>
        <v>211.43758108958</v>
      </c>
      <c r="L4480" s="38" t="n">
        <f aca="false">Sens!$L$4446</f>
        <v>228.352587576746</v>
      </c>
      <c r="M4480" s="38" t="n">
        <f aca="false">Sens!$M$4446</f>
        <v>246.620794582886</v>
      </c>
      <c r="N4480" s="38" t="n">
        <f aca="false">Sens!$N$4446</f>
        <v>57.0936804689721</v>
      </c>
      <c r="O4480" s="38" t="n">
        <f aca="false">Sens!$O$4446</f>
        <v>62.9275494423768</v>
      </c>
      <c r="P4480" s="8" t="s">
        <v>686</v>
      </c>
    </row>
    <row r="4481" customFormat="false" ht="17.15" hidden="false" customHeight="false" outlineLevel="0" collapsed="false">
      <c r="A4481" s="1" t="s">
        <v>513</v>
      </c>
      <c r="B4481" s="8" t="s">
        <v>86</v>
      </c>
      <c r="C4481" s="38" t="n">
        <f aca="false">Q!$D$7</f>
        <v>107.556</v>
      </c>
      <c r="D4481" s="38" t="n">
        <f aca="false">Q!$E$7</f>
        <v>128.725</v>
      </c>
      <c r="E4481" s="38" t="n">
        <f aca="false">Q!$P$7</f>
        <v>79.819</v>
      </c>
      <c r="F4481" s="38" t="n">
        <f aca="false">Sens!$F$4479+Sens!$F$4480</f>
        <v>86.7327334389669</v>
      </c>
      <c r="G4481" s="38" t="n">
        <f aca="false">Sens!$G$4479+Sens!$G$4480</f>
        <v>166.551733438967</v>
      </c>
      <c r="H4481" s="38" t="n">
        <f aca="false">Sens!$H$4479+Sens!$H$4480</f>
        <v>221.182967828978</v>
      </c>
      <c r="I4481" s="38" t="n">
        <f aca="false">Sens!$I$4479+Sens!$I$4480</f>
        <v>280.27345865789</v>
      </c>
      <c r="J4481" s="38" t="n">
        <f aca="false">Sens!$J$4479+Sens!$J$4480</f>
        <v>338.800945197185</v>
      </c>
      <c r="K4481" s="38" t="n">
        <f aca="false">Sens!$K$4479+Sens!$K$4480</f>
        <v>389.88570147276</v>
      </c>
      <c r="L4481" s="38" t="n">
        <f aca="false">Sens!$L$4479+Sens!$L$4480</f>
        <v>430.080689379143</v>
      </c>
      <c r="M4481" s="38" t="n">
        <f aca="false">Sens!$M$4479+Sens!$M$4480</f>
        <v>459.456235951751</v>
      </c>
      <c r="N4481" s="38" t="n">
        <f aca="false">Q!$N$7</f>
        <v>60.14</v>
      </c>
      <c r="O4481" s="38" t="n">
        <f aca="false">Q!$O$7</f>
        <v>68.585</v>
      </c>
      <c r="P4481" s="5" t="s">
        <v>688</v>
      </c>
    </row>
    <row r="4482" customFormat="false" ht="15" hidden="false" customHeight="false" outlineLevel="0" collapsed="false">
      <c r="A4482" s="3" t="s">
        <v>689</v>
      </c>
      <c r="B4482" s="8" t="s">
        <v>86</v>
      </c>
      <c r="C4482" s="38" t="n">
        <f aca="false">Q!$D$8</f>
        <v>637.959</v>
      </c>
      <c r="D4482" s="38" t="n">
        <f aca="false">Q!$E$8</f>
        <v>716.924</v>
      </c>
      <c r="E4482" s="38" t="n">
        <f aca="false">Q!$P$8</f>
        <v>382.125</v>
      </c>
      <c r="F4482" s="38" t="n">
        <f aca="false">Sens!$F$4414+Sens!$F$4481</f>
        <v>435.780975084504</v>
      </c>
      <c r="G4482" s="38" t="n">
        <f aca="false">Sens!$G$4414+Sens!$G$4481</f>
        <v>817.905975084504</v>
      </c>
      <c r="H4482" s="38" t="n">
        <f aca="false">Sens!$H$4414+Sens!$H$4481</f>
        <v>942.279857350364</v>
      </c>
      <c r="I4482" s="38" t="n">
        <f aca="false">Sens!$I$4414+Sens!$I$4481</f>
        <v>1068.80284981042</v>
      </c>
      <c r="J4482" s="38" t="n">
        <f aca="false">Sens!$J$4414+Sens!$J$4481</f>
        <v>1189.90935093863</v>
      </c>
      <c r="K4482" s="38" t="n">
        <f aca="false">Sens!$K$4414+Sens!$K$4481</f>
        <v>1296.06215690385</v>
      </c>
      <c r="L4482" s="38" t="n">
        <f aca="false">Sens!$L$4414+Sens!$L$4481</f>
        <v>1395.17379585473</v>
      </c>
      <c r="M4482" s="38" t="n">
        <f aca="false">Sens!$M$4414+Sens!$M$4481</f>
        <v>1487.60414389864</v>
      </c>
      <c r="N4482" s="38" t="n">
        <f aca="false">Q!$N$8</f>
        <v>323.369</v>
      </c>
      <c r="O4482" s="38" t="n">
        <f aca="false">Q!$O$8</f>
        <v>393.555</v>
      </c>
    </row>
    <row r="4483" customFormat="false" ht="17.15" hidden="false" customHeight="false" outlineLevel="0" collapsed="false">
      <c r="A4483" s="24" t="s">
        <v>697</v>
      </c>
      <c r="B4483" s="25" t="s">
        <v>86</v>
      </c>
      <c r="C4483" s="41" t="n">
        <f aca="false">Sens!$C$4414-(Sens!$C$4416+Sens!$C$4417)</f>
        <v>0</v>
      </c>
      <c r="D4483" s="41" t="n">
        <f aca="false">Sens!$D$4414-(Sens!$D$4416+Sens!$D$4417)</f>
        <v>0</v>
      </c>
      <c r="E4483" s="41" t="n">
        <f aca="false">Sens!$E$4414-(Sens!$E$4416+Sens!$E$4417)</f>
        <v>0</v>
      </c>
      <c r="F4483" s="41" t="n">
        <f aca="false">Sens!$F$4414-(Sens!$F$4416+Sens!$F$4417)</f>
        <v>0</v>
      </c>
      <c r="G4483" s="41" t="n">
        <f aca="false">Sens!$G$4414-(Sens!$G$4416+Sens!$G$4417)</f>
        <v>0</v>
      </c>
      <c r="H4483" s="41" t="n">
        <f aca="false">Sens!$H$4414-(Sens!$H$4416+Sens!$H$4417)</f>
        <v>0</v>
      </c>
      <c r="I4483" s="41" t="n">
        <f aca="false">Sens!$I$4414-(Sens!$I$4416+Sens!$I$4417)</f>
        <v>0</v>
      </c>
      <c r="J4483" s="41" t="n">
        <f aca="false">Sens!$J$4414-(Sens!$J$4416+Sens!$J$4417)</f>
        <v>0</v>
      </c>
      <c r="K4483" s="41" t="n">
        <f aca="false">Sens!$K$4414-(Sens!$K$4416+Sens!$K$4417)</f>
        <v>0</v>
      </c>
      <c r="L4483" s="41" t="n">
        <f aca="false">Sens!$L$4414-(Sens!$L$4416+Sens!$L$4417)</f>
        <v>0</v>
      </c>
      <c r="M4483" s="41" t="n">
        <f aca="false">Sens!$M$4414-(Sens!$M$4416+Sens!$M$4417)</f>
        <v>0</v>
      </c>
      <c r="N4483" s="41" t="n">
        <f aca="false">Sens!$N$4414-(Sens!$N$4416+Sens!$N$4417)</f>
        <v>0</v>
      </c>
      <c r="O4483" s="41" t="n">
        <f aca="false">Sens!$O$4414-(Sens!$O$4416+Sens!$O$4417)</f>
        <v>0</v>
      </c>
    </row>
    <row r="4484" customFormat="false" ht="17.15" hidden="false" customHeight="false" outlineLevel="0" collapsed="false">
      <c r="A4484" s="24" t="s">
        <v>698</v>
      </c>
      <c r="B4484" s="25" t="s">
        <v>86</v>
      </c>
      <c r="C4484" s="41" t="n">
        <f aca="false">Sens!$C$4479+Sens!$C$4480-Sens!$C$4481</f>
        <v>0</v>
      </c>
      <c r="D4484" s="41" t="n">
        <f aca="false">Sens!$D$4479+Sens!$D$4480-Sens!$D$4481</f>
        <v>0</v>
      </c>
      <c r="E4484" s="41" t="n">
        <f aca="false">Sens!$E$4479+Sens!$E$4480-Sens!$E$4481</f>
        <v>0</v>
      </c>
      <c r="F4484" s="41" t="n">
        <f aca="false">Sens!$F$4479+Sens!$F$4480-Sens!$F$4481</f>
        <v>0</v>
      </c>
      <c r="G4484" s="41" t="n">
        <f aca="false">Sens!$G$4479+Sens!$G$4480-Sens!$G$4481</f>
        <v>0</v>
      </c>
      <c r="H4484" s="41" t="n">
        <f aca="false">Sens!$H$4479+Sens!$H$4480-Sens!$H$4481</f>
        <v>0</v>
      </c>
      <c r="I4484" s="41" t="n">
        <f aca="false">Sens!$I$4479+Sens!$I$4480-Sens!$I$4481</f>
        <v>0</v>
      </c>
      <c r="J4484" s="41" t="n">
        <f aca="false">Sens!$J$4479+Sens!$J$4480-Sens!$J$4481</f>
        <v>0</v>
      </c>
      <c r="K4484" s="41" t="n">
        <f aca="false">Sens!$K$4479+Sens!$K$4480-Sens!$K$4481</f>
        <v>0</v>
      </c>
      <c r="L4484" s="41" t="n">
        <f aca="false">Sens!$L$4479+Sens!$L$4480-Sens!$L$4481</f>
        <v>0</v>
      </c>
      <c r="M4484" s="41" t="n">
        <f aca="false">Sens!$M$4479+Sens!$M$4480-Sens!$M$4481</f>
        <v>0</v>
      </c>
      <c r="N4484" s="41" t="n">
        <f aca="false">Sens!$N$4479+Sens!$N$4480-Sens!$N$4481</f>
        <v>0</v>
      </c>
      <c r="O4484" s="41" t="n">
        <f aca="false">Sens!$O$4479+Sens!$O$4480-Sens!$O$4481</f>
        <v>0</v>
      </c>
    </row>
    <row r="4485" customFormat="false" ht="17.15" hidden="false" customHeight="false" outlineLevel="0" collapsed="false">
      <c r="A4485" s="24" t="s">
        <v>699</v>
      </c>
      <c r="B4485" s="25" t="s">
        <v>86</v>
      </c>
      <c r="C4485" s="41" t="n">
        <f aca="false">Sens!$C$4416+Sens!$C$4417+Sens!$C$4481-Sens!$C$4482</f>
        <v>0</v>
      </c>
      <c r="D4485" s="41" t="n">
        <f aca="false">Sens!$D$4416+Sens!$D$4417+Sens!$D$4481-Sens!$D$4482</f>
        <v>0</v>
      </c>
      <c r="E4485" s="41" t="n">
        <f aca="false">Sens!$E$4416+Sens!$E$4417+Sens!$E$4481-Sens!$E$4482</f>
        <v>0</v>
      </c>
      <c r="F4485" s="41" t="n">
        <f aca="false">Sens!$F$4416+Sens!$F$4417+Sens!$F$4481-Sens!$F$4482</f>
        <v>0</v>
      </c>
      <c r="G4485" s="41" t="n">
        <f aca="false">Sens!$G$4416+Sens!$G$4417+Sens!$G$4481-Sens!$G$4482</f>
        <v>0</v>
      </c>
      <c r="H4485" s="41" t="n">
        <f aca="false">Sens!$H$4416+Sens!$H$4417+Sens!$H$4481-Sens!$H$4482</f>
        <v>0</v>
      </c>
      <c r="I4485" s="41" t="n">
        <f aca="false">Sens!$I$4416+Sens!$I$4417+Sens!$I$4481-Sens!$I$4482</f>
        <v>0</v>
      </c>
      <c r="J4485" s="41" t="n">
        <f aca="false">Sens!$J$4416+Sens!$J$4417+Sens!$J$4481-Sens!$J$4482</f>
        <v>0</v>
      </c>
      <c r="K4485" s="41" t="n">
        <f aca="false">Sens!$K$4416+Sens!$K$4417+Sens!$K$4481-Sens!$K$4482</f>
        <v>0</v>
      </c>
      <c r="L4485" s="41" t="n">
        <f aca="false">Sens!$L$4416+Sens!$L$4417+Sens!$L$4481-Sens!$L$4482</f>
        <v>0</v>
      </c>
      <c r="M4485" s="41" t="n">
        <f aca="false">Sens!$M$4416+Sens!$M$4417+Sens!$M$4481-Sens!$M$4482</f>
        <v>0</v>
      </c>
      <c r="N4485" s="41" t="n">
        <f aca="false">Sens!$N$4416+Sens!$N$4417+Sens!$N$4481-Sens!$N$4482</f>
        <v>0</v>
      </c>
      <c r="O4485" s="41" t="n">
        <f aca="false">Sens!$O$4416+Sens!$O$4417+Sens!$O$4481-Sens!$O$4482</f>
        <v>0</v>
      </c>
    </row>
    <row r="4486" customFormat="false" ht="15" hidden="false" customHeight="false" outlineLevel="0" collapsed="false">
      <c r="A4486" s="5" t="s">
        <v>693</v>
      </c>
      <c r="B4486" s="0" t="s">
        <v>52</v>
      </c>
      <c r="G4486" s="13" t="n">
        <f aca="false">Sens!$G$4482/Sens!$D$4482-1</f>
        <v>0.140854504918937</v>
      </c>
      <c r="H4486" s="13" t="n">
        <f aca="false">Sens!$H$4482/Sens!$G$4482-1</f>
        <v>0.152063789793209</v>
      </c>
      <c r="I4486" s="13" t="n">
        <f aca="false">Sens!$I$4482/Sens!$H$4482-1</f>
        <v>0.134273264437417</v>
      </c>
      <c r="J4486" s="13" t="n">
        <f aca="false">Sens!$J$4482/Sens!$I$4482-1</f>
        <v>0.113310421234083</v>
      </c>
      <c r="K4486" s="13" t="n">
        <f aca="false">Sens!$K$4482/Sens!$J$4482-1</f>
        <v>0.0892108343223652</v>
      </c>
      <c r="L4486" s="13" t="n">
        <f aca="false">Sens!$L$4482/Sens!$K$4482-1</f>
        <v>0.076471362444261</v>
      </c>
      <c r="M4486" s="13" t="n">
        <f aca="false">Sens!$M$4482/Sens!$L$4482-1</f>
        <v>0.066250060256672</v>
      </c>
    </row>
    <row r="4487" customFormat="false" ht="17.15" hidden="false" customHeight="false" outlineLevel="0" collapsed="false">
      <c r="A4487" s="0" t="s">
        <v>694</v>
      </c>
      <c r="B4487" s="0" t="s">
        <v>52</v>
      </c>
      <c r="C4487" s="13" t="n">
        <f aca="false">Sens!$C$4481/Sens!$C$4482</f>
        <v>0.168593906504964</v>
      </c>
      <c r="D4487" s="13" t="n">
        <f aca="false">Sens!$D$4481/Sens!$D$4482</f>
        <v>0.179551807444025</v>
      </c>
      <c r="E4487" s="13" t="n">
        <f aca="false">Sens!$E$4481/Sens!$E$4482</f>
        <v>0.208881910369643</v>
      </c>
      <c r="F4487" s="13" t="n">
        <f aca="false">Sens!$F$4481/Sens!$F$4482</f>
        <v>0.199028269699356</v>
      </c>
      <c r="G4487" s="13" t="n">
        <f aca="false">Sens!$G$4481/Sens!$G$4482</f>
        <v>0.203631882529968</v>
      </c>
      <c r="H4487" s="13" t="n">
        <f aca="false">Sens!$H$4481/Sens!$H$4482</f>
        <v>0.234731715958496</v>
      </c>
      <c r="I4487" s="13" t="n">
        <f aca="false">Sens!$I$4481/Sens!$I$4482</f>
        <v>0.262231204480418</v>
      </c>
      <c r="J4487" s="13" t="n">
        <f aca="false">Sens!$J$4481/Sens!$J$4482</f>
        <v>0.284728366013706</v>
      </c>
      <c r="K4487" s="13" t="n">
        <f aca="false">Sens!$K$4481/Sens!$K$4482</f>
        <v>0.300823304959505</v>
      </c>
      <c r="L4487" s="13" t="n">
        <f aca="false">Sens!$L$4481/Sens!$L$4482</f>
        <v>0.308263164529735</v>
      </c>
      <c r="M4487" s="13" t="n">
        <f aca="false">Sens!$M$4481/Sens!$M$4482</f>
        <v>0.308856517936036</v>
      </c>
      <c r="N4487" s="13" t="n">
        <f aca="false">Sens!$N$4481/Sens!$N$4482</f>
        <v>0.185979484737251</v>
      </c>
      <c r="O4487" s="13" t="n">
        <f aca="false">Sens!$O$4481/Sens!$O$4482</f>
        <v>0.174270432341096</v>
      </c>
    </row>
    <row r="4488" customFormat="false" ht="17.15" hidden="false" customHeight="false" outlineLevel="0" collapsed="false">
      <c r="A4488" s="0" t="s">
        <v>695</v>
      </c>
      <c r="B4488" s="0" t="s">
        <v>52</v>
      </c>
      <c r="C4488" s="13" t="n">
        <f aca="false">Sens!$C$4479/Sens!$C$4481</f>
        <v>0.0215795060896058</v>
      </c>
      <c r="D4488" s="13" t="n">
        <f aca="false">Sens!$D$4479/Sens!$D$4481</f>
        <v>0.0676152269462122</v>
      </c>
      <c r="E4488" s="13" t="n">
        <f aca="false">Sens!$E$4479/Sens!$E$4481</f>
        <v>0.106620641395783</v>
      </c>
      <c r="F4488" s="13" t="n">
        <f aca="false">Sens!$F$4479/Sens!$F$4481</f>
        <v>0.172523487401099</v>
      </c>
      <c r="G4488" s="13" t="n">
        <f aca="false">Sens!$G$4479/Sens!$G$4481</f>
        <v>0.140939911795589</v>
      </c>
      <c r="H4488" s="13" t="n">
        <f aca="false">Sens!$H$4479/Sens!$H$4481</f>
        <v>0.272018642937714</v>
      </c>
      <c r="I4488" s="13" t="n">
        <f aca="false">Sens!$I$4479/Sens!$I$4481</f>
        <v>0.362159512436497</v>
      </c>
      <c r="J4488" s="13" t="n">
        <f aca="false">Sens!$J$4479/Sens!$J$4481</f>
        <v>0.422151735934609</v>
      </c>
      <c r="K4488" s="13" t="n">
        <f aca="false">Sens!$K$4479/Sens!$K$4481</f>
        <v>0.45769342068485</v>
      </c>
      <c r="L4488" s="13" t="n">
        <f aca="false">Sens!$L$4479/Sens!$L$4481</f>
        <v>0.469047103913472</v>
      </c>
      <c r="M4488" s="13" t="n">
        <f aca="false">Sens!$M$4479/Sens!$M$4481</f>
        <v>0.463233328258093</v>
      </c>
      <c r="N4488" s="13" t="n">
        <f aca="false">Sens!$N$4479/Sens!$N$4481</f>
        <v>0.0506537999838362</v>
      </c>
      <c r="O4488" s="13" t="n">
        <f aca="false">Sens!$O$4479/Sens!$O$4481</f>
        <v>0.0824881615167056</v>
      </c>
    </row>
    <row r="4491" customFormat="false" ht="19.4" hidden="false" customHeight="false" outlineLevel="0" collapsed="false">
      <c r="A4491" s="31" t="s">
        <v>1219</v>
      </c>
    </row>
    <row r="4492" customFormat="false" ht="17.15" hidden="false" customHeight="false" outlineLevel="0" collapsed="false">
      <c r="A4492" s="6" t="s">
        <v>16</v>
      </c>
      <c r="B4492" s="6" t="s">
        <v>17</v>
      </c>
      <c r="C4492" s="20" t="s">
        <v>494</v>
      </c>
      <c r="D4492" s="20" t="s">
        <v>495</v>
      </c>
      <c r="E4492" s="20" t="s">
        <v>577</v>
      </c>
      <c r="F4492" s="20" t="s">
        <v>578</v>
      </c>
      <c r="G4492" s="20" t="s">
        <v>579</v>
      </c>
      <c r="H4492" s="20" t="s">
        <v>580</v>
      </c>
      <c r="I4492" s="20" t="s">
        <v>581</v>
      </c>
      <c r="J4492" s="20" t="s">
        <v>582</v>
      </c>
      <c r="K4492" s="20" t="s">
        <v>583</v>
      </c>
      <c r="L4492" s="20" t="s">
        <v>584</v>
      </c>
      <c r="M4492" s="20" t="s">
        <v>585</v>
      </c>
      <c r="N4492" s="20" t="s">
        <v>586</v>
      </c>
      <c r="O4492" s="20" t="s">
        <v>587</v>
      </c>
      <c r="P4492" s="6" t="s">
        <v>23</v>
      </c>
      <c r="R4492" s="20" t="n">
        <v>2023</v>
      </c>
      <c r="S4492" s="20" t="n">
        <v>2024</v>
      </c>
      <c r="T4492" s="20" t="n">
        <v>2025</v>
      </c>
      <c r="U4492" s="20" t="n">
        <v>2026</v>
      </c>
      <c r="V4492" s="20" t="n">
        <v>2027</v>
      </c>
      <c r="W4492" s="20" t="n">
        <v>2028</v>
      </c>
      <c r="X4492" s="20" t="n">
        <v>2029</v>
      </c>
      <c r="Y4492" s="20" t="n">
        <v>2030</v>
      </c>
      <c r="Z4492" s="20" t="n">
        <v>2031</v>
      </c>
      <c r="AA4492" s="20" t="n">
        <v>2032</v>
      </c>
    </row>
    <row r="4493" customFormat="false" ht="17.15" hidden="false" customHeight="false" outlineLevel="0" collapsed="false">
      <c r="A4493" s="1" t="s">
        <v>710</v>
      </c>
    </row>
    <row r="4494" customFormat="false" ht="15" hidden="false" customHeight="false" outlineLevel="0" collapsed="false">
      <c r="A4494" s="0" t="s">
        <v>516</v>
      </c>
      <c r="B4494" s="0" t="s">
        <v>86</v>
      </c>
      <c r="C4494" s="38" t="n">
        <f aca="false">Sens!$C$4401</f>
        <v>247.029</v>
      </c>
      <c r="D4494" s="38" t="n">
        <f aca="false">Sens!$D$4401</f>
        <v>269.287</v>
      </c>
      <c r="E4494" s="38" t="n">
        <f aca="false">Sens!$E$4401</f>
        <v>134.686</v>
      </c>
      <c r="F4494" s="38" t="n">
        <f aca="false">Sens!$F$4401</f>
        <v>158.293876822267</v>
      </c>
      <c r="G4494" s="38" t="n">
        <f aca="false">Sens!$G$4401</f>
        <v>292.979876822267</v>
      </c>
      <c r="H4494" s="38" t="n">
        <f aca="false">Sens!$H$4401</f>
        <v>318.184543087396</v>
      </c>
      <c r="I4494" s="38" t="n">
        <f aca="false">Sens!$I$4401</f>
        <v>341.736278761793</v>
      </c>
      <c r="J4494" s="38" t="n">
        <f aca="false">Sens!$J$4401</f>
        <v>362.927192787048</v>
      </c>
      <c r="K4494" s="38" t="n">
        <f aca="false">Sens!$K$4401</f>
        <v>381.0735524264</v>
      </c>
      <c r="L4494" s="38" t="n">
        <f aca="false">Sens!$L$4401</f>
        <v>400.12723004772</v>
      </c>
      <c r="M4494" s="38" t="n">
        <f aca="false">Sens!$M$4401</f>
        <v>420.133591550106</v>
      </c>
      <c r="N4494" s="38" t="n">
        <f aca="false">Sens!$N$4401</f>
        <v>118.892</v>
      </c>
      <c r="O4494" s="38" t="n">
        <f aca="false">Sens!$O$4401</f>
        <v>150.395</v>
      </c>
    </row>
    <row r="4495" customFormat="false" ht="15" hidden="false" customHeight="false" outlineLevel="0" collapsed="false">
      <c r="A4495" s="0" t="s">
        <v>517</v>
      </c>
      <c r="B4495" s="0" t="s">
        <v>86</v>
      </c>
      <c r="C4495" s="38" t="n">
        <f aca="false">Sens!$C$4403</f>
        <v>21.215</v>
      </c>
      <c r="D4495" s="38" t="n">
        <f aca="false">Sens!$D$4403</f>
        <v>22.561</v>
      </c>
      <c r="E4495" s="38" t="n">
        <f aca="false">Sens!$E$4403</f>
        <v>11.579</v>
      </c>
      <c r="F4495" s="38" t="n">
        <f aca="false">Sens!$F$4403</f>
        <v>11.5938724610325</v>
      </c>
      <c r="G4495" s="38" t="n">
        <f aca="false">Sens!$G$4403</f>
        <v>23.1728724610325</v>
      </c>
      <c r="H4495" s="38" t="n">
        <f aca="false">Sens!$H$4403</f>
        <v>24.353392759506</v>
      </c>
      <c r="I4495" s="38" t="n">
        <f aca="false">Sens!$I$4403</f>
        <v>25.4240338872015</v>
      </c>
      <c r="J4495" s="38" t="n">
        <f aca="false">Sens!$J$4403</f>
        <v>26.3642491017174</v>
      </c>
      <c r="K4495" s="38" t="n">
        <f aca="false">Sens!$K$4403</f>
        <v>27.155176574769</v>
      </c>
      <c r="L4495" s="38" t="n">
        <f aca="false">Sens!$L$4403</f>
        <v>27.969831872012</v>
      </c>
      <c r="M4495" s="38" t="n">
        <f aca="false">Sens!$M$4403</f>
        <v>28.8089268281724</v>
      </c>
      <c r="N4495" s="38" t="n">
        <f aca="false">Sens!$N$4403</f>
        <v>11.128</v>
      </c>
      <c r="O4495" s="38" t="n">
        <f aca="false">Sens!$O$4403</f>
        <v>11.433</v>
      </c>
    </row>
    <row r="4496" customFormat="false" ht="15" hidden="false" customHeight="false" outlineLevel="0" collapsed="false">
      <c r="A4496" s="0" t="s">
        <v>518</v>
      </c>
      <c r="B4496" s="0" t="s">
        <v>86</v>
      </c>
      <c r="C4496" s="38" t="n">
        <f aca="false">Sens!$C$4405</f>
        <v>156.146</v>
      </c>
      <c r="D4496" s="38" t="n">
        <f aca="false">Sens!$D$4405</f>
        <v>172.162</v>
      </c>
      <c r="E4496" s="38" t="n">
        <f aca="false">Sens!$E$4405</f>
        <v>88.358</v>
      </c>
      <c r="F4496" s="38" t="n">
        <f aca="false">Sens!$F$4405</f>
        <v>102.004388260171</v>
      </c>
      <c r="G4496" s="38" t="n">
        <f aca="false">Sens!$G$4405</f>
        <v>190.362388260171</v>
      </c>
      <c r="H4496" s="38" t="n">
        <f aca="false">Sens!$H$4405</f>
        <v>210.343106588311</v>
      </c>
      <c r="I4496" s="38" t="n">
        <f aca="false">Sens!$I$4405</f>
        <v>229.969728494648</v>
      </c>
      <c r="J4496" s="38" t="n">
        <f aca="false">Sens!$J$4405</f>
        <v>248.747636972598</v>
      </c>
      <c r="K4496" s="38" t="n">
        <f aca="false">Sens!$K$4405</f>
        <v>266.15997156068</v>
      </c>
      <c r="L4496" s="38" t="n">
        <f aca="false">Sens!$L$4405</f>
        <v>284.791169569927</v>
      </c>
      <c r="M4496" s="38" t="n">
        <f aca="false">Sens!$M$4405</f>
        <v>304.726551439822</v>
      </c>
      <c r="N4496" s="38" t="n">
        <f aca="false">Sens!$N$4405</f>
        <v>76.86</v>
      </c>
      <c r="O4496" s="38" t="n">
        <f aca="false">Sens!$O$4405</f>
        <v>95.302</v>
      </c>
    </row>
    <row r="4497" customFormat="false" ht="15" hidden="false" customHeight="false" outlineLevel="0" collapsed="false">
      <c r="A4497" s="0" t="s">
        <v>519</v>
      </c>
      <c r="B4497" s="0" t="s">
        <v>86</v>
      </c>
      <c r="C4497" s="38" t="n">
        <f aca="false">Sens!$C$4407</f>
        <v>56.214</v>
      </c>
      <c r="D4497" s="38" t="n">
        <f aca="false">Sens!$D$4407</f>
        <v>68.635</v>
      </c>
      <c r="E4497" s="38" t="n">
        <f aca="false">Sens!$E$4407</f>
        <v>37.052</v>
      </c>
      <c r="F4497" s="38" t="n">
        <f aca="false">Sens!$F$4407</f>
        <v>46.1572219944148</v>
      </c>
      <c r="G4497" s="38" t="n">
        <f aca="false">Sens!$G$4407</f>
        <v>83.2092219944148</v>
      </c>
      <c r="H4497" s="38" t="n">
        <f aca="false">Sens!$H$4407</f>
        <v>99.8969223878976</v>
      </c>
      <c r="I4497" s="38" t="n">
        <f aca="false">Sens!$I$4407</f>
        <v>116.583111095496</v>
      </c>
      <c r="J4497" s="38" t="n">
        <f aca="false">Sens!$J$4407</f>
        <v>132.148941941952</v>
      </c>
      <c r="K4497" s="38" t="n">
        <f aca="false">Sens!$K$4407</f>
        <v>145.363836136147</v>
      </c>
      <c r="L4497" s="38" t="n">
        <f aca="false">Sens!$L$4407</f>
        <v>159.900219749762</v>
      </c>
      <c r="M4497" s="38" t="n">
        <f aca="false">Sens!$M$4407</f>
        <v>175.890241724738</v>
      </c>
      <c r="N4497" s="38" t="n">
        <f aca="false">Sens!$N$4407</f>
        <v>29.615</v>
      </c>
      <c r="O4497" s="38" t="n">
        <f aca="false">Sens!$O$4407</f>
        <v>39.02</v>
      </c>
    </row>
    <row r="4498" customFormat="false" ht="15" hidden="false" customHeight="false" outlineLevel="0" collapsed="false">
      <c r="A4498" s="0" t="s">
        <v>520</v>
      </c>
      <c r="B4498" s="0" t="s">
        <v>86</v>
      </c>
      <c r="C4498" s="38" t="n">
        <f aca="false">Sens!$C$4409</f>
        <v>44.374</v>
      </c>
      <c r="D4498" s="38" t="n">
        <f aca="false">Sens!$D$4409</f>
        <v>49.619</v>
      </c>
      <c r="E4498" s="38" t="n">
        <f aca="false">Sens!$E$4409</f>
        <v>27.157</v>
      </c>
      <c r="F4498" s="38" t="n">
        <f aca="false">Sens!$F$4409</f>
        <v>27.7764165988154</v>
      </c>
      <c r="G4498" s="38" t="n">
        <f aca="false">Sens!$G$4409</f>
        <v>54.9334165988154</v>
      </c>
      <c r="H4498" s="38" t="n">
        <f aca="false">Sens!$H$4409</f>
        <v>61.1564112561829</v>
      </c>
      <c r="I4498" s="38" t="n">
        <f aca="false">Sens!$I$4409</f>
        <v>67.2020282103945</v>
      </c>
      <c r="J4498" s="38" t="n">
        <f aca="false">Sens!$J$4409</f>
        <v>72.8757274028885</v>
      </c>
      <c r="K4498" s="38" t="n">
        <f aca="false">Sens!$K$4409</f>
        <v>77.9770283210907</v>
      </c>
      <c r="L4498" s="38" t="n">
        <f aca="false">Sens!$L$4409</f>
        <v>83.4354203035671</v>
      </c>
      <c r="M4498" s="38" t="n">
        <f aca="false">Sens!$M$4409</f>
        <v>89.2758997248168</v>
      </c>
      <c r="N4498" s="38" t="n">
        <f aca="false">Sens!$N$4409</f>
        <v>23.923</v>
      </c>
      <c r="O4498" s="38" t="n">
        <f aca="false">Sens!$O$4409</f>
        <v>25.696</v>
      </c>
    </row>
    <row r="4499" customFormat="false" ht="15" hidden="false" customHeight="false" outlineLevel="0" collapsed="false">
      <c r="A4499" s="0" t="s">
        <v>521</v>
      </c>
      <c r="B4499" s="0" t="s">
        <v>86</v>
      </c>
      <c r="C4499" s="38" t="n">
        <f aca="false">Sens!$C$4411</f>
        <v>5.425</v>
      </c>
      <c r="D4499" s="38" t="n">
        <f aca="false">Sens!$D$4411</f>
        <v>5.935</v>
      </c>
      <c r="E4499" s="38" t="n">
        <f aca="false">Sens!$E$4411</f>
        <v>3.474</v>
      </c>
      <c r="F4499" s="38" t="n">
        <f aca="false">Sens!$F$4411</f>
        <v>3.22246550883619</v>
      </c>
      <c r="G4499" s="38" t="n">
        <f aca="false">Sens!$G$4411</f>
        <v>6.69646550883619</v>
      </c>
      <c r="H4499" s="38" t="n">
        <f aca="false">Sens!$H$4411</f>
        <v>7.16251344209196</v>
      </c>
      <c r="I4499" s="38" t="n">
        <f aca="false">Sens!$I$4411</f>
        <v>7.61421070299826</v>
      </c>
      <c r="J4499" s="38" t="n">
        <f aca="false">Sens!$J$4411</f>
        <v>8.04465753523932</v>
      </c>
      <c r="K4499" s="38" t="n">
        <f aca="false">Sens!$K$4411</f>
        <v>8.44689041200128</v>
      </c>
      <c r="L4499" s="38" t="n">
        <f aca="false">Sens!$L$4411</f>
        <v>8.86923493260135</v>
      </c>
      <c r="M4499" s="38" t="n">
        <f aca="false">Sens!$M$4411</f>
        <v>9.31269667923142</v>
      </c>
      <c r="N4499" s="38" t="n">
        <f aca="false">Sens!$N$4411</f>
        <v>2.811</v>
      </c>
      <c r="O4499" s="38" t="n">
        <f aca="false">Sens!$O$4411</f>
        <v>3.124</v>
      </c>
    </row>
    <row r="4500" customFormat="false" ht="17.15" hidden="false" customHeight="false" outlineLevel="0" collapsed="false">
      <c r="A4500" s="0" t="s">
        <v>711</v>
      </c>
      <c r="B4500" s="0" t="s">
        <v>86</v>
      </c>
      <c r="C4500" s="38" t="n">
        <f aca="false">Sens!$C$4481</f>
        <v>107.556</v>
      </c>
      <c r="D4500" s="38" t="n">
        <f aca="false">Sens!$D$4481</f>
        <v>128.725</v>
      </c>
      <c r="E4500" s="38" t="n">
        <f aca="false">Sens!$E$4481</f>
        <v>79.819</v>
      </c>
      <c r="F4500" s="38" t="n">
        <f aca="false">Sens!$F$4481</f>
        <v>86.7327334389669</v>
      </c>
      <c r="G4500" s="38" t="n">
        <f aca="false">Sens!$G$4481</f>
        <v>166.551733438967</v>
      </c>
      <c r="H4500" s="38" t="n">
        <f aca="false">Sens!$H$4481</f>
        <v>221.182967828978</v>
      </c>
      <c r="I4500" s="38" t="n">
        <f aca="false">Sens!$I$4481</f>
        <v>280.27345865789</v>
      </c>
      <c r="J4500" s="38" t="n">
        <f aca="false">Sens!$J$4481</f>
        <v>338.800945197185</v>
      </c>
      <c r="K4500" s="38" t="n">
        <f aca="false">Sens!$K$4481</f>
        <v>389.88570147276</v>
      </c>
      <c r="L4500" s="38" t="n">
        <f aca="false">Sens!$L$4481</f>
        <v>430.080689379143</v>
      </c>
      <c r="M4500" s="38" t="n">
        <f aca="false">Sens!$M$4481</f>
        <v>459.456235951751</v>
      </c>
      <c r="N4500" s="38" t="n">
        <f aca="false">Sens!$N$4481</f>
        <v>60.14</v>
      </c>
      <c r="O4500" s="38" t="n">
        <f aca="false">Sens!$O$4481</f>
        <v>68.585</v>
      </c>
    </row>
    <row r="4501" customFormat="false" ht="15" hidden="false" customHeight="false" outlineLevel="0" collapsed="false">
      <c r="A4501" s="1" t="s">
        <v>509</v>
      </c>
      <c r="B4501" s="8" t="s">
        <v>86</v>
      </c>
      <c r="C4501" s="38" t="n">
        <f aca="false">Sens!$C$4416</f>
        <v>387.497</v>
      </c>
      <c r="D4501" s="38" t="n">
        <f aca="false">Sens!$D$4416</f>
        <v>426.305</v>
      </c>
      <c r="E4501" s="38" t="n">
        <f aca="false">Sens!$E$4416</f>
        <v>220.32</v>
      </c>
      <c r="F4501" s="38" t="n">
        <f aca="false">Sens!$F$4416</f>
        <v>250.639773480586</v>
      </c>
      <c r="G4501" s="38" t="n">
        <f aca="false">Sens!$G$4416</f>
        <v>470.959773480586</v>
      </c>
      <c r="H4501" s="38" t="n">
        <f aca="false">Sens!$H$4416</f>
        <v>521.386990416437</v>
      </c>
      <c r="I4501" s="38" t="n">
        <f aca="false">Sens!$I$4416</f>
        <v>570.143862887555</v>
      </c>
      <c r="J4501" s="38" t="n">
        <f aca="false">Sens!$J$4416</f>
        <v>615.391435791933</v>
      </c>
      <c r="K4501" s="38" t="n">
        <f aca="false">Sens!$K$4416</f>
        <v>655.208227561543</v>
      </c>
      <c r="L4501" s="38" t="n">
        <f aca="false">Sens!$L$4416</f>
        <v>697.807739249767</v>
      </c>
      <c r="M4501" s="38" t="n">
        <f aca="false">Sens!$M$4416</f>
        <v>743.399328463592</v>
      </c>
      <c r="N4501" s="38" t="n">
        <f aca="false">Sens!$N$4416</f>
        <v>192.955</v>
      </c>
      <c r="O4501" s="38" t="n">
        <f aca="false">Sens!$O$4416</f>
        <v>233.35</v>
      </c>
    </row>
    <row r="4502" customFormat="false" ht="15" hidden="false" customHeight="false" outlineLevel="0" collapsed="false">
      <c r="A4502" s="1" t="s">
        <v>512</v>
      </c>
      <c r="B4502" s="8" t="s">
        <v>86</v>
      </c>
      <c r="C4502" s="38" t="n">
        <f aca="false">Sens!$C$4417</f>
        <v>142.906</v>
      </c>
      <c r="D4502" s="38" t="n">
        <f aca="false">Sens!$D$4417</f>
        <v>161.894</v>
      </c>
      <c r="E4502" s="38" t="n">
        <f aca="false">Sens!$E$4417</f>
        <v>81.986</v>
      </c>
      <c r="F4502" s="38" t="n">
        <f aca="false">Sens!$F$4417</f>
        <v>98.408468164951</v>
      </c>
      <c r="G4502" s="38" t="n">
        <f aca="false">Sens!$G$4417</f>
        <v>180.394468164951</v>
      </c>
      <c r="H4502" s="38" t="n">
        <f aca="false">Sens!$H$4417</f>
        <v>199.709899104949</v>
      </c>
      <c r="I4502" s="38" t="n">
        <f aca="false">Sens!$I$4417</f>
        <v>218.385528264976</v>
      </c>
      <c r="J4502" s="38" t="n">
        <f aca="false">Sens!$J$4417</f>
        <v>235.71696994951</v>
      </c>
      <c r="K4502" s="38" t="n">
        <f aca="false">Sens!$K$4417</f>
        <v>250.968227869545</v>
      </c>
      <c r="L4502" s="38" t="n">
        <f aca="false">Sens!$L$4417</f>
        <v>267.285367225822</v>
      </c>
      <c r="M4502" s="38" t="n">
        <f aca="false">Sens!$M$4417</f>
        <v>284.748579483295</v>
      </c>
      <c r="N4502" s="38" t="n">
        <f aca="false">Sens!$N$4417</f>
        <v>70.274</v>
      </c>
      <c r="O4502" s="38" t="n">
        <f aca="false">Sens!$O$4417</f>
        <v>91.62</v>
      </c>
    </row>
    <row r="4503" customFormat="false" ht="15" hidden="false" customHeight="false" outlineLevel="0" collapsed="false">
      <c r="A4503" s="1" t="s">
        <v>513</v>
      </c>
      <c r="B4503" s="8" t="s">
        <v>86</v>
      </c>
      <c r="C4503" s="38" t="n">
        <f aca="false">Sens!$C$4481</f>
        <v>107.556</v>
      </c>
      <c r="D4503" s="38" t="n">
        <f aca="false">Sens!$D$4481</f>
        <v>128.725</v>
      </c>
      <c r="E4503" s="38" t="n">
        <f aca="false">Sens!$E$4481</f>
        <v>79.819</v>
      </c>
      <c r="F4503" s="38" t="n">
        <f aca="false">Sens!$F$4481</f>
        <v>86.7327334389669</v>
      </c>
      <c r="G4503" s="38" t="n">
        <f aca="false">Sens!$G$4481</f>
        <v>166.551733438967</v>
      </c>
      <c r="H4503" s="38" t="n">
        <f aca="false">Sens!$H$4481</f>
        <v>221.182967828978</v>
      </c>
      <c r="I4503" s="38" t="n">
        <f aca="false">Sens!$I$4481</f>
        <v>280.27345865789</v>
      </c>
      <c r="J4503" s="38" t="n">
        <f aca="false">Sens!$J$4481</f>
        <v>338.800945197185</v>
      </c>
      <c r="K4503" s="38" t="n">
        <f aca="false">Sens!$K$4481</f>
        <v>389.88570147276</v>
      </c>
      <c r="L4503" s="38" t="n">
        <f aca="false">Sens!$L$4481</f>
        <v>430.080689379143</v>
      </c>
      <c r="M4503" s="38" t="n">
        <f aca="false">Sens!$M$4481</f>
        <v>459.456235951751</v>
      </c>
      <c r="N4503" s="38" t="n">
        <f aca="false">Sens!$N$4481</f>
        <v>60.14</v>
      </c>
      <c r="O4503" s="38" t="n">
        <f aca="false">Sens!$O$4481</f>
        <v>68.585</v>
      </c>
    </row>
    <row r="4504" customFormat="false" ht="17.15" hidden="false" customHeight="false" outlineLevel="0" collapsed="false">
      <c r="A4504" s="0" t="s">
        <v>685</v>
      </c>
      <c r="B4504" s="0" t="s">
        <v>86</v>
      </c>
      <c r="C4504" s="38" t="n">
        <f aca="false">Sens!$C$4479</f>
        <v>2.32100535697364</v>
      </c>
      <c r="D4504" s="38" t="n">
        <f aca="false">Sens!$D$4479</f>
        <v>8.70377008865116</v>
      </c>
      <c r="E4504" s="38" t="n">
        <f aca="false">Sens!$E$4479</f>
        <v>8.51035297557002</v>
      </c>
      <c r="F4504" s="38" t="n">
        <f aca="false">Sens!$F$4479</f>
        <v>14.9634336447205</v>
      </c>
      <c r="G4504" s="38" t="n">
        <f aca="false">Sens!$G$4479</f>
        <v>23.4737866202905</v>
      </c>
      <c r="H4504" s="38" t="n">
        <f aca="false">Sens!$H$4479</f>
        <v>60.1658907497746</v>
      </c>
      <c r="I4504" s="38" t="n">
        <f aca="false">Sens!$I$4479</f>
        <v>101.503699136432</v>
      </c>
      <c r="J4504" s="38" t="n">
        <f aca="false">Sens!$J$4479</f>
        <v>143.025407151278</v>
      </c>
      <c r="K4504" s="38" t="n">
        <f aca="false">Sens!$K$4479</f>
        <v>178.44812038318</v>
      </c>
      <c r="L4504" s="38" t="n">
        <f aca="false">Sens!$L$4479</f>
        <v>201.728101802396</v>
      </c>
      <c r="M4504" s="38" t="n">
        <f aca="false">Sens!$M$4479</f>
        <v>212.835441368865</v>
      </c>
      <c r="N4504" s="38" t="n">
        <f aca="false">Sens!$N$4479</f>
        <v>3.04631953102791</v>
      </c>
      <c r="O4504" s="38" t="n">
        <f aca="false">Sens!$O$4479</f>
        <v>5.65745055762326</v>
      </c>
    </row>
    <row r="4505" customFormat="false" ht="17.15" hidden="false" customHeight="false" outlineLevel="0" collapsed="false">
      <c r="A4505" s="0" t="s">
        <v>687</v>
      </c>
      <c r="B4505" s="0" t="s">
        <v>86</v>
      </c>
      <c r="C4505" s="38" t="n">
        <f aca="false">Sens!$C$4480</f>
        <v>105.234994643026</v>
      </c>
      <c r="D4505" s="38" t="n">
        <f aca="false">Sens!$D$4480</f>
        <v>120.021229911349</v>
      </c>
      <c r="E4505" s="38" t="n">
        <f aca="false">Sens!$E$4480</f>
        <v>71.30864702443</v>
      </c>
      <c r="F4505" s="38" t="n">
        <f aca="false">Sens!$F$4480</f>
        <v>71.7692997942464</v>
      </c>
      <c r="G4505" s="38" t="n">
        <f aca="false">Sens!$G$4480</f>
        <v>143.077946818676</v>
      </c>
      <c r="H4505" s="38" t="n">
        <f aca="false">Sens!$H$4480</f>
        <v>161.017077079203</v>
      </c>
      <c r="I4505" s="38" t="n">
        <f aca="false">Sens!$I$4480</f>
        <v>178.769759521457</v>
      </c>
      <c r="J4505" s="38" t="n">
        <f aca="false">Sens!$J$4480</f>
        <v>195.775538045907</v>
      </c>
      <c r="K4505" s="38" t="n">
        <f aca="false">Sens!$K$4480</f>
        <v>211.43758108958</v>
      </c>
      <c r="L4505" s="38" t="n">
        <f aca="false">Sens!$L$4480</f>
        <v>228.352587576746</v>
      </c>
      <c r="M4505" s="38" t="n">
        <f aca="false">Sens!$M$4480</f>
        <v>246.620794582886</v>
      </c>
      <c r="N4505" s="38" t="n">
        <f aca="false">Sens!$N$4480</f>
        <v>57.0936804689721</v>
      </c>
      <c r="O4505" s="38" t="n">
        <f aca="false">Sens!$O$4480</f>
        <v>62.9275494423768</v>
      </c>
    </row>
    <row r="4506" customFormat="false" ht="15" hidden="false" customHeight="false" outlineLevel="0" collapsed="false">
      <c r="A4506" s="3" t="s">
        <v>514</v>
      </c>
      <c r="B4506" s="8" t="s">
        <v>86</v>
      </c>
      <c r="C4506" s="38" t="n">
        <f aca="false">Sens!$C$4482</f>
        <v>637.959</v>
      </c>
      <c r="D4506" s="38" t="n">
        <f aca="false">Sens!$D$4482</f>
        <v>716.924</v>
      </c>
      <c r="E4506" s="38" t="n">
        <f aca="false">Sens!$E$4482</f>
        <v>382.125</v>
      </c>
      <c r="F4506" s="38" t="n">
        <f aca="false">Sens!$F$4482</f>
        <v>435.780975084504</v>
      </c>
      <c r="G4506" s="38" t="n">
        <f aca="false">Sens!$G$4482</f>
        <v>817.905975084504</v>
      </c>
      <c r="H4506" s="38" t="n">
        <f aca="false">Sens!$H$4482</f>
        <v>942.279857350364</v>
      </c>
      <c r="I4506" s="38" t="n">
        <f aca="false">Sens!$I$4482</f>
        <v>1068.80284981042</v>
      </c>
      <c r="J4506" s="38" t="n">
        <f aca="false">Sens!$J$4482</f>
        <v>1189.90935093863</v>
      </c>
      <c r="K4506" s="38" t="n">
        <f aca="false">Sens!$K$4482</f>
        <v>1296.06215690385</v>
      </c>
      <c r="L4506" s="38" t="n">
        <f aca="false">Sens!$L$4482</f>
        <v>1395.17379585473</v>
      </c>
      <c r="M4506" s="38" t="n">
        <f aca="false">Sens!$M$4482</f>
        <v>1487.60414389864</v>
      </c>
      <c r="N4506" s="38" t="n">
        <f aca="false">Sens!$N$4482</f>
        <v>323.369</v>
      </c>
      <c r="O4506" s="38" t="n">
        <f aca="false">Sens!$O$4482</f>
        <v>393.555</v>
      </c>
    </row>
    <row r="4507" customFormat="false" ht="17.15" hidden="false" customHeight="false" outlineLevel="0" collapsed="false">
      <c r="A4507" s="24" t="s">
        <v>697</v>
      </c>
      <c r="B4507" s="25" t="s">
        <v>86</v>
      </c>
      <c r="C4507" s="41" t="n">
        <f aca="false">Sens!$C$4494+Sens!$C$4495+Sens!$C$4496+Sens!$C$4497+Sens!$C$4498+Sens!$C$4499-(Sens!$C$4501+Sens!$C$4502)</f>
        <v>0</v>
      </c>
      <c r="D4507" s="41" t="n">
        <f aca="false">Sens!$D$4494+Sens!$D$4495+Sens!$D$4496+Sens!$D$4497+Sens!$D$4498+Sens!$D$4499-(Sens!$D$4501+Sens!$D$4502)</f>
        <v>0</v>
      </c>
      <c r="E4507" s="41" t="n">
        <f aca="false">Sens!$E$4494+Sens!$E$4495+Sens!$E$4496+Sens!$E$4497+Sens!$E$4498+Sens!$E$4499-(Sens!$E$4501+Sens!$E$4502)</f>
        <v>0</v>
      </c>
      <c r="F4507" s="41" t="n">
        <f aca="false">Sens!$F$4494+Sens!$F$4495+Sens!$F$4496+Sens!$F$4497+Sens!$F$4498+Sens!$F$4499-(Sens!$F$4501+Sens!$F$4502)</f>
        <v>0</v>
      </c>
      <c r="G4507" s="41" t="n">
        <f aca="false">Sens!$G$4494+Sens!$G$4495+Sens!$G$4496+Sens!$G$4497+Sens!$G$4498+Sens!$G$4499-(Sens!$G$4501+Sens!$G$4502)</f>
        <v>0</v>
      </c>
      <c r="H4507" s="41" t="n">
        <f aca="false">Sens!$H$4494+Sens!$H$4495+Sens!$H$4496+Sens!$H$4497+Sens!$H$4498+Sens!$H$4499-(Sens!$H$4501+Sens!$H$4502)</f>
        <v>0</v>
      </c>
      <c r="I4507" s="41" t="n">
        <f aca="false">Sens!$I$4494+Sens!$I$4495+Sens!$I$4496+Sens!$I$4497+Sens!$I$4498+Sens!$I$4499-(Sens!$I$4501+Sens!$I$4502)</f>
        <v>0</v>
      </c>
      <c r="J4507" s="41" t="n">
        <f aca="false">Sens!$J$4494+Sens!$J$4495+Sens!$J$4496+Sens!$J$4497+Sens!$J$4498+Sens!$J$4499-(Sens!$J$4501+Sens!$J$4502)</f>
        <v>0</v>
      </c>
      <c r="K4507" s="41" t="n">
        <f aca="false">Sens!$K$4494+Sens!$K$4495+Sens!$K$4496+Sens!$K$4497+Sens!$K$4498+Sens!$K$4499-(Sens!$K$4501+Sens!$K$4502)</f>
        <v>0</v>
      </c>
      <c r="L4507" s="41" t="n">
        <f aca="false">Sens!$L$4494+Sens!$L$4495+Sens!$L$4496+Sens!$L$4497+Sens!$L$4498+Sens!$L$4499-(Sens!$L$4501+Sens!$L$4502)</f>
        <v>0</v>
      </c>
      <c r="M4507" s="41" t="n">
        <f aca="false">Sens!$M$4494+Sens!$M$4495+Sens!$M$4496+Sens!$M$4497+Sens!$M$4498+Sens!$M$4499-(Sens!$M$4501+Sens!$M$4502)</f>
        <v>0</v>
      </c>
      <c r="N4507" s="41" t="n">
        <f aca="false">Sens!$N$4494+Sens!$N$4495+Sens!$N$4496+Sens!$N$4497+Sens!$N$4498+Sens!$N$4499-(Sens!$N$4501+Sens!$N$4502)</f>
        <v>0</v>
      </c>
      <c r="O4507" s="41" t="n">
        <f aca="false">Sens!$O$4494+Sens!$O$4495+Sens!$O$4496+Sens!$O$4497+Sens!$O$4498+Sens!$O$4499-(Sens!$O$4501+Sens!$O$4502)</f>
        <v>0</v>
      </c>
    </row>
    <row r="4508" customFormat="false" ht="17.15" hidden="false" customHeight="false" outlineLevel="0" collapsed="false">
      <c r="A4508" s="24" t="s">
        <v>698</v>
      </c>
      <c r="B4508" s="25" t="s">
        <v>86</v>
      </c>
      <c r="C4508" s="41" t="n">
        <f aca="false">Sens!$C$4504+Sens!$C$4505-Sens!$C$4503</f>
        <v>0</v>
      </c>
      <c r="D4508" s="41" t="n">
        <f aca="false">Sens!$D$4504+Sens!$D$4505-Sens!$D$4503</f>
        <v>0</v>
      </c>
      <c r="E4508" s="41" t="n">
        <f aca="false">Sens!$E$4504+Sens!$E$4505-Sens!$E$4503</f>
        <v>0</v>
      </c>
      <c r="F4508" s="41" t="n">
        <f aca="false">Sens!$F$4504+Sens!$F$4505-Sens!$F$4503</f>
        <v>0</v>
      </c>
      <c r="G4508" s="41" t="n">
        <f aca="false">Sens!$G$4504+Sens!$G$4505-Sens!$G$4503</f>
        <v>0</v>
      </c>
      <c r="H4508" s="41" t="n">
        <f aca="false">Sens!$H$4504+Sens!$H$4505-Sens!$H$4503</f>
        <v>0</v>
      </c>
      <c r="I4508" s="41" t="n">
        <f aca="false">Sens!$I$4504+Sens!$I$4505-Sens!$I$4503</f>
        <v>0</v>
      </c>
      <c r="J4508" s="41" t="n">
        <f aca="false">Sens!$J$4504+Sens!$J$4505-Sens!$J$4503</f>
        <v>0</v>
      </c>
      <c r="K4508" s="41" t="n">
        <f aca="false">Sens!$K$4504+Sens!$K$4505-Sens!$K$4503</f>
        <v>0</v>
      </c>
      <c r="L4508" s="41" t="n">
        <f aca="false">Sens!$L$4504+Sens!$L$4505-Sens!$L$4503</f>
        <v>0</v>
      </c>
      <c r="M4508" s="41" t="n">
        <f aca="false">Sens!$M$4504+Sens!$M$4505-Sens!$M$4503</f>
        <v>0</v>
      </c>
      <c r="N4508" s="41" t="n">
        <f aca="false">Sens!$N$4504+Sens!$N$4505-Sens!$N$4503</f>
        <v>0</v>
      </c>
      <c r="O4508" s="41" t="n">
        <f aca="false">Sens!$O$4504+Sens!$O$4505-Sens!$O$4503</f>
        <v>0</v>
      </c>
    </row>
    <row r="4509" customFormat="false" ht="17.15" hidden="false" customHeight="false" outlineLevel="0" collapsed="false">
      <c r="A4509" s="24" t="s">
        <v>757</v>
      </c>
      <c r="B4509" s="25" t="s">
        <v>86</v>
      </c>
      <c r="C4509" s="41" t="n">
        <f aca="false">Sens!$C$4494+Sens!$C$4495+Sens!$C$4496+Sens!$C$4497+Sens!$C$4498+Sens!$C$4499+Sens!$C$4500-Sens!$C$4506</f>
        <v>0</v>
      </c>
      <c r="D4509" s="41" t="n">
        <f aca="false">Sens!$D$4494+Sens!$D$4495+Sens!$D$4496+Sens!$D$4497+Sens!$D$4498+Sens!$D$4499+Sens!$D$4500-Sens!$D$4506</f>
        <v>0</v>
      </c>
      <c r="E4509" s="41" t="n">
        <f aca="false">Sens!$E$4494+Sens!$E$4495+Sens!$E$4496+Sens!$E$4497+Sens!$E$4498+Sens!$E$4499+Sens!$E$4500-Sens!$E$4506</f>
        <v>0</v>
      </c>
      <c r="F4509" s="41" t="n">
        <f aca="false">Sens!$F$4494+Sens!$F$4495+Sens!$F$4496+Sens!$F$4497+Sens!$F$4498+Sens!$F$4499+Sens!$F$4500-Sens!$F$4506</f>
        <v>0</v>
      </c>
      <c r="G4509" s="41" t="n">
        <f aca="false">Sens!$G$4494+Sens!$G$4495+Sens!$G$4496+Sens!$G$4497+Sens!$G$4498+Sens!$G$4499+Sens!$G$4500-Sens!$G$4506</f>
        <v>0</v>
      </c>
      <c r="H4509" s="41" t="n">
        <f aca="false">Sens!$H$4494+Sens!$H$4495+Sens!$H$4496+Sens!$H$4497+Sens!$H$4498+Sens!$H$4499+Sens!$H$4500-Sens!$H$4506</f>
        <v>0</v>
      </c>
      <c r="I4509" s="41" t="n">
        <f aca="false">Sens!$I$4494+Sens!$I$4495+Sens!$I$4496+Sens!$I$4497+Sens!$I$4498+Sens!$I$4499+Sens!$I$4500-Sens!$I$4506</f>
        <v>0</v>
      </c>
      <c r="J4509" s="41" t="n">
        <f aca="false">Sens!$J$4494+Sens!$J$4495+Sens!$J$4496+Sens!$J$4497+Sens!$J$4498+Sens!$J$4499+Sens!$J$4500-Sens!$J$4506</f>
        <v>0</v>
      </c>
      <c r="K4509" s="41" t="n">
        <f aca="false">Sens!$K$4494+Sens!$K$4495+Sens!$K$4496+Sens!$K$4497+Sens!$K$4498+Sens!$K$4499+Sens!$K$4500-Sens!$K$4506</f>
        <v>0</v>
      </c>
      <c r="L4509" s="41" t="n">
        <f aca="false">Sens!$L$4494+Sens!$L$4495+Sens!$L$4496+Sens!$L$4497+Sens!$L$4498+Sens!$L$4499+Sens!$L$4500-Sens!$L$4506</f>
        <v>0</v>
      </c>
      <c r="M4509" s="41" t="n">
        <f aca="false">Sens!$M$4494+Sens!$M$4495+Sens!$M$4496+Sens!$M$4497+Sens!$M$4498+Sens!$M$4499+Sens!$M$4500-Sens!$M$4506</f>
        <v>0</v>
      </c>
      <c r="N4509" s="41" t="n">
        <f aca="false">Sens!$N$4494+Sens!$N$4495+Sens!$N$4496+Sens!$N$4497+Sens!$N$4498+Sens!$N$4499+Sens!$N$4500-Sens!$N$4506</f>
        <v>0</v>
      </c>
      <c r="O4509" s="41" t="n">
        <f aca="false">Sens!$O$4494+Sens!$O$4495+Sens!$O$4496+Sens!$O$4497+Sens!$O$4498+Sens!$O$4499+Sens!$O$4500-Sens!$O$4506</f>
        <v>0</v>
      </c>
    </row>
    <row r="4510" customFormat="false" ht="17.15" hidden="false" customHeight="false" outlineLevel="0" collapsed="false">
      <c r="A4510" s="24" t="s">
        <v>699</v>
      </c>
      <c r="B4510" s="25" t="s">
        <v>86</v>
      </c>
      <c r="C4510" s="41" t="n">
        <f aca="false">Sens!$C$4501+Sens!$C$4502+Sens!$C$4503-Sens!$C$4506</f>
        <v>0</v>
      </c>
      <c r="D4510" s="41" t="n">
        <f aca="false">Sens!$D$4501+Sens!$D$4502+Sens!$D$4503-Sens!$D$4506</f>
        <v>0</v>
      </c>
      <c r="E4510" s="41" t="n">
        <f aca="false">Sens!$E$4501+Sens!$E$4502+Sens!$E$4503-Sens!$E$4506</f>
        <v>0</v>
      </c>
      <c r="F4510" s="41" t="n">
        <f aca="false">Sens!$F$4501+Sens!$F$4502+Sens!$F$4503-Sens!$F$4506</f>
        <v>0</v>
      </c>
      <c r="G4510" s="41" t="n">
        <f aca="false">Sens!$G$4501+Sens!$G$4502+Sens!$G$4503-Sens!$G$4506</f>
        <v>0</v>
      </c>
      <c r="H4510" s="41" t="n">
        <f aca="false">Sens!$H$4501+Sens!$H$4502+Sens!$H$4503-Sens!$H$4506</f>
        <v>0</v>
      </c>
      <c r="I4510" s="41" t="n">
        <f aca="false">Sens!$I$4501+Sens!$I$4502+Sens!$I$4503-Sens!$I$4506</f>
        <v>0</v>
      </c>
      <c r="J4510" s="41" t="n">
        <f aca="false">Sens!$J$4501+Sens!$J$4502+Sens!$J$4503-Sens!$J$4506</f>
        <v>0</v>
      </c>
      <c r="K4510" s="41" t="n">
        <f aca="false">Sens!$K$4501+Sens!$K$4502+Sens!$K$4503-Sens!$K$4506</f>
        <v>0</v>
      </c>
      <c r="L4510" s="41" t="n">
        <f aca="false">Sens!$L$4501+Sens!$L$4502+Sens!$L$4503-Sens!$L$4506</f>
        <v>0</v>
      </c>
      <c r="M4510" s="41" t="n">
        <f aca="false">Sens!$M$4501+Sens!$M$4502+Sens!$M$4503-Sens!$M$4506</f>
        <v>0</v>
      </c>
      <c r="N4510" s="41" t="n">
        <f aca="false">Sens!$N$4501+Sens!$N$4502+Sens!$N$4503-Sens!$N$4506</f>
        <v>0</v>
      </c>
      <c r="O4510" s="41" t="n">
        <f aca="false">Sens!$O$4501+Sens!$O$4502+Sens!$O$4503-Sens!$O$4506</f>
        <v>0</v>
      </c>
    </row>
    <row r="4511" customFormat="false" ht="17.15" hidden="false" customHeight="false" outlineLevel="0" collapsed="false">
      <c r="A4511" s="1" t="s">
        <v>713</v>
      </c>
    </row>
    <row r="4512" customFormat="false" ht="17.15" hidden="false" customHeight="false" outlineLevel="0" collapsed="false">
      <c r="A4512" s="0" t="s">
        <v>714</v>
      </c>
      <c r="B4512" s="0" t="s">
        <v>86</v>
      </c>
      <c r="C4512" s="38" t="n">
        <f aca="false">Sens!$C$4418*m_ad</f>
        <v>20.5341564414228</v>
      </c>
      <c r="D4512" s="38" t="n">
        <f aca="false">Sens!$D$4418*m_ad</f>
        <v>24.8720617299587</v>
      </c>
      <c r="E4512" s="38" t="n">
        <f aca="false">Sens!$E$4418*m_ad</f>
        <v>13.5017112462207</v>
      </c>
      <c r="F4512" s="38" t="n">
        <f aca="false">Sens!$F$4418*m_ad</f>
        <v>16.5719724165257</v>
      </c>
      <c r="G4512" s="38" t="n">
        <f aca="false">Sens!$G$4418*m_ad</f>
        <v>30.0820919220415</v>
      </c>
      <c r="H4512" s="38" t="n">
        <f aca="false">Sens!$H$4418*m_ad</f>
        <v>36.1150883276314</v>
      </c>
      <c r="I4512" s="38" t="n">
        <f aca="false">Sens!$I$4418*m_ad</f>
        <v>42.1475382231996</v>
      </c>
      <c r="J4512" s="38" t="n">
        <f aca="false">Sens!$J$4418*m_ad</f>
        <v>47.7749523864693</v>
      </c>
      <c r="K4512" s="38" t="n">
        <f aca="false">Sens!$K$4418*m_ad</f>
        <v>52.5524476251162</v>
      </c>
      <c r="L4512" s="38" t="n">
        <f aca="false">Sens!$L$4418*m_ad</f>
        <v>57.8076923876279</v>
      </c>
      <c r="M4512" s="38" t="n">
        <f aca="false">Sens!$M$4418*m_ad</f>
        <v>63.5884616263907</v>
      </c>
      <c r="N4512" s="38" t="n">
        <f aca="false">Sens!$N$4418*m_ad</f>
        <v>10.8543555706248</v>
      </c>
      <c r="O4512" s="38" t="n">
        <f aca="false">Sens!$O$4418*m_ad</f>
        <v>14.0094731821399</v>
      </c>
    </row>
    <row r="4513" customFormat="false" ht="17.15" hidden="false" customHeight="false" outlineLevel="0" collapsed="false">
      <c r="A4513" s="0" t="s">
        <v>715</v>
      </c>
      <c r="B4513" s="0" t="s">
        <v>86</v>
      </c>
      <c r="C4513" s="38" t="n">
        <f aca="false">Sens!$C$4416-Sens!$C$4418</f>
        <v>346.428687117154</v>
      </c>
      <c r="D4513" s="38" t="n">
        <f aca="false">Sens!$D$4416-Sens!$D$4418</f>
        <v>376.560876540083</v>
      </c>
      <c r="E4513" s="38" t="n">
        <f aca="false">Sens!$E$4416-Sens!$E$4418</f>
        <v>193.316577507559</v>
      </c>
      <c r="F4513" s="38" t="n">
        <f aca="false">Sens!$F$4416-Sens!$F$4418</f>
        <v>217.495828647535</v>
      </c>
      <c r="G4513" s="38" t="n">
        <f aca="false">Sens!$G$4416-Sens!$G$4418</f>
        <v>410.795589636503</v>
      </c>
      <c r="H4513" s="38" t="n">
        <f aca="false">Sens!$H$4416-Sens!$H$4418</f>
        <v>449.156813761174</v>
      </c>
      <c r="I4513" s="38" t="n">
        <f aca="false">Sens!$I$4416-Sens!$I$4418</f>
        <v>485.848786441156</v>
      </c>
      <c r="J4513" s="38" t="n">
        <f aca="false">Sens!$J$4416-Sens!$J$4418</f>
        <v>519.841531018994</v>
      </c>
      <c r="K4513" s="38" t="n">
        <f aca="false">Sens!$K$4416-Sens!$K$4418</f>
        <v>550.103332311311</v>
      </c>
      <c r="L4513" s="38" t="n">
        <f aca="false">Sens!$L$4416-Sens!$L$4418</f>
        <v>582.192354474511</v>
      </c>
      <c r="M4513" s="38" t="n">
        <f aca="false">Sens!$M$4416-Sens!$M$4418</f>
        <v>616.22240521081</v>
      </c>
      <c r="N4513" s="38" t="n">
        <f aca="false">Sens!$N$4416-Sens!$N$4418</f>
        <v>171.24628885875</v>
      </c>
      <c r="O4513" s="38" t="n">
        <f aca="false">Sens!$O$4416-Sens!$O$4418</f>
        <v>205.33105363572</v>
      </c>
    </row>
    <row r="4514" customFormat="false" ht="17.15" hidden="false" customHeight="false" outlineLevel="0" collapsed="false">
      <c r="A4514" s="0" t="s">
        <v>716</v>
      </c>
      <c r="B4514" s="0" t="s">
        <v>86</v>
      </c>
      <c r="C4514" s="38" t="n">
        <f aca="false">Sens!$C$4465*Sens!$C$4415</f>
        <v>0.123617442257179</v>
      </c>
      <c r="D4514" s="38" t="n">
        <f aca="false">Sens!$D$4465*Sens!$D$4415</f>
        <v>0.874366899302609</v>
      </c>
      <c r="E4514" s="38" t="n">
        <f aca="false">Sens!$E$4465*Sens!$E$4415</f>
        <v>1.29318830502574</v>
      </c>
      <c r="F4514" s="38" t="n">
        <f aca="false">Sens!$F$4465*Sens!$F$4415</f>
        <v>1.51802024162534</v>
      </c>
      <c r="G4514" s="38" t="n">
        <f aca="false">Sens!$G$4465*Sens!$G$4415</f>
        <v>2.81153363597665</v>
      </c>
      <c r="H4514" s="38" t="n">
        <f aca="false">Sens!$H$4465*Sens!$H$4415</f>
        <v>7.39027704264226</v>
      </c>
      <c r="I4514" s="38" t="n">
        <f aca="false">Sens!$I$4465*Sens!$I$4415</f>
        <v>12.899807643047</v>
      </c>
      <c r="J4514" s="38" t="n">
        <f aca="false">Sens!$J$4465*Sens!$J$4415</f>
        <v>18.5585322471382</v>
      </c>
      <c r="K4514" s="38" t="n">
        <f aca="false">Sens!$K$4465*Sens!$K$4415</f>
        <v>24.0966749520672</v>
      </c>
      <c r="L4514" s="38" t="n">
        <f aca="false">Sens!$L$4465*Sens!$L$4415</f>
        <v>27.686623551477</v>
      </c>
      <c r="M4514" s="38" t="n">
        <f aca="false">Sens!$M$4465*Sens!$M$4415</f>
        <v>29.7238645537022</v>
      </c>
      <c r="N4514" s="38" t="n">
        <f aca="false">Sens!$N$4465*Sens!$N$4415</f>
        <v>0.389180508437431</v>
      </c>
      <c r="O4514" s="38" t="n">
        <f aca="false">Sens!$O$4465*Sens!$O$4415</f>
        <v>0.485052120082802</v>
      </c>
    </row>
    <row r="4515" customFormat="false" ht="17.15" hidden="false" customHeight="false" outlineLevel="0" collapsed="false">
      <c r="A4515" s="0" t="s">
        <v>717</v>
      </c>
      <c r="B4515" s="0" t="s">
        <v>52</v>
      </c>
      <c r="C4515" s="28" t="n">
        <f aca="false">(Sens!$C$4516-Sens!$C$4512+Sens!$C$4514)/Sens!$C$4513</f>
        <v>0.0131526665379575</v>
      </c>
      <c r="D4515" s="28" t="n">
        <f aca="false">(Sens!$D$4516-Sens!$D$4512+Sens!$D$4514)/Sens!$D$4513</f>
        <v>0.0149280116962589</v>
      </c>
      <c r="E4515" s="28" t="n">
        <f aca="false">(Sens!$E$4516-Sens!$E$4512+Sens!$E$4514)/Sens!$E$4513</f>
        <v>0.0268030663774938</v>
      </c>
      <c r="F4515" s="28" t="n">
        <f aca="false">Sens!$O$4515+(Sens!$E$4515-Sens!$N$4515)</f>
        <v>0.0232379346966962</v>
      </c>
      <c r="G4515" s="28" t="n">
        <f aca="false">(Sens!$G$4516-Sens!$G$4512+Sens!$G$4514)/Sens!$G$4513</f>
        <v>0.0248969268652583</v>
      </c>
      <c r="H4515" s="28" t="n">
        <f aca="false">Sens!$G$4515+step_na_lo</f>
        <v>0.0248969268652583</v>
      </c>
      <c r="I4515" s="28" t="n">
        <f aca="false">Sens!$H$4515+step_na_lo</f>
        <v>0.0248969268652583</v>
      </c>
      <c r="J4515" s="28" t="n">
        <f aca="false">Sens!$I$4515+step_na_lo</f>
        <v>0.0248969268652583</v>
      </c>
      <c r="K4515" s="28" t="n">
        <f aca="false">Sens!$J$4515+step_na_lo</f>
        <v>0.0248969268652583</v>
      </c>
      <c r="L4515" s="28" t="n">
        <f aca="false">Sens!$K$4515</f>
        <v>0.0248969268652583</v>
      </c>
      <c r="M4515" s="28" t="n">
        <f aca="false">Sens!$L$4515</f>
        <v>0.0248969268652583</v>
      </c>
      <c r="N4515" s="28" t="n">
        <f aca="false">(Sens!$N$4516-Sens!$N$4512+Sens!$N$4514)/Sens!$N$4513</f>
        <v>0.0168927744775755</v>
      </c>
      <c r="O4515" s="28" t="n">
        <f aca="false">(Sens!$O$4516-Sens!$O$4512+Sens!$O$4514)/Sens!$O$4513</f>
        <v>0.0133276427967779</v>
      </c>
      <c r="P4515" s="8" t="s">
        <v>718</v>
      </c>
    </row>
    <row r="4516" customFormat="false" ht="17.15" hidden="false" customHeight="false" outlineLevel="0" collapsed="false">
      <c r="A4516" s="1" t="s">
        <v>719</v>
      </c>
      <c r="B4516" s="8" t="s">
        <v>86</v>
      </c>
      <c r="C4516" s="38" t="n">
        <f aca="false">Q!$D$22</f>
        <v>24.967</v>
      </c>
      <c r="D4516" s="38" t="n">
        <f aca="false">Q!$E$22</f>
        <v>29.619</v>
      </c>
      <c r="E4516" s="38" t="n">
        <f aca="false">Q!$P$22</f>
        <v>17.39</v>
      </c>
      <c r="F4516" s="38" t="n">
        <f aca="false">Sens!$F$4512+Sens!$F$4513*Sens!$F$4515-Sens!$F$4514</f>
        <v>20.1081060378156</v>
      </c>
      <c r="G4516" s="38" t="n">
        <f aca="false">Sens!$E$4516+Sens!$F$4516</f>
        <v>37.4981060378156</v>
      </c>
      <c r="H4516" s="38" t="n">
        <f aca="false">Sens!$H$4512+Sens!$H$4513*Sens!$H$4515-Sens!$H$4514</f>
        <v>39.9074356282336</v>
      </c>
      <c r="I4516" s="38" t="n">
        <f aca="false">Sens!$I$4512+Sens!$I$4513*Sens!$I$4515-Sens!$I$4514</f>
        <v>41.3438722837525</v>
      </c>
      <c r="J4516" s="38" t="n">
        <f aca="false">Sens!$J$4512+Sens!$J$4513*Sens!$J$4515-Sens!$J$4514</f>
        <v>42.158876718635</v>
      </c>
      <c r="K4516" s="38" t="n">
        <f aca="false">Sens!$K$4512+Sens!$K$4513*Sens!$K$4515-Sens!$K$4514</f>
        <v>42.1516551059387</v>
      </c>
      <c r="L4516" s="38" t="n">
        <f aca="false">Sens!$L$4512+Sens!$L$4513*Sens!$L$4515-Sens!$L$4514</f>
        <v>44.6158693070153</v>
      </c>
      <c r="M4516" s="38" t="n">
        <f aca="false">Sens!$M$4512+Sens!$M$4513*Sens!$M$4515-Sens!$M$4514</f>
        <v>49.2066412279556</v>
      </c>
      <c r="N4516" s="38" t="n">
        <f aca="false">Q!$N$22</f>
        <v>13.358</v>
      </c>
      <c r="O4516" s="38" t="n">
        <f aca="false">Q!$O$22</f>
        <v>16.261</v>
      </c>
    </row>
    <row r="4517" customFormat="false" ht="17.15" hidden="false" customHeight="false" outlineLevel="0" collapsed="false">
      <c r="A4517" s="0" t="s">
        <v>720</v>
      </c>
      <c r="B4517" s="0" t="s">
        <v>86</v>
      </c>
      <c r="C4517" s="38" t="n">
        <f aca="false">Sens!$C$4419*m_ad</f>
        <v>7.57284355857716</v>
      </c>
      <c r="D4517" s="38" t="n">
        <f aca="false">Sens!$D$4419*m_ad</f>
        <v>9.44543827004127</v>
      </c>
      <c r="E4517" s="38" t="n">
        <f aca="false">Sens!$E$4419*m_ad</f>
        <v>5.02428875377928</v>
      </c>
      <c r="F4517" s="38" t="n">
        <f aca="false">Sens!$F$4419*m_ad</f>
        <v>6.50663858068173</v>
      </c>
      <c r="G4517" s="38" t="n">
        <f aca="false">Sens!$G$4419*m_ad</f>
        <v>11.5225190751659</v>
      </c>
      <c r="H4517" s="38" t="n">
        <f aca="false">Sens!$H$4419*m_ad</f>
        <v>13.8333728663174</v>
      </c>
      <c r="I4517" s="38" t="n">
        <f aca="false">Sens!$I$4419*m_ad</f>
        <v>16.1440173245485</v>
      </c>
      <c r="J4517" s="38" t="n">
        <f aca="false">Sens!$J$4419*m_ad</f>
        <v>18.2995185845066</v>
      </c>
      <c r="K4517" s="38" t="n">
        <f aca="false">Sens!$K$4419*m_ad</f>
        <v>20.1294704429572</v>
      </c>
      <c r="L4517" s="38" t="n">
        <f aca="false">Sens!$L$4419*m_ad</f>
        <v>22.142417487253</v>
      </c>
      <c r="M4517" s="38" t="n">
        <f aca="false">Sens!$M$4419*m_ad</f>
        <v>24.3566592359783</v>
      </c>
      <c r="N4517" s="38" t="n">
        <f aca="false">Sens!$N$4419*m_ad</f>
        <v>3.95314442937518</v>
      </c>
      <c r="O4517" s="38" t="n">
        <f aca="false">Sens!$O$4419*m_ad</f>
        <v>5.50052681786011</v>
      </c>
    </row>
    <row r="4518" customFormat="false" ht="17.15" hidden="false" customHeight="false" outlineLevel="0" collapsed="false">
      <c r="A4518" s="0" t="s">
        <v>721</v>
      </c>
      <c r="B4518" s="0" t="s">
        <v>86</v>
      </c>
      <c r="C4518" s="38" t="n">
        <f aca="false">Sens!$C$4417-Sens!$C$4419</f>
        <v>127.760312882846</v>
      </c>
      <c r="D4518" s="38" t="n">
        <f aca="false">Sens!$D$4417-Sens!$D$4419</f>
        <v>143.003123459917</v>
      </c>
      <c r="E4518" s="38" t="n">
        <f aca="false">Sens!$E$4417-Sens!$E$4419</f>
        <v>71.9374224924414</v>
      </c>
      <c r="F4518" s="38" t="n">
        <f aca="false">Sens!$F$4417-Sens!$F$4419</f>
        <v>85.3951910035875</v>
      </c>
      <c r="G4518" s="38" t="n">
        <f aca="false">Sens!$G$4417-Sens!$G$4419</f>
        <v>157.349430014619</v>
      </c>
      <c r="H4518" s="38" t="n">
        <f aca="false">Sens!$H$4417-Sens!$H$4419</f>
        <v>172.043153372315</v>
      </c>
      <c r="I4518" s="38" t="n">
        <f aca="false">Sens!$I$4417-Sens!$I$4419</f>
        <v>186.097493615879</v>
      </c>
      <c r="J4518" s="38" t="n">
        <f aca="false">Sens!$J$4417-Sens!$J$4419</f>
        <v>199.117932780497</v>
      </c>
      <c r="K4518" s="38" t="n">
        <f aca="false">Sens!$K$4417-Sens!$K$4419</f>
        <v>210.70928698363</v>
      </c>
      <c r="L4518" s="38" t="n">
        <f aca="false">Sens!$L$4417-Sens!$L$4419</f>
        <v>223.000532251316</v>
      </c>
      <c r="M4518" s="38" t="n">
        <f aca="false">Sens!$M$4417-Sens!$M$4419</f>
        <v>236.035261011339</v>
      </c>
      <c r="N4518" s="38" t="n">
        <f aca="false">Sens!$N$4417-Sens!$N$4419</f>
        <v>62.3677111412496</v>
      </c>
      <c r="O4518" s="38" t="n">
        <f aca="false">Sens!$O$4417-Sens!$O$4419</f>
        <v>80.6189463642798</v>
      </c>
    </row>
    <row r="4519" customFormat="false" ht="17.15" hidden="false" customHeight="false" outlineLevel="0" collapsed="false">
      <c r="A4519" s="0" t="s">
        <v>722</v>
      </c>
      <c r="B4519" s="0" t="s">
        <v>86</v>
      </c>
      <c r="C4519" s="38" t="n">
        <f aca="false">Sens!$C$4465*(1-Sens!$C$4415)</f>
        <v>0.0455891896019953</v>
      </c>
      <c r="D4519" s="38" t="n">
        <f aca="false">Sens!$D$4465*(1-Sens!$D$4415)</f>
        <v>0.332050421167231</v>
      </c>
      <c r="E4519" s="38" t="n">
        <f aca="false">Sens!$E$4465*(1-Sens!$E$4415)</f>
        <v>0.481224293644882</v>
      </c>
      <c r="F4519" s="38" t="n">
        <f aca="false">Sens!$F$4465*(1-Sens!$F$4415)</f>
        <v>0.596018918096053</v>
      </c>
      <c r="G4519" s="38" t="n">
        <f aca="false">Sens!$G$4465*(1-Sens!$G$4415)</f>
        <v>1.07691812241537</v>
      </c>
      <c r="H4519" s="38" t="n">
        <f aca="false">Sens!$H$4465*(1-Sens!$H$4415)</f>
        <v>2.83074090775622</v>
      </c>
      <c r="I4519" s="38" t="n">
        <f aca="false">Sens!$I$4465*(1-Sens!$I$4415)</f>
        <v>4.94108853926048</v>
      </c>
      <c r="J4519" s="38" t="n">
        <f aca="false">Sens!$J$4465*(1-Sens!$J$4415)</f>
        <v>7.10858281993502</v>
      </c>
      <c r="K4519" s="38" t="n">
        <f aca="false">Sens!$K$4465*(1-Sens!$K$4415)</f>
        <v>9.2298899126701</v>
      </c>
      <c r="L4519" s="38" t="n">
        <f aca="false">Sens!$L$4465*(1-Sens!$L$4415)</f>
        <v>10.6049688574045</v>
      </c>
      <c r="M4519" s="38" t="n">
        <f aca="false">Sens!$M$4465*(1-Sens!$M$4415)</f>
        <v>11.3853051574758</v>
      </c>
      <c r="N4519" s="38" t="n">
        <f aca="false">Sens!$N$4465*(1-Sens!$N$4415)</f>
        <v>0.141739115596548</v>
      </c>
      <c r="O4519" s="38" t="n">
        <f aca="false">Sens!$O$4465*(1-Sens!$O$4415)</f>
        <v>0.190445576353059</v>
      </c>
    </row>
    <row r="4520" customFormat="false" ht="17.15" hidden="false" customHeight="false" outlineLevel="0" collapsed="false">
      <c r="A4520" s="0" t="s">
        <v>723</v>
      </c>
      <c r="B4520" s="0" t="s">
        <v>52</v>
      </c>
      <c r="C4520" s="28" t="n">
        <f aca="false">(Sens!$C$4521-Sens!$C$4517+Sens!$C$4519)/Sens!$C$4518</f>
        <v>-0.0292364215826579</v>
      </c>
      <c r="D4520" s="28" t="n">
        <f aca="false">(Sens!$D$4521-Sens!$D$4517+Sens!$D$4519)/Sens!$D$4518</f>
        <v>-0.0305125352740778</v>
      </c>
      <c r="E4520" s="28" t="n">
        <f aca="false">(Sens!$E$4521-Sens!$E$4517+Sens!$E$4519)/Sens!$E$4518</f>
        <v>-0.019490056934994</v>
      </c>
      <c r="F4520" s="28" t="n">
        <f aca="false">Sens!$O$4520+(Sens!$E$4520-Sens!$N$4520)</f>
        <v>-0.0367332293992226</v>
      </c>
      <c r="G4520" s="28" t="n">
        <f aca="false">(Sens!$G$4521-Sens!$G$4517+Sens!$G$4519)/Sens!$G$4518</f>
        <v>-0.0287946542321067</v>
      </c>
      <c r="H4520" s="28" t="n">
        <f aca="false">Sens!$G$4520+step_in</f>
        <v>-0.0287946542321067</v>
      </c>
      <c r="I4520" s="28" t="n">
        <f aca="false">Sens!$H$4520+step_in</f>
        <v>-0.0287946542321067</v>
      </c>
      <c r="J4520" s="28" t="n">
        <f aca="false">Sens!$I$4520+step_in</f>
        <v>-0.0287946542321067</v>
      </c>
      <c r="K4520" s="28" t="n">
        <f aca="false">Sens!$J$4520+step_in</f>
        <v>-0.0287946542321067</v>
      </c>
      <c r="L4520" s="28" t="n">
        <f aca="false">Sens!$K$4520</f>
        <v>-0.0287946542321067</v>
      </c>
      <c r="M4520" s="28" t="n">
        <f aca="false">Sens!$L$4520</f>
        <v>-0.0287946542321067</v>
      </c>
      <c r="N4520" s="28" t="n">
        <f aca="false">(Sens!$N$4521-Sens!$N$4517+Sens!$N$4519)/Sens!$N$4518</f>
        <v>-0.02085061789158</v>
      </c>
      <c r="O4520" s="28" t="n">
        <f aca="false">(Sens!$O$4521-Sens!$O$4517+Sens!$O$4519)/Sens!$O$4518</f>
        <v>-0.0380937903558086</v>
      </c>
      <c r="P4520" s="8" t="s">
        <v>718</v>
      </c>
    </row>
    <row r="4521" customFormat="false" ht="17.15" hidden="false" customHeight="false" outlineLevel="0" collapsed="false">
      <c r="A4521" s="1" t="s">
        <v>724</v>
      </c>
      <c r="B4521" s="8" t="s">
        <v>86</v>
      </c>
      <c r="C4521" s="38" t="n">
        <f aca="false">Q!$D$23</f>
        <v>3.792</v>
      </c>
      <c r="D4521" s="38" t="n">
        <f aca="false">Q!$E$23</f>
        <v>4.75</v>
      </c>
      <c r="E4521" s="38" t="n">
        <f aca="false">Q!$P$23</f>
        <v>3.141</v>
      </c>
      <c r="F4521" s="38" t="n">
        <f aca="false">Sens!$F$4517+Sens!$F$4518*Sens!$F$4520-Sens!$F$4519</f>
        <v>2.77377852186047</v>
      </c>
      <c r="G4521" s="38" t="n">
        <f aca="false">Sens!$E$4521+Sens!$F$4521</f>
        <v>5.91477852186047</v>
      </c>
      <c r="H4521" s="38" t="n">
        <f aca="false">Sens!$H$4517+Sens!$H$4518*Sens!$H$4520-Sens!$H$4519</f>
        <v>6.04870884420403</v>
      </c>
      <c r="I4521" s="38" t="n">
        <f aca="false">Sens!$I$4517+Sens!$I$4518*Sens!$I$4520-Sens!$I$4519</f>
        <v>5.84431580315713</v>
      </c>
      <c r="J4521" s="38" t="n">
        <f aca="false">Sens!$J$4517+Sens!$J$4518*Sens!$J$4520-Sens!$J$4519</f>
        <v>5.45740373874528</v>
      </c>
      <c r="K4521" s="38" t="n">
        <f aca="false">Sens!$K$4517+Sens!$K$4518*Sens!$K$4520-Sens!$K$4519</f>
        <v>4.83227946809976</v>
      </c>
      <c r="L4521" s="38" t="n">
        <f aca="false">Sens!$L$4517+Sens!$L$4518*Sens!$L$4520-Sens!$L$4519</f>
        <v>5.11622541009601</v>
      </c>
      <c r="M4521" s="38" t="n">
        <f aca="false">Sens!$M$4517+Sens!$M$4518*Sens!$M$4520-Sens!$M$4519</f>
        <v>6.17480035109588</v>
      </c>
      <c r="N4521" s="38" t="n">
        <f aca="false">Q!$N$23</f>
        <v>2.511</v>
      </c>
      <c r="O4521" s="38" t="n">
        <f aca="false">Q!$O$23</f>
        <v>2.239</v>
      </c>
    </row>
    <row r="4522" customFormat="false" ht="17.15" hidden="false" customHeight="false" outlineLevel="0" collapsed="false">
      <c r="A4522" s="0" t="s">
        <v>725</v>
      </c>
      <c r="B4522" s="0" t="s">
        <v>86</v>
      </c>
      <c r="C4522" s="38" t="n">
        <f aca="false">Sens!$C$4462</f>
        <v>1.64417882953695</v>
      </c>
      <c r="D4522" s="38" t="n">
        <f aca="false">Sens!$D$4462</f>
        <v>3.8781008067718</v>
      </c>
      <c r="E4522" s="38" t="n">
        <f aca="false">Sens!$E$4462</f>
        <v>1.41270258088753</v>
      </c>
      <c r="F4522" s="38" t="n">
        <f aca="false">Sens!$F$4462</f>
        <v>6.50727700583486</v>
      </c>
      <c r="G4522" s="38" t="n">
        <f aca="false">Sens!$G$4462</f>
        <v>7.9199795867224</v>
      </c>
      <c r="H4522" s="38" t="n">
        <f aca="false">Sens!$H$4462</f>
        <v>19.2818189481807</v>
      </c>
      <c r="I4522" s="38" t="n">
        <f aca="false">Sens!$I$4462</f>
        <v>30.140114407202</v>
      </c>
      <c r="J4522" s="38" t="n">
        <f aca="false">Sens!$J$4462</f>
        <v>40.3569468829854</v>
      </c>
      <c r="K4522" s="38" t="n">
        <f aca="false">Sens!$K$4462</f>
        <v>45.1418609242305</v>
      </c>
      <c r="L4522" s="38" t="n">
        <f aca="false">Sens!$L$4462</f>
        <v>48.5617321668703</v>
      </c>
      <c r="M4522" s="38" t="n">
        <f aca="false">Sens!$M$4462</f>
        <v>48.3987625241529</v>
      </c>
      <c r="N4522" s="38" t="n">
        <f aca="false">Sens!$N$4462</f>
        <v>0.92264103489199</v>
      </c>
      <c r="O4522" s="38" t="n">
        <f aca="false">Sens!$O$4462</f>
        <v>2.95545977187981</v>
      </c>
    </row>
    <row r="4523" customFormat="false" ht="17.15" hidden="false" customHeight="false" outlineLevel="0" collapsed="false">
      <c r="A4523" s="0" t="s">
        <v>643</v>
      </c>
      <c r="B4523" s="0" t="s">
        <v>86</v>
      </c>
      <c r="C4523" s="38" t="n">
        <f aca="false">Sens!$C$4467</f>
        <v>38.1898211704631</v>
      </c>
      <c r="D4523" s="38" t="n">
        <f aca="false">Sens!$D$4467</f>
        <v>41.7278991932282</v>
      </c>
      <c r="E4523" s="38" t="n">
        <f aca="false">Sens!$E$4467</f>
        <v>29.3692974191125</v>
      </c>
      <c r="F4523" s="38" t="n">
        <f aca="false">Sens!$F$4467</f>
        <v>26.8997276714137</v>
      </c>
      <c r="G4523" s="38" t="n">
        <f aca="false">Sens!$G$4467</f>
        <v>56.2690250905262</v>
      </c>
      <c r="H4523" s="38" t="n">
        <f aca="false">Sens!$H$4467</f>
        <v>60.3505333937343</v>
      </c>
      <c r="I4523" s="38" t="n">
        <f aca="false">Sens!$I$4467</f>
        <v>67.0043857303571</v>
      </c>
      <c r="J4523" s="38" t="n">
        <f aca="false">Sens!$J$4467</f>
        <v>73.3782922956925</v>
      </c>
      <c r="K4523" s="38" t="n">
        <f aca="false">Sens!$K$4467</f>
        <v>79.2485556793479</v>
      </c>
      <c r="L4523" s="38" t="n">
        <f aca="false">Sens!$L$4467</f>
        <v>85.5884401336958</v>
      </c>
      <c r="M4523" s="38" t="n">
        <f aca="false">Sens!$M$4467</f>
        <v>92.4355153443914</v>
      </c>
      <c r="N4523" s="38" t="n">
        <f aca="false">Sens!$N$4467</f>
        <v>20.784358965108</v>
      </c>
      <c r="O4523" s="38" t="n">
        <f aca="false">Sens!$O$4467</f>
        <v>20.9435402281202</v>
      </c>
    </row>
    <row r="4524" customFormat="false" ht="17.15" hidden="false" customHeight="false" outlineLevel="0" collapsed="false">
      <c r="A4524" s="1" t="s">
        <v>726</v>
      </c>
      <c r="B4524" s="8" t="s">
        <v>86</v>
      </c>
      <c r="C4524" s="38" t="n">
        <f aca="false">Q!$D$24</f>
        <v>39.834</v>
      </c>
      <c r="D4524" s="38" t="n">
        <f aca="false">Q!$E$24</f>
        <v>45.606</v>
      </c>
      <c r="E4524" s="38" t="n">
        <f aca="false">Q!$P$24</f>
        <v>30.782</v>
      </c>
      <c r="F4524" s="38" t="n">
        <f aca="false">Sens!$F$4522+Sens!$F$4523</f>
        <v>33.4070046772486</v>
      </c>
      <c r="G4524" s="38" t="n">
        <f aca="false">Sens!$G$4522+Sens!$G$4523</f>
        <v>64.1890046772486</v>
      </c>
      <c r="H4524" s="38" t="n">
        <f aca="false">Sens!$H$4522+Sens!$H$4523</f>
        <v>79.6323523419149</v>
      </c>
      <c r="I4524" s="38" t="n">
        <f aca="false">Sens!$I$4522+Sens!$I$4523</f>
        <v>97.1445001375591</v>
      </c>
      <c r="J4524" s="38" t="n">
        <f aca="false">Sens!$J$4522+Sens!$J$4523</f>
        <v>113.735239178678</v>
      </c>
      <c r="K4524" s="38" t="n">
        <f aca="false">Sens!$K$4522+Sens!$K$4523</f>
        <v>124.390416603578</v>
      </c>
      <c r="L4524" s="38" t="n">
        <f aca="false">Sens!$L$4522+Sens!$L$4523</f>
        <v>134.150172300566</v>
      </c>
      <c r="M4524" s="38" t="n">
        <f aca="false">Sens!$M$4522+Sens!$M$4523</f>
        <v>140.834277868544</v>
      </c>
      <c r="N4524" s="38" t="n">
        <f aca="false">Q!$N$24</f>
        <v>21.707</v>
      </c>
      <c r="O4524" s="38" t="n">
        <f aca="false">Q!$O$24</f>
        <v>23.899</v>
      </c>
    </row>
    <row r="4525" customFormat="false" ht="17.15" hidden="false" customHeight="false" outlineLevel="0" collapsed="false">
      <c r="A4525" s="5" t="s">
        <v>727</v>
      </c>
      <c r="B4525" s="0" t="s">
        <v>86</v>
      </c>
      <c r="C4525" s="38" t="n">
        <f aca="false">Q!$D$26</f>
        <v>0</v>
      </c>
      <c r="D4525" s="38" t="n">
        <f aca="false">Q!$E$26</f>
        <v>0</v>
      </c>
      <c r="E4525" s="38" t="n">
        <f aca="false">Q!$P$26</f>
        <v>0</v>
      </c>
      <c r="F4525" s="39" t="n">
        <v>0</v>
      </c>
      <c r="G4525" s="38" t="n">
        <f aca="false">Sens!$E$4525+Sens!$F$4525</f>
        <v>0</v>
      </c>
      <c r="H4525" s="39" t="n">
        <v>0</v>
      </c>
      <c r="I4525" s="39" t="n">
        <v>0</v>
      </c>
      <c r="J4525" s="39" t="n">
        <v>0</v>
      </c>
      <c r="K4525" s="39" t="n">
        <v>0</v>
      </c>
      <c r="L4525" s="39" t="n">
        <v>0</v>
      </c>
      <c r="M4525" s="39" t="n">
        <v>0</v>
      </c>
      <c r="N4525" s="38" t="n">
        <f aca="false">Q!$N$26</f>
        <v>0</v>
      </c>
      <c r="O4525" s="38" t="n">
        <f aca="false">Q!$O$26</f>
        <v>0</v>
      </c>
    </row>
    <row r="4526" customFormat="false" ht="15" hidden="false" customHeight="false" outlineLevel="0" collapsed="false">
      <c r="A4526" s="3" t="s">
        <v>531</v>
      </c>
      <c r="B4526" s="8" t="s">
        <v>86</v>
      </c>
      <c r="C4526" s="38" t="n">
        <f aca="false">Q!$D$25</f>
        <v>68.593</v>
      </c>
      <c r="D4526" s="38" t="n">
        <f aca="false">Q!$E$25</f>
        <v>79.975</v>
      </c>
      <c r="E4526" s="38" t="n">
        <f aca="false">Q!$P$25</f>
        <v>51.313</v>
      </c>
      <c r="F4526" s="38" t="n">
        <f aca="false">Sens!$F$4516+Sens!$F$4521+Sens!$F$4524+Sens!$F$4525</f>
        <v>56.2888892369246</v>
      </c>
      <c r="G4526" s="38" t="n">
        <f aca="false">Sens!$G$4516+Sens!$G$4521+Sens!$G$4524+Sens!$G$4525</f>
        <v>107.601889236925</v>
      </c>
      <c r="H4526" s="38" t="n">
        <f aca="false">Sens!$H$4516+Sens!$H$4521+Sens!$H$4524+Sens!$H$4525</f>
        <v>125.588496814353</v>
      </c>
      <c r="I4526" s="38" t="n">
        <f aca="false">Sens!$I$4516+Sens!$I$4521+Sens!$I$4524+Sens!$I$4525</f>
        <v>144.332688224469</v>
      </c>
      <c r="J4526" s="38" t="n">
        <f aca="false">Sens!$J$4516+Sens!$J$4521+Sens!$J$4524+Sens!$J$4525</f>
        <v>161.351519636058</v>
      </c>
      <c r="K4526" s="38" t="n">
        <f aca="false">Sens!$K$4516+Sens!$K$4521+Sens!$K$4524+Sens!$K$4525</f>
        <v>171.374351177617</v>
      </c>
      <c r="L4526" s="38" t="n">
        <f aca="false">Sens!$L$4516+Sens!$L$4521+Sens!$L$4524+Sens!$L$4525</f>
        <v>183.882267017677</v>
      </c>
      <c r="M4526" s="38" t="n">
        <f aca="false">Sens!$M$4516+Sens!$M$4521+Sens!$M$4524+Sens!$M$4525</f>
        <v>196.215719447596</v>
      </c>
      <c r="N4526" s="38" t="n">
        <f aca="false">Q!$N$25</f>
        <v>37.576</v>
      </c>
      <c r="O4526" s="38" t="n">
        <f aca="false">Q!$O$25</f>
        <v>42.399</v>
      </c>
    </row>
    <row r="4527" customFormat="false" ht="17.15" hidden="false" customHeight="false" outlineLevel="0" collapsed="false">
      <c r="A4527" s="24" t="s">
        <v>758</v>
      </c>
      <c r="B4527" s="25" t="s">
        <v>86</v>
      </c>
      <c r="C4527" s="41" t="n">
        <f aca="false">Sens!$C$4516+Sens!$C$4521+Sens!$C$4524+Sens!$C$4525-Sens!$C$4526</f>
        <v>0</v>
      </c>
      <c r="D4527" s="41" t="n">
        <f aca="false">Sens!$D$4516+Sens!$D$4521+Sens!$D$4524+Sens!$D$4525-Sens!$D$4526</f>
        <v>0</v>
      </c>
      <c r="E4527" s="41" t="n">
        <f aca="false">Sens!$E$4516+Sens!$E$4521+Sens!$E$4524+Sens!$E$4525-Sens!$E$4526</f>
        <v>0</v>
      </c>
      <c r="F4527" s="41" t="n">
        <f aca="false">Sens!$F$4516+Sens!$F$4521+Sens!$F$4524+Sens!$F$4525-Sens!$F$4526</f>
        <v>0</v>
      </c>
      <c r="G4527" s="41" t="n">
        <f aca="false">Sens!$G$4516+Sens!$G$4521+Sens!$G$4524+Sens!$G$4525-Sens!$G$4526</f>
        <v>0</v>
      </c>
      <c r="H4527" s="41" t="n">
        <f aca="false">Sens!$H$4516+Sens!$H$4521+Sens!$H$4524+Sens!$H$4525-Sens!$H$4526</f>
        <v>0</v>
      </c>
      <c r="I4527" s="41" t="n">
        <f aca="false">Sens!$I$4516+Sens!$I$4521+Sens!$I$4524+Sens!$I$4525-Sens!$I$4526</f>
        <v>0</v>
      </c>
      <c r="J4527" s="41" t="n">
        <f aca="false">Sens!$J$4516+Sens!$J$4521+Sens!$J$4524+Sens!$J$4525-Sens!$J$4526</f>
        <v>0</v>
      </c>
      <c r="K4527" s="41" t="n">
        <f aca="false">Sens!$K$4516+Sens!$K$4521+Sens!$K$4524+Sens!$K$4525-Sens!$K$4526</f>
        <v>0</v>
      </c>
      <c r="L4527" s="41" t="n">
        <f aca="false">Sens!$L$4516+Sens!$L$4521+Sens!$L$4524+Sens!$L$4525-Sens!$L$4526</f>
        <v>0</v>
      </c>
      <c r="M4527" s="41" t="n">
        <f aca="false">Sens!$M$4516+Sens!$M$4521+Sens!$M$4524+Sens!$M$4525-Sens!$M$4526</f>
        <v>0</v>
      </c>
      <c r="N4527" s="41" t="n">
        <f aca="false">Sens!$N$4516+Sens!$N$4521+Sens!$N$4524+Sens!$N$4525-Sens!$N$4526</f>
        <v>0</v>
      </c>
      <c r="O4527" s="41" t="n">
        <f aca="false">Sens!$O$4516+Sens!$O$4521+Sens!$O$4524+Sens!$O$4525-Sens!$O$4526</f>
        <v>0</v>
      </c>
    </row>
    <row r="4528" customFormat="false" ht="17.15" hidden="false" customHeight="false" outlineLevel="0" collapsed="false">
      <c r="A4528" s="5" t="s">
        <v>729</v>
      </c>
      <c r="B4528" s="0" t="s">
        <v>86</v>
      </c>
      <c r="C4528" s="38" t="n">
        <f aca="false">Sens!$C$4464</f>
        <v>0</v>
      </c>
      <c r="D4528" s="38" t="n">
        <f aca="false">Sens!$D$4464</f>
        <v>0</v>
      </c>
      <c r="E4528" s="38" t="n">
        <f aca="false">Sens!$E$4464</f>
        <v>0</v>
      </c>
      <c r="F4528" s="38" t="n">
        <f aca="false">Sens!$F$4464</f>
        <v>3.77122048175818</v>
      </c>
      <c r="G4528" s="38" t="n">
        <f aca="false">Sens!$G$4464</f>
        <v>3.77122048175818</v>
      </c>
      <c r="H4528" s="38" t="n">
        <f aca="false">Sens!$H$4464</f>
        <v>15.1635543609893</v>
      </c>
      <c r="I4528" s="38" t="n">
        <f aca="false">Sens!$I$4464</f>
        <v>25.5818843619889</v>
      </c>
      <c r="J4528" s="38" t="n">
        <f aca="false">Sens!$J$4464</f>
        <v>36.0465624179122</v>
      </c>
      <c r="K4528" s="38" t="n">
        <f aca="false">Sens!$K$4464</f>
        <v>44.9741164026038</v>
      </c>
      <c r="L4528" s="38" t="n">
        <f aca="false">Sens!$L$4464</f>
        <v>50.8413488057813</v>
      </c>
      <c r="M4528" s="38" t="n">
        <f aca="false">Sens!$M$4464</f>
        <v>53.6407214274315</v>
      </c>
      <c r="N4528" s="38" t="n">
        <f aca="false">Sens!$N$4464</f>
        <v>0</v>
      </c>
      <c r="O4528" s="38" t="n">
        <f aca="false">Sens!$O$4464</f>
        <v>0</v>
      </c>
      <c r="P4528" s="5" t="s">
        <v>730</v>
      </c>
    </row>
    <row r="4529" customFormat="false" ht="17.15" hidden="false" customHeight="false" outlineLevel="0" collapsed="false">
      <c r="A4529" s="5" t="s">
        <v>731</v>
      </c>
      <c r="B4529" s="0" t="s">
        <v>86</v>
      </c>
      <c r="C4529" s="38" t="n">
        <f aca="false">Sens!$C$4526+Sens!$C$4528</f>
        <v>68.593</v>
      </c>
      <c r="D4529" s="38" t="n">
        <f aca="false">Sens!$D$4526+Sens!$D$4528</f>
        <v>79.975</v>
      </c>
      <c r="E4529" s="38" t="n">
        <f aca="false">Sens!$E$4526+Sens!$E$4528</f>
        <v>51.313</v>
      </c>
      <c r="F4529" s="38" t="n">
        <f aca="false">Sens!$F$4526+Sens!$F$4528</f>
        <v>60.0601097186828</v>
      </c>
      <c r="G4529" s="38" t="n">
        <f aca="false">Sens!$G$4526+Sens!$G$4528</f>
        <v>111.373109718683</v>
      </c>
      <c r="H4529" s="38" t="n">
        <f aca="false">Sens!$H$4526+Sens!$H$4528</f>
        <v>140.752051175342</v>
      </c>
      <c r="I4529" s="38" t="n">
        <f aca="false">Sens!$I$4526+Sens!$I$4528</f>
        <v>169.914572586458</v>
      </c>
      <c r="J4529" s="38" t="n">
        <f aca="false">Sens!$J$4526+Sens!$J$4528</f>
        <v>197.39808205397</v>
      </c>
      <c r="K4529" s="38" t="n">
        <f aca="false">Sens!$K$4526+Sens!$K$4528</f>
        <v>216.348467580221</v>
      </c>
      <c r="L4529" s="38" t="n">
        <f aca="false">Sens!$L$4526+Sens!$L$4528</f>
        <v>234.723615823459</v>
      </c>
      <c r="M4529" s="38" t="n">
        <f aca="false">Sens!$M$4526+Sens!$M$4528</f>
        <v>249.856440875027</v>
      </c>
      <c r="N4529" s="38" t="n">
        <f aca="false">Sens!$N$4526+Sens!$N$4528</f>
        <v>37.576</v>
      </c>
      <c r="O4529" s="38" t="n">
        <f aca="false">Sens!$O$4526+Sens!$O$4528</f>
        <v>42.399</v>
      </c>
    </row>
    <row r="4530" customFormat="false" ht="17.15" hidden="false" customHeight="false" outlineLevel="0" collapsed="false">
      <c r="A4530" s="0" t="s">
        <v>732</v>
      </c>
      <c r="B4530" s="0" t="s">
        <v>52</v>
      </c>
      <c r="C4530" s="13" t="n">
        <f aca="false">Sens!$C$4516/Sens!$C$4501</f>
        <v>0.0644314665661928</v>
      </c>
      <c r="D4530" s="13" t="n">
        <f aca="false">Sens!$D$4516/Sens!$D$4501</f>
        <v>0.0694784250712518</v>
      </c>
      <c r="E4530" s="13" t="n">
        <f aca="false">Sens!$E$4516/Sens!$E$4501</f>
        <v>0.0789306463326071</v>
      </c>
      <c r="F4530" s="13" t="n">
        <f aca="false">Sens!$F$4516/Sens!$F$4501</f>
        <v>0.0802271154277638</v>
      </c>
      <c r="G4530" s="13" t="n">
        <f aca="false">Sens!$G$4516/Sens!$G$4501</f>
        <v>0.0796206133714758</v>
      </c>
      <c r="H4530" s="13" t="n">
        <f aca="false">Sens!$H$4516/Sens!$H$4501</f>
        <v>0.0765409117637537</v>
      </c>
      <c r="I4530" s="13" t="n">
        <f aca="false">Sens!$I$4516/Sens!$I$4501</f>
        <v>0.0725148071828083</v>
      </c>
      <c r="J4530" s="13" t="n">
        <f aca="false">Sens!$J$4516/Sens!$J$4501</f>
        <v>0.0685074153890064</v>
      </c>
      <c r="K4530" s="13" t="n">
        <f aca="false">Sens!$K$4516/Sens!$K$4501</f>
        <v>0.0643332200860976</v>
      </c>
      <c r="L4530" s="13" t="n">
        <f aca="false">Sens!$L$4516/Sens!$L$4501</f>
        <v>0.0639371947278532</v>
      </c>
      <c r="M4530" s="13" t="n">
        <f aca="false">Sens!$M$4516/Sens!$M$4501</f>
        <v>0.0661913985443767</v>
      </c>
      <c r="N4530" s="13" t="n">
        <f aca="false">Sens!$N$4516/Sens!$N$4501</f>
        <v>0.069228576611127</v>
      </c>
      <c r="O4530" s="13" t="n">
        <f aca="false">Sens!$O$4516/Sens!$O$4501</f>
        <v>0.069685022498393</v>
      </c>
    </row>
    <row r="4531" customFormat="false" ht="17.15" hidden="false" customHeight="false" outlineLevel="0" collapsed="false">
      <c r="A4531" s="0" t="s">
        <v>733</v>
      </c>
      <c r="B4531" s="0" t="s">
        <v>52</v>
      </c>
      <c r="C4531" s="13" t="n">
        <f aca="false">Sens!$C$4521/Sens!$C$4502</f>
        <v>0.026534925055631</v>
      </c>
      <c r="D4531" s="13" t="n">
        <f aca="false">Sens!$D$4521/Sens!$D$4502</f>
        <v>0.0293401855535103</v>
      </c>
      <c r="E4531" s="13" t="n">
        <f aca="false">Sens!$E$4521/Sens!$E$4502</f>
        <v>0.03831141902276</v>
      </c>
      <c r="F4531" s="13" t="n">
        <f aca="false">Sens!$F$4521/Sens!$F$4502</f>
        <v>0.028186380436398</v>
      </c>
      <c r="G4531" s="13" t="n">
        <f aca="false">Sens!$G$4521/Sens!$G$4502</f>
        <v>0.0327880260521739</v>
      </c>
      <c r="H4531" s="13" t="n">
        <f aca="false">Sens!$H$4521/Sens!$H$4502</f>
        <v>0.0302874763409969</v>
      </c>
      <c r="I4531" s="13" t="n">
        <f aca="false">Sens!$I$4521/Sens!$I$4502</f>
        <v>0.0267614610253202</v>
      </c>
      <c r="J4531" s="13" t="n">
        <f aca="false">Sens!$J$4521/Sens!$J$4502</f>
        <v>0.0231523582706593</v>
      </c>
      <c r="K4531" s="13" t="n">
        <f aca="false">Sens!$K$4521/Sens!$K$4502</f>
        <v>0.0192545467174101</v>
      </c>
      <c r="L4531" s="13" t="n">
        <f aca="false">Sens!$L$4521/Sens!$L$4502</f>
        <v>0.0191414347264789</v>
      </c>
      <c r="M4531" s="13" t="n">
        <f aca="false">Sens!$M$4521/Sens!$M$4502</f>
        <v>0.0216850962428001</v>
      </c>
      <c r="N4531" s="13" t="n">
        <f aca="false">Sens!$N$4521/Sens!$N$4502</f>
        <v>0.0357315650169337</v>
      </c>
      <c r="O4531" s="13" t="n">
        <f aca="false">Sens!$O$4521/Sens!$O$4502</f>
        <v>0.0244378956559703</v>
      </c>
    </row>
    <row r="4532" customFormat="false" ht="17.15" hidden="false" customHeight="false" outlineLevel="0" collapsed="false">
      <c r="A4532" s="14" t="s">
        <v>734</v>
      </c>
      <c r="B4532" s="14" t="s">
        <v>52</v>
      </c>
      <c r="C4532" s="17" t="n">
        <f aca="false">Sens!$C$4524/Sens!$C$4503</f>
        <v>0.370355907620217</v>
      </c>
      <c r="D4532" s="17" t="n">
        <f aca="false">Sens!$D$4524/Sens!$D$4503</f>
        <v>0.35429015342785</v>
      </c>
      <c r="E4532" s="17" t="n">
        <f aca="false">Sens!$E$4524/Sens!$E$4503</f>
        <v>0.385647527531039</v>
      </c>
      <c r="F4532" s="17" t="n">
        <f aca="false">Sens!$F$4524/Sens!$F$4503</f>
        <v>0.385171818673936</v>
      </c>
      <c r="G4532" s="17" t="n">
        <f aca="false">Sens!$G$4524/Sens!$G$4503</f>
        <v>0.385399799520974</v>
      </c>
      <c r="H4532" s="17" t="n">
        <f aca="false">Sens!$H$4524/Sens!$H$4503</f>
        <v>0.360029314750347</v>
      </c>
      <c r="I4532" s="17" t="n">
        <f aca="false">Sens!$I$4524/Sens!$I$4503</f>
        <v>0.346606134604193</v>
      </c>
      <c r="J4532" s="17" t="n">
        <f aca="false">Sens!$J$4524/Sens!$J$4503</f>
        <v>0.335699297156574</v>
      </c>
      <c r="K4532" s="17" t="n">
        <f aca="false">Sens!$K$4524/Sens!$K$4503</f>
        <v>0.319043289183739</v>
      </c>
      <c r="L4532" s="17" t="n">
        <f aca="false">Sens!$L$4524/Sens!$L$4503</f>
        <v>0.311918613444893</v>
      </c>
      <c r="M4532" s="17" t="n">
        <f aca="false">Sens!$M$4524/Sens!$M$4503</f>
        <v>0.306523814127389</v>
      </c>
      <c r="N4532" s="17" t="n">
        <f aca="false">Sens!$N$4524/Sens!$N$4503</f>
        <v>0.360941137346192</v>
      </c>
      <c r="O4532" s="17" t="n">
        <f aca="false">Sens!$O$4524/Sens!$O$4503</f>
        <v>0.348458117664212</v>
      </c>
    </row>
    <row r="4533" customFormat="false" ht="17.15" hidden="false" customHeight="false" outlineLevel="0" collapsed="false">
      <c r="A4533" s="0" t="s">
        <v>735</v>
      </c>
      <c r="B4533" s="0" t="s">
        <v>52</v>
      </c>
      <c r="C4533" s="13" t="n">
        <f aca="false">Sens!$C$4522/Sens!$C$4504</f>
        <v>0.708390794789371</v>
      </c>
      <c r="D4533" s="13" t="n">
        <f aca="false">Sens!$D$4522/Sens!$D$4504</f>
        <v>0.445565630441968</v>
      </c>
      <c r="E4533" s="13" t="n">
        <f aca="false">Sens!$E$4522/Sens!$E$4504</f>
        <v>0.165998118402711</v>
      </c>
      <c r="F4533" s="13" t="n">
        <f aca="false">Sens!$F$4522/Sens!$F$4504</f>
        <v>0.434878595403858</v>
      </c>
      <c r="G4533" s="13" t="n">
        <f aca="false">Sens!$G$4522/Sens!$G$4504</f>
        <v>0.3373967615381</v>
      </c>
      <c r="H4533" s="13" t="n">
        <f aca="false">Sens!$H$4522/Sens!$H$4504</f>
        <v>0.320477578041224</v>
      </c>
      <c r="I4533" s="13" t="n">
        <f aca="false">Sens!$I$4522/Sens!$I$4504</f>
        <v>0.296936118226494</v>
      </c>
      <c r="J4533" s="13" t="n">
        <f aca="false">Sens!$J$4522/Sens!$J$4504</f>
        <v>0.282166278613001</v>
      </c>
      <c r="K4533" s="13" t="n">
        <f aca="false">Sens!$K$4522/Sens!$K$4504</f>
        <v>0.252969102881543</v>
      </c>
      <c r="L4533" s="13" t="n">
        <f aca="false">Sens!$L$4522/Sens!$L$4504</f>
        <v>0.240728642826566</v>
      </c>
      <c r="M4533" s="13" t="n">
        <f aca="false">Sens!$M$4522/Sens!$M$4504</f>
        <v>0.227399920863147</v>
      </c>
      <c r="N4533" s="13" t="n">
        <f aca="false">Sens!$N$4522/Sens!$N$4504</f>
        <v>0.302870734830849</v>
      </c>
      <c r="O4533" s="13" t="n">
        <f aca="false">Sens!$O$4522/Sens!$O$4504</f>
        <v>0.52240134346334</v>
      </c>
    </row>
    <row r="4534" customFormat="false" ht="15" hidden="false" customHeight="false" outlineLevel="0" collapsed="false">
      <c r="A4534" s="5" t="s">
        <v>736</v>
      </c>
      <c r="B4534" s="0" t="s">
        <v>52</v>
      </c>
      <c r="C4534" s="13" t="n">
        <f aca="false">Sens!$C$4526/Sens!$C$4506</f>
        <v>0.107519448742004</v>
      </c>
      <c r="D4534" s="13" t="n">
        <f aca="false">Sens!$D$4526/Sens!$D$4506</f>
        <v>0.111552967957552</v>
      </c>
      <c r="E4534" s="13" t="n">
        <f aca="false">Sens!$E$4526/Sens!$E$4506</f>
        <v>0.13428328426562</v>
      </c>
      <c r="F4534" s="13" t="n">
        <f aca="false">Sens!$F$4526/Sens!$F$4506</f>
        <v>0.129167844525589</v>
      </c>
      <c r="G4534" s="13" t="n">
        <f aca="false">Sens!$G$4526/Sens!$G$4506</f>
        <v>0.131557773771988</v>
      </c>
      <c r="H4534" s="13" t="n">
        <f aca="false">Sens!$H$4526/Sens!$H$4506</f>
        <v>0.133281525477473</v>
      </c>
      <c r="I4534" s="13" t="n">
        <f aca="false">Sens!$I$4526/Sens!$I$4506</f>
        <v>0.135041451517527</v>
      </c>
      <c r="J4534" s="13" t="n">
        <f aca="false">Sens!$J$4526/Sens!$J$4506</f>
        <v>0.135599841709606</v>
      </c>
      <c r="K4534" s="13" t="n">
        <f aca="false">Sens!$K$4526/Sens!$K$4506</f>
        <v>0.132226953981136</v>
      </c>
      <c r="L4534" s="13" t="n">
        <f aca="false">Sens!$L$4526/Sens!$L$4506</f>
        <v>0.131798825038156</v>
      </c>
      <c r="M4534" s="13" t="n">
        <f aca="false">Sens!$M$4526/Sens!$M$4506</f>
        <v>0.131900492649451</v>
      </c>
      <c r="N4534" s="13" t="n">
        <f aca="false">Sens!$N$4526/Sens!$N$4506</f>
        <v>0.116201614873411</v>
      </c>
      <c r="O4534" s="13" t="n">
        <f aca="false">Sens!$O$4526/Sens!$O$4506</f>
        <v>0.107733353660861</v>
      </c>
    </row>
    <row r="4535" customFormat="false" ht="17.15" hidden="false" customHeight="false" outlineLevel="0" collapsed="false">
      <c r="A4535" s="1" t="s">
        <v>737</v>
      </c>
    </row>
    <row r="4536" customFormat="false" ht="17.15" hidden="false" customHeight="false" outlineLevel="0" collapsed="false">
      <c r="A4536" s="5" t="s">
        <v>738</v>
      </c>
      <c r="B4536" s="0" t="s">
        <v>52</v>
      </c>
      <c r="D4536" s="28" t="n">
        <f aca="false">(Q!$E$29+Q!$E$30-(1-ext_sh)*Sens!$D$4458)/Sens!$D$4414</f>
        <v>0.0334674312393194</v>
      </c>
    </row>
    <row r="4537" customFormat="false" ht="17.15" hidden="false" customHeight="false" outlineLevel="0" collapsed="false">
      <c r="A4537" s="0" t="s">
        <v>535</v>
      </c>
      <c r="B4537" s="0" t="s">
        <v>86</v>
      </c>
      <c r="C4537" s="38" t="n">
        <f aca="false">Q!$D$29</f>
        <v>14.285</v>
      </c>
      <c r="D4537" s="38" t="n">
        <f aca="false">Q!$E$29</f>
        <v>15.503</v>
      </c>
      <c r="E4537" s="38" t="n">
        <f aca="false">Q!$P$29</f>
        <v>8.78</v>
      </c>
      <c r="F4537" s="38" t="n">
        <f aca="false">(Sens!$D$4536*Sens!$F$4414+(1-ext_sh)*Sens!$F$4458)*Sens!$F$4415</f>
        <v>9.32404990199157</v>
      </c>
      <c r="G4537" s="38" t="n">
        <f aca="false">Sens!$E$4537+Sens!$F$4537</f>
        <v>18.1040499019916</v>
      </c>
      <c r="H4537" s="38" t="n">
        <f aca="false">(Sens!$D$4536*Sens!$H$4414+(1-ext_sh)*Sens!$H$4458)*Sens!$H$4415</f>
        <v>22.5533556752937</v>
      </c>
      <c r="I4537" s="38" t="n">
        <f aca="false">(Sens!$D$4536*Sens!$I$4414+(1-ext_sh)*Sens!$I$4458)*Sens!$I$4415</f>
        <v>28.1941479903215</v>
      </c>
      <c r="J4537" s="38" t="n">
        <f aca="false">(Sens!$D$4536*Sens!$J$4414+(1-ext_sh)*Sens!$J$4458)*Sens!$J$4415</f>
        <v>33.8639126241465</v>
      </c>
      <c r="K4537" s="38" t="n">
        <f aca="false">(Sens!$D$4536*Sens!$K$4414+(1-ext_sh)*Sens!$K$4458)*Sens!$K$4415</f>
        <v>39.4516429979446</v>
      </c>
      <c r="L4537" s="38" t="n">
        <f aca="false">(Sens!$D$4536*Sens!$L$4414+(1-ext_sh)*Sens!$L$4458)*Sens!$L$4415</f>
        <v>43.6240799619622</v>
      </c>
      <c r="M4537" s="38" t="n">
        <f aca="false">(Sens!$D$4536*Sens!$M$4414+(1-ext_sh)*Sens!$M$4458)*Sens!$M$4415</f>
        <v>46.7841679303704</v>
      </c>
      <c r="N4537" s="38" t="n">
        <f aca="false">Q!$N$29</f>
        <v>7.272</v>
      </c>
      <c r="O4537" s="38" t="n">
        <f aca="false">Q!$O$29</f>
        <v>8.231</v>
      </c>
    </row>
    <row r="4538" customFormat="false" ht="17.15" hidden="false" customHeight="false" outlineLevel="0" collapsed="false">
      <c r="A4538" s="0" t="s">
        <v>537</v>
      </c>
      <c r="B4538" s="0" t="s">
        <v>86</v>
      </c>
      <c r="C4538" s="38" t="n">
        <f aca="false">Q!$D$30</f>
        <v>4.462</v>
      </c>
      <c r="D4538" s="38" t="n">
        <f aca="false">Q!$E$30</f>
        <v>4.907</v>
      </c>
      <c r="E4538" s="38" t="n">
        <f aca="false">Q!$P$30</f>
        <v>2.57</v>
      </c>
      <c r="F4538" s="38" t="n">
        <f aca="false">(Sens!$D$4536*Sens!$F$4414+(1-ext_sh)*Sens!$F$4458)*(1-Sens!$F$4415)</f>
        <v>3.66089330199472</v>
      </c>
      <c r="G4538" s="38" t="n">
        <f aca="false">Sens!$E$4538+Sens!$F$4538</f>
        <v>6.23089330199472</v>
      </c>
      <c r="H4538" s="38" t="n">
        <f aca="false">(Sens!$D$4536*Sens!$H$4414+(1-ext_sh)*Sens!$H$4458)*(1-Sens!$H$4415)</f>
        <v>8.63874333111657</v>
      </c>
      <c r="I4538" s="38" t="n">
        <f aca="false">(Sens!$D$4536*Sens!$I$4414+(1-ext_sh)*Sens!$I$4458)*(1-Sens!$I$4415)</f>
        <v>10.7993689025494</v>
      </c>
      <c r="J4538" s="38" t="n">
        <f aca="false">(Sens!$D$4536*Sens!$J$4414+(1-ext_sh)*Sens!$J$4458)*(1-Sens!$J$4415)</f>
        <v>12.9710919101865</v>
      </c>
      <c r="K4538" s="38" t="n">
        <f aca="false">(Sens!$D$4536*Sens!$K$4414+(1-ext_sh)*Sens!$K$4458)*(1-Sens!$K$4415)</f>
        <v>15.1113928568702</v>
      </c>
      <c r="L4538" s="38" t="n">
        <f aca="false">(Sens!$D$4536*Sens!$L$4414+(1-ext_sh)*Sens!$L$4458)*(1-Sens!$L$4415)</f>
        <v>16.7095857163433</v>
      </c>
      <c r="M4538" s="38" t="n">
        <f aca="false">(Sens!$D$4536*Sens!$M$4414+(1-ext_sh)*Sens!$M$4458)*(1-Sens!$M$4415)</f>
        <v>17.9200126371023</v>
      </c>
      <c r="N4538" s="38" t="n">
        <f aca="false">Q!$N$30</f>
        <v>2.316</v>
      </c>
      <c r="O4538" s="38" t="n">
        <f aca="false">Q!$O$30</f>
        <v>2.591</v>
      </c>
    </row>
    <row r="4539" customFormat="false" ht="17.15" hidden="false" customHeight="false" outlineLevel="0" collapsed="false">
      <c r="A4539" s="0" t="s">
        <v>538</v>
      </c>
      <c r="B4539" s="0" t="s">
        <v>86</v>
      </c>
      <c r="C4539" s="38" t="n">
        <f aca="false">Sens!$C$4470</f>
        <v>13.32</v>
      </c>
      <c r="D4539" s="38" t="n">
        <f aca="false">Sens!$D$4470</f>
        <v>21.45</v>
      </c>
      <c r="E4539" s="38" t="n">
        <f aca="false">Sens!$E$4470</f>
        <v>15.353</v>
      </c>
      <c r="F4539" s="38" t="n">
        <f aca="false">Sens!$F$4470</f>
        <v>16.3063747611001</v>
      </c>
      <c r="G4539" s="38" t="n">
        <f aca="false">Sens!$G$4470</f>
        <v>31.6593747611001</v>
      </c>
      <c r="H4539" s="38" t="n">
        <f aca="false">Sens!$H$4470</f>
        <v>53.124242092105</v>
      </c>
      <c r="I4539" s="38" t="n">
        <f aca="false">Sens!$I$4470</f>
        <v>78.046828098133</v>
      </c>
      <c r="J4539" s="38" t="n">
        <f aca="false">Sens!$J$4470</f>
        <v>103.663976940352</v>
      </c>
      <c r="K4539" s="38" t="n">
        <f aca="false">Sens!$K$4470</f>
        <v>129.625086115469</v>
      </c>
      <c r="L4539" s="38" t="n">
        <f aca="false">Sens!$L$4470</f>
        <v>147.435052382502</v>
      </c>
      <c r="M4539" s="38" t="n">
        <f aca="false">Sens!$M$4470</f>
        <v>159.299754080279</v>
      </c>
      <c r="N4539" s="38" t="n">
        <f aca="false">Sens!$N$4470</f>
        <v>9.234</v>
      </c>
      <c r="O4539" s="38" t="n">
        <f aca="false">Sens!$O$4470</f>
        <v>12.216</v>
      </c>
    </row>
    <row r="4540" customFormat="false" ht="17.15" hidden="false" customHeight="false" outlineLevel="0" collapsed="false">
      <c r="A4540" s="5" t="s">
        <v>739</v>
      </c>
      <c r="B4540" s="0" t="s">
        <v>86</v>
      </c>
      <c r="C4540" s="38" t="n">
        <f aca="false">Sens!$C$4537+Sens!$C$4538+Sens!$C$4539</f>
        <v>32.067</v>
      </c>
      <c r="D4540" s="38" t="n">
        <f aca="false">Sens!$D$4537+Sens!$D$4538+Sens!$D$4539</f>
        <v>41.86</v>
      </c>
      <c r="E4540" s="38" t="n">
        <f aca="false">Sens!$E$4537+Sens!$E$4538+Sens!$E$4539</f>
        <v>26.703</v>
      </c>
      <c r="F4540" s="38" t="n">
        <f aca="false">Sens!$F$4537+Sens!$F$4538+Sens!$F$4539</f>
        <v>29.2913179650864</v>
      </c>
      <c r="G4540" s="38" t="n">
        <f aca="false">Sens!$G$4537+Sens!$G$4538+Sens!$G$4539</f>
        <v>55.9943179650864</v>
      </c>
      <c r="H4540" s="38" t="n">
        <f aca="false">Sens!$H$4537+Sens!$H$4538+Sens!$H$4539</f>
        <v>84.3163410985152</v>
      </c>
      <c r="I4540" s="38" t="n">
        <f aca="false">Sens!$I$4537+Sens!$I$4538+Sens!$I$4539</f>
        <v>117.040344991004</v>
      </c>
      <c r="J4540" s="38" t="n">
        <f aca="false">Sens!$J$4537+Sens!$J$4538+Sens!$J$4539</f>
        <v>150.498981474685</v>
      </c>
      <c r="K4540" s="38" t="n">
        <f aca="false">Sens!$K$4537+Sens!$K$4538+Sens!$K$4539</f>
        <v>184.188121970284</v>
      </c>
      <c r="L4540" s="38" t="n">
        <f aca="false">Sens!$L$4537+Sens!$L$4538+Sens!$L$4539</f>
        <v>207.768718060808</v>
      </c>
      <c r="M4540" s="38" t="n">
        <f aca="false">Sens!$M$4537+Sens!$M$4538+Sens!$M$4539</f>
        <v>224.003934647752</v>
      </c>
      <c r="N4540" s="38" t="n">
        <f aca="false">Sens!$N$4537+Sens!$N$4538+Sens!$N$4539</f>
        <v>18.822</v>
      </c>
      <c r="O4540" s="38" t="n">
        <f aca="false">Sens!$O$4537+Sens!$O$4538+Sens!$O$4539</f>
        <v>23.038</v>
      </c>
    </row>
    <row r="4541" customFormat="false" ht="17.15" hidden="false" customHeight="false" outlineLevel="0" collapsed="false">
      <c r="A4541" s="0" t="s">
        <v>740</v>
      </c>
      <c r="B4541" s="0" t="s">
        <v>86</v>
      </c>
      <c r="C4541" s="38" t="n">
        <f aca="false">Sens!$C$4512+Sens!$C$4517</f>
        <v>28.107</v>
      </c>
      <c r="D4541" s="38" t="n">
        <f aca="false">Sens!$D$4512+Sens!$D$4517</f>
        <v>34.3175</v>
      </c>
      <c r="E4541" s="38" t="n">
        <f aca="false">Sens!$E$4512+Sens!$E$4517</f>
        <v>18.526</v>
      </c>
      <c r="F4541" s="38" t="n">
        <f aca="false">Sens!$F$4512+Sens!$F$4517</f>
        <v>23.0786109972074</v>
      </c>
      <c r="G4541" s="38" t="n">
        <f aca="false">Sens!$G$4512+Sens!$G$4517</f>
        <v>41.6046109972074</v>
      </c>
      <c r="H4541" s="38" t="n">
        <f aca="false">Sens!$H$4512+Sens!$H$4517</f>
        <v>49.9484611939488</v>
      </c>
      <c r="I4541" s="38" t="n">
        <f aca="false">Sens!$I$4512+Sens!$I$4517</f>
        <v>58.2915555477481</v>
      </c>
      <c r="J4541" s="38" t="n">
        <f aca="false">Sens!$J$4512+Sens!$J$4517</f>
        <v>66.0744709709759</v>
      </c>
      <c r="K4541" s="38" t="n">
        <f aca="false">Sens!$K$4512+Sens!$K$4517</f>
        <v>72.6819180680735</v>
      </c>
      <c r="L4541" s="38" t="n">
        <f aca="false">Sens!$L$4512+Sens!$L$4517</f>
        <v>79.9501098748808</v>
      </c>
      <c r="M4541" s="38" t="n">
        <f aca="false">Sens!$M$4512+Sens!$M$4517</f>
        <v>87.9451208623689</v>
      </c>
      <c r="N4541" s="38" t="n">
        <f aca="false">Sens!$N$4512+Sens!$N$4517</f>
        <v>14.8075</v>
      </c>
      <c r="O4541" s="38" t="n">
        <f aca="false">Sens!$O$4512+Sens!$O$4517</f>
        <v>19.51</v>
      </c>
    </row>
    <row r="4542" customFormat="false" ht="17.15" hidden="false" customHeight="false" outlineLevel="0" collapsed="false">
      <c r="A4542" s="0" t="s">
        <v>741</v>
      </c>
      <c r="B4542" s="0" t="s">
        <v>86</v>
      </c>
      <c r="C4542" s="38" t="n">
        <f aca="false">Sens!$C$4516+Sens!$C$4521+Sens!$C$4537+Sens!$C$4538-Sens!$C$4541</f>
        <v>19.399</v>
      </c>
      <c r="D4542" s="38" t="n">
        <f aca="false">Sens!$D$4516+Sens!$D$4521+Sens!$D$4537+Sens!$D$4538-Sens!$D$4541</f>
        <v>20.4615</v>
      </c>
      <c r="E4542" s="38" t="n">
        <f aca="false">Sens!$E$4516+Sens!$E$4521+Sens!$E$4537+Sens!$E$4538-Sens!$E$4541</f>
        <v>13.355</v>
      </c>
      <c r="F4542" s="38" t="n">
        <f aca="false">Sens!$F$4516+Sens!$F$4521+Sens!$F$4537+Sens!$F$4538-Sens!$F$4541</f>
        <v>12.7882167664549</v>
      </c>
      <c r="G4542" s="38" t="n">
        <f aca="false">Sens!$G$4516+Sens!$G$4521+Sens!$G$4537+Sens!$G$4538-Sens!$G$4541</f>
        <v>26.1432167664549</v>
      </c>
      <c r="H4542" s="38" t="n">
        <f aca="false">Sens!$H$4516+Sens!$H$4521+Sens!$H$4537+Sens!$H$4538-Sens!$H$4541</f>
        <v>27.1997822848991</v>
      </c>
      <c r="I4542" s="38" t="n">
        <f aca="false">Sens!$I$4516+Sens!$I$4521+Sens!$I$4537+Sens!$I$4538-Sens!$I$4541</f>
        <v>27.8901494320325</v>
      </c>
      <c r="J4542" s="38" t="n">
        <f aca="false">Sens!$J$4516+Sens!$J$4521+Sens!$J$4537+Sens!$J$4538-Sens!$J$4541</f>
        <v>28.3768140207373</v>
      </c>
      <c r="K4542" s="38" t="n">
        <f aca="false">Sens!$K$4516+Sens!$K$4521+Sens!$K$4537+Sens!$K$4538-Sens!$K$4541</f>
        <v>28.8650523607798</v>
      </c>
      <c r="L4542" s="38" t="n">
        <f aca="false">Sens!$L$4516+Sens!$L$4521+Sens!$L$4537+Sens!$L$4538-Sens!$L$4541</f>
        <v>30.115650520536</v>
      </c>
      <c r="M4542" s="38" t="n">
        <f aca="false">Sens!$M$4516+Sens!$M$4521+Sens!$M$4537+Sens!$M$4538-Sens!$M$4541</f>
        <v>32.1405012841552</v>
      </c>
      <c r="N4542" s="38" t="n">
        <f aca="false">Sens!$N$4516+Sens!$N$4521+Sens!$N$4537+Sens!$N$4538-Sens!$N$4541</f>
        <v>10.6495</v>
      </c>
      <c r="O4542" s="38" t="n">
        <f aca="false">Sens!$O$4516+Sens!$O$4521+Sens!$O$4537+Sens!$O$4538-Sens!$O$4541</f>
        <v>9.81200000000001</v>
      </c>
    </row>
    <row r="4543" customFormat="false" ht="17.15" hidden="false" customHeight="false" outlineLevel="0" collapsed="false">
      <c r="A4543" s="0" t="s">
        <v>742</v>
      </c>
      <c r="B4543" s="0" t="s">
        <v>86</v>
      </c>
      <c r="C4543" s="38" t="n">
        <f aca="false">Sens!$C$4523+Sens!$C$4539-ext_sh*Sens!$C$4458</f>
        <v>51.3470500115664</v>
      </c>
      <c r="D4543" s="38" t="n">
        <f aca="false">Sens!$D$4523+Sens!$D$4539-ext_sh*Sens!$D$4458</f>
        <v>60.2799375433739</v>
      </c>
      <c r="E4543" s="38" t="n">
        <f aca="false">Sens!$E$4523+Sens!$E$4539-ext_sh*Sens!$E$4458</f>
        <v>39.5095167090767</v>
      </c>
      <c r="F4543" s="38" t="n">
        <f aca="false">Sens!$F$4523+Sens!$F$4539-ext_sh*Sens!$F$4458</f>
        <v>37.993321722478</v>
      </c>
      <c r="G4543" s="38" t="n">
        <f aca="false">Sens!$G$4523+Sens!$G$4539-ext_sh*Sens!$G$4458</f>
        <v>77.5028384315548</v>
      </c>
      <c r="H4543" s="38" t="n">
        <f aca="false">Sens!$H$4523+Sens!$H$4539-ext_sh*Sens!$H$4458</f>
        <v>85.2394217279746</v>
      </c>
      <c r="I4543" s="38" t="n">
        <f aca="false">Sens!$I$4523+Sens!$I$4539-ext_sh*Sens!$I$4458</f>
        <v>94.6373589713254</v>
      </c>
      <c r="J4543" s="38" t="n">
        <f aca="false">Sens!$J$4523+Sens!$J$4539-ext_sh*Sens!$J$4458</f>
        <v>103.639899284146</v>
      </c>
      <c r="K4543" s="38" t="n">
        <f aca="false">Sens!$K$4523+Sens!$K$4539-ext_sh*Sens!$K$4458</f>
        <v>111.931091226878</v>
      </c>
      <c r="L4543" s="38" t="n">
        <f aca="false">Sens!$L$4523+Sens!$L$4539-ext_sh*Sens!$L$4458</f>
        <v>120.885578525028</v>
      </c>
      <c r="M4543" s="38" t="n">
        <f aca="false">Sens!$M$4523+Sens!$M$4539-ext_sh*Sens!$M$4458</f>
        <v>130.55642480703</v>
      </c>
      <c r="N4543" s="38" t="n">
        <f aca="false">Sens!$N$4523+Sens!$N$4539-ext_sh*Sens!$N$4458</f>
        <v>28.5693781401809</v>
      </c>
      <c r="O4543" s="38" t="n">
        <f aca="false">Sens!$O$4523+Sens!$O$4539-ext_sh*Sens!$O$4458</f>
        <v>31.7105594031931</v>
      </c>
    </row>
    <row r="4544" customFormat="false" ht="17.15" hidden="false" customHeight="false" outlineLevel="0" collapsed="false">
      <c r="A4544" s="0" t="s">
        <v>743</v>
      </c>
      <c r="B4544" s="0" t="s">
        <v>86</v>
      </c>
      <c r="C4544" s="38" t="n">
        <f aca="false">Sens!$C$4461</f>
        <v>1.80694998843362</v>
      </c>
      <c r="D4544" s="38" t="n">
        <f aca="false">Sens!$D$4461</f>
        <v>6.77606245662607</v>
      </c>
      <c r="E4544" s="38" t="n">
        <f aca="false">Sens!$E$4461</f>
        <v>6.62548329092326</v>
      </c>
      <c r="F4544" s="38" t="n">
        <f aca="false">Sens!$F$4461</f>
        <v>11.7200577158706</v>
      </c>
      <c r="G4544" s="38" t="n">
        <f aca="false">Sens!$G$4461</f>
        <v>18.3455410067939</v>
      </c>
      <c r="H4544" s="38" t="n">
        <f aca="false">Sens!$H$4461</f>
        <v>47.5171727060453</v>
      </c>
      <c r="I4544" s="38" t="n">
        <f aca="false">Sens!$I$4461</f>
        <v>80.5539692643667</v>
      </c>
      <c r="J4544" s="38" t="n">
        <f aca="false">Sens!$J$4461</f>
        <v>113.759316834883</v>
      </c>
      <c r="K4544" s="38" t="n">
        <f aca="false">Sens!$K$4461</f>
        <v>142.084411492169</v>
      </c>
      <c r="L4544" s="38" t="n">
        <f aca="false">Sens!$L$4461</f>
        <v>160.69964615804</v>
      </c>
      <c r="M4544" s="38" t="n">
        <f aca="false">Sens!$M$4461</f>
        <v>169.577607141793</v>
      </c>
      <c r="N4544" s="38" t="n">
        <f aca="false">Sens!$N$4461</f>
        <v>2.37162185981912</v>
      </c>
      <c r="O4544" s="38" t="n">
        <f aca="false">Sens!$O$4461</f>
        <v>4.40444059680694</v>
      </c>
    </row>
    <row r="4545" customFormat="false" ht="17.15" hidden="false" customHeight="false" outlineLevel="0" collapsed="false">
      <c r="A4545" s="0" t="s">
        <v>744</v>
      </c>
      <c r="B4545" s="0" t="s">
        <v>86</v>
      </c>
      <c r="C4545" s="38" t="n">
        <f aca="false">Sens!$C$4526+Sens!$C$4540</f>
        <v>100.66</v>
      </c>
      <c r="D4545" s="38" t="n">
        <f aca="false">Sens!$D$4526+Sens!$D$4540</f>
        <v>121.835</v>
      </c>
      <c r="E4545" s="38" t="n">
        <f aca="false">Sens!$E$4526+Sens!$E$4540</f>
        <v>78.016</v>
      </c>
      <c r="F4545" s="38" t="n">
        <f aca="false">Sens!$F$4526+Sens!$F$4540</f>
        <v>85.580207202011</v>
      </c>
      <c r="G4545" s="38" t="n">
        <f aca="false">Sens!$G$4526+Sens!$G$4540</f>
        <v>163.596207202011</v>
      </c>
      <c r="H4545" s="38" t="n">
        <f aca="false">Sens!$H$4526+Sens!$H$4540</f>
        <v>209.904837912868</v>
      </c>
      <c r="I4545" s="38" t="n">
        <f aca="false">Sens!$I$4526+Sens!$I$4540</f>
        <v>261.373033215473</v>
      </c>
      <c r="J4545" s="38" t="n">
        <f aca="false">Sens!$J$4526+Sens!$J$4540</f>
        <v>311.850501110743</v>
      </c>
      <c r="K4545" s="38" t="n">
        <f aca="false">Sens!$K$4526+Sens!$K$4540</f>
        <v>355.562473147901</v>
      </c>
      <c r="L4545" s="38" t="n">
        <f aca="false">Sens!$L$4526+Sens!$L$4540</f>
        <v>391.650985078485</v>
      </c>
      <c r="M4545" s="38" t="n">
        <f aca="false">Sens!$M$4526+Sens!$M$4540</f>
        <v>420.219654095348</v>
      </c>
      <c r="N4545" s="38" t="n">
        <f aca="false">Sens!$N$4526+Sens!$N$4540</f>
        <v>56.398</v>
      </c>
      <c r="O4545" s="38" t="n">
        <f aca="false">Sens!$O$4526+Sens!$O$4540</f>
        <v>65.437</v>
      </c>
    </row>
    <row r="4546" customFormat="false" ht="17.15" hidden="false" customHeight="false" outlineLevel="0" collapsed="false">
      <c r="A4546" s="1" t="s">
        <v>745</v>
      </c>
    </row>
    <row r="4547" customFormat="false" ht="15" hidden="false" customHeight="false" outlineLevel="0" collapsed="false">
      <c r="A4547" s="5" t="s">
        <v>541</v>
      </c>
      <c r="B4547" s="0" t="s">
        <v>86</v>
      </c>
      <c r="C4547" s="38" t="n">
        <f aca="false">Q!$D$34</f>
        <v>2.406</v>
      </c>
      <c r="D4547" s="38" t="n">
        <f aca="false">Q!$E$34</f>
        <v>2.274</v>
      </c>
      <c r="E4547" s="38" t="n">
        <f aca="false">Q!$P$34</f>
        <v>2.114</v>
      </c>
      <c r="F4547" s="38" t="n">
        <f aca="false">Sens!$F$4585</f>
        <v>3.24888962733561</v>
      </c>
      <c r="G4547" s="38" t="n">
        <f aca="false">Sens!$E$4547+Sens!$F$4547</f>
        <v>5.36288962733561</v>
      </c>
      <c r="H4547" s="38" t="n">
        <f aca="false">Sens!$H$4585</f>
        <v>7.42354172302123</v>
      </c>
      <c r="I4547" s="38" t="n">
        <f aca="false">Sens!$I$4585</f>
        <v>8.36366376964002</v>
      </c>
      <c r="J4547" s="38" t="n">
        <f aca="false">Sens!$J$4585</f>
        <v>9.5038528512083</v>
      </c>
      <c r="K4547" s="38" t="n">
        <f aca="false">Sens!$K$4585</f>
        <v>9.5038528512083</v>
      </c>
      <c r="L4547" s="38" t="n">
        <f aca="false">Sens!$L$4585</f>
        <v>9.5038528512083</v>
      </c>
      <c r="M4547" s="38" t="n">
        <f aca="false">Sens!$M$4585</f>
        <v>9.5038528512083</v>
      </c>
      <c r="N4547" s="38" t="n">
        <f aca="false">Q!$N$34</f>
        <v>1.057</v>
      </c>
      <c r="O4547" s="38" t="n">
        <f aca="false">Q!$O$34</f>
        <v>1.217</v>
      </c>
    </row>
    <row r="4548" customFormat="false" ht="15" hidden="false" customHeight="false" outlineLevel="0" collapsed="false">
      <c r="A4548" s="5" t="s">
        <v>746</v>
      </c>
      <c r="B4548" s="0" t="s">
        <v>86</v>
      </c>
      <c r="F4548" s="38" t="n">
        <f aca="false">Sens!$F$4586</f>
        <v>2.59</v>
      </c>
      <c r="H4548" s="38" t="n">
        <f aca="false">Sens!$H$4586</f>
        <v>3.80133635330174</v>
      </c>
      <c r="I4548" s="38" t="n">
        <f aca="false">Sens!$I$4586</f>
        <v>2.10589651022864</v>
      </c>
      <c r="J4548" s="38" t="n">
        <f aca="false">Sens!$J$4586</f>
        <v>2.10589651022864</v>
      </c>
      <c r="K4548" s="38" t="n">
        <f aca="false">Sens!$K$4586</f>
        <v>2.97776800902287</v>
      </c>
      <c r="L4548" s="38" t="n">
        <f aca="false">Sens!$L$4586</f>
        <v>7.84525813281398</v>
      </c>
      <c r="M4548" s="38" t="n">
        <f aca="false">Sens!$M$4586</f>
        <v>15.1537498109469</v>
      </c>
    </row>
    <row r="4549" customFormat="false" ht="17.15" hidden="false" customHeight="false" outlineLevel="0" collapsed="false">
      <c r="A4549" s="5" t="s">
        <v>747</v>
      </c>
      <c r="B4549" s="0" t="s">
        <v>86</v>
      </c>
      <c r="C4549" s="38" t="n">
        <f aca="false">Q!$D$39</f>
        <v>2.427</v>
      </c>
      <c r="D4549" s="38" t="n">
        <f aca="false">Q!$E$39</f>
        <v>19.61</v>
      </c>
      <c r="E4549" s="38" t="n">
        <f aca="false">Q!$P$39</f>
        <v>71.492</v>
      </c>
      <c r="F4549" s="39" t="n">
        <v>0</v>
      </c>
      <c r="G4549" s="38" t="n">
        <f aca="false">Sens!$E$4549+Sens!$F$4549</f>
        <v>71.492</v>
      </c>
      <c r="H4549" s="39" t="n">
        <v>0</v>
      </c>
      <c r="I4549" s="39" t="n">
        <v>0</v>
      </c>
      <c r="J4549" s="39" t="n">
        <v>0</v>
      </c>
      <c r="K4549" s="39" t="n">
        <v>0</v>
      </c>
      <c r="L4549" s="39" t="n">
        <v>0</v>
      </c>
      <c r="M4549" s="39" t="n">
        <v>0</v>
      </c>
      <c r="N4549" s="38" t="n">
        <f aca="false">Q!$N$39</f>
        <v>6.017</v>
      </c>
      <c r="O4549" s="38" t="n">
        <f aca="false">Q!$O$39</f>
        <v>13.593</v>
      </c>
      <c r="P4549" s="5" t="s">
        <v>748</v>
      </c>
    </row>
    <row r="4550" customFormat="false" ht="15" hidden="false" customHeight="false" outlineLevel="0" collapsed="false">
      <c r="A4550" s="5" t="s">
        <v>544</v>
      </c>
      <c r="B4550" s="0" t="s">
        <v>86</v>
      </c>
      <c r="C4550" s="38" t="n">
        <f aca="false">Q!$D$36</f>
        <v>68.614</v>
      </c>
      <c r="D4550" s="38" t="n">
        <f aca="false">Q!$E$36</f>
        <v>97.311</v>
      </c>
      <c r="E4550" s="38" t="n">
        <f aca="false">Q!$P$36</f>
        <v>120.691</v>
      </c>
      <c r="F4550" s="38" t="n">
        <f aca="false">Sens!$F$4526-Sens!$F$4547+Sens!$F$4548+Sens!$F$4549</f>
        <v>55.629999609589</v>
      </c>
      <c r="G4550" s="38" t="n">
        <f aca="false">Sens!$E$4550+Sens!$F$4550</f>
        <v>176.320999609589</v>
      </c>
      <c r="H4550" s="38" t="n">
        <f aca="false">Sens!$H$4526-Sens!$H$4547+Sens!$H$4548+Sens!$H$4549</f>
        <v>121.966291444633</v>
      </c>
      <c r="I4550" s="38" t="n">
        <f aca="false">Sens!$I$4526-Sens!$I$4547+Sens!$I$4548+Sens!$I$4549</f>
        <v>138.074920965057</v>
      </c>
      <c r="J4550" s="38" t="n">
        <f aca="false">Sens!$J$4526-Sens!$J$4547+Sens!$J$4548+Sens!$J$4549</f>
        <v>153.953563295079</v>
      </c>
      <c r="K4550" s="38" t="n">
        <f aca="false">Sens!$K$4526-Sens!$K$4547+Sens!$K$4548+Sens!$K$4549</f>
        <v>164.848266335431</v>
      </c>
      <c r="L4550" s="38" t="n">
        <f aca="false">Sens!$L$4526-Sens!$L$4547+Sens!$L$4548+Sens!$L$4549</f>
        <v>182.223672299283</v>
      </c>
      <c r="M4550" s="38" t="n">
        <f aca="false">Sens!$M$4526-Sens!$M$4547+Sens!$M$4548+Sens!$M$4549</f>
        <v>201.865616407334</v>
      </c>
      <c r="N4550" s="38" t="n">
        <f aca="false">Q!$N$36</f>
        <v>42.536</v>
      </c>
      <c r="O4550" s="38" t="n">
        <f aca="false">Q!$O$36</f>
        <v>54.775</v>
      </c>
    </row>
    <row r="4551" customFormat="false" ht="15" hidden="false" customHeight="false" outlineLevel="0" collapsed="false">
      <c r="A4551" s="5" t="s">
        <v>545</v>
      </c>
      <c r="B4551" s="0" t="s">
        <v>86</v>
      </c>
      <c r="C4551" s="38" t="n">
        <f aca="false">Q!$D$37</f>
        <v>9.265</v>
      </c>
      <c r="D4551" s="38" t="n">
        <f aca="false">Q!$E$37</f>
        <v>19.087</v>
      </c>
      <c r="E4551" s="38" t="n">
        <f aca="false">Q!$P$37</f>
        <v>27.759</v>
      </c>
      <c r="F4551" s="38" t="n">
        <f aca="false">Sens!$F$4550*tax</f>
        <v>9.65650714815835</v>
      </c>
      <c r="G4551" s="38" t="n">
        <f aca="false">Sens!$E$4551+Sens!$F$4551</f>
        <v>37.4155071481584</v>
      </c>
      <c r="H4551" s="38" t="n">
        <f aca="false">Sens!$H$4550*tax</f>
        <v>21.1714609641387</v>
      </c>
      <c r="I4551" s="38" t="n">
        <f aca="false">Sens!$I$4550*tax</f>
        <v>23.967669793955</v>
      </c>
      <c r="J4551" s="38" t="n">
        <f aca="false">Sens!$J$4550*tax</f>
        <v>26.7239564061963</v>
      </c>
      <c r="K4551" s="38" t="n">
        <f aca="false">Sens!$K$4550*tax</f>
        <v>28.6151082761327</v>
      </c>
      <c r="L4551" s="38" t="n">
        <f aca="false">Sens!$L$4550*tax</f>
        <v>31.631209895216</v>
      </c>
      <c r="M4551" s="38" t="n">
        <f aca="false">Sens!$M$4550*tax</f>
        <v>35.0407474651287</v>
      </c>
      <c r="N4551" s="38" t="n">
        <f aca="false">Q!$N$37</f>
        <v>7.231</v>
      </c>
      <c r="O4551" s="38" t="n">
        <f aca="false">Q!$O$37</f>
        <v>11.856</v>
      </c>
    </row>
    <row r="4552" customFormat="false" ht="15" hidden="false" customHeight="false" outlineLevel="0" collapsed="false">
      <c r="A4552" s="3" t="s">
        <v>546</v>
      </c>
      <c r="B4552" s="8" t="s">
        <v>86</v>
      </c>
      <c r="C4552" s="38" t="n">
        <f aca="false">Q!$D$38</f>
        <v>59.248</v>
      </c>
      <c r="D4552" s="38" t="n">
        <f aca="false">Q!$E$38</f>
        <v>77.67</v>
      </c>
      <c r="E4552" s="38" t="n">
        <f aca="false">Q!$P$38</f>
        <v>92.902</v>
      </c>
      <c r="F4552" s="38" t="n">
        <f aca="false">Sens!$F$4550-Sens!$F$4551</f>
        <v>45.9734924614306</v>
      </c>
      <c r="G4552" s="38" t="n">
        <f aca="false">Sens!$E$4552+Sens!$F$4552</f>
        <v>138.875492461431</v>
      </c>
      <c r="H4552" s="38" t="n">
        <f aca="false">Sens!$H$4550-Sens!$H$4551</f>
        <v>100.794830480494</v>
      </c>
      <c r="I4552" s="38" t="n">
        <f aca="false">Sens!$I$4550-Sens!$I$4551</f>
        <v>114.107251171102</v>
      </c>
      <c r="J4552" s="38" t="n">
        <f aca="false">Sens!$J$4550-Sens!$J$4551</f>
        <v>127.229606888882</v>
      </c>
      <c r="K4552" s="38" t="n">
        <f aca="false">Sens!$K$4550-Sens!$K$4551</f>
        <v>136.233158059299</v>
      </c>
      <c r="L4552" s="38" t="n">
        <f aca="false">Sens!$L$4550-Sens!$L$4551</f>
        <v>150.592462404067</v>
      </c>
      <c r="M4552" s="38" t="n">
        <f aca="false">Sens!$M$4550-Sens!$M$4551</f>
        <v>166.824868942206</v>
      </c>
      <c r="N4552" s="38" t="n">
        <f aca="false">Q!$N$38</f>
        <v>35.291</v>
      </c>
      <c r="O4552" s="38" t="n">
        <f aca="false">Q!$O$38</f>
        <v>42.379</v>
      </c>
    </row>
    <row r="4553" customFormat="false" ht="17.15" hidden="false" customHeight="false" outlineLevel="0" collapsed="false">
      <c r="A4553" s="5" t="s">
        <v>549</v>
      </c>
      <c r="B4553" s="5" t="s">
        <v>33</v>
      </c>
      <c r="C4553" s="22" t="n">
        <f aca="false">Q!$D$41</f>
        <v>10.721</v>
      </c>
      <c r="D4553" s="22" t="n">
        <f aca="false">Q!$E$41</f>
        <v>10.827</v>
      </c>
      <c r="E4553" s="22" t="n">
        <f aca="false">(Q!$L$41+Q!$M$41)/2</f>
        <v>10.8885</v>
      </c>
      <c r="F4553" s="22" t="n">
        <f aca="false">Sens!$G$4553</f>
        <v>10.924806</v>
      </c>
      <c r="G4553" s="22" t="n">
        <f aca="false">Q!$M$41*(1+sh_g*0.25)</f>
        <v>10.924806</v>
      </c>
      <c r="H4553" s="22" t="n">
        <f aca="false">Sens!$G$4553*(1+sh_g)</f>
        <v>11.012204448</v>
      </c>
      <c r="I4553" s="22" t="n">
        <f aca="false">Sens!$H$4553*(1+sh_g)</f>
        <v>11.100302083584</v>
      </c>
      <c r="J4553" s="22" t="n">
        <f aca="false">Sens!$I$4553*(1+sh_g)</f>
        <v>11.1891045002527</v>
      </c>
      <c r="K4553" s="22" t="n">
        <f aca="false">Sens!$J$4553*(1+sh_g)</f>
        <v>11.2786173362547</v>
      </c>
      <c r="L4553" s="22" t="n">
        <f aca="false">Sens!$K$4553*(1+sh_g)</f>
        <v>11.3688462749447</v>
      </c>
      <c r="M4553" s="22" t="n">
        <f aca="false">Sens!$L$4553*(1+sh_g)</f>
        <v>11.4597970451443</v>
      </c>
      <c r="P4553" s="5" t="s">
        <v>749</v>
      </c>
    </row>
    <row r="4554" customFormat="false" ht="17.15" hidden="false" customHeight="false" outlineLevel="0" collapsed="false">
      <c r="A4554" s="5" t="s">
        <v>750</v>
      </c>
      <c r="B4554" s="0" t="s">
        <v>86</v>
      </c>
      <c r="C4554" s="38" t="n">
        <f aca="false">Sens!$C$4552+Sens!$C$4528*(1-tax)</f>
        <v>59.248</v>
      </c>
      <c r="D4554" s="38" t="n">
        <f aca="false">Sens!$D$4552+Sens!$D$4528*(1-tax)</f>
        <v>77.67</v>
      </c>
      <c r="E4554" s="38" t="n">
        <f aca="false">Sens!$E$4552+Sens!$E$4528*(1-tax)</f>
        <v>92.902</v>
      </c>
      <c r="F4554" s="38" t="n">
        <f aca="false">Sens!$F$4552+Sens!$F$4528*(1-tax)</f>
        <v>49.0900874210793</v>
      </c>
      <c r="G4554" s="38" t="n">
        <f aca="false">Sens!$G$4552+Sens!$G$4528*(1-tax)</f>
        <v>141.992087421079</v>
      </c>
      <c r="H4554" s="38" t="n">
        <f aca="false">Sens!$H$4552+Sens!$H$4528*(1-tax)</f>
        <v>113.326226435839</v>
      </c>
      <c r="I4554" s="38" t="n">
        <f aca="false">Sens!$I$4552+Sens!$I$4528*(1-tax)</f>
        <v>135.248516246042</v>
      </c>
      <c r="J4554" s="38" t="n">
        <f aca="false">Sens!$J$4552+Sens!$J$4528*(1-tax)</f>
        <v>157.019043833166</v>
      </c>
      <c r="K4554" s="38" t="n">
        <f aca="false">Sens!$K$4552+Sens!$K$4528*(1-tax)</f>
        <v>173.400463755958</v>
      </c>
      <c r="L4554" s="38" t="n">
        <f aca="false">Sens!$L$4552+Sens!$L$4528*(1-tax)</f>
        <v>192.608539744622</v>
      </c>
      <c r="M4554" s="38" t="n">
        <f aca="false">Sens!$M$4552+Sens!$M$4528*(1-tax)</f>
        <v>211.154391133046</v>
      </c>
      <c r="N4554" s="38" t="n">
        <f aca="false">Sens!$N$4552+Sens!$N$4528*(1-tax)</f>
        <v>35.291</v>
      </c>
      <c r="O4554" s="38" t="n">
        <f aca="false">Sens!$O$4552+Sens!$O$4528*(1-tax)</f>
        <v>42.379</v>
      </c>
    </row>
    <row r="4555" customFormat="false" ht="17.15" hidden="false" customHeight="false" outlineLevel="0" collapsed="false">
      <c r="A4555" s="43" t="s">
        <v>751</v>
      </c>
      <c r="B4555" s="14" t="s">
        <v>27</v>
      </c>
      <c r="C4555" s="44" t="n">
        <f aca="false">Sens!$C$4554/Sens!$C$4553</f>
        <v>5.52635015390355</v>
      </c>
      <c r="D4555" s="44" t="n">
        <f aca="false">Sens!$D$4554/Sens!$D$4553</f>
        <v>7.1737323358271</v>
      </c>
      <c r="E4555" s="44" t="n">
        <f aca="false">Sens!$E$4554/Sens!$E$4553</f>
        <v>8.53212104513937</v>
      </c>
      <c r="F4555" s="14"/>
      <c r="G4555" s="44" t="n">
        <f aca="false">Sens!$G$4554/Sens!$G$4553</f>
        <v>12.9972182042481</v>
      </c>
      <c r="H4555" s="44" t="n">
        <f aca="false">Sens!$H$4554/Sens!$H$4553</f>
        <v>10.2909664428198</v>
      </c>
      <c r="I4555" s="44" t="n">
        <f aca="false">Sens!$I$4554/Sens!$I$4553</f>
        <v>12.1842194228261</v>
      </c>
      <c r="J4555" s="44" t="n">
        <f aca="false">Sens!$J$4554/Sens!$J$4553</f>
        <v>14.0332091660794</v>
      </c>
      <c r="K4555" s="44" t="n">
        <f aca="false">Sens!$K$4554/Sens!$K$4553</f>
        <v>15.3742660634977</v>
      </c>
      <c r="L4555" s="44" t="n">
        <f aca="false">Sens!$L$4554/Sens!$L$4553</f>
        <v>16.9417841605531</v>
      </c>
      <c r="M4555" s="44" t="n">
        <f aca="false">Sens!$M$4554/Sens!$M$4553</f>
        <v>18.4256658561432</v>
      </c>
      <c r="N4555" s="14"/>
      <c r="O4555" s="14"/>
    </row>
    <row r="4556" customFormat="false" ht="17.15" hidden="false" customHeight="false" outlineLevel="0" collapsed="false">
      <c r="A4556" s="0" t="s">
        <v>752</v>
      </c>
      <c r="B4556" s="0" t="s">
        <v>27</v>
      </c>
      <c r="C4556" s="30" t="n">
        <f aca="false">Sens!$C$4552/Sens!$C$4553</f>
        <v>5.52635015390355</v>
      </c>
      <c r="D4556" s="30" t="n">
        <f aca="false">Sens!$D$4552/Sens!$D$4553</f>
        <v>7.1737323358271</v>
      </c>
      <c r="E4556" s="30" t="n">
        <f aca="false">Sens!$E$4552/Sens!$E$4553</f>
        <v>8.53212104513937</v>
      </c>
      <c r="G4556" s="30" t="n">
        <f aca="false">Sens!$G$4552/Sens!$G$4553</f>
        <v>12.7119412886078</v>
      </c>
      <c r="H4556" s="30" t="n">
        <f aca="false">Sens!$H$4552/Sens!$H$4553</f>
        <v>9.15301118467705</v>
      </c>
      <c r="I4556" s="30" t="n">
        <f aca="false">Sens!$I$4552/Sens!$I$4553</f>
        <v>10.2796527798872</v>
      </c>
      <c r="J4556" s="30" t="n">
        <f aca="false">Sens!$J$4552/Sens!$J$4553</f>
        <v>11.3708480322093</v>
      </c>
      <c r="K4556" s="30" t="n">
        <f aca="false">Sens!$K$4552/Sens!$K$4553</f>
        <v>12.0788882180959</v>
      </c>
      <c r="L4556" s="30" t="n">
        <f aca="false">Sens!$L$4552/Sens!$L$4553</f>
        <v>13.2460637396383</v>
      </c>
      <c r="M4556" s="30" t="n">
        <f aca="false">Sens!$M$4552/Sens!$M$4553</f>
        <v>14.5574016961227</v>
      </c>
    </row>
    <row r="4557" customFormat="false" ht="17.15" hidden="false" customHeight="false" outlineLevel="0" collapsed="false">
      <c r="A4557" s="0" t="s">
        <v>753</v>
      </c>
      <c r="B4557" s="0" t="s">
        <v>27</v>
      </c>
      <c r="C4557" s="30" t="n">
        <f aca="false">(Sens!$C$4552-Sens!$C$4549*(1-tax))/Sens!$C$4553</f>
        <v>5.33926775917445</v>
      </c>
      <c r="D4557" s="30" t="n">
        <f aca="false">(Sens!$D$4552-Sens!$D$4549*(1-tax))/Sens!$D$4553</f>
        <v>5.67691812755503</v>
      </c>
      <c r="E4557" s="30" t="n">
        <f aca="false">(Sens!$E$4552-Sens!$E$4549*(1-tax))/Sens!$E$4553</f>
        <v>3.10602057006846</v>
      </c>
      <c r="G4557" s="30" t="n">
        <f aca="false">(Sens!$G$4552-Sens!$G$4549*(1-tax))/Sens!$G$4553</f>
        <v>7.30387317071086</v>
      </c>
      <c r="H4557" s="30" t="n">
        <f aca="false">(Sens!$H$4552-Sens!$H$4549*(1-tax))/Sens!$H$4553</f>
        <v>9.15301118467705</v>
      </c>
      <c r="I4557" s="30" t="n">
        <f aca="false">(Sens!$I$4552-Sens!$I$4549*(1-tax))/Sens!$I$4553</f>
        <v>10.2796527798872</v>
      </c>
      <c r="J4557" s="30" t="n">
        <f aca="false">(Sens!$J$4552-Sens!$J$4549*(1-tax))/Sens!$J$4553</f>
        <v>11.3708480322093</v>
      </c>
      <c r="K4557" s="30" t="n">
        <f aca="false">(Sens!$K$4552-Sens!$K$4549*(1-tax))/Sens!$K$4553</f>
        <v>12.0788882180959</v>
      </c>
      <c r="L4557" s="30" t="n">
        <f aca="false">(Sens!$L$4552-Sens!$L$4549*(1-tax))/Sens!$L$4553</f>
        <v>13.2460637396383</v>
      </c>
      <c r="M4557" s="30" t="n">
        <f aca="false">(Sens!$M$4552-Sens!$M$4549*(1-tax))/Sens!$M$4553</f>
        <v>14.5574016961227</v>
      </c>
      <c r="P4557" s="5" t="s">
        <v>754</v>
      </c>
    </row>
    <row r="4558" customFormat="false" ht="17.15" hidden="false" customHeight="false" outlineLevel="0" collapsed="false">
      <c r="A4558" s="0" t="s">
        <v>755</v>
      </c>
      <c r="B4558" s="0" t="s">
        <v>52</v>
      </c>
      <c r="H4558" s="13" t="n">
        <f aca="false">Sens!$H$4555/Sens!$G$4555-1</f>
        <v>-0.20821776774847</v>
      </c>
      <c r="I4558" s="13" t="n">
        <f aca="false">Sens!$I$4555/Sens!$H$4555-1</f>
        <v>0.183972320823888</v>
      </c>
      <c r="J4558" s="13" t="n">
        <f aca="false">Sens!$J$4555/Sens!$I$4555-1</f>
        <v>0.151752827086265</v>
      </c>
      <c r="K4558" s="13" t="n">
        <f aca="false">Sens!$K$4555/Sens!$J$4555-1</f>
        <v>0.0955630947666561</v>
      </c>
      <c r="L4558" s="13" t="n">
        <f aca="false">Sens!$L$4555/Sens!$K$4555-1</f>
        <v>0.101957263558557</v>
      </c>
      <c r="M4558" s="13" t="n">
        <f aca="false">Sens!$M$4555/Sens!$L$4555-1</f>
        <v>0.087587097175108</v>
      </c>
    </row>
    <row r="4561" customFormat="false" ht="19.4" hidden="false" customHeight="false" outlineLevel="0" collapsed="false">
      <c r="A4561" s="31" t="s">
        <v>1220</v>
      </c>
    </row>
    <row r="4562" customFormat="false" ht="17.15" hidden="false" customHeight="false" outlineLevel="0" collapsed="false">
      <c r="A4562" s="6" t="s">
        <v>16</v>
      </c>
      <c r="B4562" s="6" t="s">
        <v>17</v>
      </c>
      <c r="C4562" s="20" t="s">
        <v>494</v>
      </c>
      <c r="D4562" s="20" t="s">
        <v>495</v>
      </c>
      <c r="E4562" s="20" t="s">
        <v>577</v>
      </c>
      <c r="F4562" s="20" t="s">
        <v>578</v>
      </c>
      <c r="G4562" s="20" t="s">
        <v>579</v>
      </c>
      <c r="H4562" s="20" t="s">
        <v>580</v>
      </c>
      <c r="I4562" s="20" t="s">
        <v>581</v>
      </c>
      <c r="J4562" s="20" t="s">
        <v>582</v>
      </c>
      <c r="K4562" s="20" t="s">
        <v>583</v>
      </c>
      <c r="L4562" s="20" t="s">
        <v>584</v>
      </c>
      <c r="M4562" s="20" t="s">
        <v>585</v>
      </c>
      <c r="N4562" s="20" t="s">
        <v>586</v>
      </c>
      <c r="O4562" s="20" t="s">
        <v>587</v>
      </c>
      <c r="P4562" s="6" t="s">
        <v>23</v>
      </c>
      <c r="R4562" s="20" t="n">
        <v>2023</v>
      </c>
      <c r="S4562" s="20" t="n">
        <v>2024</v>
      </c>
      <c r="T4562" s="20" t="n">
        <v>2025</v>
      </c>
      <c r="U4562" s="20" t="n">
        <v>2026</v>
      </c>
      <c r="V4562" s="20" t="n">
        <v>2027</v>
      </c>
      <c r="W4562" s="20" t="n">
        <v>2028</v>
      </c>
      <c r="X4562" s="20" t="n">
        <v>2029</v>
      </c>
      <c r="Y4562" s="20" t="n">
        <v>2030</v>
      </c>
      <c r="Z4562" s="20" t="n">
        <v>2031</v>
      </c>
      <c r="AA4562" s="20" t="n">
        <v>2032</v>
      </c>
    </row>
    <row r="4563" customFormat="false" ht="15" hidden="false" customHeight="false" outlineLevel="0" collapsed="false">
      <c r="A4563" s="5" t="s">
        <v>546</v>
      </c>
      <c r="B4563" s="0" t="s">
        <v>86</v>
      </c>
      <c r="C4563" s="38" t="n">
        <f aca="false">Sens!$C$4552</f>
        <v>59.248</v>
      </c>
      <c r="D4563" s="38" t="n">
        <f aca="false">Sens!$D$4552</f>
        <v>77.67</v>
      </c>
      <c r="E4563" s="38" t="n">
        <f aca="false">Sens!$E$4552</f>
        <v>92.902</v>
      </c>
      <c r="F4563" s="38" t="n">
        <f aca="false">Sens!$F$4552</f>
        <v>45.9734924614306</v>
      </c>
      <c r="G4563" s="38" t="n">
        <f aca="false">Sens!$G$4552</f>
        <v>138.875492461431</v>
      </c>
      <c r="H4563" s="38" t="n">
        <f aca="false">Sens!$H$4552</f>
        <v>100.794830480494</v>
      </c>
      <c r="I4563" s="38" t="n">
        <f aca="false">Sens!$I$4552</f>
        <v>114.107251171102</v>
      </c>
      <c r="J4563" s="38" t="n">
        <f aca="false">Sens!$J$4552</f>
        <v>127.229606888882</v>
      </c>
      <c r="K4563" s="38" t="n">
        <f aca="false">Sens!$K$4552</f>
        <v>136.233158059299</v>
      </c>
      <c r="L4563" s="38" t="n">
        <f aca="false">Sens!$L$4552</f>
        <v>150.592462404067</v>
      </c>
      <c r="M4563" s="38" t="n">
        <f aca="false">Sens!$M$4552</f>
        <v>166.824868942206</v>
      </c>
    </row>
    <row r="4564" customFormat="false" ht="17.15" hidden="false" customHeight="false" outlineLevel="0" collapsed="false">
      <c r="A4564" s="5" t="s">
        <v>778</v>
      </c>
      <c r="B4564" s="0" t="s">
        <v>86</v>
      </c>
      <c r="C4564" s="38" t="n">
        <f aca="false">Sens!$C$4540</f>
        <v>32.067</v>
      </c>
      <c r="D4564" s="38" t="n">
        <f aca="false">Sens!$D$4540</f>
        <v>41.86</v>
      </c>
      <c r="E4564" s="38" t="n">
        <f aca="false">Sens!$E$4540</f>
        <v>26.703</v>
      </c>
      <c r="F4564" s="38" t="n">
        <f aca="false">Sens!$F$4540</f>
        <v>29.2913179650864</v>
      </c>
      <c r="G4564" s="38" t="n">
        <f aca="false">Sens!$G$4540</f>
        <v>55.9943179650864</v>
      </c>
      <c r="H4564" s="38" t="n">
        <f aca="false">Sens!$H$4540</f>
        <v>84.3163410985152</v>
      </c>
      <c r="I4564" s="38" t="n">
        <f aca="false">Sens!$I$4540</f>
        <v>117.040344991004</v>
      </c>
      <c r="J4564" s="38" t="n">
        <f aca="false">Sens!$J$4540</f>
        <v>150.498981474685</v>
      </c>
      <c r="K4564" s="38" t="n">
        <f aca="false">Sens!$K$4540</f>
        <v>184.188121970284</v>
      </c>
      <c r="L4564" s="38" t="n">
        <f aca="false">Sens!$L$4540</f>
        <v>207.768718060808</v>
      </c>
      <c r="M4564" s="38" t="n">
        <f aca="false">Sens!$M$4540</f>
        <v>224.003934647752</v>
      </c>
    </row>
    <row r="4565" customFormat="false" ht="15" hidden="false" customHeight="false" outlineLevel="0" collapsed="false">
      <c r="A4565" s="5" t="s">
        <v>779</v>
      </c>
      <c r="B4565" s="0" t="s">
        <v>86</v>
      </c>
      <c r="C4565" s="38" t="n">
        <f aca="false">Q!$D$48</f>
        <v>22.011</v>
      </c>
      <c r="D4565" s="38" t="n">
        <f aca="false">Q!$E$48</f>
        <v>19.467</v>
      </c>
      <c r="E4565" s="38" t="n">
        <f aca="false">Q!$P$48</f>
        <v>10.07</v>
      </c>
      <c r="F4565" s="38" t="n">
        <f aca="false">sbc_r*Sens!$F$4482</f>
        <v>10.8507035798037</v>
      </c>
      <c r="G4565" s="38" t="n">
        <f aca="false">Sens!$E$4565+Sens!$F$4565</f>
        <v>20.9207035798037</v>
      </c>
      <c r="H4565" s="38" t="n">
        <f aca="false">sbc_r*Sens!$H$4482</f>
        <v>23.46224366345</v>
      </c>
      <c r="I4565" s="38" t="n">
        <f aca="false">sbc_r*Sens!$I$4482</f>
        <v>26.6125957111676</v>
      </c>
      <c r="J4565" s="38" t="n">
        <f aca="false">sbc_r*Sens!$J$4482</f>
        <v>29.6280801413323</v>
      </c>
      <c r="K4565" s="38" t="n">
        <f aca="false">sbc_r*Sens!$K$4482</f>
        <v>32.2712258901105</v>
      </c>
      <c r="L4565" s="38" t="n">
        <f aca="false">sbc_r*Sens!$L$4482</f>
        <v>34.7390505016737</v>
      </c>
      <c r="M4565" s="38" t="n">
        <f aca="false">sbc_r*Sens!$M$4482</f>
        <v>37.0405146906692</v>
      </c>
    </row>
    <row r="4566" customFormat="false" ht="17.15" hidden="false" customHeight="false" outlineLevel="0" collapsed="false">
      <c r="A4566" s="5" t="s">
        <v>780</v>
      </c>
      <c r="B4566" s="0" t="s">
        <v>86</v>
      </c>
      <c r="C4566" s="38" t="n">
        <f aca="false">Q!$D$44-Sens!$C$4563-Sens!$C$4564-Sens!$C$4565</f>
        <v>2.551</v>
      </c>
      <c r="D4566" s="38" t="n">
        <f aca="false">Q!$E$44-Sens!$D$4563-Sens!$D$4564-Sens!$D$4565</f>
        <v>0.51700000000001</v>
      </c>
      <c r="E4566" s="38" t="n">
        <f aca="false">Q!$P$44-Sens!$E$4563-Sens!$E$4564-Sens!$E$4565</f>
        <v>-58.256</v>
      </c>
      <c r="F4566" s="38" t="n">
        <f aca="false">oth_r*Sens!$F$4482</f>
        <v>5.22265251035878</v>
      </c>
      <c r="G4566" s="38" t="n">
        <f aca="false">Sens!$E$4566+Sens!$F$4566</f>
        <v>-53.0333474896412</v>
      </c>
      <c r="H4566" s="38" t="n">
        <f aca="false">oth_r*Sens!$H$4482</f>
        <v>11.2928295263397</v>
      </c>
      <c r="I4566" s="38" t="n">
        <f aca="false">oth_r*Sens!$I$4482</f>
        <v>12.8091546115766</v>
      </c>
      <c r="J4566" s="38" t="n">
        <f aca="false">oth_r*Sens!$J$4482</f>
        <v>14.2605653162668</v>
      </c>
      <c r="K4566" s="38" t="n">
        <f aca="false">oth_r*Sens!$K$4482</f>
        <v>15.5327622460396</v>
      </c>
      <c r="L4566" s="38" t="n">
        <f aca="false">oth_r*Sens!$L$4482</f>
        <v>16.720573737517</v>
      </c>
      <c r="M4566" s="38" t="n">
        <f aca="false">oth_r*Sens!$M$4482</f>
        <v>17.8283127551536</v>
      </c>
      <c r="P4566" s="8" t="s">
        <v>781</v>
      </c>
    </row>
    <row r="4567" customFormat="false" ht="15" hidden="false" customHeight="false" outlineLevel="0" collapsed="false">
      <c r="A4567" s="3" t="s">
        <v>552</v>
      </c>
      <c r="B4567" s="8" t="s">
        <v>86</v>
      </c>
      <c r="C4567" s="38" t="n">
        <f aca="false">Q!$D$44</f>
        <v>115.877</v>
      </c>
      <c r="D4567" s="38" t="n">
        <f aca="false">Q!$E$44</f>
        <v>139.514</v>
      </c>
      <c r="E4567" s="38" t="n">
        <f aca="false">Q!$P$44</f>
        <v>71.419</v>
      </c>
      <c r="F4567" s="38" t="n">
        <f aca="false">Sens!$F$4563+Sens!$F$4564+Sens!$F$4565+Sens!$F$4566</f>
        <v>91.3381665166794</v>
      </c>
      <c r="G4567" s="38" t="n">
        <f aca="false">Sens!$E$4567+Sens!$F$4567</f>
        <v>162.757166516679</v>
      </c>
      <c r="H4567" s="38" t="n">
        <f aca="false">Sens!$H$4563+Sens!$H$4564+Sens!$H$4565+Sens!$H$4566</f>
        <v>219.866244768799</v>
      </c>
      <c r="I4567" s="38" t="n">
        <f aca="false">Sens!$I$4563+Sens!$I$4564+Sens!$I$4565+Sens!$I$4566</f>
        <v>270.56934648485</v>
      </c>
      <c r="J4567" s="38" t="n">
        <f aca="false">Sens!$J$4563+Sens!$J$4564+Sens!$J$4565+Sens!$J$4566</f>
        <v>321.617233821166</v>
      </c>
      <c r="K4567" s="38" t="n">
        <f aca="false">Sens!$K$4563+Sens!$K$4564+Sens!$K$4565+Sens!$K$4566</f>
        <v>368.225268165733</v>
      </c>
      <c r="L4567" s="38" t="n">
        <f aca="false">Sens!$L$4563+Sens!$L$4564+Sens!$L$4565+Sens!$L$4566</f>
        <v>409.820804704066</v>
      </c>
      <c r="M4567" s="38" t="n">
        <f aca="false">Sens!$M$4563+Sens!$M$4564+Sens!$M$4565+Sens!$M$4566</f>
        <v>445.697631035781</v>
      </c>
    </row>
    <row r="4568" customFormat="false" ht="17.15" hidden="false" customHeight="false" outlineLevel="0" collapsed="false">
      <c r="A4568" s="5" t="s">
        <v>782</v>
      </c>
      <c r="B4568" s="0" t="s">
        <v>86</v>
      </c>
      <c r="C4568" s="38" t="n">
        <f aca="false">Sens!$C$4451</f>
        <v>25.2781053077374</v>
      </c>
      <c r="D4568" s="38" t="n">
        <f aca="false">Sens!$D$4451</f>
        <v>69.5686316310026</v>
      </c>
      <c r="E4568" s="38" t="n">
        <f aca="false">Sens!$E$4451</f>
        <v>64.1899206485108</v>
      </c>
      <c r="F4568" s="38" t="n">
        <f aca="false">Sens!$F$4451</f>
        <v>96.2481299895</v>
      </c>
      <c r="G4568" s="38" t="n">
        <f aca="false">Sens!$G$4451</f>
        <v>160.438050638011</v>
      </c>
      <c r="H4568" s="38" t="n">
        <f aca="false">Sens!$H$4451</f>
        <v>198.57136494475</v>
      </c>
      <c r="I4568" s="38" t="n">
        <f aca="false">Sens!$I$4451</f>
        <v>204.6464699105</v>
      </c>
      <c r="J4568" s="38" t="n">
        <f aca="false">Sens!$J$4451</f>
        <v>209.8832381105</v>
      </c>
      <c r="K4568" s="38" t="n">
        <f aca="false">Sens!$K$4451</f>
        <v>155.238385275201</v>
      </c>
      <c r="L4568" s="38" t="n">
        <f aca="false">Sens!$L$4451</f>
        <v>132.014141639902</v>
      </c>
      <c r="M4568" s="38" t="n">
        <f aca="false">Sens!$M$4451</f>
        <v>132.230981659852</v>
      </c>
    </row>
    <row r="4569" customFormat="false" ht="17.15" hidden="false" customHeight="false" outlineLevel="0" collapsed="false">
      <c r="A4569" s="5" t="s">
        <v>783</v>
      </c>
      <c r="B4569" s="0" t="s">
        <v>86</v>
      </c>
      <c r="C4569" s="38" t="n">
        <f aca="false">cx_awso*Sens!$C$4480</f>
        <v>21.0469989286053</v>
      </c>
      <c r="D4569" s="38" t="n">
        <f aca="false">cx_awso*Sens!$D$4480</f>
        <v>24.0042459822698</v>
      </c>
      <c r="E4569" s="38" t="n">
        <f aca="false">cx_awso*Sens!$E$4480</f>
        <v>14.261729404886</v>
      </c>
      <c r="F4569" s="38" t="n">
        <f aca="false">cx_awso*Sens!$F$4480</f>
        <v>14.3538599588493</v>
      </c>
      <c r="G4569" s="38" t="n">
        <f aca="false">Sens!$E$4569+Sens!$F$4569</f>
        <v>28.6155893637353</v>
      </c>
      <c r="H4569" s="38" t="n">
        <f aca="false">cx_awso*Sens!$H$4480</f>
        <v>32.2034154158406</v>
      </c>
      <c r="I4569" s="38" t="n">
        <f aca="false">cx_awso*Sens!$I$4480</f>
        <v>35.7539519042915</v>
      </c>
      <c r="J4569" s="38" t="n">
        <f aca="false">cx_awso*Sens!$J$4480</f>
        <v>39.1551076091815</v>
      </c>
      <c r="K4569" s="38" t="n">
        <f aca="false">cx_awso*Sens!$K$4480</f>
        <v>42.287516217916</v>
      </c>
      <c r="L4569" s="38" t="n">
        <f aca="false">cx_awso*Sens!$L$4480</f>
        <v>45.6705175153492</v>
      </c>
      <c r="M4569" s="38" t="n">
        <f aca="false">cx_awso*Sens!$M$4480</f>
        <v>49.3241589165772</v>
      </c>
    </row>
    <row r="4570" customFormat="false" ht="17.15" hidden="false" customHeight="false" outlineLevel="0" collapsed="false">
      <c r="A4570" s="5" t="s">
        <v>784</v>
      </c>
      <c r="B4570" s="0" t="s">
        <v>86</v>
      </c>
      <c r="C4570" s="38" t="n">
        <f aca="false">Q!$D$46-Sens!$C$4568-Sens!$C$4569</f>
        <v>31.3328957636573</v>
      </c>
      <c r="D4570" s="38" t="n">
        <f aca="false">Q!$E$46-Sens!$D$4568-Sens!$D$4569</f>
        <v>34.7471223867276</v>
      </c>
      <c r="E4570" s="38" t="n">
        <f aca="false">Q!$P$46-Sens!$E$4568-Sens!$E$4569</f>
        <v>17.8583499466032</v>
      </c>
      <c r="F4570" s="38" t="n">
        <f aca="false">cx_rt*Sens!$F$4414</f>
        <v>20.6195895799373</v>
      </c>
      <c r="G4570" s="38" t="n">
        <f aca="false">Sens!$E$4570+Sens!$F$4570</f>
        <v>38.4779395265405</v>
      </c>
      <c r="H4570" s="38" t="n">
        <f aca="false">cx_rt*Sens!$H$4414</f>
        <v>42.5978994743075</v>
      </c>
      <c r="I4570" s="38" t="n">
        <f aca="false">cx_rt*Sens!$I$4414</f>
        <v>46.5813904136335</v>
      </c>
      <c r="J4570" s="38" t="n">
        <f aca="false">cx_rt*Sens!$J$4414</f>
        <v>50.2781676586844</v>
      </c>
      <c r="K4570" s="38" t="n">
        <f aca="false">cx_rt*Sens!$K$4414</f>
        <v>53.5312440191755</v>
      </c>
      <c r="L4570" s="38" t="n">
        <f aca="false">cx_rt*Sens!$L$4414</f>
        <v>57.0116717051447</v>
      </c>
      <c r="M4570" s="38" t="n">
        <f aca="false">cx_rt*Sens!$M$4414</f>
        <v>60.7365554669226</v>
      </c>
    </row>
    <row r="4571" customFormat="false" ht="15" hidden="false" customHeight="false" outlineLevel="0" collapsed="false">
      <c r="A4571" s="3" t="s">
        <v>785</v>
      </c>
      <c r="B4571" s="8" t="s">
        <v>86</v>
      </c>
      <c r="C4571" s="38" t="n">
        <f aca="false">Q!$D$46</f>
        <v>77.658</v>
      </c>
      <c r="D4571" s="38" t="n">
        <f aca="false">Q!$E$46</f>
        <v>128.32</v>
      </c>
      <c r="E4571" s="38" t="n">
        <f aca="false">Q!$P$46</f>
        <v>96.31</v>
      </c>
      <c r="F4571" s="38" t="n">
        <f aca="false">Sens!$F$4568+Sens!$F$4569+Sens!$F$4570</f>
        <v>131.221579528287</v>
      </c>
      <c r="G4571" s="38" t="n">
        <f aca="false">Sens!$E$4571+Sens!$F$4571</f>
        <v>227.531579528287</v>
      </c>
      <c r="H4571" s="38" t="n">
        <f aca="false">Sens!$H$4568+Sens!$H$4569+Sens!$H$4570</f>
        <v>273.372679834898</v>
      </c>
      <c r="I4571" s="38" t="n">
        <f aca="false">Sens!$I$4568+Sens!$I$4569+Sens!$I$4570</f>
        <v>286.981812228425</v>
      </c>
      <c r="J4571" s="38" t="n">
        <f aca="false">Sens!$J$4568+Sens!$J$4569+Sens!$J$4570</f>
        <v>299.316513378366</v>
      </c>
      <c r="K4571" s="38" t="n">
        <f aca="false">Sens!$K$4568+Sens!$K$4569+Sens!$K$4570</f>
        <v>251.057145512292</v>
      </c>
      <c r="L4571" s="38" t="n">
        <f aca="false">Sens!$L$4568+Sens!$L$4569+Sens!$L$4570</f>
        <v>234.696330860396</v>
      </c>
      <c r="M4571" s="38" t="n">
        <f aca="false">Sens!$M$4568+Sens!$M$4569+Sens!$M$4570</f>
        <v>242.291696043352</v>
      </c>
    </row>
    <row r="4572" customFormat="false" ht="17.15" hidden="false" customHeight="false" outlineLevel="0" collapsed="false">
      <c r="A4572" s="5" t="s">
        <v>560</v>
      </c>
      <c r="B4572" s="0" t="s">
        <v>86</v>
      </c>
      <c r="C4572" s="38" t="n">
        <f aca="false">Q!$D$50</f>
        <v>2.043</v>
      </c>
      <c r="D4572" s="38" t="n">
        <f aca="false">Q!$E$50</f>
        <v>1.557</v>
      </c>
      <c r="E4572" s="38" t="n">
        <f aca="false">lease_pr/2</f>
        <v>0.8</v>
      </c>
      <c r="F4572" s="38" t="n">
        <f aca="false">lease_pr/2</f>
        <v>0.8</v>
      </c>
      <c r="G4572" s="38" t="n">
        <f aca="false">Sens!$E$4572+Sens!$F$4572</f>
        <v>1.6</v>
      </c>
      <c r="H4572" s="38" t="n">
        <f aca="false">lease_pr</f>
        <v>1.6</v>
      </c>
      <c r="I4572" s="38" t="n">
        <f aca="false">lease_pr</f>
        <v>1.6</v>
      </c>
      <c r="J4572" s="38" t="n">
        <f aca="false">lease_pr</f>
        <v>1.6</v>
      </c>
      <c r="K4572" s="38" t="n">
        <f aca="false">lease_pr</f>
        <v>1.6</v>
      </c>
      <c r="L4572" s="38" t="n">
        <f aca="false">lease_pr</f>
        <v>1.6</v>
      </c>
      <c r="M4572" s="38" t="n">
        <f aca="false">lease_pr</f>
        <v>1.6</v>
      </c>
      <c r="P4572" s="8" t="s">
        <v>786</v>
      </c>
    </row>
    <row r="4573" customFormat="false" ht="15" hidden="false" customHeight="false" outlineLevel="0" collapsed="false">
      <c r="A4573" s="47" t="s">
        <v>787</v>
      </c>
      <c r="B4573" s="14" t="s">
        <v>86</v>
      </c>
      <c r="C4573" s="48" t="n">
        <f aca="false">Sens!$C$4567-Sens!$C$4571-Sens!$C$4572</f>
        <v>36.176</v>
      </c>
      <c r="D4573" s="48" t="n">
        <f aca="false">Sens!$D$4567-Sens!$D$4571-Sens!$D$4572</f>
        <v>9.63700000000002</v>
      </c>
      <c r="E4573" s="48" t="n">
        <f aca="false">Sens!$E$4567-Sens!$E$4571-Sens!$E$4572</f>
        <v>-25.691</v>
      </c>
      <c r="F4573" s="48" t="n">
        <f aca="false">Sens!$F$4567-Sens!$F$4571-Sens!$F$4572</f>
        <v>-40.6834130116072</v>
      </c>
      <c r="G4573" s="48" t="n">
        <f aca="false">Sens!$G$4567-Sens!$G$4571-Sens!$G$4572</f>
        <v>-66.3744130116072</v>
      </c>
      <c r="H4573" s="48" t="n">
        <f aca="false">Sens!$H$4567-Sens!$H$4571-Sens!$H$4572</f>
        <v>-55.1064350660989</v>
      </c>
      <c r="I4573" s="48" t="n">
        <f aca="false">Sens!$I$4567-Sens!$I$4571-Sens!$I$4572</f>
        <v>-18.0124657435747</v>
      </c>
      <c r="J4573" s="48" t="n">
        <f aca="false">Sens!$J$4567-Sens!$J$4571-Sens!$J$4572</f>
        <v>20.7007204428001</v>
      </c>
      <c r="K4573" s="48" t="n">
        <f aca="false">Sens!$K$4567-Sens!$K$4571-Sens!$K$4572</f>
        <v>115.56812265344</v>
      </c>
      <c r="L4573" s="48" t="n">
        <f aca="false">Sens!$L$4567-Sens!$L$4571-Sens!$L$4572</f>
        <v>173.52447384367</v>
      </c>
      <c r="M4573" s="48" t="n">
        <f aca="false">Sens!$M$4567-Sens!$M$4571-Sens!$M$4572</f>
        <v>201.805934992428</v>
      </c>
      <c r="N4573" s="14"/>
      <c r="O4573" s="14"/>
    </row>
    <row r="4574" customFormat="false" ht="17.15" hidden="false" customHeight="false" outlineLevel="0" collapsed="false">
      <c r="A4574" s="5" t="s">
        <v>788</v>
      </c>
      <c r="B4574" s="0" t="s">
        <v>86</v>
      </c>
      <c r="C4574" s="38" t="n">
        <f aca="false">dps*Sens!$C$4553</f>
        <v>0</v>
      </c>
      <c r="D4574" s="38" t="n">
        <f aca="false">dps*Sens!$D$4553</f>
        <v>0</v>
      </c>
      <c r="E4574" s="38" t="n">
        <f aca="false">dps*Sens!$E$4553</f>
        <v>0</v>
      </c>
      <c r="F4574" s="38" t="n">
        <f aca="false">0</f>
        <v>0</v>
      </c>
      <c r="G4574" s="38" t="n">
        <f aca="false">dps*Sens!$G$4553</f>
        <v>0</v>
      </c>
      <c r="H4574" s="38" t="n">
        <f aca="false">dps*Sens!$H$4553</f>
        <v>0</v>
      </c>
      <c r="I4574" s="38" t="n">
        <f aca="false">dps*Sens!$I$4553</f>
        <v>0</v>
      </c>
      <c r="J4574" s="38" t="n">
        <f aca="false">dps*Sens!$J$4553</f>
        <v>0</v>
      </c>
      <c r="K4574" s="38" t="n">
        <f aca="false">dps*Sens!$K$4553</f>
        <v>0</v>
      </c>
      <c r="L4574" s="38" t="n">
        <f aca="false">dps*Sens!$L$4553</f>
        <v>0</v>
      </c>
      <c r="M4574" s="38" t="n">
        <f aca="false">dps*Sens!$M$4553</f>
        <v>0</v>
      </c>
      <c r="P4574" s="8" t="s">
        <v>789</v>
      </c>
    </row>
    <row r="4575" customFormat="false" ht="17.15" hidden="false" customHeight="false" outlineLevel="0" collapsed="false">
      <c r="A4575" s="5" t="s">
        <v>790</v>
      </c>
      <c r="B4575" s="0" t="s">
        <v>86</v>
      </c>
      <c r="C4575" s="38" t="n">
        <f aca="false">0</f>
        <v>0</v>
      </c>
      <c r="D4575" s="38" t="n">
        <f aca="false">0</f>
        <v>0</v>
      </c>
      <c r="E4575" s="38" t="n">
        <f aca="false">0</f>
        <v>0</v>
      </c>
      <c r="F4575" s="38" t="n">
        <f aca="false">0</f>
        <v>0</v>
      </c>
      <c r="G4575" s="38" t="n">
        <f aca="false">0</f>
        <v>0</v>
      </c>
      <c r="H4575" s="38" t="n">
        <f aca="false">0</f>
        <v>0</v>
      </c>
      <c r="I4575" s="38" t="n">
        <f aca="false">0</f>
        <v>0</v>
      </c>
      <c r="J4575" s="38" t="n">
        <f aca="false">0</f>
        <v>0</v>
      </c>
      <c r="K4575" s="38" t="n">
        <f aca="false">0</f>
        <v>0</v>
      </c>
      <c r="L4575" s="38" t="n">
        <f aca="false">0</f>
        <v>0</v>
      </c>
      <c r="M4575" s="38" t="n">
        <f aca="false">0</f>
        <v>0</v>
      </c>
      <c r="P4575" s="8" t="s">
        <v>791</v>
      </c>
    </row>
    <row r="4576" customFormat="false" ht="15" hidden="false" customHeight="false" outlineLevel="0" collapsed="false">
      <c r="A4576" s="3" t="s">
        <v>792</v>
      </c>
      <c r="B4576" s="8" t="s">
        <v>86</v>
      </c>
      <c r="C4576" s="38" t="n">
        <f aca="false">Sens!$C$4573-Sens!$C$4574</f>
        <v>36.176</v>
      </c>
      <c r="D4576" s="38" t="n">
        <f aca="false">Sens!$D$4573-Sens!$D$4574</f>
        <v>9.63700000000002</v>
      </c>
      <c r="E4576" s="38" t="n">
        <f aca="false">Sens!$E$4573-Sens!$E$4574</f>
        <v>-25.691</v>
      </c>
      <c r="F4576" s="38" t="n">
        <f aca="false">Sens!$F$4573-Sens!$F$4574</f>
        <v>-40.6834130116072</v>
      </c>
      <c r="G4576" s="38" t="n">
        <f aca="false">Sens!$G$4573-Sens!$G$4574</f>
        <v>-66.3744130116072</v>
      </c>
      <c r="H4576" s="38" t="n">
        <f aca="false">Sens!$H$4573-Sens!$H$4574</f>
        <v>-55.1064350660989</v>
      </c>
      <c r="I4576" s="38" t="n">
        <f aca="false">Sens!$I$4573-Sens!$I$4574</f>
        <v>-18.0124657435747</v>
      </c>
      <c r="J4576" s="38" t="n">
        <f aca="false">Sens!$J$4573-Sens!$J$4574</f>
        <v>20.7007204428001</v>
      </c>
      <c r="K4576" s="38" t="n">
        <f aca="false">Sens!$K$4573-Sens!$K$4574</f>
        <v>115.56812265344</v>
      </c>
      <c r="L4576" s="38" t="n">
        <f aca="false">Sens!$L$4573-Sens!$L$4574</f>
        <v>173.52447384367</v>
      </c>
      <c r="M4576" s="38" t="n">
        <f aca="false">Sens!$M$4573-Sens!$M$4574</f>
        <v>201.805934992428</v>
      </c>
    </row>
    <row r="4577" customFormat="false" ht="17.15" hidden="false" customHeight="false" outlineLevel="0" collapsed="false">
      <c r="A4577" s="5" t="s">
        <v>793</v>
      </c>
      <c r="B4577" s="0" t="s">
        <v>86</v>
      </c>
      <c r="E4577" s="38" t="n">
        <f aca="false">Q!$P$53</f>
        <v>39.767</v>
      </c>
      <c r="F4577" s="38" t="n">
        <f aca="false">inv_2h26</f>
        <v>21.3</v>
      </c>
      <c r="G4577" s="38" t="n">
        <f aca="false">Sens!$E$4577+Sens!$F$4577</f>
        <v>61.067</v>
      </c>
      <c r="H4577" s="39" t="n">
        <v>0</v>
      </c>
      <c r="I4577" s="39" t="n">
        <v>0</v>
      </c>
      <c r="J4577" s="39" t="n">
        <v>0</v>
      </c>
      <c r="K4577" s="39" t="n">
        <v>0</v>
      </c>
      <c r="L4577" s="39" t="n">
        <v>0</v>
      </c>
      <c r="M4577" s="39" t="n">
        <v>0</v>
      </c>
    </row>
    <row r="4578" customFormat="false" ht="17.15" hidden="false" customHeight="false" outlineLevel="0" collapsed="false">
      <c r="A4578" s="5" t="s">
        <v>794</v>
      </c>
      <c r="B4578" s="0" t="s">
        <v>86</v>
      </c>
      <c r="F4578" s="38" t="n">
        <f aca="false">iss_2h26</f>
        <v>29.249999</v>
      </c>
      <c r="G4578" s="38" t="n">
        <f aca="false">Sens!$F$4578</f>
        <v>29.249999</v>
      </c>
      <c r="H4578" s="39" t="n">
        <v>0</v>
      </c>
      <c r="I4578" s="39" t="n">
        <v>0</v>
      </c>
      <c r="J4578" s="39" t="n">
        <v>0</v>
      </c>
      <c r="K4578" s="39" t="n">
        <v>0</v>
      </c>
      <c r="L4578" s="39" t="n">
        <v>0</v>
      </c>
      <c r="M4578" s="39" t="n">
        <v>0</v>
      </c>
    </row>
    <row r="4579" customFormat="false" ht="17.15" hidden="false" customHeight="false" outlineLevel="0" collapsed="false">
      <c r="A4579" s="5" t="s">
        <v>795</v>
      </c>
      <c r="B4579" s="0" t="s">
        <v>86</v>
      </c>
      <c r="F4579" s="38" t="n">
        <f aca="false">cash_q2</f>
        <v>122.988</v>
      </c>
      <c r="G4579" s="38" t="n">
        <f aca="false">cash_q2</f>
        <v>122.988</v>
      </c>
      <c r="H4579" s="38" t="n">
        <f aca="false">Sens!$G$4582</f>
        <v>90.2545859883928</v>
      </c>
      <c r="I4579" s="38" t="n">
        <f aca="false">Sens!$H$4582</f>
        <v>50</v>
      </c>
      <c r="J4579" s="38" t="n">
        <f aca="false">Sens!$I$4582</f>
        <v>50</v>
      </c>
      <c r="K4579" s="38" t="n">
        <f aca="false">Sens!$J$4582</f>
        <v>70.7007204428001</v>
      </c>
      <c r="L4579" s="38" t="n">
        <f aca="false">Sens!$K$4582</f>
        <v>186.26884309624</v>
      </c>
      <c r="M4579" s="38" t="n">
        <f aca="false">Sens!$L$4582</f>
        <v>359.79331693991</v>
      </c>
    </row>
    <row r="4580" customFormat="false" ht="15" hidden="false" customHeight="false" outlineLevel="0" collapsed="false">
      <c r="A4580" s="5" t="s">
        <v>796</v>
      </c>
      <c r="B4580" s="0" t="s">
        <v>86</v>
      </c>
      <c r="F4580" s="38" t="n">
        <f aca="false">Sens!$F$4579+Sens!$F$4576-Sens!$F$4575-Sens!$F$4577+Sens!$F$4578</f>
        <v>90.2545859883928</v>
      </c>
      <c r="H4580" s="38" t="n">
        <f aca="false">Sens!$H$4579+Sens!$H$4576-Sens!$H$4575-Sens!$H$4577+Sens!$H$4578</f>
        <v>35.148150922294</v>
      </c>
      <c r="I4580" s="38" t="n">
        <f aca="false">Sens!$I$4579+Sens!$I$4576-Sens!$I$4575-Sens!$I$4577+Sens!$I$4578</f>
        <v>31.9875342564253</v>
      </c>
      <c r="J4580" s="38" t="n">
        <f aca="false">Sens!$J$4579+Sens!$J$4576-Sens!$J$4575-Sens!$J$4577+Sens!$J$4578</f>
        <v>70.7007204428001</v>
      </c>
      <c r="K4580" s="38" t="n">
        <f aca="false">Sens!$K$4579+Sens!$K$4576-Sens!$K$4575-Sens!$K$4577+Sens!$K$4578</f>
        <v>186.26884309624</v>
      </c>
      <c r="L4580" s="38" t="n">
        <f aca="false">Sens!$L$4579+Sens!$L$4576-Sens!$L$4575-Sens!$L$4577+Sens!$L$4578</f>
        <v>359.79331693991</v>
      </c>
      <c r="M4580" s="38" t="n">
        <f aca="false">Sens!$M$4579+Sens!$M$4576-Sens!$M$4575-Sens!$M$4577+Sens!$M$4578</f>
        <v>561.599251932339</v>
      </c>
    </row>
    <row r="4581" customFormat="false" ht="17.15" hidden="false" customHeight="false" outlineLevel="0" collapsed="false">
      <c r="A4581" s="5" t="s">
        <v>797</v>
      </c>
      <c r="B4581" s="0" t="s">
        <v>86</v>
      </c>
      <c r="F4581" s="38" t="n">
        <f aca="false">MAX(0,min_cash-Sens!$F$4580)</f>
        <v>0</v>
      </c>
      <c r="G4581" s="38" t="n">
        <f aca="false">Sens!$F$4581</f>
        <v>0</v>
      </c>
      <c r="H4581" s="38" t="n">
        <f aca="false">MAX(0,min_cash-Sens!$H$4580)</f>
        <v>14.851849077706</v>
      </c>
      <c r="I4581" s="38" t="n">
        <f aca="false">MAX(0,min_cash-Sens!$I$4580)</f>
        <v>18.0124657435747</v>
      </c>
      <c r="J4581" s="38" t="n">
        <f aca="false">MAX(0,min_cash-Sens!$J$4580)</f>
        <v>0</v>
      </c>
      <c r="K4581" s="38" t="n">
        <f aca="false">MAX(0,min_cash-Sens!$K$4580)</f>
        <v>0</v>
      </c>
      <c r="L4581" s="38" t="n">
        <f aca="false">MAX(0,min_cash-Sens!$L$4580)</f>
        <v>0</v>
      </c>
      <c r="M4581" s="38" t="n">
        <f aca="false">MAX(0,min_cash-Sens!$M$4580)</f>
        <v>0</v>
      </c>
      <c r="P4581" s="5" t="s">
        <v>798</v>
      </c>
    </row>
    <row r="4582" customFormat="false" ht="15" hidden="false" customHeight="false" outlineLevel="0" collapsed="false">
      <c r="A4582" s="5" t="s">
        <v>799</v>
      </c>
      <c r="B4582" s="0" t="s">
        <v>86</v>
      </c>
      <c r="D4582" s="38" t="n">
        <f aca="false">Q!$E$61</f>
        <v>123.029</v>
      </c>
      <c r="E4582" s="38" t="n">
        <f aca="false">Q!$M$61</f>
        <v>122.988</v>
      </c>
      <c r="F4582" s="38" t="n">
        <f aca="false">Sens!$F$4580+Sens!$F$4581</f>
        <v>90.2545859883928</v>
      </c>
      <c r="G4582" s="38" t="n">
        <f aca="false">Sens!$F$4582</f>
        <v>90.2545859883928</v>
      </c>
      <c r="H4582" s="38" t="n">
        <f aca="false">Sens!$H$4580+Sens!$H$4581</f>
        <v>50</v>
      </c>
      <c r="I4582" s="38" t="n">
        <f aca="false">Sens!$I$4580+Sens!$I$4581</f>
        <v>50</v>
      </c>
      <c r="J4582" s="38" t="n">
        <f aca="false">Sens!$J$4580+Sens!$J$4581</f>
        <v>70.7007204428001</v>
      </c>
      <c r="K4582" s="38" t="n">
        <f aca="false">Sens!$K$4580+Sens!$K$4581</f>
        <v>186.26884309624</v>
      </c>
      <c r="L4582" s="38" t="n">
        <f aca="false">Sens!$L$4580+Sens!$L$4581</f>
        <v>359.79331693991</v>
      </c>
      <c r="M4582" s="38" t="n">
        <f aca="false">Sens!$M$4580+Sens!$M$4581</f>
        <v>561.599251932339</v>
      </c>
    </row>
    <row r="4583" customFormat="false" ht="15" hidden="false" customHeight="false" outlineLevel="0" collapsed="false">
      <c r="A4583" s="5" t="s">
        <v>800</v>
      </c>
      <c r="B4583" s="0" t="s">
        <v>86</v>
      </c>
      <c r="D4583" s="38" t="n">
        <f aca="false">Q!$E$62</f>
        <v>68.836</v>
      </c>
      <c r="E4583" s="38" t="n">
        <f aca="false">Q!$M$62</f>
        <v>132.995</v>
      </c>
      <c r="F4583" s="38" t="n">
        <f aca="false">debt_q2+Sens!$F$4578+Sens!$F$4581</f>
        <v>162.244999</v>
      </c>
      <c r="G4583" s="38" t="n">
        <f aca="false">Sens!$F$4583</f>
        <v>162.244999</v>
      </c>
      <c r="H4583" s="38" t="n">
        <f aca="false">Sens!$G$4583+Sens!$H$4581</f>
        <v>177.096848077706</v>
      </c>
      <c r="I4583" s="38" t="n">
        <f aca="false">Sens!$H$4583+Sens!$I$4581</f>
        <v>195.109313821281</v>
      </c>
      <c r="J4583" s="38" t="n">
        <f aca="false">Sens!$I$4583+Sens!$J$4581</f>
        <v>195.109313821281</v>
      </c>
      <c r="K4583" s="38" t="n">
        <f aca="false">Sens!$J$4583+Sens!$K$4581</f>
        <v>195.109313821281</v>
      </c>
      <c r="L4583" s="38" t="n">
        <f aca="false">Sens!$K$4583+Sens!$L$4581</f>
        <v>195.109313821281</v>
      </c>
      <c r="M4583" s="38" t="n">
        <f aca="false">Sens!$L$4583+Sens!$M$4581</f>
        <v>195.109313821281</v>
      </c>
    </row>
    <row r="4584" customFormat="false" ht="15" hidden="false" customHeight="false" outlineLevel="0" collapsed="false">
      <c r="A4584" s="5" t="s">
        <v>801</v>
      </c>
      <c r="B4584" s="0" t="s">
        <v>86</v>
      </c>
      <c r="D4584" s="38" t="n">
        <f aca="false">Sens!$D$4583-Sens!$D$4582</f>
        <v>-54.193</v>
      </c>
      <c r="E4584" s="38" t="n">
        <f aca="false">Sens!$E$4583-Sens!$E$4582</f>
        <v>10.007</v>
      </c>
      <c r="F4584" s="38" t="n">
        <f aca="false">Sens!$F$4583-Sens!$F$4582</f>
        <v>71.9904130116072</v>
      </c>
      <c r="G4584" s="38" t="n">
        <f aca="false">Sens!$G$4583-Sens!$G$4582</f>
        <v>71.9904130116072</v>
      </c>
      <c r="H4584" s="38" t="n">
        <f aca="false">Sens!$H$4583-Sens!$H$4582</f>
        <v>127.096848077706</v>
      </c>
      <c r="I4584" s="38" t="n">
        <f aca="false">Sens!$I$4583-Sens!$I$4582</f>
        <v>145.109313821281</v>
      </c>
      <c r="J4584" s="38" t="n">
        <f aca="false">Sens!$J$4583-Sens!$J$4582</f>
        <v>124.408593378481</v>
      </c>
      <c r="K4584" s="38" t="n">
        <f aca="false">Sens!$K$4583-Sens!$K$4582</f>
        <v>8.84047072504029</v>
      </c>
      <c r="L4584" s="38" t="n">
        <f aca="false">Sens!$L$4583-Sens!$L$4582</f>
        <v>-164.68400311863</v>
      </c>
      <c r="M4584" s="38" t="n">
        <f aca="false">Sens!$M$4583-Sens!$M$4582</f>
        <v>-366.489938111058</v>
      </c>
    </row>
    <row r="4585" customFormat="false" ht="17.15" hidden="false" customHeight="false" outlineLevel="0" collapsed="false">
      <c r="A4585" s="5" t="s">
        <v>802</v>
      </c>
      <c r="B4585" s="0" t="s">
        <v>86</v>
      </c>
      <c r="F4585" s="38" t="n">
        <f aca="false">debt_q2*kd_book*0.5+iss_2h26*kd_new*iss_t</f>
        <v>3.24888962733561</v>
      </c>
      <c r="H4585" s="38" t="n">
        <f aca="false">debt_q2*kd_book+(Sens!$G$4583-debt_q2)*kd_new</f>
        <v>7.42354172302123</v>
      </c>
      <c r="I4585" s="38" t="n">
        <f aca="false">debt_q2*kd_book+(Sens!$H$4583-debt_q2)*kd_new</f>
        <v>8.36366376964002</v>
      </c>
      <c r="J4585" s="38" t="n">
        <f aca="false">debt_q2*kd_book+(Sens!$I$4583-debt_q2)*kd_new</f>
        <v>9.5038528512083</v>
      </c>
      <c r="K4585" s="38" t="n">
        <f aca="false">debt_q2*kd_book+(Sens!$J$4583-debt_q2)*kd_new</f>
        <v>9.5038528512083</v>
      </c>
      <c r="L4585" s="38" t="n">
        <f aca="false">debt_q2*kd_book+(Sens!$K$4583-debt_q2)*kd_new</f>
        <v>9.5038528512083</v>
      </c>
      <c r="M4585" s="38" t="n">
        <f aca="false">debt_q2*kd_book+(Sens!$L$4583-debt_q2)*kd_new</f>
        <v>9.5038528512083</v>
      </c>
    </row>
    <row r="4586" customFormat="false" ht="17.15" hidden="false" customHeight="false" outlineLevel="0" collapsed="false">
      <c r="A4586" s="5" t="s">
        <v>803</v>
      </c>
      <c r="B4586" s="0" t="s">
        <v>86</v>
      </c>
      <c r="F4586" s="38" t="n">
        <f aca="false">cash_q2*y_cash*0.5</f>
        <v>2.59</v>
      </c>
      <c r="H4586" s="38" t="n">
        <f aca="false">Sens!$G$4582*y_cash</f>
        <v>3.80133635330174</v>
      </c>
      <c r="I4586" s="38" t="n">
        <f aca="false">Sens!$H$4582*y_cash</f>
        <v>2.10589651022864</v>
      </c>
      <c r="J4586" s="38" t="n">
        <f aca="false">Sens!$I$4582*y_cash</f>
        <v>2.10589651022864</v>
      </c>
      <c r="K4586" s="38" t="n">
        <f aca="false">Sens!$J$4582*y_cash</f>
        <v>2.97776800902287</v>
      </c>
      <c r="L4586" s="38" t="n">
        <f aca="false">Sens!$K$4582*y_cash</f>
        <v>7.84525813281398</v>
      </c>
      <c r="M4586" s="38" t="n">
        <f aca="false">Sens!$L$4582*y_cash</f>
        <v>15.1537498109469</v>
      </c>
    </row>
    <row r="4587" customFormat="false" ht="17.15" hidden="false" customHeight="false" outlineLevel="0" collapsed="false">
      <c r="A4587" s="47" t="s">
        <v>804</v>
      </c>
      <c r="B4587" s="14" t="s">
        <v>86</v>
      </c>
      <c r="C4587" s="14"/>
      <c r="D4587" s="14"/>
      <c r="E4587" s="14"/>
      <c r="F4587" s="14"/>
      <c r="G4587" s="48" t="n">
        <f aca="false">SUM(Sens!$G$4576:$K$4576)</f>
        <v>-3.22447072504031</v>
      </c>
      <c r="H4587" s="14"/>
      <c r="I4587" s="14"/>
      <c r="J4587" s="14"/>
      <c r="K4587" s="14"/>
      <c r="L4587" s="14"/>
      <c r="M4587" s="14"/>
      <c r="N4587" s="14"/>
      <c r="O4587" s="14"/>
    </row>
    <row r="4588" customFormat="false" ht="17.15" hidden="false" customHeight="false" outlineLevel="0" collapsed="false">
      <c r="A4588" s="0" t="s">
        <v>770</v>
      </c>
      <c r="B4588" s="0" t="s">
        <v>86</v>
      </c>
      <c r="G4588" s="38" t="n">
        <f aca="false">SUM(Sens!$G$4581:$K$4581)</f>
        <v>32.8643148212807</v>
      </c>
    </row>
    <row r="4589" customFormat="false" ht="17.15" hidden="false" customHeight="false" outlineLevel="0" collapsed="false">
      <c r="A4589" s="24" t="s">
        <v>807</v>
      </c>
      <c r="B4589" s="25" t="s">
        <v>86</v>
      </c>
      <c r="C4589" s="25"/>
      <c r="D4589" s="25"/>
      <c r="E4589" s="25"/>
      <c r="F4589" s="25"/>
      <c r="G4589" s="41" t="n">
        <f aca="false">Sens!$G$4587-(Sens!$G$4576+Sens!$H$4576+Sens!$I$4576+Sens!$J$4576+Sens!$K$4576)</f>
        <v>-2.8421709430404E-014</v>
      </c>
      <c r="H4589" s="25"/>
      <c r="I4589" s="25"/>
      <c r="J4589" s="25"/>
      <c r="K4589" s="25"/>
      <c r="L4589" s="25"/>
      <c r="M4589" s="25"/>
      <c r="N4589" s="25"/>
      <c r="O4589" s="25"/>
    </row>
    <row r="4592" customFormat="false" ht="19.4" hidden="false" customHeight="false" outlineLevel="0" collapsed="false">
      <c r="A4592" s="31" t="s">
        <v>1221</v>
      </c>
    </row>
    <row r="4593" customFormat="false" ht="17.15" hidden="false" customHeight="false" outlineLevel="0" collapsed="false">
      <c r="A4593" s="6" t="s">
        <v>16</v>
      </c>
      <c r="B4593" s="6" t="s">
        <v>17</v>
      </c>
      <c r="C4593" s="20" t="s">
        <v>494</v>
      </c>
      <c r="D4593" s="20" t="s">
        <v>495</v>
      </c>
      <c r="E4593" s="20" t="s">
        <v>577</v>
      </c>
      <c r="F4593" s="20" t="s">
        <v>578</v>
      </c>
      <c r="G4593" s="20" t="s">
        <v>579</v>
      </c>
      <c r="H4593" s="20" t="s">
        <v>580</v>
      </c>
      <c r="I4593" s="20" t="s">
        <v>581</v>
      </c>
      <c r="J4593" s="20" t="s">
        <v>582</v>
      </c>
      <c r="K4593" s="20" t="s">
        <v>583</v>
      </c>
      <c r="L4593" s="20" t="s">
        <v>584</v>
      </c>
      <c r="M4593" s="20" t="s">
        <v>585</v>
      </c>
      <c r="N4593" s="20" t="s">
        <v>586</v>
      </c>
      <c r="O4593" s="20" t="s">
        <v>587</v>
      </c>
      <c r="P4593" s="6" t="s">
        <v>23</v>
      </c>
      <c r="R4593" s="20" t="n">
        <v>2023</v>
      </c>
      <c r="S4593" s="20" t="n">
        <v>2024</v>
      </c>
      <c r="T4593" s="20" t="n">
        <v>2025</v>
      </c>
      <c r="U4593" s="20" t="n">
        <v>2026</v>
      </c>
      <c r="V4593" s="20" t="n">
        <v>2027</v>
      </c>
      <c r="W4593" s="20" t="n">
        <v>2028</v>
      </c>
      <c r="X4593" s="20" t="n">
        <v>2029</v>
      </c>
      <c r="Y4593" s="20" t="n">
        <v>2030</v>
      </c>
      <c r="Z4593" s="20" t="n">
        <v>2031</v>
      </c>
      <c r="AA4593" s="20" t="n">
        <v>2032</v>
      </c>
    </row>
    <row r="4594" customFormat="false" ht="17.15" hidden="false" customHeight="false" outlineLevel="0" collapsed="false">
      <c r="A4594" s="1" t="s">
        <v>909</v>
      </c>
    </row>
    <row r="4595" customFormat="false" ht="17.15" hidden="false" customHeight="false" outlineLevel="0" collapsed="false">
      <c r="A4595" s="0" t="s">
        <v>910</v>
      </c>
      <c r="B4595" s="0" t="s">
        <v>86</v>
      </c>
      <c r="H4595" s="38" t="n">
        <f aca="false">Sens!$H$4529*(1-tax)</f>
        <v>116.319673001132</v>
      </c>
      <c r="I4595" s="38" t="n">
        <f aca="false">Sens!$I$4529*(1-tax)</f>
        <v>140.420031938023</v>
      </c>
      <c r="J4595" s="38" t="n">
        <f aca="false">Sens!$J$4529*(1-tax)</f>
        <v>163.132829424733</v>
      </c>
      <c r="K4595" s="38" t="n">
        <f aca="false">Sens!$K$4529*(1-tax)</f>
        <v>178.793721250124</v>
      </c>
      <c r="L4595" s="38" t="n">
        <f aca="false">Sens!$L$4529*(1-tax)</f>
        <v>193.979228083968</v>
      </c>
      <c r="M4595" s="38" t="n">
        <f aca="false">Sens!$M$4529*(1-tax)</f>
        <v>206.485228862521</v>
      </c>
    </row>
    <row r="4596" customFormat="false" ht="15" hidden="false" customHeight="false" outlineLevel="0" collapsed="false">
      <c r="A4596" s="5" t="s">
        <v>911</v>
      </c>
      <c r="B4596" s="0" t="s">
        <v>86</v>
      </c>
      <c r="H4596" s="38" t="n">
        <f aca="false">Sens!$H$4540</f>
        <v>84.3163410985152</v>
      </c>
      <c r="I4596" s="38" t="n">
        <f aca="false">Sens!$I$4540</f>
        <v>117.040344991004</v>
      </c>
      <c r="J4596" s="38" t="n">
        <f aca="false">Sens!$J$4540</f>
        <v>150.498981474685</v>
      </c>
      <c r="K4596" s="38" t="n">
        <f aca="false">Sens!$K$4540</f>
        <v>184.188121970284</v>
      </c>
      <c r="L4596" s="38" t="n">
        <f aca="false">Sens!$L$4540</f>
        <v>207.768718060808</v>
      </c>
      <c r="M4596" s="38" t="n">
        <f aca="false">Sens!$M$4540</f>
        <v>224.003934647752</v>
      </c>
    </row>
    <row r="4597" customFormat="false" ht="15" hidden="false" customHeight="false" outlineLevel="0" collapsed="false">
      <c r="A4597" s="5" t="s">
        <v>912</v>
      </c>
      <c r="B4597" s="0" t="s">
        <v>86</v>
      </c>
      <c r="H4597" s="38" t="n">
        <f aca="false">Sens!$H$4571</f>
        <v>273.372679834898</v>
      </c>
      <c r="I4597" s="38" t="n">
        <f aca="false">Sens!$I$4571</f>
        <v>286.981812228425</v>
      </c>
      <c r="J4597" s="38" t="n">
        <f aca="false">Sens!$J$4571</f>
        <v>299.316513378366</v>
      </c>
      <c r="K4597" s="38" t="n">
        <f aca="false">Sens!$K$4571</f>
        <v>251.057145512292</v>
      </c>
      <c r="L4597" s="38" t="n">
        <f aca="false">Sens!$L$4571</f>
        <v>234.696330860396</v>
      </c>
      <c r="M4597" s="38" t="n">
        <f aca="false">Sens!$M$4571</f>
        <v>242.291696043352</v>
      </c>
    </row>
    <row r="4598" customFormat="false" ht="15" hidden="false" customHeight="false" outlineLevel="0" collapsed="false">
      <c r="A4598" s="5" t="s">
        <v>913</v>
      </c>
      <c r="B4598" s="0" t="s">
        <v>86</v>
      </c>
      <c r="H4598" s="38" t="n">
        <f aca="false">Sens!$H$4572</f>
        <v>1.6</v>
      </c>
      <c r="I4598" s="38" t="n">
        <f aca="false">Sens!$I$4572</f>
        <v>1.6</v>
      </c>
      <c r="J4598" s="38" t="n">
        <f aca="false">Sens!$J$4572</f>
        <v>1.6</v>
      </c>
      <c r="K4598" s="38" t="n">
        <f aca="false">Sens!$K$4572</f>
        <v>1.6</v>
      </c>
      <c r="L4598" s="38" t="n">
        <f aca="false">Sens!$L$4572</f>
        <v>1.6</v>
      </c>
      <c r="M4598" s="38" t="n">
        <f aca="false">Sens!$M$4572</f>
        <v>1.6</v>
      </c>
    </row>
    <row r="4599" customFormat="false" ht="15" hidden="false" customHeight="false" outlineLevel="0" collapsed="false">
      <c r="A4599" s="5" t="s">
        <v>914</v>
      </c>
      <c r="B4599" s="0" t="s">
        <v>86</v>
      </c>
      <c r="H4599" s="38" t="n">
        <f aca="false">Sens!$H$4566</f>
        <v>11.2928295263397</v>
      </c>
      <c r="I4599" s="38" t="n">
        <f aca="false">Sens!$I$4566</f>
        <v>12.8091546115766</v>
      </c>
      <c r="J4599" s="38" t="n">
        <f aca="false">Sens!$J$4566</f>
        <v>14.2605653162668</v>
      </c>
      <c r="K4599" s="38" t="n">
        <f aca="false">Sens!$K$4566</f>
        <v>15.5327622460396</v>
      </c>
      <c r="L4599" s="38" t="n">
        <f aca="false">Sens!$L$4566</f>
        <v>16.720573737517</v>
      </c>
      <c r="M4599" s="38" t="n">
        <f aca="false">Sens!$M$4566</f>
        <v>17.8283127551536</v>
      </c>
    </row>
    <row r="4600" customFormat="false" ht="17.15" hidden="false" customHeight="false" outlineLevel="0" collapsed="false">
      <c r="A4600" s="1" t="s">
        <v>915</v>
      </c>
      <c r="B4600" s="8" t="s">
        <v>86</v>
      </c>
      <c r="H4600" s="38" t="n">
        <f aca="false">Sens!$H$4595+Sens!$H$4596-Sens!$H$4597-Sens!$H$4598+Sens!$H$4599</f>
        <v>-63.0438362089115</v>
      </c>
      <c r="I4600" s="38" t="n">
        <f aca="false">Sens!$I$4595+Sens!$I$4596-Sens!$I$4597-Sens!$I$4598+Sens!$I$4599</f>
        <v>-18.3122806878211</v>
      </c>
      <c r="J4600" s="38" t="n">
        <f aca="false">Sens!$J$4595+Sens!$J$4596-Sens!$J$4597-Sens!$J$4598+Sens!$J$4599</f>
        <v>26.9758628373191</v>
      </c>
      <c r="K4600" s="38" t="n">
        <f aca="false">Sens!$K$4595+Sens!$K$4596-Sens!$K$4597-Sens!$K$4598+Sens!$K$4599</f>
        <v>125.857459954155</v>
      </c>
      <c r="L4600" s="38" t="n">
        <f aca="false">Sens!$L$4595+Sens!$L$4596-Sens!$L$4597-Sens!$L$4598+Sens!$L$4599</f>
        <v>182.172189021897</v>
      </c>
      <c r="M4600" s="38" t="n">
        <f aca="false">Sens!$M$4595+Sens!$M$4596-Sens!$M$4597-Sens!$M$4598+Sens!$M$4599</f>
        <v>204.425780222075</v>
      </c>
    </row>
    <row r="4601" customFormat="false" ht="15" hidden="false" customHeight="false" outlineLevel="0" collapsed="false">
      <c r="A4601" s="5" t="s">
        <v>916</v>
      </c>
      <c r="B4601" s="0" t="s">
        <v>57</v>
      </c>
      <c r="H4601" s="40" t="n">
        <f aca="false">1/(1+wacc)^(2027-2026-0.5)</f>
        <v>0.947751320380232</v>
      </c>
      <c r="I4601" s="40" t="n">
        <f aca="false">1/(1+wacc)^(2028-2026-0.5)</f>
        <v>0.851301099754987</v>
      </c>
      <c r="J4601" s="40" t="n">
        <f aca="false">1/(1+wacc)^(2029-2026-0.5)</f>
        <v>0.764666370660713</v>
      </c>
      <c r="K4601" s="40" t="n">
        <f aca="false">1/(1+wacc)^(2030-2026-0.5)</f>
        <v>0.686848235703811</v>
      </c>
      <c r="L4601" s="40" t="n">
        <f aca="false">1/(1+wacc)^(2031-2026-0.5)</f>
        <v>0.616949452715975</v>
      </c>
      <c r="M4601" s="40" t="n">
        <f aca="false">1/(1+wacc)^(2032-2026-0.5)</f>
        <v>0.554164089562688</v>
      </c>
    </row>
    <row r="4602" customFormat="false" ht="15" hidden="false" customHeight="false" outlineLevel="0" collapsed="false">
      <c r="A4602" s="5" t="s">
        <v>917</v>
      </c>
      <c r="B4602" s="0" t="s">
        <v>86</v>
      </c>
      <c r="H4602" s="38" t="n">
        <f aca="false">Sens!$H$4600*Sens!$H$4601</f>
        <v>-59.749879008831</v>
      </c>
      <c r="I4602" s="38" t="n">
        <f aca="false">Sens!$I$4600*Sens!$I$4601</f>
        <v>-15.5892646885641</v>
      </c>
      <c r="J4602" s="38" t="n">
        <f aca="false">Sens!$J$4600*Sens!$J$4601</f>
        <v>20.627535131254</v>
      </c>
      <c r="K4602" s="38" t="n">
        <f aca="false">Sens!$K$4600*Sens!$K$4601</f>
        <v>86.4449743196742</v>
      </c>
      <c r="L4602" s="38" t="n">
        <f aca="false">Sens!$L$4600*Sens!$L$4601</f>
        <v>112.391032317131</v>
      </c>
      <c r="M4602" s="38" t="n">
        <f aca="false">Sens!$M$4600*Sens!$M$4601</f>
        <v>113.285426379908</v>
      </c>
    </row>
    <row r="4603" customFormat="false" ht="15" hidden="false" customHeight="false" outlineLevel="0" collapsed="false">
      <c r="A4603" s="5" t="s">
        <v>918</v>
      </c>
      <c r="B4603" s="0" t="s">
        <v>86</v>
      </c>
      <c r="C4603" s="38" t="n">
        <f aca="false">SUM(Sens!$H$4602:$M$4602)</f>
        <v>257.409824450572</v>
      </c>
    </row>
    <row r="4604" customFormat="false" ht="17.15" hidden="false" customHeight="false" outlineLevel="0" collapsed="false">
      <c r="A4604" s="5" t="s">
        <v>919</v>
      </c>
      <c r="B4604" s="0" t="s">
        <v>86</v>
      </c>
      <c r="C4604" s="38" t="n">
        <f aca="false">Sens!$M$4595*(1+tg)*(1-tg/ronic)/(wacc-tg)</f>
        <v>1877.18114393665</v>
      </c>
    </row>
    <row r="4605" customFormat="false" ht="15" hidden="false" customHeight="false" outlineLevel="0" collapsed="false">
      <c r="A4605" s="5" t="s">
        <v>920</v>
      </c>
      <c r="B4605" s="0" t="s">
        <v>86</v>
      </c>
      <c r="C4605" s="38" t="n">
        <f aca="false">Sens!$C$4604/(1+wacc)^6</f>
        <v>985.913834788326</v>
      </c>
    </row>
    <row r="4606" customFormat="false" ht="17.15" hidden="false" customHeight="false" outlineLevel="0" collapsed="false">
      <c r="A4606" s="5" t="s">
        <v>921</v>
      </c>
      <c r="B4606" s="0" t="s">
        <v>86</v>
      </c>
      <c r="C4606" s="38" t="n">
        <f aca="false">Sens!$C$4603+Sens!$C$4605</f>
        <v>1243.3236592389</v>
      </c>
    </row>
    <row r="4607" customFormat="false" ht="17.15" hidden="false" customHeight="false" outlineLevel="0" collapsed="false">
      <c r="A4607" s="5" t="s">
        <v>922</v>
      </c>
      <c r="B4607" s="0" t="s">
        <v>52</v>
      </c>
      <c r="C4607" s="13" t="n">
        <f aca="false">Sens!$C$4605/Sens!$C$4606</f>
        <v>0.792966358729033</v>
      </c>
    </row>
    <row r="4608" customFormat="false" ht="17.15" hidden="false" customHeight="false" outlineLevel="0" collapsed="false">
      <c r="A4608" s="5" t="s">
        <v>923</v>
      </c>
      <c r="B4608" s="0" t="s">
        <v>86</v>
      </c>
      <c r="C4608" s="38" t="n">
        <f aca="false">Sens!$G$4584+fin_debt</f>
        <v>96.5114130116072</v>
      </c>
    </row>
    <row r="4609" customFormat="false" ht="17.15" hidden="false" customHeight="false" outlineLevel="0" collapsed="false">
      <c r="A4609" s="5" t="s">
        <v>924</v>
      </c>
      <c r="B4609" s="0" t="s">
        <v>86</v>
      </c>
      <c r="C4609" s="38" t="n">
        <f aca="false">(ant_val*ant_sh+oai_val*oai_sh)*(1-liq_disc)</f>
        <v>178.944</v>
      </c>
    </row>
    <row r="4610" customFormat="false" ht="15" hidden="false" customHeight="false" outlineLevel="0" collapsed="false">
      <c r="A4610" s="5" t="s">
        <v>925</v>
      </c>
      <c r="B4610" s="0" t="s">
        <v>86</v>
      </c>
      <c r="C4610" s="38" t="n">
        <f aca="false">Sens!$C$4606-Sens!$C$4608+Sens!$C$4609</f>
        <v>1325.75624622729</v>
      </c>
    </row>
    <row r="4611" customFormat="false" ht="17.15" hidden="false" customHeight="false" outlineLevel="0" collapsed="false">
      <c r="A4611" s="5" t="s">
        <v>926</v>
      </c>
      <c r="B4611" s="0" t="s">
        <v>27</v>
      </c>
      <c r="C4611" s="30" t="n">
        <f aca="false">Sens!$C$4610/sh_out</f>
        <v>122.910963488296</v>
      </c>
    </row>
    <row r="4612" customFormat="false" ht="17.15" hidden="false" customHeight="false" outlineLevel="0" collapsed="false">
      <c r="A4612" s="1" t="s">
        <v>927</v>
      </c>
      <c r="B4612" s="8" t="s">
        <v>27</v>
      </c>
      <c r="C4612" s="30" t="n">
        <f aca="false">Sens!$C$4611*(1+ke)^tp_yf-dps*tp_yf</f>
        <v>134.63284029526</v>
      </c>
    </row>
    <row r="4613" customFormat="false" ht="17.15" hidden="false" customHeight="false" outlineLevel="0" collapsed="false">
      <c r="A4613" s="3" t="s">
        <v>928</v>
      </c>
    </row>
    <row r="4614" customFormat="false" ht="17.15" hidden="false" customHeight="false" outlineLevel="0" collapsed="false">
      <c r="A4614" s="5" t="s">
        <v>929</v>
      </c>
      <c r="B4614" s="0" t="s">
        <v>86</v>
      </c>
      <c r="C4614" s="38" t="n">
        <f aca="false">(1-tp_yf)*(Sens!$H$4541+Sens!$H$4565*Sens!$H$4407/Sens!$H$4482)+tp_yf*(Sens!$I$4541+Sens!$I$4565*Sens!$I$4407/Sens!$I$4482)</f>
        <v>59.634664536349</v>
      </c>
    </row>
    <row r="4615" customFormat="false" ht="15" hidden="false" customHeight="false" outlineLevel="0" collapsed="false">
      <c r="A4615" s="5" t="s">
        <v>930</v>
      </c>
      <c r="B4615" s="0" t="s">
        <v>57</v>
      </c>
      <c r="C4615" s="30" t="n">
        <f aca="false">m_ads*m_x</f>
        <v>9.11</v>
      </c>
    </row>
    <row r="4616" customFormat="false" ht="17.15" hidden="false" customHeight="false" outlineLevel="0" collapsed="false">
      <c r="A4616" s="5" t="s">
        <v>931</v>
      </c>
      <c r="B4616" s="0" t="s">
        <v>86</v>
      </c>
      <c r="C4616" s="38" t="n">
        <f aca="false">Sens!$C$4614*Sens!$C$4615</f>
        <v>543.271793926139</v>
      </c>
    </row>
    <row r="4617" customFormat="false" ht="17.15" hidden="false" customHeight="false" outlineLevel="0" collapsed="false">
      <c r="A4617" s="5" t="s">
        <v>932</v>
      </c>
      <c r="B4617" s="0" t="s">
        <v>86</v>
      </c>
      <c r="C4617" s="38" t="n">
        <f aca="false">(1-tp_yf)*(Sens!$H$4542+Sens!$H$4565*(Sens!$H$4414-Sens!$H$4407)/Sens!$H$4482+IF(internal_ai_reading=2,1,0)*(1-ext_sh)*Sens!$H$4444)+tp_yf*(Sens!$I$4542+Sens!$I$4565*(Sens!$I$4414-Sens!$I$4407)/Sens!$I$4482+IF(internal_ai_reading=2,1,0)*(1-ext_sh)*Sens!$I$4444)</f>
        <v>49.1411457248677</v>
      </c>
    </row>
    <row r="4618" customFormat="false" ht="17.15" hidden="false" customHeight="false" outlineLevel="0" collapsed="false">
      <c r="A4618" s="5" t="s">
        <v>933</v>
      </c>
      <c r="B4618" s="0" t="s">
        <v>57</v>
      </c>
      <c r="C4618" s="30" t="n">
        <f aca="false">m_retail*m_x</f>
        <v>17.72</v>
      </c>
    </row>
    <row r="4619" customFormat="false" ht="17.15" hidden="false" customHeight="false" outlineLevel="0" collapsed="false">
      <c r="A4619" s="5" t="s">
        <v>934</v>
      </c>
      <c r="B4619" s="0" t="s">
        <v>86</v>
      </c>
      <c r="C4619" s="38" t="n">
        <f aca="false">Sens!$C$4617*Sens!$C$4618</f>
        <v>870.781102244656</v>
      </c>
    </row>
    <row r="4620" customFormat="false" ht="17.15" hidden="false" customHeight="false" outlineLevel="0" collapsed="false">
      <c r="A4620" s="0" t="s">
        <v>935</v>
      </c>
      <c r="B4620" s="0" t="s">
        <v>86</v>
      </c>
      <c r="C4620" s="38" t="n">
        <f aca="false">(1-tp_yf)*(Sens!$H$4543+Sens!$H$4565*Sens!$H$4480/Sens!$H$4482)+tp_yf*(Sens!$I$4543+Sens!$I$4565*Sens!$I$4480/Sens!$I$4482)</f>
        <v>97.3363031479074</v>
      </c>
    </row>
    <row r="4621" customFormat="false" ht="17.15" hidden="false" customHeight="false" outlineLevel="0" collapsed="false">
      <c r="A4621" s="0" t="s">
        <v>936</v>
      </c>
      <c r="B4621" s="0" t="s">
        <v>57</v>
      </c>
      <c r="C4621" s="30" t="n">
        <f aca="false">m_cloud*m_x</f>
        <v>13.82</v>
      </c>
    </row>
    <row r="4622" customFormat="false" ht="17.15" hidden="false" customHeight="false" outlineLevel="0" collapsed="false">
      <c r="A4622" s="0" t="s">
        <v>937</v>
      </c>
      <c r="B4622" s="0" t="s">
        <v>86</v>
      </c>
      <c r="C4622" s="38" t="n">
        <f aca="false">Sens!$C$4620*Sens!$C$4621</f>
        <v>1345.18770950408</v>
      </c>
    </row>
    <row r="4623" customFormat="false" ht="17.15" hidden="false" customHeight="false" outlineLevel="0" collapsed="false">
      <c r="A4623" s="0" t="s">
        <v>938</v>
      </c>
      <c r="B4623" s="0" t="s">
        <v>86</v>
      </c>
      <c r="H4623" s="38" t="n">
        <f aca="false">Sens!$H$4461-tax*Sens!$H$4462-ext_sh*Sens!$H$4451</f>
        <v>-114.686944664267</v>
      </c>
      <c r="I4623" s="38" t="n">
        <f aca="false">Sens!$I$4461-tax*Sens!$I$4462-ext_sh*Sens!$I$4451</f>
        <v>-88.3950641557111</v>
      </c>
      <c r="J4623" s="38" t="n">
        <f aca="false">Sens!$J$4461-tax*Sens!$J$4462-ext_sh*Sens!$J$4451</f>
        <v>-61.1526151740695</v>
      </c>
      <c r="K4623" s="38" t="n">
        <f aca="false">Sens!$K$4461-tax*Sens!$K$4462-ext_sh*Sens!$K$4451</f>
        <v>10.057774712684</v>
      </c>
      <c r="L4623" s="38" t="n">
        <f aca="false">Sens!$L$4461-tax*Sens!$L$4462-ext_sh*Sens!$L$4451</f>
        <v>46.6587675560356</v>
      </c>
      <c r="M4623" s="38" t="n">
        <f aca="false">Sens!$M$4461-tax*Sens!$M$4462-ext_sh*Sens!$M$4451</f>
        <v>55.3915455321129</v>
      </c>
    </row>
    <row r="4624" customFormat="false" ht="17.15" hidden="false" customHeight="false" outlineLevel="0" collapsed="false">
      <c r="A4624" s="5" t="s">
        <v>939</v>
      </c>
      <c r="B4624" s="0" t="s">
        <v>86</v>
      </c>
      <c r="H4624" s="38" t="n">
        <f aca="false">Sens!$H$4623*Sens!$H$4601</f>
        <v>-108.694703235934</v>
      </c>
      <c r="I4624" s="38" t="n">
        <f aca="false">Sens!$I$4623*Sens!$I$4601</f>
        <v>-75.2508153286695</v>
      </c>
      <c r="J4624" s="38" t="n">
        <f aca="false">Sens!$J$4623*Sens!$J$4601</f>
        <v>-46.761348301567</v>
      </c>
      <c r="K4624" s="38" t="n">
        <f aca="false">Sens!$K$4623*Sens!$K$4601</f>
        <v>6.90816481651338</v>
      </c>
      <c r="L4624" s="38" t="n">
        <f aca="false">Sens!$L$4623*Sens!$L$4601</f>
        <v>28.7861011080981</v>
      </c>
      <c r="M4624" s="38" t="n">
        <f aca="false">Sens!$M$4623*Sens!$M$4601</f>
        <v>30.6960053992735</v>
      </c>
    </row>
    <row r="4625" customFormat="false" ht="17.15" hidden="false" customHeight="false" outlineLevel="0" collapsed="false">
      <c r="A4625" s="5" t="s">
        <v>940</v>
      </c>
      <c r="B4625" s="0" t="s">
        <v>86</v>
      </c>
      <c r="C4625" s="38" t="n">
        <f aca="false">Sens!$M$4462*(1-tax)*(1+tg)*(1-tg/ronic)/(wacc-tg)</f>
        <v>363.621782500497</v>
      </c>
    </row>
    <row r="4626" customFormat="false" ht="17.15" hidden="false" customHeight="false" outlineLevel="0" collapsed="false">
      <c r="A4626" s="0" t="s">
        <v>941</v>
      </c>
      <c r="B4626" s="0" t="s">
        <v>86</v>
      </c>
      <c r="C4626" s="38" t="n">
        <f aca="false">(SUM(Sens!$H$4624:$M$4624)+Sens!$C$4625/(1+wacc)^6)*(1+wacc)^tp_yf</f>
        <v>29.1198269558345</v>
      </c>
    </row>
    <row r="4627" customFormat="false" ht="17.15" hidden="false" customHeight="false" outlineLevel="0" collapsed="false">
      <c r="A4627" s="5" t="s">
        <v>942</v>
      </c>
      <c r="B4627" s="0" t="s">
        <v>86</v>
      </c>
      <c r="C4627" s="38" t="n">
        <f aca="false">(1-tp_yf)*(Sens!$H$4544)+tp_yf*(Sens!$I$4544)</f>
        <v>74.6707041238437</v>
      </c>
    </row>
    <row r="4628" customFormat="false" ht="17.15" hidden="false" customHeight="false" outlineLevel="0" collapsed="false">
      <c r="A4628" s="5" t="s">
        <v>943</v>
      </c>
      <c r="B4628" s="0" t="s">
        <v>86</v>
      </c>
      <c r="C4628" s="38" t="n">
        <f aca="false">Sens!$C$4627*m_ai</f>
        <v>448.024224743062</v>
      </c>
    </row>
    <row r="4629" customFormat="false" ht="17.15" hidden="false" customHeight="false" outlineLevel="0" collapsed="false">
      <c r="A4629" s="0" t="s">
        <v>944</v>
      </c>
      <c r="B4629" s="0" t="s">
        <v>86</v>
      </c>
      <c r="C4629" s="38" t="n">
        <f aca="false">IF(ai_leg=1,Sens!$C$4626,Sens!$C$4628)</f>
        <v>29.1198269558345</v>
      </c>
    </row>
    <row r="4630" customFormat="false" ht="17.15" hidden="false" customHeight="false" outlineLevel="0" collapsed="false">
      <c r="A4630" s="5" t="s">
        <v>945</v>
      </c>
      <c r="B4630" s="0" t="s">
        <v>86</v>
      </c>
      <c r="C4630" s="38" t="n">
        <f aca="false">Sens!$C$4616+Sens!$C$4619+Sens!$C$4622+Sens!$C$4629</f>
        <v>2788.36043263071</v>
      </c>
    </row>
    <row r="4631" customFormat="false" ht="17.15" hidden="false" customHeight="false" outlineLevel="0" collapsed="false">
      <c r="A4631" s="5" t="s">
        <v>946</v>
      </c>
      <c r="B4631" s="0" t="s">
        <v>86</v>
      </c>
      <c r="C4631" s="38" t="n">
        <f aca="false">Sens!$H$4584+fin_debt</f>
        <v>151.617848077706</v>
      </c>
    </row>
    <row r="4632" customFormat="false" ht="15" hidden="false" customHeight="false" outlineLevel="0" collapsed="false">
      <c r="A4632" s="5" t="s">
        <v>947</v>
      </c>
      <c r="B4632" s="0" t="s">
        <v>86</v>
      </c>
      <c r="C4632" s="38" t="n">
        <f aca="false">Sens!$C$4630-Sens!$C$4631+Sens!$C$4609</f>
        <v>2815.686584553</v>
      </c>
    </row>
    <row r="4633" customFormat="false" ht="15" hidden="false" customHeight="false" outlineLevel="0" collapsed="false">
      <c r="A4633" s="3" t="s">
        <v>948</v>
      </c>
      <c r="B4633" s="8" t="s">
        <v>27</v>
      </c>
      <c r="C4633" s="30" t="n">
        <f aca="false">Sens!$C$4632/sh_val</f>
        <v>255.268035393462</v>
      </c>
    </row>
    <row r="4634" customFormat="false" ht="17.15" hidden="false" customHeight="false" outlineLevel="0" collapsed="false">
      <c r="A4634" s="47" t="s">
        <v>949</v>
      </c>
      <c r="B4634" s="14" t="s">
        <v>27</v>
      </c>
      <c r="C4634" s="44" t="n">
        <f aca="false">w_dcf*Sens!$C$4612+(1-w_dcf)*Sens!$C$4633</f>
        <v>194.950437844361</v>
      </c>
      <c r="D4634" s="14"/>
      <c r="E4634" s="14"/>
      <c r="F4634" s="14"/>
      <c r="G4634" s="14"/>
      <c r="H4634" s="14"/>
      <c r="I4634" s="14"/>
      <c r="J4634" s="14"/>
      <c r="K4634" s="14"/>
      <c r="L4634" s="14"/>
      <c r="M4634" s="14"/>
      <c r="N4634" s="14"/>
      <c r="O4634" s="14"/>
    </row>
    <row r="4635" customFormat="false" ht="17.15" hidden="false" customHeight="false" outlineLevel="0" collapsed="false">
      <c r="A4635" s="5" t="s">
        <v>950</v>
      </c>
      <c r="B4635" s="0" t="s">
        <v>27</v>
      </c>
      <c r="C4635" s="30" t="n">
        <f aca="false">v022_wdcf*Sens!$C$4612+(1-v022_wdcf)*Sens!$C$4633</f>
        <v>200.982197599271</v>
      </c>
    </row>
    <row r="4636" customFormat="false" ht="17.15" hidden="false" customHeight="false" outlineLevel="0" collapsed="false">
      <c r="A4636" s="5" t="s">
        <v>951</v>
      </c>
      <c r="B4636" s="0" t="s">
        <v>27</v>
      </c>
      <c r="C4636" s="30" t="n">
        <f aca="false">(Sens!$C$4632-Sens!$C$4629+Sens!$C$4628)/sh_val</f>
        <v>293.24559412726</v>
      </c>
    </row>
    <row r="4639" customFormat="false" ht="19.4" hidden="false" customHeight="false" outlineLevel="0" collapsed="false">
      <c r="A4639" s="31" t="s">
        <v>1222</v>
      </c>
    </row>
    <row r="4640" customFormat="false" ht="17.15" hidden="false" customHeight="false" outlineLevel="0" collapsed="false">
      <c r="A4640" s="6" t="s">
        <v>16</v>
      </c>
      <c r="B4640" s="6" t="s">
        <v>17</v>
      </c>
      <c r="C4640" s="20" t="s">
        <v>494</v>
      </c>
      <c r="D4640" s="20" t="s">
        <v>495</v>
      </c>
      <c r="E4640" s="20" t="s">
        <v>577</v>
      </c>
      <c r="F4640" s="20" t="s">
        <v>578</v>
      </c>
      <c r="G4640" s="20" t="s">
        <v>579</v>
      </c>
      <c r="H4640" s="20" t="s">
        <v>580</v>
      </c>
      <c r="I4640" s="20" t="s">
        <v>581</v>
      </c>
      <c r="J4640" s="20" t="s">
        <v>582</v>
      </c>
      <c r="K4640" s="20" t="s">
        <v>583</v>
      </c>
      <c r="L4640" s="20" t="s">
        <v>584</v>
      </c>
      <c r="M4640" s="20" t="s">
        <v>585</v>
      </c>
      <c r="N4640" s="20" t="s">
        <v>586</v>
      </c>
      <c r="O4640" s="20" t="s">
        <v>587</v>
      </c>
      <c r="P4640" s="6" t="s">
        <v>23</v>
      </c>
      <c r="R4640" s="20" t="n">
        <v>2023</v>
      </c>
      <c r="S4640" s="20" t="n">
        <v>2024</v>
      </c>
      <c r="T4640" s="20" t="n">
        <v>2025</v>
      </c>
      <c r="U4640" s="20" t="n">
        <v>2026</v>
      </c>
      <c r="V4640" s="20" t="n">
        <v>2027</v>
      </c>
      <c r="W4640" s="20" t="n">
        <v>2028</v>
      </c>
      <c r="X4640" s="20" t="n">
        <v>2029</v>
      </c>
      <c r="Y4640" s="20" t="n">
        <v>2030</v>
      </c>
      <c r="Z4640" s="20" t="n">
        <v>2031</v>
      </c>
      <c r="AA4640" s="20" t="n">
        <v>2032</v>
      </c>
    </row>
    <row r="4641" customFormat="false" ht="17.15" hidden="false" customHeight="false" outlineLevel="0" collapsed="false">
      <c r="A4641" s="1" t="s">
        <v>660</v>
      </c>
    </row>
    <row r="4642" customFormat="false" ht="17.15" hidden="false" customHeight="false" outlineLevel="0" collapsed="false">
      <c r="A4642" s="0" t="s">
        <v>516</v>
      </c>
      <c r="B4642" s="0" t="s">
        <v>86</v>
      </c>
      <c r="C4642" s="38" t="n">
        <f aca="false">Q!$D$10</f>
        <v>247.029</v>
      </c>
      <c r="D4642" s="38" t="n">
        <f aca="false">Q!$E$10</f>
        <v>269.287</v>
      </c>
      <c r="E4642" s="38" t="n">
        <f aca="false">Q!$P$10</f>
        <v>134.686</v>
      </c>
      <c r="F4642" s="38" t="n">
        <f aca="false">Sens!$O$4642*(1+Sens!$F$4643)*Sens!$F$4654</f>
        <v>158.293876822267</v>
      </c>
      <c r="G4642" s="38" t="n">
        <f aca="false">Sens!$E$4642+Sens!$F$4642</f>
        <v>292.979876822267</v>
      </c>
      <c r="H4642" s="38" t="n">
        <f aca="false">Sens!$G$4642*(1+Sens!$H$4643)</f>
        <v>318.184543087396</v>
      </c>
      <c r="I4642" s="38" t="n">
        <f aca="false">Sens!$H$4642*(1+Sens!$I$4643)</f>
        <v>341.736278761793</v>
      </c>
      <c r="J4642" s="38" t="n">
        <f aca="false">Sens!$I$4642*(1+Sens!$J$4643)</f>
        <v>362.927192787048</v>
      </c>
      <c r="K4642" s="38" t="n">
        <f aca="false">Sens!$J$4642*(1+Sens!$K$4643)</f>
        <v>381.0735524264</v>
      </c>
      <c r="L4642" s="38" t="n">
        <f aca="false">Sens!$K$4642*(1+Sens!$L$4643)</f>
        <v>400.12723004772</v>
      </c>
      <c r="M4642" s="38" t="n">
        <f aca="false">Sens!$L$4642*(1+Sens!$M$4643)</f>
        <v>420.133591550106</v>
      </c>
      <c r="N4642" s="38" t="n">
        <f aca="false">Q!$N$10</f>
        <v>118.892</v>
      </c>
      <c r="O4642" s="38" t="n">
        <f aca="false">Q!$O$10</f>
        <v>150.395</v>
      </c>
      <c r="P4642" s="8" t="s">
        <v>661</v>
      </c>
    </row>
    <row r="4643" customFormat="false" ht="17.15" hidden="false" customHeight="false" outlineLevel="0" collapsed="false">
      <c r="A4643" s="0" t="s">
        <v>662</v>
      </c>
      <c r="B4643" s="0" t="s">
        <v>52</v>
      </c>
      <c r="E4643" s="13" t="n">
        <f aca="false">Sens!$E$4642/Sens!$N$4642-1</f>
        <v>0.132843252699929</v>
      </c>
      <c r="F4643" s="13" t="n">
        <f aca="false">Sens!$O$4642/(Q!$F$10+Q!$G$10)-1</f>
        <v>0.0980382135842941</v>
      </c>
      <c r="G4643" s="13" t="n">
        <f aca="false">Sens!$G$4642/Sens!$D$4642-1</f>
        <v>0.0879837378791657</v>
      </c>
      <c r="H4643" s="13" t="n">
        <f aca="false">Sens!$F$4643+(g_os-Sens!$F$4643)*1/4</f>
        <v>0.0860286601882206</v>
      </c>
      <c r="I4643" s="13" t="n">
        <f aca="false">Sens!$F$4643+(g_os-Sens!$F$4643)*2/4</f>
        <v>0.074019106792147</v>
      </c>
      <c r="J4643" s="13" t="n">
        <f aca="false">Sens!$F$4643+(g_os-Sens!$F$4643)*3/4</f>
        <v>0.0620095533960735</v>
      </c>
      <c r="K4643" s="13" t="n">
        <f aca="false">Sens!$F$4643+(g_os-Sens!$F$4643)*4/4</f>
        <v>0.05</v>
      </c>
      <c r="L4643" s="13" t="n">
        <f aca="false">g_os</f>
        <v>0.05</v>
      </c>
      <c r="M4643" s="13" t="n">
        <f aca="false">g_os</f>
        <v>0.05</v>
      </c>
      <c r="P4643" s="8" t="s">
        <v>663</v>
      </c>
    </row>
    <row r="4644" customFormat="false" ht="17.15" hidden="false" customHeight="false" outlineLevel="0" collapsed="false">
      <c r="A4644" s="0" t="s">
        <v>517</v>
      </c>
      <c r="B4644" s="0" t="s">
        <v>86</v>
      </c>
      <c r="C4644" s="38" t="n">
        <f aca="false">Q!$D$11</f>
        <v>21.215</v>
      </c>
      <c r="D4644" s="38" t="n">
        <f aca="false">Q!$E$11</f>
        <v>22.561</v>
      </c>
      <c r="E4644" s="38" t="n">
        <f aca="false">Q!$P$11</f>
        <v>11.579</v>
      </c>
      <c r="F4644" s="38" t="n">
        <f aca="false">Sens!$O$4644*(1+Sens!$F$4645)*Sens!$F$4654</f>
        <v>11.5938724610325</v>
      </c>
      <c r="G4644" s="38" t="n">
        <f aca="false">Sens!$E$4644+Sens!$F$4644</f>
        <v>23.1728724610325</v>
      </c>
      <c r="H4644" s="38" t="n">
        <f aca="false">Sens!$G$4644*(1+Sens!$H$4645)</f>
        <v>24.353392759506</v>
      </c>
      <c r="I4644" s="38" t="n">
        <f aca="false">Sens!$H$4644*(1+Sens!$I$4645)</f>
        <v>25.4240338872015</v>
      </c>
      <c r="J4644" s="38" t="n">
        <f aca="false">Sens!$I$4644*(1+Sens!$J$4645)</f>
        <v>26.3642491017174</v>
      </c>
      <c r="K4644" s="38" t="n">
        <f aca="false">Sens!$J$4644*(1+Sens!$K$4645)</f>
        <v>27.155176574769</v>
      </c>
      <c r="L4644" s="38" t="n">
        <f aca="false">Sens!$K$4644*(1+Sens!$L$4645)</f>
        <v>27.969831872012</v>
      </c>
      <c r="M4644" s="38" t="n">
        <f aca="false">Sens!$L$4644*(1+Sens!$M$4645)</f>
        <v>28.8089268281724</v>
      </c>
      <c r="N4644" s="38" t="n">
        <f aca="false">Q!$N$11</f>
        <v>11.128</v>
      </c>
      <c r="O4644" s="38" t="n">
        <f aca="false">Q!$O$11</f>
        <v>11.433</v>
      </c>
      <c r="P4644" s="8" t="s">
        <v>661</v>
      </c>
    </row>
    <row r="4645" customFormat="false" ht="17.15" hidden="false" customHeight="false" outlineLevel="0" collapsed="false">
      <c r="A4645" s="0" t="s">
        <v>664</v>
      </c>
      <c r="B4645" s="0" t="s">
        <v>52</v>
      </c>
      <c r="E4645" s="13" t="n">
        <f aca="false">Sens!$E$4644/Sens!$N$4644-1</f>
        <v>0.0405283968368082</v>
      </c>
      <c r="F4645" s="13" t="n">
        <f aca="false">Sens!$O$4644/(Q!$F$11+Q!$G$11)-1</f>
        <v>0.0579254187100955</v>
      </c>
      <c r="G4645" s="13" t="n">
        <f aca="false">Sens!$G$4644/Sens!$D$4644-1</f>
        <v>0.0271208040881397</v>
      </c>
      <c r="H4645" s="13" t="n">
        <f aca="false">Sens!$F$4645+(g_ps-Sens!$F$4645)*1/4</f>
        <v>0.0509440640325716</v>
      </c>
      <c r="I4645" s="13" t="n">
        <f aca="false">Sens!$F$4645+(g_ps-Sens!$F$4645)*2/4</f>
        <v>0.0439627093550477</v>
      </c>
      <c r="J4645" s="13" t="n">
        <f aca="false">Sens!$F$4645+(g_ps-Sens!$F$4645)*3/4</f>
        <v>0.0369813546775239</v>
      </c>
      <c r="K4645" s="13" t="n">
        <f aca="false">Sens!$F$4645+(g_ps-Sens!$F$4645)*4/4</f>
        <v>0.03</v>
      </c>
      <c r="L4645" s="13" t="n">
        <f aca="false">g_ps</f>
        <v>0.03</v>
      </c>
      <c r="M4645" s="13" t="n">
        <f aca="false">g_ps</f>
        <v>0.03</v>
      </c>
      <c r="P4645" s="8" t="s">
        <v>665</v>
      </c>
    </row>
    <row r="4646" customFormat="false" ht="17.15" hidden="false" customHeight="false" outlineLevel="0" collapsed="false">
      <c r="A4646" s="0" t="s">
        <v>518</v>
      </c>
      <c r="B4646" s="0" t="s">
        <v>86</v>
      </c>
      <c r="C4646" s="38" t="n">
        <f aca="false">Q!$D$12</f>
        <v>156.146</v>
      </c>
      <c r="D4646" s="38" t="n">
        <f aca="false">Q!$E$12</f>
        <v>172.162</v>
      </c>
      <c r="E4646" s="38" t="n">
        <f aca="false">Q!$P$12</f>
        <v>88.358</v>
      </c>
      <c r="F4646" s="38" t="n">
        <f aca="false">Sens!$O$4646*(1+Sens!$F$4647)*Sens!$F$4654</f>
        <v>102.004388260171</v>
      </c>
      <c r="G4646" s="38" t="n">
        <f aca="false">Sens!$E$4646+Sens!$F$4646</f>
        <v>190.362388260171</v>
      </c>
      <c r="H4646" s="38" t="n">
        <f aca="false">Sens!$G$4646*(1+Sens!$H$4647)</f>
        <v>210.343106588311</v>
      </c>
      <c r="I4646" s="38" t="n">
        <f aca="false">Sens!$H$4646*(1+Sens!$I$4647)</f>
        <v>229.969728494648</v>
      </c>
      <c r="J4646" s="38" t="n">
        <f aca="false">Sens!$I$4646*(1+Sens!$J$4647)</f>
        <v>248.747636972598</v>
      </c>
      <c r="K4646" s="38" t="n">
        <f aca="false">Sens!$J$4646*(1+Sens!$K$4647)</f>
        <v>266.15997156068</v>
      </c>
      <c r="L4646" s="38" t="n">
        <f aca="false">Sens!$K$4646*(1+Sens!$L$4647)</f>
        <v>284.791169569927</v>
      </c>
      <c r="M4646" s="38" t="n">
        <f aca="false">Sens!$L$4646*(1+Sens!$M$4647)</f>
        <v>304.726551439822</v>
      </c>
      <c r="N4646" s="38" t="n">
        <f aca="false">Q!$N$12</f>
        <v>76.86</v>
      </c>
      <c r="O4646" s="38" t="n">
        <f aca="false">Q!$O$12</f>
        <v>95.302</v>
      </c>
      <c r="P4646" s="8" t="s">
        <v>661</v>
      </c>
    </row>
    <row r="4647" customFormat="false" ht="17.15" hidden="false" customHeight="false" outlineLevel="0" collapsed="false">
      <c r="A4647" s="0" t="s">
        <v>666</v>
      </c>
      <c r="B4647" s="0" t="s">
        <v>52</v>
      </c>
      <c r="E4647" s="13" t="n">
        <f aca="false">Sens!$E$4646/Sens!$N$4646-1</f>
        <v>0.1495966692688</v>
      </c>
      <c r="F4647" s="13" t="n">
        <f aca="false">Sens!$O$4646/(Q!$F$12+Q!$G$12)-1</f>
        <v>0.11661530890813</v>
      </c>
      <c r="G4647" s="13" t="n">
        <f aca="false">Sens!$G$4646/Sens!$D$4646-1</f>
        <v>0.105716640490767</v>
      </c>
      <c r="H4647" s="13" t="n">
        <f aca="false">Sens!$F$4647+(g_sp-Sens!$F$4647)*1/4</f>
        <v>0.104961481681098</v>
      </c>
      <c r="I4647" s="13" t="n">
        <f aca="false">Sens!$F$4647+(g_sp-Sens!$F$4647)*2/4</f>
        <v>0.0933076544540651</v>
      </c>
      <c r="J4647" s="13" t="n">
        <f aca="false">Sens!$F$4647+(g_sp-Sens!$F$4647)*3/4</f>
        <v>0.0816538272270325</v>
      </c>
      <c r="K4647" s="13" t="n">
        <f aca="false">Sens!$F$4647+(g_sp-Sens!$F$4647)*4/4</f>
        <v>0.07</v>
      </c>
      <c r="L4647" s="13" t="n">
        <f aca="false">g_sp</f>
        <v>0.07</v>
      </c>
      <c r="M4647" s="13" t="n">
        <f aca="false">g_sp</f>
        <v>0.07</v>
      </c>
      <c r="P4647" s="8" t="s">
        <v>667</v>
      </c>
    </row>
    <row r="4648" customFormat="false" ht="17.15" hidden="false" customHeight="false" outlineLevel="0" collapsed="false">
      <c r="A4648" s="0" t="s">
        <v>519</v>
      </c>
      <c r="B4648" s="0" t="s">
        <v>86</v>
      </c>
      <c r="C4648" s="38" t="n">
        <f aca="false">Q!$D$13</f>
        <v>56.214</v>
      </c>
      <c r="D4648" s="38" t="n">
        <f aca="false">Q!$E$13</f>
        <v>68.635</v>
      </c>
      <c r="E4648" s="38" t="n">
        <f aca="false">Q!$P$13</f>
        <v>37.052</v>
      </c>
      <c r="F4648" s="38" t="n">
        <f aca="false">Sens!$O$4648*(1+Sens!$F$4649)*Sens!$F$4654</f>
        <v>46.1572219944148</v>
      </c>
      <c r="G4648" s="38" t="n">
        <f aca="false">Sens!$E$4648+Sens!$F$4648</f>
        <v>83.2092219944148</v>
      </c>
      <c r="H4648" s="38" t="n">
        <f aca="false">Sens!$G$4648*(1+Sens!$H$4649)</f>
        <v>99.8969223878976</v>
      </c>
      <c r="I4648" s="38" t="n">
        <f aca="false">Sens!$H$4648*(1+Sens!$I$4649)</f>
        <v>116.583111095496</v>
      </c>
      <c r="J4648" s="38" t="n">
        <f aca="false">Sens!$I$4648*(1+Sens!$J$4649)</f>
        <v>132.148941941952</v>
      </c>
      <c r="K4648" s="38" t="n">
        <f aca="false">Sens!$J$4648*(1+Sens!$K$4649)</f>
        <v>145.363836136147</v>
      </c>
      <c r="L4648" s="38" t="n">
        <f aca="false">Sens!$K$4648*(1+Sens!$L$4649)</f>
        <v>159.900219749762</v>
      </c>
      <c r="M4648" s="38" t="n">
        <f aca="false">Sens!$L$4648*(1+Sens!$M$4649)</f>
        <v>175.890241724738</v>
      </c>
      <c r="N4648" s="38" t="n">
        <f aca="false">Q!$N$13</f>
        <v>29.615</v>
      </c>
      <c r="O4648" s="38" t="n">
        <f aca="false">Q!$O$13</f>
        <v>39.02</v>
      </c>
      <c r="P4648" s="8" t="s">
        <v>661</v>
      </c>
    </row>
    <row r="4649" customFormat="false" ht="17.15" hidden="false" customHeight="false" outlineLevel="0" collapsed="false">
      <c r="A4649" s="0" t="s">
        <v>668</v>
      </c>
      <c r="B4649" s="0" t="s">
        <v>52</v>
      </c>
      <c r="E4649" s="13" t="n">
        <f aca="false">Sens!$E$4648/Sens!$N$4648-1</f>
        <v>0.25112274185379</v>
      </c>
      <c r="F4649" s="13" t="n">
        <f aca="false">Sens!$O$4648/(Q!$F$13+Q!$G$13)-1</f>
        <v>0.234068123596572</v>
      </c>
      <c r="G4649" s="13" t="n">
        <f aca="false">Sens!$G$4648/Sens!$D$4648-1</f>
        <v>0.212343876949294</v>
      </c>
      <c r="H4649" s="13" t="n">
        <f aca="false">Sens!$F$4649+(g_ad-Sens!$F$4649)*1/4</f>
        <v>0.200551092697429</v>
      </c>
      <c r="I4649" s="13" t="n">
        <f aca="false">Sens!$F$4649+(g_ad-Sens!$F$4649)*2/4</f>
        <v>0.167034061798286</v>
      </c>
      <c r="J4649" s="13" t="n">
        <f aca="false">Sens!$F$4649+(g_ad-Sens!$F$4649)*3/4</f>
        <v>0.133517030899143</v>
      </c>
      <c r="K4649" s="13" t="n">
        <f aca="false">Sens!$F$4649+(g_ad-Sens!$F$4649)*4/4</f>
        <v>0.1</v>
      </c>
      <c r="L4649" s="13" t="n">
        <f aca="false">g_ad</f>
        <v>0.1</v>
      </c>
      <c r="M4649" s="13" t="n">
        <f aca="false">g_ad</f>
        <v>0.1</v>
      </c>
      <c r="P4649" s="8" t="s">
        <v>669</v>
      </c>
    </row>
    <row r="4650" customFormat="false" ht="17.15" hidden="false" customHeight="false" outlineLevel="0" collapsed="false">
      <c r="A4650" s="0" t="s">
        <v>520</v>
      </c>
      <c r="B4650" s="0" t="s">
        <v>86</v>
      </c>
      <c r="C4650" s="38" t="n">
        <f aca="false">Q!$D$14</f>
        <v>44.374</v>
      </c>
      <c r="D4650" s="38" t="n">
        <f aca="false">Q!$E$14</f>
        <v>49.619</v>
      </c>
      <c r="E4650" s="38" t="n">
        <f aca="false">Q!$P$14</f>
        <v>27.157</v>
      </c>
      <c r="F4650" s="38" t="n">
        <f aca="false">Sens!$O$4650*(1+Sens!$F$4651)*Sens!$F$4654</f>
        <v>27.7764165988154</v>
      </c>
      <c r="G4650" s="38" t="n">
        <f aca="false">Sens!$E$4650+Sens!$F$4650</f>
        <v>54.9334165988154</v>
      </c>
      <c r="H4650" s="38" t="n">
        <f aca="false">Sens!$G$4650*(1+Sens!$H$4651)</f>
        <v>61.1564112561829</v>
      </c>
      <c r="I4650" s="38" t="n">
        <f aca="false">Sens!$H$4650*(1+Sens!$I$4651)</f>
        <v>67.2020282103945</v>
      </c>
      <c r="J4650" s="38" t="n">
        <f aca="false">Sens!$I$4650*(1+Sens!$J$4651)</f>
        <v>72.8757274028885</v>
      </c>
      <c r="K4650" s="38" t="n">
        <f aca="false">Sens!$J$4650*(1+Sens!$K$4651)</f>
        <v>77.9770283210907</v>
      </c>
      <c r="L4650" s="38" t="n">
        <f aca="false">Sens!$K$4650*(1+Sens!$L$4651)</f>
        <v>83.4354203035671</v>
      </c>
      <c r="M4650" s="38" t="n">
        <f aca="false">Sens!$L$4650*(1+Sens!$M$4651)</f>
        <v>89.2758997248168</v>
      </c>
      <c r="N4650" s="38" t="n">
        <f aca="false">Q!$N$14</f>
        <v>23.923</v>
      </c>
      <c r="O4650" s="38" t="n">
        <f aca="false">Q!$O$14</f>
        <v>25.696</v>
      </c>
      <c r="P4650" s="8" t="s">
        <v>661</v>
      </c>
    </row>
    <row r="4651" customFormat="false" ht="17.15" hidden="false" customHeight="false" outlineLevel="0" collapsed="false">
      <c r="A4651" s="0" t="s">
        <v>670</v>
      </c>
      <c r="B4651" s="0" t="s">
        <v>52</v>
      </c>
      <c r="E4651" s="13" t="n">
        <f aca="false">Sens!$E$4650/Sens!$N$4650-1</f>
        <v>0.135183714417088</v>
      </c>
      <c r="F4651" s="13" t="n">
        <f aca="false">Sens!$O$4650/(Q!$F$14+Q!$G$14)-1</f>
        <v>0.127709997366804</v>
      </c>
      <c r="G4651" s="13" t="n">
        <f aca="false">Sens!$G$4650/Sens!$D$4650-1</f>
        <v>0.107104468022641</v>
      </c>
      <c r="H4651" s="13" t="n">
        <f aca="false">Sens!$F$4651+(g_sub-Sens!$F$4651)*1/4</f>
        <v>0.113282498025103</v>
      </c>
      <c r="I4651" s="13" t="n">
        <f aca="false">Sens!$F$4651+(g_sub-Sens!$F$4651)*2/4</f>
        <v>0.0988549986834021</v>
      </c>
      <c r="J4651" s="13" t="n">
        <f aca="false">Sens!$F$4651+(g_sub-Sens!$F$4651)*3/4</f>
        <v>0.084427499341701</v>
      </c>
      <c r="K4651" s="13" t="n">
        <f aca="false">Sens!$F$4651+(g_sub-Sens!$F$4651)*4/4</f>
        <v>0.07</v>
      </c>
      <c r="L4651" s="13" t="n">
        <f aca="false">g_sub</f>
        <v>0.07</v>
      </c>
      <c r="M4651" s="13" t="n">
        <f aca="false">g_sub</f>
        <v>0.07</v>
      </c>
      <c r="P4651" s="8" t="s">
        <v>671</v>
      </c>
    </row>
    <row r="4652" customFormat="false" ht="17.15" hidden="false" customHeight="false" outlineLevel="0" collapsed="false">
      <c r="A4652" s="0" t="s">
        <v>521</v>
      </c>
      <c r="B4652" s="0" t="s">
        <v>86</v>
      </c>
      <c r="C4652" s="38" t="n">
        <f aca="false">Q!$D$15</f>
        <v>5.425</v>
      </c>
      <c r="D4652" s="38" t="n">
        <f aca="false">Q!$E$15</f>
        <v>5.935</v>
      </c>
      <c r="E4652" s="38" t="n">
        <f aca="false">Q!$P$15</f>
        <v>3.474</v>
      </c>
      <c r="F4652" s="38" t="n">
        <f aca="false">Sens!$O$4652*(1+Sens!$F$4653)*Sens!$F$4654</f>
        <v>3.22246550883619</v>
      </c>
      <c r="G4652" s="38" t="n">
        <f aca="false">Sens!$E$4652+Sens!$F$4652</f>
        <v>6.69646550883619</v>
      </c>
      <c r="H4652" s="38" t="n">
        <f aca="false">Sens!$G$4652*(1+Sens!$H$4653)</f>
        <v>7.16251344209196</v>
      </c>
      <c r="I4652" s="38" t="n">
        <f aca="false">Sens!$H$4652*(1+Sens!$I$4653)</f>
        <v>7.61421070299826</v>
      </c>
      <c r="J4652" s="38" t="n">
        <f aca="false">Sens!$I$4652*(1+Sens!$J$4653)</f>
        <v>8.04465753523932</v>
      </c>
      <c r="K4652" s="38" t="n">
        <f aca="false">Sens!$J$4652*(1+Sens!$K$4653)</f>
        <v>8.44689041200128</v>
      </c>
      <c r="L4652" s="38" t="n">
        <f aca="false">Sens!$K$4652*(1+Sens!$L$4653)</f>
        <v>8.86923493260135</v>
      </c>
      <c r="M4652" s="38" t="n">
        <f aca="false">Sens!$L$4652*(1+Sens!$M$4653)</f>
        <v>9.31269667923142</v>
      </c>
      <c r="N4652" s="38" t="n">
        <f aca="false">Q!$N$15</f>
        <v>2.811</v>
      </c>
      <c r="O4652" s="38" t="n">
        <f aca="false">Q!$O$15</f>
        <v>3.124</v>
      </c>
      <c r="P4652" s="8" t="s">
        <v>661</v>
      </c>
    </row>
    <row r="4653" customFormat="false" ht="17.15" hidden="false" customHeight="false" outlineLevel="0" collapsed="false">
      <c r="A4653" s="0" t="s">
        <v>672</v>
      </c>
      <c r="B4653" s="0" t="s">
        <v>52</v>
      </c>
      <c r="E4653" s="13" t="n">
        <f aca="false">Sens!$E$4652/Sens!$N$4652-1</f>
        <v>0.235859124866596</v>
      </c>
      <c r="F4653" s="13" t="n">
        <f aca="false">Sens!$O$4652/(Q!$F$15+Q!$G$15)-1</f>
        <v>0.0761281433000345</v>
      </c>
      <c r="G4653" s="13" t="n">
        <f aca="false">Sens!$G$4652/Sens!$D$4652-1</f>
        <v>0.128300843948811</v>
      </c>
      <c r="H4653" s="13" t="n">
        <f aca="false">Sens!$F$4653+(g_ot-Sens!$F$4653)*1/4</f>
        <v>0.0695961074750259</v>
      </c>
      <c r="I4653" s="13" t="n">
        <f aca="false">Sens!$F$4653+(g_ot-Sens!$F$4653)*2/4</f>
        <v>0.0630640716500172</v>
      </c>
      <c r="J4653" s="13" t="n">
        <f aca="false">Sens!$F$4653+(g_ot-Sens!$F$4653)*3/4</f>
        <v>0.0565320358250086</v>
      </c>
      <c r="K4653" s="13" t="n">
        <f aca="false">Sens!$F$4653+(g_ot-Sens!$F$4653)*4/4</f>
        <v>0.05</v>
      </c>
      <c r="L4653" s="13" t="n">
        <f aca="false">g_ot</f>
        <v>0.05</v>
      </c>
      <c r="M4653" s="13" t="n">
        <f aca="false">g_ot</f>
        <v>0.05</v>
      </c>
      <c r="P4653" s="8" t="s">
        <v>673</v>
      </c>
    </row>
    <row r="4654" customFormat="false" ht="17.15" hidden="false" customHeight="false" outlineLevel="0" collapsed="false">
      <c r="A4654" s="0" t="s">
        <v>674</v>
      </c>
      <c r="B4654" s="0" t="s">
        <v>57</v>
      </c>
      <c r="F4654" s="40" t="n">
        <f aca="false">(g26q3_mid*Q!$O$8/Q!$J$8-Sens!$F$4683-Sens!$F$4687)/(Sens!$O$4642*(1+Sens!$F$4643)+Sens!$O$4644*(1+Sens!$F$4645)+Sens!$O$4646*(1+Sens!$F$4647)+Sens!$O$4648*(1+Sens!$F$4649)+Sens!$O$4650*(1+Sens!$F$4651)+Sens!$O$4652*(1+Sens!$F$4653))</f>
        <v>0.958546670622329</v>
      </c>
      <c r="P4654" s="8" t="s">
        <v>675</v>
      </c>
    </row>
    <row r="4655" customFormat="false" ht="17.15" hidden="false" customHeight="false" outlineLevel="0" collapsed="false">
      <c r="A4655" s="3" t="s">
        <v>676</v>
      </c>
      <c r="B4655" s="8" t="s">
        <v>86</v>
      </c>
      <c r="C4655" s="38" t="n">
        <f aca="false">Sens!$C$4642+Sens!$C$4644+Sens!$C$4646+Sens!$C$4648+Sens!$C$4650+Sens!$C$4652</f>
        <v>530.403</v>
      </c>
      <c r="D4655" s="38" t="n">
        <f aca="false">Sens!$D$4642+Sens!$D$4644+Sens!$D$4646+Sens!$D$4648+Sens!$D$4650+Sens!$D$4652</f>
        <v>588.199</v>
      </c>
      <c r="E4655" s="38" t="n">
        <f aca="false">Sens!$E$4642+Sens!$E$4644+Sens!$E$4646+Sens!$E$4648+Sens!$E$4650+Sens!$E$4652</f>
        <v>302.306</v>
      </c>
      <c r="F4655" s="38" t="n">
        <f aca="false">Sens!$F$4642+Sens!$F$4644+Sens!$F$4646+Sens!$F$4648+Sens!$F$4650+Sens!$F$4652</f>
        <v>349.048241645537</v>
      </c>
      <c r="G4655" s="38" t="n">
        <f aca="false">Sens!$G$4642+Sens!$G$4644+Sens!$G$4646+Sens!$G$4648+Sens!$G$4650+Sens!$G$4652</f>
        <v>651.354241645537</v>
      </c>
      <c r="H4655" s="38" t="n">
        <f aca="false">Sens!$H$4642+Sens!$H$4644+Sens!$H$4646+Sens!$H$4648+Sens!$H$4650+Sens!$H$4652</f>
        <v>721.096889521386</v>
      </c>
      <c r="I4655" s="38" t="n">
        <f aca="false">Sens!$I$4642+Sens!$I$4644+Sens!$I$4646+Sens!$I$4648+Sens!$I$4650+Sens!$I$4652</f>
        <v>788.529391152531</v>
      </c>
      <c r="J4655" s="38" t="n">
        <f aca="false">Sens!$J$4642+Sens!$J$4644+Sens!$J$4646+Sens!$J$4648+Sens!$J$4650+Sens!$J$4652</f>
        <v>851.108405741443</v>
      </c>
      <c r="K4655" s="38" t="n">
        <f aca="false">Sens!$K$4642+Sens!$K$4644+Sens!$K$4646+Sens!$K$4648+Sens!$K$4650+Sens!$K$4652</f>
        <v>906.176455431088</v>
      </c>
      <c r="L4655" s="38" t="n">
        <f aca="false">Sens!$L$4642+Sens!$L$4644+Sens!$L$4646+Sens!$L$4648+Sens!$L$4650+Sens!$L$4652</f>
        <v>965.093106475589</v>
      </c>
      <c r="M4655" s="38" t="n">
        <f aca="false">Sens!$M$4642+Sens!$M$4644+Sens!$M$4646+Sens!$M$4648+Sens!$M$4650+Sens!$M$4652</f>
        <v>1028.14790794689</v>
      </c>
      <c r="N4655" s="38" t="n">
        <f aca="false">Sens!$N$4642+Sens!$N$4644+Sens!$N$4646+Sens!$N$4648+Sens!$N$4650+Sens!$N$4652</f>
        <v>263.229</v>
      </c>
      <c r="O4655" s="38" t="n">
        <f aca="false">Sens!$O$4642+Sens!$O$4644+Sens!$O$4646+Sens!$O$4648+Sens!$O$4650+Sens!$O$4652</f>
        <v>324.97</v>
      </c>
    </row>
    <row r="4656" customFormat="false" ht="17.15" hidden="false" customHeight="false" outlineLevel="0" collapsed="false">
      <c r="A4656" s="5" t="s">
        <v>677</v>
      </c>
      <c r="B4656" s="0" t="s">
        <v>52</v>
      </c>
      <c r="C4656" s="13" t="n">
        <f aca="false">Q!$D$5/(Q!$D$5+Q!$D$6)</f>
        <v>0.730570905519011</v>
      </c>
      <c r="D4656" s="13" t="n">
        <f aca="false">Q!$E$5/(Q!$E$5+Q!$E$6)</f>
        <v>0.724763217890544</v>
      </c>
      <c r="E4656" s="13" t="n">
        <f aca="false">Q!$P$5/(Q!$P$5+Q!$P$6)</f>
        <v>0.728797972914861</v>
      </c>
      <c r="F4656" s="13" t="n">
        <f aca="false">Sens!$O$4656</f>
        <v>0.718066283041511</v>
      </c>
      <c r="G4656" s="13" t="n">
        <f aca="false">Sens!$G$4657/Sens!$G$4655</f>
        <v>0.723047066202847</v>
      </c>
      <c r="H4656" s="13" t="n">
        <f aca="false">Sens!$G$4656</f>
        <v>0.723047066202847</v>
      </c>
      <c r="I4656" s="13" t="n">
        <f aca="false">Sens!$G$4656</f>
        <v>0.723047066202847</v>
      </c>
      <c r="J4656" s="13" t="n">
        <f aca="false">Sens!$G$4656</f>
        <v>0.723047066202847</v>
      </c>
      <c r="K4656" s="13" t="n">
        <f aca="false">Sens!$G$4656</f>
        <v>0.723047066202847</v>
      </c>
      <c r="L4656" s="13" t="n">
        <f aca="false">Sens!$G$4656</f>
        <v>0.723047066202847</v>
      </c>
      <c r="M4656" s="13" t="n">
        <f aca="false">Sens!$G$4656</f>
        <v>0.723047066202847</v>
      </c>
      <c r="N4656" s="13" t="n">
        <f aca="false">Q!$N$5/(Q!$N$5+Q!$N$6)</f>
        <v>0.733030935041352</v>
      </c>
      <c r="O4656" s="13" t="n">
        <f aca="false">Q!$O$5/(Q!$O$5+Q!$O$6)</f>
        <v>0.718066283041511</v>
      </c>
      <c r="P4656" s="8" t="s">
        <v>678</v>
      </c>
    </row>
    <row r="4657" customFormat="false" ht="17.15" hidden="false" customHeight="false" outlineLevel="0" collapsed="false">
      <c r="A4657" s="1" t="s">
        <v>509</v>
      </c>
      <c r="B4657" s="8" t="s">
        <v>86</v>
      </c>
      <c r="C4657" s="38" t="n">
        <f aca="false">Q!$D$5</f>
        <v>387.497</v>
      </c>
      <c r="D4657" s="38" t="n">
        <f aca="false">Q!$E$5</f>
        <v>426.305</v>
      </c>
      <c r="E4657" s="38" t="n">
        <f aca="false">Q!$P$5</f>
        <v>220.32</v>
      </c>
      <c r="F4657" s="38" t="n">
        <f aca="false">Sens!$F$4655*Sens!$F$4656</f>
        <v>250.639773480586</v>
      </c>
      <c r="G4657" s="38" t="n">
        <f aca="false">Sens!$E$4657+Sens!$F$4657</f>
        <v>470.959773480586</v>
      </c>
      <c r="H4657" s="38" t="n">
        <f aca="false">Sens!$H$4655*Sens!$H$4656</f>
        <v>521.386990416437</v>
      </c>
      <c r="I4657" s="38" t="n">
        <f aca="false">Sens!$I$4655*Sens!$I$4656</f>
        <v>570.143862887555</v>
      </c>
      <c r="J4657" s="38" t="n">
        <f aca="false">Sens!$J$4655*Sens!$J$4656</f>
        <v>615.391435791933</v>
      </c>
      <c r="K4657" s="38" t="n">
        <f aca="false">Sens!$K$4655*Sens!$K$4656</f>
        <v>655.208227561543</v>
      </c>
      <c r="L4657" s="38" t="n">
        <f aca="false">Sens!$L$4655*Sens!$L$4656</f>
        <v>697.807739249767</v>
      </c>
      <c r="M4657" s="38" t="n">
        <f aca="false">Sens!$M$4655*Sens!$M$4656</f>
        <v>743.399328463592</v>
      </c>
      <c r="N4657" s="38" t="n">
        <f aca="false">Q!$N$5</f>
        <v>192.955</v>
      </c>
      <c r="O4657" s="38" t="n">
        <f aca="false">Q!$O$5</f>
        <v>233.35</v>
      </c>
      <c r="P4657" s="5" t="s">
        <v>679</v>
      </c>
    </row>
    <row r="4658" customFormat="false" ht="17.15" hidden="false" customHeight="false" outlineLevel="0" collapsed="false">
      <c r="A4658" s="1" t="s">
        <v>512</v>
      </c>
      <c r="B4658" s="8" t="s">
        <v>86</v>
      </c>
      <c r="C4658" s="38" t="n">
        <f aca="false">Q!$D$6</f>
        <v>142.906</v>
      </c>
      <c r="D4658" s="38" t="n">
        <f aca="false">Q!$E$6</f>
        <v>161.894</v>
      </c>
      <c r="E4658" s="38" t="n">
        <f aca="false">Q!$P$6</f>
        <v>81.986</v>
      </c>
      <c r="F4658" s="38" t="n">
        <f aca="false">Sens!$F$4655*(1-Sens!$F$4656)</f>
        <v>98.408468164951</v>
      </c>
      <c r="G4658" s="38" t="n">
        <f aca="false">Sens!$E$4658+Sens!$F$4658</f>
        <v>180.394468164951</v>
      </c>
      <c r="H4658" s="38" t="n">
        <f aca="false">Sens!$H$4655*(1-Sens!$H$4656)</f>
        <v>199.709899104949</v>
      </c>
      <c r="I4658" s="38" t="n">
        <f aca="false">Sens!$I$4655*(1-Sens!$I$4656)</f>
        <v>218.385528264976</v>
      </c>
      <c r="J4658" s="38" t="n">
        <f aca="false">Sens!$J$4655*(1-Sens!$J$4656)</f>
        <v>235.71696994951</v>
      </c>
      <c r="K4658" s="38" t="n">
        <f aca="false">Sens!$K$4655*(1-Sens!$K$4656)</f>
        <v>250.968227869545</v>
      </c>
      <c r="L4658" s="38" t="n">
        <f aca="false">Sens!$L$4655*(1-Sens!$L$4656)</f>
        <v>267.285367225822</v>
      </c>
      <c r="M4658" s="38" t="n">
        <f aca="false">Sens!$M$4655*(1-Sens!$M$4656)</f>
        <v>284.748579483295</v>
      </c>
      <c r="N4658" s="38" t="n">
        <f aca="false">Q!$N$6</f>
        <v>70.274</v>
      </c>
      <c r="O4658" s="38" t="n">
        <f aca="false">Q!$O$6</f>
        <v>91.62</v>
      </c>
      <c r="P4658" s="5" t="s">
        <v>680</v>
      </c>
    </row>
    <row r="4659" customFormat="false" ht="17.15" hidden="false" customHeight="false" outlineLevel="0" collapsed="false">
      <c r="A4659" s="5" t="s">
        <v>681</v>
      </c>
      <c r="B4659" s="0" t="s">
        <v>86</v>
      </c>
      <c r="C4659" s="38" t="n">
        <f aca="false">Sens!$C$4648*Sens!$C$4656</f>
        <v>41.0683128828457</v>
      </c>
      <c r="D4659" s="38" t="n">
        <f aca="false">Sens!$D$4648*Sens!$D$4656</f>
        <v>49.7441234599175</v>
      </c>
      <c r="E4659" s="38" t="n">
        <f aca="false">Sens!$E$4648*Sens!$E$4656</f>
        <v>27.0034224924414</v>
      </c>
      <c r="F4659" s="38" t="n">
        <f aca="false">Sens!$F$4648*Sens!$F$4656</f>
        <v>33.1439448330513</v>
      </c>
      <c r="G4659" s="38" t="n">
        <f aca="false">Sens!$G$4648*Sens!$G$4656</f>
        <v>60.164183844083</v>
      </c>
      <c r="H4659" s="38" t="n">
        <f aca="false">Sens!$H$4648*Sens!$H$4656</f>
        <v>72.2301766552629</v>
      </c>
      <c r="I4659" s="38" t="n">
        <f aca="false">Sens!$I$4648*Sens!$I$4656</f>
        <v>84.2950764463991</v>
      </c>
      <c r="J4659" s="38" t="n">
        <f aca="false">Sens!$J$4648*Sens!$J$4656</f>
        <v>95.5499047729386</v>
      </c>
      <c r="K4659" s="38" t="n">
        <f aca="false">Sens!$K$4648*Sens!$K$4656</f>
        <v>105.104895250232</v>
      </c>
      <c r="L4659" s="38" t="n">
        <f aca="false">Sens!$L$4648*Sens!$L$4656</f>
        <v>115.615384775256</v>
      </c>
      <c r="M4659" s="38" t="n">
        <f aca="false">Sens!$M$4648*Sens!$M$4656</f>
        <v>127.176923252781</v>
      </c>
      <c r="N4659" s="38" t="n">
        <f aca="false">Sens!$N$4648*Sens!$N$4656</f>
        <v>21.7087111412496</v>
      </c>
      <c r="O4659" s="38" t="n">
        <f aca="false">Sens!$O$4648*Sens!$O$4656</f>
        <v>28.0189463642798</v>
      </c>
      <c r="P4659" s="5" t="s">
        <v>682</v>
      </c>
    </row>
    <row r="4660" customFormat="false" ht="15" hidden="false" customHeight="false" outlineLevel="0" collapsed="false">
      <c r="A4660" s="5" t="s">
        <v>683</v>
      </c>
      <c r="B4660" s="0" t="s">
        <v>86</v>
      </c>
      <c r="C4660" s="38" t="n">
        <f aca="false">Sens!$C$4648-Sens!$C$4659</f>
        <v>15.1456871171543</v>
      </c>
      <c r="D4660" s="38" t="n">
        <f aca="false">Sens!$D$4648-Sens!$D$4659</f>
        <v>18.8908765400825</v>
      </c>
      <c r="E4660" s="38" t="n">
        <f aca="false">Sens!$E$4648-Sens!$E$4659</f>
        <v>10.0485775075586</v>
      </c>
      <c r="F4660" s="38" t="n">
        <f aca="false">Sens!$F$4648-Sens!$F$4659</f>
        <v>13.0132771613635</v>
      </c>
      <c r="G4660" s="38" t="n">
        <f aca="false">Sens!$G$4648-Sens!$G$4659</f>
        <v>23.0450381503318</v>
      </c>
      <c r="H4660" s="38" t="n">
        <f aca="false">Sens!$H$4648-Sens!$H$4659</f>
        <v>27.6667457326347</v>
      </c>
      <c r="I4660" s="38" t="n">
        <f aca="false">Sens!$I$4648-Sens!$I$4659</f>
        <v>32.2880346490971</v>
      </c>
      <c r="J4660" s="38" t="n">
        <f aca="false">Sens!$J$4648-Sens!$J$4659</f>
        <v>36.5990371690132</v>
      </c>
      <c r="K4660" s="38" t="n">
        <f aca="false">Sens!$K$4648-Sens!$K$4659</f>
        <v>40.2589408859145</v>
      </c>
      <c r="L4660" s="38" t="n">
        <f aca="false">Sens!$L$4648-Sens!$L$4659</f>
        <v>44.2848349745059</v>
      </c>
      <c r="M4660" s="38" t="n">
        <f aca="false">Sens!$M$4648-Sens!$M$4659</f>
        <v>48.7133184719565</v>
      </c>
      <c r="N4660" s="38" t="n">
        <f aca="false">Sens!$N$4648-Sens!$N$4659</f>
        <v>7.90628885875037</v>
      </c>
      <c r="O4660" s="38" t="n">
        <f aca="false">Sens!$O$4648-Sens!$O$4659</f>
        <v>11.0010536357202</v>
      </c>
    </row>
    <row r="4661" customFormat="false" ht="19.4" hidden="false" customHeight="false" outlineLevel="0" collapsed="false">
      <c r="A4661" s="31" t="s">
        <v>1223</v>
      </c>
    </row>
    <row r="4662" customFormat="false" ht="17.15" hidden="false" customHeight="false" outlineLevel="0" collapsed="false">
      <c r="A4662" s="6" t="s">
        <v>16</v>
      </c>
      <c r="B4662" s="6" t="s">
        <v>17</v>
      </c>
      <c r="C4662" s="20" t="s">
        <v>494</v>
      </c>
      <c r="D4662" s="20" t="s">
        <v>495</v>
      </c>
      <c r="E4662" s="20" t="s">
        <v>577</v>
      </c>
      <c r="F4662" s="20" t="s">
        <v>578</v>
      </c>
      <c r="G4662" s="20" t="s">
        <v>579</v>
      </c>
      <c r="H4662" s="20" t="s">
        <v>580</v>
      </c>
      <c r="I4662" s="20" t="s">
        <v>581</v>
      </c>
      <c r="J4662" s="20" t="s">
        <v>582</v>
      </c>
      <c r="K4662" s="20" t="s">
        <v>583</v>
      </c>
      <c r="L4662" s="20" t="s">
        <v>584</v>
      </c>
      <c r="M4662" s="20" t="s">
        <v>585</v>
      </c>
      <c r="N4662" s="20" t="s">
        <v>586</v>
      </c>
      <c r="O4662" s="20" t="s">
        <v>587</v>
      </c>
      <c r="P4662" s="6" t="s">
        <v>23</v>
      </c>
      <c r="R4662" s="20" t="n">
        <v>2023</v>
      </c>
      <c r="S4662" s="20" t="n">
        <v>2024</v>
      </c>
      <c r="T4662" s="20" t="n">
        <v>2025</v>
      </c>
      <c r="U4662" s="20" t="n">
        <v>2026</v>
      </c>
      <c r="V4662" s="20" t="n">
        <v>2027</v>
      </c>
      <c r="W4662" s="20" t="n">
        <v>2028</v>
      </c>
      <c r="X4662" s="20" t="n">
        <v>2029</v>
      </c>
      <c r="Y4662" s="20" t="n">
        <v>2030</v>
      </c>
      <c r="Z4662" s="20" t="n">
        <v>2031</v>
      </c>
      <c r="AA4662" s="20" t="n">
        <v>2032</v>
      </c>
    </row>
    <row r="4663" customFormat="false" ht="17.15" hidden="false" customHeight="false" outlineLevel="0" collapsed="false">
      <c r="A4663" s="1" t="s">
        <v>588</v>
      </c>
    </row>
    <row r="4664" customFormat="false" ht="17.15" hidden="false" customHeight="false" outlineLevel="0" collapsed="false">
      <c r="A4664" s="5" t="s">
        <v>589</v>
      </c>
      <c r="B4664" s="0" t="s">
        <v>144</v>
      </c>
      <c r="H4664" s="32" t="n">
        <f aca="false">pace_B</f>
        <v>3634.3</v>
      </c>
      <c r="I4664" s="32" t="n">
        <f aca="false">pace_B</f>
        <v>3634.3</v>
      </c>
      <c r="J4664" s="32" t="n">
        <f aca="false">pace_B</f>
        <v>3634.3</v>
      </c>
      <c r="K4664" s="32" t="n">
        <f aca="false">pace_B+(Sens!$J$4665*tg-pace_B)*1/3</f>
        <v>2570.86716666667</v>
      </c>
      <c r="L4664" s="32" t="n">
        <f aca="false">pace_B+(Sens!$J$4665*tg-pace_B)*2/3</f>
        <v>1507.43433333333</v>
      </c>
      <c r="M4664" s="32" t="n">
        <f aca="false">pace_B+(Sens!$J$4665*tg-pace_B)*3/3</f>
        <v>444.0015</v>
      </c>
      <c r="P4664" s="5" t="s">
        <v>590</v>
      </c>
    </row>
    <row r="4665" customFormat="false" ht="17.15" hidden="false" customHeight="false" outlineLevel="0" collapsed="false">
      <c r="A4665" s="15" t="s">
        <v>591</v>
      </c>
      <c r="B4665" s="14" t="s">
        <v>129</v>
      </c>
      <c r="C4665" s="33" t="n">
        <f aca="false">mw_ye24</f>
        <v>360</v>
      </c>
      <c r="D4665" s="33" t="n">
        <f aca="false">mw_ye25</f>
        <v>1440</v>
      </c>
      <c r="E4665" s="33" t="n">
        <f aca="false">mw_open</f>
        <v>2080</v>
      </c>
      <c r="F4665" s="33" t="n">
        <f aca="false">Sens!$E$4665+pace_B*0.5</f>
        <v>3897.15</v>
      </c>
      <c r="G4665" s="33" t="n">
        <f aca="false">Sens!$F$4665</f>
        <v>3897.15</v>
      </c>
      <c r="H4665" s="33" t="n">
        <f aca="false">Sens!$G$4665+Sens!$H$4664</f>
        <v>7531.45</v>
      </c>
      <c r="I4665" s="33" t="n">
        <f aca="false">Sens!$H$4665+Sens!$I$4664</f>
        <v>11165.75</v>
      </c>
      <c r="J4665" s="33" t="n">
        <f aca="false">Sens!$I$4665+Sens!$J$4664</f>
        <v>14800.05</v>
      </c>
      <c r="K4665" s="33" t="n">
        <f aca="false">Sens!$J$4665+Sens!$K$4664</f>
        <v>17370.9171666667</v>
      </c>
      <c r="L4665" s="33" t="n">
        <f aca="false">Sens!$K$4665+Sens!$L$4664</f>
        <v>18878.3515</v>
      </c>
      <c r="M4665" s="33" t="n">
        <f aca="false">Sens!$L$4665+Sens!$M$4664</f>
        <v>19322.353</v>
      </c>
      <c r="N4665" s="33" t="n">
        <f aca="false">(mw_ye24+mw_ye25)/2</f>
        <v>900</v>
      </c>
      <c r="O4665" s="33" t="n">
        <f aca="false">mw_ye25</f>
        <v>1440</v>
      </c>
      <c r="P4665" s="5" t="s">
        <v>592</v>
      </c>
    </row>
    <row r="4666" customFormat="false" ht="17.15" hidden="false" customHeight="false" outlineLevel="0" collapsed="false">
      <c r="A4666" s="5" t="s">
        <v>593</v>
      </c>
      <c r="B4666" s="0" t="s">
        <v>129</v>
      </c>
      <c r="C4666" s="32" t="n">
        <f aca="false">(mw_ye23+mw_ye24)/2</f>
        <v>240</v>
      </c>
      <c r="D4666" s="32" t="n">
        <f aca="false">(Sens!$C$4665+Sens!$D$4665)/2</f>
        <v>900</v>
      </c>
      <c r="E4666" s="32" t="n">
        <f aca="false">(Sens!$D$4665+Sens!$E$4665)/2</f>
        <v>1760</v>
      </c>
      <c r="F4666" s="32" t="n">
        <f aca="false">(Sens!$E$4665+Sens!$F$4665)/2</f>
        <v>2988.575</v>
      </c>
      <c r="G4666" s="32" t="n">
        <f aca="false">(Sens!$E$4666+Sens!$F$4666)/2</f>
        <v>2374.2875</v>
      </c>
      <c r="H4666" s="32" t="n">
        <f aca="false">(Sens!$G$4665+Sens!$H$4665)/2</f>
        <v>5714.3</v>
      </c>
      <c r="I4666" s="32" t="n">
        <f aca="false">(Sens!$H$4665+Sens!$I$4665)/2</f>
        <v>9348.6</v>
      </c>
      <c r="J4666" s="32" t="n">
        <f aca="false">(Sens!$I$4665+Sens!$J$4665)/2</f>
        <v>12982.9</v>
      </c>
      <c r="K4666" s="32" t="n">
        <f aca="false">(Sens!$J$4665+Sens!$K$4665)/2</f>
        <v>16085.4835833333</v>
      </c>
      <c r="L4666" s="32" t="n">
        <f aca="false">(Sens!$K$4665+Sens!$L$4665)/2</f>
        <v>18124.6343333333</v>
      </c>
      <c r="M4666" s="32" t="n">
        <f aca="false">(Sens!$L$4665+Sens!$M$4665)/2</f>
        <v>19100.35225</v>
      </c>
      <c r="N4666" s="32" t="n">
        <f aca="false">(Sens!$C$4665+Sens!$N$4665)/2</f>
        <v>630</v>
      </c>
      <c r="O4666" s="32" t="n">
        <f aca="false">(Sens!$N$4665+Sens!$O$4665)/2</f>
        <v>1170</v>
      </c>
    </row>
    <row r="4667" customFormat="false" ht="15" hidden="false" customHeight="false" outlineLevel="0" collapsed="false">
      <c r="A4667" s="5" t="s">
        <v>594</v>
      </c>
      <c r="B4667" s="5" t="s">
        <v>123</v>
      </c>
      <c r="C4667" s="34" t="n">
        <v>1</v>
      </c>
      <c r="D4667" s="34" t="n">
        <v>1</v>
      </c>
      <c r="E4667" s="34" t="n">
        <v>0.5</v>
      </c>
      <c r="F4667" s="34" t="n">
        <v>0.5</v>
      </c>
      <c r="G4667" s="34" t="n">
        <v>1</v>
      </c>
      <c r="H4667" s="34" t="n">
        <v>1</v>
      </c>
      <c r="I4667" s="34" t="n">
        <v>1</v>
      </c>
      <c r="J4667" s="34" t="n">
        <v>1</v>
      </c>
      <c r="K4667" s="34" t="n">
        <v>1</v>
      </c>
      <c r="L4667" s="34" t="n">
        <v>1</v>
      </c>
      <c r="M4667" s="34" t="n">
        <v>1</v>
      </c>
      <c r="N4667" s="34" t="n">
        <v>0.5</v>
      </c>
      <c r="O4667" s="34" t="n">
        <v>0.5</v>
      </c>
    </row>
    <row r="4668" customFormat="false" ht="17.15" hidden="false" customHeight="false" outlineLevel="0" collapsed="false">
      <c r="A4668" s="5" t="s">
        <v>595</v>
      </c>
      <c r="B4668" s="0" t="s">
        <v>129</v>
      </c>
      <c r="C4668" s="32" t="n">
        <f aca="false">Sens!$C$4665-mw_ye23</f>
        <v>240</v>
      </c>
      <c r="D4668" s="32" t="n">
        <f aca="false">Sens!$D$4665-Sens!$C$4665</f>
        <v>1080</v>
      </c>
      <c r="E4668" s="32" t="n">
        <f aca="false">Sens!$E$4665-Sens!$D$4665</f>
        <v>640</v>
      </c>
      <c r="F4668" s="32" t="n">
        <f aca="false">Sens!$F$4665-Sens!$E$4665</f>
        <v>1817.15</v>
      </c>
      <c r="G4668" s="32" t="n">
        <f aca="false">Sens!$E$4668+Sens!$F$4668</f>
        <v>2457.15</v>
      </c>
      <c r="H4668" s="32" t="n">
        <f aca="false">Sens!$H$4665-Sens!$G$4665</f>
        <v>3634.3</v>
      </c>
      <c r="I4668" s="32" t="n">
        <f aca="false">Sens!$I$4665-Sens!$H$4665</f>
        <v>3634.3</v>
      </c>
      <c r="J4668" s="32" t="n">
        <f aca="false">Sens!$J$4665-Sens!$I$4665</f>
        <v>3634.3</v>
      </c>
      <c r="K4668" s="32" t="n">
        <f aca="false">Sens!$K$4665-Sens!$J$4665</f>
        <v>2570.86716666667</v>
      </c>
      <c r="L4668" s="32" t="n">
        <f aca="false">Sens!$L$4665-Sens!$K$4665</f>
        <v>1507.43433333333</v>
      </c>
      <c r="M4668" s="32" t="n">
        <f aca="false">Sens!$M$4665-Sens!$L$4665</f>
        <v>444.001499999999</v>
      </c>
      <c r="N4668" s="32" t="n">
        <f aca="false">Sens!$N$4665-Sens!$C$4665</f>
        <v>540</v>
      </c>
      <c r="O4668" s="32" t="n">
        <f aca="false">Sens!$O$4665-Sens!$N$4665</f>
        <v>540</v>
      </c>
    </row>
    <row r="4669" customFormat="false" ht="17.15" hidden="false" customHeight="false" outlineLevel="0" collapsed="false">
      <c r="A4669" s="5" t="s">
        <v>596</v>
      </c>
      <c r="B4669" s="0" t="s">
        <v>129</v>
      </c>
      <c r="C4669" s="32" t="n">
        <f aca="false">Sens!$C$4668/ext_sh</f>
        <v>300</v>
      </c>
      <c r="D4669" s="32" t="n">
        <f aca="false">Sens!$D$4668/ext_sh</f>
        <v>1350</v>
      </c>
      <c r="E4669" s="32" t="n">
        <f aca="false">Sens!$E$4668/ext_sh</f>
        <v>800</v>
      </c>
      <c r="F4669" s="32" t="n">
        <f aca="false">Sens!$F$4668/ext_sh</f>
        <v>2271.4375</v>
      </c>
      <c r="G4669" s="32" t="n">
        <f aca="false">Sens!$G$4668/ext_sh</f>
        <v>3071.4375</v>
      </c>
      <c r="H4669" s="32" t="n">
        <f aca="false">Sens!$H$4668/ext_sh</f>
        <v>4542.875</v>
      </c>
      <c r="I4669" s="32" t="n">
        <f aca="false">Sens!$I$4668/ext_sh</f>
        <v>4542.875</v>
      </c>
      <c r="J4669" s="32" t="n">
        <f aca="false">Sens!$J$4668/ext_sh</f>
        <v>4542.875</v>
      </c>
      <c r="K4669" s="32" t="n">
        <f aca="false">Sens!$K$4668/ext_sh</f>
        <v>3213.58395833333</v>
      </c>
      <c r="L4669" s="32" t="n">
        <f aca="false">Sens!$L$4668/ext_sh</f>
        <v>1884.29291666667</v>
      </c>
      <c r="M4669" s="32" t="n">
        <f aca="false">Sens!$M$4668/ext_sh</f>
        <v>555.001874999998</v>
      </c>
      <c r="N4669" s="32" t="n">
        <f aca="false">Sens!$N$4668/ext_sh</f>
        <v>675</v>
      </c>
      <c r="O4669" s="32" t="n">
        <f aca="false">Sens!$O$4668/ext_sh</f>
        <v>675</v>
      </c>
      <c r="P4669" s="8" t="s">
        <v>597</v>
      </c>
      <c r="R4669" s="32" t="n">
        <f aca="false">mw_ye23/ext_sh</f>
        <v>150</v>
      </c>
      <c r="S4669" s="32" t="n">
        <f aca="false">Sens!$C$4669</f>
        <v>300</v>
      </c>
      <c r="T4669" s="32" t="n">
        <f aca="false">Sens!$D$4669</f>
        <v>1350</v>
      </c>
      <c r="U4669" s="32" t="n">
        <f aca="false">Sens!$G$4669</f>
        <v>3071.4375</v>
      </c>
      <c r="V4669" s="32" t="n">
        <f aca="false">Sens!$H$4669</f>
        <v>4542.875</v>
      </c>
      <c r="W4669" s="32" t="n">
        <f aca="false">Sens!$I$4669</f>
        <v>4542.875</v>
      </c>
      <c r="X4669" s="32" t="n">
        <f aca="false">Sens!$J$4669</f>
        <v>4542.875</v>
      </c>
      <c r="Y4669" s="32" t="n">
        <f aca="false">Sens!$K$4669</f>
        <v>3213.58395833333</v>
      </c>
      <c r="Z4669" s="32" t="n">
        <f aca="false">Sens!$L$4669</f>
        <v>1884.29291666667</v>
      </c>
      <c r="AA4669" s="32" t="n">
        <f aca="false">Sens!$M$4669</f>
        <v>555.001874999998</v>
      </c>
    </row>
    <row r="4670" customFormat="false" ht="17.15" hidden="false" customHeight="false" outlineLevel="0" collapsed="false">
      <c r="A4670" s="1" t="s">
        <v>598</v>
      </c>
    </row>
    <row r="4671" customFormat="false" ht="17.15" hidden="false" customHeight="false" outlineLevel="0" collapsed="false">
      <c r="A4671" s="0" t="s">
        <v>599</v>
      </c>
      <c r="B4671" s="0" t="s">
        <v>52</v>
      </c>
      <c r="F4671" s="35" t="n">
        <f aca="false">na_vr26</f>
        <v>0</v>
      </c>
      <c r="G4671" s="35" t="n">
        <f aca="false">na_vr26</f>
        <v>0</v>
      </c>
      <c r="H4671" s="35" t="n">
        <f aca="false">na_vr27</f>
        <v>0.5</v>
      </c>
      <c r="I4671" s="35" t="n">
        <f aca="false">na_vr28</f>
        <v>1</v>
      </c>
      <c r="J4671" s="35" t="n">
        <f aca="false">na_vr28</f>
        <v>1</v>
      </c>
      <c r="K4671" s="35" t="n">
        <f aca="false">na_vr28</f>
        <v>1</v>
      </c>
      <c r="L4671" s="35" t="n">
        <f aca="false">na_vr28</f>
        <v>1</v>
      </c>
      <c r="M4671" s="35" t="n">
        <f aca="false">na_vr28</f>
        <v>1</v>
      </c>
    </row>
    <row r="4672" customFormat="false" ht="17.15" hidden="false" customHeight="false" outlineLevel="0" collapsed="false">
      <c r="A4672" s="5" t="s">
        <v>600</v>
      </c>
      <c r="B4672" s="0" t="s">
        <v>173</v>
      </c>
      <c r="F4672" s="36" t="n">
        <f aca="false">cust_sh*tk_he_gb300*cf_chip+(1-cust_sh)*((1-Sens!$F$4671)*tk_he_gb300+Sens!$F$4671*tk_he_vr200)</f>
        <v>10.8864110021101</v>
      </c>
      <c r="G4672" s="36" t="n">
        <f aca="false">cust_sh*tk_he_gb300*cf_chip+(1-cust_sh)*((1-Sens!$G$4671)*tk_he_gb300+Sens!$G$4671*tk_he_vr200)</f>
        <v>10.8864110021101</v>
      </c>
      <c r="H4672" s="36" t="n">
        <f aca="false">cust_sh*tk_he_gb300*cf_chip+(1-cust_sh)*((1-Sens!$H$4671)*tk_he_gb300+Sens!$H$4671*tk_he_vr200)</f>
        <v>11.2211760027286</v>
      </c>
      <c r="I4672" s="36" t="n">
        <f aca="false">cust_sh*tk_he_gb300*cf_chip+(1-cust_sh)*((1-Sens!$I$4671)*tk_he_gb300+Sens!$I$4671*tk_he_vr200)</f>
        <v>11.5559410033471</v>
      </c>
      <c r="J4672" s="36" t="n">
        <f aca="false">cust_sh*tk_he_gb300*cf_chip+(1-cust_sh)*((1-Sens!$J$4671)*tk_he_gb300+Sens!$J$4671*tk_he_vr200)</f>
        <v>11.5559410033471</v>
      </c>
      <c r="K4672" s="36" t="n">
        <f aca="false">cust_sh*tk_he_gb300*cf_chip+(1-cust_sh)*((1-Sens!$K$4671)*tk_he_gb300+Sens!$K$4671*tk_he_vr200)</f>
        <v>11.5559410033471</v>
      </c>
      <c r="L4672" s="36" t="n">
        <f aca="false">cust_sh*tk_he_gb300*cf_chip+(1-cust_sh)*((1-Sens!$L$4671)*tk_he_gb300+Sens!$L$4671*tk_he_vr200)</f>
        <v>11.5559410033471</v>
      </c>
      <c r="M4672" s="36" t="n">
        <f aca="false">cust_sh*tk_he_gb300*cf_chip+(1-cust_sh)*((1-Sens!$M$4671)*tk_he_gb300+Sens!$M$4671*tk_he_vr200)</f>
        <v>11.5559410033471</v>
      </c>
    </row>
    <row r="4673" customFormat="false" ht="17.15" hidden="false" customHeight="false" outlineLevel="0" collapsed="false">
      <c r="A4673" s="5" t="s">
        <v>601</v>
      </c>
      <c r="B4673" s="0" t="s">
        <v>173</v>
      </c>
      <c r="F4673" s="36" t="n">
        <f aca="false">cust_sh*tk_ox_gb300+(1-cust_sh)*((1-Sens!$F$4671)*tk_ox_gb300+Sens!$F$4671*tk_ox_vr200)</f>
        <v>1.98263481314457</v>
      </c>
      <c r="G4673" s="36" t="n">
        <f aca="false">cust_sh*tk_ox_gb300+(1-cust_sh)*((1-Sens!$G$4671)*tk_ox_gb300+Sens!$G$4671*tk_ox_vr200)</f>
        <v>1.98263481314457</v>
      </c>
      <c r="H4673" s="36" t="n">
        <f aca="false">cust_sh*tk_ox_gb300+(1-cust_sh)*((1-Sens!$H$4671)*tk_ox_gb300+Sens!$H$4671*tk_ox_vr200)</f>
        <v>2.01034999693694</v>
      </c>
      <c r="I4673" s="36" t="n">
        <f aca="false">cust_sh*tk_ox_gb300+(1-cust_sh)*((1-Sens!$I$4671)*tk_ox_gb300+Sens!$I$4671*tk_ox_vr200)</f>
        <v>2.0380651807293</v>
      </c>
      <c r="J4673" s="36" t="n">
        <f aca="false">cust_sh*tk_ox_gb300+(1-cust_sh)*((1-Sens!$J$4671)*tk_ox_gb300+Sens!$J$4671*tk_ox_vr200)</f>
        <v>2.0380651807293</v>
      </c>
      <c r="K4673" s="36" t="n">
        <f aca="false">cust_sh*tk_ox_gb300+(1-cust_sh)*((1-Sens!$K$4671)*tk_ox_gb300+Sens!$K$4671*tk_ox_vr200)</f>
        <v>2.0380651807293</v>
      </c>
      <c r="L4673" s="36" t="n">
        <f aca="false">cust_sh*tk_ox_gb300+(1-cust_sh)*((1-Sens!$L$4671)*tk_ox_gb300+Sens!$L$4671*tk_ox_vr200)</f>
        <v>2.0380651807293</v>
      </c>
      <c r="M4673" s="36" t="n">
        <f aca="false">cust_sh*tk_ox_gb300+(1-cust_sh)*((1-Sens!$M$4671)*tk_ox_gb300+Sens!$M$4671*tk_ox_vr200)</f>
        <v>2.0380651807293</v>
      </c>
    </row>
    <row r="4674" customFormat="false" ht="17.15" hidden="false" customHeight="false" outlineLevel="0" collapsed="false">
      <c r="A4674" s="5" t="s">
        <v>602</v>
      </c>
      <c r="B4674" s="0" t="s">
        <v>192</v>
      </c>
      <c r="F4674" s="36" t="n">
        <f aca="false">cust_sh*tk_cx_gb300*cf_cx+(1-cust_sh)*((1-Sens!$F$4671)*tk_cx_gb300+Sens!$F$4671*tk_cx_vr200)</f>
        <v>32.237224</v>
      </c>
      <c r="G4674" s="36" t="n">
        <f aca="false">cust_sh*tk_cx_gb300*cf_cx+(1-cust_sh)*((1-Sens!$G$4671)*tk_cx_gb300+Sens!$G$4671*tk_cx_vr200)</f>
        <v>32.237224</v>
      </c>
      <c r="H4674" s="36" t="n">
        <f aca="false">cust_sh*tk_cx_gb300*cf_cx+(1-cust_sh)*((1-Sens!$H$4671)*tk_cx_gb300+Sens!$H$4671*tk_cx_vr200)</f>
        <v>33.574506</v>
      </c>
      <c r="I4674" s="36" t="n">
        <f aca="false">cust_sh*tk_cx_gb300*cf_cx+(1-cust_sh)*((1-Sens!$I$4671)*tk_cx_gb300+Sens!$I$4671*tk_cx_vr200)</f>
        <v>34.911788</v>
      </c>
      <c r="J4674" s="36" t="n">
        <f aca="false">cust_sh*tk_cx_gb300*cf_cx+(1-cust_sh)*((1-Sens!$J$4671)*tk_cx_gb300+Sens!$J$4671*tk_cx_vr200)</f>
        <v>34.911788</v>
      </c>
      <c r="K4674" s="36" t="n">
        <f aca="false">cust_sh*tk_cx_gb300*cf_cx+(1-cust_sh)*((1-Sens!$K$4671)*tk_cx_gb300+Sens!$K$4671*tk_cx_vr200)</f>
        <v>34.911788</v>
      </c>
      <c r="L4674" s="36" t="n">
        <f aca="false">cust_sh*tk_cx_gb300*cf_cx+(1-cust_sh)*((1-Sens!$L$4671)*tk_cx_gb300+Sens!$L$4671*tk_cx_vr200)</f>
        <v>34.911788</v>
      </c>
      <c r="M4674" s="36" t="n">
        <f aca="false">cust_sh*tk_cx_gb300*cf_cx+(1-cust_sh)*((1-Sens!$M$4671)*tk_cx_gb300+Sens!$M$4671*tk_cx_vr200)</f>
        <v>34.911788</v>
      </c>
    </row>
    <row r="4675" customFormat="false" ht="17.15" hidden="false" customHeight="false" outlineLevel="0" collapsed="false">
      <c r="A4675" s="5" t="s">
        <v>603</v>
      </c>
      <c r="B4675" s="0" t="s">
        <v>129</v>
      </c>
      <c r="F4675" s="32" t="n">
        <f aca="false">Sens!$F$4665-mw_open</f>
        <v>1817.15</v>
      </c>
      <c r="G4675" s="32" t="n">
        <f aca="false">Sens!$F$4675</f>
        <v>1817.15</v>
      </c>
      <c r="H4675" s="32" t="n">
        <f aca="false">Sens!$H$4665-mw_open</f>
        <v>5451.45</v>
      </c>
      <c r="I4675" s="32" t="n">
        <f aca="false">Sens!$I$4665-mw_open</f>
        <v>9085.75</v>
      </c>
      <c r="J4675" s="32" t="n">
        <f aca="false">Sens!$J$4665-mw_open</f>
        <v>12720.05</v>
      </c>
      <c r="K4675" s="32" t="n">
        <f aca="false">Sens!$K$4665-mw_open</f>
        <v>15290.9171666667</v>
      </c>
      <c r="L4675" s="32" t="n">
        <f aca="false">Sens!$L$4665-mw_open</f>
        <v>16798.3515</v>
      </c>
      <c r="M4675" s="32" t="n">
        <f aca="false">Sens!$M$4665-mw_open</f>
        <v>17242.353</v>
      </c>
    </row>
    <row r="4676" customFormat="false" ht="17.15" hidden="false" customHeight="false" outlineLevel="0" collapsed="false">
      <c r="A4676" s="0" t="s">
        <v>604</v>
      </c>
      <c r="B4676" s="0" t="s">
        <v>605</v>
      </c>
      <c r="F4676" s="32" t="n">
        <f aca="false">Sens!$F$4668*Sens!$F$4672</f>
        <v>19782.2417524844</v>
      </c>
      <c r="G4676" s="32" t="n">
        <f aca="false">Sens!$F$4676</f>
        <v>19782.2417524844</v>
      </c>
      <c r="H4676" s="32" t="n">
        <f aca="false">Sens!$G$4676+Sens!$H$4668*Sens!$H$4672</f>
        <v>60563.3616992009</v>
      </c>
      <c r="I4676" s="32" t="n">
        <f aca="false">Sens!$H$4676+Sens!$I$4668*Sens!$I$4672</f>
        <v>102561.118087665</v>
      </c>
      <c r="J4676" s="32" t="n">
        <f aca="false">Sens!$I$4676+Sens!$J$4668*Sens!$J$4672</f>
        <v>144558.87447613</v>
      </c>
      <c r="K4676" s="32" t="n">
        <f aca="false">Sens!$J$4676+Sens!$K$4668*Sens!$K$4672</f>
        <v>174267.663781572</v>
      </c>
      <c r="L4676" s="32" t="n">
        <f aca="false">Sens!$K$4676+Sens!$L$4668*Sens!$L$4672</f>
        <v>191687.486003992</v>
      </c>
      <c r="M4676" s="32" t="n">
        <f aca="false">Sens!$L$4676+Sens!$M$4668*Sens!$M$4672</f>
        <v>196818.341143389</v>
      </c>
    </row>
    <row r="4677" customFormat="false" ht="17.15" hidden="false" customHeight="false" outlineLevel="0" collapsed="false">
      <c r="A4677" s="0" t="s">
        <v>606</v>
      </c>
      <c r="B4677" s="0" t="s">
        <v>605</v>
      </c>
      <c r="F4677" s="32" t="n">
        <f aca="false">Sens!$F$4668*Sens!$F$4673</f>
        <v>3602.74485070566</v>
      </c>
      <c r="G4677" s="32" t="n">
        <f aca="false">Sens!$F$4677</f>
        <v>3602.74485070566</v>
      </c>
      <c r="H4677" s="32" t="n">
        <f aca="false">Sens!$G$4677+Sens!$H$4668*Sens!$H$4673</f>
        <v>10908.9598445736</v>
      </c>
      <c r="I4677" s="32" t="n">
        <f aca="false">Sens!$H$4677+Sens!$I$4668*Sens!$I$4673</f>
        <v>18315.9001308981</v>
      </c>
      <c r="J4677" s="32" t="n">
        <f aca="false">Sens!$I$4677+Sens!$J$4668*Sens!$J$4673</f>
        <v>25722.8404172225</v>
      </c>
      <c r="K4677" s="32" t="n">
        <f aca="false">Sens!$J$4677+Sens!$K$4668*Sens!$K$4673</f>
        <v>30962.4352738861</v>
      </c>
      <c r="L4677" s="32" t="n">
        <f aca="false">Sens!$K$4677+Sens!$L$4668*Sens!$L$4673</f>
        <v>34034.6847008886</v>
      </c>
      <c r="M4677" s="32" t="n">
        <f aca="false">Sens!$L$4677+Sens!$M$4668*Sens!$M$4673</f>
        <v>34939.5886982302</v>
      </c>
    </row>
    <row r="4678" customFormat="false" ht="17.15" hidden="false" customHeight="false" outlineLevel="0" collapsed="false">
      <c r="A4678" s="5" t="s">
        <v>607</v>
      </c>
      <c r="B4678" s="0" t="s">
        <v>173</v>
      </c>
      <c r="F4678" s="36" t="n">
        <f aca="false">IF(Sens!$F$4675&gt;0,Sens!$F$4676/Sens!$F$4675,Sens!$F$4672)</f>
        <v>10.8864110021101</v>
      </c>
      <c r="G4678" s="36" t="n">
        <f aca="false">IF(Sens!$G$4675&gt;0,Sens!$G$4676/Sens!$G$4675,Sens!$G$4672)</f>
        <v>10.8864110021101</v>
      </c>
      <c r="H4678" s="36" t="n">
        <f aca="false">IF(Sens!$H$4675&gt;0,Sens!$H$4676/Sens!$H$4675,Sens!$H$4672)</f>
        <v>11.1095876691891</v>
      </c>
      <c r="I4678" s="36" t="n">
        <f aca="false">IF(Sens!$I$4675&gt;0,Sens!$I$4676/Sens!$I$4675,Sens!$I$4672)</f>
        <v>11.2881290028523</v>
      </c>
      <c r="J4678" s="36" t="n">
        <f aca="false">IF(Sens!$J$4675&gt;0,Sens!$J$4676/Sens!$J$4675,Sens!$J$4672)</f>
        <v>11.3646467172794</v>
      </c>
      <c r="K4678" s="36" t="n">
        <f aca="false">IF(Sens!$K$4675&gt;0,Sens!$K$4676/Sens!$K$4675,Sens!$K$4672)</f>
        <v>11.3968090914432</v>
      </c>
      <c r="L4678" s="36" t="n">
        <f aca="false">IF(Sens!$L$4675&gt;0,Sens!$L$4676/Sens!$L$4675,Sens!$L$4672)</f>
        <v>11.4110891181192</v>
      </c>
      <c r="M4678" s="36" t="n">
        <f aca="false">IF(Sens!$M$4675&gt;0,Sens!$M$4676/Sens!$M$4675,Sens!$M$4672)</f>
        <v>11.4148191458201</v>
      </c>
    </row>
    <row r="4679" customFormat="false" ht="17.15" hidden="false" customHeight="false" outlineLevel="0" collapsed="false">
      <c r="A4679" s="5" t="s">
        <v>608</v>
      </c>
      <c r="B4679" s="0" t="s">
        <v>173</v>
      </c>
      <c r="F4679" s="36" t="n">
        <f aca="false">IF(Sens!$F$4675&gt;0,Sens!$F$4677/Sens!$F$4675,Sens!$F$4673)</f>
        <v>1.98263481314457</v>
      </c>
      <c r="G4679" s="36" t="n">
        <f aca="false">IF(Sens!$G$4675&gt;0,Sens!$G$4677/Sens!$G$4675,Sens!$G$4673)</f>
        <v>1.98263481314457</v>
      </c>
      <c r="H4679" s="36" t="n">
        <f aca="false">IF(Sens!$H$4675&gt;0,Sens!$H$4677/Sens!$H$4675,Sens!$H$4673)</f>
        <v>2.00111160233948</v>
      </c>
      <c r="I4679" s="36" t="n">
        <f aca="false">IF(Sens!$I$4675&gt;0,Sens!$I$4677/Sens!$I$4675,Sens!$I$4673)</f>
        <v>2.01589303369541</v>
      </c>
      <c r="J4679" s="36" t="n">
        <f aca="false">IF(Sens!$J$4675&gt;0,Sens!$J$4677/Sens!$J$4675,Sens!$J$4673)</f>
        <v>2.02222793284795</v>
      </c>
      <c r="K4679" s="36" t="n">
        <f aca="false">IF(Sens!$K$4675&gt;0,Sens!$K$4677/Sens!$K$4675,Sens!$K$4673)</f>
        <v>2.02489065478573</v>
      </c>
      <c r="L4679" s="36" t="n">
        <f aca="false">IF(Sens!$L$4675&gt;0,Sens!$L$4677/Sens!$L$4675,Sens!$L$4673)</f>
        <v>2.0260728977417</v>
      </c>
      <c r="M4679" s="36" t="n">
        <f aca="false">IF(Sens!$M$4675&gt;0,Sens!$M$4677/Sens!$M$4675,Sens!$M$4673)</f>
        <v>2.02638170661685</v>
      </c>
    </row>
    <row r="4680" customFormat="false" ht="17.15" hidden="false" customHeight="false" outlineLevel="0" collapsed="false">
      <c r="A4680" s="15" t="s">
        <v>609</v>
      </c>
      <c r="B4680" s="14" t="s">
        <v>173</v>
      </c>
      <c r="C4680" s="14"/>
      <c r="D4680" s="14"/>
      <c r="E4680" s="14"/>
      <c r="F4680" s="37" t="n">
        <f aca="false">Sens!$F$4678*k_B</f>
        <v>10.7987645808025</v>
      </c>
      <c r="G4680" s="37" t="n">
        <f aca="false">Sens!$G$4678*k_B</f>
        <v>10.7987645808025</v>
      </c>
      <c r="H4680" s="37" t="n">
        <f aca="false">Sens!$H$4678*k_B</f>
        <v>11.0201444540452</v>
      </c>
      <c r="I4680" s="37" t="n">
        <f aca="false">Sens!$I$4678*k_B</f>
        <v>11.1972483526393</v>
      </c>
      <c r="J4680" s="37" t="n">
        <f aca="false">Sens!$J$4678*k_B</f>
        <v>11.2731500234653</v>
      </c>
      <c r="K4680" s="37" t="n">
        <f aca="false">Sens!$K$4678*k_B</f>
        <v>11.3050534585724</v>
      </c>
      <c r="L4680" s="37" t="n">
        <f aca="false">Sens!$L$4678*k_B</f>
        <v>11.3192185168503</v>
      </c>
      <c r="M4680" s="37" t="n">
        <f aca="false">Sens!$M$4678*k_B</f>
        <v>11.3229185141234</v>
      </c>
      <c r="N4680" s="14"/>
      <c r="O4680" s="14"/>
      <c r="P4680" s="5" t="s">
        <v>610</v>
      </c>
    </row>
    <row r="4681" customFormat="false" ht="17.15" hidden="false" customHeight="false" outlineLevel="0" collapsed="false">
      <c r="A4681" s="5" t="s">
        <v>611</v>
      </c>
      <c r="B4681" s="0" t="s">
        <v>129</v>
      </c>
      <c r="F4681" s="32" t="n">
        <f aca="false">Sens!$F$4675/2</f>
        <v>908.575</v>
      </c>
      <c r="H4681" s="32" t="n">
        <f aca="false">(Sens!$G$4675+Sens!$H$4675)/2</f>
        <v>3634.3</v>
      </c>
      <c r="I4681" s="32" t="n">
        <f aca="false">(Sens!$H$4675+Sens!$I$4675)/2</f>
        <v>7268.6</v>
      </c>
      <c r="J4681" s="32" t="n">
        <f aca="false">(Sens!$I$4675+Sens!$J$4675)/2</f>
        <v>10902.9</v>
      </c>
      <c r="K4681" s="32" t="n">
        <f aca="false">(Sens!$J$4675+Sens!$K$4675)/2</f>
        <v>14005.4835833333</v>
      </c>
      <c r="L4681" s="32" t="n">
        <f aca="false">(Sens!$K$4675+Sens!$L$4675)/2</f>
        <v>16044.6343333333</v>
      </c>
      <c r="M4681" s="32" t="n">
        <f aca="false">(Sens!$L$4675+Sens!$M$4675)/2</f>
        <v>17020.35225</v>
      </c>
    </row>
    <row r="4682" customFormat="false" ht="17.15" hidden="false" customHeight="false" outlineLevel="0" collapsed="false">
      <c r="A4682" s="1" t="s">
        <v>612</v>
      </c>
    </row>
    <row r="4683" customFormat="false" ht="17.15" hidden="false" customHeight="false" outlineLevel="0" collapsed="false">
      <c r="A4683" s="1" t="s">
        <v>613</v>
      </c>
      <c r="B4683" s="8" t="s">
        <v>86</v>
      </c>
      <c r="C4683" s="38" t="n">
        <f aca="false">Sens!$C$4666*rpm_open*Sens!$C$4667/1000</f>
        <v>2.32100535697364</v>
      </c>
      <c r="D4683" s="38" t="n">
        <f aca="false">Sens!$D$4666*rpm_open*Sens!$D$4667/1000</f>
        <v>8.70377008865116</v>
      </c>
      <c r="E4683" s="38" t="n">
        <f aca="false">Sens!$E$4666*rpm_open*Sens!$E$4667/1000</f>
        <v>8.51035297557002</v>
      </c>
      <c r="F4683" s="38" t="n">
        <f aca="false">(mw_open*rpm_open+Sens!$F$4681*Sens!$F$4680)*Sens!$F$4667/1000</f>
        <v>14.9634336447205</v>
      </c>
      <c r="G4683" s="38" t="n">
        <f aca="false">Sens!$E$4683+Sens!$F$4683</f>
        <v>23.4737866202905</v>
      </c>
      <c r="H4683" s="38" t="n">
        <f aca="false">(mw_open*rpm_open+Sens!$H$4681*Sens!$H$4680)/1000</f>
        <v>60.1658907497746</v>
      </c>
      <c r="I4683" s="38" t="n">
        <f aca="false">(mw_open*rpm_open+Sens!$I$4681*Sens!$I$4680)/1000</f>
        <v>101.503699136432</v>
      </c>
      <c r="J4683" s="38" t="n">
        <f aca="false">(mw_open*rpm_open+Sens!$J$4681*Sens!$J$4680)/1000</f>
        <v>143.025407151278</v>
      </c>
      <c r="K4683" s="38" t="n">
        <f aca="false">(mw_open*rpm_open+Sens!$K$4681*Sens!$K$4680)/1000</f>
        <v>178.44812038318</v>
      </c>
      <c r="L4683" s="38" t="n">
        <f aca="false">(mw_open*rpm_open+Sens!$L$4681*Sens!$L$4680)/1000</f>
        <v>201.728101802396</v>
      </c>
      <c r="M4683" s="38" t="n">
        <f aca="false">(mw_open*rpm_open+Sens!$M$4681*Sens!$M$4680)/1000</f>
        <v>212.835441368865</v>
      </c>
      <c r="N4683" s="38" t="n">
        <f aca="false">Sens!$N$4666*rpm_open*Sens!$N$4667/1000</f>
        <v>3.04631953102791</v>
      </c>
      <c r="O4683" s="38" t="n">
        <f aca="false">Sens!$O$4666*rpm_open*Sens!$O$4667/1000</f>
        <v>5.65745055762326</v>
      </c>
      <c r="P4683" s="5" t="s">
        <v>614</v>
      </c>
    </row>
    <row r="4684" customFormat="false" ht="17.15" hidden="false" customHeight="false" outlineLevel="0" collapsed="false">
      <c r="A4684" s="5" t="s">
        <v>615</v>
      </c>
      <c r="B4684" s="0" t="s">
        <v>173</v>
      </c>
      <c r="C4684" s="36" t="n">
        <f aca="false">Sens!$C$4683*1000/(Sens!$C$4666*Sens!$C$4667)</f>
        <v>9.67085565405685</v>
      </c>
      <c r="D4684" s="36" t="n">
        <f aca="false">Sens!$D$4683*1000/(Sens!$D$4666*Sens!$D$4667)</f>
        <v>9.67085565405685</v>
      </c>
      <c r="E4684" s="36" t="n">
        <f aca="false">Sens!$E$4683*1000/(Sens!$E$4666*Sens!$E$4667)</f>
        <v>9.67085565405685</v>
      </c>
      <c r="F4684" s="36" t="n">
        <f aca="false">Sens!$F$4683*1000/(Sens!$F$4666*Sens!$F$4667)</f>
        <v>10.0137581588017</v>
      </c>
      <c r="G4684" s="36" t="n">
        <f aca="false">Sens!$G$4683*1000/(Sens!$G$4666*Sens!$G$4667)</f>
        <v>9.88666562928478</v>
      </c>
      <c r="H4684" s="36" t="n">
        <f aca="false">Sens!$H$4683*1000/(Sens!$H$4666*Sens!$H$4667)</f>
        <v>10.5290045586992</v>
      </c>
      <c r="I4684" s="36" t="n">
        <f aca="false">Sens!$I$4683*1000/(Sens!$I$4666*Sens!$I$4667)</f>
        <v>10.8576363451674</v>
      </c>
      <c r="J4684" s="36" t="n">
        <f aca="false">Sens!$J$4683*1000/(Sens!$J$4666*Sens!$J$4667)</f>
        <v>11.0164452588619</v>
      </c>
      <c r="K4684" s="36" t="n">
        <f aca="false">Sens!$K$4683*1000/(Sens!$K$4666*Sens!$K$4667)</f>
        <v>11.0937367508227</v>
      </c>
      <c r="L4684" s="36" t="n">
        <f aca="false">Sens!$L$4683*1000/(Sens!$L$4666*Sens!$L$4667)</f>
        <v>11.1300508519168</v>
      </c>
      <c r="M4684" s="36" t="n">
        <f aca="false">Sens!$M$4683*1000/(Sens!$M$4666*Sens!$M$4667)</f>
        <v>11.1430113216297</v>
      </c>
      <c r="N4684" s="36" t="n">
        <f aca="false">Sens!$N$4683*1000/(Sens!$N$4666*Sens!$N$4667)</f>
        <v>9.67085565405685</v>
      </c>
      <c r="O4684" s="36" t="n">
        <f aca="false">Sens!$O$4683*1000/(Sens!$O$4666*Sens!$O$4667)</f>
        <v>9.67085565405685</v>
      </c>
    </row>
    <row r="4685" customFormat="false" ht="17.15" hidden="false" customHeight="false" outlineLevel="0" collapsed="false">
      <c r="A4685" s="0" t="s">
        <v>616</v>
      </c>
      <c r="B4685" s="0" t="s">
        <v>86</v>
      </c>
      <c r="C4685" s="38" t="n">
        <f aca="false">Sens!$C$4666/ext_sh*(ox_open+rent_mw)*Sens!$C$4667/1000</f>
        <v>0.642569210675032</v>
      </c>
      <c r="D4685" s="38" t="n">
        <f aca="false">Sens!$D$4666/ext_sh*(ox_open+rent_mw)*Sens!$D$4667/1000</f>
        <v>2.40963454003137</v>
      </c>
      <c r="E4685" s="38" t="n">
        <f aca="false">Sens!$E$4666/ext_sh*(ox_open+rent_mw)*Sens!$E$4667/1000</f>
        <v>2.35608710580845</v>
      </c>
      <c r="F4685" s="38" t="n">
        <f aca="false">((mw_open*ox_open+Sens!$F$4681*Sens!$F$4679)/ext_sh+Sens!$F$4666/ext_sh*rent_mw)*Sens!$F$4667/1000</f>
        <v>4.05421991106232</v>
      </c>
      <c r="G4685" s="38" t="n">
        <f aca="false">Sens!$E$4685+Sens!$F$4685</f>
        <v>6.41030701687077</v>
      </c>
      <c r="H4685" s="38" t="n">
        <f aca="false">((mw_open*ox_open+Sens!$H$4681*Sens!$H$4679)/ext_sh+Sens!$H$4666/ext_sh*rent_mw)*Sens!$H$4667/1000</f>
        <v>15.8108975546616</v>
      </c>
      <c r="I4685" s="38" t="n">
        <f aca="false">((mw_open*ox_open+Sens!$I$4681*Sens!$I$4679)/ext_sh+Sens!$I$4666/ext_sh*rent_mw)*Sens!$I$4667/1000</f>
        <v>26.1871623400817</v>
      </c>
      <c r="J4685" s="38" t="n">
        <f aca="false">((mw_open*ox_open+Sens!$J$4681*Sens!$J$4679)/ext_sh+Sens!$J$4666/ext_sh*rent_mw)*Sens!$J$4667/1000</f>
        <v>36.5826128954935</v>
      </c>
      <c r="K4685" s="38" t="n">
        <f aca="false">((mw_open*ox_open+Sens!$K$4681*Sens!$K$4679)/ext_sh+Sens!$K$4666/ext_sh*rent_mw)*Sens!$K$4667/1000</f>
        <v>45.4546361137628</v>
      </c>
      <c r="L4685" s="38" t="n">
        <f aca="false">((mw_open*ox_open+Sens!$L$4681*Sens!$L$4679)/ext_sh+Sens!$L$4666/ext_sh*rent_mw)*Sens!$L$4667/1000</f>
        <v>51.2855695554452</v>
      </c>
      <c r="M4685" s="38" t="n">
        <f aca="false">((mw_open*ox_open+Sens!$M$4681*Sens!$M$4679)/ext_sh+Sens!$M$4666/ext_sh*rent_mw)*Sens!$M$4667/1000</f>
        <v>54.0722927838398</v>
      </c>
      <c r="N4685" s="38" t="n">
        <f aca="false">Sens!$N$4666/ext_sh*(ox_open+rent_mw)*Sens!$N$4667/1000</f>
        <v>0.84337208901098</v>
      </c>
      <c r="O4685" s="38" t="n">
        <f aca="false">Sens!$O$4666/ext_sh*(ox_open+rent_mw)*Sens!$O$4667/1000</f>
        <v>1.56626245102039</v>
      </c>
    </row>
    <row r="4686" customFormat="false" ht="17.15" hidden="false" customHeight="false" outlineLevel="0" collapsed="false">
      <c r="A4686" s="0" t="s">
        <v>617</v>
      </c>
      <c r="B4686" s="0" t="s">
        <v>86</v>
      </c>
      <c r="C4686" s="38" t="n">
        <f aca="false">Q!$D$7</f>
        <v>107.556</v>
      </c>
      <c r="D4686" s="38" t="n">
        <f aca="false">Q!$E$7</f>
        <v>128.725</v>
      </c>
      <c r="E4686" s="38" t="n">
        <f aca="false">Q!$P$7</f>
        <v>79.819</v>
      </c>
      <c r="N4686" s="38" t="n">
        <f aca="false">Q!$N$7</f>
        <v>60.14</v>
      </c>
      <c r="O4686" s="38" t="n">
        <f aca="false">Q!$O$7</f>
        <v>68.585</v>
      </c>
    </row>
    <row r="4687" customFormat="false" ht="17.15" hidden="false" customHeight="false" outlineLevel="0" collapsed="false">
      <c r="A4687" s="1" t="s">
        <v>618</v>
      </c>
      <c r="B4687" s="8" t="s">
        <v>86</v>
      </c>
      <c r="C4687" s="38" t="n">
        <f aca="false">Sens!$C$4686-Sens!$C$4683</f>
        <v>105.234994643026</v>
      </c>
      <c r="D4687" s="38" t="n">
        <f aca="false">Sens!$D$4686-Sens!$D$4683</f>
        <v>120.021229911349</v>
      </c>
      <c r="E4687" s="38" t="n">
        <f aca="false">Sens!$E$4686-Sens!$E$4683</f>
        <v>71.30864702443</v>
      </c>
      <c r="F4687" s="38" t="n">
        <f aca="false">Sens!$O$4687*(1+Sens!$F$4688)</f>
        <v>71.7692997942464</v>
      </c>
      <c r="G4687" s="38" t="n">
        <f aca="false">Sens!$E$4687+Sens!$F$4687</f>
        <v>143.077946818676</v>
      </c>
      <c r="H4687" s="38" t="n">
        <f aca="false">Sens!$G$4687*(1+Sens!$H$4688)</f>
        <v>161.017077079203</v>
      </c>
      <c r="I4687" s="38" t="n">
        <f aca="false">Sens!$H$4687*(1+Sens!$I$4688)</f>
        <v>178.769759521457</v>
      </c>
      <c r="J4687" s="38" t="n">
        <f aca="false">Sens!$I$4687*(1+Sens!$J$4688)</f>
        <v>195.775538045907</v>
      </c>
      <c r="K4687" s="38" t="n">
        <f aca="false">Sens!$J$4687*(1+Sens!$K$4688)</f>
        <v>211.43758108958</v>
      </c>
      <c r="L4687" s="38" t="n">
        <f aca="false">Sens!$K$4687*(1+Sens!$L$4688)</f>
        <v>228.352587576746</v>
      </c>
      <c r="M4687" s="38" t="n">
        <f aca="false">Sens!$L$4687*(1+Sens!$M$4688)</f>
        <v>246.620794582886</v>
      </c>
      <c r="N4687" s="38" t="n">
        <f aca="false">Sens!$N$4686-Sens!$N$4683</f>
        <v>57.0936804689721</v>
      </c>
      <c r="O4687" s="38" t="n">
        <f aca="false">Sens!$O$4686-Sens!$O$4683</f>
        <v>62.9275494423768</v>
      </c>
      <c r="P4687" s="5" t="s">
        <v>619</v>
      </c>
    </row>
    <row r="4688" customFormat="false" ht="17.15" hidden="false" customHeight="false" outlineLevel="0" collapsed="false">
      <c r="A4688" s="0" t="s">
        <v>620</v>
      </c>
      <c r="B4688" s="0" t="s">
        <v>52</v>
      </c>
      <c r="D4688" s="13" t="n">
        <f aca="false">Sens!$D$4687/Sens!$C$4687-1</f>
        <v>0.140506827776062</v>
      </c>
      <c r="E4688" s="13" t="n">
        <f aca="false">Sens!$E$4687/Sens!$N$4687-1</f>
        <v>0.248976181579029</v>
      </c>
      <c r="F4688" s="13" t="n">
        <f aca="false">Sens!$D$4688</f>
        <v>0.140506827776062</v>
      </c>
      <c r="G4688" s="13" t="n">
        <f aca="false">Sens!$G$4687/Sens!$D$4687-1</f>
        <v>0.19210532106993</v>
      </c>
      <c r="H4688" s="13" t="n">
        <f aca="false">Sens!$F$4688+(g_awso_lt-Sens!$F$4688)*1/4</f>
        <v>0.125380120832046</v>
      </c>
      <c r="I4688" s="13" t="n">
        <f aca="false">Sens!$F$4688+(g_awso_lt-Sens!$F$4688)*2/4</f>
        <v>0.110253413888031</v>
      </c>
      <c r="J4688" s="13" t="n">
        <f aca="false">Sens!$F$4688+(g_awso_lt-Sens!$F$4688)*3/4</f>
        <v>0.0951267069440154</v>
      </c>
      <c r="K4688" s="13" t="n">
        <f aca="false">Sens!$F$4688+(g_awso_lt-Sens!$F$4688)*4/4</f>
        <v>0.08</v>
      </c>
      <c r="L4688" s="13" t="n">
        <f aca="false">g_awso_lt</f>
        <v>0.08</v>
      </c>
      <c r="M4688" s="13" t="n">
        <f aca="false">g_awso_lt</f>
        <v>0.08</v>
      </c>
      <c r="P4688" s="5" t="s">
        <v>621</v>
      </c>
    </row>
    <row r="4689" customFormat="false" ht="17.15" hidden="false" customHeight="false" outlineLevel="0" collapsed="false">
      <c r="A4689" s="1" t="s">
        <v>622</v>
      </c>
    </row>
    <row r="4690" customFormat="false" ht="17.15" hidden="false" customHeight="false" outlineLevel="0" collapsed="false">
      <c r="A4690" s="0" t="s">
        <v>623</v>
      </c>
      <c r="B4690" s="0" t="s">
        <v>86</v>
      </c>
      <c r="F4690" s="38" t="n">
        <f aca="false">cx_rt*Sens!$F$4655+cx_awso*Sens!$F$4687</f>
        <v>34.9734495387866</v>
      </c>
    </row>
    <row r="4691" customFormat="false" ht="17.15" hidden="false" customHeight="false" outlineLevel="0" collapsed="false">
      <c r="A4691" s="0" t="s">
        <v>624</v>
      </c>
      <c r="B4691" s="0" t="s">
        <v>52</v>
      </c>
      <c r="C4691" s="13" t="n">
        <f aca="false">tk_cx_h100/(tk_cx_h100+tk_fac*(1-colo_sh))</f>
        <v>0.730756458006641</v>
      </c>
      <c r="D4691" s="13" t="n">
        <f aca="false">tk_cx_h100/(tk_cx_h100+tk_fac*(1-colo_sh))</f>
        <v>0.730756458006641</v>
      </c>
      <c r="E4691" s="13" t="n">
        <f aca="false">Sens!$F$4691</f>
        <v>0.760792334328868</v>
      </c>
      <c r="F4691" s="13" t="n">
        <f aca="false">Sens!$F$4674/(Sens!$F$4674+tk_fac*(1-colo_sh))</f>
        <v>0.760792334328868</v>
      </c>
      <c r="G4691" s="13" t="n">
        <f aca="false">Sens!$G$4674/(Sens!$G$4674+tk_fac*(1-colo_sh))</f>
        <v>0.760792334328868</v>
      </c>
      <c r="H4691" s="13" t="n">
        <f aca="false">Sens!$H$4674/(Sens!$H$4674+tk_fac*(1-colo_sh))</f>
        <v>0.768110668862996</v>
      </c>
      <c r="I4691" s="13" t="n">
        <f aca="false">Sens!$I$4674/(Sens!$I$4674+tk_fac*(1-colo_sh))</f>
        <v>0.77499450139483</v>
      </c>
      <c r="J4691" s="13" t="n">
        <f aca="false">Sens!$J$4674/(Sens!$J$4674+tk_fac*(1-colo_sh))</f>
        <v>0.77499450139483</v>
      </c>
      <c r="K4691" s="13" t="n">
        <f aca="false">Sens!$K$4674/(Sens!$K$4674+tk_fac*(1-colo_sh))</f>
        <v>0.77499450139483</v>
      </c>
      <c r="L4691" s="13" t="n">
        <f aca="false">Sens!$L$4674/(Sens!$L$4674+tk_fac*(1-colo_sh))</f>
        <v>0.77499450139483</v>
      </c>
      <c r="M4691" s="13" t="n">
        <f aca="false">Sens!$M$4674/(Sens!$M$4674+tk_fac*(1-colo_sh))</f>
        <v>0.77499450139483</v>
      </c>
    </row>
    <row r="4692" customFormat="false" ht="17.15" hidden="false" customHeight="false" outlineLevel="0" collapsed="false">
      <c r="A4692" s="1" t="s">
        <v>625</v>
      </c>
      <c r="B4692" s="8" t="s">
        <v>86</v>
      </c>
      <c r="C4692" s="38" t="n">
        <f aca="false">Q!$D$46-cx_rt*Q!$D$16-cx_awso*Sens!$C$4687</f>
        <v>25.2781053077374</v>
      </c>
      <c r="D4692" s="38" t="n">
        <f aca="false">Q!$E$46-cx_rt*Q!$E$16-cx_awso*Sens!$D$4687</f>
        <v>69.5686316310026</v>
      </c>
      <c r="E4692" s="38" t="n">
        <f aca="false">Q!$P$46-cx_rt*Q!$P$16-cx_awso*Sens!$E$4687</f>
        <v>64.1899206485108</v>
      </c>
      <c r="F4692" s="38" t="n">
        <f aca="false">MAX(Sens!$F$4669*(Sens!$F$4674+tk_fac*(1-colo_sh))/1000,capex_g26-Q!$P$46-Sens!$F$4690)</f>
        <v>96.2481299895</v>
      </c>
      <c r="G4692" s="38" t="n">
        <f aca="false">Sens!$E$4692+Sens!$F$4692</f>
        <v>160.438050638011</v>
      </c>
      <c r="H4692" s="38" t="n">
        <f aca="false">Sens!$H$4669*(Sens!$H$4674+tk_fac*(1-colo_sh))/1000+Sens!$H$4693</f>
        <v>198.57136494475</v>
      </c>
      <c r="I4692" s="38" t="n">
        <f aca="false">Sens!$I$4669*(Sens!$I$4674+tk_fac*(1-colo_sh))/1000+Sens!$I$4693</f>
        <v>204.6464699105</v>
      </c>
      <c r="J4692" s="38" t="n">
        <f aca="false">Sens!$J$4669*(Sens!$J$4674+tk_fac*(1-colo_sh))/1000+Sens!$J$4693</f>
        <v>209.8832381105</v>
      </c>
      <c r="K4692" s="38" t="n">
        <f aca="false">Sens!$K$4669*(Sens!$K$4674+tk_fac*(1-colo_sh))/1000+Sens!$K$4693</f>
        <v>155.238385275201</v>
      </c>
      <c r="L4692" s="38" t="n">
        <f aca="false">Sens!$L$4669*(Sens!$L$4674+tk_fac*(1-colo_sh))/1000+Sens!$L$4693</f>
        <v>132.014141639902</v>
      </c>
      <c r="M4692" s="38" t="n">
        <f aca="false">Sens!$M$4669*(Sens!$M$4674+tk_fac*(1-colo_sh))/1000+Sens!$M$4693</f>
        <v>132.230981659852</v>
      </c>
      <c r="P4692" s="5" t="s">
        <v>626</v>
      </c>
      <c r="R4692" s="38" t="n">
        <f aca="false">Q!$C$46-cx_rt*Q!$C$16-cx_awso*(Q!$C$7-mw_ye23/2*rpm_open/1000)</f>
        <v>1.50429979529945</v>
      </c>
      <c r="S4692" s="38" t="n">
        <f aca="false">Sens!$C$4692</f>
        <v>25.2781053077374</v>
      </c>
      <c r="T4692" s="38" t="n">
        <f aca="false">Sens!$D$4692</f>
        <v>69.5686316310026</v>
      </c>
      <c r="U4692" s="38" t="n">
        <f aca="false">Sens!$G$4692</f>
        <v>160.438050638011</v>
      </c>
      <c r="V4692" s="38" t="n">
        <f aca="false">Sens!$H$4692</f>
        <v>198.57136494475</v>
      </c>
      <c r="W4692" s="38" t="n">
        <f aca="false">Sens!$I$4692</f>
        <v>204.6464699105</v>
      </c>
      <c r="X4692" s="38" t="n">
        <f aca="false">Sens!$J$4692</f>
        <v>209.8832381105</v>
      </c>
      <c r="Y4692" s="38" t="n">
        <f aca="false">Sens!$K$4692</f>
        <v>155.238385275201</v>
      </c>
      <c r="Z4692" s="38" t="n">
        <f aca="false">Sens!$L$4692</f>
        <v>132.014141639902</v>
      </c>
      <c r="AA4692" s="38" t="n">
        <f aca="false">Sens!$M$4692</f>
        <v>132.230981659852</v>
      </c>
    </row>
    <row r="4693" customFormat="false" ht="17.15" hidden="false" customHeight="false" outlineLevel="0" collapsed="false">
      <c r="A4693" s="0" t="s">
        <v>627</v>
      </c>
      <c r="B4693" s="0" t="s">
        <v>86</v>
      </c>
      <c r="H4693" s="38" t="n">
        <f aca="false">SUMPRODUCT(--(Sens!$R$4662:$AA$4662=2027-tk_life),Sens!$R$4669:$AA$4669)*Sens!$H$4674/1000</f>
        <v>0</v>
      </c>
      <c r="I4693" s="38" t="n">
        <f aca="false">SUMPRODUCT(--(Sens!$R$4662:$AA$4662=2028-tk_life),Sens!$R$4669:$AA$4669)*Sens!$I$4674/1000</f>
        <v>0</v>
      </c>
      <c r="J4693" s="38" t="n">
        <f aca="false">SUMPRODUCT(--(Sens!$R$4662:$AA$4662=2029-tk_life),Sens!$R$4669:$AA$4669)*Sens!$J$4674/1000</f>
        <v>5.2367682</v>
      </c>
      <c r="K4693" s="38" t="n">
        <f aca="false">SUMPRODUCT(--(Sens!$R$4662:$AA$4662=2030-tk_life),Sens!$R$4669:$AA$4669)*Sens!$K$4674/1000</f>
        <v>10.4735364</v>
      </c>
      <c r="L4693" s="38" t="n">
        <f aca="false">SUMPRODUCT(--(Sens!$R$4662:$AA$4662=2031-tk_life),Sens!$R$4669:$AA$4669)*Sens!$L$4674/1000</f>
        <v>47.1309138</v>
      </c>
      <c r="M4693" s="38" t="n">
        <f aca="false">SUMPRODUCT(--(Sens!$R$4662:$AA$4662=2032-tk_life),Sens!$R$4669:$AA$4669)*Sens!$M$4674/1000</f>
        <v>107.22937485525</v>
      </c>
    </row>
    <row r="4694" customFormat="false" ht="17.15" hidden="false" customHeight="false" outlineLevel="0" collapsed="false">
      <c r="A4694" s="5" t="s">
        <v>628</v>
      </c>
      <c r="B4694" s="0" t="s">
        <v>86</v>
      </c>
      <c r="C4694" s="38" t="n">
        <f aca="false">Sens!$C$4692*Sens!$C$4691</f>
        <v>18.472138699801</v>
      </c>
      <c r="D4694" s="38" t="n">
        <f aca="false">Sens!$D$4692*Sens!$D$4691</f>
        <v>50.8377268390402</v>
      </c>
      <c r="E4694" s="38" t="n">
        <f aca="false">Sens!$E$4692*Sens!$E$4691</f>
        <v>48.8351995705653</v>
      </c>
      <c r="F4694" s="38" t="n">
        <f aca="false">Sens!$F$4692*Sens!$F$4691</f>
        <v>73.2248394895</v>
      </c>
      <c r="G4694" s="38" t="n">
        <f aca="false">Sens!$E$4694+Sens!$F$4694</f>
        <v>122.060039060065</v>
      </c>
      <c r="H4694" s="38" t="n">
        <f aca="false">(Sens!$H$4692-Sens!$H$4693)*Sens!$H$4691+Sens!$H$4693</f>
        <v>152.52478394475</v>
      </c>
      <c r="I4694" s="38" t="n">
        <f aca="false">(Sens!$I$4692-Sens!$I$4693)*Sens!$I$4691+Sens!$I$4693</f>
        <v>158.5998889105</v>
      </c>
      <c r="J4694" s="38" t="n">
        <f aca="false">(Sens!$J$4692-Sens!$J$4693)*Sens!$J$4691+Sens!$J$4693</f>
        <v>163.8366571105</v>
      </c>
      <c r="K4694" s="38" t="n">
        <f aca="false">(Sens!$K$4692-Sens!$K$4693)*Sens!$K$4691+Sens!$K$4693</f>
        <v>122.665498273534</v>
      </c>
      <c r="L4694" s="38" t="n">
        <f aca="false">(Sens!$L$4692-Sens!$L$4693)*Sens!$L$4691+Sens!$L$4693</f>
        <v>112.914948636568</v>
      </c>
      <c r="M4694" s="38" t="n">
        <f aca="false">(Sens!$M$4692-Sens!$M$4693)*Sens!$M$4691+Sens!$M$4693</f>
        <v>126.605482654852</v>
      </c>
      <c r="R4694" s="38" t="n">
        <f aca="false">Sens!$R$4692*Sens!$C$4691</f>
        <v>1.09927679019314</v>
      </c>
      <c r="S4694" s="38" t="n">
        <f aca="false">Sens!$C$4694</f>
        <v>18.472138699801</v>
      </c>
      <c r="T4694" s="38" t="n">
        <f aca="false">Sens!$D$4694</f>
        <v>50.8377268390402</v>
      </c>
      <c r="U4694" s="38" t="n">
        <f aca="false">Sens!$G$4694</f>
        <v>122.060039060065</v>
      </c>
      <c r="V4694" s="38" t="n">
        <f aca="false">Sens!$H$4694</f>
        <v>152.52478394475</v>
      </c>
      <c r="W4694" s="38" t="n">
        <f aca="false">Sens!$I$4694</f>
        <v>158.5998889105</v>
      </c>
      <c r="X4694" s="38" t="n">
        <f aca="false">Sens!$J$4694</f>
        <v>163.8366571105</v>
      </c>
      <c r="Y4694" s="38" t="n">
        <f aca="false">Sens!$K$4694</f>
        <v>122.665498273534</v>
      </c>
      <c r="Z4694" s="38" t="n">
        <f aca="false">Sens!$L$4694</f>
        <v>112.914948636568</v>
      </c>
      <c r="AA4694" s="38" t="n">
        <f aca="false">Sens!$M$4694</f>
        <v>126.605482654852</v>
      </c>
    </row>
    <row r="4695" customFormat="false" ht="15" hidden="false" customHeight="false" outlineLevel="0" collapsed="false">
      <c r="A4695" s="5" t="s">
        <v>629</v>
      </c>
      <c r="B4695" s="0" t="s">
        <v>86</v>
      </c>
      <c r="C4695" s="38" t="n">
        <f aca="false">Sens!$C$4692-Sens!$C$4694</f>
        <v>6.80596660793636</v>
      </c>
      <c r="D4695" s="38" t="n">
        <f aca="false">Sens!$D$4692-Sens!$D$4694</f>
        <v>18.7309047919624</v>
      </c>
      <c r="E4695" s="38" t="n">
        <f aca="false">Sens!$E$4692-Sens!$E$4694</f>
        <v>15.3547210779455</v>
      </c>
      <c r="F4695" s="38" t="n">
        <f aca="false">Sens!$F$4692-Sens!$F$4694</f>
        <v>23.0232905</v>
      </c>
      <c r="G4695" s="38" t="n">
        <f aca="false">Sens!$G$4692-Sens!$G$4694</f>
        <v>38.3780115779455</v>
      </c>
      <c r="H4695" s="38" t="n">
        <f aca="false">Sens!$H$4692-Sens!$H$4694</f>
        <v>46.046581</v>
      </c>
      <c r="I4695" s="38" t="n">
        <f aca="false">Sens!$I$4692-Sens!$I$4694</f>
        <v>46.046581</v>
      </c>
      <c r="J4695" s="38" t="n">
        <f aca="false">Sens!$J$4692-Sens!$J$4694</f>
        <v>46.046581</v>
      </c>
      <c r="K4695" s="38" t="n">
        <f aca="false">Sens!$K$4692-Sens!$K$4694</f>
        <v>32.5728870016667</v>
      </c>
      <c r="L4695" s="38" t="n">
        <f aca="false">Sens!$L$4692-Sens!$L$4694</f>
        <v>19.0991930033334</v>
      </c>
      <c r="M4695" s="38" t="n">
        <f aca="false">Sens!$M$4692-Sens!$M$4694</f>
        <v>5.62549900499998</v>
      </c>
      <c r="R4695" s="38" t="n">
        <f aca="false">Sens!$R$4692-Sens!$R$4694</f>
        <v>0.405023005106309</v>
      </c>
      <c r="S4695" s="38" t="n">
        <f aca="false">Sens!$S$4692-Sens!$S$4694</f>
        <v>6.80596660793636</v>
      </c>
      <c r="T4695" s="38" t="n">
        <f aca="false">Sens!$T$4692-Sens!$T$4694</f>
        <v>18.7309047919624</v>
      </c>
      <c r="U4695" s="38" t="n">
        <f aca="false">Sens!$U$4692-Sens!$U$4694</f>
        <v>38.3780115779455</v>
      </c>
      <c r="V4695" s="38" t="n">
        <f aca="false">Sens!$V$4692-Sens!$V$4694</f>
        <v>46.046581</v>
      </c>
      <c r="W4695" s="38" t="n">
        <f aca="false">Sens!$W$4692-Sens!$W$4694</f>
        <v>46.046581</v>
      </c>
      <c r="X4695" s="38" t="n">
        <f aca="false">Sens!$X$4692-Sens!$X$4694</f>
        <v>46.046581</v>
      </c>
      <c r="Y4695" s="38" t="n">
        <f aca="false">Sens!$Y$4692-Sens!$Y$4694</f>
        <v>32.5728870016667</v>
      </c>
      <c r="Z4695" s="38" t="n">
        <f aca="false">Sens!$Z$4692-Sens!$Z$4694</f>
        <v>19.0991930033334</v>
      </c>
      <c r="AA4695" s="38" t="n">
        <f aca="false">Sens!$AA$4692-Sens!$AA$4694</f>
        <v>5.62549900499998</v>
      </c>
    </row>
    <row r="4696" customFormat="false" ht="17.15" hidden="false" customHeight="false" outlineLevel="0" collapsed="false">
      <c r="A4696" s="0" t="s">
        <v>630</v>
      </c>
      <c r="B4696" s="0" t="s">
        <v>52</v>
      </c>
      <c r="C4696" s="13" t="n">
        <f aca="false">Sens!$C$4692/Sens!$C$4812</f>
        <v>0.325505489553393</v>
      </c>
      <c r="D4696" s="13" t="n">
        <f aca="false">Sens!$D$4692/Sens!$D$4812</f>
        <v>0.54214956071542</v>
      </c>
      <c r="E4696" s="13" t="n">
        <f aca="false">Sens!$E$4692/Sens!$E$4812</f>
        <v>0.666492790452817</v>
      </c>
      <c r="F4696" s="13" t="n">
        <f aca="false">Sens!$F$4692/Sens!$F$4812</f>
        <v>0.733477910687338</v>
      </c>
      <c r="G4696" s="13" t="n">
        <f aca="false">Sens!$G$4692/Sens!$G$4812</f>
        <v>0.705124321514523</v>
      </c>
      <c r="H4696" s="13" t="n">
        <f aca="false">Sens!$H$4692/Sens!$H$4812</f>
        <v>0.726376041178204</v>
      </c>
      <c r="I4696" s="13" t="n">
        <f aca="false">Sens!$I$4692/Sens!$I$4812</f>
        <v>0.713099092661699</v>
      </c>
      <c r="J4696" s="13" t="n">
        <f aca="false">Sens!$J$4692/Sens!$J$4812</f>
        <v>0.701208348786245</v>
      </c>
      <c r="K4696" s="13" t="n">
        <f aca="false">Sens!$K$4692/Sens!$K$4812</f>
        <v>0.618338844562383</v>
      </c>
      <c r="L4696" s="13" t="n">
        <f aca="false">Sens!$L$4692/Sens!$L$4812</f>
        <v>0.562489158462506</v>
      </c>
      <c r="M4696" s="13" t="n">
        <f aca="false">Sens!$M$4692/Sens!$M$4812</f>
        <v>0.545751190895923</v>
      </c>
    </row>
    <row r="4697" customFormat="false" ht="17.15" hidden="false" customHeight="false" outlineLevel="0" collapsed="false">
      <c r="A4697" s="0" t="s">
        <v>631</v>
      </c>
      <c r="B4697" s="0" t="s">
        <v>86</v>
      </c>
      <c r="C4697" s="38" t="n">
        <f aca="false">Sens!$S$4697</f>
        <v>0.183212798365523</v>
      </c>
      <c r="D4697" s="38" t="n">
        <f aca="false">Sens!$T$4697</f>
        <v>3.2619025816657</v>
      </c>
      <c r="E4697" s="38" t="n">
        <f aca="false">Sens!$G$4697/2</f>
        <v>5.86742852741953</v>
      </c>
      <c r="F4697" s="38" t="n">
        <f aca="false">Sens!$G$4697/2</f>
        <v>5.86742852741953</v>
      </c>
      <c r="G4697" s="38" t="n">
        <f aca="false">Sens!$U$4697</f>
        <v>11.7348570548391</v>
      </c>
      <c r="H4697" s="38" t="n">
        <f aca="false">Sens!$V$4697</f>
        <v>32.0781968981833</v>
      </c>
      <c r="I4697" s="38" t="n">
        <f aca="false">Sens!$W$4697</f>
        <v>57.4989942223083</v>
      </c>
      <c r="J4697" s="38" t="n">
        <f aca="false">Sens!$X$4697</f>
        <v>83.932309040725</v>
      </c>
      <c r="K4697" s="38" t="n">
        <f aca="false">Sens!$Y$4697</f>
        <v>111.055205760776</v>
      </c>
      <c r="L4697" s="38" t="n">
        <f aca="false">Sens!$Z$4697</f>
        <v>128.420765689732</v>
      </c>
      <c r="M4697" s="38" t="n">
        <f aca="false">Sens!$AA$4697</f>
        <v>138.766969322653</v>
      </c>
      <c r="N4697" s="38" t="n">
        <f aca="false">Sens!$D$4697/2</f>
        <v>1.63095129083285</v>
      </c>
      <c r="O4697" s="38" t="n">
        <f aca="false">Sens!$D$4697/2</f>
        <v>1.63095129083285</v>
      </c>
      <c r="R4697" s="38" t="n">
        <f aca="false">SUMPRODUCT(--(Sens!$R$4662:$AA$4662&lt;Sens!R$4662),--(Sens!$R$4662:$AA$4662&gt;=Sens!R$4662-tk_life),Sens!$R$4694:$AA$4694)/tk_life</f>
        <v>0</v>
      </c>
      <c r="S4697" s="38" t="n">
        <f aca="false">SUMPRODUCT(--(Sens!$R$4662:$AA$4662&lt;Sens!S$4662),--(Sens!$R$4662:$AA$4662&gt;=Sens!S$4662-tk_life),Sens!$R$4694:$AA$4694)/tk_life</f>
        <v>0.183212798365523</v>
      </c>
      <c r="T4697" s="38" t="n">
        <f aca="false">SUMPRODUCT(--(Sens!$R$4662:$AA$4662&lt;Sens!T$4662),--(Sens!$R$4662:$AA$4662&gt;=Sens!T$4662-tk_life),Sens!$R$4694:$AA$4694)/tk_life</f>
        <v>3.2619025816657</v>
      </c>
      <c r="U4697" s="38" t="n">
        <f aca="false">SUMPRODUCT(--(Sens!$R$4662:$AA$4662&lt;Sens!U$4662),--(Sens!$R$4662:$AA$4662&gt;=Sens!U$4662-tk_life),Sens!$R$4694:$AA$4694)/tk_life</f>
        <v>11.7348570548391</v>
      </c>
      <c r="V4697" s="38" t="n">
        <f aca="false">SUMPRODUCT(--(Sens!$R$4662:$AA$4662&lt;Sens!V$4662),--(Sens!$R$4662:$AA$4662&gt;=Sens!V$4662-tk_life),Sens!$R$4694:$AA$4694)/tk_life</f>
        <v>32.0781968981833</v>
      </c>
      <c r="W4697" s="38" t="n">
        <f aca="false">SUMPRODUCT(--(Sens!$R$4662:$AA$4662&lt;Sens!W$4662),--(Sens!$R$4662:$AA$4662&gt;=Sens!W$4662-tk_life),Sens!$R$4694:$AA$4694)/tk_life</f>
        <v>57.4989942223083</v>
      </c>
      <c r="X4697" s="38" t="n">
        <f aca="false">SUMPRODUCT(--(Sens!$R$4662:$AA$4662&lt;Sens!X$4662),--(Sens!$R$4662:$AA$4662&gt;=Sens!X$4662-tk_life),Sens!$R$4694:$AA$4694)/tk_life</f>
        <v>83.932309040725</v>
      </c>
      <c r="Y4697" s="38" t="n">
        <f aca="false">SUMPRODUCT(--(Sens!$R$4662:$AA$4662&lt;Sens!Y$4662),--(Sens!$R$4662:$AA$4662&gt;=Sens!Y$4662-tk_life),Sens!$R$4694:$AA$4694)/tk_life</f>
        <v>111.055205760776</v>
      </c>
      <c r="Z4697" s="38" t="n">
        <f aca="false">SUMPRODUCT(--(Sens!$R$4662:$AA$4662&lt;Sens!Z$4662),--(Sens!$R$4662:$AA$4662&gt;=Sens!Z$4662-tk_life),Sens!$R$4694:$AA$4694)/tk_life</f>
        <v>128.420765689732</v>
      </c>
      <c r="AA4697" s="38" t="n">
        <f aca="false">SUMPRODUCT(--(Sens!$R$4662:$AA$4662&lt;Sens!AA$4662),--(Sens!$R$4662:$AA$4662&gt;=Sens!AA$4662-tk_life),Sens!$R$4694:$AA$4694)/tk_life</f>
        <v>138.766969322653</v>
      </c>
    </row>
    <row r="4698" customFormat="false" ht="17.15" hidden="false" customHeight="false" outlineLevel="0" collapsed="false">
      <c r="A4698" s="0" t="s">
        <v>632</v>
      </c>
      <c r="B4698" s="0" t="s">
        <v>86</v>
      </c>
      <c r="C4698" s="38" t="n">
        <f aca="false">Sens!$S$4698</f>
        <v>0.0202511502553155</v>
      </c>
      <c r="D4698" s="38" t="n">
        <f aca="false">Sens!$T$4698</f>
        <v>0.360549480652134</v>
      </c>
      <c r="E4698" s="38" t="n">
        <f aca="false">Sens!$G$4698/2</f>
        <v>0.648547360125127</v>
      </c>
      <c r="F4698" s="38" t="n">
        <f aca="false">Sens!$G$4698/2</f>
        <v>0.648547360125127</v>
      </c>
      <c r="G4698" s="38" t="n">
        <f aca="false">Sens!$U$4698</f>
        <v>1.29709472025025</v>
      </c>
      <c r="H4698" s="38" t="n">
        <f aca="false">Sens!$V$4698</f>
        <v>3.21599529914753</v>
      </c>
      <c r="I4698" s="38" t="n">
        <f aca="false">Sens!$W$4698</f>
        <v>5.51832434914753</v>
      </c>
      <c r="J4698" s="38" t="n">
        <f aca="false">Sens!$X$4698</f>
        <v>7.82065339914753</v>
      </c>
      <c r="K4698" s="38" t="n">
        <f aca="false">Sens!$Y$4698</f>
        <v>10.1229824491475</v>
      </c>
      <c r="L4698" s="38" t="n">
        <f aca="false">Sens!$Z$4698</f>
        <v>11.7516267992309</v>
      </c>
      <c r="M4698" s="38" t="n">
        <f aca="false">Sens!$AA$4698</f>
        <v>12.7065864493975</v>
      </c>
      <c r="N4698" s="38" t="n">
        <f aca="false">Sens!$D$4698/2</f>
        <v>0.180274740326067</v>
      </c>
      <c r="O4698" s="38" t="n">
        <f aca="false">Sens!$D$4698/2</f>
        <v>0.180274740326067</v>
      </c>
      <c r="R4698" s="38" t="n">
        <f aca="false">SUMPRODUCT(--(Sens!$R$4662:$AA$4662&lt;Sens!R$4662),Sens!$R$4695:$AA$4695)/fac_life</f>
        <v>0</v>
      </c>
      <c r="S4698" s="38" t="n">
        <f aca="false">SUMPRODUCT(--(Sens!$R$4662:$AA$4662&lt;Sens!S$4662),Sens!$R$4695:$AA$4695)/fac_life</f>
        <v>0.0202511502553155</v>
      </c>
      <c r="T4698" s="38" t="n">
        <f aca="false">SUMPRODUCT(--(Sens!$R$4662:$AA$4662&lt;Sens!T$4662),Sens!$R$4695:$AA$4695)/fac_life</f>
        <v>0.360549480652134</v>
      </c>
      <c r="U4698" s="38" t="n">
        <f aca="false">SUMPRODUCT(--(Sens!$R$4662:$AA$4662&lt;Sens!U$4662),Sens!$R$4695:$AA$4695)/fac_life</f>
        <v>1.29709472025025</v>
      </c>
      <c r="V4698" s="38" t="n">
        <f aca="false">SUMPRODUCT(--(Sens!$R$4662:$AA$4662&lt;Sens!V$4662),Sens!$R$4695:$AA$4695)/fac_life</f>
        <v>3.21599529914753</v>
      </c>
      <c r="W4698" s="38" t="n">
        <f aca="false">SUMPRODUCT(--(Sens!$R$4662:$AA$4662&lt;Sens!W$4662),Sens!$R$4695:$AA$4695)/fac_life</f>
        <v>5.51832434914753</v>
      </c>
      <c r="X4698" s="38" t="n">
        <f aca="false">SUMPRODUCT(--(Sens!$R$4662:$AA$4662&lt;Sens!X$4662),Sens!$R$4695:$AA$4695)/fac_life</f>
        <v>7.82065339914753</v>
      </c>
      <c r="Y4698" s="38" t="n">
        <f aca="false">SUMPRODUCT(--(Sens!$R$4662:$AA$4662&lt;Sens!Y$4662),Sens!$R$4695:$AA$4695)/fac_life</f>
        <v>10.1229824491475</v>
      </c>
      <c r="Z4698" s="38" t="n">
        <f aca="false">SUMPRODUCT(--(Sens!$R$4662:$AA$4662&lt;Sens!Z$4662),Sens!$R$4695:$AA$4695)/fac_life</f>
        <v>11.7516267992309</v>
      </c>
      <c r="AA4698" s="38" t="n">
        <f aca="false">SUMPRODUCT(--(Sens!$R$4662:$AA$4662&lt;Sens!AA$4662),Sens!$R$4695:$AA$4695)/fac_life</f>
        <v>12.7065864493975</v>
      </c>
    </row>
    <row r="4699" customFormat="false" ht="17.15" hidden="false" customHeight="false" outlineLevel="0" collapsed="false">
      <c r="A4699" s="1" t="s">
        <v>633</v>
      </c>
      <c r="B4699" s="8" t="s">
        <v>86</v>
      </c>
      <c r="C4699" s="38" t="n">
        <f aca="false">Sens!$C$4697+Sens!$C$4698</f>
        <v>0.203463948620839</v>
      </c>
      <c r="D4699" s="38" t="n">
        <f aca="false">Sens!$D$4697+Sens!$D$4698</f>
        <v>3.62245206231783</v>
      </c>
      <c r="E4699" s="38" t="n">
        <f aca="false">Sens!$E$4697+Sens!$E$4698</f>
        <v>6.51597588754466</v>
      </c>
      <c r="F4699" s="38" t="n">
        <f aca="false">Sens!$F$4697+Sens!$F$4698</f>
        <v>6.51597588754466</v>
      </c>
      <c r="G4699" s="38" t="n">
        <f aca="false">Sens!$G$4697+Sens!$G$4698</f>
        <v>13.0319517750893</v>
      </c>
      <c r="H4699" s="38" t="n">
        <f aca="false">Sens!$H$4697+Sens!$H$4698</f>
        <v>35.2941921973308</v>
      </c>
      <c r="I4699" s="38" t="n">
        <f aca="false">Sens!$I$4697+Sens!$I$4698</f>
        <v>63.0173185714558</v>
      </c>
      <c r="J4699" s="38" t="n">
        <f aca="false">Sens!$J$4697+Sens!$J$4698</f>
        <v>91.7529624398725</v>
      </c>
      <c r="K4699" s="38" t="n">
        <f aca="false">Sens!$K$4697+Sens!$K$4698</f>
        <v>121.178188209924</v>
      </c>
      <c r="L4699" s="38" t="n">
        <f aca="false">Sens!$L$4697+Sens!$L$4698</f>
        <v>140.172392488963</v>
      </c>
      <c r="M4699" s="38" t="n">
        <f aca="false">Sens!$M$4697+Sens!$M$4698</f>
        <v>151.473555772051</v>
      </c>
      <c r="N4699" s="38" t="n">
        <f aca="false">Sens!$N$4697+Sens!$N$4698</f>
        <v>1.81122603115892</v>
      </c>
      <c r="O4699" s="38" t="n">
        <f aca="false">Sens!$O$4697+Sens!$O$4698</f>
        <v>1.81122603115892</v>
      </c>
      <c r="R4699" s="38" t="n">
        <f aca="false">Sens!$R$4697+Sens!$R$4698</f>
        <v>0</v>
      </c>
      <c r="S4699" s="38" t="n">
        <f aca="false">Sens!$S$4697+Sens!$S$4698</f>
        <v>0.203463948620839</v>
      </c>
      <c r="T4699" s="38" t="n">
        <f aca="false">Sens!$T$4697+Sens!$T$4698</f>
        <v>3.62245206231783</v>
      </c>
      <c r="U4699" s="38" t="n">
        <f aca="false">Sens!$U$4697+Sens!$U$4698</f>
        <v>13.0319517750893</v>
      </c>
      <c r="V4699" s="38" t="n">
        <f aca="false">Sens!$V$4697+Sens!$V$4698</f>
        <v>35.2941921973308</v>
      </c>
      <c r="W4699" s="38" t="n">
        <f aca="false">Sens!$W$4697+Sens!$W$4698</f>
        <v>63.0173185714558</v>
      </c>
      <c r="X4699" s="38" t="n">
        <f aca="false">Sens!$X$4697+Sens!$X$4698</f>
        <v>91.7529624398725</v>
      </c>
      <c r="Y4699" s="38" t="n">
        <f aca="false">Sens!$Y$4697+Sens!$Y$4698</f>
        <v>121.178188209924</v>
      </c>
      <c r="Z4699" s="38" t="n">
        <f aca="false">Sens!$Z$4697+Sens!$Z$4698</f>
        <v>140.172392488963</v>
      </c>
      <c r="AA4699" s="38" t="n">
        <f aca="false">Sens!$AA$4697+Sens!$AA$4698</f>
        <v>151.473555772051</v>
      </c>
    </row>
    <row r="4700" customFormat="false" ht="17.15" hidden="false" customHeight="false" outlineLevel="0" collapsed="false">
      <c r="A4700" s="0" t="s">
        <v>634</v>
      </c>
      <c r="B4700" s="0" t="s">
        <v>86</v>
      </c>
      <c r="C4700" s="38" t="n">
        <f aca="false">Sens!$S$4700</f>
        <v>26.578941154416</v>
      </c>
      <c r="D4700" s="38" t="n">
        <f aca="false">Sens!$T$4700</f>
        <v>92.5251207231008</v>
      </c>
      <c r="G4700" s="38" t="n">
        <f aca="false">Sens!$U$4700</f>
        <v>239.931219586022</v>
      </c>
      <c r="H4700" s="38" t="n">
        <f aca="false">Sens!$V$4700</f>
        <v>403.208392333442</v>
      </c>
      <c r="I4700" s="38" t="n">
        <f aca="false">Sens!$W$4700</f>
        <v>544.837543672486</v>
      </c>
      <c r="J4700" s="38" t="n">
        <f aca="false">Sens!$X$4700</f>
        <v>662.967819343113</v>
      </c>
      <c r="K4700" s="38" t="n">
        <f aca="false">Sens!$Y$4700</f>
        <v>697.028016408391</v>
      </c>
      <c r="L4700" s="38" t="n">
        <f aca="false">Sens!$Z$4700</f>
        <v>688.86976555933</v>
      </c>
      <c r="M4700" s="38" t="n">
        <f aca="false">Sens!$AA$4700</f>
        <v>669.627191447132</v>
      </c>
      <c r="R4700" s="38" t="n">
        <f aca="false">SUM(Sens!$R$4692:$R$4692)-SUM(Sens!$R$4699:$R$4699)</f>
        <v>1.50429979529945</v>
      </c>
      <c r="S4700" s="38" t="n">
        <f aca="false">SUM(Sens!$R$4692:$S$4692)-SUM(Sens!$R$4699:$S$4699)</f>
        <v>26.578941154416</v>
      </c>
      <c r="T4700" s="38" t="n">
        <f aca="false">SUM(Sens!$R$4692:$T$4692)-SUM(Sens!$R$4699:$T$4699)</f>
        <v>92.5251207231008</v>
      </c>
      <c r="U4700" s="38" t="n">
        <f aca="false">SUM(Sens!$R$4692:$U$4692)-SUM(Sens!$R$4699:$U$4699)</f>
        <v>239.931219586022</v>
      </c>
      <c r="V4700" s="38" t="n">
        <f aca="false">SUM(Sens!$R$4692:$V$4692)-SUM(Sens!$R$4699:$V$4699)</f>
        <v>403.208392333442</v>
      </c>
      <c r="W4700" s="38" t="n">
        <f aca="false">SUM(Sens!$R$4692:$W$4692)-SUM(Sens!$R$4699:$W$4699)</f>
        <v>544.837543672486</v>
      </c>
      <c r="X4700" s="38" t="n">
        <f aca="false">SUM(Sens!$R$4692:$X$4692)-SUM(Sens!$R$4699:$X$4699)</f>
        <v>662.967819343113</v>
      </c>
      <c r="Y4700" s="38" t="n">
        <f aca="false">SUM(Sens!$R$4692:$Y$4692)-SUM(Sens!$R$4699:$Y$4699)</f>
        <v>697.028016408391</v>
      </c>
      <c r="Z4700" s="38" t="n">
        <f aca="false">SUM(Sens!$R$4692:$Z$4692)-SUM(Sens!$R$4699:$Z$4699)</f>
        <v>688.86976555933</v>
      </c>
      <c r="AA4700" s="38" t="n">
        <f aca="false">SUM(Sens!$R$4692:$AA$4692)-SUM(Sens!$R$4699:$AA$4699)</f>
        <v>669.627191447132</v>
      </c>
    </row>
    <row r="4701" customFormat="false" ht="17.15" hidden="false" customHeight="false" outlineLevel="0" collapsed="false">
      <c r="A4701" s="1" t="s">
        <v>635</v>
      </c>
    </row>
    <row r="4702" customFormat="false" ht="17.15" hidden="false" customHeight="false" outlineLevel="0" collapsed="false">
      <c r="A4702" s="0" t="s">
        <v>636</v>
      </c>
      <c r="B4702" s="0" t="s">
        <v>86</v>
      </c>
      <c r="C4702" s="38" t="n">
        <f aca="false">Sens!$C$4683-ext_sh*Sens!$C$4685</f>
        <v>1.80694998843362</v>
      </c>
      <c r="D4702" s="38" t="n">
        <f aca="false">Sens!$D$4683-ext_sh*Sens!$D$4685</f>
        <v>6.77606245662607</v>
      </c>
      <c r="E4702" s="38" t="n">
        <f aca="false">Sens!$E$4683-ext_sh*Sens!$E$4685</f>
        <v>6.62548329092326</v>
      </c>
      <c r="F4702" s="38" t="n">
        <f aca="false">Sens!$F$4683-ext_sh*Sens!$F$4685</f>
        <v>11.7200577158706</v>
      </c>
      <c r="G4702" s="38" t="n">
        <f aca="false">Sens!$G$4683-ext_sh*Sens!$G$4685</f>
        <v>18.3455410067939</v>
      </c>
      <c r="H4702" s="38" t="n">
        <f aca="false">Sens!$H$4683-ext_sh*Sens!$H$4685</f>
        <v>47.5171727060453</v>
      </c>
      <c r="I4702" s="38" t="n">
        <f aca="false">Sens!$I$4683-ext_sh*Sens!$I$4685</f>
        <v>80.5539692643667</v>
      </c>
      <c r="J4702" s="38" t="n">
        <f aca="false">Sens!$J$4683-ext_sh*Sens!$J$4685</f>
        <v>113.759316834883</v>
      </c>
      <c r="K4702" s="38" t="n">
        <f aca="false">Sens!$K$4683-ext_sh*Sens!$K$4685</f>
        <v>142.084411492169</v>
      </c>
      <c r="L4702" s="38" t="n">
        <f aca="false">Sens!$L$4683-ext_sh*Sens!$L$4685</f>
        <v>160.69964615804</v>
      </c>
      <c r="M4702" s="38" t="n">
        <f aca="false">Sens!$M$4683-ext_sh*Sens!$M$4685</f>
        <v>169.577607141793</v>
      </c>
      <c r="N4702" s="38" t="n">
        <f aca="false">Sens!$N$4683-ext_sh*Sens!$N$4685</f>
        <v>2.37162185981912</v>
      </c>
      <c r="O4702" s="38" t="n">
        <f aca="false">Sens!$O$4683-ext_sh*Sens!$O$4685</f>
        <v>4.40444059680694</v>
      </c>
    </row>
    <row r="4703" customFormat="false" ht="17.15" hidden="false" customHeight="false" outlineLevel="0" collapsed="false">
      <c r="A4703" s="1" t="s">
        <v>637</v>
      </c>
      <c r="B4703" s="8" t="s">
        <v>86</v>
      </c>
      <c r="C4703" s="38" t="n">
        <f aca="false">Sens!$C$4702-ext_sh*Sens!$C$4699</f>
        <v>1.64417882953695</v>
      </c>
      <c r="D4703" s="38" t="n">
        <f aca="false">Sens!$D$4702-ext_sh*Sens!$D$4699</f>
        <v>3.8781008067718</v>
      </c>
      <c r="E4703" s="38" t="n">
        <f aca="false">Sens!$E$4702-ext_sh*Sens!$E$4699</f>
        <v>1.41270258088753</v>
      </c>
      <c r="F4703" s="38" t="n">
        <f aca="false">Sens!$F$4702-ext_sh*Sens!$F$4699</f>
        <v>6.50727700583486</v>
      </c>
      <c r="G4703" s="38" t="n">
        <f aca="false">Sens!$G$4702-ext_sh*Sens!$G$4699</f>
        <v>7.9199795867224</v>
      </c>
      <c r="H4703" s="38" t="n">
        <f aca="false">Sens!$H$4702-ext_sh*Sens!$H$4699</f>
        <v>19.2818189481807</v>
      </c>
      <c r="I4703" s="38" t="n">
        <f aca="false">Sens!$I$4702-ext_sh*Sens!$I$4699</f>
        <v>30.140114407202</v>
      </c>
      <c r="J4703" s="38" t="n">
        <f aca="false">Sens!$J$4702-ext_sh*Sens!$J$4699</f>
        <v>40.3569468829854</v>
      </c>
      <c r="K4703" s="38" t="n">
        <f aca="false">Sens!$K$4702-ext_sh*Sens!$K$4699</f>
        <v>45.1418609242305</v>
      </c>
      <c r="L4703" s="38" t="n">
        <f aca="false">Sens!$L$4702-ext_sh*Sens!$L$4699</f>
        <v>48.5617321668703</v>
      </c>
      <c r="M4703" s="38" t="n">
        <f aca="false">Sens!$M$4702-ext_sh*Sens!$M$4699</f>
        <v>48.3987625241529</v>
      </c>
      <c r="N4703" s="38" t="n">
        <f aca="false">Sens!$N$4702-ext_sh*Sens!$N$4699</f>
        <v>0.92264103489199</v>
      </c>
      <c r="O4703" s="38" t="n">
        <f aca="false">Sens!$O$4702-ext_sh*Sens!$O$4699</f>
        <v>2.95545977187981</v>
      </c>
    </row>
    <row r="4704" customFormat="false" ht="17.15" hidden="false" customHeight="false" outlineLevel="0" collapsed="false">
      <c r="A4704" s="0" t="s">
        <v>638</v>
      </c>
      <c r="B4704" s="0" t="s">
        <v>52</v>
      </c>
      <c r="C4704" s="13" t="n">
        <f aca="false">Sens!$C$4703/Sens!$C$4683</f>
        <v>0.708390794789371</v>
      </c>
      <c r="D4704" s="13" t="n">
        <f aca="false">Sens!$D$4703/Sens!$D$4683</f>
        <v>0.445565630441968</v>
      </c>
      <c r="E4704" s="13" t="n">
        <f aca="false">Sens!$E$4703/Sens!$E$4683</f>
        <v>0.165998118402711</v>
      </c>
      <c r="F4704" s="13" t="n">
        <f aca="false">Sens!$F$4703/Sens!$F$4683</f>
        <v>0.434878595403858</v>
      </c>
      <c r="G4704" s="13" t="n">
        <f aca="false">Sens!$G$4703/Sens!$G$4683</f>
        <v>0.3373967615381</v>
      </c>
      <c r="H4704" s="13" t="n">
        <f aca="false">Sens!$H$4703/Sens!$H$4683</f>
        <v>0.320477578041224</v>
      </c>
      <c r="I4704" s="13" t="n">
        <f aca="false">Sens!$I$4703/Sens!$I$4683</f>
        <v>0.296936118226494</v>
      </c>
      <c r="J4704" s="13" t="n">
        <f aca="false">Sens!$J$4703/Sens!$J$4683</f>
        <v>0.282166278613001</v>
      </c>
      <c r="K4704" s="13" t="n">
        <f aca="false">Sens!$K$4703/Sens!$K$4683</f>
        <v>0.252969102881543</v>
      </c>
      <c r="L4704" s="13" t="n">
        <f aca="false">Sens!$L$4703/Sens!$L$4683</f>
        <v>0.240728642826566</v>
      </c>
      <c r="M4704" s="13" t="n">
        <f aca="false">Sens!$M$4703/Sens!$M$4683</f>
        <v>0.227399920863147</v>
      </c>
      <c r="N4704" s="13" t="n">
        <f aca="false">Sens!$N$4703/Sens!$N$4683</f>
        <v>0.302870734830849</v>
      </c>
      <c r="O4704" s="13" t="n">
        <f aca="false">Sens!$O$4703/Sens!$O$4683</f>
        <v>0.52240134346334</v>
      </c>
    </row>
    <row r="4705" customFormat="false" ht="17.15" hidden="false" customHeight="false" outlineLevel="0" collapsed="false">
      <c r="A4705" s="5" t="s">
        <v>639</v>
      </c>
      <c r="B4705" s="0" t="s">
        <v>86</v>
      </c>
      <c r="C4705" s="39" t="n">
        <v>0</v>
      </c>
      <c r="D4705" s="39" t="n">
        <v>0</v>
      </c>
      <c r="E4705" s="39" t="n">
        <v>0</v>
      </c>
      <c r="F4705" s="38" t="n">
        <f aca="false">IF(internal_ai_reading=2,1,0)*(1-ext_sh)/ext_sh*(mw_open*he_open+Sens!$F$4681*Sens!$F$4678)*Sens!$F$4667/1000</f>
        <v>3.77122048175818</v>
      </c>
      <c r="G4705" s="38" t="n">
        <f aca="false">Sens!$E$4705+Sens!$F$4705</f>
        <v>3.77122048175818</v>
      </c>
      <c r="H4705" s="38" t="n">
        <f aca="false">IF(internal_ai_reading=2,1,0)*(1-ext_sh)/ext_sh*(mw_open*he_open+Sens!$H$4681*Sens!$H$4678)*Sens!$H$4667/1000</f>
        <v>15.1635543609893</v>
      </c>
      <c r="I4705" s="38" t="n">
        <f aca="false">IF(internal_ai_reading=2,1,0)*(1-ext_sh)/ext_sh*(mw_open*he_open+Sens!$I$4681*Sens!$I$4678)*Sens!$I$4667/1000</f>
        <v>25.5818843619889</v>
      </c>
      <c r="J4705" s="38" t="n">
        <f aca="false">IF(internal_ai_reading=2,1,0)*(1-ext_sh)/ext_sh*(mw_open*he_open+Sens!$J$4681*Sens!$J$4678)*Sens!$J$4667/1000</f>
        <v>36.0465624179122</v>
      </c>
      <c r="K4705" s="38" t="n">
        <f aca="false">IF(internal_ai_reading=2,1,0)*(1-ext_sh)/ext_sh*(mw_open*he_open+Sens!$K$4681*Sens!$K$4678)*Sens!$K$4667/1000</f>
        <v>44.9741164026038</v>
      </c>
      <c r="L4705" s="38" t="n">
        <f aca="false">IF(internal_ai_reading=2,1,0)*(1-ext_sh)/ext_sh*(mw_open*he_open+Sens!$L$4681*Sens!$L$4678)*Sens!$L$4667/1000</f>
        <v>50.8413488057813</v>
      </c>
      <c r="M4705" s="38" t="n">
        <f aca="false">IF(internal_ai_reading=2,1,0)*(1-ext_sh)/ext_sh*(mw_open*he_open+Sens!$M$4681*Sens!$M$4678)*Sens!$M$4667/1000</f>
        <v>53.6407214274315</v>
      </c>
      <c r="N4705" s="39" t="n">
        <v>0</v>
      </c>
      <c r="O4705" s="39" t="n">
        <v>0</v>
      </c>
      <c r="P4705" s="8" t="s">
        <v>640</v>
      </c>
    </row>
    <row r="4706" customFormat="false" ht="17.15" hidden="false" customHeight="false" outlineLevel="0" collapsed="false">
      <c r="A4706" s="5" t="s">
        <v>641</v>
      </c>
      <c r="B4706" s="0" t="s">
        <v>86</v>
      </c>
      <c r="C4706" s="38" t="n">
        <f aca="false">(1-ext_sh)*(Sens!$C$4685+Sens!$C$4699)</f>
        <v>0.169206631859174</v>
      </c>
      <c r="D4706" s="38" t="n">
        <f aca="false">(1-ext_sh)*(Sens!$D$4685+Sens!$D$4699)</f>
        <v>1.20641732046984</v>
      </c>
      <c r="E4706" s="38" t="n">
        <f aca="false">(1-ext_sh)*(Sens!$E$4685+Sens!$E$4699)</f>
        <v>1.77441259867062</v>
      </c>
      <c r="F4706" s="38" t="n">
        <f aca="false">(1-ext_sh)*(Sens!$F$4685+Sens!$F$4699)</f>
        <v>2.1140391597214</v>
      </c>
      <c r="G4706" s="38" t="n">
        <f aca="false">(1-ext_sh)*(Sens!$G$4685+Sens!$G$4699)</f>
        <v>3.88845175839202</v>
      </c>
      <c r="H4706" s="38" t="n">
        <f aca="false">(1-ext_sh)*(Sens!$H$4685+Sens!$H$4699)</f>
        <v>10.2210179503985</v>
      </c>
      <c r="I4706" s="38" t="n">
        <f aca="false">(1-ext_sh)*(Sens!$I$4685+Sens!$I$4699)</f>
        <v>17.8408961823075</v>
      </c>
      <c r="J4706" s="38" t="n">
        <f aca="false">(1-ext_sh)*(Sens!$J$4685+Sens!$J$4699)</f>
        <v>25.6671150670732</v>
      </c>
      <c r="K4706" s="38" t="n">
        <f aca="false">(1-ext_sh)*(Sens!$K$4685+Sens!$K$4699)</f>
        <v>33.3265648647373</v>
      </c>
      <c r="L4706" s="38" t="n">
        <f aca="false">(1-ext_sh)*(Sens!$L$4685+Sens!$L$4699)</f>
        <v>38.2915924088815</v>
      </c>
      <c r="M4706" s="38" t="n">
        <f aca="false">(1-ext_sh)*(Sens!$M$4685+Sens!$M$4699)</f>
        <v>41.1091697111781</v>
      </c>
      <c r="N4706" s="38" t="n">
        <f aca="false">(1-ext_sh)*(Sens!$N$4685+Sens!$N$4699)</f>
        <v>0.530919624033979</v>
      </c>
      <c r="O4706" s="38" t="n">
        <f aca="false">(1-ext_sh)*(Sens!$O$4685+Sens!$O$4699)</f>
        <v>0.675497696435861</v>
      </c>
    </row>
    <row r="4707" customFormat="false" ht="17.15" hidden="false" customHeight="false" outlineLevel="0" collapsed="false">
      <c r="A4707" s="0" t="s">
        <v>642</v>
      </c>
      <c r="B4707" s="0" t="s">
        <v>86</v>
      </c>
      <c r="C4707" s="38" t="n">
        <f aca="false">Q!$D$24</f>
        <v>39.834</v>
      </c>
      <c r="D4707" s="38" t="n">
        <f aca="false">Q!$E$24</f>
        <v>45.606</v>
      </c>
      <c r="E4707" s="38" t="n">
        <f aca="false">Q!$P$24</f>
        <v>30.782</v>
      </c>
      <c r="N4707" s="38" t="n">
        <f aca="false">Q!$N$24</f>
        <v>21.707</v>
      </c>
      <c r="O4707" s="38" t="n">
        <f aca="false">Q!$O$24</f>
        <v>23.899</v>
      </c>
    </row>
    <row r="4708" customFormat="false" ht="17.15" hidden="false" customHeight="false" outlineLevel="0" collapsed="false">
      <c r="A4708" s="0" t="s">
        <v>643</v>
      </c>
      <c r="B4708" s="0" t="s">
        <v>86</v>
      </c>
      <c r="C4708" s="38" t="n">
        <f aca="false">Sens!$C$4707-Sens!$C$4703</f>
        <v>38.1898211704631</v>
      </c>
      <c r="D4708" s="38" t="n">
        <f aca="false">Sens!$D$4707-Sens!$D$4703</f>
        <v>41.7278991932282</v>
      </c>
      <c r="E4708" s="38" t="n">
        <f aca="false">Sens!$E$4707-Sens!$E$4703</f>
        <v>29.3692974191125</v>
      </c>
      <c r="F4708" s="38" t="n">
        <f aca="false">Sens!$F$4687*Sens!$F$4709</f>
        <v>26.8997276714137</v>
      </c>
      <c r="G4708" s="38" t="n">
        <f aca="false">Sens!$E$4708+Sens!$F$4708</f>
        <v>56.2690250905262</v>
      </c>
      <c r="H4708" s="38" t="n">
        <f aca="false">Sens!$H$4687*Sens!$H$4709</f>
        <v>60.3505333937343</v>
      </c>
      <c r="I4708" s="38" t="n">
        <f aca="false">Sens!$I$4687*Sens!$I$4709</f>
        <v>67.0043857303571</v>
      </c>
      <c r="J4708" s="38" t="n">
        <f aca="false">Sens!$J$4687*Sens!$J$4709</f>
        <v>73.3782922956925</v>
      </c>
      <c r="K4708" s="38" t="n">
        <f aca="false">Sens!$K$4687*Sens!$K$4709</f>
        <v>79.2485556793479</v>
      </c>
      <c r="L4708" s="38" t="n">
        <f aca="false">Sens!$L$4687*Sens!$L$4709</f>
        <v>85.5884401336958</v>
      </c>
      <c r="M4708" s="38" t="n">
        <f aca="false">Sens!$M$4687*Sens!$M$4709</f>
        <v>92.4355153443914</v>
      </c>
      <c r="N4708" s="38" t="n">
        <f aca="false">Sens!$N$4707-Sens!$N$4703</f>
        <v>20.784358965108</v>
      </c>
      <c r="O4708" s="38" t="n">
        <f aca="false">Sens!$O$4707-Sens!$O$4703</f>
        <v>20.9435402281202</v>
      </c>
      <c r="P4708" s="5" t="s">
        <v>644</v>
      </c>
    </row>
    <row r="4709" customFormat="false" ht="17.15" hidden="false" customHeight="false" outlineLevel="0" collapsed="false">
      <c r="A4709" s="0" t="s">
        <v>645</v>
      </c>
      <c r="B4709" s="0" t="s">
        <v>52</v>
      </c>
      <c r="C4709" s="13" t="n">
        <f aca="false">Sens!$C$4708/Sens!$C$4687</f>
        <v>0.362900395443635</v>
      </c>
      <c r="D4709" s="13" t="n">
        <f aca="false">Sens!$D$4708/Sens!$D$4687</f>
        <v>0.34767098474203</v>
      </c>
      <c r="E4709" s="13" t="n">
        <f aca="false">Sens!$E$4708/Sens!$E$4687</f>
        <v>0.411861655558416</v>
      </c>
      <c r="F4709" s="13" t="n">
        <f aca="false">(Sens!$O$4708+Sens!$E$4708)/(Sens!$O$4687+Sens!$E$4687)</f>
        <v>0.37480827803158</v>
      </c>
      <c r="G4709" s="13" t="n">
        <f aca="false">Sens!$G$4708/Sens!$G$4687</f>
        <v>0.393275318395757</v>
      </c>
      <c r="H4709" s="13" t="n">
        <f aca="false">Sens!$F$4709</f>
        <v>0.37480827803158</v>
      </c>
      <c r="I4709" s="13" t="n">
        <f aca="false">Sens!$F$4709</f>
        <v>0.37480827803158</v>
      </c>
      <c r="J4709" s="13" t="n">
        <f aca="false">Sens!$F$4709</f>
        <v>0.37480827803158</v>
      </c>
      <c r="K4709" s="13" t="n">
        <f aca="false">Sens!$F$4709</f>
        <v>0.37480827803158</v>
      </c>
      <c r="L4709" s="13" t="n">
        <f aca="false">Sens!$F$4709</f>
        <v>0.37480827803158</v>
      </c>
      <c r="M4709" s="13" t="n">
        <f aca="false">Sens!$F$4709</f>
        <v>0.37480827803158</v>
      </c>
      <c r="N4709" s="13" t="n">
        <f aca="false">Sens!$N$4708/Sens!$N$4687</f>
        <v>0.364039571356823</v>
      </c>
      <c r="O4709" s="13" t="n">
        <f aca="false">Sens!$O$4708/Sens!$O$4687</f>
        <v>0.332819892300086</v>
      </c>
      <c r="P4709" s="8" t="s">
        <v>646</v>
      </c>
    </row>
    <row r="4710" customFormat="false" ht="17.15" hidden="false" customHeight="false" outlineLevel="0" collapsed="false">
      <c r="A4710" s="0" t="s">
        <v>647</v>
      </c>
      <c r="B4710" s="0" t="s">
        <v>52</v>
      </c>
      <c r="D4710" s="13" t="n">
        <f aca="false">(Q!$E$31-ext_sh*Sens!$D$4699)/Sens!$D$4687</f>
        <v>0.154572973163571</v>
      </c>
    </row>
    <row r="4711" customFormat="false" ht="17.15" hidden="false" customHeight="false" outlineLevel="0" collapsed="false">
      <c r="A4711" s="0" t="s">
        <v>648</v>
      </c>
      <c r="B4711" s="0" t="s">
        <v>86</v>
      </c>
      <c r="C4711" s="38" t="n">
        <f aca="false">Q!$D$31</f>
        <v>13.32</v>
      </c>
      <c r="D4711" s="38" t="n">
        <f aca="false">Q!$E$31</f>
        <v>21.45</v>
      </c>
      <c r="E4711" s="38" t="n">
        <f aca="false">Q!$P$31</f>
        <v>15.353</v>
      </c>
      <c r="F4711" s="38" t="n">
        <f aca="false">ext_sh*Sens!$F$4699+Sens!$D$4710*Sens!$F$4687</f>
        <v>16.3063747611001</v>
      </c>
      <c r="G4711" s="38" t="n">
        <f aca="false">Sens!$E$4711+Sens!$F$4711</f>
        <v>31.6593747611001</v>
      </c>
      <c r="H4711" s="38" t="n">
        <f aca="false">ext_sh*Sens!$H$4699+Sens!$D$4710*Sens!$H$4687</f>
        <v>53.124242092105</v>
      </c>
      <c r="I4711" s="38" t="n">
        <f aca="false">ext_sh*Sens!$I$4699+Sens!$D$4710*Sens!$I$4687</f>
        <v>78.046828098133</v>
      </c>
      <c r="J4711" s="38" t="n">
        <f aca="false">ext_sh*Sens!$J$4699+Sens!$D$4710*Sens!$J$4687</f>
        <v>103.663976940352</v>
      </c>
      <c r="K4711" s="38" t="n">
        <f aca="false">ext_sh*Sens!$K$4699+Sens!$D$4710*Sens!$K$4687</f>
        <v>129.625086115469</v>
      </c>
      <c r="L4711" s="38" t="n">
        <f aca="false">ext_sh*Sens!$L$4699+Sens!$D$4710*Sens!$L$4687</f>
        <v>147.435052382502</v>
      </c>
      <c r="M4711" s="38" t="n">
        <f aca="false">ext_sh*Sens!$M$4699+Sens!$D$4710*Sens!$M$4687</f>
        <v>159.299754080279</v>
      </c>
      <c r="N4711" s="38" t="n">
        <f aca="false">Q!$N$31</f>
        <v>9.234</v>
      </c>
      <c r="O4711" s="38" t="n">
        <f aca="false">Q!$O$31</f>
        <v>12.216</v>
      </c>
    </row>
    <row r="4712" customFormat="false" ht="17.15" hidden="false" customHeight="false" outlineLevel="0" collapsed="false">
      <c r="A4712" s="1" t="s">
        <v>649</v>
      </c>
    </row>
    <row r="4713" customFormat="false" ht="17.15" hidden="false" customHeight="false" outlineLevel="0" collapsed="false">
      <c r="A4713" s="15" t="s">
        <v>650</v>
      </c>
      <c r="B4713" s="14" t="s">
        <v>52</v>
      </c>
      <c r="C4713" s="14"/>
      <c r="D4713" s="14"/>
      <c r="E4713" s="14"/>
      <c r="F4713" s="14"/>
      <c r="G4713" s="17" t="n">
        <f aca="false">Sens!$G$4703*(1-tax)/(ext_sh*(Sens!$D$4700+Sens!$G$4700)/2)</f>
        <v>0.0492184452944045</v>
      </c>
      <c r="H4713" s="17" t="n">
        <f aca="false">Sens!$H$4703*(1-tax)/(ext_sh*(Sens!$G$4700+Sens!$H$4700)/2)</f>
        <v>0.0619414246858107</v>
      </c>
      <c r="I4713" s="17" t="n">
        <f aca="false">Sens!$I$4703*(1-tax)/(ext_sh*(Sens!$H$4700+Sens!$I$4700)/2)</f>
        <v>0.0656831488051666</v>
      </c>
      <c r="J4713" s="17" t="n">
        <f aca="false">Sens!$J$4703*(1-tax)/(ext_sh*(Sens!$I$4700+Sens!$J$4700)/2)</f>
        <v>0.0690334849962116</v>
      </c>
      <c r="K4713" s="17" t="n">
        <f aca="false">Sens!$K$4703*(1-tax)/(ext_sh*(Sens!$J$4700+Sens!$K$4700)/2)</f>
        <v>0.0685772915331967</v>
      </c>
      <c r="L4713" s="17" t="n">
        <f aca="false">Sens!$L$4703*(1-tax)/(ext_sh*(Sens!$K$4700+Sens!$L$4700)/2)</f>
        <v>0.0723938074635756</v>
      </c>
      <c r="M4713" s="17" t="n">
        <f aca="false">Sens!$M$4703*(1-tax)/(ext_sh*(Sens!$L$4700+Sens!$M$4700)/2)</f>
        <v>0.0736061388214139</v>
      </c>
      <c r="N4713" s="14"/>
      <c r="O4713" s="14"/>
      <c r="P4713" s="8" t="s">
        <v>651</v>
      </c>
    </row>
    <row r="4714" customFormat="false" ht="17.15" hidden="false" customHeight="false" outlineLevel="0" collapsed="false">
      <c r="A4714" s="5" t="s">
        <v>652</v>
      </c>
      <c r="B4714" s="0" t="s">
        <v>57</v>
      </c>
      <c r="H4714" s="36" t="n">
        <f aca="false">Sens!$H$4683*1000/(mw_open*he_open+Sens!$H$4681*Sens!$H$4678)</f>
        <v>0.991949006767191</v>
      </c>
      <c r="I4714" s="36" t="n">
        <f aca="false">Sens!$I$4683*1000/(mw_open*he_open+Sens!$I$4681*Sens!$I$4678)</f>
        <v>0.991949006767191</v>
      </c>
      <c r="J4714" s="36" t="n">
        <f aca="false">Sens!$J$4683*1000/(mw_open*he_open+Sens!$J$4681*Sens!$J$4678)</f>
        <v>0.991949006767191</v>
      </c>
      <c r="K4714" s="36" t="n">
        <f aca="false">Sens!$K$4683*1000/(mw_open*he_open+Sens!$K$4681*Sens!$K$4678)</f>
        <v>0.991949006767191</v>
      </c>
      <c r="L4714" s="36" t="n">
        <f aca="false">Sens!$L$4683*1000/(mw_open*he_open+Sens!$L$4681*Sens!$L$4678)</f>
        <v>0.991949006767191</v>
      </c>
      <c r="M4714" s="36" t="n">
        <f aca="false">Sens!$M$4683*1000/(mw_open*he_open+Sens!$M$4681*Sens!$M$4678)</f>
        <v>0.991949006767191</v>
      </c>
    </row>
    <row r="4715" customFormat="false" ht="17.15" hidden="false" customHeight="false" outlineLevel="0" collapsed="false">
      <c r="A4715" s="5" t="s">
        <v>653</v>
      </c>
      <c r="B4715" s="0" t="s">
        <v>57</v>
      </c>
      <c r="H4715" s="36" t="n">
        <f aca="false">Sens!$H$4714*(Sens!$H$4683+wacc*ext_sh*(Sens!$G$4700+Sens!$H$4700)/2/(1-tax)-Sens!$H$4703)/Sens!$H$4683</f>
        <v>1.25551961623259</v>
      </c>
      <c r="I4715" s="36" t="n">
        <f aca="false">Sens!$I$4714*(Sens!$I$4683+wacc*ext_sh*(Sens!$H$4700+Sens!$I$4700)/2/(1-tax)-Sens!$I$4703)/Sens!$I$4683</f>
        <v>1.2054675393263</v>
      </c>
      <c r="J4715" s="36" t="n">
        <f aca="false">Sens!$J$4714*(Sens!$J$4683+wacc*ext_sh*(Sens!$I$4700+Sens!$J$4700)/2/(1-tax)-Sens!$J$4703)/Sens!$J$4683</f>
        <v>1.17141604927023</v>
      </c>
      <c r="K4715" s="36" t="n">
        <f aca="false">Sens!$K$4714*(Sens!$K$4683+wacc*ext_sh*(Sens!$J$4700+Sens!$K$4700)/2/(1-tax)-Sens!$K$4703)/Sens!$K$4683</f>
        <v>1.15558527566281</v>
      </c>
      <c r="L4715" s="36" t="n">
        <f aca="false">Sens!$L$4714*(Sens!$L$4683+wacc*ext_sh*(Sens!$K$4700+Sens!$L$4700)/2/(1-tax)-Sens!$L$4703)/Sens!$L$4683</f>
        <v>1.12686933572495</v>
      </c>
      <c r="M4715" s="36" t="n">
        <f aca="false">Sens!$M$4714*(Sens!$M$4683+wacc*ext_sh*(Sens!$L$4700+Sens!$M$4700)/2/(1-tax)-Sens!$M$4703)/Sens!$M$4683</f>
        <v>1.11358462527531</v>
      </c>
    </row>
    <row r="4716" customFormat="false" ht="17.15" hidden="false" customHeight="false" outlineLevel="0" collapsed="false">
      <c r="A4716" s="5" t="s">
        <v>654</v>
      </c>
      <c r="B4716" s="0" t="s">
        <v>52</v>
      </c>
      <c r="C4716" s="13" t="n">
        <f aca="false">Sens!$C$4684/tk_pq</f>
        <v>0.195316432429398</v>
      </c>
      <c r="D4716" s="13" t="n">
        <f aca="false">Sens!$D$4684/tk_pq</f>
        <v>0.195316432429398</v>
      </c>
      <c r="E4716" s="13" t="n">
        <f aca="false">Sens!$E$4684/tk_pq</f>
        <v>0.195316432429398</v>
      </c>
      <c r="F4716" s="13" t="n">
        <f aca="false">Sens!$F$4684/tk_pq</f>
        <v>0.202241827274866</v>
      </c>
      <c r="G4716" s="13" t="n">
        <f aca="false">Sens!$G$4684/tk_pq</f>
        <v>0.199675016194063</v>
      </c>
      <c r="H4716" s="13" t="n">
        <f aca="false">Sens!$H$4684/tk_pq</f>
        <v>0.212647947710325</v>
      </c>
      <c r="I4716" s="13" t="n">
        <f aca="false">Sens!$I$4684/tk_pq</f>
        <v>0.219285125475351</v>
      </c>
      <c r="J4716" s="13" t="n">
        <f aca="false">Sens!$J$4684/tk_pq</f>
        <v>0.222492493217189</v>
      </c>
      <c r="K4716" s="13" t="n">
        <f aca="false">Sens!$K$4684/tk_pq</f>
        <v>0.224053502812094</v>
      </c>
      <c r="L4716" s="13" t="n">
        <f aca="false">Sens!$L$4684/tk_pq</f>
        <v>0.224786916785614</v>
      </c>
      <c r="M4716" s="13" t="n">
        <f aca="false">Sens!$M$4684/tk_pq</f>
        <v>0.225048671566937</v>
      </c>
      <c r="N4716" s="13" t="n">
        <f aca="false">Sens!$N$4684/tk_pq</f>
        <v>0.195316432429398</v>
      </c>
      <c r="O4716" s="13" t="n">
        <f aca="false">Sens!$O$4684/tk_pq</f>
        <v>0.195316432429398</v>
      </c>
      <c r="P4716" s="5" t="s">
        <v>655</v>
      </c>
    </row>
    <row r="4719" customFormat="false" ht="17.15" hidden="false" customHeight="false" outlineLevel="0" collapsed="false">
      <c r="A4719" s="1" t="s">
        <v>684</v>
      </c>
    </row>
    <row r="4720" customFormat="false" ht="17.15" hidden="false" customHeight="false" outlineLevel="0" collapsed="false">
      <c r="A4720" s="0" t="s">
        <v>685</v>
      </c>
      <c r="B4720" s="0" t="s">
        <v>86</v>
      </c>
      <c r="C4720" s="38" t="n">
        <f aca="false">Sens!$C$4683</f>
        <v>2.32100535697364</v>
      </c>
      <c r="D4720" s="38" t="n">
        <f aca="false">Sens!$D$4683</f>
        <v>8.70377008865116</v>
      </c>
      <c r="E4720" s="38" t="n">
        <f aca="false">Sens!$E$4683</f>
        <v>8.51035297557002</v>
      </c>
      <c r="F4720" s="38" t="n">
        <f aca="false">Sens!$F$4683</f>
        <v>14.9634336447205</v>
      </c>
      <c r="G4720" s="38" t="n">
        <f aca="false">Sens!$G$4683</f>
        <v>23.4737866202905</v>
      </c>
      <c r="H4720" s="38" t="n">
        <f aca="false">Sens!$H$4683</f>
        <v>60.1658907497746</v>
      </c>
      <c r="I4720" s="38" t="n">
        <f aca="false">Sens!$I$4683</f>
        <v>101.503699136432</v>
      </c>
      <c r="J4720" s="38" t="n">
        <f aca="false">Sens!$J$4683</f>
        <v>143.025407151278</v>
      </c>
      <c r="K4720" s="38" t="n">
        <f aca="false">Sens!$K$4683</f>
        <v>178.44812038318</v>
      </c>
      <c r="L4720" s="38" t="n">
        <f aca="false">Sens!$L$4683</f>
        <v>201.728101802396</v>
      </c>
      <c r="M4720" s="38" t="n">
        <f aca="false">Sens!$M$4683</f>
        <v>212.835441368865</v>
      </c>
      <c r="N4720" s="38" t="n">
        <f aca="false">Sens!$N$4683</f>
        <v>3.04631953102791</v>
      </c>
      <c r="O4720" s="38" t="n">
        <f aca="false">Sens!$O$4683</f>
        <v>5.65745055762326</v>
      </c>
      <c r="P4720" s="8" t="s">
        <v>686</v>
      </c>
    </row>
    <row r="4721" customFormat="false" ht="17.15" hidden="false" customHeight="false" outlineLevel="0" collapsed="false">
      <c r="A4721" s="0" t="s">
        <v>687</v>
      </c>
      <c r="B4721" s="0" t="s">
        <v>86</v>
      </c>
      <c r="C4721" s="38" t="n">
        <f aca="false">Sens!$C$4687</f>
        <v>105.234994643026</v>
      </c>
      <c r="D4721" s="38" t="n">
        <f aca="false">Sens!$D$4687</f>
        <v>120.021229911349</v>
      </c>
      <c r="E4721" s="38" t="n">
        <f aca="false">Sens!$E$4687</f>
        <v>71.30864702443</v>
      </c>
      <c r="F4721" s="38" t="n">
        <f aca="false">Sens!$F$4687</f>
        <v>71.7692997942464</v>
      </c>
      <c r="G4721" s="38" t="n">
        <f aca="false">Sens!$G$4687</f>
        <v>143.077946818676</v>
      </c>
      <c r="H4721" s="38" t="n">
        <f aca="false">Sens!$H$4687</f>
        <v>161.017077079203</v>
      </c>
      <c r="I4721" s="38" t="n">
        <f aca="false">Sens!$I$4687</f>
        <v>178.769759521457</v>
      </c>
      <c r="J4721" s="38" t="n">
        <f aca="false">Sens!$J$4687</f>
        <v>195.775538045907</v>
      </c>
      <c r="K4721" s="38" t="n">
        <f aca="false">Sens!$K$4687</f>
        <v>211.43758108958</v>
      </c>
      <c r="L4721" s="38" t="n">
        <f aca="false">Sens!$L$4687</f>
        <v>228.352587576746</v>
      </c>
      <c r="M4721" s="38" t="n">
        <f aca="false">Sens!$M$4687</f>
        <v>246.620794582886</v>
      </c>
      <c r="N4721" s="38" t="n">
        <f aca="false">Sens!$N$4687</f>
        <v>57.0936804689721</v>
      </c>
      <c r="O4721" s="38" t="n">
        <f aca="false">Sens!$O$4687</f>
        <v>62.9275494423768</v>
      </c>
      <c r="P4721" s="8" t="s">
        <v>686</v>
      </c>
    </row>
    <row r="4722" customFormat="false" ht="17.15" hidden="false" customHeight="false" outlineLevel="0" collapsed="false">
      <c r="A4722" s="1" t="s">
        <v>513</v>
      </c>
      <c r="B4722" s="8" t="s">
        <v>86</v>
      </c>
      <c r="C4722" s="38" t="n">
        <f aca="false">Q!$D$7</f>
        <v>107.556</v>
      </c>
      <c r="D4722" s="38" t="n">
        <f aca="false">Q!$E$7</f>
        <v>128.725</v>
      </c>
      <c r="E4722" s="38" t="n">
        <f aca="false">Q!$P$7</f>
        <v>79.819</v>
      </c>
      <c r="F4722" s="38" t="n">
        <f aca="false">Sens!$F$4720+Sens!$F$4721</f>
        <v>86.7327334389669</v>
      </c>
      <c r="G4722" s="38" t="n">
        <f aca="false">Sens!$G$4720+Sens!$G$4721</f>
        <v>166.551733438967</v>
      </c>
      <c r="H4722" s="38" t="n">
        <f aca="false">Sens!$H$4720+Sens!$H$4721</f>
        <v>221.182967828978</v>
      </c>
      <c r="I4722" s="38" t="n">
        <f aca="false">Sens!$I$4720+Sens!$I$4721</f>
        <v>280.27345865789</v>
      </c>
      <c r="J4722" s="38" t="n">
        <f aca="false">Sens!$J$4720+Sens!$J$4721</f>
        <v>338.800945197185</v>
      </c>
      <c r="K4722" s="38" t="n">
        <f aca="false">Sens!$K$4720+Sens!$K$4721</f>
        <v>389.88570147276</v>
      </c>
      <c r="L4722" s="38" t="n">
        <f aca="false">Sens!$L$4720+Sens!$L$4721</f>
        <v>430.080689379143</v>
      </c>
      <c r="M4722" s="38" t="n">
        <f aca="false">Sens!$M$4720+Sens!$M$4721</f>
        <v>459.456235951751</v>
      </c>
      <c r="N4722" s="38" t="n">
        <f aca="false">Q!$N$7</f>
        <v>60.14</v>
      </c>
      <c r="O4722" s="38" t="n">
        <f aca="false">Q!$O$7</f>
        <v>68.585</v>
      </c>
      <c r="P4722" s="5" t="s">
        <v>688</v>
      </c>
    </row>
    <row r="4723" customFormat="false" ht="15" hidden="false" customHeight="false" outlineLevel="0" collapsed="false">
      <c r="A4723" s="3" t="s">
        <v>689</v>
      </c>
      <c r="B4723" s="8" t="s">
        <v>86</v>
      </c>
      <c r="C4723" s="38" t="n">
        <f aca="false">Q!$D$8</f>
        <v>637.959</v>
      </c>
      <c r="D4723" s="38" t="n">
        <f aca="false">Q!$E$8</f>
        <v>716.924</v>
      </c>
      <c r="E4723" s="38" t="n">
        <f aca="false">Q!$P$8</f>
        <v>382.125</v>
      </c>
      <c r="F4723" s="38" t="n">
        <f aca="false">Sens!$F$4655+Sens!$F$4722</f>
        <v>435.780975084504</v>
      </c>
      <c r="G4723" s="38" t="n">
        <f aca="false">Sens!$G$4655+Sens!$G$4722</f>
        <v>817.905975084504</v>
      </c>
      <c r="H4723" s="38" t="n">
        <f aca="false">Sens!$H$4655+Sens!$H$4722</f>
        <v>942.279857350364</v>
      </c>
      <c r="I4723" s="38" t="n">
        <f aca="false">Sens!$I$4655+Sens!$I$4722</f>
        <v>1068.80284981042</v>
      </c>
      <c r="J4723" s="38" t="n">
        <f aca="false">Sens!$J$4655+Sens!$J$4722</f>
        <v>1189.90935093863</v>
      </c>
      <c r="K4723" s="38" t="n">
        <f aca="false">Sens!$K$4655+Sens!$K$4722</f>
        <v>1296.06215690385</v>
      </c>
      <c r="L4723" s="38" t="n">
        <f aca="false">Sens!$L$4655+Sens!$L$4722</f>
        <v>1395.17379585473</v>
      </c>
      <c r="M4723" s="38" t="n">
        <f aca="false">Sens!$M$4655+Sens!$M$4722</f>
        <v>1487.60414389864</v>
      </c>
      <c r="N4723" s="38" t="n">
        <f aca="false">Q!$N$8</f>
        <v>323.369</v>
      </c>
      <c r="O4723" s="38" t="n">
        <f aca="false">Q!$O$8</f>
        <v>393.555</v>
      </c>
    </row>
    <row r="4724" customFormat="false" ht="17.15" hidden="false" customHeight="false" outlineLevel="0" collapsed="false">
      <c r="A4724" s="24" t="s">
        <v>697</v>
      </c>
      <c r="B4724" s="25" t="s">
        <v>86</v>
      </c>
      <c r="C4724" s="41" t="n">
        <f aca="false">Sens!$C$4655-(Sens!$C$4657+Sens!$C$4658)</f>
        <v>0</v>
      </c>
      <c r="D4724" s="41" t="n">
        <f aca="false">Sens!$D$4655-(Sens!$D$4657+Sens!$D$4658)</f>
        <v>0</v>
      </c>
      <c r="E4724" s="41" t="n">
        <f aca="false">Sens!$E$4655-(Sens!$E$4657+Sens!$E$4658)</f>
        <v>0</v>
      </c>
      <c r="F4724" s="41" t="n">
        <f aca="false">Sens!$F$4655-(Sens!$F$4657+Sens!$F$4658)</f>
        <v>0</v>
      </c>
      <c r="G4724" s="41" t="n">
        <f aca="false">Sens!$G$4655-(Sens!$G$4657+Sens!$G$4658)</f>
        <v>0</v>
      </c>
      <c r="H4724" s="41" t="n">
        <f aca="false">Sens!$H$4655-(Sens!$H$4657+Sens!$H$4658)</f>
        <v>0</v>
      </c>
      <c r="I4724" s="41" t="n">
        <f aca="false">Sens!$I$4655-(Sens!$I$4657+Sens!$I$4658)</f>
        <v>0</v>
      </c>
      <c r="J4724" s="41" t="n">
        <f aca="false">Sens!$J$4655-(Sens!$J$4657+Sens!$J$4658)</f>
        <v>0</v>
      </c>
      <c r="K4724" s="41" t="n">
        <f aca="false">Sens!$K$4655-(Sens!$K$4657+Sens!$K$4658)</f>
        <v>0</v>
      </c>
      <c r="L4724" s="41" t="n">
        <f aca="false">Sens!$L$4655-(Sens!$L$4657+Sens!$L$4658)</f>
        <v>0</v>
      </c>
      <c r="M4724" s="41" t="n">
        <f aca="false">Sens!$M$4655-(Sens!$M$4657+Sens!$M$4658)</f>
        <v>0</v>
      </c>
      <c r="N4724" s="41" t="n">
        <f aca="false">Sens!$N$4655-(Sens!$N$4657+Sens!$N$4658)</f>
        <v>0</v>
      </c>
      <c r="O4724" s="41" t="n">
        <f aca="false">Sens!$O$4655-(Sens!$O$4657+Sens!$O$4658)</f>
        <v>0</v>
      </c>
    </row>
    <row r="4725" customFormat="false" ht="17.15" hidden="false" customHeight="false" outlineLevel="0" collapsed="false">
      <c r="A4725" s="24" t="s">
        <v>698</v>
      </c>
      <c r="B4725" s="25" t="s">
        <v>86</v>
      </c>
      <c r="C4725" s="41" t="n">
        <f aca="false">Sens!$C$4720+Sens!$C$4721-Sens!$C$4722</f>
        <v>0</v>
      </c>
      <c r="D4725" s="41" t="n">
        <f aca="false">Sens!$D$4720+Sens!$D$4721-Sens!$D$4722</f>
        <v>0</v>
      </c>
      <c r="E4725" s="41" t="n">
        <f aca="false">Sens!$E$4720+Sens!$E$4721-Sens!$E$4722</f>
        <v>0</v>
      </c>
      <c r="F4725" s="41" t="n">
        <f aca="false">Sens!$F$4720+Sens!$F$4721-Sens!$F$4722</f>
        <v>0</v>
      </c>
      <c r="G4725" s="41" t="n">
        <f aca="false">Sens!$G$4720+Sens!$G$4721-Sens!$G$4722</f>
        <v>0</v>
      </c>
      <c r="H4725" s="41" t="n">
        <f aca="false">Sens!$H$4720+Sens!$H$4721-Sens!$H$4722</f>
        <v>0</v>
      </c>
      <c r="I4725" s="41" t="n">
        <f aca="false">Sens!$I$4720+Sens!$I$4721-Sens!$I$4722</f>
        <v>0</v>
      </c>
      <c r="J4725" s="41" t="n">
        <f aca="false">Sens!$J$4720+Sens!$J$4721-Sens!$J$4722</f>
        <v>0</v>
      </c>
      <c r="K4725" s="41" t="n">
        <f aca="false">Sens!$K$4720+Sens!$K$4721-Sens!$K$4722</f>
        <v>0</v>
      </c>
      <c r="L4725" s="41" t="n">
        <f aca="false">Sens!$L$4720+Sens!$L$4721-Sens!$L$4722</f>
        <v>0</v>
      </c>
      <c r="M4725" s="41" t="n">
        <f aca="false">Sens!$M$4720+Sens!$M$4721-Sens!$M$4722</f>
        <v>0</v>
      </c>
      <c r="N4725" s="41" t="n">
        <f aca="false">Sens!$N$4720+Sens!$N$4721-Sens!$N$4722</f>
        <v>0</v>
      </c>
      <c r="O4725" s="41" t="n">
        <f aca="false">Sens!$O$4720+Sens!$O$4721-Sens!$O$4722</f>
        <v>0</v>
      </c>
    </row>
    <row r="4726" customFormat="false" ht="17.15" hidden="false" customHeight="false" outlineLevel="0" collapsed="false">
      <c r="A4726" s="24" t="s">
        <v>699</v>
      </c>
      <c r="B4726" s="25" t="s">
        <v>86</v>
      </c>
      <c r="C4726" s="41" t="n">
        <f aca="false">Sens!$C$4657+Sens!$C$4658+Sens!$C$4722-Sens!$C$4723</f>
        <v>0</v>
      </c>
      <c r="D4726" s="41" t="n">
        <f aca="false">Sens!$D$4657+Sens!$D$4658+Sens!$D$4722-Sens!$D$4723</f>
        <v>0</v>
      </c>
      <c r="E4726" s="41" t="n">
        <f aca="false">Sens!$E$4657+Sens!$E$4658+Sens!$E$4722-Sens!$E$4723</f>
        <v>0</v>
      </c>
      <c r="F4726" s="41" t="n">
        <f aca="false">Sens!$F$4657+Sens!$F$4658+Sens!$F$4722-Sens!$F$4723</f>
        <v>0</v>
      </c>
      <c r="G4726" s="41" t="n">
        <f aca="false">Sens!$G$4657+Sens!$G$4658+Sens!$G$4722-Sens!$G$4723</f>
        <v>0</v>
      </c>
      <c r="H4726" s="41" t="n">
        <f aca="false">Sens!$H$4657+Sens!$H$4658+Sens!$H$4722-Sens!$H$4723</f>
        <v>0</v>
      </c>
      <c r="I4726" s="41" t="n">
        <f aca="false">Sens!$I$4657+Sens!$I$4658+Sens!$I$4722-Sens!$I$4723</f>
        <v>0</v>
      </c>
      <c r="J4726" s="41" t="n">
        <f aca="false">Sens!$J$4657+Sens!$J$4658+Sens!$J$4722-Sens!$J$4723</f>
        <v>0</v>
      </c>
      <c r="K4726" s="41" t="n">
        <f aca="false">Sens!$K$4657+Sens!$K$4658+Sens!$K$4722-Sens!$K$4723</f>
        <v>0</v>
      </c>
      <c r="L4726" s="41" t="n">
        <f aca="false">Sens!$L$4657+Sens!$L$4658+Sens!$L$4722-Sens!$L$4723</f>
        <v>0</v>
      </c>
      <c r="M4726" s="41" t="n">
        <f aca="false">Sens!$M$4657+Sens!$M$4658+Sens!$M$4722-Sens!$M$4723</f>
        <v>0</v>
      </c>
      <c r="N4726" s="41" t="n">
        <f aca="false">Sens!$N$4657+Sens!$N$4658+Sens!$N$4722-Sens!$N$4723</f>
        <v>0</v>
      </c>
      <c r="O4726" s="41" t="n">
        <f aca="false">Sens!$O$4657+Sens!$O$4658+Sens!$O$4722-Sens!$O$4723</f>
        <v>0</v>
      </c>
    </row>
    <row r="4727" customFormat="false" ht="15" hidden="false" customHeight="false" outlineLevel="0" collapsed="false">
      <c r="A4727" s="5" t="s">
        <v>693</v>
      </c>
      <c r="B4727" s="0" t="s">
        <v>52</v>
      </c>
      <c r="G4727" s="13" t="n">
        <f aca="false">Sens!$G$4723/Sens!$D$4723-1</f>
        <v>0.140854504918937</v>
      </c>
      <c r="H4727" s="13" t="n">
        <f aca="false">Sens!$H$4723/Sens!$G$4723-1</f>
        <v>0.152063789793209</v>
      </c>
      <c r="I4727" s="13" t="n">
        <f aca="false">Sens!$I$4723/Sens!$H$4723-1</f>
        <v>0.134273264437417</v>
      </c>
      <c r="J4727" s="13" t="n">
        <f aca="false">Sens!$J$4723/Sens!$I$4723-1</f>
        <v>0.113310421234083</v>
      </c>
      <c r="K4727" s="13" t="n">
        <f aca="false">Sens!$K$4723/Sens!$J$4723-1</f>
        <v>0.0892108343223652</v>
      </c>
      <c r="L4727" s="13" t="n">
        <f aca="false">Sens!$L$4723/Sens!$K$4723-1</f>
        <v>0.076471362444261</v>
      </c>
      <c r="M4727" s="13" t="n">
        <f aca="false">Sens!$M$4723/Sens!$L$4723-1</f>
        <v>0.066250060256672</v>
      </c>
    </row>
    <row r="4728" customFormat="false" ht="17.15" hidden="false" customHeight="false" outlineLevel="0" collapsed="false">
      <c r="A4728" s="0" t="s">
        <v>694</v>
      </c>
      <c r="B4728" s="0" t="s">
        <v>52</v>
      </c>
      <c r="C4728" s="13" t="n">
        <f aca="false">Sens!$C$4722/Sens!$C$4723</f>
        <v>0.168593906504964</v>
      </c>
      <c r="D4728" s="13" t="n">
        <f aca="false">Sens!$D$4722/Sens!$D$4723</f>
        <v>0.179551807444025</v>
      </c>
      <c r="E4728" s="13" t="n">
        <f aca="false">Sens!$E$4722/Sens!$E$4723</f>
        <v>0.208881910369643</v>
      </c>
      <c r="F4728" s="13" t="n">
        <f aca="false">Sens!$F$4722/Sens!$F$4723</f>
        <v>0.199028269699356</v>
      </c>
      <c r="G4728" s="13" t="n">
        <f aca="false">Sens!$G$4722/Sens!$G$4723</f>
        <v>0.203631882529968</v>
      </c>
      <c r="H4728" s="13" t="n">
        <f aca="false">Sens!$H$4722/Sens!$H$4723</f>
        <v>0.234731715958496</v>
      </c>
      <c r="I4728" s="13" t="n">
        <f aca="false">Sens!$I$4722/Sens!$I$4723</f>
        <v>0.262231204480418</v>
      </c>
      <c r="J4728" s="13" t="n">
        <f aca="false">Sens!$J$4722/Sens!$J$4723</f>
        <v>0.284728366013706</v>
      </c>
      <c r="K4728" s="13" t="n">
        <f aca="false">Sens!$K$4722/Sens!$K$4723</f>
        <v>0.300823304959505</v>
      </c>
      <c r="L4728" s="13" t="n">
        <f aca="false">Sens!$L$4722/Sens!$L$4723</f>
        <v>0.308263164529735</v>
      </c>
      <c r="M4728" s="13" t="n">
        <f aca="false">Sens!$M$4722/Sens!$M$4723</f>
        <v>0.308856517936036</v>
      </c>
      <c r="N4728" s="13" t="n">
        <f aca="false">Sens!$N$4722/Sens!$N$4723</f>
        <v>0.185979484737251</v>
      </c>
      <c r="O4728" s="13" t="n">
        <f aca="false">Sens!$O$4722/Sens!$O$4723</f>
        <v>0.174270432341096</v>
      </c>
    </row>
    <row r="4729" customFormat="false" ht="17.15" hidden="false" customHeight="false" outlineLevel="0" collapsed="false">
      <c r="A4729" s="0" t="s">
        <v>695</v>
      </c>
      <c r="B4729" s="0" t="s">
        <v>52</v>
      </c>
      <c r="C4729" s="13" t="n">
        <f aca="false">Sens!$C$4720/Sens!$C$4722</f>
        <v>0.0215795060896058</v>
      </c>
      <c r="D4729" s="13" t="n">
        <f aca="false">Sens!$D$4720/Sens!$D$4722</f>
        <v>0.0676152269462122</v>
      </c>
      <c r="E4729" s="13" t="n">
        <f aca="false">Sens!$E$4720/Sens!$E$4722</f>
        <v>0.106620641395783</v>
      </c>
      <c r="F4729" s="13" t="n">
        <f aca="false">Sens!$F$4720/Sens!$F$4722</f>
        <v>0.172523487401099</v>
      </c>
      <c r="G4729" s="13" t="n">
        <f aca="false">Sens!$G$4720/Sens!$G$4722</f>
        <v>0.140939911795589</v>
      </c>
      <c r="H4729" s="13" t="n">
        <f aca="false">Sens!$H$4720/Sens!$H$4722</f>
        <v>0.272018642937714</v>
      </c>
      <c r="I4729" s="13" t="n">
        <f aca="false">Sens!$I$4720/Sens!$I$4722</f>
        <v>0.362159512436497</v>
      </c>
      <c r="J4729" s="13" t="n">
        <f aca="false">Sens!$J$4720/Sens!$J$4722</f>
        <v>0.422151735934609</v>
      </c>
      <c r="K4729" s="13" t="n">
        <f aca="false">Sens!$K$4720/Sens!$K$4722</f>
        <v>0.45769342068485</v>
      </c>
      <c r="L4729" s="13" t="n">
        <f aca="false">Sens!$L$4720/Sens!$L$4722</f>
        <v>0.469047103913472</v>
      </c>
      <c r="M4729" s="13" t="n">
        <f aca="false">Sens!$M$4720/Sens!$M$4722</f>
        <v>0.463233328258093</v>
      </c>
      <c r="N4729" s="13" t="n">
        <f aca="false">Sens!$N$4720/Sens!$N$4722</f>
        <v>0.0506537999838362</v>
      </c>
      <c r="O4729" s="13" t="n">
        <f aca="false">Sens!$O$4720/Sens!$O$4722</f>
        <v>0.0824881615167056</v>
      </c>
    </row>
    <row r="4732" customFormat="false" ht="19.4" hidden="false" customHeight="false" outlineLevel="0" collapsed="false">
      <c r="A4732" s="31" t="s">
        <v>1224</v>
      </c>
    </row>
    <row r="4733" customFormat="false" ht="17.15" hidden="false" customHeight="false" outlineLevel="0" collapsed="false">
      <c r="A4733" s="6" t="s">
        <v>16</v>
      </c>
      <c r="B4733" s="6" t="s">
        <v>17</v>
      </c>
      <c r="C4733" s="20" t="s">
        <v>494</v>
      </c>
      <c r="D4733" s="20" t="s">
        <v>495</v>
      </c>
      <c r="E4733" s="20" t="s">
        <v>577</v>
      </c>
      <c r="F4733" s="20" t="s">
        <v>578</v>
      </c>
      <c r="G4733" s="20" t="s">
        <v>579</v>
      </c>
      <c r="H4733" s="20" t="s">
        <v>580</v>
      </c>
      <c r="I4733" s="20" t="s">
        <v>581</v>
      </c>
      <c r="J4733" s="20" t="s">
        <v>582</v>
      </c>
      <c r="K4733" s="20" t="s">
        <v>583</v>
      </c>
      <c r="L4733" s="20" t="s">
        <v>584</v>
      </c>
      <c r="M4733" s="20" t="s">
        <v>585</v>
      </c>
      <c r="N4733" s="20" t="s">
        <v>586</v>
      </c>
      <c r="O4733" s="20" t="s">
        <v>587</v>
      </c>
      <c r="P4733" s="6" t="s">
        <v>23</v>
      </c>
      <c r="R4733" s="20" t="n">
        <v>2023</v>
      </c>
      <c r="S4733" s="20" t="n">
        <v>2024</v>
      </c>
      <c r="T4733" s="20" t="n">
        <v>2025</v>
      </c>
      <c r="U4733" s="20" t="n">
        <v>2026</v>
      </c>
      <c r="V4733" s="20" t="n">
        <v>2027</v>
      </c>
      <c r="W4733" s="20" t="n">
        <v>2028</v>
      </c>
      <c r="X4733" s="20" t="n">
        <v>2029</v>
      </c>
      <c r="Y4733" s="20" t="n">
        <v>2030</v>
      </c>
      <c r="Z4733" s="20" t="n">
        <v>2031</v>
      </c>
      <c r="AA4733" s="20" t="n">
        <v>2032</v>
      </c>
    </row>
    <row r="4734" customFormat="false" ht="17.15" hidden="false" customHeight="false" outlineLevel="0" collapsed="false">
      <c r="A4734" s="1" t="s">
        <v>710</v>
      </c>
    </row>
    <row r="4735" customFormat="false" ht="15" hidden="false" customHeight="false" outlineLevel="0" collapsed="false">
      <c r="A4735" s="0" t="s">
        <v>516</v>
      </c>
      <c r="B4735" s="0" t="s">
        <v>86</v>
      </c>
      <c r="C4735" s="38" t="n">
        <f aca="false">Sens!$C$4642</f>
        <v>247.029</v>
      </c>
      <c r="D4735" s="38" t="n">
        <f aca="false">Sens!$D$4642</f>
        <v>269.287</v>
      </c>
      <c r="E4735" s="38" t="n">
        <f aca="false">Sens!$E$4642</f>
        <v>134.686</v>
      </c>
      <c r="F4735" s="38" t="n">
        <f aca="false">Sens!$F$4642</f>
        <v>158.293876822267</v>
      </c>
      <c r="G4735" s="38" t="n">
        <f aca="false">Sens!$G$4642</f>
        <v>292.979876822267</v>
      </c>
      <c r="H4735" s="38" t="n">
        <f aca="false">Sens!$H$4642</f>
        <v>318.184543087396</v>
      </c>
      <c r="I4735" s="38" t="n">
        <f aca="false">Sens!$I$4642</f>
        <v>341.736278761793</v>
      </c>
      <c r="J4735" s="38" t="n">
        <f aca="false">Sens!$J$4642</f>
        <v>362.927192787048</v>
      </c>
      <c r="K4735" s="38" t="n">
        <f aca="false">Sens!$K$4642</f>
        <v>381.0735524264</v>
      </c>
      <c r="L4735" s="38" t="n">
        <f aca="false">Sens!$L$4642</f>
        <v>400.12723004772</v>
      </c>
      <c r="M4735" s="38" t="n">
        <f aca="false">Sens!$M$4642</f>
        <v>420.133591550106</v>
      </c>
      <c r="N4735" s="38" t="n">
        <f aca="false">Sens!$N$4642</f>
        <v>118.892</v>
      </c>
      <c r="O4735" s="38" t="n">
        <f aca="false">Sens!$O$4642</f>
        <v>150.395</v>
      </c>
    </row>
    <row r="4736" customFormat="false" ht="15" hidden="false" customHeight="false" outlineLevel="0" collapsed="false">
      <c r="A4736" s="0" t="s">
        <v>517</v>
      </c>
      <c r="B4736" s="0" t="s">
        <v>86</v>
      </c>
      <c r="C4736" s="38" t="n">
        <f aca="false">Sens!$C$4644</f>
        <v>21.215</v>
      </c>
      <c r="D4736" s="38" t="n">
        <f aca="false">Sens!$D$4644</f>
        <v>22.561</v>
      </c>
      <c r="E4736" s="38" t="n">
        <f aca="false">Sens!$E$4644</f>
        <v>11.579</v>
      </c>
      <c r="F4736" s="38" t="n">
        <f aca="false">Sens!$F$4644</f>
        <v>11.5938724610325</v>
      </c>
      <c r="G4736" s="38" t="n">
        <f aca="false">Sens!$G$4644</f>
        <v>23.1728724610325</v>
      </c>
      <c r="H4736" s="38" t="n">
        <f aca="false">Sens!$H$4644</f>
        <v>24.353392759506</v>
      </c>
      <c r="I4736" s="38" t="n">
        <f aca="false">Sens!$I$4644</f>
        <v>25.4240338872015</v>
      </c>
      <c r="J4736" s="38" t="n">
        <f aca="false">Sens!$J$4644</f>
        <v>26.3642491017174</v>
      </c>
      <c r="K4736" s="38" t="n">
        <f aca="false">Sens!$K$4644</f>
        <v>27.155176574769</v>
      </c>
      <c r="L4736" s="38" t="n">
        <f aca="false">Sens!$L$4644</f>
        <v>27.969831872012</v>
      </c>
      <c r="M4736" s="38" t="n">
        <f aca="false">Sens!$M$4644</f>
        <v>28.8089268281724</v>
      </c>
      <c r="N4736" s="38" t="n">
        <f aca="false">Sens!$N$4644</f>
        <v>11.128</v>
      </c>
      <c r="O4736" s="38" t="n">
        <f aca="false">Sens!$O$4644</f>
        <v>11.433</v>
      </c>
    </row>
    <row r="4737" customFormat="false" ht="15" hidden="false" customHeight="false" outlineLevel="0" collapsed="false">
      <c r="A4737" s="0" t="s">
        <v>518</v>
      </c>
      <c r="B4737" s="0" t="s">
        <v>86</v>
      </c>
      <c r="C4737" s="38" t="n">
        <f aca="false">Sens!$C$4646</f>
        <v>156.146</v>
      </c>
      <c r="D4737" s="38" t="n">
        <f aca="false">Sens!$D$4646</f>
        <v>172.162</v>
      </c>
      <c r="E4737" s="38" t="n">
        <f aca="false">Sens!$E$4646</f>
        <v>88.358</v>
      </c>
      <c r="F4737" s="38" t="n">
        <f aca="false">Sens!$F$4646</f>
        <v>102.004388260171</v>
      </c>
      <c r="G4737" s="38" t="n">
        <f aca="false">Sens!$G$4646</f>
        <v>190.362388260171</v>
      </c>
      <c r="H4737" s="38" t="n">
        <f aca="false">Sens!$H$4646</f>
        <v>210.343106588311</v>
      </c>
      <c r="I4737" s="38" t="n">
        <f aca="false">Sens!$I$4646</f>
        <v>229.969728494648</v>
      </c>
      <c r="J4737" s="38" t="n">
        <f aca="false">Sens!$J$4646</f>
        <v>248.747636972598</v>
      </c>
      <c r="K4737" s="38" t="n">
        <f aca="false">Sens!$K$4646</f>
        <v>266.15997156068</v>
      </c>
      <c r="L4737" s="38" t="n">
        <f aca="false">Sens!$L$4646</f>
        <v>284.791169569927</v>
      </c>
      <c r="M4737" s="38" t="n">
        <f aca="false">Sens!$M$4646</f>
        <v>304.726551439822</v>
      </c>
      <c r="N4737" s="38" t="n">
        <f aca="false">Sens!$N$4646</f>
        <v>76.86</v>
      </c>
      <c r="O4737" s="38" t="n">
        <f aca="false">Sens!$O$4646</f>
        <v>95.302</v>
      </c>
    </row>
    <row r="4738" customFormat="false" ht="15" hidden="false" customHeight="false" outlineLevel="0" collapsed="false">
      <c r="A4738" s="0" t="s">
        <v>519</v>
      </c>
      <c r="B4738" s="0" t="s">
        <v>86</v>
      </c>
      <c r="C4738" s="38" t="n">
        <f aca="false">Sens!$C$4648</f>
        <v>56.214</v>
      </c>
      <c r="D4738" s="38" t="n">
        <f aca="false">Sens!$D$4648</f>
        <v>68.635</v>
      </c>
      <c r="E4738" s="38" t="n">
        <f aca="false">Sens!$E$4648</f>
        <v>37.052</v>
      </c>
      <c r="F4738" s="38" t="n">
        <f aca="false">Sens!$F$4648</f>
        <v>46.1572219944148</v>
      </c>
      <c r="G4738" s="38" t="n">
        <f aca="false">Sens!$G$4648</f>
        <v>83.2092219944148</v>
      </c>
      <c r="H4738" s="38" t="n">
        <f aca="false">Sens!$H$4648</f>
        <v>99.8969223878976</v>
      </c>
      <c r="I4738" s="38" t="n">
        <f aca="false">Sens!$I$4648</f>
        <v>116.583111095496</v>
      </c>
      <c r="J4738" s="38" t="n">
        <f aca="false">Sens!$J$4648</f>
        <v>132.148941941952</v>
      </c>
      <c r="K4738" s="38" t="n">
        <f aca="false">Sens!$K$4648</f>
        <v>145.363836136147</v>
      </c>
      <c r="L4738" s="38" t="n">
        <f aca="false">Sens!$L$4648</f>
        <v>159.900219749762</v>
      </c>
      <c r="M4738" s="38" t="n">
        <f aca="false">Sens!$M$4648</f>
        <v>175.890241724738</v>
      </c>
      <c r="N4738" s="38" t="n">
        <f aca="false">Sens!$N$4648</f>
        <v>29.615</v>
      </c>
      <c r="O4738" s="38" t="n">
        <f aca="false">Sens!$O$4648</f>
        <v>39.02</v>
      </c>
    </row>
    <row r="4739" customFormat="false" ht="15" hidden="false" customHeight="false" outlineLevel="0" collapsed="false">
      <c r="A4739" s="0" t="s">
        <v>520</v>
      </c>
      <c r="B4739" s="0" t="s">
        <v>86</v>
      </c>
      <c r="C4739" s="38" t="n">
        <f aca="false">Sens!$C$4650</f>
        <v>44.374</v>
      </c>
      <c r="D4739" s="38" t="n">
        <f aca="false">Sens!$D$4650</f>
        <v>49.619</v>
      </c>
      <c r="E4739" s="38" t="n">
        <f aca="false">Sens!$E$4650</f>
        <v>27.157</v>
      </c>
      <c r="F4739" s="38" t="n">
        <f aca="false">Sens!$F$4650</f>
        <v>27.7764165988154</v>
      </c>
      <c r="G4739" s="38" t="n">
        <f aca="false">Sens!$G$4650</f>
        <v>54.9334165988154</v>
      </c>
      <c r="H4739" s="38" t="n">
        <f aca="false">Sens!$H$4650</f>
        <v>61.1564112561829</v>
      </c>
      <c r="I4739" s="38" t="n">
        <f aca="false">Sens!$I$4650</f>
        <v>67.2020282103945</v>
      </c>
      <c r="J4739" s="38" t="n">
        <f aca="false">Sens!$J$4650</f>
        <v>72.8757274028885</v>
      </c>
      <c r="K4739" s="38" t="n">
        <f aca="false">Sens!$K$4650</f>
        <v>77.9770283210907</v>
      </c>
      <c r="L4739" s="38" t="n">
        <f aca="false">Sens!$L$4650</f>
        <v>83.4354203035671</v>
      </c>
      <c r="M4739" s="38" t="n">
        <f aca="false">Sens!$M$4650</f>
        <v>89.2758997248168</v>
      </c>
      <c r="N4739" s="38" t="n">
        <f aca="false">Sens!$N$4650</f>
        <v>23.923</v>
      </c>
      <c r="O4739" s="38" t="n">
        <f aca="false">Sens!$O$4650</f>
        <v>25.696</v>
      </c>
    </row>
    <row r="4740" customFormat="false" ht="15" hidden="false" customHeight="false" outlineLevel="0" collapsed="false">
      <c r="A4740" s="0" t="s">
        <v>521</v>
      </c>
      <c r="B4740" s="0" t="s">
        <v>86</v>
      </c>
      <c r="C4740" s="38" t="n">
        <f aca="false">Sens!$C$4652</f>
        <v>5.425</v>
      </c>
      <c r="D4740" s="38" t="n">
        <f aca="false">Sens!$D$4652</f>
        <v>5.935</v>
      </c>
      <c r="E4740" s="38" t="n">
        <f aca="false">Sens!$E$4652</f>
        <v>3.474</v>
      </c>
      <c r="F4740" s="38" t="n">
        <f aca="false">Sens!$F$4652</f>
        <v>3.22246550883619</v>
      </c>
      <c r="G4740" s="38" t="n">
        <f aca="false">Sens!$G$4652</f>
        <v>6.69646550883619</v>
      </c>
      <c r="H4740" s="38" t="n">
        <f aca="false">Sens!$H$4652</f>
        <v>7.16251344209196</v>
      </c>
      <c r="I4740" s="38" t="n">
        <f aca="false">Sens!$I$4652</f>
        <v>7.61421070299826</v>
      </c>
      <c r="J4740" s="38" t="n">
        <f aca="false">Sens!$J$4652</f>
        <v>8.04465753523932</v>
      </c>
      <c r="K4740" s="38" t="n">
        <f aca="false">Sens!$K$4652</f>
        <v>8.44689041200128</v>
      </c>
      <c r="L4740" s="38" t="n">
        <f aca="false">Sens!$L$4652</f>
        <v>8.86923493260135</v>
      </c>
      <c r="M4740" s="38" t="n">
        <f aca="false">Sens!$M$4652</f>
        <v>9.31269667923142</v>
      </c>
      <c r="N4740" s="38" t="n">
        <f aca="false">Sens!$N$4652</f>
        <v>2.811</v>
      </c>
      <c r="O4740" s="38" t="n">
        <f aca="false">Sens!$O$4652</f>
        <v>3.124</v>
      </c>
    </row>
    <row r="4741" customFormat="false" ht="17.15" hidden="false" customHeight="false" outlineLevel="0" collapsed="false">
      <c r="A4741" s="0" t="s">
        <v>711</v>
      </c>
      <c r="B4741" s="0" t="s">
        <v>86</v>
      </c>
      <c r="C4741" s="38" t="n">
        <f aca="false">Sens!$C$4722</f>
        <v>107.556</v>
      </c>
      <c r="D4741" s="38" t="n">
        <f aca="false">Sens!$D$4722</f>
        <v>128.725</v>
      </c>
      <c r="E4741" s="38" t="n">
        <f aca="false">Sens!$E$4722</f>
        <v>79.819</v>
      </c>
      <c r="F4741" s="38" t="n">
        <f aca="false">Sens!$F$4722</f>
        <v>86.7327334389669</v>
      </c>
      <c r="G4741" s="38" t="n">
        <f aca="false">Sens!$G$4722</f>
        <v>166.551733438967</v>
      </c>
      <c r="H4741" s="38" t="n">
        <f aca="false">Sens!$H$4722</f>
        <v>221.182967828978</v>
      </c>
      <c r="I4741" s="38" t="n">
        <f aca="false">Sens!$I$4722</f>
        <v>280.27345865789</v>
      </c>
      <c r="J4741" s="38" t="n">
        <f aca="false">Sens!$J$4722</f>
        <v>338.800945197185</v>
      </c>
      <c r="K4741" s="38" t="n">
        <f aca="false">Sens!$K$4722</f>
        <v>389.88570147276</v>
      </c>
      <c r="L4741" s="38" t="n">
        <f aca="false">Sens!$L$4722</f>
        <v>430.080689379143</v>
      </c>
      <c r="M4741" s="38" t="n">
        <f aca="false">Sens!$M$4722</f>
        <v>459.456235951751</v>
      </c>
      <c r="N4741" s="38" t="n">
        <f aca="false">Sens!$N$4722</f>
        <v>60.14</v>
      </c>
      <c r="O4741" s="38" t="n">
        <f aca="false">Sens!$O$4722</f>
        <v>68.585</v>
      </c>
    </row>
    <row r="4742" customFormat="false" ht="15" hidden="false" customHeight="false" outlineLevel="0" collapsed="false">
      <c r="A4742" s="1" t="s">
        <v>509</v>
      </c>
      <c r="B4742" s="8" t="s">
        <v>86</v>
      </c>
      <c r="C4742" s="38" t="n">
        <f aca="false">Sens!$C$4657</f>
        <v>387.497</v>
      </c>
      <c r="D4742" s="38" t="n">
        <f aca="false">Sens!$D$4657</f>
        <v>426.305</v>
      </c>
      <c r="E4742" s="38" t="n">
        <f aca="false">Sens!$E$4657</f>
        <v>220.32</v>
      </c>
      <c r="F4742" s="38" t="n">
        <f aca="false">Sens!$F$4657</f>
        <v>250.639773480586</v>
      </c>
      <c r="G4742" s="38" t="n">
        <f aca="false">Sens!$G$4657</f>
        <v>470.959773480586</v>
      </c>
      <c r="H4742" s="38" t="n">
        <f aca="false">Sens!$H$4657</f>
        <v>521.386990416437</v>
      </c>
      <c r="I4742" s="38" t="n">
        <f aca="false">Sens!$I$4657</f>
        <v>570.143862887555</v>
      </c>
      <c r="J4742" s="38" t="n">
        <f aca="false">Sens!$J$4657</f>
        <v>615.391435791933</v>
      </c>
      <c r="K4742" s="38" t="n">
        <f aca="false">Sens!$K$4657</f>
        <v>655.208227561543</v>
      </c>
      <c r="L4742" s="38" t="n">
        <f aca="false">Sens!$L$4657</f>
        <v>697.807739249767</v>
      </c>
      <c r="M4742" s="38" t="n">
        <f aca="false">Sens!$M$4657</f>
        <v>743.399328463592</v>
      </c>
      <c r="N4742" s="38" t="n">
        <f aca="false">Sens!$N$4657</f>
        <v>192.955</v>
      </c>
      <c r="O4742" s="38" t="n">
        <f aca="false">Sens!$O$4657</f>
        <v>233.35</v>
      </c>
    </row>
    <row r="4743" customFormat="false" ht="15" hidden="false" customHeight="false" outlineLevel="0" collapsed="false">
      <c r="A4743" s="1" t="s">
        <v>512</v>
      </c>
      <c r="B4743" s="8" t="s">
        <v>86</v>
      </c>
      <c r="C4743" s="38" t="n">
        <f aca="false">Sens!$C$4658</f>
        <v>142.906</v>
      </c>
      <c r="D4743" s="38" t="n">
        <f aca="false">Sens!$D$4658</f>
        <v>161.894</v>
      </c>
      <c r="E4743" s="38" t="n">
        <f aca="false">Sens!$E$4658</f>
        <v>81.986</v>
      </c>
      <c r="F4743" s="38" t="n">
        <f aca="false">Sens!$F$4658</f>
        <v>98.408468164951</v>
      </c>
      <c r="G4743" s="38" t="n">
        <f aca="false">Sens!$G$4658</f>
        <v>180.394468164951</v>
      </c>
      <c r="H4743" s="38" t="n">
        <f aca="false">Sens!$H$4658</f>
        <v>199.709899104949</v>
      </c>
      <c r="I4743" s="38" t="n">
        <f aca="false">Sens!$I$4658</f>
        <v>218.385528264976</v>
      </c>
      <c r="J4743" s="38" t="n">
        <f aca="false">Sens!$J$4658</f>
        <v>235.71696994951</v>
      </c>
      <c r="K4743" s="38" t="n">
        <f aca="false">Sens!$K$4658</f>
        <v>250.968227869545</v>
      </c>
      <c r="L4743" s="38" t="n">
        <f aca="false">Sens!$L$4658</f>
        <v>267.285367225822</v>
      </c>
      <c r="M4743" s="38" t="n">
        <f aca="false">Sens!$M$4658</f>
        <v>284.748579483295</v>
      </c>
      <c r="N4743" s="38" t="n">
        <f aca="false">Sens!$N$4658</f>
        <v>70.274</v>
      </c>
      <c r="O4743" s="38" t="n">
        <f aca="false">Sens!$O$4658</f>
        <v>91.62</v>
      </c>
    </row>
    <row r="4744" customFormat="false" ht="15" hidden="false" customHeight="false" outlineLevel="0" collapsed="false">
      <c r="A4744" s="1" t="s">
        <v>513</v>
      </c>
      <c r="B4744" s="8" t="s">
        <v>86</v>
      </c>
      <c r="C4744" s="38" t="n">
        <f aca="false">Sens!$C$4722</f>
        <v>107.556</v>
      </c>
      <c r="D4744" s="38" t="n">
        <f aca="false">Sens!$D$4722</f>
        <v>128.725</v>
      </c>
      <c r="E4744" s="38" t="n">
        <f aca="false">Sens!$E$4722</f>
        <v>79.819</v>
      </c>
      <c r="F4744" s="38" t="n">
        <f aca="false">Sens!$F$4722</f>
        <v>86.7327334389669</v>
      </c>
      <c r="G4744" s="38" t="n">
        <f aca="false">Sens!$G$4722</f>
        <v>166.551733438967</v>
      </c>
      <c r="H4744" s="38" t="n">
        <f aca="false">Sens!$H$4722</f>
        <v>221.182967828978</v>
      </c>
      <c r="I4744" s="38" t="n">
        <f aca="false">Sens!$I$4722</f>
        <v>280.27345865789</v>
      </c>
      <c r="J4744" s="38" t="n">
        <f aca="false">Sens!$J$4722</f>
        <v>338.800945197185</v>
      </c>
      <c r="K4744" s="38" t="n">
        <f aca="false">Sens!$K$4722</f>
        <v>389.88570147276</v>
      </c>
      <c r="L4744" s="38" t="n">
        <f aca="false">Sens!$L$4722</f>
        <v>430.080689379143</v>
      </c>
      <c r="M4744" s="38" t="n">
        <f aca="false">Sens!$M$4722</f>
        <v>459.456235951751</v>
      </c>
      <c r="N4744" s="38" t="n">
        <f aca="false">Sens!$N$4722</f>
        <v>60.14</v>
      </c>
      <c r="O4744" s="38" t="n">
        <f aca="false">Sens!$O$4722</f>
        <v>68.585</v>
      </c>
    </row>
    <row r="4745" customFormat="false" ht="17.15" hidden="false" customHeight="false" outlineLevel="0" collapsed="false">
      <c r="A4745" s="0" t="s">
        <v>685</v>
      </c>
      <c r="B4745" s="0" t="s">
        <v>86</v>
      </c>
      <c r="C4745" s="38" t="n">
        <f aca="false">Sens!$C$4720</f>
        <v>2.32100535697364</v>
      </c>
      <c r="D4745" s="38" t="n">
        <f aca="false">Sens!$D$4720</f>
        <v>8.70377008865116</v>
      </c>
      <c r="E4745" s="38" t="n">
        <f aca="false">Sens!$E$4720</f>
        <v>8.51035297557002</v>
      </c>
      <c r="F4745" s="38" t="n">
        <f aca="false">Sens!$F$4720</f>
        <v>14.9634336447205</v>
      </c>
      <c r="G4745" s="38" t="n">
        <f aca="false">Sens!$G$4720</f>
        <v>23.4737866202905</v>
      </c>
      <c r="H4745" s="38" t="n">
        <f aca="false">Sens!$H$4720</f>
        <v>60.1658907497746</v>
      </c>
      <c r="I4745" s="38" t="n">
        <f aca="false">Sens!$I$4720</f>
        <v>101.503699136432</v>
      </c>
      <c r="J4745" s="38" t="n">
        <f aca="false">Sens!$J$4720</f>
        <v>143.025407151278</v>
      </c>
      <c r="K4745" s="38" t="n">
        <f aca="false">Sens!$K$4720</f>
        <v>178.44812038318</v>
      </c>
      <c r="L4745" s="38" t="n">
        <f aca="false">Sens!$L$4720</f>
        <v>201.728101802396</v>
      </c>
      <c r="M4745" s="38" t="n">
        <f aca="false">Sens!$M$4720</f>
        <v>212.835441368865</v>
      </c>
      <c r="N4745" s="38" t="n">
        <f aca="false">Sens!$N$4720</f>
        <v>3.04631953102791</v>
      </c>
      <c r="O4745" s="38" t="n">
        <f aca="false">Sens!$O$4720</f>
        <v>5.65745055762326</v>
      </c>
    </row>
    <row r="4746" customFormat="false" ht="17.15" hidden="false" customHeight="false" outlineLevel="0" collapsed="false">
      <c r="A4746" s="0" t="s">
        <v>687</v>
      </c>
      <c r="B4746" s="0" t="s">
        <v>86</v>
      </c>
      <c r="C4746" s="38" t="n">
        <f aca="false">Sens!$C$4721</f>
        <v>105.234994643026</v>
      </c>
      <c r="D4746" s="38" t="n">
        <f aca="false">Sens!$D$4721</f>
        <v>120.021229911349</v>
      </c>
      <c r="E4746" s="38" t="n">
        <f aca="false">Sens!$E$4721</f>
        <v>71.30864702443</v>
      </c>
      <c r="F4746" s="38" t="n">
        <f aca="false">Sens!$F$4721</f>
        <v>71.7692997942464</v>
      </c>
      <c r="G4746" s="38" t="n">
        <f aca="false">Sens!$G$4721</f>
        <v>143.077946818676</v>
      </c>
      <c r="H4746" s="38" t="n">
        <f aca="false">Sens!$H$4721</f>
        <v>161.017077079203</v>
      </c>
      <c r="I4746" s="38" t="n">
        <f aca="false">Sens!$I$4721</f>
        <v>178.769759521457</v>
      </c>
      <c r="J4746" s="38" t="n">
        <f aca="false">Sens!$J$4721</f>
        <v>195.775538045907</v>
      </c>
      <c r="K4746" s="38" t="n">
        <f aca="false">Sens!$K$4721</f>
        <v>211.43758108958</v>
      </c>
      <c r="L4746" s="38" t="n">
        <f aca="false">Sens!$L$4721</f>
        <v>228.352587576746</v>
      </c>
      <c r="M4746" s="38" t="n">
        <f aca="false">Sens!$M$4721</f>
        <v>246.620794582886</v>
      </c>
      <c r="N4746" s="38" t="n">
        <f aca="false">Sens!$N$4721</f>
        <v>57.0936804689721</v>
      </c>
      <c r="O4746" s="38" t="n">
        <f aca="false">Sens!$O$4721</f>
        <v>62.9275494423768</v>
      </c>
    </row>
    <row r="4747" customFormat="false" ht="15" hidden="false" customHeight="false" outlineLevel="0" collapsed="false">
      <c r="A4747" s="3" t="s">
        <v>514</v>
      </c>
      <c r="B4747" s="8" t="s">
        <v>86</v>
      </c>
      <c r="C4747" s="38" t="n">
        <f aca="false">Sens!$C$4723</f>
        <v>637.959</v>
      </c>
      <c r="D4747" s="38" t="n">
        <f aca="false">Sens!$D$4723</f>
        <v>716.924</v>
      </c>
      <c r="E4747" s="38" t="n">
        <f aca="false">Sens!$E$4723</f>
        <v>382.125</v>
      </c>
      <c r="F4747" s="38" t="n">
        <f aca="false">Sens!$F$4723</f>
        <v>435.780975084504</v>
      </c>
      <c r="G4747" s="38" t="n">
        <f aca="false">Sens!$G$4723</f>
        <v>817.905975084504</v>
      </c>
      <c r="H4747" s="38" t="n">
        <f aca="false">Sens!$H$4723</f>
        <v>942.279857350364</v>
      </c>
      <c r="I4747" s="38" t="n">
        <f aca="false">Sens!$I$4723</f>
        <v>1068.80284981042</v>
      </c>
      <c r="J4747" s="38" t="n">
        <f aca="false">Sens!$J$4723</f>
        <v>1189.90935093863</v>
      </c>
      <c r="K4747" s="38" t="n">
        <f aca="false">Sens!$K$4723</f>
        <v>1296.06215690385</v>
      </c>
      <c r="L4747" s="38" t="n">
        <f aca="false">Sens!$L$4723</f>
        <v>1395.17379585473</v>
      </c>
      <c r="M4747" s="38" t="n">
        <f aca="false">Sens!$M$4723</f>
        <v>1487.60414389864</v>
      </c>
      <c r="N4747" s="38" t="n">
        <f aca="false">Sens!$N$4723</f>
        <v>323.369</v>
      </c>
      <c r="O4747" s="38" t="n">
        <f aca="false">Sens!$O$4723</f>
        <v>393.555</v>
      </c>
    </row>
    <row r="4748" customFormat="false" ht="17.15" hidden="false" customHeight="false" outlineLevel="0" collapsed="false">
      <c r="A4748" s="24" t="s">
        <v>697</v>
      </c>
      <c r="B4748" s="25" t="s">
        <v>86</v>
      </c>
      <c r="C4748" s="41" t="n">
        <f aca="false">Sens!$C$4735+Sens!$C$4736+Sens!$C$4737+Sens!$C$4738+Sens!$C$4739+Sens!$C$4740-(Sens!$C$4742+Sens!$C$4743)</f>
        <v>0</v>
      </c>
      <c r="D4748" s="41" t="n">
        <f aca="false">Sens!$D$4735+Sens!$D$4736+Sens!$D$4737+Sens!$D$4738+Sens!$D$4739+Sens!$D$4740-(Sens!$D$4742+Sens!$D$4743)</f>
        <v>0</v>
      </c>
      <c r="E4748" s="41" t="n">
        <f aca="false">Sens!$E$4735+Sens!$E$4736+Sens!$E$4737+Sens!$E$4738+Sens!$E$4739+Sens!$E$4740-(Sens!$E$4742+Sens!$E$4743)</f>
        <v>0</v>
      </c>
      <c r="F4748" s="41" t="n">
        <f aca="false">Sens!$F$4735+Sens!$F$4736+Sens!$F$4737+Sens!$F$4738+Sens!$F$4739+Sens!$F$4740-(Sens!$F$4742+Sens!$F$4743)</f>
        <v>0</v>
      </c>
      <c r="G4748" s="41" t="n">
        <f aca="false">Sens!$G$4735+Sens!$G$4736+Sens!$G$4737+Sens!$G$4738+Sens!$G$4739+Sens!$G$4740-(Sens!$G$4742+Sens!$G$4743)</f>
        <v>0</v>
      </c>
      <c r="H4748" s="41" t="n">
        <f aca="false">Sens!$H$4735+Sens!$H$4736+Sens!$H$4737+Sens!$H$4738+Sens!$H$4739+Sens!$H$4740-(Sens!$H$4742+Sens!$H$4743)</f>
        <v>0</v>
      </c>
      <c r="I4748" s="41" t="n">
        <f aca="false">Sens!$I$4735+Sens!$I$4736+Sens!$I$4737+Sens!$I$4738+Sens!$I$4739+Sens!$I$4740-(Sens!$I$4742+Sens!$I$4743)</f>
        <v>0</v>
      </c>
      <c r="J4748" s="41" t="n">
        <f aca="false">Sens!$J$4735+Sens!$J$4736+Sens!$J$4737+Sens!$J$4738+Sens!$J$4739+Sens!$J$4740-(Sens!$J$4742+Sens!$J$4743)</f>
        <v>0</v>
      </c>
      <c r="K4748" s="41" t="n">
        <f aca="false">Sens!$K$4735+Sens!$K$4736+Sens!$K$4737+Sens!$K$4738+Sens!$K$4739+Sens!$K$4740-(Sens!$K$4742+Sens!$K$4743)</f>
        <v>0</v>
      </c>
      <c r="L4748" s="41" t="n">
        <f aca="false">Sens!$L$4735+Sens!$L$4736+Sens!$L$4737+Sens!$L$4738+Sens!$L$4739+Sens!$L$4740-(Sens!$L$4742+Sens!$L$4743)</f>
        <v>0</v>
      </c>
      <c r="M4748" s="41" t="n">
        <f aca="false">Sens!$M$4735+Sens!$M$4736+Sens!$M$4737+Sens!$M$4738+Sens!$M$4739+Sens!$M$4740-(Sens!$M$4742+Sens!$M$4743)</f>
        <v>0</v>
      </c>
      <c r="N4748" s="41" t="n">
        <f aca="false">Sens!$N$4735+Sens!$N$4736+Sens!$N$4737+Sens!$N$4738+Sens!$N$4739+Sens!$N$4740-(Sens!$N$4742+Sens!$N$4743)</f>
        <v>0</v>
      </c>
      <c r="O4748" s="41" t="n">
        <f aca="false">Sens!$O$4735+Sens!$O$4736+Sens!$O$4737+Sens!$O$4738+Sens!$O$4739+Sens!$O$4740-(Sens!$O$4742+Sens!$O$4743)</f>
        <v>0</v>
      </c>
    </row>
    <row r="4749" customFormat="false" ht="17.15" hidden="false" customHeight="false" outlineLevel="0" collapsed="false">
      <c r="A4749" s="24" t="s">
        <v>698</v>
      </c>
      <c r="B4749" s="25" t="s">
        <v>86</v>
      </c>
      <c r="C4749" s="41" t="n">
        <f aca="false">Sens!$C$4745+Sens!$C$4746-Sens!$C$4744</f>
        <v>0</v>
      </c>
      <c r="D4749" s="41" t="n">
        <f aca="false">Sens!$D$4745+Sens!$D$4746-Sens!$D$4744</f>
        <v>0</v>
      </c>
      <c r="E4749" s="41" t="n">
        <f aca="false">Sens!$E$4745+Sens!$E$4746-Sens!$E$4744</f>
        <v>0</v>
      </c>
      <c r="F4749" s="41" t="n">
        <f aca="false">Sens!$F$4745+Sens!$F$4746-Sens!$F$4744</f>
        <v>0</v>
      </c>
      <c r="G4749" s="41" t="n">
        <f aca="false">Sens!$G$4745+Sens!$G$4746-Sens!$G$4744</f>
        <v>0</v>
      </c>
      <c r="H4749" s="41" t="n">
        <f aca="false">Sens!$H$4745+Sens!$H$4746-Sens!$H$4744</f>
        <v>0</v>
      </c>
      <c r="I4749" s="41" t="n">
        <f aca="false">Sens!$I$4745+Sens!$I$4746-Sens!$I$4744</f>
        <v>0</v>
      </c>
      <c r="J4749" s="41" t="n">
        <f aca="false">Sens!$J$4745+Sens!$J$4746-Sens!$J$4744</f>
        <v>0</v>
      </c>
      <c r="K4749" s="41" t="n">
        <f aca="false">Sens!$K$4745+Sens!$K$4746-Sens!$K$4744</f>
        <v>0</v>
      </c>
      <c r="L4749" s="41" t="n">
        <f aca="false">Sens!$L$4745+Sens!$L$4746-Sens!$L$4744</f>
        <v>0</v>
      </c>
      <c r="M4749" s="41" t="n">
        <f aca="false">Sens!$M$4745+Sens!$M$4746-Sens!$M$4744</f>
        <v>0</v>
      </c>
      <c r="N4749" s="41" t="n">
        <f aca="false">Sens!$N$4745+Sens!$N$4746-Sens!$N$4744</f>
        <v>0</v>
      </c>
      <c r="O4749" s="41" t="n">
        <f aca="false">Sens!$O$4745+Sens!$O$4746-Sens!$O$4744</f>
        <v>0</v>
      </c>
    </row>
    <row r="4750" customFormat="false" ht="17.15" hidden="false" customHeight="false" outlineLevel="0" collapsed="false">
      <c r="A4750" s="24" t="s">
        <v>757</v>
      </c>
      <c r="B4750" s="25" t="s">
        <v>86</v>
      </c>
      <c r="C4750" s="41" t="n">
        <f aca="false">Sens!$C$4735+Sens!$C$4736+Sens!$C$4737+Sens!$C$4738+Sens!$C$4739+Sens!$C$4740+Sens!$C$4741-Sens!$C$4747</f>
        <v>0</v>
      </c>
      <c r="D4750" s="41" t="n">
        <f aca="false">Sens!$D$4735+Sens!$D$4736+Sens!$D$4737+Sens!$D$4738+Sens!$D$4739+Sens!$D$4740+Sens!$D$4741-Sens!$D$4747</f>
        <v>0</v>
      </c>
      <c r="E4750" s="41" t="n">
        <f aca="false">Sens!$E$4735+Sens!$E$4736+Sens!$E$4737+Sens!$E$4738+Sens!$E$4739+Sens!$E$4740+Sens!$E$4741-Sens!$E$4747</f>
        <v>0</v>
      </c>
      <c r="F4750" s="41" t="n">
        <f aca="false">Sens!$F$4735+Sens!$F$4736+Sens!$F$4737+Sens!$F$4738+Sens!$F$4739+Sens!$F$4740+Sens!$F$4741-Sens!$F$4747</f>
        <v>0</v>
      </c>
      <c r="G4750" s="41" t="n">
        <f aca="false">Sens!$G$4735+Sens!$G$4736+Sens!$G$4737+Sens!$G$4738+Sens!$G$4739+Sens!$G$4740+Sens!$G$4741-Sens!$G$4747</f>
        <v>0</v>
      </c>
      <c r="H4750" s="41" t="n">
        <f aca="false">Sens!$H$4735+Sens!$H$4736+Sens!$H$4737+Sens!$H$4738+Sens!$H$4739+Sens!$H$4740+Sens!$H$4741-Sens!$H$4747</f>
        <v>0</v>
      </c>
      <c r="I4750" s="41" t="n">
        <f aca="false">Sens!$I$4735+Sens!$I$4736+Sens!$I$4737+Sens!$I$4738+Sens!$I$4739+Sens!$I$4740+Sens!$I$4741-Sens!$I$4747</f>
        <v>0</v>
      </c>
      <c r="J4750" s="41" t="n">
        <f aca="false">Sens!$J$4735+Sens!$J$4736+Sens!$J$4737+Sens!$J$4738+Sens!$J$4739+Sens!$J$4740+Sens!$J$4741-Sens!$J$4747</f>
        <v>0</v>
      </c>
      <c r="K4750" s="41" t="n">
        <f aca="false">Sens!$K$4735+Sens!$K$4736+Sens!$K$4737+Sens!$K$4738+Sens!$K$4739+Sens!$K$4740+Sens!$K$4741-Sens!$K$4747</f>
        <v>0</v>
      </c>
      <c r="L4750" s="41" t="n">
        <f aca="false">Sens!$L$4735+Sens!$L$4736+Sens!$L$4737+Sens!$L$4738+Sens!$L$4739+Sens!$L$4740+Sens!$L$4741-Sens!$L$4747</f>
        <v>0</v>
      </c>
      <c r="M4750" s="41" t="n">
        <f aca="false">Sens!$M$4735+Sens!$M$4736+Sens!$M$4737+Sens!$M$4738+Sens!$M$4739+Sens!$M$4740+Sens!$M$4741-Sens!$M$4747</f>
        <v>0</v>
      </c>
      <c r="N4750" s="41" t="n">
        <f aca="false">Sens!$N$4735+Sens!$N$4736+Sens!$N$4737+Sens!$N$4738+Sens!$N$4739+Sens!$N$4740+Sens!$N$4741-Sens!$N$4747</f>
        <v>0</v>
      </c>
      <c r="O4750" s="41" t="n">
        <f aca="false">Sens!$O$4735+Sens!$O$4736+Sens!$O$4737+Sens!$O$4738+Sens!$O$4739+Sens!$O$4740+Sens!$O$4741-Sens!$O$4747</f>
        <v>0</v>
      </c>
    </row>
    <row r="4751" customFormat="false" ht="17.15" hidden="false" customHeight="false" outlineLevel="0" collapsed="false">
      <c r="A4751" s="24" t="s">
        <v>699</v>
      </c>
      <c r="B4751" s="25" t="s">
        <v>86</v>
      </c>
      <c r="C4751" s="41" t="n">
        <f aca="false">Sens!$C$4742+Sens!$C$4743+Sens!$C$4744-Sens!$C$4747</f>
        <v>0</v>
      </c>
      <c r="D4751" s="41" t="n">
        <f aca="false">Sens!$D$4742+Sens!$D$4743+Sens!$D$4744-Sens!$D$4747</f>
        <v>0</v>
      </c>
      <c r="E4751" s="41" t="n">
        <f aca="false">Sens!$E$4742+Sens!$E$4743+Sens!$E$4744-Sens!$E$4747</f>
        <v>0</v>
      </c>
      <c r="F4751" s="41" t="n">
        <f aca="false">Sens!$F$4742+Sens!$F$4743+Sens!$F$4744-Sens!$F$4747</f>
        <v>0</v>
      </c>
      <c r="G4751" s="41" t="n">
        <f aca="false">Sens!$G$4742+Sens!$G$4743+Sens!$G$4744-Sens!$G$4747</f>
        <v>0</v>
      </c>
      <c r="H4751" s="41" t="n">
        <f aca="false">Sens!$H$4742+Sens!$H$4743+Sens!$H$4744-Sens!$H$4747</f>
        <v>0</v>
      </c>
      <c r="I4751" s="41" t="n">
        <f aca="false">Sens!$I$4742+Sens!$I$4743+Sens!$I$4744-Sens!$I$4747</f>
        <v>0</v>
      </c>
      <c r="J4751" s="41" t="n">
        <f aca="false">Sens!$J$4742+Sens!$J$4743+Sens!$J$4744-Sens!$J$4747</f>
        <v>0</v>
      </c>
      <c r="K4751" s="41" t="n">
        <f aca="false">Sens!$K$4742+Sens!$K$4743+Sens!$K$4744-Sens!$K$4747</f>
        <v>0</v>
      </c>
      <c r="L4751" s="41" t="n">
        <f aca="false">Sens!$L$4742+Sens!$L$4743+Sens!$L$4744-Sens!$L$4747</f>
        <v>0</v>
      </c>
      <c r="M4751" s="41" t="n">
        <f aca="false">Sens!$M$4742+Sens!$M$4743+Sens!$M$4744-Sens!$M$4747</f>
        <v>0</v>
      </c>
      <c r="N4751" s="41" t="n">
        <f aca="false">Sens!$N$4742+Sens!$N$4743+Sens!$N$4744-Sens!$N$4747</f>
        <v>0</v>
      </c>
      <c r="O4751" s="41" t="n">
        <f aca="false">Sens!$O$4742+Sens!$O$4743+Sens!$O$4744-Sens!$O$4747</f>
        <v>0</v>
      </c>
    </row>
    <row r="4752" customFormat="false" ht="17.15" hidden="false" customHeight="false" outlineLevel="0" collapsed="false">
      <c r="A4752" s="1" t="s">
        <v>713</v>
      </c>
    </row>
    <row r="4753" customFormat="false" ht="17.15" hidden="false" customHeight="false" outlineLevel="0" collapsed="false">
      <c r="A4753" s="0" t="s">
        <v>714</v>
      </c>
      <c r="B4753" s="0" t="s">
        <v>86</v>
      </c>
      <c r="C4753" s="38" t="n">
        <f aca="false">Sens!$C$4659*m_ad</f>
        <v>20.5341564414228</v>
      </c>
      <c r="D4753" s="38" t="n">
        <f aca="false">Sens!$D$4659*m_ad</f>
        <v>24.8720617299587</v>
      </c>
      <c r="E4753" s="38" t="n">
        <f aca="false">Sens!$E$4659*m_ad</f>
        <v>13.5017112462207</v>
      </c>
      <c r="F4753" s="38" t="n">
        <f aca="false">Sens!$F$4659*m_ad</f>
        <v>16.5719724165257</v>
      </c>
      <c r="G4753" s="38" t="n">
        <f aca="false">Sens!$G$4659*m_ad</f>
        <v>30.0820919220415</v>
      </c>
      <c r="H4753" s="38" t="n">
        <f aca="false">Sens!$H$4659*m_ad</f>
        <v>36.1150883276314</v>
      </c>
      <c r="I4753" s="38" t="n">
        <f aca="false">Sens!$I$4659*m_ad</f>
        <v>42.1475382231996</v>
      </c>
      <c r="J4753" s="38" t="n">
        <f aca="false">Sens!$J$4659*m_ad</f>
        <v>47.7749523864693</v>
      </c>
      <c r="K4753" s="38" t="n">
        <f aca="false">Sens!$K$4659*m_ad</f>
        <v>52.5524476251162</v>
      </c>
      <c r="L4753" s="38" t="n">
        <f aca="false">Sens!$L$4659*m_ad</f>
        <v>57.8076923876279</v>
      </c>
      <c r="M4753" s="38" t="n">
        <f aca="false">Sens!$M$4659*m_ad</f>
        <v>63.5884616263907</v>
      </c>
      <c r="N4753" s="38" t="n">
        <f aca="false">Sens!$N$4659*m_ad</f>
        <v>10.8543555706248</v>
      </c>
      <c r="O4753" s="38" t="n">
        <f aca="false">Sens!$O$4659*m_ad</f>
        <v>14.0094731821399</v>
      </c>
    </row>
    <row r="4754" customFormat="false" ht="17.15" hidden="false" customHeight="false" outlineLevel="0" collapsed="false">
      <c r="A4754" s="0" t="s">
        <v>715</v>
      </c>
      <c r="B4754" s="0" t="s">
        <v>86</v>
      </c>
      <c r="C4754" s="38" t="n">
        <f aca="false">Sens!$C$4657-Sens!$C$4659</f>
        <v>346.428687117154</v>
      </c>
      <c r="D4754" s="38" t="n">
        <f aca="false">Sens!$D$4657-Sens!$D$4659</f>
        <v>376.560876540083</v>
      </c>
      <c r="E4754" s="38" t="n">
        <f aca="false">Sens!$E$4657-Sens!$E$4659</f>
        <v>193.316577507559</v>
      </c>
      <c r="F4754" s="38" t="n">
        <f aca="false">Sens!$F$4657-Sens!$F$4659</f>
        <v>217.495828647535</v>
      </c>
      <c r="G4754" s="38" t="n">
        <f aca="false">Sens!$G$4657-Sens!$G$4659</f>
        <v>410.795589636503</v>
      </c>
      <c r="H4754" s="38" t="n">
        <f aca="false">Sens!$H$4657-Sens!$H$4659</f>
        <v>449.156813761174</v>
      </c>
      <c r="I4754" s="38" t="n">
        <f aca="false">Sens!$I$4657-Sens!$I$4659</f>
        <v>485.848786441156</v>
      </c>
      <c r="J4754" s="38" t="n">
        <f aca="false">Sens!$J$4657-Sens!$J$4659</f>
        <v>519.841531018994</v>
      </c>
      <c r="K4754" s="38" t="n">
        <f aca="false">Sens!$K$4657-Sens!$K$4659</f>
        <v>550.103332311311</v>
      </c>
      <c r="L4754" s="38" t="n">
        <f aca="false">Sens!$L$4657-Sens!$L$4659</f>
        <v>582.192354474511</v>
      </c>
      <c r="M4754" s="38" t="n">
        <f aca="false">Sens!$M$4657-Sens!$M$4659</f>
        <v>616.22240521081</v>
      </c>
      <c r="N4754" s="38" t="n">
        <f aca="false">Sens!$N$4657-Sens!$N$4659</f>
        <v>171.24628885875</v>
      </c>
      <c r="O4754" s="38" t="n">
        <f aca="false">Sens!$O$4657-Sens!$O$4659</f>
        <v>205.33105363572</v>
      </c>
    </row>
    <row r="4755" customFormat="false" ht="17.15" hidden="false" customHeight="false" outlineLevel="0" collapsed="false">
      <c r="A4755" s="0" t="s">
        <v>716</v>
      </c>
      <c r="B4755" s="0" t="s">
        <v>86</v>
      </c>
      <c r="C4755" s="38" t="n">
        <f aca="false">Sens!$C$4706*Sens!$C$4656</f>
        <v>0.123617442257179</v>
      </c>
      <c r="D4755" s="38" t="n">
        <f aca="false">Sens!$D$4706*Sens!$D$4656</f>
        <v>0.874366899302609</v>
      </c>
      <c r="E4755" s="38" t="n">
        <f aca="false">Sens!$E$4706*Sens!$E$4656</f>
        <v>1.29318830502574</v>
      </c>
      <c r="F4755" s="38" t="n">
        <f aca="false">Sens!$F$4706*Sens!$F$4656</f>
        <v>1.51802024162534</v>
      </c>
      <c r="G4755" s="38" t="n">
        <f aca="false">Sens!$G$4706*Sens!$G$4656</f>
        <v>2.81153363597665</v>
      </c>
      <c r="H4755" s="38" t="n">
        <f aca="false">Sens!$H$4706*Sens!$H$4656</f>
        <v>7.39027704264226</v>
      </c>
      <c r="I4755" s="38" t="n">
        <f aca="false">Sens!$I$4706*Sens!$I$4656</f>
        <v>12.899807643047</v>
      </c>
      <c r="J4755" s="38" t="n">
        <f aca="false">Sens!$J$4706*Sens!$J$4656</f>
        <v>18.5585322471382</v>
      </c>
      <c r="K4755" s="38" t="n">
        <f aca="false">Sens!$K$4706*Sens!$K$4656</f>
        <v>24.0966749520672</v>
      </c>
      <c r="L4755" s="38" t="n">
        <f aca="false">Sens!$L$4706*Sens!$L$4656</f>
        <v>27.686623551477</v>
      </c>
      <c r="M4755" s="38" t="n">
        <f aca="false">Sens!$M$4706*Sens!$M$4656</f>
        <v>29.7238645537022</v>
      </c>
      <c r="N4755" s="38" t="n">
        <f aca="false">Sens!$N$4706*Sens!$N$4656</f>
        <v>0.389180508437431</v>
      </c>
      <c r="O4755" s="38" t="n">
        <f aca="false">Sens!$O$4706*Sens!$O$4656</f>
        <v>0.485052120082802</v>
      </c>
    </row>
    <row r="4756" customFormat="false" ht="17.15" hidden="false" customHeight="false" outlineLevel="0" collapsed="false">
      <c r="A4756" s="0" t="s">
        <v>717</v>
      </c>
      <c r="B4756" s="0" t="s">
        <v>52</v>
      </c>
      <c r="C4756" s="28" t="n">
        <f aca="false">(Sens!$C$4757-Sens!$C$4753+Sens!$C$4755)/Sens!$C$4754</f>
        <v>0.0131526665379575</v>
      </c>
      <c r="D4756" s="28" t="n">
        <f aca="false">(Sens!$D$4757-Sens!$D$4753+Sens!$D$4755)/Sens!$D$4754</f>
        <v>0.0149280116962589</v>
      </c>
      <c r="E4756" s="28" t="n">
        <f aca="false">(Sens!$E$4757-Sens!$E$4753+Sens!$E$4755)/Sens!$E$4754</f>
        <v>0.0268030663774938</v>
      </c>
      <c r="F4756" s="28" t="n">
        <f aca="false">Sens!$O$4756+(Sens!$E$4756-Sens!$N$4756)</f>
        <v>0.0232379346966962</v>
      </c>
      <c r="G4756" s="28" t="n">
        <f aca="false">(Sens!$G$4757-Sens!$G$4753+Sens!$G$4755)/Sens!$G$4754</f>
        <v>0.0248969268652583</v>
      </c>
      <c r="H4756" s="28" t="n">
        <f aca="false">Sens!$G$4756+step_na_hi</f>
        <v>0.0308969268652584</v>
      </c>
      <c r="I4756" s="28" t="n">
        <f aca="false">Sens!$H$4756+step_na_hi</f>
        <v>0.0368969268652584</v>
      </c>
      <c r="J4756" s="28" t="n">
        <f aca="false">Sens!$I$4756+step_na_hi</f>
        <v>0.0428969268652583</v>
      </c>
      <c r="K4756" s="28" t="n">
        <f aca="false">Sens!$J$4756+step_na_hi</f>
        <v>0.0488969268652583</v>
      </c>
      <c r="L4756" s="28" t="n">
        <f aca="false">Sens!$K$4756</f>
        <v>0.0488969268652583</v>
      </c>
      <c r="M4756" s="28" t="n">
        <f aca="false">Sens!$L$4756</f>
        <v>0.0488969268652583</v>
      </c>
      <c r="N4756" s="28" t="n">
        <f aca="false">(Sens!$N$4757-Sens!$N$4753+Sens!$N$4755)/Sens!$N$4754</f>
        <v>0.0168927744775755</v>
      </c>
      <c r="O4756" s="28" t="n">
        <f aca="false">(Sens!$O$4757-Sens!$O$4753+Sens!$O$4755)/Sens!$O$4754</f>
        <v>0.0133276427967779</v>
      </c>
      <c r="P4756" s="8" t="s">
        <v>718</v>
      </c>
    </row>
    <row r="4757" customFormat="false" ht="17.15" hidden="false" customHeight="false" outlineLevel="0" collapsed="false">
      <c r="A4757" s="1" t="s">
        <v>719</v>
      </c>
      <c r="B4757" s="8" t="s">
        <v>86</v>
      </c>
      <c r="C4757" s="38" t="n">
        <f aca="false">Q!$D$22</f>
        <v>24.967</v>
      </c>
      <c r="D4757" s="38" t="n">
        <f aca="false">Q!$E$22</f>
        <v>29.619</v>
      </c>
      <c r="E4757" s="38" t="n">
        <f aca="false">Q!$P$22</f>
        <v>17.39</v>
      </c>
      <c r="F4757" s="38" t="n">
        <f aca="false">Sens!$F$4753+Sens!$F$4754*Sens!$F$4756-Sens!$F$4755</f>
        <v>20.1081060378156</v>
      </c>
      <c r="G4757" s="38" t="n">
        <f aca="false">Sens!$E$4757+Sens!$F$4757</f>
        <v>37.4981060378156</v>
      </c>
      <c r="H4757" s="38" t="n">
        <f aca="false">Sens!$H$4753+Sens!$H$4754*Sens!$H$4756-Sens!$H$4755</f>
        <v>42.6023765108006</v>
      </c>
      <c r="I4757" s="38" t="n">
        <f aca="false">Sens!$I$4753+Sens!$I$4754*Sens!$I$4756-Sens!$I$4755</f>
        <v>47.1740577210464</v>
      </c>
      <c r="J4757" s="38" t="n">
        <f aca="false">Sens!$J$4753+Sens!$J$4754*Sens!$J$4756-Sens!$J$4755</f>
        <v>51.5160242769769</v>
      </c>
      <c r="K4757" s="38" t="n">
        <f aca="false">Sens!$K$4753+Sens!$K$4754*Sens!$K$4756-Sens!$K$4755</f>
        <v>55.3541350814101</v>
      </c>
      <c r="L4757" s="38" t="n">
        <f aca="false">Sens!$L$4753+Sens!$L$4754*Sens!$L$4756-Sens!$L$4755</f>
        <v>58.5884858144036</v>
      </c>
      <c r="M4757" s="38" t="n">
        <f aca="false">Sens!$M$4753+Sens!$M$4754*Sens!$M$4756-Sens!$M$4755</f>
        <v>63.995978953015</v>
      </c>
      <c r="N4757" s="38" t="n">
        <f aca="false">Q!$N$22</f>
        <v>13.358</v>
      </c>
      <c r="O4757" s="38" t="n">
        <f aca="false">Q!$O$22</f>
        <v>16.261</v>
      </c>
    </row>
    <row r="4758" customFormat="false" ht="17.15" hidden="false" customHeight="false" outlineLevel="0" collapsed="false">
      <c r="A4758" s="0" t="s">
        <v>720</v>
      </c>
      <c r="B4758" s="0" t="s">
        <v>86</v>
      </c>
      <c r="C4758" s="38" t="n">
        <f aca="false">Sens!$C$4660*m_ad</f>
        <v>7.57284355857716</v>
      </c>
      <c r="D4758" s="38" t="n">
        <f aca="false">Sens!$D$4660*m_ad</f>
        <v>9.44543827004127</v>
      </c>
      <c r="E4758" s="38" t="n">
        <f aca="false">Sens!$E$4660*m_ad</f>
        <v>5.02428875377928</v>
      </c>
      <c r="F4758" s="38" t="n">
        <f aca="false">Sens!$F$4660*m_ad</f>
        <v>6.50663858068173</v>
      </c>
      <c r="G4758" s="38" t="n">
        <f aca="false">Sens!$G$4660*m_ad</f>
        <v>11.5225190751659</v>
      </c>
      <c r="H4758" s="38" t="n">
        <f aca="false">Sens!$H$4660*m_ad</f>
        <v>13.8333728663174</v>
      </c>
      <c r="I4758" s="38" t="n">
        <f aca="false">Sens!$I$4660*m_ad</f>
        <v>16.1440173245485</v>
      </c>
      <c r="J4758" s="38" t="n">
        <f aca="false">Sens!$J$4660*m_ad</f>
        <v>18.2995185845066</v>
      </c>
      <c r="K4758" s="38" t="n">
        <f aca="false">Sens!$K$4660*m_ad</f>
        <v>20.1294704429572</v>
      </c>
      <c r="L4758" s="38" t="n">
        <f aca="false">Sens!$L$4660*m_ad</f>
        <v>22.142417487253</v>
      </c>
      <c r="M4758" s="38" t="n">
        <f aca="false">Sens!$M$4660*m_ad</f>
        <v>24.3566592359783</v>
      </c>
      <c r="N4758" s="38" t="n">
        <f aca="false">Sens!$N$4660*m_ad</f>
        <v>3.95314442937518</v>
      </c>
      <c r="O4758" s="38" t="n">
        <f aca="false">Sens!$O$4660*m_ad</f>
        <v>5.50052681786011</v>
      </c>
    </row>
    <row r="4759" customFormat="false" ht="17.15" hidden="false" customHeight="false" outlineLevel="0" collapsed="false">
      <c r="A4759" s="0" t="s">
        <v>721</v>
      </c>
      <c r="B4759" s="0" t="s">
        <v>86</v>
      </c>
      <c r="C4759" s="38" t="n">
        <f aca="false">Sens!$C$4658-Sens!$C$4660</f>
        <v>127.760312882846</v>
      </c>
      <c r="D4759" s="38" t="n">
        <f aca="false">Sens!$D$4658-Sens!$D$4660</f>
        <v>143.003123459917</v>
      </c>
      <c r="E4759" s="38" t="n">
        <f aca="false">Sens!$E$4658-Sens!$E$4660</f>
        <v>71.9374224924414</v>
      </c>
      <c r="F4759" s="38" t="n">
        <f aca="false">Sens!$F$4658-Sens!$F$4660</f>
        <v>85.3951910035875</v>
      </c>
      <c r="G4759" s="38" t="n">
        <f aca="false">Sens!$G$4658-Sens!$G$4660</f>
        <v>157.349430014619</v>
      </c>
      <c r="H4759" s="38" t="n">
        <f aca="false">Sens!$H$4658-Sens!$H$4660</f>
        <v>172.043153372315</v>
      </c>
      <c r="I4759" s="38" t="n">
        <f aca="false">Sens!$I$4658-Sens!$I$4660</f>
        <v>186.097493615879</v>
      </c>
      <c r="J4759" s="38" t="n">
        <f aca="false">Sens!$J$4658-Sens!$J$4660</f>
        <v>199.117932780497</v>
      </c>
      <c r="K4759" s="38" t="n">
        <f aca="false">Sens!$K$4658-Sens!$K$4660</f>
        <v>210.70928698363</v>
      </c>
      <c r="L4759" s="38" t="n">
        <f aca="false">Sens!$L$4658-Sens!$L$4660</f>
        <v>223.000532251316</v>
      </c>
      <c r="M4759" s="38" t="n">
        <f aca="false">Sens!$M$4658-Sens!$M$4660</f>
        <v>236.035261011339</v>
      </c>
      <c r="N4759" s="38" t="n">
        <f aca="false">Sens!$N$4658-Sens!$N$4660</f>
        <v>62.3677111412496</v>
      </c>
      <c r="O4759" s="38" t="n">
        <f aca="false">Sens!$O$4658-Sens!$O$4660</f>
        <v>80.6189463642798</v>
      </c>
    </row>
    <row r="4760" customFormat="false" ht="17.15" hidden="false" customHeight="false" outlineLevel="0" collapsed="false">
      <c r="A4760" s="0" t="s">
        <v>722</v>
      </c>
      <c r="B4760" s="0" t="s">
        <v>86</v>
      </c>
      <c r="C4760" s="38" t="n">
        <f aca="false">Sens!$C$4706*(1-Sens!$C$4656)</f>
        <v>0.0455891896019953</v>
      </c>
      <c r="D4760" s="38" t="n">
        <f aca="false">Sens!$D$4706*(1-Sens!$D$4656)</f>
        <v>0.332050421167231</v>
      </c>
      <c r="E4760" s="38" t="n">
        <f aca="false">Sens!$E$4706*(1-Sens!$E$4656)</f>
        <v>0.481224293644882</v>
      </c>
      <c r="F4760" s="38" t="n">
        <f aca="false">Sens!$F$4706*(1-Sens!$F$4656)</f>
        <v>0.596018918096053</v>
      </c>
      <c r="G4760" s="38" t="n">
        <f aca="false">Sens!$G$4706*(1-Sens!$G$4656)</f>
        <v>1.07691812241537</v>
      </c>
      <c r="H4760" s="38" t="n">
        <f aca="false">Sens!$H$4706*(1-Sens!$H$4656)</f>
        <v>2.83074090775622</v>
      </c>
      <c r="I4760" s="38" t="n">
        <f aca="false">Sens!$I$4706*(1-Sens!$I$4656)</f>
        <v>4.94108853926048</v>
      </c>
      <c r="J4760" s="38" t="n">
        <f aca="false">Sens!$J$4706*(1-Sens!$J$4656)</f>
        <v>7.10858281993502</v>
      </c>
      <c r="K4760" s="38" t="n">
        <f aca="false">Sens!$K$4706*(1-Sens!$K$4656)</f>
        <v>9.2298899126701</v>
      </c>
      <c r="L4760" s="38" t="n">
        <f aca="false">Sens!$L$4706*(1-Sens!$L$4656)</f>
        <v>10.6049688574045</v>
      </c>
      <c r="M4760" s="38" t="n">
        <f aca="false">Sens!$M$4706*(1-Sens!$M$4656)</f>
        <v>11.3853051574758</v>
      </c>
      <c r="N4760" s="38" t="n">
        <f aca="false">Sens!$N$4706*(1-Sens!$N$4656)</f>
        <v>0.141739115596548</v>
      </c>
      <c r="O4760" s="38" t="n">
        <f aca="false">Sens!$O$4706*(1-Sens!$O$4656)</f>
        <v>0.190445576353059</v>
      </c>
    </row>
    <row r="4761" customFormat="false" ht="17.15" hidden="false" customHeight="false" outlineLevel="0" collapsed="false">
      <c r="A4761" s="0" t="s">
        <v>723</v>
      </c>
      <c r="B4761" s="0" t="s">
        <v>52</v>
      </c>
      <c r="C4761" s="28" t="n">
        <f aca="false">(Sens!$C$4762-Sens!$C$4758+Sens!$C$4760)/Sens!$C$4759</f>
        <v>-0.0292364215826579</v>
      </c>
      <c r="D4761" s="28" t="n">
        <f aca="false">(Sens!$D$4762-Sens!$D$4758+Sens!$D$4760)/Sens!$D$4759</f>
        <v>-0.0305125352740778</v>
      </c>
      <c r="E4761" s="28" t="n">
        <f aca="false">(Sens!$E$4762-Sens!$E$4758+Sens!$E$4760)/Sens!$E$4759</f>
        <v>-0.019490056934994</v>
      </c>
      <c r="F4761" s="28" t="n">
        <f aca="false">Sens!$O$4761+(Sens!$E$4761-Sens!$N$4761)</f>
        <v>-0.0367332293992226</v>
      </c>
      <c r="G4761" s="28" t="n">
        <f aca="false">(Sens!$G$4762-Sens!$G$4758+Sens!$G$4760)/Sens!$G$4759</f>
        <v>-0.0287946542321067</v>
      </c>
      <c r="H4761" s="28" t="n">
        <f aca="false">Sens!$G$4761+step_in</f>
        <v>-0.0287946542321067</v>
      </c>
      <c r="I4761" s="28" t="n">
        <f aca="false">Sens!$H$4761+step_in</f>
        <v>-0.0287946542321067</v>
      </c>
      <c r="J4761" s="28" t="n">
        <f aca="false">Sens!$I$4761+step_in</f>
        <v>-0.0287946542321067</v>
      </c>
      <c r="K4761" s="28" t="n">
        <f aca="false">Sens!$J$4761+step_in</f>
        <v>-0.0287946542321067</v>
      </c>
      <c r="L4761" s="28" t="n">
        <f aca="false">Sens!$K$4761</f>
        <v>-0.0287946542321067</v>
      </c>
      <c r="M4761" s="28" t="n">
        <f aca="false">Sens!$L$4761</f>
        <v>-0.0287946542321067</v>
      </c>
      <c r="N4761" s="28" t="n">
        <f aca="false">(Sens!$N$4762-Sens!$N$4758+Sens!$N$4760)/Sens!$N$4759</f>
        <v>-0.02085061789158</v>
      </c>
      <c r="O4761" s="28" t="n">
        <f aca="false">(Sens!$O$4762-Sens!$O$4758+Sens!$O$4760)/Sens!$O$4759</f>
        <v>-0.0380937903558086</v>
      </c>
      <c r="P4761" s="8" t="s">
        <v>718</v>
      </c>
    </row>
    <row r="4762" customFormat="false" ht="17.15" hidden="false" customHeight="false" outlineLevel="0" collapsed="false">
      <c r="A4762" s="1" t="s">
        <v>724</v>
      </c>
      <c r="B4762" s="8" t="s">
        <v>86</v>
      </c>
      <c r="C4762" s="38" t="n">
        <f aca="false">Q!$D$23</f>
        <v>3.792</v>
      </c>
      <c r="D4762" s="38" t="n">
        <f aca="false">Q!$E$23</f>
        <v>4.75</v>
      </c>
      <c r="E4762" s="38" t="n">
        <f aca="false">Q!$P$23</f>
        <v>3.141</v>
      </c>
      <c r="F4762" s="38" t="n">
        <f aca="false">Sens!$F$4758+Sens!$F$4759*Sens!$F$4761-Sens!$F$4760</f>
        <v>2.77377852186047</v>
      </c>
      <c r="G4762" s="38" t="n">
        <f aca="false">Sens!$E$4762+Sens!$F$4762</f>
        <v>5.91477852186047</v>
      </c>
      <c r="H4762" s="38" t="n">
        <f aca="false">Sens!$H$4758+Sens!$H$4759*Sens!$H$4761-Sens!$H$4760</f>
        <v>6.04870884420403</v>
      </c>
      <c r="I4762" s="38" t="n">
        <f aca="false">Sens!$I$4758+Sens!$I$4759*Sens!$I$4761-Sens!$I$4760</f>
        <v>5.84431580315713</v>
      </c>
      <c r="J4762" s="38" t="n">
        <f aca="false">Sens!$J$4758+Sens!$J$4759*Sens!$J$4761-Sens!$J$4760</f>
        <v>5.45740373874528</v>
      </c>
      <c r="K4762" s="38" t="n">
        <f aca="false">Sens!$K$4758+Sens!$K$4759*Sens!$K$4761-Sens!$K$4760</f>
        <v>4.83227946809976</v>
      </c>
      <c r="L4762" s="38" t="n">
        <f aca="false">Sens!$L$4758+Sens!$L$4759*Sens!$L$4761-Sens!$L$4760</f>
        <v>5.11622541009601</v>
      </c>
      <c r="M4762" s="38" t="n">
        <f aca="false">Sens!$M$4758+Sens!$M$4759*Sens!$M$4761-Sens!$M$4760</f>
        <v>6.17480035109588</v>
      </c>
      <c r="N4762" s="38" t="n">
        <f aca="false">Q!$N$23</f>
        <v>2.511</v>
      </c>
      <c r="O4762" s="38" t="n">
        <f aca="false">Q!$O$23</f>
        <v>2.239</v>
      </c>
    </row>
    <row r="4763" customFormat="false" ht="17.15" hidden="false" customHeight="false" outlineLevel="0" collapsed="false">
      <c r="A4763" s="0" t="s">
        <v>725</v>
      </c>
      <c r="B4763" s="0" t="s">
        <v>86</v>
      </c>
      <c r="C4763" s="38" t="n">
        <f aca="false">Sens!$C$4703</f>
        <v>1.64417882953695</v>
      </c>
      <c r="D4763" s="38" t="n">
        <f aca="false">Sens!$D$4703</f>
        <v>3.8781008067718</v>
      </c>
      <c r="E4763" s="38" t="n">
        <f aca="false">Sens!$E$4703</f>
        <v>1.41270258088753</v>
      </c>
      <c r="F4763" s="38" t="n">
        <f aca="false">Sens!$F$4703</f>
        <v>6.50727700583486</v>
      </c>
      <c r="G4763" s="38" t="n">
        <f aca="false">Sens!$G$4703</f>
        <v>7.9199795867224</v>
      </c>
      <c r="H4763" s="38" t="n">
        <f aca="false">Sens!$H$4703</f>
        <v>19.2818189481807</v>
      </c>
      <c r="I4763" s="38" t="n">
        <f aca="false">Sens!$I$4703</f>
        <v>30.140114407202</v>
      </c>
      <c r="J4763" s="38" t="n">
        <f aca="false">Sens!$J$4703</f>
        <v>40.3569468829854</v>
      </c>
      <c r="K4763" s="38" t="n">
        <f aca="false">Sens!$K$4703</f>
        <v>45.1418609242305</v>
      </c>
      <c r="L4763" s="38" t="n">
        <f aca="false">Sens!$L$4703</f>
        <v>48.5617321668703</v>
      </c>
      <c r="M4763" s="38" t="n">
        <f aca="false">Sens!$M$4703</f>
        <v>48.3987625241529</v>
      </c>
      <c r="N4763" s="38" t="n">
        <f aca="false">Sens!$N$4703</f>
        <v>0.92264103489199</v>
      </c>
      <c r="O4763" s="38" t="n">
        <f aca="false">Sens!$O$4703</f>
        <v>2.95545977187981</v>
      </c>
    </row>
    <row r="4764" customFormat="false" ht="17.15" hidden="false" customHeight="false" outlineLevel="0" collapsed="false">
      <c r="A4764" s="0" t="s">
        <v>643</v>
      </c>
      <c r="B4764" s="0" t="s">
        <v>86</v>
      </c>
      <c r="C4764" s="38" t="n">
        <f aca="false">Sens!$C$4708</f>
        <v>38.1898211704631</v>
      </c>
      <c r="D4764" s="38" t="n">
        <f aca="false">Sens!$D$4708</f>
        <v>41.7278991932282</v>
      </c>
      <c r="E4764" s="38" t="n">
        <f aca="false">Sens!$E$4708</f>
        <v>29.3692974191125</v>
      </c>
      <c r="F4764" s="38" t="n">
        <f aca="false">Sens!$F$4708</f>
        <v>26.8997276714137</v>
      </c>
      <c r="G4764" s="38" t="n">
        <f aca="false">Sens!$G$4708</f>
        <v>56.2690250905262</v>
      </c>
      <c r="H4764" s="38" t="n">
        <f aca="false">Sens!$H$4708</f>
        <v>60.3505333937343</v>
      </c>
      <c r="I4764" s="38" t="n">
        <f aca="false">Sens!$I$4708</f>
        <v>67.0043857303571</v>
      </c>
      <c r="J4764" s="38" t="n">
        <f aca="false">Sens!$J$4708</f>
        <v>73.3782922956925</v>
      </c>
      <c r="K4764" s="38" t="n">
        <f aca="false">Sens!$K$4708</f>
        <v>79.2485556793479</v>
      </c>
      <c r="L4764" s="38" t="n">
        <f aca="false">Sens!$L$4708</f>
        <v>85.5884401336958</v>
      </c>
      <c r="M4764" s="38" t="n">
        <f aca="false">Sens!$M$4708</f>
        <v>92.4355153443914</v>
      </c>
      <c r="N4764" s="38" t="n">
        <f aca="false">Sens!$N$4708</f>
        <v>20.784358965108</v>
      </c>
      <c r="O4764" s="38" t="n">
        <f aca="false">Sens!$O$4708</f>
        <v>20.9435402281202</v>
      </c>
    </row>
    <row r="4765" customFormat="false" ht="17.15" hidden="false" customHeight="false" outlineLevel="0" collapsed="false">
      <c r="A4765" s="1" t="s">
        <v>726</v>
      </c>
      <c r="B4765" s="8" t="s">
        <v>86</v>
      </c>
      <c r="C4765" s="38" t="n">
        <f aca="false">Q!$D$24</f>
        <v>39.834</v>
      </c>
      <c r="D4765" s="38" t="n">
        <f aca="false">Q!$E$24</f>
        <v>45.606</v>
      </c>
      <c r="E4765" s="38" t="n">
        <f aca="false">Q!$P$24</f>
        <v>30.782</v>
      </c>
      <c r="F4765" s="38" t="n">
        <f aca="false">Sens!$F$4763+Sens!$F$4764</f>
        <v>33.4070046772486</v>
      </c>
      <c r="G4765" s="38" t="n">
        <f aca="false">Sens!$G$4763+Sens!$G$4764</f>
        <v>64.1890046772486</v>
      </c>
      <c r="H4765" s="38" t="n">
        <f aca="false">Sens!$H$4763+Sens!$H$4764</f>
        <v>79.6323523419149</v>
      </c>
      <c r="I4765" s="38" t="n">
        <f aca="false">Sens!$I$4763+Sens!$I$4764</f>
        <v>97.1445001375591</v>
      </c>
      <c r="J4765" s="38" t="n">
        <f aca="false">Sens!$J$4763+Sens!$J$4764</f>
        <v>113.735239178678</v>
      </c>
      <c r="K4765" s="38" t="n">
        <f aca="false">Sens!$K$4763+Sens!$K$4764</f>
        <v>124.390416603578</v>
      </c>
      <c r="L4765" s="38" t="n">
        <f aca="false">Sens!$L$4763+Sens!$L$4764</f>
        <v>134.150172300566</v>
      </c>
      <c r="M4765" s="38" t="n">
        <f aca="false">Sens!$M$4763+Sens!$M$4764</f>
        <v>140.834277868544</v>
      </c>
      <c r="N4765" s="38" t="n">
        <f aca="false">Q!$N$24</f>
        <v>21.707</v>
      </c>
      <c r="O4765" s="38" t="n">
        <f aca="false">Q!$O$24</f>
        <v>23.899</v>
      </c>
    </row>
    <row r="4766" customFormat="false" ht="17.15" hidden="false" customHeight="false" outlineLevel="0" collapsed="false">
      <c r="A4766" s="5" t="s">
        <v>727</v>
      </c>
      <c r="B4766" s="0" t="s">
        <v>86</v>
      </c>
      <c r="C4766" s="38" t="n">
        <f aca="false">Q!$D$26</f>
        <v>0</v>
      </c>
      <c r="D4766" s="38" t="n">
        <f aca="false">Q!$E$26</f>
        <v>0</v>
      </c>
      <c r="E4766" s="38" t="n">
        <f aca="false">Q!$P$26</f>
        <v>0</v>
      </c>
      <c r="F4766" s="39" t="n">
        <v>0</v>
      </c>
      <c r="G4766" s="38" t="n">
        <f aca="false">Sens!$E$4766+Sens!$F$4766</f>
        <v>0</v>
      </c>
      <c r="H4766" s="39" t="n">
        <v>0</v>
      </c>
      <c r="I4766" s="39" t="n">
        <v>0</v>
      </c>
      <c r="J4766" s="39" t="n">
        <v>0</v>
      </c>
      <c r="K4766" s="39" t="n">
        <v>0</v>
      </c>
      <c r="L4766" s="39" t="n">
        <v>0</v>
      </c>
      <c r="M4766" s="39" t="n">
        <v>0</v>
      </c>
      <c r="N4766" s="38" t="n">
        <f aca="false">Q!$N$26</f>
        <v>0</v>
      </c>
      <c r="O4766" s="38" t="n">
        <f aca="false">Q!$O$26</f>
        <v>0</v>
      </c>
    </row>
    <row r="4767" customFormat="false" ht="15" hidden="false" customHeight="false" outlineLevel="0" collapsed="false">
      <c r="A4767" s="3" t="s">
        <v>531</v>
      </c>
      <c r="B4767" s="8" t="s">
        <v>86</v>
      </c>
      <c r="C4767" s="38" t="n">
        <f aca="false">Q!$D$25</f>
        <v>68.593</v>
      </c>
      <c r="D4767" s="38" t="n">
        <f aca="false">Q!$E$25</f>
        <v>79.975</v>
      </c>
      <c r="E4767" s="38" t="n">
        <f aca="false">Q!$P$25</f>
        <v>51.313</v>
      </c>
      <c r="F4767" s="38" t="n">
        <f aca="false">Sens!$F$4757+Sens!$F$4762+Sens!$F$4765+Sens!$F$4766</f>
        <v>56.2888892369246</v>
      </c>
      <c r="G4767" s="38" t="n">
        <f aca="false">Sens!$G$4757+Sens!$G$4762+Sens!$G$4765+Sens!$G$4766</f>
        <v>107.601889236925</v>
      </c>
      <c r="H4767" s="38" t="n">
        <f aca="false">Sens!$H$4757+Sens!$H$4762+Sens!$H$4765+Sens!$H$4766</f>
        <v>128.28343769692</v>
      </c>
      <c r="I4767" s="38" t="n">
        <f aca="false">Sens!$I$4757+Sens!$I$4762+Sens!$I$4765+Sens!$I$4766</f>
        <v>150.162873661763</v>
      </c>
      <c r="J4767" s="38" t="n">
        <f aca="false">Sens!$J$4757+Sens!$J$4762+Sens!$J$4765+Sens!$J$4766</f>
        <v>170.7086671944</v>
      </c>
      <c r="K4767" s="38" t="n">
        <f aca="false">Sens!$K$4757+Sens!$K$4762+Sens!$K$4765+Sens!$K$4766</f>
        <v>184.576831153088</v>
      </c>
      <c r="L4767" s="38" t="n">
        <f aca="false">Sens!$L$4757+Sens!$L$4762+Sens!$L$4765+Sens!$L$4766</f>
        <v>197.854883525066</v>
      </c>
      <c r="M4767" s="38" t="n">
        <f aca="false">Sens!$M$4757+Sens!$M$4762+Sens!$M$4765+Sens!$M$4766</f>
        <v>211.005057172655</v>
      </c>
      <c r="N4767" s="38" t="n">
        <f aca="false">Q!$N$25</f>
        <v>37.576</v>
      </c>
      <c r="O4767" s="38" t="n">
        <f aca="false">Q!$O$25</f>
        <v>42.399</v>
      </c>
    </row>
    <row r="4768" customFormat="false" ht="17.15" hidden="false" customHeight="false" outlineLevel="0" collapsed="false">
      <c r="A4768" s="24" t="s">
        <v>758</v>
      </c>
      <c r="B4768" s="25" t="s">
        <v>86</v>
      </c>
      <c r="C4768" s="41" t="n">
        <f aca="false">Sens!$C$4757+Sens!$C$4762+Sens!$C$4765+Sens!$C$4766-Sens!$C$4767</f>
        <v>0</v>
      </c>
      <c r="D4768" s="41" t="n">
        <f aca="false">Sens!$D$4757+Sens!$D$4762+Sens!$D$4765+Sens!$D$4766-Sens!$D$4767</f>
        <v>0</v>
      </c>
      <c r="E4768" s="41" t="n">
        <f aca="false">Sens!$E$4757+Sens!$E$4762+Sens!$E$4765+Sens!$E$4766-Sens!$E$4767</f>
        <v>0</v>
      </c>
      <c r="F4768" s="41" t="n">
        <f aca="false">Sens!$F$4757+Sens!$F$4762+Sens!$F$4765+Sens!$F$4766-Sens!$F$4767</f>
        <v>0</v>
      </c>
      <c r="G4768" s="41" t="n">
        <f aca="false">Sens!$G$4757+Sens!$G$4762+Sens!$G$4765+Sens!$G$4766-Sens!$G$4767</f>
        <v>0</v>
      </c>
      <c r="H4768" s="41" t="n">
        <f aca="false">Sens!$H$4757+Sens!$H$4762+Sens!$H$4765+Sens!$H$4766-Sens!$H$4767</f>
        <v>0</v>
      </c>
      <c r="I4768" s="41" t="n">
        <f aca="false">Sens!$I$4757+Sens!$I$4762+Sens!$I$4765+Sens!$I$4766-Sens!$I$4767</f>
        <v>0</v>
      </c>
      <c r="J4768" s="41" t="n">
        <f aca="false">Sens!$J$4757+Sens!$J$4762+Sens!$J$4765+Sens!$J$4766-Sens!$J$4767</f>
        <v>0</v>
      </c>
      <c r="K4768" s="41" t="n">
        <f aca="false">Sens!$K$4757+Sens!$K$4762+Sens!$K$4765+Sens!$K$4766-Sens!$K$4767</f>
        <v>0</v>
      </c>
      <c r="L4768" s="41" t="n">
        <f aca="false">Sens!$L$4757+Sens!$L$4762+Sens!$L$4765+Sens!$L$4766-Sens!$L$4767</f>
        <v>0</v>
      </c>
      <c r="M4768" s="41" t="n">
        <f aca="false">Sens!$M$4757+Sens!$M$4762+Sens!$M$4765+Sens!$M$4766-Sens!$M$4767</f>
        <v>0</v>
      </c>
      <c r="N4768" s="41" t="n">
        <f aca="false">Sens!$N$4757+Sens!$N$4762+Sens!$N$4765+Sens!$N$4766-Sens!$N$4767</f>
        <v>0</v>
      </c>
      <c r="O4768" s="41" t="n">
        <f aca="false">Sens!$O$4757+Sens!$O$4762+Sens!$O$4765+Sens!$O$4766-Sens!$O$4767</f>
        <v>0</v>
      </c>
    </row>
    <row r="4769" customFormat="false" ht="17.15" hidden="false" customHeight="false" outlineLevel="0" collapsed="false">
      <c r="A4769" s="5" t="s">
        <v>729</v>
      </c>
      <c r="B4769" s="0" t="s">
        <v>86</v>
      </c>
      <c r="C4769" s="38" t="n">
        <f aca="false">Sens!$C$4705</f>
        <v>0</v>
      </c>
      <c r="D4769" s="38" t="n">
        <f aca="false">Sens!$D$4705</f>
        <v>0</v>
      </c>
      <c r="E4769" s="38" t="n">
        <f aca="false">Sens!$E$4705</f>
        <v>0</v>
      </c>
      <c r="F4769" s="38" t="n">
        <f aca="false">Sens!$F$4705</f>
        <v>3.77122048175818</v>
      </c>
      <c r="G4769" s="38" t="n">
        <f aca="false">Sens!$G$4705</f>
        <v>3.77122048175818</v>
      </c>
      <c r="H4769" s="38" t="n">
        <f aca="false">Sens!$H$4705</f>
        <v>15.1635543609893</v>
      </c>
      <c r="I4769" s="38" t="n">
        <f aca="false">Sens!$I$4705</f>
        <v>25.5818843619889</v>
      </c>
      <c r="J4769" s="38" t="n">
        <f aca="false">Sens!$J$4705</f>
        <v>36.0465624179122</v>
      </c>
      <c r="K4769" s="38" t="n">
        <f aca="false">Sens!$K$4705</f>
        <v>44.9741164026038</v>
      </c>
      <c r="L4769" s="38" t="n">
        <f aca="false">Sens!$L$4705</f>
        <v>50.8413488057813</v>
      </c>
      <c r="M4769" s="38" t="n">
        <f aca="false">Sens!$M$4705</f>
        <v>53.6407214274315</v>
      </c>
      <c r="N4769" s="38" t="n">
        <f aca="false">Sens!$N$4705</f>
        <v>0</v>
      </c>
      <c r="O4769" s="38" t="n">
        <f aca="false">Sens!$O$4705</f>
        <v>0</v>
      </c>
      <c r="P4769" s="5" t="s">
        <v>730</v>
      </c>
    </row>
    <row r="4770" customFormat="false" ht="17.15" hidden="false" customHeight="false" outlineLevel="0" collapsed="false">
      <c r="A4770" s="5" t="s">
        <v>731</v>
      </c>
      <c r="B4770" s="0" t="s">
        <v>86</v>
      </c>
      <c r="C4770" s="38" t="n">
        <f aca="false">Sens!$C$4767+Sens!$C$4769</f>
        <v>68.593</v>
      </c>
      <c r="D4770" s="38" t="n">
        <f aca="false">Sens!$D$4767+Sens!$D$4769</f>
        <v>79.975</v>
      </c>
      <c r="E4770" s="38" t="n">
        <f aca="false">Sens!$E$4767+Sens!$E$4769</f>
        <v>51.313</v>
      </c>
      <c r="F4770" s="38" t="n">
        <f aca="false">Sens!$F$4767+Sens!$F$4769</f>
        <v>60.0601097186828</v>
      </c>
      <c r="G4770" s="38" t="n">
        <f aca="false">Sens!$G$4767+Sens!$G$4769</f>
        <v>111.373109718683</v>
      </c>
      <c r="H4770" s="38" t="n">
        <f aca="false">Sens!$H$4767+Sens!$H$4769</f>
        <v>143.446992057909</v>
      </c>
      <c r="I4770" s="38" t="n">
        <f aca="false">Sens!$I$4767+Sens!$I$4769</f>
        <v>175.744758023752</v>
      </c>
      <c r="J4770" s="38" t="n">
        <f aca="false">Sens!$J$4767+Sens!$J$4769</f>
        <v>206.755229612312</v>
      </c>
      <c r="K4770" s="38" t="n">
        <f aca="false">Sens!$K$4767+Sens!$K$4769</f>
        <v>229.550947555692</v>
      </c>
      <c r="L4770" s="38" t="n">
        <f aca="false">Sens!$L$4767+Sens!$L$4769</f>
        <v>248.696232330847</v>
      </c>
      <c r="M4770" s="38" t="n">
        <f aca="false">Sens!$M$4767+Sens!$M$4769</f>
        <v>264.645778600087</v>
      </c>
      <c r="N4770" s="38" t="n">
        <f aca="false">Sens!$N$4767+Sens!$N$4769</f>
        <v>37.576</v>
      </c>
      <c r="O4770" s="38" t="n">
        <f aca="false">Sens!$O$4767+Sens!$O$4769</f>
        <v>42.399</v>
      </c>
    </row>
    <row r="4771" customFormat="false" ht="17.15" hidden="false" customHeight="false" outlineLevel="0" collapsed="false">
      <c r="A4771" s="0" t="s">
        <v>732</v>
      </c>
      <c r="B4771" s="0" t="s">
        <v>52</v>
      </c>
      <c r="C4771" s="13" t="n">
        <f aca="false">Sens!$C$4757/Sens!$C$4742</f>
        <v>0.0644314665661928</v>
      </c>
      <c r="D4771" s="13" t="n">
        <f aca="false">Sens!$D$4757/Sens!$D$4742</f>
        <v>0.0694784250712518</v>
      </c>
      <c r="E4771" s="13" t="n">
        <f aca="false">Sens!$E$4757/Sens!$E$4742</f>
        <v>0.0789306463326071</v>
      </c>
      <c r="F4771" s="13" t="n">
        <f aca="false">Sens!$F$4757/Sens!$F$4742</f>
        <v>0.0802271154277638</v>
      </c>
      <c r="G4771" s="13" t="n">
        <f aca="false">Sens!$G$4757/Sens!$G$4742</f>
        <v>0.0796206133714758</v>
      </c>
      <c r="H4771" s="13" t="n">
        <f aca="false">Sens!$H$4757/Sens!$H$4742</f>
        <v>0.0817097037207885</v>
      </c>
      <c r="I4771" s="13" t="n">
        <f aca="false">Sens!$I$4757/Sens!$I$4742</f>
        <v>0.082740621782945</v>
      </c>
      <c r="J4771" s="13" t="n">
        <f aca="false">Sens!$J$4757/Sens!$J$4742</f>
        <v>0.0837126116496602</v>
      </c>
      <c r="K4771" s="13" t="n">
        <f aca="false">Sens!$K$4757/Sens!$K$4742</f>
        <v>0.0844832722681444</v>
      </c>
      <c r="L4771" s="13" t="n">
        <f aca="false">Sens!$L$4757/Sens!$L$4742</f>
        <v>0.083960785355281</v>
      </c>
      <c r="M4771" s="13" t="n">
        <f aca="false">Sens!$M$4757/Sens!$M$4742</f>
        <v>0.0860856023172333</v>
      </c>
      <c r="N4771" s="13" t="n">
        <f aca="false">Sens!$N$4757/Sens!$N$4742</f>
        <v>0.069228576611127</v>
      </c>
      <c r="O4771" s="13" t="n">
        <f aca="false">Sens!$O$4757/Sens!$O$4742</f>
        <v>0.069685022498393</v>
      </c>
    </row>
    <row r="4772" customFormat="false" ht="17.15" hidden="false" customHeight="false" outlineLevel="0" collapsed="false">
      <c r="A4772" s="0" t="s">
        <v>733</v>
      </c>
      <c r="B4772" s="0" t="s">
        <v>52</v>
      </c>
      <c r="C4772" s="13" t="n">
        <f aca="false">Sens!$C$4762/Sens!$C$4743</f>
        <v>0.026534925055631</v>
      </c>
      <c r="D4772" s="13" t="n">
        <f aca="false">Sens!$D$4762/Sens!$D$4743</f>
        <v>0.0293401855535103</v>
      </c>
      <c r="E4772" s="13" t="n">
        <f aca="false">Sens!$E$4762/Sens!$E$4743</f>
        <v>0.03831141902276</v>
      </c>
      <c r="F4772" s="13" t="n">
        <f aca="false">Sens!$F$4762/Sens!$F$4743</f>
        <v>0.028186380436398</v>
      </c>
      <c r="G4772" s="13" t="n">
        <f aca="false">Sens!$G$4762/Sens!$G$4743</f>
        <v>0.0327880260521739</v>
      </c>
      <c r="H4772" s="13" t="n">
        <f aca="false">Sens!$H$4762/Sens!$H$4743</f>
        <v>0.0302874763409969</v>
      </c>
      <c r="I4772" s="13" t="n">
        <f aca="false">Sens!$I$4762/Sens!$I$4743</f>
        <v>0.0267614610253202</v>
      </c>
      <c r="J4772" s="13" t="n">
        <f aca="false">Sens!$J$4762/Sens!$J$4743</f>
        <v>0.0231523582706593</v>
      </c>
      <c r="K4772" s="13" t="n">
        <f aca="false">Sens!$K$4762/Sens!$K$4743</f>
        <v>0.0192545467174101</v>
      </c>
      <c r="L4772" s="13" t="n">
        <f aca="false">Sens!$L$4762/Sens!$L$4743</f>
        <v>0.0191414347264789</v>
      </c>
      <c r="M4772" s="13" t="n">
        <f aca="false">Sens!$M$4762/Sens!$M$4743</f>
        <v>0.0216850962428001</v>
      </c>
      <c r="N4772" s="13" t="n">
        <f aca="false">Sens!$N$4762/Sens!$N$4743</f>
        <v>0.0357315650169337</v>
      </c>
      <c r="O4772" s="13" t="n">
        <f aca="false">Sens!$O$4762/Sens!$O$4743</f>
        <v>0.0244378956559703</v>
      </c>
    </row>
    <row r="4773" customFormat="false" ht="17.15" hidden="false" customHeight="false" outlineLevel="0" collapsed="false">
      <c r="A4773" s="14" t="s">
        <v>734</v>
      </c>
      <c r="B4773" s="14" t="s">
        <v>52</v>
      </c>
      <c r="C4773" s="17" t="n">
        <f aca="false">Sens!$C$4765/Sens!$C$4744</f>
        <v>0.370355907620217</v>
      </c>
      <c r="D4773" s="17" t="n">
        <f aca="false">Sens!$D$4765/Sens!$D$4744</f>
        <v>0.35429015342785</v>
      </c>
      <c r="E4773" s="17" t="n">
        <f aca="false">Sens!$E$4765/Sens!$E$4744</f>
        <v>0.385647527531039</v>
      </c>
      <c r="F4773" s="17" t="n">
        <f aca="false">Sens!$F$4765/Sens!$F$4744</f>
        <v>0.385171818673936</v>
      </c>
      <c r="G4773" s="17" t="n">
        <f aca="false">Sens!$G$4765/Sens!$G$4744</f>
        <v>0.385399799520974</v>
      </c>
      <c r="H4773" s="17" t="n">
        <f aca="false">Sens!$H$4765/Sens!$H$4744</f>
        <v>0.360029314750347</v>
      </c>
      <c r="I4773" s="17" t="n">
        <f aca="false">Sens!$I$4765/Sens!$I$4744</f>
        <v>0.346606134604193</v>
      </c>
      <c r="J4773" s="17" t="n">
        <f aca="false">Sens!$J$4765/Sens!$J$4744</f>
        <v>0.335699297156574</v>
      </c>
      <c r="K4773" s="17" t="n">
        <f aca="false">Sens!$K$4765/Sens!$K$4744</f>
        <v>0.319043289183739</v>
      </c>
      <c r="L4773" s="17" t="n">
        <f aca="false">Sens!$L$4765/Sens!$L$4744</f>
        <v>0.311918613444893</v>
      </c>
      <c r="M4773" s="17" t="n">
        <f aca="false">Sens!$M$4765/Sens!$M$4744</f>
        <v>0.306523814127389</v>
      </c>
      <c r="N4773" s="17" t="n">
        <f aca="false">Sens!$N$4765/Sens!$N$4744</f>
        <v>0.360941137346192</v>
      </c>
      <c r="O4773" s="17" t="n">
        <f aca="false">Sens!$O$4765/Sens!$O$4744</f>
        <v>0.348458117664212</v>
      </c>
    </row>
    <row r="4774" customFormat="false" ht="17.15" hidden="false" customHeight="false" outlineLevel="0" collapsed="false">
      <c r="A4774" s="0" t="s">
        <v>735</v>
      </c>
      <c r="B4774" s="0" t="s">
        <v>52</v>
      </c>
      <c r="C4774" s="13" t="n">
        <f aca="false">Sens!$C$4763/Sens!$C$4745</f>
        <v>0.708390794789371</v>
      </c>
      <c r="D4774" s="13" t="n">
        <f aca="false">Sens!$D$4763/Sens!$D$4745</f>
        <v>0.445565630441968</v>
      </c>
      <c r="E4774" s="13" t="n">
        <f aca="false">Sens!$E$4763/Sens!$E$4745</f>
        <v>0.165998118402711</v>
      </c>
      <c r="F4774" s="13" t="n">
        <f aca="false">Sens!$F$4763/Sens!$F$4745</f>
        <v>0.434878595403858</v>
      </c>
      <c r="G4774" s="13" t="n">
        <f aca="false">Sens!$G$4763/Sens!$G$4745</f>
        <v>0.3373967615381</v>
      </c>
      <c r="H4774" s="13" t="n">
        <f aca="false">Sens!$H$4763/Sens!$H$4745</f>
        <v>0.320477578041224</v>
      </c>
      <c r="I4774" s="13" t="n">
        <f aca="false">Sens!$I$4763/Sens!$I$4745</f>
        <v>0.296936118226494</v>
      </c>
      <c r="J4774" s="13" t="n">
        <f aca="false">Sens!$J$4763/Sens!$J$4745</f>
        <v>0.282166278613001</v>
      </c>
      <c r="K4774" s="13" t="n">
        <f aca="false">Sens!$K$4763/Sens!$K$4745</f>
        <v>0.252969102881543</v>
      </c>
      <c r="L4774" s="13" t="n">
        <f aca="false">Sens!$L$4763/Sens!$L$4745</f>
        <v>0.240728642826566</v>
      </c>
      <c r="M4774" s="13" t="n">
        <f aca="false">Sens!$M$4763/Sens!$M$4745</f>
        <v>0.227399920863147</v>
      </c>
      <c r="N4774" s="13" t="n">
        <f aca="false">Sens!$N$4763/Sens!$N$4745</f>
        <v>0.302870734830849</v>
      </c>
      <c r="O4774" s="13" t="n">
        <f aca="false">Sens!$O$4763/Sens!$O$4745</f>
        <v>0.52240134346334</v>
      </c>
    </row>
    <row r="4775" customFormat="false" ht="15" hidden="false" customHeight="false" outlineLevel="0" collapsed="false">
      <c r="A4775" s="5" t="s">
        <v>736</v>
      </c>
      <c r="B4775" s="0" t="s">
        <v>52</v>
      </c>
      <c r="C4775" s="13" t="n">
        <f aca="false">Sens!$C$4767/Sens!$C$4747</f>
        <v>0.107519448742004</v>
      </c>
      <c r="D4775" s="13" t="n">
        <f aca="false">Sens!$D$4767/Sens!$D$4747</f>
        <v>0.111552967957552</v>
      </c>
      <c r="E4775" s="13" t="n">
        <f aca="false">Sens!$E$4767/Sens!$E$4747</f>
        <v>0.13428328426562</v>
      </c>
      <c r="F4775" s="13" t="n">
        <f aca="false">Sens!$F$4767/Sens!$F$4747</f>
        <v>0.129167844525589</v>
      </c>
      <c r="G4775" s="13" t="n">
        <f aca="false">Sens!$G$4767/Sens!$G$4747</f>
        <v>0.131557773771988</v>
      </c>
      <c r="H4775" s="13" t="n">
        <f aca="false">Sens!$H$4767/Sens!$H$4747</f>
        <v>0.136141547223184</v>
      </c>
      <c r="I4775" s="13" t="n">
        <f aca="false">Sens!$I$4767/Sens!$I$4747</f>
        <v>0.140496326042168</v>
      </c>
      <c r="J4775" s="13" t="n">
        <f aca="false">Sens!$J$4767/Sens!$J$4747</f>
        <v>0.14346358994468</v>
      </c>
      <c r="K4775" s="13" t="n">
        <f aca="false">Sens!$K$4767/Sens!$K$4747</f>
        <v>0.14241356417197</v>
      </c>
      <c r="L4775" s="13" t="n">
        <f aca="false">Sens!$L$4767/Sens!$L$4747</f>
        <v>0.141813789875442</v>
      </c>
      <c r="M4775" s="13" t="n">
        <f aca="false">Sens!$M$4767/Sens!$M$4747</f>
        <v>0.141842208519038</v>
      </c>
      <c r="N4775" s="13" t="n">
        <f aca="false">Sens!$N$4767/Sens!$N$4747</f>
        <v>0.116201614873411</v>
      </c>
      <c r="O4775" s="13" t="n">
        <f aca="false">Sens!$O$4767/Sens!$O$4747</f>
        <v>0.107733353660861</v>
      </c>
    </row>
    <row r="4776" customFormat="false" ht="17.15" hidden="false" customHeight="false" outlineLevel="0" collapsed="false">
      <c r="A4776" s="1" t="s">
        <v>737</v>
      </c>
    </row>
    <row r="4777" customFormat="false" ht="17.15" hidden="false" customHeight="false" outlineLevel="0" collapsed="false">
      <c r="A4777" s="5" t="s">
        <v>738</v>
      </c>
      <c r="B4777" s="0" t="s">
        <v>52</v>
      </c>
      <c r="D4777" s="28" t="n">
        <f aca="false">(Q!$E$29+Q!$E$30-(1-ext_sh)*Sens!$D$4699)/Sens!$D$4655</f>
        <v>0.0334674312393194</v>
      </c>
    </row>
    <row r="4778" customFormat="false" ht="17.15" hidden="false" customHeight="false" outlineLevel="0" collapsed="false">
      <c r="A4778" s="0" t="s">
        <v>535</v>
      </c>
      <c r="B4778" s="0" t="s">
        <v>86</v>
      </c>
      <c r="C4778" s="38" t="n">
        <f aca="false">Q!$D$29</f>
        <v>14.285</v>
      </c>
      <c r="D4778" s="38" t="n">
        <f aca="false">Q!$E$29</f>
        <v>15.503</v>
      </c>
      <c r="E4778" s="38" t="n">
        <f aca="false">Q!$P$29</f>
        <v>8.78</v>
      </c>
      <c r="F4778" s="38" t="n">
        <f aca="false">(Sens!$D$4777*Sens!$F$4655+(1-ext_sh)*Sens!$F$4699)*Sens!$F$4656</f>
        <v>9.32404990199157</v>
      </c>
      <c r="G4778" s="38" t="n">
        <f aca="false">Sens!$E$4778+Sens!$F$4778</f>
        <v>18.1040499019916</v>
      </c>
      <c r="H4778" s="38" t="n">
        <f aca="false">(Sens!$D$4777*Sens!$H$4655+(1-ext_sh)*Sens!$H$4699)*Sens!$H$4656</f>
        <v>22.5533556752937</v>
      </c>
      <c r="I4778" s="38" t="n">
        <f aca="false">(Sens!$D$4777*Sens!$I$4655+(1-ext_sh)*Sens!$I$4699)*Sens!$I$4656</f>
        <v>28.1941479903215</v>
      </c>
      <c r="J4778" s="38" t="n">
        <f aca="false">(Sens!$D$4777*Sens!$J$4655+(1-ext_sh)*Sens!$J$4699)*Sens!$J$4656</f>
        <v>33.8639126241465</v>
      </c>
      <c r="K4778" s="38" t="n">
        <f aca="false">(Sens!$D$4777*Sens!$K$4655+(1-ext_sh)*Sens!$K$4699)*Sens!$K$4656</f>
        <v>39.4516429979446</v>
      </c>
      <c r="L4778" s="38" t="n">
        <f aca="false">(Sens!$D$4777*Sens!$L$4655+(1-ext_sh)*Sens!$L$4699)*Sens!$L$4656</f>
        <v>43.6240799619622</v>
      </c>
      <c r="M4778" s="38" t="n">
        <f aca="false">(Sens!$D$4777*Sens!$M$4655+(1-ext_sh)*Sens!$M$4699)*Sens!$M$4656</f>
        <v>46.7841679303704</v>
      </c>
      <c r="N4778" s="38" t="n">
        <f aca="false">Q!$N$29</f>
        <v>7.272</v>
      </c>
      <c r="O4778" s="38" t="n">
        <f aca="false">Q!$O$29</f>
        <v>8.231</v>
      </c>
    </row>
    <row r="4779" customFormat="false" ht="17.15" hidden="false" customHeight="false" outlineLevel="0" collapsed="false">
      <c r="A4779" s="0" t="s">
        <v>537</v>
      </c>
      <c r="B4779" s="0" t="s">
        <v>86</v>
      </c>
      <c r="C4779" s="38" t="n">
        <f aca="false">Q!$D$30</f>
        <v>4.462</v>
      </c>
      <c r="D4779" s="38" t="n">
        <f aca="false">Q!$E$30</f>
        <v>4.907</v>
      </c>
      <c r="E4779" s="38" t="n">
        <f aca="false">Q!$P$30</f>
        <v>2.57</v>
      </c>
      <c r="F4779" s="38" t="n">
        <f aca="false">(Sens!$D$4777*Sens!$F$4655+(1-ext_sh)*Sens!$F$4699)*(1-Sens!$F$4656)</f>
        <v>3.66089330199472</v>
      </c>
      <c r="G4779" s="38" t="n">
        <f aca="false">Sens!$E$4779+Sens!$F$4779</f>
        <v>6.23089330199472</v>
      </c>
      <c r="H4779" s="38" t="n">
        <f aca="false">(Sens!$D$4777*Sens!$H$4655+(1-ext_sh)*Sens!$H$4699)*(1-Sens!$H$4656)</f>
        <v>8.63874333111657</v>
      </c>
      <c r="I4779" s="38" t="n">
        <f aca="false">(Sens!$D$4777*Sens!$I$4655+(1-ext_sh)*Sens!$I$4699)*(1-Sens!$I$4656)</f>
        <v>10.7993689025494</v>
      </c>
      <c r="J4779" s="38" t="n">
        <f aca="false">(Sens!$D$4777*Sens!$J$4655+(1-ext_sh)*Sens!$J$4699)*(1-Sens!$J$4656)</f>
        <v>12.9710919101865</v>
      </c>
      <c r="K4779" s="38" t="n">
        <f aca="false">(Sens!$D$4777*Sens!$K$4655+(1-ext_sh)*Sens!$K$4699)*(1-Sens!$K$4656)</f>
        <v>15.1113928568702</v>
      </c>
      <c r="L4779" s="38" t="n">
        <f aca="false">(Sens!$D$4777*Sens!$L$4655+(1-ext_sh)*Sens!$L$4699)*(1-Sens!$L$4656)</f>
        <v>16.7095857163433</v>
      </c>
      <c r="M4779" s="38" t="n">
        <f aca="false">(Sens!$D$4777*Sens!$M$4655+(1-ext_sh)*Sens!$M$4699)*(1-Sens!$M$4656)</f>
        <v>17.9200126371023</v>
      </c>
      <c r="N4779" s="38" t="n">
        <f aca="false">Q!$N$30</f>
        <v>2.316</v>
      </c>
      <c r="O4779" s="38" t="n">
        <f aca="false">Q!$O$30</f>
        <v>2.591</v>
      </c>
    </row>
    <row r="4780" customFormat="false" ht="17.15" hidden="false" customHeight="false" outlineLevel="0" collapsed="false">
      <c r="A4780" s="0" t="s">
        <v>538</v>
      </c>
      <c r="B4780" s="0" t="s">
        <v>86</v>
      </c>
      <c r="C4780" s="38" t="n">
        <f aca="false">Sens!$C$4711</f>
        <v>13.32</v>
      </c>
      <c r="D4780" s="38" t="n">
        <f aca="false">Sens!$D$4711</f>
        <v>21.45</v>
      </c>
      <c r="E4780" s="38" t="n">
        <f aca="false">Sens!$E$4711</f>
        <v>15.353</v>
      </c>
      <c r="F4780" s="38" t="n">
        <f aca="false">Sens!$F$4711</f>
        <v>16.3063747611001</v>
      </c>
      <c r="G4780" s="38" t="n">
        <f aca="false">Sens!$G$4711</f>
        <v>31.6593747611001</v>
      </c>
      <c r="H4780" s="38" t="n">
        <f aca="false">Sens!$H$4711</f>
        <v>53.124242092105</v>
      </c>
      <c r="I4780" s="38" t="n">
        <f aca="false">Sens!$I$4711</f>
        <v>78.046828098133</v>
      </c>
      <c r="J4780" s="38" t="n">
        <f aca="false">Sens!$J$4711</f>
        <v>103.663976940352</v>
      </c>
      <c r="K4780" s="38" t="n">
        <f aca="false">Sens!$K$4711</f>
        <v>129.625086115469</v>
      </c>
      <c r="L4780" s="38" t="n">
        <f aca="false">Sens!$L$4711</f>
        <v>147.435052382502</v>
      </c>
      <c r="M4780" s="38" t="n">
        <f aca="false">Sens!$M$4711</f>
        <v>159.299754080279</v>
      </c>
      <c r="N4780" s="38" t="n">
        <f aca="false">Sens!$N$4711</f>
        <v>9.234</v>
      </c>
      <c r="O4780" s="38" t="n">
        <f aca="false">Sens!$O$4711</f>
        <v>12.216</v>
      </c>
    </row>
    <row r="4781" customFormat="false" ht="17.15" hidden="false" customHeight="false" outlineLevel="0" collapsed="false">
      <c r="A4781" s="5" t="s">
        <v>739</v>
      </c>
      <c r="B4781" s="0" t="s">
        <v>86</v>
      </c>
      <c r="C4781" s="38" t="n">
        <f aca="false">Sens!$C$4778+Sens!$C$4779+Sens!$C$4780</f>
        <v>32.067</v>
      </c>
      <c r="D4781" s="38" t="n">
        <f aca="false">Sens!$D$4778+Sens!$D$4779+Sens!$D$4780</f>
        <v>41.86</v>
      </c>
      <c r="E4781" s="38" t="n">
        <f aca="false">Sens!$E$4778+Sens!$E$4779+Sens!$E$4780</f>
        <v>26.703</v>
      </c>
      <c r="F4781" s="38" t="n">
        <f aca="false">Sens!$F$4778+Sens!$F$4779+Sens!$F$4780</f>
        <v>29.2913179650864</v>
      </c>
      <c r="G4781" s="38" t="n">
        <f aca="false">Sens!$G$4778+Sens!$G$4779+Sens!$G$4780</f>
        <v>55.9943179650864</v>
      </c>
      <c r="H4781" s="38" t="n">
        <f aca="false">Sens!$H$4778+Sens!$H$4779+Sens!$H$4780</f>
        <v>84.3163410985152</v>
      </c>
      <c r="I4781" s="38" t="n">
        <f aca="false">Sens!$I$4778+Sens!$I$4779+Sens!$I$4780</f>
        <v>117.040344991004</v>
      </c>
      <c r="J4781" s="38" t="n">
        <f aca="false">Sens!$J$4778+Sens!$J$4779+Sens!$J$4780</f>
        <v>150.498981474685</v>
      </c>
      <c r="K4781" s="38" t="n">
        <f aca="false">Sens!$K$4778+Sens!$K$4779+Sens!$K$4780</f>
        <v>184.188121970284</v>
      </c>
      <c r="L4781" s="38" t="n">
        <f aca="false">Sens!$L$4778+Sens!$L$4779+Sens!$L$4780</f>
        <v>207.768718060808</v>
      </c>
      <c r="M4781" s="38" t="n">
        <f aca="false">Sens!$M$4778+Sens!$M$4779+Sens!$M$4780</f>
        <v>224.003934647752</v>
      </c>
      <c r="N4781" s="38" t="n">
        <f aca="false">Sens!$N$4778+Sens!$N$4779+Sens!$N$4780</f>
        <v>18.822</v>
      </c>
      <c r="O4781" s="38" t="n">
        <f aca="false">Sens!$O$4778+Sens!$O$4779+Sens!$O$4780</f>
        <v>23.038</v>
      </c>
    </row>
    <row r="4782" customFormat="false" ht="17.15" hidden="false" customHeight="false" outlineLevel="0" collapsed="false">
      <c r="A4782" s="0" t="s">
        <v>740</v>
      </c>
      <c r="B4782" s="0" t="s">
        <v>86</v>
      </c>
      <c r="C4782" s="38" t="n">
        <f aca="false">Sens!$C$4753+Sens!$C$4758</f>
        <v>28.107</v>
      </c>
      <c r="D4782" s="38" t="n">
        <f aca="false">Sens!$D$4753+Sens!$D$4758</f>
        <v>34.3175</v>
      </c>
      <c r="E4782" s="38" t="n">
        <f aca="false">Sens!$E$4753+Sens!$E$4758</f>
        <v>18.526</v>
      </c>
      <c r="F4782" s="38" t="n">
        <f aca="false">Sens!$F$4753+Sens!$F$4758</f>
        <v>23.0786109972074</v>
      </c>
      <c r="G4782" s="38" t="n">
        <f aca="false">Sens!$G$4753+Sens!$G$4758</f>
        <v>41.6046109972074</v>
      </c>
      <c r="H4782" s="38" t="n">
        <f aca="false">Sens!$H$4753+Sens!$H$4758</f>
        <v>49.9484611939488</v>
      </c>
      <c r="I4782" s="38" t="n">
        <f aca="false">Sens!$I$4753+Sens!$I$4758</f>
        <v>58.2915555477481</v>
      </c>
      <c r="J4782" s="38" t="n">
        <f aca="false">Sens!$J$4753+Sens!$J$4758</f>
        <v>66.0744709709759</v>
      </c>
      <c r="K4782" s="38" t="n">
        <f aca="false">Sens!$K$4753+Sens!$K$4758</f>
        <v>72.6819180680735</v>
      </c>
      <c r="L4782" s="38" t="n">
        <f aca="false">Sens!$L$4753+Sens!$L$4758</f>
        <v>79.9501098748808</v>
      </c>
      <c r="M4782" s="38" t="n">
        <f aca="false">Sens!$M$4753+Sens!$M$4758</f>
        <v>87.9451208623689</v>
      </c>
      <c r="N4782" s="38" t="n">
        <f aca="false">Sens!$N$4753+Sens!$N$4758</f>
        <v>14.8075</v>
      </c>
      <c r="O4782" s="38" t="n">
        <f aca="false">Sens!$O$4753+Sens!$O$4758</f>
        <v>19.51</v>
      </c>
    </row>
    <row r="4783" customFormat="false" ht="17.15" hidden="false" customHeight="false" outlineLevel="0" collapsed="false">
      <c r="A4783" s="0" t="s">
        <v>741</v>
      </c>
      <c r="B4783" s="0" t="s">
        <v>86</v>
      </c>
      <c r="C4783" s="38" t="n">
        <f aca="false">Sens!$C$4757+Sens!$C$4762+Sens!$C$4778+Sens!$C$4779-Sens!$C$4782</f>
        <v>19.399</v>
      </c>
      <c r="D4783" s="38" t="n">
        <f aca="false">Sens!$D$4757+Sens!$D$4762+Sens!$D$4778+Sens!$D$4779-Sens!$D$4782</f>
        <v>20.4615</v>
      </c>
      <c r="E4783" s="38" t="n">
        <f aca="false">Sens!$E$4757+Sens!$E$4762+Sens!$E$4778+Sens!$E$4779-Sens!$E$4782</f>
        <v>13.355</v>
      </c>
      <c r="F4783" s="38" t="n">
        <f aca="false">Sens!$F$4757+Sens!$F$4762+Sens!$F$4778+Sens!$F$4779-Sens!$F$4782</f>
        <v>12.7882167664549</v>
      </c>
      <c r="G4783" s="38" t="n">
        <f aca="false">Sens!$G$4757+Sens!$G$4762+Sens!$G$4778+Sens!$G$4779-Sens!$G$4782</f>
        <v>26.1432167664549</v>
      </c>
      <c r="H4783" s="38" t="n">
        <f aca="false">Sens!$H$4757+Sens!$H$4762+Sens!$H$4778+Sens!$H$4779-Sens!$H$4782</f>
        <v>29.8947231674661</v>
      </c>
      <c r="I4783" s="38" t="n">
        <f aca="false">Sens!$I$4757+Sens!$I$4762+Sens!$I$4778+Sens!$I$4779-Sens!$I$4782</f>
        <v>33.7203348693263</v>
      </c>
      <c r="J4783" s="38" t="n">
        <f aca="false">Sens!$J$4757+Sens!$J$4762+Sens!$J$4778+Sens!$J$4779-Sens!$J$4782</f>
        <v>37.7339615790792</v>
      </c>
      <c r="K4783" s="38" t="n">
        <f aca="false">Sens!$K$4757+Sens!$K$4762+Sens!$K$4778+Sens!$K$4779-Sens!$K$4782</f>
        <v>42.0675323362513</v>
      </c>
      <c r="L4783" s="38" t="n">
        <f aca="false">Sens!$L$4757+Sens!$L$4762+Sens!$L$4778+Sens!$L$4779-Sens!$L$4782</f>
        <v>44.0882670279242</v>
      </c>
      <c r="M4783" s="38" t="n">
        <f aca="false">Sens!$M$4757+Sens!$M$4762+Sens!$M$4778+Sens!$M$4779-Sens!$M$4782</f>
        <v>46.9298390092146</v>
      </c>
      <c r="N4783" s="38" t="n">
        <f aca="false">Sens!$N$4757+Sens!$N$4762+Sens!$N$4778+Sens!$N$4779-Sens!$N$4782</f>
        <v>10.6495</v>
      </c>
      <c r="O4783" s="38" t="n">
        <f aca="false">Sens!$O$4757+Sens!$O$4762+Sens!$O$4778+Sens!$O$4779-Sens!$O$4782</f>
        <v>9.81200000000001</v>
      </c>
    </row>
    <row r="4784" customFormat="false" ht="17.15" hidden="false" customHeight="false" outlineLevel="0" collapsed="false">
      <c r="A4784" s="0" t="s">
        <v>742</v>
      </c>
      <c r="B4784" s="0" t="s">
        <v>86</v>
      </c>
      <c r="C4784" s="38" t="n">
        <f aca="false">Sens!$C$4764+Sens!$C$4780-ext_sh*Sens!$C$4699</f>
        <v>51.3470500115664</v>
      </c>
      <c r="D4784" s="38" t="n">
        <f aca="false">Sens!$D$4764+Sens!$D$4780-ext_sh*Sens!$D$4699</f>
        <v>60.2799375433739</v>
      </c>
      <c r="E4784" s="38" t="n">
        <f aca="false">Sens!$E$4764+Sens!$E$4780-ext_sh*Sens!$E$4699</f>
        <v>39.5095167090767</v>
      </c>
      <c r="F4784" s="38" t="n">
        <f aca="false">Sens!$F$4764+Sens!$F$4780-ext_sh*Sens!$F$4699</f>
        <v>37.993321722478</v>
      </c>
      <c r="G4784" s="38" t="n">
        <f aca="false">Sens!$G$4764+Sens!$G$4780-ext_sh*Sens!$G$4699</f>
        <v>77.5028384315548</v>
      </c>
      <c r="H4784" s="38" t="n">
        <f aca="false">Sens!$H$4764+Sens!$H$4780-ext_sh*Sens!$H$4699</f>
        <v>85.2394217279746</v>
      </c>
      <c r="I4784" s="38" t="n">
        <f aca="false">Sens!$I$4764+Sens!$I$4780-ext_sh*Sens!$I$4699</f>
        <v>94.6373589713254</v>
      </c>
      <c r="J4784" s="38" t="n">
        <f aca="false">Sens!$J$4764+Sens!$J$4780-ext_sh*Sens!$J$4699</f>
        <v>103.639899284146</v>
      </c>
      <c r="K4784" s="38" t="n">
        <f aca="false">Sens!$K$4764+Sens!$K$4780-ext_sh*Sens!$K$4699</f>
        <v>111.931091226878</v>
      </c>
      <c r="L4784" s="38" t="n">
        <f aca="false">Sens!$L$4764+Sens!$L$4780-ext_sh*Sens!$L$4699</f>
        <v>120.885578525028</v>
      </c>
      <c r="M4784" s="38" t="n">
        <f aca="false">Sens!$M$4764+Sens!$M$4780-ext_sh*Sens!$M$4699</f>
        <v>130.55642480703</v>
      </c>
      <c r="N4784" s="38" t="n">
        <f aca="false">Sens!$N$4764+Sens!$N$4780-ext_sh*Sens!$N$4699</f>
        <v>28.5693781401809</v>
      </c>
      <c r="O4784" s="38" t="n">
        <f aca="false">Sens!$O$4764+Sens!$O$4780-ext_sh*Sens!$O$4699</f>
        <v>31.7105594031931</v>
      </c>
    </row>
    <row r="4785" customFormat="false" ht="17.15" hidden="false" customHeight="false" outlineLevel="0" collapsed="false">
      <c r="A4785" s="0" t="s">
        <v>743</v>
      </c>
      <c r="B4785" s="0" t="s">
        <v>86</v>
      </c>
      <c r="C4785" s="38" t="n">
        <f aca="false">Sens!$C$4702</f>
        <v>1.80694998843362</v>
      </c>
      <c r="D4785" s="38" t="n">
        <f aca="false">Sens!$D$4702</f>
        <v>6.77606245662607</v>
      </c>
      <c r="E4785" s="38" t="n">
        <f aca="false">Sens!$E$4702</f>
        <v>6.62548329092326</v>
      </c>
      <c r="F4785" s="38" t="n">
        <f aca="false">Sens!$F$4702</f>
        <v>11.7200577158706</v>
      </c>
      <c r="G4785" s="38" t="n">
        <f aca="false">Sens!$G$4702</f>
        <v>18.3455410067939</v>
      </c>
      <c r="H4785" s="38" t="n">
        <f aca="false">Sens!$H$4702</f>
        <v>47.5171727060453</v>
      </c>
      <c r="I4785" s="38" t="n">
        <f aca="false">Sens!$I$4702</f>
        <v>80.5539692643667</v>
      </c>
      <c r="J4785" s="38" t="n">
        <f aca="false">Sens!$J$4702</f>
        <v>113.759316834883</v>
      </c>
      <c r="K4785" s="38" t="n">
        <f aca="false">Sens!$K$4702</f>
        <v>142.084411492169</v>
      </c>
      <c r="L4785" s="38" t="n">
        <f aca="false">Sens!$L$4702</f>
        <v>160.69964615804</v>
      </c>
      <c r="M4785" s="38" t="n">
        <f aca="false">Sens!$M$4702</f>
        <v>169.577607141793</v>
      </c>
      <c r="N4785" s="38" t="n">
        <f aca="false">Sens!$N$4702</f>
        <v>2.37162185981912</v>
      </c>
      <c r="O4785" s="38" t="n">
        <f aca="false">Sens!$O$4702</f>
        <v>4.40444059680694</v>
      </c>
    </row>
    <row r="4786" customFormat="false" ht="17.15" hidden="false" customHeight="false" outlineLevel="0" collapsed="false">
      <c r="A4786" s="0" t="s">
        <v>744</v>
      </c>
      <c r="B4786" s="0" t="s">
        <v>86</v>
      </c>
      <c r="C4786" s="38" t="n">
        <f aca="false">Sens!$C$4767+Sens!$C$4781</f>
        <v>100.66</v>
      </c>
      <c r="D4786" s="38" t="n">
        <f aca="false">Sens!$D$4767+Sens!$D$4781</f>
        <v>121.835</v>
      </c>
      <c r="E4786" s="38" t="n">
        <f aca="false">Sens!$E$4767+Sens!$E$4781</f>
        <v>78.016</v>
      </c>
      <c r="F4786" s="38" t="n">
        <f aca="false">Sens!$F$4767+Sens!$F$4781</f>
        <v>85.580207202011</v>
      </c>
      <c r="G4786" s="38" t="n">
        <f aca="false">Sens!$G$4767+Sens!$G$4781</f>
        <v>163.596207202011</v>
      </c>
      <c r="H4786" s="38" t="n">
        <f aca="false">Sens!$H$4767+Sens!$H$4781</f>
        <v>212.599778795435</v>
      </c>
      <c r="I4786" s="38" t="n">
        <f aca="false">Sens!$I$4767+Sens!$I$4781</f>
        <v>267.203218652767</v>
      </c>
      <c r="J4786" s="38" t="n">
        <f aca="false">Sens!$J$4767+Sens!$J$4781</f>
        <v>321.207648669085</v>
      </c>
      <c r="K4786" s="38" t="n">
        <f aca="false">Sens!$K$4767+Sens!$K$4781</f>
        <v>368.764953123372</v>
      </c>
      <c r="L4786" s="38" t="n">
        <f aca="false">Sens!$L$4767+Sens!$L$4781</f>
        <v>405.623601585874</v>
      </c>
      <c r="M4786" s="38" t="n">
        <f aca="false">Sens!$M$4767+Sens!$M$4781</f>
        <v>435.008991820407</v>
      </c>
      <c r="N4786" s="38" t="n">
        <f aca="false">Sens!$N$4767+Sens!$N$4781</f>
        <v>56.398</v>
      </c>
      <c r="O4786" s="38" t="n">
        <f aca="false">Sens!$O$4767+Sens!$O$4781</f>
        <v>65.437</v>
      </c>
    </row>
    <row r="4787" customFormat="false" ht="17.15" hidden="false" customHeight="false" outlineLevel="0" collapsed="false">
      <c r="A4787" s="1" t="s">
        <v>745</v>
      </c>
    </row>
    <row r="4788" customFormat="false" ht="15" hidden="false" customHeight="false" outlineLevel="0" collapsed="false">
      <c r="A4788" s="5" t="s">
        <v>541</v>
      </c>
      <c r="B4788" s="0" t="s">
        <v>86</v>
      </c>
      <c r="C4788" s="38" t="n">
        <f aca="false">Q!$D$34</f>
        <v>2.406</v>
      </c>
      <c r="D4788" s="38" t="n">
        <f aca="false">Q!$E$34</f>
        <v>2.274</v>
      </c>
      <c r="E4788" s="38" t="n">
        <f aca="false">Q!$P$34</f>
        <v>2.114</v>
      </c>
      <c r="F4788" s="38" t="n">
        <f aca="false">Sens!$F$4826</f>
        <v>3.24888962733561</v>
      </c>
      <c r="G4788" s="38" t="n">
        <f aca="false">Sens!$E$4788+Sens!$F$4788</f>
        <v>5.36288962733561</v>
      </c>
      <c r="H4788" s="38" t="n">
        <f aca="false">Sens!$H$4826</f>
        <v>7.42354172302123</v>
      </c>
      <c r="I4788" s="38" t="n">
        <f aca="false">Sens!$I$4826</f>
        <v>8.22268575413918</v>
      </c>
      <c r="J4788" s="38" t="n">
        <f aca="false">Sens!$J$4826</f>
        <v>9.05051073924374</v>
      </c>
      <c r="K4788" s="38" t="n">
        <f aca="false">Sens!$K$4826</f>
        <v>9.05051073924374</v>
      </c>
      <c r="L4788" s="38" t="n">
        <f aca="false">Sens!$L$4826</f>
        <v>9.05051073924374</v>
      </c>
      <c r="M4788" s="38" t="n">
        <f aca="false">Sens!$M$4826</f>
        <v>9.05051073924374</v>
      </c>
      <c r="N4788" s="38" t="n">
        <f aca="false">Q!$N$34</f>
        <v>1.057</v>
      </c>
      <c r="O4788" s="38" t="n">
        <f aca="false">Q!$O$34</f>
        <v>1.217</v>
      </c>
    </row>
    <row r="4789" customFormat="false" ht="15" hidden="false" customHeight="false" outlineLevel="0" collapsed="false">
      <c r="A4789" s="5" t="s">
        <v>746</v>
      </c>
      <c r="B4789" s="0" t="s">
        <v>86</v>
      </c>
      <c r="F4789" s="38" t="n">
        <f aca="false">Sens!$F$4827</f>
        <v>2.59</v>
      </c>
      <c r="H4789" s="38" t="n">
        <f aca="false">Sens!$H$4827</f>
        <v>3.80133635330174</v>
      </c>
      <c r="I4789" s="38" t="n">
        <f aca="false">Sens!$I$4827</f>
        <v>2.10589651022864</v>
      </c>
      <c r="J4789" s="38" t="n">
        <f aca="false">Sens!$J$4827</f>
        <v>2.10589651022864</v>
      </c>
      <c r="K4789" s="38" t="n">
        <f aca="false">Sens!$K$4827</f>
        <v>3.31924083245705</v>
      </c>
      <c r="L4789" s="38" t="n">
        <f aca="false">Sens!$L$4827</f>
        <v>8.67393352964492</v>
      </c>
      <c r="M4789" s="38" t="n">
        <f aca="false">Sens!$M$4827</f>
        <v>16.5133918692818</v>
      </c>
    </row>
    <row r="4790" customFormat="false" ht="17.15" hidden="false" customHeight="false" outlineLevel="0" collapsed="false">
      <c r="A4790" s="5" t="s">
        <v>747</v>
      </c>
      <c r="B4790" s="0" t="s">
        <v>86</v>
      </c>
      <c r="C4790" s="38" t="n">
        <f aca="false">Q!$D$39</f>
        <v>2.427</v>
      </c>
      <c r="D4790" s="38" t="n">
        <f aca="false">Q!$E$39</f>
        <v>19.61</v>
      </c>
      <c r="E4790" s="38" t="n">
        <f aca="false">Q!$P$39</f>
        <v>71.492</v>
      </c>
      <c r="F4790" s="39" t="n">
        <v>0</v>
      </c>
      <c r="G4790" s="38" t="n">
        <f aca="false">Sens!$E$4790+Sens!$F$4790</f>
        <v>71.492</v>
      </c>
      <c r="H4790" s="39" t="n">
        <v>0</v>
      </c>
      <c r="I4790" s="39" t="n">
        <v>0</v>
      </c>
      <c r="J4790" s="39" t="n">
        <v>0</v>
      </c>
      <c r="K4790" s="39" t="n">
        <v>0</v>
      </c>
      <c r="L4790" s="39" t="n">
        <v>0</v>
      </c>
      <c r="M4790" s="39" t="n">
        <v>0</v>
      </c>
      <c r="N4790" s="38" t="n">
        <f aca="false">Q!$N$39</f>
        <v>6.017</v>
      </c>
      <c r="O4790" s="38" t="n">
        <f aca="false">Q!$O$39</f>
        <v>13.593</v>
      </c>
      <c r="P4790" s="5" t="s">
        <v>748</v>
      </c>
    </row>
    <row r="4791" customFormat="false" ht="15" hidden="false" customHeight="false" outlineLevel="0" collapsed="false">
      <c r="A4791" s="5" t="s">
        <v>544</v>
      </c>
      <c r="B4791" s="0" t="s">
        <v>86</v>
      </c>
      <c r="C4791" s="38" t="n">
        <f aca="false">Q!$D$36</f>
        <v>68.614</v>
      </c>
      <c r="D4791" s="38" t="n">
        <f aca="false">Q!$E$36</f>
        <v>97.311</v>
      </c>
      <c r="E4791" s="38" t="n">
        <f aca="false">Q!$P$36</f>
        <v>120.691</v>
      </c>
      <c r="F4791" s="38" t="n">
        <f aca="false">Sens!$F$4767-Sens!$F$4788+Sens!$F$4789+Sens!$F$4790</f>
        <v>55.629999609589</v>
      </c>
      <c r="G4791" s="38" t="n">
        <f aca="false">Sens!$E$4791+Sens!$F$4791</f>
        <v>176.320999609589</v>
      </c>
      <c r="H4791" s="38" t="n">
        <f aca="false">Sens!$H$4767-Sens!$H$4788+Sens!$H$4789+Sens!$H$4790</f>
        <v>124.6612323272</v>
      </c>
      <c r="I4791" s="38" t="n">
        <f aca="false">Sens!$I$4767-Sens!$I$4788+Sens!$I$4789+Sens!$I$4790</f>
        <v>144.046084417852</v>
      </c>
      <c r="J4791" s="38" t="n">
        <f aca="false">Sens!$J$4767-Sens!$J$4788+Sens!$J$4789+Sens!$J$4790</f>
        <v>163.764052965385</v>
      </c>
      <c r="K4791" s="38" t="n">
        <f aca="false">Sens!$K$4767-Sens!$K$4788+Sens!$K$4789+Sens!$K$4790</f>
        <v>178.845561246302</v>
      </c>
      <c r="L4791" s="38" t="n">
        <f aca="false">Sens!$L$4767-Sens!$L$4788+Sens!$L$4789+Sens!$L$4790</f>
        <v>197.478306315467</v>
      </c>
      <c r="M4791" s="38" t="n">
        <f aca="false">Sens!$M$4767-Sens!$M$4788+Sens!$M$4789+Sens!$M$4790</f>
        <v>218.467938302693</v>
      </c>
      <c r="N4791" s="38" t="n">
        <f aca="false">Q!$N$36</f>
        <v>42.536</v>
      </c>
      <c r="O4791" s="38" t="n">
        <f aca="false">Q!$O$36</f>
        <v>54.775</v>
      </c>
    </row>
    <row r="4792" customFormat="false" ht="15" hidden="false" customHeight="false" outlineLevel="0" collapsed="false">
      <c r="A4792" s="5" t="s">
        <v>545</v>
      </c>
      <c r="B4792" s="0" t="s">
        <v>86</v>
      </c>
      <c r="C4792" s="38" t="n">
        <f aca="false">Q!$D$37</f>
        <v>9.265</v>
      </c>
      <c r="D4792" s="38" t="n">
        <f aca="false">Q!$E$37</f>
        <v>19.087</v>
      </c>
      <c r="E4792" s="38" t="n">
        <f aca="false">Q!$P$37</f>
        <v>27.759</v>
      </c>
      <c r="F4792" s="38" t="n">
        <f aca="false">Sens!$F$4791*tax</f>
        <v>9.65650714815835</v>
      </c>
      <c r="G4792" s="38" t="n">
        <f aca="false">Sens!$E$4792+Sens!$F$4792</f>
        <v>37.4155071481584</v>
      </c>
      <c r="H4792" s="38" t="n">
        <f aca="false">Sens!$H$4791*tax</f>
        <v>21.6392610015108</v>
      </c>
      <c r="I4792" s="38" t="n">
        <f aca="false">Sens!$I$4791*tax</f>
        <v>25.0041713752852</v>
      </c>
      <c r="J4792" s="38" t="n">
        <f aca="false">Sens!$J$4791*tax</f>
        <v>28.4269056115369</v>
      </c>
      <c r="K4792" s="38" t="n">
        <f aca="false">Sens!$K$4791*tax</f>
        <v>31.0448220872109</v>
      </c>
      <c r="L4792" s="38" t="n">
        <f aca="false">Sens!$L$4791*tax</f>
        <v>34.2791783196922</v>
      </c>
      <c r="M4792" s="38" t="n">
        <f aca="false">Sens!$M$4791*tax</f>
        <v>37.9226536521445</v>
      </c>
      <c r="N4792" s="38" t="n">
        <f aca="false">Q!$N$37</f>
        <v>7.231</v>
      </c>
      <c r="O4792" s="38" t="n">
        <f aca="false">Q!$O$37</f>
        <v>11.856</v>
      </c>
    </row>
    <row r="4793" customFormat="false" ht="15" hidden="false" customHeight="false" outlineLevel="0" collapsed="false">
      <c r="A4793" s="3" t="s">
        <v>546</v>
      </c>
      <c r="B4793" s="8" t="s">
        <v>86</v>
      </c>
      <c r="C4793" s="38" t="n">
        <f aca="false">Q!$D$38</f>
        <v>59.248</v>
      </c>
      <c r="D4793" s="38" t="n">
        <f aca="false">Q!$E$38</f>
        <v>77.67</v>
      </c>
      <c r="E4793" s="38" t="n">
        <f aca="false">Q!$P$38</f>
        <v>92.902</v>
      </c>
      <c r="F4793" s="38" t="n">
        <f aca="false">Sens!$F$4791-Sens!$F$4792</f>
        <v>45.9734924614306</v>
      </c>
      <c r="G4793" s="38" t="n">
        <f aca="false">Sens!$E$4793+Sens!$F$4793</f>
        <v>138.875492461431</v>
      </c>
      <c r="H4793" s="38" t="n">
        <f aca="false">Sens!$H$4791-Sens!$H$4792</f>
        <v>103.021971325689</v>
      </c>
      <c r="I4793" s="38" t="n">
        <f aca="false">Sens!$I$4791-Sens!$I$4792</f>
        <v>119.041913042567</v>
      </c>
      <c r="J4793" s="38" t="n">
        <f aca="false">Sens!$J$4791-Sens!$J$4792</f>
        <v>135.337147353848</v>
      </c>
      <c r="K4793" s="38" t="n">
        <f aca="false">Sens!$K$4791-Sens!$K$4792</f>
        <v>147.800739159091</v>
      </c>
      <c r="L4793" s="38" t="n">
        <f aca="false">Sens!$L$4791-Sens!$L$4792</f>
        <v>163.199127995775</v>
      </c>
      <c r="M4793" s="38" t="n">
        <f aca="false">Sens!$M$4791-Sens!$M$4792</f>
        <v>180.545284650549</v>
      </c>
      <c r="N4793" s="38" t="n">
        <f aca="false">Q!$N$38</f>
        <v>35.291</v>
      </c>
      <c r="O4793" s="38" t="n">
        <f aca="false">Q!$O$38</f>
        <v>42.379</v>
      </c>
    </row>
    <row r="4794" customFormat="false" ht="17.15" hidden="false" customHeight="false" outlineLevel="0" collapsed="false">
      <c r="A4794" s="5" t="s">
        <v>549</v>
      </c>
      <c r="B4794" s="5" t="s">
        <v>33</v>
      </c>
      <c r="C4794" s="22" t="n">
        <f aca="false">Q!$D$41</f>
        <v>10.721</v>
      </c>
      <c r="D4794" s="22" t="n">
        <f aca="false">Q!$E$41</f>
        <v>10.827</v>
      </c>
      <c r="E4794" s="22" t="n">
        <f aca="false">(Q!$L$41+Q!$M$41)/2</f>
        <v>10.8885</v>
      </c>
      <c r="F4794" s="22" t="n">
        <f aca="false">Sens!$G$4794</f>
        <v>10.924806</v>
      </c>
      <c r="G4794" s="22" t="n">
        <f aca="false">Q!$M$41*(1+sh_g*0.25)</f>
        <v>10.924806</v>
      </c>
      <c r="H4794" s="22" t="n">
        <f aca="false">Sens!$G$4794*(1+sh_g)</f>
        <v>11.012204448</v>
      </c>
      <c r="I4794" s="22" t="n">
        <f aca="false">Sens!$H$4794*(1+sh_g)</f>
        <v>11.100302083584</v>
      </c>
      <c r="J4794" s="22" t="n">
        <f aca="false">Sens!$I$4794*(1+sh_g)</f>
        <v>11.1891045002527</v>
      </c>
      <c r="K4794" s="22" t="n">
        <f aca="false">Sens!$J$4794*(1+sh_g)</f>
        <v>11.2786173362547</v>
      </c>
      <c r="L4794" s="22" t="n">
        <f aca="false">Sens!$K$4794*(1+sh_g)</f>
        <v>11.3688462749447</v>
      </c>
      <c r="M4794" s="22" t="n">
        <f aca="false">Sens!$L$4794*(1+sh_g)</f>
        <v>11.4597970451443</v>
      </c>
      <c r="P4794" s="5" t="s">
        <v>749</v>
      </c>
    </row>
    <row r="4795" customFormat="false" ht="17.15" hidden="false" customHeight="false" outlineLevel="0" collapsed="false">
      <c r="A4795" s="5" t="s">
        <v>750</v>
      </c>
      <c r="B4795" s="0" t="s">
        <v>86</v>
      </c>
      <c r="C4795" s="38" t="n">
        <f aca="false">Sens!$C$4793+Sens!$C$4769*(1-tax)</f>
        <v>59.248</v>
      </c>
      <c r="D4795" s="38" t="n">
        <f aca="false">Sens!$D$4793+Sens!$D$4769*(1-tax)</f>
        <v>77.67</v>
      </c>
      <c r="E4795" s="38" t="n">
        <f aca="false">Sens!$E$4793+Sens!$E$4769*(1-tax)</f>
        <v>92.902</v>
      </c>
      <c r="F4795" s="38" t="n">
        <f aca="false">Sens!$F$4793+Sens!$F$4769*(1-tax)</f>
        <v>49.0900874210793</v>
      </c>
      <c r="G4795" s="38" t="n">
        <f aca="false">Sens!$G$4793+Sens!$G$4769*(1-tax)</f>
        <v>141.992087421079</v>
      </c>
      <c r="H4795" s="38" t="n">
        <f aca="false">Sens!$H$4793+Sens!$H$4769*(1-tax)</f>
        <v>115.553367281034</v>
      </c>
      <c r="I4795" s="38" t="n">
        <f aca="false">Sens!$I$4793+Sens!$I$4769*(1-tax)</f>
        <v>140.183178117506</v>
      </c>
      <c r="J4795" s="38" t="n">
        <f aca="false">Sens!$J$4793+Sens!$J$4769*(1-tax)</f>
        <v>165.126584298132</v>
      </c>
      <c r="K4795" s="38" t="n">
        <f aca="false">Sens!$K$4793+Sens!$K$4769*(1-tax)</f>
        <v>184.96804485575</v>
      </c>
      <c r="L4795" s="38" t="n">
        <f aca="false">Sens!$L$4793+Sens!$L$4769*(1-tax)</f>
        <v>205.21520533633</v>
      </c>
      <c r="M4795" s="38" t="n">
        <f aca="false">Sens!$M$4793+Sens!$M$4769*(1-tax)</f>
        <v>224.874806841389</v>
      </c>
      <c r="N4795" s="38" t="n">
        <f aca="false">Sens!$N$4793+Sens!$N$4769*(1-tax)</f>
        <v>35.291</v>
      </c>
      <c r="O4795" s="38" t="n">
        <f aca="false">Sens!$O$4793+Sens!$O$4769*(1-tax)</f>
        <v>42.379</v>
      </c>
    </row>
    <row r="4796" customFormat="false" ht="17.15" hidden="false" customHeight="false" outlineLevel="0" collapsed="false">
      <c r="A4796" s="43" t="s">
        <v>751</v>
      </c>
      <c r="B4796" s="14" t="s">
        <v>27</v>
      </c>
      <c r="C4796" s="44" t="n">
        <f aca="false">Sens!$C$4795/Sens!$C$4794</f>
        <v>5.52635015390355</v>
      </c>
      <c r="D4796" s="44" t="n">
        <f aca="false">Sens!$D$4795/Sens!$D$4794</f>
        <v>7.1737323358271</v>
      </c>
      <c r="E4796" s="44" t="n">
        <f aca="false">Sens!$E$4795/Sens!$E$4794</f>
        <v>8.53212104513937</v>
      </c>
      <c r="F4796" s="14"/>
      <c r="G4796" s="44" t="n">
        <f aca="false">Sens!$G$4795/Sens!$G$4794</f>
        <v>12.9972182042481</v>
      </c>
      <c r="H4796" s="44" t="n">
        <f aca="false">Sens!$H$4795/Sens!$H$4794</f>
        <v>10.4932094047728</v>
      </c>
      <c r="I4796" s="44" t="n">
        <f aca="false">Sens!$I$4795/Sens!$I$4794</f>
        <v>12.6287714570237</v>
      </c>
      <c r="J4796" s="44" t="n">
        <f aca="false">Sens!$J$4795/Sens!$J$4794</f>
        <v>14.7578016001551</v>
      </c>
      <c r="K4796" s="44" t="n">
        <f aca="false">Sens!$K$4795/Sens!$K$4794</f>
        <v>16.3998865588938</v>
      </c>
      <c r="L4796" s="44" t="n">
        <f aca="false">Sens!$L$4795/Sens!$L$4794</f>
        <v>18.0506623428091</v>
      </c>
      <c r="M4796" s="44" t="n">
        <f aca="false">Sens!$M$4795/Sens!$M$4794</f>
        <v>19.6229310131345</v>
      </c>
      <c r="N4796" s="14"/>
      <c r="O4796" s="14"/>
    </row>
    <row r="4797" customFormat="false" ht="17.15" hidden="false" customHeight="false" outlineLevel="0" collapsed="false">
      <c r="A4797" s="0" t="s">
        <v>752</v>
      </c>
      <c r="B4797" s="0" t="s">
        <v>27</v>
      </c>
      <c r="C4797" s="30" t="n">
        <f aca="false">Sens!$C$4793/Sens!$C$4794</f>
        <v>5.52635015390355</v>
      </c>
      <c r="D4797" s="30" t="n">
        <f aca="false">Sens!$D$4793/Sens!$D$4794</f>
        <v>7.1737323358271</v>
      </c>
      <c r="E4797" s="30" t="n">
        <f aca="false">Sens!$E$4793/Sens!$E$4794</f>
        <v>8.53212104513937</v>
      </c>
      <c r="G4797" s="30" t="n">
        <f aca="false">Sens!$G$4793/Sens!$G$4794</f>
        <v>12.7119412886078</v>
      </c>
      <c r="H4797" s="30" t="n">
        <f aca="false">Sens!$H$4793/Sens!$H$4794</f>
        <v>9.35525414663</v>
      </c>
      <c r="I4797" s="30" t="n">
        <f aca="false">Sens!$I$4793/Sens!$I$4794</f>
        <v>10.7242048140848</v>
      </c>
      <c r="J4797" s="30" t="n">
        <f aca="false">Sens!$J$4793/Sens!$J$4794</f>
        <v>12.095440466285</v>
      </c>
      <c r="K4797" s="30" t="n">
        <f aca="false">Sens!$K$4793/Sens!$K$4794</f>
        <v>13.1045087134919</v>
      </c>
      <c r="L4797" s="30" t="n">
        <f aca="false">Sens!$L$4793/Sens!$L$4794</f>
        <v>14.3549419218942</v>
      </c>
      <c r="M4797" s="30" t="n">
        <f aca="false">Sens!$M$4793/Sens!$M$4794</f>
        <v>15.754666853114</v>
      </c>
    </row>
    <row r="4798" customFormat="false" ht="17.15" hidden="false" customHeight="false" outlineLevel="0" collapsed="false">
      <c r="A4798" s="0" t="s">
        <v>753</v>
      </c>
      <c r="B4798" s="0" t="s">
        <v>27</v>
      </c>
      <c r="C4798" s="30" t="n">
        <f aca="false">(Sens!$C$4793-Sens!$C$4790*(1-tax))/Sens!$C$4794</f>
        <v>5.33926775917445</v>
      </c>
      <c r="D4798" s="30" t="n">
        <f aca="false">(Sens!$D$4793-Sens!$D$4790*(1-tax))/Sens!$D$4794</f>
        <v>5.67691812755503</v>
      </c>
      <c r="E4798" s="30" t="n">
        <f aca="false">(Sens!$E$4793-Sens!$E$4790*(1-tax))/Sens!$E$4794</f>
        <v>3.10602057006846</v>
      </c>
      <c r="G4798" s="30" t="n">
        <f aca="false">(Sens!$G$4793-Sens!$G$4790*(1-tax))/Sens!$G$4794</f>
        <v>7.30387317071086</v>
      </c>
      <c r="H4798" s="30" t="n">
        <f aca="false">(Sens!$H$4793-Sens!$H$4790*(1-tax))/Sens!$H$4794</f>
        <v>9.35525414663</v>
      </c>
      <c r="I4798" s="30" t="n">
        <f aca="false">(Sens!$I$4793-Sens!$I$4790*(1-tax))/Sens!$I$4794</f>
        <v>10.7242048140848</v>
      </c>
      <c r="J4798" s="30" t="n">
        <f aca="false">(Sens!$J$4793-Sens!$J$4790*(1-tax))/Sens!$J$4794</f>
        <v>12.095440466285</v>
      </c>
      <c r="K4798" s="30" t="n">
        <f aca="false">(Sens!$K$4793-Sens!$K$4790*(1-tax))/Sens!$K$4794</f>
        <v>13.1045087134919</v>
      </c>
      <c r="L4798" s="30" t="n">
        <f aca="false">(Sens!$L$4793-Sens!$L$4790*(1-tax))/Sens!$L$4794</f>
        <v>14.3549419218942</v>
      </c>
      <c r="M4798" s="30" t="n">
        <f aca="false">(Sens!$M$4793-Sens!$M$4790*(1-tax))/Sens!$M$4794</f>
        <v>15.754666853114</v>
      </c>
      <c r="P4798" s="5" t="s">
        <v>754</v>
      </c>
    </row>
    <row r="4799" customFormat="false" ht="17.15" hidden="false" customHeight="false" outlineLevel="0" collapsed="false">
      <c r="A4799" s="0" t="s">
        <v>755</v>
      </c>
      <c r="B4799" s="0" t="s">
        <v>52</v>
      </c>
      <c r="H4799" s="13" t="n">
        <f aca="false">Sens!$H$4796/Sens!$G$4796-1</f>
        <v>-0.192657287130636</v>
      </c>
      <c r="I4799" s="13" t="n">
        <f aca="false">Sens!$I$4796/Sens!$H$4796-1</f>
        <v>0.203518482274791</v>
      </c>
      <c r="J4799" s="13" t="n">
        <f aca="false">Sens!$J$4796/Sens!$I$4796-1</f>
        <v>0.168585689461292</v>
      </c>
      <c r="K4799" s="13" t="n">
        <f aca="false">Sens!$K$4796/Sens!$J$4796-1</f>
        <v>0.111268941216922</v>
      </c>
      <c r="L4799" s="13" t="n">
        <f aca="false">Sens!$L$4796/Sens!$K$4796-1</f>
        <v>0.10065775625869</v>
      </c>
      <c r="M4799" s="13" t="n">
        <f aca="false">Sens!$M$4796/Sens!$L$4796-1</f>
        <v>0.0871031012860215</v>
      </c>
    </row>
    <row r="4802" customFormat="false" ht="19.4" hidden="false" customHeight="false" outlineLevel="0" collapsed="false">
      <c r="A4802" s="31" t="s">
        <v>1225</v>
      </c>
    </row>
    <row r="4803" customFormat="false" ht="17.15" hidden="false" customHeight="false" outlineLevel="0" collapsed="false">
      <c r="A4803" s="6" t="s">
        <v>16</v>
      </c>
      <c r="B4803" s="6" t="s">
        <v>17</v>
      </c>
      <c r="C4803" s="20" t="s">
        <v>494</v>
      </c>
      <c r="D4803" s="20" t="s">
        <v>495</v>
      </c>
      <c r="E4803" s="20" t="s">
        <v>577</v>
      </c>
      <c r="F4803" s="20" t="s">
        <v>578</v>
      </c>
      <c r="G4803" s="20" t="s">
        <v>579</v>
      </c>
      <c r="H4803" s="20" t="s">
        <v>580</v>
      </c>
      <c r="I4803" s="20" t="s">
        <v>581</v>
      </c>
      <c r="J4803" s="20" t="s">
        <v>582</v>
      </c>
      <c r="K4803" s="20" t="s">
        <v>583</v>
      </c>
      <c r="L4803" s="20" t="s">
        <v>584</v>
      </c>
      <c r="M4803" s="20" t="s">
        <v>585</v>
      </c>
      <c r="N4803" s="20" t="s">
        <v>586</v>
      </c>
      <c r="O4803" s="20" t="s">
        <v>587</v>
      </c>
      <c r="P4803" s="6" t="s">
        <v>23</v>
      </c>
      <c r="R4803" s="20" t="n">
        <v>2023</v>
      </c>
      <c r="S4803" s="20" t="n">
        <v>2024</v>
      </c>
      <c r="T4803" s="20" t="n">
        <v>2025</v>
      </c>
      <c r="U4803" s="20" t="n">
        <v>2026</v>
      </c>
      <c r="V4803" s="20" t="n">
        <v>2027</v>
      </c>
      <c r="W4803" s="20" t="n">
        <v>2028</v>
      </c>
      <c r="X4803" s="20" t="n">
        <v>2029</v>
      </c>
      <c r="Y4803" s="20" t="n">
        <v>2030</v>
      </c>
      <c r="Z4803" s="20" t="n">
        <v>2031</v>
      </c>
      <c r="AA4803" s="20" t="n">
        <v>2032</v>
      </c>
    </row>
    <row r="4804" customFormat="false" ht="15" hidden="false" customHeight="false" outlineLevel="0" collapsed="false">
      <c r="A4804" s="5" t="s">
        <v>546</v>
      </c>
      <c r="B4804" s="0" t="s">
        <v>86</v>
      </c>
      <c r="C4804" s="38" t="n">
        <f aca="false">Sens!$C$4793</f>
        <v>59.248</v>
      </c>
      <c r="D4804" s="38" t="n">
        <f aca="false">Sens!$D$4793</f>
        <v>77.67</v>
      </c>
      <c r="E4804" s="38" t="n">
        <f aca="false">Sens!$E$4793</f>
        <v>92.902</v>
      </c>
      <c r="F4804" s="38" t="n">
        <f aca="false">Sens!$F$4793</f>
        <v>45.9734924614306</v>
      </c>
      <c r="G4804" s="38" t="n">
        <f aca="false">Sens!$G$4793</f>
        <v>138.875492461431</v>
      </c>
      <c r="H4804" s="38" t="n">
        <f aca="false">Sens!$H$4793</f>
        <v>103.021971325689</v>
      </c>
      <c r="I4804" s="38" t="n">
        <f aca="false">Sens!$I$4793</f>
        <v>119.041913042567</v>
      </c>
      <c r="J4804" s="38" t="n">
        <f aca="false">Sens!$J$4793</f>
        <v>135.337147353848</v>
      </c>
      <c r="K4804" s="38" t="n">
        <f aca="false">Sens!$K$4793</f>
        <v>147.800739159091</v>
      </c>
      <c r="L4804" s="38" t="n">
        <f aca="false">Sens!$L$4793</f>
        <v>163.199127995775</v>
      </c>
      <c r="M4804" s="38" t="n">
        <f aca="false">Sens!$M$4793</f>
        <v>180.545284650549</v>
      </c>
    </row>
    <row r="4805" customFormat="false" ht="17.15" hidden="false" customHeight="false" outlineLevel="0" collapsed="false">
      <c r="A4805" s="5" t="s">
        <v>778</v>
      </c>
      <c r="B4805" s="0" t="s">
        <v>86</v>
      </c>
      <c r="C4805" s="38" t="n">
        <f aca="false">Sens!$C$4781</f>
        <v>32.067</v>
      </c>
      <c r="D4805" s="38" t="n">
        <f aca="false">Sens!$D$4781</f>
        <v>41.86</v>
      </c>
      <c r="E4805" s="38" t="n">
        <f aca="false">Sens!$E$4781</f>
        <v>26.703</v>
      </c>
      <c r="F4805" s="38" t="n">
        <f aca="false">Sens!$F$4781</f>
        <v>29.2913179650864</v>
      </c>
      <c r="G4805" s="38" t="n">
        <f aca="false">Sens!$G$4781</f>
        <v>55.9943179650864</v>
      </c>
      <c r="H4805" s="38" t="n">
        <f aca="false">Sens!$H$4781</f>
        <v>84.3163410985152</v>
      </c>
      <c r="I4805" s="38" t="n">
        <f aca="false">Sens!$I$4781</f>
        <v>117.040344991004</v>
      </c>
      <c r="J4805" s="38" t="n">
        <f aca="false">Sens!$J$4781</f>
        <v>150.498981474685</v>
      </c>
      <c r="K4805" s="38" t="n">
        <f aca="false">Sens!$K$4781</f>
        <v>184.188121970284</v>
      </c>
      <c r="L4805" s="38" t="n">
        <f aca="false">Sens!$L$4781</f>
        <v>207.768718060808</v>
      </c>
      <c r="M4805" s="38" t="n">
        <f aca="false">Sens!$M$4781</f>
        <v>224.003934647752</v>
      </c>
    </row>
    <row r="4806" customFormat="false" ht="15" hidden="false" customHeight="false" outlineLevel="0" collapsed="false">
      <c r="A4806" s="5" t="s">
        <v>779</v>
      </c>
      <c r="B4806" s="0" t="s">
        <v>86</v>
      </c>
      <c r="C4806" s="38" t="n">
        <f aca="false">Q!$D$48</f>
        <v>22.011</v>
      </c>
      <c r="D4806" s="38" t="n">
        <f aca="false">Q!$E$48</f>
        <v>19.467</v>
      </c>
      <c r="E4806" s="38" t="n">
        <f aca="false">Q!$P$48</f>
        <v>10.07</v>
      </c>
      <c r="F4806" s="38" t="n">
        <f aca="false">sbc_r*Sens!$F$4723</f>
        <v>10.8507035798037</v>
      </c>
      <c r="G4806" s="38" t="n">
        <f aca="false">Sens!$E$4806+Sens!$F$4806</f>
        <v>20.9207035798037</v>
      </c>
      <c r="H4806" s="38" t="n">
        <f aca="false">sbc_r*Sens!$H$4723</f>
        <v>23.46224366345</v>
      </c>
      <c r="I4806" s="38" t="n">
        <f aca="false">sbc_r*Sens!$I$4723</f>
        <v>26.6125957111676</v>
      </c>
      <c r="J4806" s="38" t="n">
        <f aca="false">sbc_r*Sens!$J$4723</f>
        <v>29.6280801413323</v>
      </c>
      <c r="K4806" s="38" t="n">
        <f aca="false">sbc_r*Sens!$K$4723</f>
        <v>32.2712258901105</v>
      </c>
      <c r="L4806" s="38" t="n">
        <f aca="false">sbc_r*Sens!$L$4723</f>
        <v>34.7390505016737</v>
      </c>
      <c r="M4806" s="38" t="n">
        <f aca="false">sbc_r*Sens!$M$4723</f>
        <v>37.0405146906692</v>
      </c>
    </row>
    <row r="4807" customFormat="false" ht="17.15" hidden="false" customHeight="false" outlineLevel="0" collapsed="false">
      <c r="A4807" s="5" t="s">
        <v>780</v>
      </c>
      <c r="B4807" s="0" t="s">
        <v>86</v>
      </c>
      <c r="C4807" s="38" t="n">
        <f aca="false">Q!$D$44-Sens!$C$4804-Sens!$C$4805-Sens!$C$4806</f>
        <v>2.551</v>
      </c>
      <c r="D4807" s="38" t="n">
        <f aca="false">Q!$E$44-Sens!$D$4804-Sens!$D$4805-Sens!$D$4806</f>
        <v>0.51700000000001</v>
      </c>
      <c r="E4807" s="38" t="n">
        <f aca="false">Q!$P$44-Sens!$E$4804-Sens!$E$4805-Sens!$E$4806</f>
        <v>-58.256</v>
      </c>
      <c r="F4807" s="38" t="n">
        <f aca="false">oth_r*Sens!$F$4723</f>
        <v>5.22265251035878</v>
      </c>
      <c r="G4807" s="38" t="n">
        <f aca="false">Sens!$E$4807+Sens!$F$4807</f>
        <v>-53.0333474896412</v>
      </c>
      <c r="H4807" s="38" t="n">
        <f aca="false">oth_r*Sens!$H$4723</f>
        <v>11.2928295263397</v>
      </c>
      <c r="I4807" s="38" t="n">
        <f aca="false">oth_r*Sens!$I$4723</f>
        <v>12.8091546115766</v>
      </c>
      <c r="J4807" s="38" t="n">
        <f aca="false">oth_r*Sens!$J$4723</f>
        <v>14.2605653162668</v>
      </c>
      <c r="K4807" s="38" t="n">
        <f aca="false">oth_r*Sens!$K$4723</f>
        <v>15.5327622460396</v>
      </c>
      <c r="L4807" s="38" t="n">
        <f aca="false">oth_r*Sens!$L$4723</f>
        <v>16.720573737517</v>
      </c>
      <c r="M4807" s="38" t="n">
        <f aca="false">oth_r*Sens!$M$4723</f>
        <v>17.8283127551536</v>
      </c>
      <c r="P4807" s="8" t="s">
        <v>781</v>
      </c>
    </row>
    <row r="4808" customFormat="false" ht="15" hidden="false" customHeight="false" outlineLevel="0" collapsed="false">
      <c r="A4808" s="3" t="s">
        <v>552</v>
      </c>
      <c r="B4808" s="8" t="s">
        <v>86</v>
      </c>
      <c r="C4808" s="38" t="n">
        <f aca="false">Q!$D$44</f>
        <v>115.877</v>
      </c>
      <c r="D4808" s="38" t="n">
        <f aca="false">Q!$E$44</f>
        <v>139.514</v>
      </c>
      <c r="E4808" s="38" t="n">
        <f aca="false">Q!$P$44</f>
        <v>71.419</v>
      </c>
      <c r="F4808" s="38" t="n">
        <f aca="false">Sens!$F$4804+Sens!$F$4805+Sens!$F$4806+Sens!$F$4807</f>
        <v>91.3381665166794</v>
      </c>
      <c r="G4808" s="38" t="n">
        <f aca="false">Sens!$E$4808+Sens!$F$4808</f>
        <v>162.757166516679</v>
      </c>
      <c r="H4808" s="38" t="n">
        <f aca="false">Sens!$H$4804+Sens!$H$4805+Sens!$H$4806+Sens!$H$4807</f>
        <v>222.093385613994</v>
      </c>
      <c r="I4808" s="38" t="n">
        <f aca="false">Sens!$I$4804+Sens!$I$4805+Sens!$I$4806+Sens!$I$4807</f>
        <v>275.504008356315</v>
      </c>
      <c r="J4808" s="38" t="n">
        <f aca="false">Sens!$J$4804+Sens!$J$4805+Sens!$J$4806+Sens!$J$4807</f>
        <v>329.724774286132</v>
      </c>
      <c r="K4808" s="38" t="n">
        <f aca="false">Sens!$K$4804+Sens!$K$4805+Sens!$K$4806+Sens!$K$4807</f>
        <v>379.792849265524</v>
      </c>
      <c r="L4808" s="38" t="n">
        <f aca="false">Sens!$L$4804+Sens!$L$4805+Sens!$L$4806+Sens!$L$4807</f>
        <v>422.427470295773</v>
      </c>
      <c r="M4808" s="38" t="n">
        <f aca="false">Sens!$M$4804+Sens!$M$4805+Sens!$M$4806+Sens!$M$4807</f>
        <v>459.418046744124</v>
      </c>
    </row>
    <row r="4809" customFormat="false" ht="17.15" hidden="false" customHeight="false" outlineLevel="0" collapsed="false">
      <c r="A4809" s="5" t="s">
        <v>782</v>
      </c>
      <c r="B4809" s="0" t="s">
        <v>86</v>
      </c>
      <c r="C4809" s="38" t="n">
        <f aca="false">Sens!$C$4692</f>
        <v>25.2781053077374</v>
      </c>
      <c r="D4809" s="38" t="n">
        <f aca="false">Sens!$D$4692</f>
        <v>69.5686316310026</v>
      </c>
      <c r="E4809" s="38" t="n">
        <f aca="false">Sens!$E$4692</f>
        <v>64.1899206485108</v>
      </c>
      <c r="F4809" s="38" t="n">
        <f aca="false">Sens!$F$4692</f>
        <v>96.2481299895</v>
      </c>
      <c r="G4809" s="38" t="n">
        <f aca="false">Sens!$G$4692</f>
        <v>160.438050638011</v>
      </c>
      <c r="H4809" s="38" t="n">
        <f aca="false">Sens!$H$4692</f>
        <v>198.57136494475</v>
      </c>
      <c r="I4809" s="38" t="n">
        <f aca="false">Sens!$I$4692</f>
        <v>204.6464699105</v>
      </c>
      <c r="J4809" s="38" t="n">
        <f aca="false">Sens!$J$4692</f>
        <v>209.8832381105</v>
      </c>
      <c r="K4809" s="38" t="n">
        <f aca="false">Sens!$K$4692</f>
        <v>155.238385275201</v>
      </c>
      <c r="L4809" s="38" t="n">
        <f aca="false">Sens!$L$4692</f>
        <v>132.014141639902</v>
      </c>
      <c r="M4809" s="38" t="n">
        <f aca="false">Sens!$M$4692</f>
        <v>132.230981659852</v>
      </c>
    </row>
    <row r="4810" customFormat="false" ht="17.15" hidden="false" customHeight="false" outlineLevel="0" collapsed="false">
      <c r="A4810" s="5" t="s">
        <v>783</v>
      </c>
      <c r="B4810" s="0" t="s">
        <v>86</v>
      </c>
      <c r="C4810" s="38" t="n">
        <f aca="false">cx_awso*Sens!$C$4721</f>
        <v>21.0469989286053</v>
      </c>
      <c r="D4810" s="38" t="n">
        <f aca="false">cx_awso*Sens!$D$4721</f>
        <v>24.0042459822698</v>
      </c>
      <c r="E4810" s="38" t="n">
        <f aca="false">cx_awso*Sens!$E$4721</f>
        <v>14.261729404886</v>
      </c>
      <c r="F4810" s="38" t="n">
        <f aca="false">cx_awso*Sens!$F$4721</f>
        <v>14.3538599588493</v>
      </c>
      <c r="G4810" s="38" t="n">
        <f aca="false">Sens!$E$4810+Sens!$F$4810</f>
        <v>28.6155893637353</v>
      </c>
      <c r="H4810" s="38" t="n">
        <f aca="false">cx_awso*Sens!$H$4721</f>
        <v>32.2034154158406</v>
      </c>
      <c r="I4810" s="38" t="n">
        <f aca="false">cx_awso*Sens!$I$4721</f>
        <v>35.7539519042915</v>
      </c>
      <c r="J4810" s="38" t="n">
        <f aca="false">cx_awso*Sens!$J$4721</f>
        <v>39.1551076091815</v>
      </c>
      <c r="K4810" s="38" t="n">
        <f aca="false">cx_awso*Sens!$K$4721</f>
        <v>42.287516217916</v>
      </c>
      <c r="L4810" s="38" t="n">
        <f aca="false">cx_awso*Sens!$L$4721</f>
        <v>45.6705175153492</v>
      </c>
      <c r="M4810" s="38" t="n">
        <f aca="false">cx_awso*Sens!$M$4721</f>
        <v>49.3241589165772</v>
      </c>
    </row>
    <row r="4811" customFormat="false" ht="17.15" hidden="false" customHeight="false" outlineLevel="0" collapsed="false">
      <c r="A4811" s="5" t="s">
        <v>784</v>
      </c>
      <c r="B4811" s="0" t="s">
        <v>86</v>
      </c>
      <c r="C4811" s="38" t="n">
        <f aca="false">Q!$D$46-Sens!$C$4809-Sens!$C$4810</f>
        <v>31.3328957636573</v>
      </c>
      <c r="D4811" s="38" t="n">
        <f aca="false">Q!$E$46-Sens!$D$4809-Sens!$D$4810</f>
        <v>34.7471223867276</v>
      </c>
      <c r="E4811" s="38" t="n">
        <f aca="false">Q!$P$46-Sens!$E$4809-Sens!$E$4810</f>
        <v>17.8583499466032</v>
      </c>
      <c r="F4811" s="38" t="n">
        <f aca="false">cx_rt*Sens!$F$4655</f>
        <v>20.6195895799373</v>
      </c>
      <c r="G4811" s="38" t="n">
        <f aca="false">Sens!$E$4811+Sens!$F$4811</f>
        <v>38.4779395265405</v>
      </c>
      <c r="H4811" s="38" t="n">
        <f aca="false">cx_rt*Sens!$H$4655</f>
        <v>42.5978994743075</v>
      </c>
      <c r="I4811" s="38" t="n">
        <f aca="false">cx_rt*Sens!$I$4655</f>
        <v>46.5813904136335</v>
      </c>
      <c r="J4811" s="38" t="n">
        <f aca="false">cx_rt*Sens!$J$4655</f>
        <v>50.2781676586844</v>
      </c>
      <c r="K4811" s="38" t="n">
        <f aca="false">cx_rt*Sens!$K$4655</f>
        <v>53.5312440191755</v>
      </c>
      <c r="L4811" s="38" t="n">
        <f aca="false">cx_rt*Sens!$L$4655</f>
        <v>57.0116717051447</v>
      </c>
      <c r="M4811" s="38" t="n">
        <f aca="false">cx_rt*Sens!$M$4655</f>
        <v>60.7365554669226</v>
      </c>
    </row>
    <row r="4812" customFormat="false" ht="15" hidden="false" customHeight="false" outlineLevel="0" collapsed="false">
      <c r="A4812" s="3" t="s">
        <v>785</v>
      </c>
      <c r="B4812" s="8" t="s">
        <v>86</v>
      </c>
      <c r="C4812" s="38" t="n">
        <f aca="false">Q!$D$46</f>
        <v>77.658</v>
      </c>
      <c r="D4812" s="38" t="n">
        <f aca="false">Q!$E$46</f>
        <v>128.32</v>
      </c>
      <c r="E4812" s="38" t="n">
        <f aca="false">Q!$P$46</f>
        <v>96.31</v>
      </c>
      <c r="F4812" s="38" t="n">
        <f aca="false">Sens!$F$4809+Sens!$F$4810+Sens!$F$4811</f>
        <v>131.221579528287</v>
      </c>
      <c r="G4812" s="38" t="n">
        <f aca="false">Sens!$E$4812+Sens!$F$4812</f>
        <v>227.531579528287</v>
      </c>
      <c r="H4812" s="38" t="n">
        <f aca="false">Sens!$H$4809+Sens!$H$4810+Sens!$H$4811</f>
        <v>273.372679834898</v>
      </c>
      <c r="I4812" s="38" t="n">
        <f aca="false">Sens!$I$4809+Sens!$I$4810+Sens!$I$4811</f>
        <v>286.981812228425</v>
      </c>
      <c r="J4812" s="38" t="n">
        <f aca="false">Sens!$J$4809+Sens!$J$4810+Sens!$J$4811</f>
        <v>299.316513378366</v>
      </c>
      <c r="K4812" s="38" t="n">
        <f aca="false">Sens!$K$4809+Sens!$K$4810+Sens!$K$4811</f>
        <v>251.057145512292</v>
      </c>
      <c r="L4812" s="38" t="n">
        <f aca="false">Sens!$L$4809+Sens!$L$4810+Sens!$L$4811</f>
        <v>234.696330860396</v>
      </c>
      <c r="M4812" s="38" t="n">
        <f aca="false">Sens!$M$4809+Sens!$M$4810+Sens!$M$4811</f>
        <v>242.291696043352</v>
      </c>
    </row>
    <row r="4813" customFormat="false" ht="17.15" hidden="false" customHeight="false" outlineLevel="0" collapsed="false">
      <c r="A4813" s="5" t="s">
        <v>560</v>
      </c>
      <c r="B4813" s="0" t="s">
        <v>86</v>
      </c>
      <c r="C4813" s="38" t="n">
        <f aca="false">Q!$D$50</f>
        <v>2.043</v>
      </c>
      <c r="D4813" s="38" t="n">
        <f aca="false">Q!$E$50</f>
        <v>1.557</v>
      </c>
      <c r="E4813" s="38" t="n">
        <f aca="false">lease_pr/2</f>
        <v>0.8</v>
      </c>
      <c r="F4813" s="38" t="n">
        <f aca="false">lease_pr/2</f>
        <v>0.8</v>
      </c>
      <c r="G4813" s="38" t="n">
        <f aca="false">Sens!$E$4813+Sens!$F$4813</f>
        <v>1.6</v>
      </c>
      <c r="H4813" s="38" t="n">
        <f aca="false">lease_pr</f>
        <v>1.6</v>
      </c>
      <c r="I4813" s="38" t="n">
        <f aca="false">lease_pr</f>
        <v>1.6</v>
      </c>
      <c r="J4813" s="38" t="n">
        <f aca="false">lease_pr</f>
        <v>1.6</v>
      </c>
      <c r="K4813" s="38" t="n">
        <f aca="false">lease_pr</f>
        <v>1.6</v>
      </c>
      <c r="L4813" s="38" t="n">
        <f aca="false">lease_pr</f>
        <v>1.6</v>
      </c>
      <c r="M4813" s="38" t="n">
        <f aca="false">lease_pr</f>
        <v>1.6</v>
      </c>
      <c r="P4813" s="8" t="s">
        <v>786</v>
      </c>
    </row>
    <row r="4814" customFormat="false" ht="15" hidden="false" customHeight="false" outlineLevel="0" collapsed="false">
      <c r="A4814" s="47" t="s">
        <v>787</v>
      </c>
      <c r="B4814" s="14" t="s">
        <v>86</v>
      </c>
      <c r="C4814" s="48" t="n">
        <f aca="false">Sens!$C$4808-Sens!$C$4812-Sens!$C$4813</f>
        <v>36.176</v>
      </c>
      <c r="D4814" s="48" t="n">
        <f aca="false">Sens!$D$4808-Sens!$D$4812-Sens!$D$4813</f>
        <v>9.63700000000002</v>
      </c>
      <c r="E4814" s="48" t="n">
        <f aca="false">Sens!$E$4808-Sens!$E$4812-Sens!$E$4813</f>
        <v>-25.691</v>
      </c>
      <c r="F4814" s="48" t="n">
        <f aca="false">Sens!$F$4808-Sens!$F$4812-Sens!$F$4813</f>
        <v>-40.6834130116072</v>
      </c>
      <c r="G4814" s="48" t="n">
        <f aca="false">Sens!$G$4808-Sens!$G$4812-Sens!$G$4813</f>
        <v>-66.3744130116072</v>
      </c>
      <c r="H4814" s="48" t="n">
        <f aca="false">Sens!$H$4808-Sens!$H$4812-Sens!$H$4813</f>
        <v>-52.8792942209039</v>
      </c>
      <c r="I4814" s="48" t="n">
        <f aca="false">Sens!$I$4808-Sens!$I$4812-Sens!$I$4813</f>
        <v>-13.07780387211</v>
      </c>
      <c r="J4814" s="48" t="n">
        <f aca="false">Sens!$J$4808-Sens!$J$4812-Sens!$J$4813</f>
        <v>28.8082609077659</v>
      </c>
      <c r="K4814" s="48" t="n">
        <f aca="false">Sens!$K$4808-Sens!$K$4812-Sens!$K$4813</f>
        <v>127.135703753232</v>
      </c>
      <c r="L4814" s="48" t="n">
        <f aca="false">Sens!$L$4808-Sens!$L$4812-Sens!$L$4813</f>
        <v>186.131139435377</v>
      </c>
      <c r="M4814" s="48" t="n">
        <f aca="false">Sens!$M$4808-Sens!$M$4812-Sens!$M$4813</f>
        <v>215.526350700771</v>
      </c>
      <c r="N4814" s="14"/>
      <c r="O4814" s="14"/>
    </row>
    <row r="4815" customFormat="false" ht="17.15" hidden="false" customHeight="false" outlineLevel="0" collapsed="false">
      <c r="A4815" s="5" t="s">
        <v>788</v>
      </c>
      <c r="B4815" s="0" t="s">
        <v>86</v>
      </c>
      <c r="C4815" s="38" t="n">
        <f aca="false">dps*Sens!$C$4794</f>
        <v>0</v>
      </c>
      <c r="D4815" s="38" t="n">
        <f aca="false">dps*Sens!$D$4794</f>
        <v>0</v>
      </c>
      <c r="E4815" s="38" t="n">
        <f aca="false">dps*Sens!$E$4794</f>
        <v>0</v>
      </c>
      <c r="F4815" s="38" t="n">
        <f aca="false">0</f>
        <v>0</v>
      </c>
      <c r="G4815" s="38" t="n">
        <f aca="false">dps*Sens!$G$4794</f>
        <v>0</v>
      </c>
      <c r="H4815" s="38" t="n">
        <f aca="false">dps*Sens!$H$4794</f>
        <v>0</v>
      </c>
      <c r="I4815" s="38" t="n">
        <f aca="false">dps*Sens!$I$4794</f>
        <v>0</v>
      </c>
      <c r="J4815" s="38" t="n">
        <f aca="false">dps*Sens!$J$4794</f>
        <v>0</v>
      </c>
      <c r="K4815" s="38" t="n">
        <f aca="false">dps*Sens!$K$4794</f>
        <v>0</v>
      </c>
      <c r="L4815" s="38" t="n">
        <f aca="false">dps*Sens!$L$4794</f>
        <v>0</v>
      </c>
      <c r="M4815" s="38" t="n">
        <f aca="false">dps*Sens!$M$4794</f>
        <v>0</v>
      </c>
      <c r="P4815" s="8" t="s">
        <v>789</v>
      </c>
    </row>
    <row r="4816" customFormat="false" ht="17.15" hidden="false" customHeight="false" outlineLevel="0" collapsed="false">
      <c r="A4816" s="5" t="s">
        <v>790</v>
      </c>
      <c r="B4816" s="0" t="s">
        <v>86</v>
      </c>
      <c r="C4816" s="38" t="n">
        <f aca="false">0</f>
        <v>0</v>
      </c>
      <c r="D4816" s="38" t="n">
        <f aca="false">0</f>
        <v>0</v>
      </c>
      <c r="E4816" s="38" t="n">
        <f aca="false">0</f>
        <v>0</v>
      </c>
      <c r="F4816" s="38" t="n">
        <f aca="false">0</f>
        <v>0</v>
      </c>
      <c r="G4816" s="38" t="n">
        <f aca="false">0</f>
        <v>0</v>
      </c>
      <c r="H4816" s="38" t="n">
        <f aca="false">0</f>
        <v>0</v>
      </c>
      <c r="I4816" s="38" t="n">
        <f aca="false">0</f>
        <v>0</v>
      </c>
      <c r="J4816" s="38" t="n">
        <f aca="false">0</f>
        <v>0</v>
      </c>
      <c r="K4816" s="38" t="n">
        <f aca="false">0</f>
        <v>0</v>
      </c>
      <c r="L4816" s="38" t="n">
        <f aca="false">0</f>
        <v>0</v>
      </c>
      <c r="M4816" s="38" t="n">
        <f aca="false">0</f>
        <v>0</v>
      </c>
      <c r="P4816" s="8" t="s">
        <v>791</v>
      </c>
    </row>
    <row r="4817" customFormat="false" ht="15" hidden="false" customHeight="false" outlineLevel="0" collapsed="false">
      <c r="A4817" s="3" t="s">
        <v>792</v>
      </c>
      <c r="B4817" s="8" t="s">
        <v>86</v>
      </c>
      <c r="C4817" s="38" t="n">
        <f aca="false">Sens!$C$4814-Sens!$C$4815</f>
        <v>36.176</v>
      </c>
      <c r="D4817" s="38" t="n">
        <f aca="false">Sens!$D$4814-Sens!$D$4815</f>
        <v>9.63700000000002</v>
      </c>
      <c r="E4817" s="38" t="n">
        <f aca="false">Sens!$E$4814-Sens!$E$4815</f>
        <v>-25.691</v>
      </c>
      <c r="F4817" s="38" t="n">
        <f aca="false">Sens!$F$4814-Sens!$F$4815</f>
        <v>-40.6834130116072</v>
      </c>
      <c r="G4817" s="38" t="n">
        <f aca="false">Sens!$G$4814-Sens!$G$4815</f>
        <v>-66.3744130116072</v>
      </c>
      <c r="H4817" s="38" t="n">
        <f aca="false">Sens!$H$4814-Sens!$H$4815</f>
        <v>-52.8792942209039</v>
      </c>
      <c r="I4817" s="38" t="n">
        <f aca="false">Sens!$I$4814-Sens!$I$4815</f>
        <v>-13.07780387211</v>
      </c>
      <c r="J4817" s="38" t="n">
        <f aca="false">Sens!$J$4814-Sens!$J$4815</f>
        <v>28.8082609077659</v>
      </c>
      <c r="K4817" s="38" t="n">
        <f aca="false">Sens!$K$4814-Sens!$K$4815</f>
        <v>127.135703753232</v>
      </c>
      <c r="L4817" s="38" t="n">
        <f aca="false">Sens!$L$4814-Sens!$L$4815</f>
        <v>186.131139435377</v>
      </c>
      <c r="M4817" s="38" t="n">
        <f aca="false">Sens!$M$4814-Sens!$M$4815</f>
        <v>215.526350700771</v>
      </c>
    </row>
    <row r="4818" customFormat="false" ht="17.15" hidden="false" customHeight="false" outlineLevel="0" collapsed="false">
      <c r="A4818" s="5" t="s">
        <v>793</v>
      </c>
      <c r="B4818" s="0" t="s">
        <v>86</v>
      </c>
      <c r="E4818" s="38" t="n">
        <f aca="false">Q!$P$53</f>
        <v>39.767</v>
      </c>
      <c r="F4818" s="38" t="n">
        <f aca="false">inv_2h26</f>
        <v>21.3</v>
      </c>
      <c r="G4818" s="38" t="n">
        <f aca="false">Sens!$E$4818+Sens!$F$4818</f>
        <v>61.067</v>
      </c>
      <c r="H4818" s="39" t="n">
        <v>0</v>
      </c>
      <c r="I4818" s="39" t="n">
        <v>0</v>
      </c>
      <c r="J4818" s="39" t="n">
        <v>0</v>
      </c>
      <c r="K4818" s="39" t="n">
        <v>0</v>
      </c>
      <c r="L4818" s="39" t="n">
        <v>0</v>
      </c>
      <c r="M4818" s="39" t="n">
        <v>0</v>
      </c>
    </row>
    <row r="4819" customFormat="false" ht="17.15" hidden="false" customHeight="false" outlineLevel="0" collapsed="false">
      <c r="A4819" s="5" t="s">
        <v>794</v>
      </c>
      <c r="B4819" s="0" t="s">
        <v>86</v>
      </c>
      <c r="F4819" s="38" t="n">
        <f aca="false">iss_2h26</f>
        <v>29.249999</v>
      </c>
      <c r="G4819" s="38" t="n">
        <f aca="false">Sens!$F$4819</f>
        <v>29.249999</v>
      </c>
      <c r="H4819" s="39" t="n">
        <v>0</v>
      </c>
      <c r="I4819" s="39" t="n">
        <v>0</v>
      </c>
      <c r="J4819" s="39" t="n">
        <v>0</v>
      </c>
      <c r="K4819" s="39" t="n">
        <v>0</v>
      </c>
      <c r="L4819" s="39" t="n">
        <v>0</v>
      </c>
      <c r="M4819" s="39" t="n">
        <v>0</v>
      </c>
    </row>
    <row r="4820" customFormat="false" ht="17.15" hidden="false" customHeight="false" outlineLevel="0" collapsed="false">
      <c r="A4820" s="5" t="s">
        <v>795</v>
      </c>
      <c r="B4820" s="0" t="s">
        <v>86</v>
      </c>
      <c r="F4820" s="38" t="n">
        <f aca="false">cash_q2</f>
        <v>122.988</v>
      </c>
      <c r="G4820" s="38" t="n">
        <f aca="false">cash_q2</f>
        <v>122.988</v>
      </c>
      <c r="H4820" s="38" t="n">
        <f aca="false">Sens!$G$4823</f>
        <v>90.2545859883928</v>
      </c>
      <c r="I4820" s="38" t="n">
        <f aca="false">Sens!$H$4823</f>
        <v>50</v>
      </c>
      <c r="J4820" s="38" t="n">
        <f aca="false">Sens!$I$4823</f>
        <v>50</v>
      </c>
      <c r="K4820" s="38" t="n">
        <f aca="false">Sens!$J$4823</f>
        <v>78.8082609077659</v>
      </c>
      <c r="L4820" s="38" t="n">
        <f aca="false">Sens!$K$4823</f>
        <v>205.943964660998</v>
      </c>
      <c r="M4820" s="38" t="n">
        <f aca="false">Sens!$L$4823</f>
        <v>392.075104096376</v>
      </c>
    </row>
    <row r="4821" customFormat="false" ht="15" hidden="false" customHeight="false" outlineLevel="0" collapsed="false">
      <c r="A4821" s="5" t="s">
        <v>796</v>
      </c>
      <c r="B4821" s="0" t="s">
        <v>86</v>
      </c>
      <c r="F4821" s="38" t="n">
        <f aca="false">Sens!$F$4820+Sens!$F$4817-Sens!$F$4816-Sens!$F$4818+Sens!$F$4819</f>
        <v>90.2545859883928</v>
      </c>
      <c r="H4821" s="38" t="n">
        <f aca="false">Sens!$H$4820+Sens!$H$4817-Sens!$H$4816-Sens!$H$4818+Sens!$H$4819</f>
        <v>37.375291767489</v>
      </c>
      <c r="I4821" s="38" t="n">
        <f aca="false">Sens!$I$4820+Sens!$I$4817-Sens!$I$4816-Sens!$I$4818+Sens!$I$4819</f>
        <v>36.92219612789</v>
      </c>
      <c r="J4821" s="38" t="n">
        <f aca="false">Sens!$J$4820+Sens!$J$4817-Sens!$J$4816-Sens!$J$4818+Sens!$J$4819</f>
        <v>78.8082609077659</v>
      </c>
      <c r="K4821" s="38" t="n">
        <f aca="false">Sens!$K$4820+Sens!$K$4817-Sens!$K$4816-Sens!$K$4818+Sens!$K$4819</f>
        <v>205.943964660998</v>
      </c>
      <c r="L4821" s="38" t="n">
        <f aca="false">Sens!$L$4820+Sens!$L$4817-Sens!$L$4816-Sens!$L$4818+Sens!$L$4819</f>
        <v>392.075104096376</v>
      </c>
      <c r="M4821" s="38" t="n">
        <f aca="false">Sens!$M$4820+Sens!$M$4817-Sens!$M$4816-Sens!$M$4818+Sens!$M$4819</f>
        <v>607.601454797147</v>
      </c>
    </row>
    <row r="4822" customFormat="false" ht="17.15" hidden="false" customHeight="false" outlineLevel="0" collapsed="false">
      <c r="A4822" s="5" t="s">
        <v>797</v>
      </c>
      <c r="B4822" s="0" t="s">
        <v>86</v>
      </c>
      <c r="F4822" s="38" t="n">
        <f aca="false">MAX(0,min_cash-Sens!$F$4821)</f>
        <v>0</v>
      </c>
      <c r="G4822" s="38" t="n">
        <f aca="false">Sens!$F$4822</f>
        <v>0</v>
      </c>
      <c r="H4822" s="38" t="n">
        <f aca="false">MAX(0,min_cash-Sens!$H$4821)</f>
        <v>12.624708232511</v>
      </c>
      <c r="I4822" s="38" t="n">
        <f aca="false">MAX(0,min_cash-Sens!$I$4821)</f>
        <v>13.07780387211</v>
      </c>
      <c r="J4822" s="38" t="n">
        <f aca="false">MAX(0,min_cash-Sens!$J$4821)</f>
        <v>0</v>
      </c>
      <c r="K4822" s="38" t="n">
        <f aca="false">MAX(0,min_cash-Sens!$K$4821)</f>
        <v>0</v>
      </c>
      <c r="L4822" s="38" t="n">
        <f aca="false">MAX(0,min_cash-Sens!$L$4821)</f>
        <v>0</v>
      </c>
      <c r="M4822" s="38" t="n">
        <f aca="false">MAX(0,min_cash-Sens!$M$4821)</f>
        <v>0</v>
      </c>
      <c r="P4822" s="5" t="s">
        <v>798</v>
      </c>
    </row>
    <row r="4823" customFormat="false" ht="15" hidden="false" customHeight="false" outlineLevel="0" collapsed="false">
      <c r="A4823" s="5" t="s">
        <v>799</v>
      </c>
      <c r="B4823" s="0" t="s">
        <v>86</v>
      </c>
      <c r="D4823" s="38" t="n">
        <f aca="false">Q!$E$61</f>
        <v>123.029</v>
      </c>
      <c r="E4823" s="38" t="n">
        <f aca="false">Q!$M$61</f>
        <v>122.988</v>
      </c>
      <c r="F4823" s="38" t="n">
        <f aca="false">Sens!$F$4821+Sens!$F$4822</f>
        <v>90.2545859883928</v>
      </c>
      <c r="G4823" s="38" t="n">
        <f aca="false">Sens!$F$4823</f>
        <v>90.2545859883928</v>
      </c>
      <c r="H4823" s="38" t="n">
        <f aca="false">Sens!$H$4821+Sens!$H$4822</f>
        <v>50</v>
      </c>
      <c r="I4823" s="38" t="n">
        <f aca="false">Sens!$I$4821+Sens!$I$4822</f>
        <v>50</v>
      </c>
      <c r="J4823" s="38" t="n">
        <f aca="false">Sens!$J$4821+Sens!$J$4822</f>
        <v>78.8082609077659</v>
      </c>
      <c r="K4823" s="38" t="n">
        <f aca="false">Sens!$K$4821+Sens!$K$4822</f>
        <v>205.943964660998</v>
      </c>
      <c r="L4823" s="38" t="n">
        <f aca="false">Sens!$L$4821+Sens!$L$4822</f>
        <v>392.075104096376</v>
      </c>
      <c r="M4823" s="38" t="n">
        <f aca="false">Sens!$M$4821+Sens!$M$4822</f>
        <v>607.601454797147</v>
      </c>
    </row>
    <row r="4824" customFormat="false" ht="15" hidden="false" customHeight="false" outlineLevel="0" collapsed="false">
      <c r="A4824" s="5" t="s">
        <v>800</v>
      </c>
      <c r="B4824" s="0" t="s">
        <v>86</v>
      </c>
      <c r="D4824" s="38" t="n">
        <f aca="false">Q!$E$62</f>
        <v>68.836</v>
      </c>
      <c r="E4824" s="38" t="n">
        <f aca="false">Q!$M$62</f>
        <v>132.995</v>
      </c>
      <c r="F4824" s="38" t="n">
        <f aca="false">debt_q2+Sens!$F$4819+Sens!$F$4822</f>
        <v>162.244999</v>
      </c>
      <c r="G4824" s="38" t="n">
        <f aca="false">Sens!$F$4824</f>
        <v>162.244999</v>
      </c>
      <c r="H4824" s="38" t="n">
        <f aca="false">Sens!$G$4824+Sens!$H$4822</f>
        <v>174.869707232511</v>
      </c>
      <c r="I4824" s="38" t="n">
        <f aca="false">Sens!$H$4824+Sens!$I$4822</f>
        <v>187.947511104621</v>
      </c>
      <c r="J4824" s="38" t="n">
        <f aca="false">Sens!$I$4824+Sens!$J$4822</f>
        <v>187.947511104621</v>
      </c>
      <c r="K4824" s="38" t="n">
        <f aca="false">Sens!$J$4824+Sens!$K$4822</f>
        <v>187.947511104621</v>
      </c>
      <c r="L4824" s="38" t="n">
        <f aca="false">Sens!$K$4824+Sens!$L$4822</f>
        <v>187.947511104621</v>
      </c>
      <c r="M4824" s="38" t="n">
        <f aca="false">Sens!$L$4824+Sens!$M$4822</f>
        <v>187.947511104621</v>
      </c>
    </row>
    <row r="4825" customFormat="false" ht="15" hidden="false" customHeight="false" outlineLevel="0" collapsed="false">
      <c r="A4825" s="5" t="s">
        <v>801</v>
      </c>
      <c r="B4825" s="0" t="s">
        <v>86</v>
      </c>
      <c r="D4825" s="38" t="n">
        <f aca="false">Sens!$D$4824-Sens!$D$4823</f>
        <v>-54.193</v>
      </c>
      <c r="E4825" s="38" t="n">
        <f aca="false">Sens!$E$4824-Sens!$E$4823</f>
        <v>10.007</v>
      </c>
      <c r="F4825" s="38" t="n">
        <f aca="false">Sens!$F$4824-Sens!$F$4823</f>
        <v>71.9904130116072</v>
      </c>
      <c r="G4825" s="38" t="n">
        <f aca="false">Sens!$G$4824-Sens!$G$4823</f>
        <v>71.9904130116072</v>
      </c>
      <c r="H4825" s="38" t="n">
        <f aca="false">Sens!$H$4824-Sens!$H$4823</f>
        <v>124.869707232511</v>
      </c>
      <c r="I4825" s="38" t="n">
        <f aca="false">Sens!$I$4824-Sens!$I$4823</f>
        <v>137.947511104621</v>
      </c>
      <c r="J4825" s="38" t="n">
        <f aca="false">Sens!$J$4824-Sens!$J$4823</f>
        <v>109.139250196855</v>
      </c>
      <c r="K4825" s="38" t="n">
        <f aca="false">Sens!$K$4824-Sens!$K$4823</f>
        <v>-17.996453556377</v>
      </c>
      <c r="L4825" s="38" t="n">
        <f aca="false">Sens!$L$4824-Sens!$L$4823</f>
        <v>-204.127592991754</v>
      </c>
      <c r="M4825" s="38" t="n">
        <f aca="false">Sens!$M$4824-Sens!$M$4823</f>
        <v>-419.653943692526</v>
      </c>
    </row>
    <row r="4826" customFormat="false" ht="17.15" hidden="false" customHeight="false" outlineLevel="0" collapsed="false">
      <c r="A4826" s="5" t="s">
        <v>802</v>
      </c>
      <c r="B4826" s="0" t="s">
        <v>86</v>
      </c>
      <c r="F4826" s="38" t="n">
        <f aca="false">debt_q2*kd_book*0.5+iss_2h26*kd_new*iss_t</f>
        <v>3.24888962733561</v>
      </c>
      <c r="H4826" s="38" t="n">
        <f aca="false">debt_q2*kd_book+(Sens!$G$4824-debt_q2)*kd_new</f>
        <v>7.42354172302123</v>
      </c>
      <c r="I4826" s="38" t="n">
        <f aca="false">debt_q2*kd_book+(Sens!$H$4824-debt_q2)*kd_new</f>
        <v>8.22268575413918</v>
      </c>
      <c r="J4826" s="38" t="n">
        <f aca="false">debt_q2*kd_book+(Sens!$I$4824-debt_q2)*kd_new</f>
        <v>9.05051073924374</v>
      </c>
      <c r="K4826" s="38" t="n">
        <f aca="false">debt_q2*kd_book+(Sens!$J$4824-debt_q2)*kd_new</f>
        <v>9.05051073924374</v>
      </c>
      <c r="L4826" s="38" t="n">
        <f aca="false">debt_q2*kd_book+(Sens!$K$4824-debt_q2)*kd_new</f>
        <v>9.05051073924374</v>
      </c>
      <c r="M4826" s="38" t="n">
        <f aca="false">debt_q2*kd_book+(Sens!$L$4824-debt_q2)*kd_new</f>
        <v>9.05051073924374</v>
      </c>
    </row>
    <row r="4827" customFormat="false" ht="17.15" hidden="false" customHeight="false" outlineLevel="0" collapsed="false">
      <c r="A4827" s="5" t="s">
        <v>803</v>
      </c>
      <c r="B4827" s="0" t="s">
        <v>86</v>
      </c>
      <c r="F4827" s="38" t="n">
        <f aca="false">cash_q2*y_cash*0.5</f>
        <v>2.59</v>
      </c>
      <c r="H4827" s="38" t="n">
        <f aca="false">Sens!$G$4823*y_cash</f>
        <v>3.80133635330174</v>
      </c>
      <c r="I4827" s="38" t="n">
        <f aca="false">Sens!$H$4823*y_cash</f>
        <v>2.10589651022864</v>
      </c>
      <c r="J4827" s="38" t="n">
        <f aca="false">Sens!$I$4823*y_cash</f>
        <v>2.10589651022864</v>
      </c>
      <c r="K4827" s="38" t="n">
        <f aca="false">Sens!$J$4823*y_cash</f>
        <v>3.31924083245705</v>
      </c>
      <c r="L4827" s="38" t="n">
        <f aca="false">Sens!$K$4823*y_cash</f>
        <v>8.67393352964492</v>
      </c>
      <c r="M4827" s="38" t="n">
        <f aca="false">Sens!$L$4823*y_cash</f>
        <v>16.5133918692818</v>
      </c>
    </row>
    <row r="4828" customFormat="false" ht="17.15" hidden="false" customHeight="false" outlineLevel="0" collapsed="false">
      <c r="A4828" s="47" t="s">
        <v>804</v>
      </c>
      <c r="B4828" s="14" t="s">
        <v>86</v>
      </c>
      <c r="C4828" s="14"/>
      <c r="D4828" s="14"/>
      <c r="E4828" s="14"/>
      <c r="F4828" s="14"/>
      <c r="G4828" s="48" t="n">
        <f aca="false">SUM(Sens!$G$4817:$K$4817)</f>
        <v>23.612453556377</v>
      </c>
      <c r="H4828" s="14"/>
      <c r="I4828" s="14"/>
      <c r="J4828" s="14"/>
      <c r="K4828" s="14"/>
      <c r="L4828" s="14"/>
      <c r="M4828" s="14"/>
      <c r="N4828" s="14"/>
      <c r="O4828" s="14"/>
    </row>
    <row r="4829" customFormat="false" ht="17.15" hidden="false" customHeight="false" outlineLevel="0" collapsed="false">
      <c r="A4829" s="0" t="s">
        <v>770</v>
      </c>
      <c r="B4829" s="0" t="s">
        <v>86</v>
      </c>
      <c r="G4829" s="38" t="n">
        <f aca="false">SUM(Sens!$G$4822:$K$4822)</f>
        <v>25.7025121046211</v>
      </c>
    </row>
    <row r="4830" customFormat="false" ht="17.15" hidden="false" customHeight="false" outlineLevel="0" collapsed="false">
      <c r="A4830" s="24" t="s">
        <v>807</v>
      </c>
      <c r="B4830" s="25" t="s">
        <v>86</v>
      </c>
      <c r="C4830" s="25"/>
      <c r="D4830" s="25"/>
      <c r="E4830" s="25"/>
      <c r="F4830" s="25"/>
      <c r="G4830" s="41" t="n">
        <f aca="false">Sens!$G$4828-(Sens!$G$4817+Sens!$H$4817+Sens!$I$4817+Sens!$J$4817+Sens!$K$4817)</f>
        <v>0</v>
      </c>
      <c r="H4830" s="25"/>
      <c r="I4830" s="25"/>
      <c r="J4830" s="25"/>
      <c r="K4830" s="25"/>
      <c r="L4830" s="25"/>
      <c r="M4830" s="25"/>
      <c r="N4830" s="25"/>
      <c r="O4830" s="25"/>
    </row>
    <row r="4833" customFormat="false" ht="19.4" hidden="false" customHeight="false" outlineLevel="0" collapsed="false">
      <c r="A4833" s="31" t="s">
        <v>1226</v>
      </c>
    </row>
    <row r="4834" customFormat="false" ht="17.15" hidden="false" customHeight="false" outlineLevel="0" collapsed="false">
      <c r="A4834" s="6" t="s">
        <v>16</v>
      </c>
      <c r="B4834" s="6" t="s">
        <v>17</v>
      </c>
      <c r="C4834" s="20" t="s">
        <v>494</v>
      </c>
      <c r="D4834" s="20" t="s">
        <v>495</v>
      </c>
      <c r="E4834" s="20" t="s">
        <v>577</v>
      </c>
      <c r="F4834" s="20" t="s">
        <v>578</v>
      </c>
      <c r="G4834" s="20" t="s">
        <v>579</v>
      </c>
      <c r="H4834" s="20" t="s">
        <v>580</v>
      </c>
      <c r="I4834" s="20" t="s">
        <v>581</v>
      </c>
      <c r="J4834" s="20" t="s">
        <v>582</v>
      </c>
      <c r="K4834" s="20" t="s">
        <v>583</v>
      </c>
      <c r="L4834" s="20" t="s">
        <v>584</v>
      </c>
      <c r="M4834" s="20" t="s">
        <v>585</v>
      </c>
      <c r="N4834" s="20" t="s">
        <v>586</v>
      </c>
      <c r="O4834" s="20" t="s">
        <v>587</v>
      </c>
      <c r="P4834" s="6" t="s">
        <v>23</v>
      </c>
      <c r="R4834" s="20" t="n">
        <v>2023</v>
      </c>
      <c r="S4834" s="20" t="n">
        <v>2024</v>
      </c>
      <c r="T4834" s="20" t="n">
        <v>2025</v>
      </c>
      <c r="U4834" s="20" t="n">
        <v>2026</v>
      </c>
      <c r="V4834" s="20" t="n">
        <v>2027</v>
      </c>
      <c r="W4834" s="20" t="n">
        <v>2028</v>
      </c>
      <c r="X4834" s="20" t="n">
        <v>2029</v>
      </c>
      <c r="Y4834" s="20" t="n">
        <v>2030</v>
      </c>
      <c r="Z4834" s="20" t="n">
        <v>2031</v>
      </c>
      <c r="AA4834" s="20" t="n">
        <v>2032</v>
      </c>
    </row>
    <row r="4835" customFormat="false" ht="17.15" hidden="false" customHeight="false" outlineLevel="0" collapsed="false">
      <c r="A4835" s="1" t="s">
        <v>909</v>
      </c>
    </row>
    <row r="4836" customFormat="false" ht="17.15" hidden="false" customHeight="false" outlineLevel="0" collapsed="false">
      <c r="A4836" s="0" t="s">
        <v>910</v>
      </c>
      <c r="B4836" s="0" t="s">
        <v>86</v>
      </c>
      <c r="H4836" s="38" t="n">
        <f aca="false">Sens!$H$4770*(1-tax)</f>
        <v>118.546813846327</v>
      </c>
      <c r="I4836" s="38" t="n">
        <f aca="false">Sens!$I$4770*(1-tax)</f>
        <v>145.238187396072</v>
      </c>
      <c r="J4836" s="38" t="n">
        <f aca="false">Sens!$J$4770*(1-tax)</f>
        <v>170.865720953638</v>
      </c>
      <c r="K4836" s="38" t="n">
        <f aca="false">Sens!$K$4770*(1-tax)</f>
        <v>189.704454988829</v>
      </c>
      <c r="L4836" s="38" t="n">
        <f aca="false">Sens!$L$4770*(1-tax)</f>
        <v>205.526414569264</v>
      </c>
      <c r="M4836" s="38" t="n">
        <f aca="false">Sens!$M$4770*(1-tax)</f>
        <v>218.707366399538</v>
      </c>
    </row>
    <row r="4837" customFormat="false" ht="15" hidden="false" customHeight="false" outlineLevel="0" collapsed="false">
      <c r="A4837" s="5" t="s">
        <v>911</v>
      </c>
      <c r="B4837" s="0" t="s">
        <v>86</v>
      </c>
      <c r="H4837" s="38" t="n">
        <f aca="false">Sens!$H$4781</f>
        <v>84.3163410985152</v>
      </c>
      <c r="I4837" s="38" t="n">
        <f aca="false">Sens!$I$4781</f>
        <v>117.040344991004</v>
      </c>
      <c r="J4837" s="38" t="n">
        <f aca="false">Sens!$J$4781</f>
        <v>150.498981474685</v>
      </c>
      <c r="K4837" s="38" t="n">
        <f aca="false">Sens!$K$4781</f>
        <v>184.188121970284</v>
      </c>
      <c r="L4837" s="38" t="n">
        <f aca="false">Sens!$L$4781</f>
        <v>207.768718060808</v>
      </c>
      <c r="M4837" s="38" t="n">
        <f aca="false">Sens!$M$4781</f>
        <v>224.003934647752</v>
      </c>
    </row>
    <row r="4838" customFormat="false" ht="15" hidden="false" customHeight="false" outlineLevel="0" collapsed="false">
      <c r="A4838" s="5" t="s">
        <v>912</v>
      </c>
      <c r="B4838" s="0" t="s">
        <v>86</v>
      </c>
      <c r="H4838" s="38" t="n">
        <f aca="false">Sens!$H$4812</f>
        <v>273.372679834898</v>
      </c>
      <c r="I4838" s="38" t="n">
        <f aca="false">Sens!$I$4812</f>
        <v>286.981812228425</v>
      </c>
      <c r="J4838" s="38" t="n">
        <f aca="false">Sens!$J$4812</f>
        <v>299.316513378366</v>
      </c>
      <c r="K4838" s="38" t="n">
        <f aca="false">Sens!$K$4812</f>
        <v>251.057145512292</v>
      </c>
      <c r="L4838" s="38" t="n">
        <f aca="false">Sens!$L$4812</f>
        <v>234.696330860396</v>
      </c>
      <c r="M4838" s="38" t="n">
        <f aca="false">Sens!$M$4812</f>
        <v>242.291696043352</v>
      </c>
    </row>
    <row r="4839" customFormat="false" ht="15" hidden="false" customHeight="false" outlineLevel="0" collapsed="false">
      <c r="A4839" s="5" t="s">
        <v>913</v>
      </c>
      <c r="B4839" s="0" t="s">
        <v>86</v>
      </c>
      <c r="H4839" s="38" t="n">
        <f aca="false">Sens!$H$4813</f>
        <v>1.6</v>
      </c>
      <c r="I4839" s="38" t="n">
        <f aca="false">Sens!$I$4813</f>
        <v>1.6</v>
      </c>
      <c r="J4839" s="38" t="n">
        <f aca="false">Sens!$J$4813</f>
        <v>1.6</v>
      </c>
      <c r="K4839" s="38" t="n">
        <f aca="false">Sens!$K$4813</f>
        <v>1.6</v>
      </c>
      <c r="L4839" s="38" t="n">
        <f aca="false">Sens!$L$4813</f>
        <v>1.6</v>
      </c>
      <c r="M4839" s="38" t="n">
        <f aca="false">Sens!$M$4813</f>
        <v>1.6</v>
      </c>
    </row>
    <row r="4840" customFormat="false" ht="15" hidden="false" customHeight="false" outlineLevel="0" collapsed="false">
      <c r="A4840" s="5" t="s">
        <v>914</v>
      </c>
      <c r="B4840" s="0" t="s">
        <v>86</v>
      </c>
      <c r="H4840" s="38" t="n">
        <f aca="false">Sens!$H$4807</f>
        <v>11.2928295263397</v>
      </c>
      <c r="I4840" s="38" t="n">
        <f aca="false">Sens!$I$4807</f>
        <v>12.8091546115766</v>
      </c>
      <c r="J4840" s="38" t="n">
        <f aca="false">Sens!$J$4807</f>
        <v>14.2605653162668</v>
      </c>
      <c r="K4840" s="38" t="n">
        <f aca="false">Sens!$K$4807</f>
        <v>15.5327622460396</v>
      </c>
      <c r="L4840" s="38" t="n">
        <f aca="false">Sens!$L$4807</f>
        <v>16.720573737517</v>
      </c>
      <c r="M4840" s="38" t="n">
        <f aca="false">Sens!$M$4807</f>
        <v>17.8283127551536</v>
      </c>
    </row>
    <row r="4841" customFormat="false" ht="17.15" hidden="false" customHeight="false" outlineLevel="0" collapsed="false">
      <c r="A4841" s="1" t="s">
        <v>915</v>
      </c>
      <c r="B4841" s="8" t="s">
        <v>86</v>
      </c>
      <c r="H4841" s="38" t="n">
        <f aca="false">Sens!$H$4836+Sens!$H$4837-Sens!$H$4838-Sens!$H$4839+Sens!$H$4840</f>
        <v>-60.8166953637165</v>
      </c>
      <c r="I4841" s="38" t="n">
        <f aca="false">Sens!$I$4836+Sens!$I$4837-Sens!$I$4838-Sens!$I$4839+Sens!$I$4840</f>
        <v>-13.4941252297726</v>
      </c>
      <c r="J4841" s="38" t="n">
        <f aca="false">Sens!$J$4836+Sens!$J$4837-Sens!$J$4838-Sens!$J$4839+Sens!$J$4840</f>
        <v>34.7087543662231</v>
      </c>
      <c r="K4841" s="38" t="n">
        <f aca="false">Sens!$K$4836+Sens!$K$4837-Sens!$K$4838-Sens!$K$4839+Sens!$K$4840</f>
        <v>136.76819369286</v>
      </c>
      <c r="L4841" s="38" t="n">
        <f aca="false">Sens!$L$4836+Sens!$L$4837-Sens!$L$4838-Sens!$L$4839+Sens!$L$4840</f>
        <v>193.719375507193</v>
      </c>
      <c r="M4841" s="38" t="n">
        <f aca="false">Sens!$M$4836+Sens!$M$4837-Sens!$M$4838-Sens!$M$4839+Sens!$M$4840</f>
        <v>216.647917759091</v>
      </c>
    </row>
    <row r="4842" customFormat="false" ht="15" hidden="false" customHeight="false" outlineLevel="0" collapsed="false">
      <c r="A4842" s="5" t="s">
        <v>916</v>
      </c>
      <c r="B4842" s="0" t="s">
        <v>57</v>
      </c>
      <c r="H4842" s="40" t="n">
        <f aca="false">1/(1+wacc)^(2027-2026-0.5)</f>
        <v>0.947751320380232</v>
      </c>
      <c r="I4842" s="40" t="n">
        <f aca="false">1/(1+wacc)^(2028-2026-0.5)</f>
        <v>0.851301099754987</v>
      </c>
      <c r="J4842" s="40" t="n">
        <f aca="false">1/(1+wacc)^(2029-2026-0.5)</f>
        <v>0.764666370660713</v>
      </c>
      <c r="K4842" s="40" t="n">
        <f aca="false">1/(1+wacc)^(2030-2026-0.5)</f>
        <v>0.686848235703811</v>
      </c>
      <c r="L4842" s="40" t="n">
        <f aca="false">1/(1+wacc)^(2031-2026-0.5)</f>
        <v>0.616949452715975</v>
      </c>
      <c r="M4842" s="40" t="n">
        <f aca="false">1/(1+wacc)^(2032-2026-0.5)</f>
        <v>0.554164089562688</v>
      </c>
    </row>
    <row r="4843" customFormat="false" ht="15" hidden="false" customHeight="false" outlineLevel="0" collapsed="false">
      <c r="A4843" s="5" t="s">
        <v>917</v>
      </c>
      <c r="B4843" s="0" t="s">
        <v>86</v>
      </c>
      <c r="H4843" s="38" t="n">
        <f aca="false">Sens!$H$4841*Sens!$H$4842</f>
        <v>-57.6391033321247</v>
      </c>
      <c r="I4843" s="38" t="n">
        <f aca="false">Sens!$I$4841*Sens!$I$4842</f>
        <v>-11.487563648337</v>
      </c>
      <c r="J4843" s="38" t="n">
        <f aca="false">Sens!$J$4841*Sens!$J$4842</f>
        <v>26.540617231374</v>
      </c>
      <c r="K4843" s="38" t="n">
        <f aca="false">Sens!$K$4841*Sens!$K$4842</f>
        <v>93.9389925383382</v>
      </c>
      <c r="L4843" s="38" t="n">
        <f aca="false">Sens!$L$4841*Sens!$L$4842</f>
        <v>119.515062699643</v>
      </c>
      <c r="M4843" s="38" t="n">
        <f aca="false">Sens!$M$4841*Sens!$M$4842</f>
        <v>120.058496100619</v>
      </c>
    </row>
    <row r="4844" customFormat="false" ht="15" hidden="false" customHeight="false" outlineLevel="0" collapsed="false">
      <c r="A4844" s="5" t="s">
        <v>918</v>
      </c>
      <c r="B4844" s="0" t="s">
        <v>86</v>
      </c>
      <c r="C4844" s="38" t="n">
        <f aca="false">SUM(Sens!$H$4843:$M$4843)</f>
        <v>290.926501589513</v>
      </c>
    </row>
    <row r="4845" customFormat="false" ht="17.15" hidden="false" customHeight="false" outlineLevel="0" collapsed="false">
      <c r="A4845" s="5" t="s">
        <v>919</v>
      </c>
      <c r="B4845" s="0" t="s">
        <v>86</v>
      </c>
      <c r="C4845" s="38" t="n">
        <f aca="false">Sens!$M$4836*(1+tg)*(1-tg/ronic)/(wacc-tg)</f>
        <v>1988.29401263663</v>
      </c>
    </row>
    <row r="4846" customFormat="false" ht="15" hidden="false" customHeight="false" outlineLevel="0" collapsed="false">
      <c r="A4846" s="5" t="s">
        <v>920</v>
      </c>
      <c r="B4846" s="0" t="s">
        <v>86</v>
      </c>
      <c r="C4846" s="38" t="n">
        <f aca="false">Sens!$C$4845/(1+wacc)^6</f>
        <v>1044.27139651228</v>
      </c>
    </row>
    <row r="4847" customFormat="false" ht="17.15" hidden="false" customHeight="false" outlineLevel="0" collapsed="false">
      <c r="A4847" s="5" t="s">
        <v>921</v>
      </c>
      <c r="B4847" s="0" t="s">
        <v>86</v>
      </c>
      <c r="C4847" s="38" t="n">
        <f aca="false">Sens!$C$4844+Sens!$C$4846</f>
        <v>1335.1978981018</v>
      </c>
    </row>
    <row r="4848" customFormat="false" ht="17.15" hidden="false" customHeight="false" outlineLevel="0" collapsed="false">
      <c r="A4848" s="5" t="s">
        <v>922</v>
      </c>
      <c r="B4848" s="0" t="s">
        <v>52</v>
      </c>
      <c r="C4848" s="13" t="n">
        <f aca="false">Sens!$C$4846/Sens!$C$4847</f>
        <v>0.782109826563453</v>
      </c>
    </row>
    <row r="4849" customFormat="false" ht="17.15" hidden="false" customHeight="false" outlineLevel="0" collapsed="false">
      <c r="A4849" s="5" t="s">
        <v>923</v>
      </c>
      <c r="B4849" s="0" t="s">
        <v>86</v>
      </c>
      <c r="C4849" s="38" t="n">
        <f aca="false">Sens!$G$4825+fin_debt</f>
        <v>96.5114130116072</v>
      </c>
    </row>
    <row r="4850" customFormat="false" ht="17.15" hidden="false" customHeight="false" outlineLevel="0" collapsed="false">
      <c r="A4850" s="5" t="s">
        <v>924</v>
      </c>
      <c r="B4850" s="0" t="s">
        <v>86</v>
      </c>
      <c r="C4850" s="38" t="n">
        <f aca="false">(ant_val*ant_sh+oai_val*oai_sh)*(1-liq_disc)</f>
        <v>178.944</v>
      </c>
    </row>
    <row r="4851" customFormat="false" ht="15" hidden="false" customHeight="false" outlineLevel="0" collapsed="false">
      <c r="A4851" s="5" t="s">
        <v>925</v>
      </c>
      <c r="B4851" s="0" t="s">
        <v>86</v>
      </c>
      <c r="C4851" s="38" t="n">
        <f aca="false">Sens!$C$4847-Sens!$C$4849+Sens!$C$4850</f>
        <v>1417.63048509019</v>
      </c>
    </row>
    <row r="4852" customFormat="false" ht="17.15" hidden="false" customHeight="false" outlineLevel="0" collapsed="false">
      <c r="A4852" s="5" t="s">
        <v>926</v>
      </c>
      <c r="B4852" s="0" t="s">
        <v>27</v>
      </c>
      <c r="C4852" s="30" t="n">
        <f aca="false">Sens!$C$4851/sh_out</f>
        <v>131.428631234933</v>
      </c>
    </row>
    <row r="4853" customFormat="false" ht="17.15" hidden="false" customHeight="false" outlineLevel="0" collapsed="false">
      <c r="A4853" s="1" t="s">
        <v>927</v>
      </c>
      <c r="B4853" s="8" t="s">
        <v>27</v>
      </c>
      <c r="C4853" s="30" t="n">
        <f aca="false">Sens!$C$4852*(1+ke)^tp_yf-dps*tp_yf</f>
        <v>143.962828189548</v>
      </c>
    </row>
    <row r="4854" customFormat="false" ht="17.15" hidden="false" customHeight="false" outlineLevel="0" collapsed="false">
      <c r="A4854" s="3" t="s">
        <v>928</v>
      </c>
    </row>
    <row r="4855" customFormat="false" ht="17.15" hidden="false" customHeight="false" outlineLevel="0" collapsed="false">
      <c r="A4855" s="5" t="s">
        <v>929</v>
      </c>
      <c r="B4855" s="0" t="s">
        <v>86</v>
      </c>
      <c r="C4855" s="38" t="n">
        <f aca="false">(1-tp_yf)*(Sens!$H$4782+Sens!$H$4806*Sens!$H$4648/Sens!$H$4723)+tp_yf*(Sens!$I$4782+Sens!$I$4806*Sens!$I$4648/Sens!$I$4723)</f>
        <v>59.634664536349</v>
      </c>
    </row>
    <row r="4856" customFormat="false" ht="15" hidden="false" customHeight="false" outlineLevel="0" collapsed="false">
      <c r="A4856" s="5" t="s">
        <v>930</v>
      </c>
      <c r="B4856" s="0" t="s">
        <v>57</v>
      </c>
      <c r="C4856" s="30" t="n">
        <f aca="false">m_ads*m_x</f>
        <v>9.11</v>
      </c>
    </row>
    <row r="4857" customFormat="false" ht="17.15" hidden="false" customHeight="false" outlineLevel="0" collapsed="false">
      <c r="A4857" s="5" t="s">
        <v>931</v>
      </c>
      <c r="B4857" s="0" t="s">
        <v>86</v>
      </c>
      <c r="C4857" s="38" t="n">
        <f aca="false">Sens!$C$4855*Sens!$C$4856</f>
        <v>543.271793926139</v>
      </c>
    </row>
    <row r="4858" customFormat="false" ht="17.15" hidden="false" customHeight="false" outlineLevel="0" collapsed="false">
      <c r="A4858" s="5" t="s">
        <v>932</v>
      </c>
      <c r="B4858" s="0" t="s">
        <v>86</v>
      </c>
      <c r="C4858" s="38" t="n">
        <f aca="false">(1-tp_yf)*(Sens!$H$4783+Sens!$H$4806*(Sens!$H$4655-Sens!$H$4648)/Sens!$H$4723+IF(internal_ai_reading=2,1,0)*(1-ext_sh)*Sens!$H$4685)+tp_yf*(Sens!$I$4783+Sens!$I$4806*(Sens!$I$4655-Sens!$I$4648)/Sens!$I$4723+IF(internal_ai_reading=2,1,0)*(1-ext_sh)*Sens!$I$4685)</f>
        <v>54.4129999400869</v>
      </c>
    </row>
    <row r="4859" customFormat="false" ht="17.15" hidden="false" customHeight="false" outlineLevel="0" collapsed="false">
      <c r="A4859" s="5" t="s">
        <v>933</v>
      </c>
      <c r="B4859" s="0" t="s">
        <v>57</v>
      </c>
      <c r="C4859" s="30" t="n">
        <f aca="false">m_retail*m_x</f>
        <v>17.72</v>
      </c>
    </row>
    <row r="4860" customFormat="false" ht="17.15" hidden="false" customHeight="false" outlineLevel="0" collapsed="false">
      <c r="A4860" s="5" t="s">
        <v>934</v>
      </c>
      <c r="B4860" s="0" t="s">
        <v>86</v>
      </c>
      <c r="C4860" s="38" t="n">
        <f aca="false">Sens!$C$4858*Sens!$C$4859</f>
        <v>964.19835893834</v>
      </c>
    </row>
    <row r="4861" customFormat="false" ht="17.15" hidden="false" customHeight="false" outlineLevel="0" collapsed="false">
      <c r="A4861" s="0" t="s">
        <v>935</v>
      </c>
      <c r="B4861" s="0" t="s">
        <v>86</v>
      </c>
      <c r="C4861" s="38" t="n">
        <f aca="false">(1-tp_yf)*(Sens!$H$4784+Sens!$H$4806*Sens!$H$4721/Sens!$H$4723)+tp_yf*(Sens!$I$4784+Sens!$I$4806*Sens!$I$4721/Sens!$I$4723)</f>
        <v>97.3363031479074</v>
      </c>
    </row>
    <row r="4862" customFormat="false" ht="17.15" hidden="false" customHeight="false" outlineLevel="0" collapsed="false">
      <c r="A4862" s="0" t="s">
        <v>936</v>
      </c>
      <c r="B4862" s="0" t="s">
        <v>57</v>
      </c>
      <c r="C4862" s="30" t="n">
        <f aca="false">m_cloud*m_x</f>
        <v>13.82</v>
      </c>
    </row>
    <row r="4863" customFormat="false" ht="17.15" hidden="false" customHeight="false" outlineLevel="0" collapsed="false">
      <c r="A4863" s="0" t="s">
        <v>937</v>
      </c>
      <c r="B4863" s="0" t="s">
        <v>86</v>
      </c>
      <c r="C4863" s="38" t="n">
        <f aca="false">Sens!$C$4861*Sens!$C$4862</f>
        <v>1345.18770950408</v>
      </c>
    </row>
    <row r="4864" customFormat="false" ht="17.15" hidden="false" customHeight="false" outlineLevel="0" collapsed="false">
      <c r="A4864" s="0" t="s">
        <v>938</v>
      </c>
      <c r="B4864" s="0" t="s">
        <v>86</v>
      </c>
      <c r="H4864" s="38" t="n">
        <f aca="false">Sens!$H$4702-tax*Sens!$H$4703-ext_sh*Sens!$H$4692</f>
        <v>-114.686944664267</v>
      </c>
      <c r="I4864" s="38" t="n">
        <f aca="false">Sens!$I$4702-tax*Sens!$I$4703-ext_sh*Sens!$I$4692</f>
        <v>-88.3950641557111</v>
      </c>
      <c r="J4864" s="38" t="n">
        <f aca="false">Sens!$J$4702-tax*Sens!$J$4703-ext_sh*Sens!$J$4692</f>
        <v>-61.1526151740695</v>
      </c>
      <c r="K4864" s="38" t="n">
        <f aca="false">Sens!$K$4702-tax*Sens!$K$4703-ext_sh*Sens!$K$4692</f>
        <v>10.057774712684</v>
      </c>
      <c r="L4864" s="38" t="n">
        <f aca="false">Sens!$L$4702-tax*Sens!$L$4703-ext_sh*Sens!$L$4692</f>
        <v>46.6587675560356</v>
      </c>
      <c r="M4864" s="38" t="n">
        <f aca="false">Sens!$M$4702-tax*Sens!$M$4703-ext_sh*Sens!$M$4692</f>
        <v>55.3915455321129</v>
      </c>
    </row>
    <row r="4865" customFormat="false" ht="17.15" hidden="false" customHeight="false" outlineLevel="0" collapsed="false">
      <c r="A4865" s="5" t="s">
        <v>939</v>
      </c>
      <c r="B4865" s="0" t="s">
        <v>86</v>
      </c>
      <c r="H4865" s="38" t="n">
        <f aca="false">Sens!$H$4864*Sens!$H$4842</f>
        <v>-108.694703235934</v>
      </c>
      <c r="I4865" s="38" t="n">
        <f aca="false">Sens!$I$4864*Sens!$I$4842</f>
        <v>-75.2508153286695</v>
      </c>
      <c r="J4865" s="38" t="n">
        <f aca="false">Sens!$J$4864*Sens!$J$4842</f>
        <v>-46.761348301567</v>
      </c>
      <c r="K4865" s="38" t="n">
        <f aca="false">Sens!$K$4864*Sens!$K$4842</f>
        <v>6.90816481651338</v>
      </c>
      <c r="L4865" s="38" t="n">
        <f aca="false">Sens!$L$4864*Sens!$L$4842</f>
        <v>28.7861011080981</v>
      </c>
      <c r="M4865" s="38" t="n">
        <f aca="false">Sens!$M$4864*Sens!$M$4842</f>
        <v>30.6960053992735</v>
      </c>
    </row>
    <row r="4866" customFormat="false" ht="17.15" hidden="false" customHeight="false" outlineLevel="0" collapsed="false">
      <c r="A4866" s="5" t="s">
        <v>940</v>
      </c>
      <c r="B4866" s="0" t="s">
        <v>86</v>
      </c>
      <c r="C4866" s="38" t="n">
        <f aca="false">Sens!$M$4703*(1-tax)*(1+tg)*(1-tg/ronic)/(wacc-tg)</f>
        <v>363.621782500497</v>
      </c>
    </row>
    <row r="4867" customFormat="false" ht="17.15" hidden="false" customHeight="false" outlineLevel="0" collapsed="false">
      <c r="A4867" s="0" t="s">
        <v>941</v>
      </c>
      <c r="B4867" s="0" t="s">
        <v>86</v>
      </c>
      <c r="C4867" s="38" t="n">
        <f aca="false">(SUM(Sens!$H$4865:$M$4865)+Sens!$C$4866/(1+wacc)^6)*(1+wacc)^tp_yf</f>
        <v>29.1198269558345</v>
      </c>
    </row>
    <row r="4868" customFormat="false" ht="17.15" hidden="false" customHeight="false" outlineLevel="0" collapsed="false">
      <c r="A4868" s="5" t="s">
        <v>942</v>
      </c>
      <c r="B4868" s="0" t="s">
        <v>86</v>
      </c>
      <c r="C4868" s="38" t="n">
        <f aca="false">(1-tp_yf)*(Sens!$H$4785)+tp_yf*(Sens!$I$4785)</f>
        <v>74.6707041238437</v>
      </c>
    </row>
    <row r="4869" customFormat="false" ht="17.15" hidden="false" customHeight="false" outlineLevel="0" collapsed="false">
      <c r="A4869" s="5" t="s">
        <v>943</v>
      </c>
      <c r="B4869" s="0" t="s">
        <v>86</v>
      </c>
      <c r="C4869" s="38" t="n">
        <f aca="false">Sens!$C$4868*m_ai</f>
        <v>448.024224743062</v>
      </c>
    </row>
    <row r="4870" customFormat="false" ht="17.15" hidden="false" customHeight="false" outlineLevel="0" collapsed="false">
      <c r="A4870" s="0" t="s">
        <v>944</v>
      </c>
      <c r="B4870" s="0" t="s">
        <v>86</v>
      </c>
      <c r="C4870" s="38" t="n">
        <f aca="false">IF(ai_leg=1,Sens!$C$4867,Sens!$C$4869)</f>
        <v>29.1198269558345</v>
      </c>
    </row>
    <row r="4871" customFormat="false" ht="17.15" hidden="false" customHeight="false" outlineLevel="0" collapsed="false">
      <c r="A4871" s="5" t="s">
        <v>945</v>
      </c>
      <c r="B4871" s="0" t="s">
        <v>86</v>
      </c>
      <c r="C4871" s="38" t="n">
        <f aca="false">Sens!$C$4857+Sens!$C$4860+Sens!$C$4863+Sens!$C$4870</f>
        <v>2881.77768932439</v>
      </c>
    </row>
    <row r="4872" customFormat="false" ht="17.15" hidden="false" customHeight="false" outlineLevel="0" collapsed="false">
      <c r="A4872" s="5" t="s">
        <v>946</v>
      </c>
      <c r="B4872" s="0" t="s">
        <v>86</v>
      </c>
      <c r="C4872" s="38" t="n">
        <f aca="false">Sens!$H$4825+fin_debt</f>
        <v>149.390707232511</v>
      </c>
    </row>
    <row r="4873" customFormat="false" ht="15" hidden="false" customHeight="false" outlineLevel="0" collapsed="false">
      <c r="A4873" s="5" t="s">
        <v>947</v>
      </c>
      <c r="B4873" s="0" t="s">
        <v>86</v>
      </c>
      <c r="C4873" s="38" t="n">
        <f aca="false">Sens!$C$4871-Sens!$C$4872+Sens!$C$4850</f>
        <v>2911.33098209188</v>
      </c>
    </row>
    <row r="4874" customFormat="false" ht="15" hidden="false" customHeight="false" outlineLevel="0" collapsed="false">
      <c r="A4874" s="3" t="s">
        <v>948</v>
      </c>
      <c r="B4874" s="8" t="s">
        <v>27</v>
      </c>
      <c r="C4874" s="30" t="n">
        <f aca="false">Sens!$C$4873/sh_val</f>
        <v>263.939084788691</v>
      </c>
    </row>
    <row r="4875" customFormat="false" ht="17.15" hidden="false" customHeight="false" outlineLevel="0" collapsed="false">
      <c r="A4875" s="47" t="s">
        <v>949</v>
      </c>
      <c r="B4875" s="14" t="s">
        <v>27</v>
      </c>
      <c r="C4875" s="44" t="n">
        <f aca="false">w_dcf*Sens!$C$4853+(1-w_dcf)*Sens!$C$4874</f>
        <v>203.95095648912</v>
      </c>
      <c r="D4875" s="14"/>
      <c r="E4875" s="14"/>
      <c r="F4875" s="14"/>
      <c r="G4875" s="14"/>
      <c r="H4875" s="14"/>
      <c r="I4875" s="14"/>
      <c r="J4875" s="14"/>
      <c r="K4875" s="14"/>
      <c r="L4875" s="14"/>
      <c r="M4875" s="14"/>
      <c r="N4875" s="14"/>
      <c r="O4875" s="14"/>
    </row>
    <row r="4876" customFormat="false" ht="17.15" hidden="false" customHeight="false" outlineLevel="0" collapsed="false">
      <c r="A4876" s="5" t="s">
        <v>950</v>
      </c>
      <c r="B4876" s="0" t="s">
        <v>27</v>
      </c>
      <c r="C4876" s="30" t="n">
        <f aca="false">v022_wdcf*Sens!$C$4853+(1-v022_wdcf)*Sens!$C$4874</f>
        <v>209.949769319077</v>
      </c>
    </row>
    <row r="4877" customFormat="false" ht="17.15" hidden="false" customHeight="false" outlineLevel="0" collapsed="false">
      <c r="A4877" s="5" t="s">
        <v>951</v>
      </c>
      <c r="B4877" s="0" t="s">
        <v>27</v>
      </c>
      <c r="C4877" s="30" t="n">
        <f aca="false">(Sens!$C$4873-Sens!$C$4870+Sens!$C$4869)/sh_val</f>
        <v>301.916643522488</v>
      </c>
    </row>
    <row r="4880" customFormat="false" ht="19.4" hidden="false" customHeight="false" outlineLevel="0" collapsed="false">
      <c r="A4880" s="31" t="s">
        <v>1227</v>
      </c>
    </row>
    <row r="4881" customFormat="false" ht="17.15" hidden="false" customHeight="false" outlineLevel="0" collapsed="false">
      <c r="A4881" s="6" t="s">
        <v>16</v>
      </c>
      <c r="B4881" s="6" t="s">
        <v>17</v>
      </c>
      <c r="C4881" s="20" t="s">
        <v>494</v>
      </c>
      <c r="D4881" s="20" t="s">
        <v>495</v>
      </c>
      <c r="E4881" s="20" t="s">
        <v>577</v>
      </c>
      <c r="F4881" s="20" t="s">
        <v>578</v>
      </c>
      <c r="G4881" s="20" t="s">
        <v>579</v>
      </c>
      <c r="H4881" s="20" t="s">
        <v>580</v>
      </c>
      <c r="I4881" s="20" t="s">
        <v>581</v>
      </c>
      <c r="J4881" s="20" t="s">
        <v>582</v>
      </c>
      <c r="K4881" s="20" t="s">
        <v>583</v>
      </c>
      <c r="L4881" s="20" t="s">
        <v>584</v>
      </c>
      <c r="M4881" s="20" t="s">
        <v>585</v>
      </c>
      <c r="N4881" s="20" t="s">
        <v>586</v>
      </c>
      <c r="O4881" s="20" t="s">
        <v>587</v>
      </c>
      <c r="P4881" s="6" t="s">
        <v>23</v>
      </c>
      <c r="R4881" s="20" t="n">
        <v>2023</v>
      </c>
      <c r="S4881" s="20" t="n">
        <v>2024</v>
      </c>
      <c r="T4881" s="20" t="n">
        <v>2025</v>
      </c>
      <c r="U4881" s="20" t="n">
        <v>2026</v>
      </c>
      <c r="V4881" s="20" t="n">
        <v>2027</v>
      </c>
      <c r="W4881" s="20" t="n">
        <v>2028</v>
      </c>
      <c r="X4881" s="20" t="n">
        <v>2029</v>
      </c>
      <c r="Y4881" s="20" t="n">
        <v>2030</v>
      </c>
      <c r="Z4881" s="20" t="n">
        <v>2031</v>
      </c>
      <c r="AA4881" s="20" t="n">
        <v>2032</v>
      </c>
    </row>
    <row r="4882" customFormat="false" ht="17.15" hidden="false" customHeight="false" outlineLevel="0" collapsed="false">
      <c r="A4882" s="1" t="s">
        <v>660</v>
      </c>
    </row>
    <row r="4883" customFormat="false" ht="17.15" hidden="false" customHeight="false" outlineLevel="0" collapsed="false">
      <c r="A4883" s="0" t="s">
        <v>516</v>
      </c>
      <c r="B4883" s="0" t="s">
        <v>86</v>
      </c>
      <c r="C4883" s="38" t="n">
        <f aca="false">Q!$D$10</f>
        <v>247.029</v>
      </c>
      <c r="D4883" s="38" t="n">
        <f aca="false">Q!$E$10</f>
        <v>269.287</v>
      </c>
      <c r="E4883" s="38" t="n">
        <f aca="false">Q!$P$10</f>
        <v>134.686</v>
      </c>
      <c r="F4883" s="38" t="n">
        <f aca="false">Sens!$O$4883*(1+Sens!$F$4884)*Sens!$F$4895</f>
        <v>158.293876822267</v>
      </c>
      <c r="G4883" s="38" t="n">
        <f aca="false">Sens!$E$4883+Sens!$F$4883</f>
        <v>292.979876822267</v>
      </c>
      <c r="H4883" s="38" t="n">
        <f aca="false">Sens!$G$4883*(1+Sens!$H$4884)</f>
        <v>318.184543087396</v>
      </c>
      <c r="I4883" s="38" t="n">
        <f aca="false">Sens!$H$4883*(1+Sens!$I$4884)</f>
        <v>341.736278761793</v>
      </c>
      <c r="J4883" s="38" t="n">
        <f aca="false">Sens!$I$4883*(1+Sens!$J$4884)</f>
        <v>362.927192787048</v>
      </c>
      <c r="K4883" s="38" t="n">
        <f aca="false">Sens!$J$4883*(1+Sens!$K$4884)</f>
        <v>381.0735524264</v>
      </c>
      <c r="L4883" s="38" t="n">
        <f aca="false">Sens!$K$4883*(1+Sens!$L$4884)</f>
        <v>400.12723004772</v>
      </c>
      <c r="M4883" s="38" t="n">
        <f aca="false">Sens!$L$4883*(1+Sens!$M$4884)</f>
        <v>420.133591550106</v>
      </c>
      <c r="N4883" s="38" t="n">
        <f aca="false">Q!$N$10</f>
        <v>118.892</v>
      </c>
      <c r="O4883" s="38" t="n">
        <f aca="false">Q!$O$10</f>
        <v>150.395</v>
      </c>
      <c r="P4883" s="8" t="s">
        <v>661</v>
      </c>
    </row>
    <row r="4884" customFormat="false" ht="17.15" hidden="false" customHeight="false" outlineLevel="0" collapsed="false">
      <c r="A4884" s="0" t="s">
        <v>662</v>
      </c>
      <c r="B4884" s="0" t="s">
        <v>52</v>
      </c>
      <c r="E4884" s="13" t="n">
        <f aca="false">Sens!$E$4883/Sens!$N$4883-1</f>
        <v>0.132843252699929</v>
      </c>
      <c r="F4884" s="13" t="n">
        <f aca="false">Sens!$O$4883/(Q!$F$10+Q!$G$10)-1</f>
        <v>0.0980382135842941</v>
      </c>
      <c r="G4884" s="13" t="n">
        <f aca="false">Sens!$G$4883/Sens!$D$4883-1</f>
        <v>0.0879837378791657</v>
      </c>
      <c r="H4884" s="13" t="n">
        <f aca="false">Sens!$F$4884+(g_os-Sens!$F$4884)*1/4</f>
        <v>0.0860286601882206</v>
      </c>
      <c r="I4884" s="13" t="n">
        <f aca="false">Sens!$F$4884+(g_os-Sens!$F$4884)*2/4</f>
        <v>0.074019106792147</v>
      </c>
      <c r="J4884" s="13" t="n">
        <f aca="false">Sens!$F$4884+(g_os-Sens!$F$4884)*3/4</f>
        <v>0.0620095533960735</v>
      </c>
      <c r="K4884" s="13" t="n">
        <f aca="false">Sens!$F$4884+(g_os-Sens!$F$4884)*4/4</f>
        <v>0.05</v>
      </c>
      <c r="L4884" s="13" t="n">
        <f aca="false">g_os</f>
        <v>0.05</v>
      </c>
      <c r="M4884" s="13" t="n">
        <f aca="false">g_os</f>
        <v>0.05</v>
      </c>
      <c r="P4884" s="8" t="s">
        <v>663</v>
      </c>
    </row>
    <row r="4885" customFormat="false" ht="17.15" hidden="false" customHeight="false" outlineLevel="0" collapsed="false">
      <c r="A4885" s="0" t="s">
        <v>517</v>
      </c>
      <c r="B4885" s="0" t="s">
        <v>86</v>
      </c>
      <c r="C4885" s="38" t="n">
        <f aca="false">Q!$D$11</f>
        <v>21.215</v>
      </c>
      <c r="D4885" s="38" t="n">
        <f aca="false">Q!$E$11</f>
        <v>22.561</v>
      </c>
      <c r="E4885" s="38" t="n">
        <f aca="false">Q!$P$11</f>
        <v>11.579</v>
      </c>
      <c r="F4885" s="38" t="n">
        <f aca="false">Sens!$O$4885*(1+Sens!$F$4886)*Sens!$F$4895</f>
        <v>11.5938724610325</v>
      </c>
      <c r="G4885" s="38" t="n">
        <f aca="false">Sens!$E$4885+Sens!$F$4885</f>
        <v>23.1728724610325</v>
      </c>
      <c r="H4885" s="38" t="n">
        <f aca="false">Sens!$G$4885*(1+Sens!$H$4886)</f>
        <v>24.353392759506</v>
      </c>
      <c r="I4885" s="38" t="n">
        <f aca="false">Sens!$H$4885*(1+Sens!$I$4886)</f>
        <v>25.4240338872015</v>
      </c>
      <c r="J4885" s="38" t="n">
        <f aca="false">Sens!$I$4885*(1+Sens!$J$4886)</f>
        <v>26.3642491017174</v>
      </c>
      <c r="K4885" s="38" t="n">
        <f aca="false">Sens!$J$4885*(1+Sens!$K$4886)</f>
        <v>27.155176574769</v>
      </c>
      <c r="L4885" s="38" t="n">
        <f aca="false">Sens!$K$4885*(1+Sens!$L$4886)</f>
        <v>27.969831872012</v>
      </c>
      <c r="M4885" s="38" t="n">
        <f aca="false">Sens!$L$4885*(1+Sens!$M$4886)</f>
        <v>28.8089268281724</v>
      </c>
      <c r="N4885" s="38" t="n">
        <f aca="false">Q!$N$11</f>
        <v>11.128</v>
      </c>
      <c r="O4885" s="38" t="n">
        <f aca="false">Q!$O$11</f>
        <v>11.433</v>
      </c>
      <c r="P4885" s="8" t="s">
        <v>661</v>
      </c>
    </row>
    <row r="4886" customFormat="false" ht="17.15" hidden="false" customHeight="false" outlineLevel="0" collapsed="false">
      <c r="A4886" s="0" t="s">
        <v>664</v>
      </c>
      <c r="B4886" s="0" t="s">
        <v>52</v>
      </c>
      <c r="E4886" s="13" t="n">
        <f aca="false">Sens!$E$4885/Sens!$N$4885-1</f>
        <v>0.0405283968368082</v>
      </c>
      <c r="F4886" s="13" t="n">
        <f aca="false">Sens!$O$4885/(Q!$F$11+Q!$G$11)-1</f>
        <v>0.0579254187100955</v>
      </c>
      <c r="G4886" s="13" t="n">
        <f aca="false">Sens!$G$4885/Sens!$D$4885-1</f>
        <v>0.0271208040881397</v>
      </c>
      <c r="H4886" s="13" t="n">
        <f aca="false">Sens!$F$4886+(g_ps-Sens!$F$4886)*1/4</f>
        <v>0.0509440640325716</v>
      </c>
      <c r="I4886" s="13" t="n">
        <f aca="false">Sens!$F$4886+(g_ps-Sens!$F$4886)*2/4</f>
        <v>0.0439627093550477</v>
      </c>
      <c r="J4886" s="13" t="n">
        <f aca="false">Sens!$F$4886+(g_ps-Sens!$F$4886)*3/4</f>
        <v>0.0369813546775239</v>
      </c>
      <c r="K4886" s="13" t="n">
        <f aca="false">Sens!$F$4886+(g_ps-Sens!$F$4886)*4/4</f>
        <v>0.03</v>
      </c>
      <c r="L4886" s="13" t="n">
        <f aca="false">g_ps</f>
        <v>0.03</v>
      </c>
      <c r="M4886" s="13" t="n">
        <f aca="false">g_ps</f>
        <v>0.03</v>
      </c>
      <c r="P4886" s="8" t="s">
        <v>665</v>
      </c>
    </row>
    <row r="4887" customFormat="false" ht="17.15" hidden="false" customHeight="false" outlineLevel="0" collapsed="false">
      <c r="A4887" s="0" t="s">
        <v>518</v>
      </c>
      <c r="B4887" s="0" t="s">
        <v>86</v>
      </c>
      <c r="C4887" s="38" t="n">
        <f aca="false">Q!$D$12</f>
        <v>156.146</v>
      </c>
      <c r="D4887" s="38" t="n">
        <f aca="false">Q!$E$12</f>
        <v>172.162</v>
      </c>
      <c r="E4887" s="38" t="n">
        <f aca="false">Q!$P$12</f>
        <v>88.358</v>
      </c>
      <c r="F4887" s="38" t="n">
        <f aca="false">Sens!$O$4887*(1+Sens!$F$4888)*Sens!$F$4895</f>
        <v>102.004388260171</v>
      </c>
      <c r="G4887" s="38" t="n">
        <f aca="false">Sens!$E$4887+Sens!$F$4887</f>
        <v>190.362388260171</v>
      </c>
      <c r="H4887" s="38" t="n">
        <f aca="false">Sens!$G$4887*(1+Sens!$H$4888)</f>
        <v>210.343106588311</v>
      </c>
      <c r="I4887" s="38" t="n">
        <f aca="false">Sens!$H$4887*(1+Sens!$I$4888)</f>
        <v>229.969728494648</v>
      </c>
      <c r="J4887" s="38" t="n">
        <f aca="false">Sens!$I$4887*(1+Sens!$J$4888)</f>
        <v>248.747636972598</v>
      </c>
      <c r="K4887" s="38" t="n">
        <f aca="false">Sens!$J$4887*(1+Sens!$K$4888)</f>
        <v>266.15997156068</v>
      </c>
      <c r="L4887" s="38" t="n">
        <f aca="false">Sens!$K$4887*(1+Sens!$L$4888)</f>
        <v>284.791169569927</v>
      </c>
      <c r="M4887" s="38" t="n">
        <f aca="false">Sens!$L$4887*(1+Sens!$M$4888)</f>
        <v>304.726551439822</v>
      </c>
      <c r="N4887" s="38" t="n">
        <f aca="false">Q!$N$12</f>
        <v>76.86</v>
      </c>
      <c r="O4887" s="38" t="n">
        <f aca="false">Q!$O$12</f>
        <v>95.302</v>
      </c>
      <c r="P4887" s="8" t="s">
        <v>661</v>
      </c>
    </row>
    <row r="4888" customFormat="false" ht="17.15" hidden="false" customHeight="false" outlineLevel="0" collapsed="false">
      <c r="A4888" s="0" t="s">
        <v>666</v>
      </c>
      <c r="B4888" s="0" t="s">
        <v>52</v>
      </c>
      <c r="E4888" s="13" t="n">
        <f aca="false">Sens!$E$4887/Sens!$N$4887-1</f>
        <v>0.1495966692688</v>
      </c>
      <c r="F4888" s="13" t="n">
        <f aca="false">Sens!$O$4887/(Q!$F$12+Q!$G$12)-1</f>
        <v>0.11661530890813</v>
      </c>
      <c r="G4888" s="13" t="n">
        <f aca="false">Sens!$G$4887/Sens!$D$4887-1</f>
        <v>0.105716640490767</v>
      </c>
      <c r="H4888" s="13" t="n">
        <f aca="false">Sens!$F$4888+(g_sp-Sens!$F$4888)*1/4</f>
        <v>0.104961481681098</v>
      </c>
      <c r="I4888" s="13" t="n">
        <f aca="false">Sens!$F$4888+(g_sp-Sens!$F$4888)*2/4</f>
        <v>0.0933076544540651</v>
      </c>
      <c r="J4888" s="13" t="n">
        <f aca="false">Sens!$F$4888+(g_sp-Sens!$F$4888)*3/4</f>
        <v>0.0816538272270325</v>
      </c>
      <c r="K4888" s="13" t="n">
        <f aca="false">Sens!$F$4888+(g_sp-Sens!$F$4888)*4/4</f>
        <v>0.07</v>
      </c>
      <c r="L4888" s="13" t="n">
        <f aca="false">g_sp</f>
        <v>0.07</v>
      </c>
      <c r="M4888" s="13" t="n">
        <f aca="false">g_sp</f>
        <v>0.07</v>
      </c>
      <c r="P4888" s="8" t="s">
        <v>667</v>
      </c>
    </row>
    <row r="4889" customFormat="false" ht="17.15" hidden="false" customHeight="false" outlineLevel="0" collapsed="false">
      <c r="A4889" s="0" t="s">
        <v>519</v>
      </c>
      <c r="B4889" s="0" t="s">
        <v>86</v>
      </c>
      <c r="C4889" s="38" t="n">
        <f aca="false">Q!$D$13</f>
        <v>56.214</v>
      </c>
      <c r="D4889" s="38" t="n">
        <f aca="false">Q!$E$13</f>
        <v>68.635</v>
      </c>
      <c r="E4889" s="38" t="n">
        <f aca="false">Q!$P$13</f>
        <v>37.052</v>
      </c>
      <c r="F4889" s="38" t="n">
        <f aca="false">Sens!$O$4889*(1+Sens!$F$4890)*Sens!$F$4895</f>
        <v>46.1572219944148</v>
      </c>
      <c r="G4889" s="38" t="n">
        <f aca="false">Sens!$E$4889+Sens!$F$4889</f>
        <v>83.2092219944148</v>
      </c>
      <c r="H4889" s="38" t="n">
        <f aca="false">Sens!$G$4889*(1+Sens!$H$4890)</f>
        <v>99.8969223878976</v>
      </c>
      <c r="I4889" s="38" t="n">
        <f aca="false">Sens!$H$4889*(1+Sens!$I$4890)</f>
        <v>116.583111095496</v>
      </c>
      <c r="J4889" s="38" t="n">
        <f aca="false">Sens!$I$4889*(1+Sens!$J$4890)</f>
        <v>132.148941941952</v>
      </c>
      <c r="K4889" s="38" t="n">
        <f aca="false">Sens!$J$4889*(1+Sens!$K$4890)</f>
        <v>145.363836136147</v>
      </c>
      <c r="L4889" s="38" t="n">
        <f aca="false">Sens!$K$4889*(1+Sens!$L$4890)</f>
        <v>159.900219749762</v>
      </c>
      <c r="M4889" s="38" t="n">
        <f aca="false">Sens!$L$4889*(1+Sens!$M$4890)</f>
        <v>175.890241724738</v>
      </c>
      <c r="N4889" s="38" t="n">
        <f aca="false">Q!$N$13</f>
        <v>29.615</v>
      </c>
      <c r="O4889" s="38" t="n">
        <f aca="false">Q!$O$13</f>
        <v>39.02</v>
      </c>
      <c r="P4889" s="8" t="s">
        <v>661</v>
      </c>
    </row>
    <row r="4890" customFormat="false" ht="17.15" hidden="false" customHeight="false" outlineLevel="0" collapsed="false">
      <c r="A4890" s="0" t="s">
        <v>668</v>
      </c>
      <c r="B4890" s="0" t="s">
        <v>52</v>
      </c>
      <c r="E4890" s="13" t="n">
        <f aca="false">Sens!$E$4889/Sens!$N$4889-1</f>
        <v>0.25112274185379</v>
      </c>
      <c r="F4890" s="13" t="n">
        <f aca="false">Sens!$O$4889/(Q!$F$13+Q!$G$13)-1</f>
        <v>0.234068123596572</v>
      </c>
      <c r="G4890" s="13" t="n">
        <f aca="false">Sens!$G$4889/Sens!$D$4889-1</f>
        <v>0.212343876949294</v>
      </c>
      <c r="H4890" s="13" t="n">
        <f aca="false">Sens!$F$4890+(g_ad-Sens!$F$4890)*1/4</f>
        <v>0.200551092697429</v>
      </c>
      <c r="I4890" s="13" t="n">
        <f aca="false">Sens!$F$4890+(g_ad-Sens!$F$4890)*2/4</f>
        <v>0.167034061798286</v>
      </c>
      <c r="J4890" s="13" t="n">
        <f aca="false">Sens!$F$4890+(g_ad-Sens!$F$4890)*3/4</f>
        <v>0.133517030899143</v>
      </c>
      <c r="K4890" s="13" t="n">
        <f aca="false">Sens!$F$4890+(g_ad-Sens!$F$4890)*4/4</f>
        <v>0.1</v>
      </c>
      <c r="L4890" s="13" t="n">
        <f aca="false">g_ad</f>
        <v>0.1</v>
      </c>
      <c r="M4890" s="13" t="n">
        <f aca="false">g_ad</f>
        <v>0.1</v>
      </c>
      <c r="P4890" s="8" t="s">
        <v>669</v>
      </c>
    </row>
    <row r="4891" customFormat="false" ht="17.15" hidden="false" customHeight="false" outlineLevel="0" collapsed="false">
      <c r="A4891" s="0" t="s">
        <v>520</v>
      </c>
      <c r="B4891" s="0" t="s">
        <v>86</v>
      </c>
      <c r="C4891" s="38" t="n">
        <f aca="false">Q!$D$14</f>
        <v>44.374</v>
      </c>
      <c r="D4891" s="38" t="n">
        <f aca="false">Q!$E$14</f>
        <v>49.619</v>
      </c>
      <c r="E4891" s="38" t="n">
        <f aca="false">Q!$P$14</f>
        <v>27.157</v>
      </c>
      <c r="F4891" s="38" t="n">
        <f aca="false">Sens!$O$4891*(1+Sens!$F$4892)*Sens!$F$4895</f>
        <v>27.7764165988154</v>
      </c>
      <c r="G4891" s="38" t="n">
        <f aca="false">Sens!$E$4891+Sens!$F$4891</f>
        <v>54.9334165988154</v>
      </c>
      <c r="H4891" s="38" t="n">
        <f aca="false">Sens!$G$4891*(1+Sens!$H$4892)</f>
        <v>61.1564112561829</v>
      </c>
      <c r="I4891" s="38" t="n">
        <f aca="false">Sens!$H$4891*(1+Sens!$I$4892)</f>
        <v>67.2020282103945</v>
      </c>
      <c r="J4891" s="38" t="n">
        <f aca="false">Sens!$I$4891*(1+Sens!$J$4892)</f>
        <v>72.8757274028885</v>
      </c>
      <c r="K4891" s="38" t="n">
        <f aca="false">Sens!$J$4891*(1+Sens!$K$4892)</f>
        <v>77.9770283210907</v>
      </c>
      <c r="L4891" s="38" t="n">
        <f aca="false">Sens!$K$4891*(1+Sens!$L$4892)</f>
        <v>83.4354203035671</v>
      </c>
      <c r="M4891" s="38" t="n">
        <f aca="false">Sens!$L$4891*(1+Sens!$M$4892)</f>
        <v>89.2758997248168</v>
      </c>
      <c r="N4891" s="38" t="n">
        <f aca="false">Q!$N$14</f>
        <v>23.923</v>
      </c>
      <c r="O4891" s="38" t="n">
        <f aca="false">Q!$O$14</f>
        <v>25.696</v>
      </c>
      <c r="P4891" s="8" t="s">
        <v>661</v>
      </c>
    </row>
    <row r="4892" customFormat="false" ht="17.15" hidden="false" customHeight="false" outlineLevel="0" collapsed="false">
      <c r="A4892" s="0" t="s">
        <v>670</v>
      </c>
      <c r="B4892" s="0" t="s">
        <v>52</v>
      </c>
      <c r="E4892" s="13" t="n">
        <f aca="false">Sens!$E$4891/Sens!$N$4891-1</f>
        <v>0.135183714417088</v>
      </c>
      <c r="F4892" s="13" t="n">
        <f aca="false">Sens!$O$4891/(Q!$F$14+Q!$G$14)-1</f>
        <v>0.127709997366804</v>
      </c>
      <c r="G4892" s="13" t="n">
        <f aca="false">Sens!$G$4891/Sens!$D$4891-1</f>
        <v>0.107104468022641</v>
      </c>
      <c r="H4892" s="13" t="n">
        <f aca="false">Sens!$F$4892+(g_sub-Sens!$F$4892)*1/4</f>
        <v>0.113282498025103</v>
      </c>
      <c r="I4892" s="13" t="n">
        <f aca="false">Sens!$F$4892+(g_sub-Sens!$F$4892)*2/4</f>
        <v>0.0988549986834021</v>
      </c>
      <c r="J4892" s="13" t="n">
        <f aca="false">Sens!$F$4892+(g_sub-Sens!$F$4892)*3/4</f>
        <v>0.084427499341701</v>
      </c>
      <c r="K4892" s="13" t="n">
        <f aca="false">Sens!$F$4892+(g_sub-Sens!$F$4892)*4/4</f>
        <v>0.07</v>
      </c>
      <c r="L4892" s="13" t="n">
        <f aca="false">g_sub</f>
        <v>0.07</v>
      </c>
      <c r="M4892" s="13" t="n">
        <f aca="false">g_sub</f>
        <v>0.07</v>
      </c>
      <c r="P4892" s="8" t="s">
        <v>671</v>
      </c>
    </row>
    <row r="4893" customFormat="false" ht="17.15" hidden="false" customHeight="false" outlineLevel="0" collapsed="false">
      <c r="A4893" s="0" t="s">
        <v>521</v>
      </c>
      <c r="B4893" s="0" t="s">
        <v>86</v>
      </c>
      <c r="C4893" s="38" t="n">
        <f aca="false">Q!$D$15</f>
        <v>5.425</v>
      </c>
      <c r="D4893" s="38" t="n">
        <f aca="false">Q!$E$15</f>
        <v>5.935</v>
      </c>
      <c r="E4893" s="38" t="n">
        <f aca="false">Q!$P$15</f>
        <v>3.474</v>
      </c>
      <c r="F4893" s="38" t="n">
        <f aca="false">Sens!$O$4893*(1+Sens!$F$4894)*Sens!$F$4895</f>
        <v>3.22246550883619</v>
      </c>
      <c r="G4893" s="38" t="n">
        <f aca="false">Sens!$E$4893+Sens!$F$4893</f>
        <v>6.69646550883619</v>
      </c>
      <c r="H4893" s="38" t="n">
        <f aca="false">Sens!$G$4893*(1+Sens!$H$4894)</f>
        <v>7.16251344209196</v>
      </c>
      <c r="I4893" s="38" t="n">
        <f aca="false">Sens!$H$4893*(1+Sens!$I$4894)</f>
        <v>7.61421070299826</v>
      </c>
      <c r="J4893" s="38" t="n">
        <f aca="false">Sens!$I$4893*(1+Sens!$J$4894)</f>
        <v>8.04465753523932</v>
      </c>
      <c r="K4893" s="38" t="n">
        <f aca="false">Sens!$J$4893*(1+Sens!$K$4894)</f>
        <v>8.44689041200128</v>
      </c>
      <c r="L4893" s="38" t="n">
        <f aca="false">Sens!$K$4893*(1+Sens!$L$4894)</f>
        <v>8.86923493260135</v>
      </c>
      <c r="M4893" s="38" t="n">
        <f aca="false">Sens!$L$4893*(1+Sens!$M$4894)</f>
        <v>9.31269667923142</v>
      </c>
      <c r="N4893" s="38" t="n">
        <f aca="false">Q!$N$15</f>
        <v>2.811</v>
      </c>
      <c r="O4893" s="38" t="n">
        <f aca="false">Q!$O$15</f>
        <v>3.124</v>
      </c>
      <c r="P4893" s="8" t="s">
        <v>661</v>
      </c>
    </row>
    <row r="4894" customFormat="false" ht="17.15" hidden="false" customHeight="false" outlineLevel="0" collapsed="false">
      <c r="A4894" s="0" t="s">
        <v>672</v>
      </c>
      <c r="B4894" s="0" t="s">
        <v>52</v>
      </c>
      <c r="E4894" s="13" t="n">
        <f aca="false">Sens!$E$4893/Sens!$N$4893-1</f>
        <v>0.235859124866596</v>
      </c>
      <c r="F4894" s="13" t="n">
        <f aca="false">Sens!$O$4893/(Q!$F$15+Q!$G$15)-1</f>
        <v>0.0761281433000345</v>
      </c>
      <c r="G4894" s="13" t="n">
        <f aca="false">Sens!$G$4893/Sens!$D$4893-1</f>
        <v>0.128300843948811</v>
      </c>
      <c r="H4894" s="13" t="n">
        <f aca="false">Sens!$F$4894+(g_ot-Sens!$F$4894)*1/4</f>
        <v>0.0695961074750259</v>
      </c>
      <c r="I4894" s="13" t="n">
        <f aca="false">Sens!$F$4894+(g_ot-Sens!$F$4894)*2/4</f>
        <v>0.0630640716500172</v>
      </c>
      <c r="J4894" s="13" t="n">
        <f aca="false">Sens!$F$4894+(g_ot-Sens!$F$4894)*3/4</f>
        <v>0.0565320358250086</v>
      </c>
      <c r="K4894" s="13" t="n">
        <f aca="false">Sens!$F$4894+(g_ot-Sens!$F$4894)*4/4</f>
        <v>0.05</v>
      </c>
      <c r="L4894" s="13" t="n">
        <f aca="false">g_ot</f>
        <v>0.05</v>
      </c>
      <c r="M4894" s="13" t="n">
        <f aca="false">g_ot</f>
        <v>0.05</v>
      </c>
      <c r="P4894" s="8" t="s">
        <v>673</v>
      </c>
    </row>
    <row r="4895" customFormat="false" ht="17.15" hidden="false" customHeight="false" outlineLevel="0" collapsed="false">
      <c r="A4895" s="0" t="s">
        <v>674</v>
      </c>
      <c r="B4895" s="0" t="s">
        <v>57</v>
      </c>
      <c r="F4895" s="40" t="n">
        <f aca="false">(g26q3_mid*Q!$O$8/Q!$J$8-Sens!$F$4924-Sens!$F$4928)/(Sens!$O$4883*(1+Sens!$F$4884)+Sens!$O$4885*(1+Sens!$F$4886)+Sens!$O$4887*(1+Sens!$F$4888)+Sens!$O$4889*(1+Sens!$F$4890)+Sens!$O$4891*(1+Sens!$F$4892)+Sens!$O$4893*(1+Sens!$F$4894))</f>
        <v>0.958546670622329</v>
      </c>
      <c r="P4895" s="8" t="s">
        <v>675</v>
      </c>
    </row>
    <row r="4896" customFormat="false" ht="17.15" hidden="false" customHeight="false" outlineLevel="0" collapsed="false">
      <c r="A4896" s="3" t="s">
        <v>676</v>
      </c>
      <c r="B4896" s="8" t="s">
        <v>86</v>
      </c>
      <c r="C4896" s="38" t="n">
        <f aca="false">Sens!$C$4883+Sens!$C$4885+Sens!$C$4887+Sens!$C$4889+Sens!$C$4891+Sens!$C$4893</f>
        <v>530.403</v>
      </c>
      <c r="D4896" s="38" t="n">
        <f aca="false">Sens!$D$4883+Sens!$D$4885+Sens!$D$4887+Sens!$D$4889+Sens!$D$4891+Sens!$D$4893</f>
        <v>588.199</v>
      </c>
      <c r="E4896" s="38" t="n">
        <f aca="false">Sens!$E$4883+Sens!$E$4885+Sens!$E$4887+Sens!$E$4889+Sens!$E$4891+Sens!$E$4893</f>
        <v>302.306</v>
      </c>
      <c r="F4896" s="38" t="n">
        <f aca="false">Sens!$F$4883+Sens!$F$4885+Sens!$F$4887+Sens!$F$4889+Sens!$F$4891+Sens!$F$4893</f>
        <v>349.048241645537</v>
      </c>
      <c r="G4896" s="38" t="n">
        <f aca="false">Sens!$G$4883+Sens!$G$4885+Sens!$G$4887+Sens!$G$4889+Sens!$G$4891+Sens!$G$4893</f>
        <v>651.354241645537</v>
      </c>
      <c r="H4896" s="38" t="n">
        <f aca="false">Sens!$H$4883+Sens!$H$4885+Sens!$H$4887+Sens!$H$4889+Sens!$H$4891+Sens!$H$4893</f>
        <v>721.096889521386</v>
      </c>
      <c r="I4896" s="38" t="n">
        <f aca="false">Sens!$I$4883+Sens!$I$4885+Sens!$I$4887+Sens!$I$4889+Sens!$I$4891+Sens!$I$4893</f>
        <v>788.529391152531</v>
      </c>
      <c r="J4896" s="38" t="n">
        <f aca="false">Sens!$J$4883+Sens!$J$4885+Sens!$J$4887+Sens!$J$4889+Sens!$J$4891+Sens!$J$4893</f>
        <v>851.108405741443</v>
      </c>
      <c r="K4896" s="38" t="n">
        <f aca="false">Sens!$K$4883+Sens!$K$4885+Sens!$K$4887+Sens!$K$4889+Sens!$K$4891+Sens!$K$4893</f>
        <v>906.176455431088</v>
      </c>
      <c r="L4896" s="38" t="n">
        <f aca="false">Sens!$L$4883+Sens!$L$4885+Sens!$L$4887+Sens!$L$4889+Sens!$L$4891+Sens!$L$4893</f>
        <v>965.093106475589</v>
      </c>
      <c r="M4896" s="38" t="n">
        <f aca="false">Sens!$M$4883+Sens!$M$4885+Sens!$M$4887+Sens!$M$4889+Sens!$M$4891+Sens!$M$4893</f>
        <v>1028.14790794689</v>
      </c>
      <c r="N4896" s="38" t="n">
        <f aca="false">Sens!$N$4883+Sens!$N$4885+Sens!$N$4887+Sens!$N$4889+Sens!$N$4891+Sens!$N$4893</f>
        <v>263.229</v>
      </c>
      <c r="O4896" s="38" t="n">
        <f aca="false">Sens!$O$4883+Sens!$O$4885+Sens!$O$4887+Sens!$O$4889+Sens!$O$4891+Sens!$O$4893</f>
        <v>324.97</v>
      </c>
    </row>
    <row r="4897" customFormat="false" ht="17.15" hidden="false" customHeight="false" outlineLevel="0" collapsed="false">
      <c r="A4897" s="5" t="s">
        <v>677</v>
      </c>
      <c r="B4897" s="0" t="s">
        <v>52</v>
      </c>
      <c r="C4897" s="13" t="n">
        <f aca="false">Q!$D$5/(Q!$D$5+Q!$D$6)</f>
        <v>0.730570905519011</v>
      </c>
      <c r="D4897" s="13" t="n">
        <f aca="false">Q!$E$5/(Q!$E$5+Q!$E$6)</f>
        <v>0.724763217890544</v>
      </c>
      <c r="E4897" s="13" t="n">
        <f aca="false">Q!$P$5/(Q!$P$5+Q!$P$6)</f>
        <v>0.728797972914861</v>
      </c>
      <c r="F4897" s="13" t="n">
        <f aca="false">Sens!$O$4897</f>
        <v>0.718066283041511</v>
      </c>
      <c r="G4897" s="13" t="n">
        <f aca="false">Sens!$G$4898/Sens!$G$4896</f>
        <v>0.723047066202847</v>
      </c>
      <c r="H4897" s="13" t="n">
        <f aca="false">Sens!$G$4897</f>
        <v>0.723047066202847</v>
      </c>
      <c r="I4897" s="13" t="n">
        <f aca="false">Sens!$G$4897</f>
        <v>0.723047066202847</v>
      </c>
      <c r="J4897" s="13" t="n">
        <f aca="false">Sens!$G$4897</f>
        <v>0.723047066202847</v>
      </c>
      <c r="K4897" s="13" t="n">
        <f aca="false">Sens!$G$4897</f>
        <v>0.723047066202847</v>
      </c>
      <c r="L4897" s="13" t="n">
        <f aca="false">Sens!$G$4897</f>
        <v>0.723047066202847</v>
      </c>
      <c r="M4897" s="13" t="n">
        <f aca="false">Sens!$G$4897</f>
        <v>0.723047066202847</v>
      </c>
      <c r="N4897" s="13" t="n">
        <f aca="false">Q!$N$5/(Q!$N$5+Q!$N$6)</f>
        <v>0.733030935041352</v>
      </c>
      <c r="O4897" s="13" t="n">
        <f aca="false">Q!$O$5/(Q!$O$5+Q!$O$6)</f>
        <v>0.718066283041511</v>
      </c>
      <c r="P4897" s="8" t="s">
        <v>678</v>
      </c>
    </row>
    <row r="4898" customFormat="false" ht="17.15" hidden="false" customHeight="false" outlineLevel="0" collapsed="false">
      <c r="A4898" s="1" t="s">
        <v>509</v>
      </c>
      <c r="B4898" s="8" t="s">
        <v>86</v>
      </c>
      <c r="C4898" s="38" t="n">
        <f aca="false">Q!$D$5</f>
        <v>387.497</v>
      </c>
      <c r="D4898" s="38" t="n">
        <f aca="false">Q!$E$5</f>
        <v>426.305</v>
      </c>
      <c r="E4898" s="38" t="n">
        <f aca="false">Q!$P$5</f>
        <v>220.32</v>
      </c>
      <c r="F4898" s="38" t="n">
        <f aca="false">Sens!$F$4896*Sens!$F$4897</f>
        <v>250.639773480586</v>
      </c>
      <c r="G4898" s="38" t="n">
        <f aca="false">Sens!$E$4898+Sens!$F$4898</f>
        <v>470.959773480586</v>
      </c>
      <c r="H4898" s="38" t="n">
        <f aca="false">Sens!$H$4896*Sens!$H$4897</f>
        <v>521.386990416437</v>
      </c>
      <c r="I4898" s="38" t="n">
        <f aca="false">Sens!$I$4896*Sens!$I$4897</f>
        <v>570.143862887555</v>
      </c>
      <c r="J4898" s="38" t="n">
        <f aca="false">Sens!$J$4896*Sens!$J$4897</f>
        <v>615.391435791933</v>
      </c>
      <c r="K4898" s="38" t="n">
        <f aca="false">Sens!$K$4896*Sens!$K$4897</f>
        <v>655.208227561543</v>
      </c>
      <c r="L4898" s="38" t="n">
        <f aca="false">Sens!$L$4896*Sens!$L$4897</f>
        <v>697.807739249767</v>
      </c>
      <c r="M4898" s="38" t="n">
        <f aca="false">Sens!$M$4896*Sens!$M$4897</f>
        <v>743.399328463592</v>
      </c>
      <c r="N4898" s="38" t="n">
        <f aca="false">Q!$N$5</f>
        <v>192.955</v>
      </c>
      <c r="O4898" s="38" t="n">
        <f aca="false">Q!$O$5</f>
        <v>233.35</v>
      </c>
      <c r="P4898" s="5" t="s">
        <v>679</v>
      </c>
    </row>
    <row r="4899" customFormat="false" ht="17.15" hidden="false" customHeight="false" outlineLevel="0" collapsed="false">
      <c r="A4899" s="1" t="s">
        <v>512</v>
      </c>
      <c r="B4899" s="8" t="s">
        <v>86</v>
      </c>
      <c r="C4899" s="38" t="n">
        <f aca="false">Q!$D$6</f>
        <v>142.906</v>
      </c>
      <c r="D4899" s="38" t="n">
        <f aca="false">Q!$E$6</f>
        <v>161.894</v>
      </c>
      <c r="E4899" s="38" t="n">
        <f aca="false">Q!$P$6</f>
        <v>81.986</v>
      </c>
      <c r="F4899" s="38" t="n">
        <f aca="false">Sens!$F$4896*(1-Sens!$F$4897)</f>
        <v>98.408468164951</v>
      </c>
      <c r="G4899" s="38" t="n">
        <f aca="false">Sens!$E$4899+Sens!$F$4899</f>
        <v>180.394468164951</v>
      </c>
      <c r="H4899" s="38" t="n">
        <f aca="false">Sens!$H$4896*(1-Sens!$H$4897)</f>
        <v>199.709899104949</v>
      </c>
      <c r="I4899" s="38" t="n">
        <f aca="false">Sens!$I$4896*(1-Sens!$I$4897)</f>
        <v>218.385528264976</v>
      </c>
      <c r="J4899" s="38" t="n">
        <f aca="false">Sens!$J$4896*(1-Sens!$J$4897)</f>
        <v>235.71696994951</v>
      </c>
      <c r="K4899" s="38" t="n">
        <f aca="false">Sens!$K$4896*(1-Sens!$K$4897)</f>
        <v>250.968227869545</v>
      </c>
      <c r="L4899" s="38" t="n">
        <f aca="false">Sens!$L$4896*(1-Sens!$L$4897)</f>
        <v>267.285367225822</v>
      </c>
      <c r="M4899" s="38" t="n">
        <f aca="false">Sens!$M$4896*(1-Sens!$M$4897)</f>
        <v>284.748579483295</v>
      </c>
      <c r="N4899" s="38" t="n">
        <f aca="false">Q!$N$6</f>
        <v>70.274</v>
      </c>
      <c r="O4899" s="38" t="n">
        <f aca="false">Q!$O$6</f>
        <v>91.62</v>
      </c>
      <c r="P4899" s="5" t="s">
        <v>680</v>
      </c>
    </row>
    <row r="4900" customFormat="false" ht="17.15" hidden="false" customHeight="false" outlineLevel="0" collapsed="false">
      <c r="A4900" s="5" t="s">
        <v>681</v>
      </c>
      <c r="B4900" s="0" t="s">
        <v>86</v>
      </c>
      <c r="C4900" s="38" t="n">
        <f aca="false">Sens!$C$4889*Sens!$C$4897</f>
        <v>41.0683128828457</v>
      </c>
      <c r="D4900" s="38" t="n">
        <f aca="false">Sens!$D$4889*Sens!$D$4897</f>
        <v>49.7441234599175</v>
      </c>
      <c r="E4900" s="38" t="n">
        <f aca="false">Sens!$E$4889*Sens!$E$4897</f>
        <v>27.0034224924414</v>
      </c>
      <c r="F4900" s="38" t="n">
        <f aca="false">Sens!$F$4889*Sens!$F$4897</f>
        <v>33.1439448330513</v>
      </c>
      <c r="G4900" s="38" t="n">
        <f aca="false">Sens!$G$4889*Sens!$G$4897</f>
        <v>60.164183844083</v>
      </c>
      <c r="H4900" s="38" t="n">
        <f aca="false">Sens!$H$4889*Sens!$H$4897</f>
        <v>72.2301766552629</v>
      </c>
      <c r="I4900" s="38" t="n">
        <f aca="false">Sens!$I$4889*Sens!$I$4897</f>
        <v>84.2950764463991</v>
      </c>
      <c r="J4900" s="38" t="n">
        <f aca="false">Sens!$J$4889*Sens!$J$4897</f>
        <v>95.5499047729386</v>
      </c>
      <c r="K4900" s="38" t="n">
        <f aca="false">Sens!$K$4889*Sens!$K$4897</f>
        <v>105.104895250232</v>
      </c>
      <c r="L4900" s="38" t="n">
        <f aca="false">Sens!$L$4889*Sens!$L$4897</f>
        <v>115.615384775256</v>
      </c>
      <c r="M4900" s="38" t="n">
        <f aca="false">Sens!$M$4889*Sens!$M$4897</f>
        <v>127.176923252781</v>
      </c>
      <c r="N4900" s="38" t="n">
        <f aca="false">Sens!$N$4889*Sens!$N$4897</f>
        <v>21.7087111412496</v>
      </c>
      <c r="O4900" s="38" t="n">
        <f aca="false">Sens!$O$4889*Sens!$O$4897</f>
        <v>28.0189463642798</v>
      </c>
      <c r="P4900" s="5" t="s">
        <v>682</v>
      </c>
    </row>
    <row r="4901" customFormat="false" ht="15" hidden="false" customHeight="false" outlineLevel="0" collapsed="false">
      <c r="A4901" s="5" t="s">
        <v>683</v>
      </c>
      <c r="B4901" s="0" t="s">
        <v>86</v>
      </c>
      <c r="C4901" s="38" t="n">
        <f aca="false">Sens!$C$4889-Sens!$C$4900</f>
        <v>15.1456871171543</v>
      </c>
      <c r="D4901" s="38" t="n">
        <f aca="false">Sens!$D$4889-Sens!$D$4900</f>
        <v>18.8908765400825</v>
      </c>
      <c r="E4901" s="38" t="n">
        <f aca="false">Sens!$E$4889-Sens!$E$4900</f>
        <v>10.0485775075586</v>
      </c>
      <c r="F4901" s="38" t="n">
        <f aca="false">Sens!$F$4889-Sens!$F$4900</f>
        <v>13.0132771613635</v>
      </c>
      <c r="G4901" s="38" t="n">
        <f aca="false">Sens!$G$4889-Sens!$G$4900</f>
        <v>23.0450381503318</v>
      </c>
      <c r="H4901" s="38" t="n">
        <f aca="false">Sens!$H$4889-Sens!$H$4900</f>
        <v>27.6667457326347</v>
      </c>
      <c r="I4901" s="38" t="n">
        <f aca="false">Sens!$I$4889-Sens!$I$4900</f>
        <v>32.2880346490971</v>
      </c>
      <c r="J4901" s="38" t="n">
        <f aca="false">Sens!$J$4889-Sens!$J$4900</f>
        <v>36.5990371690132</v>
      </c>
      <c r="K4901" s="38" t="n">
        <f aca="false">Sens!$K$4889-Sens!$K$4900</f>
        <v>40.2589408859145</v>
      </c>
      <c r="L4901" s="38" t="n">
        <f aca="false">Sens!$L$4889-Sens!$L$4900</f>
        <v>44.2848349745059</v>
      </c>
      <c r="M4901" s="38" t="n">
        <f aca="false">Sens!$M$4889-Sens!$M$4900</f>
        <v>48.7133184719565</v>
      </c>
      <c r="N4901" s="38" t="n">
        <f aca="false">Sens!$N$4889-Sens!$N$4900</f>
        <v>7.90628885875037</v>
      </c>
      <c r="O4901" s="38" t="n">
        <f aca="false">Sens!$O$4889-Sens!$O$4900</f>
        <v>11.0010536357202</v>
      </c>
    </row>
    <row r="4902" customFormat="false" ht="19.4" hidden="false" customHeight="false" outlineLevel="0" collapsed="false">
      <c r="A4902" s="31" t="s">
        <v>1228</v>
      </c>
    </row>
    <row r="4903" customFormat="false" ht="17.15" hidden="false" customHeight="false" outlineLevel="0" collapsed="false">
      <c r="A4903" s="6" t="s">
        <v>16</v>
      </c>
      <c r="B4903" s="6" t="s">
        <v>17</v>
      </c>
      <c r="C4903" s="20" t="s">
        <v>494</v>
      </c>
      <c r="D4903" s="20" t="s">
        <v>495</v>
      </c>
      <c r="E4903" s="20" t="s">
        <v>577</v>
      </c>
      <c r="F4903" s="20" t="s">
        <v>578</v>
      </c>
      <c r="G4903" s="20" t="s">
        <v>579</v>
      </c>
      <c r="H4903" s="20" t="s">
        <v>580</v>
      </c>
      <c r="I4903" s="20" t="s">
        <v>581</v>
      </c>
      <c r="J4903" s="20" t="s">
        <v>582</v>
      </c>
      <c r="K4903" s="20" t="s">
        <v>583</v>
      </c>
      <c r="L4903" s="20" t="s">
        <v>584</v>
      </c>
      <c r="M4903" s="20" t="s">
        <v>585</v>
      </c>
      <c r="N4903" s="20" t="s">
        <v>586</v>
      </c>
      <c r="O4903" s="20" t="s">
        <v>587</v>
      </c>
      <c r="P4903" s="6" t="s">
        <v>23</v>
      </c>
      <c r="R4903" s="20" t="n">
        <v>2023</v>
      </c>
      <c r="S4903" s="20" t="n">
        <v>2024</v>
      </c>
      <c r="T4903" s="20" t="n">
        <v>2025</v>
      </c>
      <c r="U4903" s="20" t="n">
        <v>2026</v>
      </c>
      <c r="V4903" s="20" t="n">
        <v>2027</v>
      </c>
      <c r="W4903" s="20" t="n">
        <v>2028</v>
      </c>
      <c r="X4903" s="20" t="n">
        <v>2029</v>
      </c>
      <c r="Y4903" s="20" t="n">
        <v>2030</v>
      </c>
      <c r="Z4903" s="20" t="n">
        <v>2031</v>
      </c>
      <c r="AA4903" s="20" t="n">
        <v>2032</v>
      </c>
    </row>
    <row r="4904" customFormat="false" ht="17.15" hidden="false" customHeight="false" outlineLevel="0" collapsed="false">
      <c r="A4904" s="1" t="s">
        <v>588</v>
      </c>
    </row>
    <row r="4905" customFormat="false" ht="17.15" hidden="false" customHeight="false" outlineLevel="0" collapsed="false">
      <c r="A4905" s="5" t="s">
        <v>589</v>
      </c>
      <c r="B4905" s="0" t="s">
        <v>144</v>
      </c>
      <c r="H4905" s="32" t="n">
        <f aca="false">pace_B</f>
        <v>3634.3</v>
      </c>
      <c r="I4905" s="32" t="n">
        <f aca="false">pace_B</f>
        <v>3634.3</v>
      </c>
      <c r="J4905" s="32" t="n">
        <f aca="false">pace_B</f>
        <v>3634.3</v>
      </c>
      <c r="K4905" s="32" t="n">
        <f aca="false">pace_B+(Sens!$J$4906*tg-pace_B)*1/3</f>
        <v>2570.86716666667</v>
      </c>
      <c r="L4905" s="32" t="n">
        <f aca="false">pace_B+(Sens!$J$4906*tg-pace_B)*2/3</f>
        <v>1507.43433333333</v>
      </c>
      <c r="M4905" s="32" t="n">
        <f aca="false">pace_B+(Sens!$J$4906*tg-pace_B)*3/3</f>
        <v>444.0015</v>
      </c>
      <c r="P4905" s="5" t="s">
        <v>590</v>
      </c>
    </row>
    <row r="4906" customFormat="false" ht="17.15" hidden="false" customHeight="false" outlineLevel="0" collapsed="false">
      <c r="A4906" s="15" t="s">
        <v>591</v>
      </c>
      <c r="B4906" s="14" t="s">
        <v>129</v>
      </c>
      <c r="C4906" s="33" t="n">
        <f aca="false">mw_ye24</f>
        <v>360</v>
      </c>
      <c r="D4906" s="33" t="n">
        <f aca="false">mw_ye25</f>
        <v>1440</v>
      </c>
      <c r="E4906" s="33" t="n">
        <f aca="false">mw_open</f>
        <v>2080</v>
      </c>
      <c r="F4906" s="33" t="n">
        <f aca="false">Sens!$E$4906+pace_B*0.5</f>
        <v>3897.15</v>
      </c>
      <c r="G4906" s="33" t="n">
        <f aca="false">Sens!$F$4906</f>
        <v>3897.15</v>
      </c>
      <c r="H4906" s="33" t="n">
        <f aca="false">Sens!$G$4906+Sens!$H$4905</f>
        <v>7531.45</v>
      </c>
      <c r="I4906" s="33" t="n">
        <f aca="false">Sens!$H$4906+Sens!$I$4905</f>
        <v>11165.75</v>
      </c>
      <c r="J4906" s="33" t="n">
        <f aca="false">Sens!$I$4906+Sens!$J$4905</f>
        <v>14800.05</v>
      </c>
      <c r="K4906" s="33" t="n">
        <f aca="false">Sens!$J$4906+Sens!$K$4905</f>
        <v>17370.9171666667</v>
      </c>
      <c r="L4906" s="33" t="n">
        <f aca="false">Sens!$K$4906+Sens!$L$4905</f>
        <v>18878.3515</v>
      </c>
      <c r="M4906" s="33" t="n">
        <f aca="false">Sens!$L$4906+Sens!$M$4905</f>
        <v>19322.353</v>
      </c>
      <c r="N4906" s="33" t="n">
        <f aca="false">(mw_ye24+mw_ye25)/2</f>
        <v>900</v>
      </c>
      <c r="O4906" s="33" t="n">
        <f aca="false">mw_ye25</f>
        <v>1440</v>
      </c>
      <c r="P4906" s="5" t="s">
        <v>592</v>
      </c>
    </row>
    <row r="4907" customFormat="false" ht="17.15" hidden="false" customHeight="false" outlineLevel="0" collapsed="false">
      <c r="A4907" s="5" t="s">
        <v>593</v>
      </c>
      <c r="B4907" s="0" t="s">
        <v>129</v>
      </c>
      <c r="C4907" s="32" t="n">
        <f aca="false">(mw_ye23+mw_ye24)/2</f>
        <v>240</v>
      </c>
      <c r="D4907" s="32" t="n">
        <f aca="false">(Sens!$C$4906+Sens!$D$4906)/2</f>
        <v>900</v>
      </c>
      <c r="E4907" s="32" t="n">
        <f aca="false">(Sens!$D$4906+Sens!$E$4906)/2</f>
        <v>1760</v>
      </c>
      <c r="F4907" s="32" t="n">
        <f aca="false">(Sens!$E$4906+Sens!$F$4906)/2</f>
        <v>2988.575</v>
      </c>
      <c r="G4907" s="32" t="n">
        <f aca="false">(Sens!$E$4907+Sens!$F$4907)/2</f>
        <v>2374.2875</v>
      </c>
      <c r="H4907" s="32" t="n">
        <f aca="false">(Sens!$G$4906+Sens!$H$4906)/2</f>
        <v>5714.3</v>
      </c>
      <c r="I4907" s="32" t="n">
        <f aca="false">(Sens!$H$4906+Sens!$I$4906)/2</f>
        <v>9348.6</v>
      </c>
      <c r="J4907" s="32" t="n">
        <f aca="false">(Sens!$I$4906+Sens!$J$4906)/2</f>
        <v>12982.9</v>
      </c>
      <c r="K4907" s="32" t="n">
        <f aca="false">(Sens!$J$4906+Sens!$K$4906)/2</f>
        <v>16085.4835833333</v>
      </c>
      <c r="L4907" s="32" t="n">
        <f aca="false">(Sens!$K$4906+Sens!$L$4906)/2</f>
        <v>18124.6343333333</v>
      </c>
      <c r="M4907" s="32" t="n">
        <f aca="false">(Sens!$L$4906+Sens!$M$4906)/2</f>
        <v>19100.35225</v>
      </c>
      <c r="N4907" s="32" t="n">
        <f aca="false">(Sens!$C$4906+Sens!$N$4906)/2</f>
        <v>630</v>
      </c>
      <c r="O4907" s="32" t="n">
        <f aca="false">(Sens!$N$4906+Sens!$O$4906)/2</f>
        <v>1170</v>
      </c>
    </row>
    <row r="4908" customFormat="false" ht="15" hidden="false" customHeight="false" outlineLevel="0" collapsed="false">
      <c r="A4908" s="5" t="s">
        <v>594</v>
      </c>
      <c r="B4908" s="5" t="s">
        <v>123</v>
      </c>
      <c r="C4908" s="34" t="n">
        <v>1</v>
      </c>
      <c r="D4908" s="34" t="n">
        <v>1</v>
      </c>
      <c r="E4908" s="34" t="n">
        <v>0.5</v>
      </c>
      <c r="F4908" s="34" t="n">
        <v>0.5</v>
      </c>
      <c r="G4908" s="34" t="n">
        <v>1</v>
      </c>
      <c r="H4908" s="34" t="n">
        <v>1</v>
      </c>
      <c r="I4908" s="34" t="n">
        <v>1</v>
      </c>
      <c r="J4908" s="34" t="n">
        <v>1</v>
      </c>
      <c r="K4908" s="34" t="n">
        <v>1</v>
      </c>
      <c r="L4908" s="34" t="n">
        <v>1</v>
      </c>
      <c r="M4908" s="34" t="n">
        <v>1</v>
      </c>
      <c r="N4908" s="34" t="n">
        <v>0.5</v>
      </c>
      <c r="O4908" s="34" t="n">
        <v>0.5</v>
      </c>
    </row>
    <row r="4909" customFormat="false" ht="17.15" hidden="false" customHeight="false" outlineLevel="0" collapsed="false">
      <c r="A4909" s="5" t="s">
        <v>595</v>
      </c>
      <c r="B4909" s="0" t="s">
        <v>129</v>
      </c>
      <c r="C4909" s="32" t="n">
        <f aca="false">Sens!$C$4906-mw_ye23</f>
        <v>240</v>
      </c>
      <c r="D4909" s="32" t="n">
        <f aca="false">Sens!$D$4906-Sens!$C$4906</f>
        <v>1080</v>
      </c>
      <c r="E4909" s="32" t="n">
        <f aca="false">Sens!$E$4906-Sens!$D$4906</f>
        <v>640</v>
      </c>
      <c r="F4909" s="32" t="n">
        <f aca="false">Sens!$F$4906-Sens!$E$4906</f>
        <v>1817.15</v>
      </c>
      <c r="G4909" s="32" t="n">
        <f aca="false">Sens!$E$4909+Sens!$F$4909</f>
        <v>2457.15</v>
      </c>
      <c r="H4909" s="32" t="n">
        <f aca="false">Sens!$H$4906-Sens!$G$4906</f>
        <v>3634.3</v>
      </c>
      <c r="I4909" s="32" t="n">
        <f aca="false">Sens!$I$4906-Sens!$H$4906</f>
        <v>3634.3</v>
      </c>
      <c r="J4909" s="32" t="n">
        <f aca="false">Sens!$J$4906-Sens!$I$4906</f>
        <v>3634.3</v>
      </c>
      <c r="K4909" s="32" t="n">
        <f aca="false">Sens!$K$4906-Sens!$J$4906</f>
        <v>2570.86716666667</v>
      </c>
      <c r="L4909" s="32" t="n">
        <f aca="false">Sens!$L$4906-Sens!$K$4906</f>
        <v>1507.43433333333</v>
      </c>
      <c r="M4909" s="32" t="n">
        <f aca="false">Sens!$M$4906-Sens!$L$4906</f>
        <v>444.001499999999</v>
      </c>
      <c r="N4909" s="32" t="n">
        <f aca="false">Sens!$N$4906-Sens!$C$4906</f>
        <v>540</v>
      </c>
      <c r="O4909" s="32" t="n">
        <f aca="false">Sens!$O$4906-Sens!$N$4906</f>
        <v>540</v>
      </c>
    </row>
    <row r="4910" customFormat="false" ht="17.15" hidden="false" customHeight="false" outlineLevel="0" collapsed="false">
      <c r="A4910" s="5" t="s">
        <v>596</v>
      </c>
      <c r="B4910" s="0" t="s">
        <v>129</v>
      </c>
      <c r="C4910" s="32" t="n">
        <f aca="false">Sens!$C$4909/ext_sh</f>
        <v>300</v>
      </c>
      <c r="D4910" s="32" t="n">
        <f aca="false">Sens!$D$4909/ext_sh</f>
        <v>1350</v>
      </c>
      <c r="E4910" s="32" t="n">
        <f aca="false">Sens!$E$4909/ext_sh</f>
        <v>800</v>
      </c>
      <c r="F4910" s="32" t="n">
        <f aca="false">Sens!$F$4909/ext_sh</f>
        <v>2271.4375</v>
      </c>
      <c r="G4910" s="32" t="n">
        <f aca="false">Sens!$G$4909/ext_sh</f>
        <v>3071.4375</v>
      </c>
      <c r="H4910" s="32" t="n">
        <f aca="false">Sens!$H$4909/ext_sh</f>
        <v>4542.875</v>
      </c>
      <c r="I4910" s="32" t="n">
        <f aca="false">Sens!$I$4909/ext_sh</f>
        <v>4542.875</v>
      </c>
      <c r="J4910" s="32" t="n">
        <f aca="false">Sens!$J$4909/ext_sh</f>
        <v>4542.875</v>
      </c>
      <c r="K4910" s="32" t="n">
        <f aca="false">Sens!$K$4909/ext_sh</f>
        <v>3213.58395833333</v>
      </c>
      <c r="L4910" s="32" t="n">
        <f aca="false">Sens!$L$4909/ext_sh</f>
        <v>1884.29291666667</v>
      </c>
      <c r="M4910" s="32" t="n">
        <f aca="false">Sens!$M$4909/ext_sh</f>
        <v>555.001874999998</v>
      </c>
      <c r="N4910" s="32" t="n">
        <f aca="false">Sens!$N$4909/ext_sh</f>
        <v>675</v>
      </c>
      <c r="O4910" s="32" t="n">
        <f aca="false">Sens!$O$4909/ext_sh</f>
        <v>675</v>
      </c>
      <c r="P4910" s="8" t="s">
        <v>597</v>
      </c>
      <c r="R4910" s="32" t="n">
        <f aca="false">mw_ye23/ext_sh</f>
        <v>150</v>
      </c>
      <c r="S4910" s="32" t="n">
        <f aca="false">Sens!$C$4910</f>
        <v>300</v>
      </c>
      <c r="T4910" s="32" t="n">
        <f aca="false">Sens!$D$4910</f>
        <v>1350</v>
      </c>
      <c r="U4910" s="32" t="n">
        <f aca="false">Sens!$G$4910</f>
        <v>3071.4375</v>
      </c>
      <c r="V4910" s="32" t="n">
        <f aca="false">Sens!$H$4910</f>
        <v>4542.875</v>
      </c>
      <c r="W4910" s="32" t="n">
        <f aca="false">Sens!$I$4910</f>
        <v>4542.875</v>
      </c>
      <c r="X4910" s="32" t="n">
        <f aca="false">Sens!$J$4910</f>
        <v>4542.875</v>
      </c>
      <c r="Y4910" s="32" t="n">
        <f aca="false">Sens!$K$4910</f>
        <v>3213.58395833333</v>
      </c>
      <c r="Z4910" s="32" t="n">
        <f aca="false">Sens!$L$4910</f>
        <v>1884.29291666667</v>
      </c>
      <c r="AA4910" s="32" t="n">
        <f aca="false">Sens!$M$4910</f>
        <v>555.001874999998</v>
      </c>
    </row>
    <row r="4911" customFormat="false" ht="17.15" hidden="false" customHeight="false" outlineLevel="0" collapsed="false">
      <c r="A4911" s="1" t="s">
        <v>598</v>
      </c>
    </row>
    <row r="4912" customFormat="false" ht="17.15" hidden="false" customHeight="false" outlineLevel="0" collapsed="false">
      <c r="A4912" s="0" t="s">
        <v>599</v>
      </c>
      <c r="B4912" s="0" t="s">
        <v>52</v>
      </c>
      <c r="F4912" s="35" t="n">
        <f aca="false">na_vr26</f>
        <v>0</v>
      </c>
      <c r="G4912" s="35" t="n">
        <f aca="false">na_vr26</f>
        <v>0</v>
      </c>
      <c r="H4912" s="35" t="n">
        <f aca="false">na_vr27</f>
        <v>0.5</v>
      </c>
      <c r="I4912" s="35" t="n">
        <f aca="false">na_vr28</f>
        <v>1</v>
      </c>
      <c r="J4912" s="35" t="n">
        <f aca="false">na_vr28</f>
        <v>1</v>
      </c>
      <c r="K4912" s="35" t="n">
        <f aca="false">na_vr28</f>
        <v>1</v>
      </c>
      <c r="L4912" s="35" t="n">
        <f aca="false">na_vr28</f>
        <v>1</v>
      </c>
      <c r="M4912" s="35" t="n">
        <f aca="false">na_vr28</f>
        <v>1</v>
      </c>
    </row>
    <row r="4913" customFormat="false" ht="17.15" hidden="false" customHeight="false" outlineLevel="0" collapsed="false">
      <c r="A4913" s="5" t="s">
        <v>600</v>
      </c>
      <c r="B4913" s="0" t="s">
        <v>173</v>
      </c>
      <c r="F4913" s="36" t="n">
        <f aca="false">cust_sh*tk_he_gb300*cf_chip+(1-cust_sh)*((1-Sens!$F$4912)*tk_he_gb300+Sens!$F$4912*tk_he_vr200)</f>
        <v>10.8864110021101</v>
      </c>
      <c r="G4913" s="36" t="n">
        <f aca="false">cust_sh*tk_he_gb300*cf_chip+(1-cust_sh)*((1-Sens!$G$4912)*tk_he_gb300+Sens!$G$4912*tk_he_vr200)</f>
        <v>10.8864110021101</v>
      </c>
      <c r="H4913" s="36" t="n">
        <f aca="false">cust_sh*tk_he_gb300*cf_chip+(1-cust_sh)*((1-Sens!$H$4912)*tk_he_gb300+Sens!$H$4912*tk_he_vr200)</f>
        <v>11.2211760027286</v>
      </c>
      <c r="I4913" s="36" t="n">
        <f aca="false">cust_sh*tk_he_gb300*cf_chip+(1-cust_sh)*((1-Sens!$I$4912)*tk_he_gb300+Sens!$I$4912*tk_he_vr200)</f>
        <v>11.5559410033471</v>
      </c>
      <c r="J4913" s="36" t="n">
        <f aca="false">cust_sh*tk_he_gb300*cf_chip+(1-cust_sh)*((1-Sens!$J$4912)*tk_he_gb300+Sens!$J$4912*tk_he_vr200)</f>
        <v>11.5559410033471</v>
      </c>
      <c r="K4913" s="36" t="n">
        <f aca="false">cust_sh*tk_he_gb300*cf_chip+(1-cust_sh)*((1-Sens!$K$4912)*tk_he_gb300+Sens!$K$4912*tk_he_vr200)</f>
        <v>11.5559410033471</v>
      </c>
      <c r="L4913" s="36" t="n">
        <f aca="false">cust_sh*tk_he_gb300*cf_chip+(1-cust_sh)*((1-Sens!$L$4912)*tk_he_gb300+Sens!$L$4912*tk_he_vr200)</f>
        <v>11.5559410033471</v>
      </c>
      <c r="M4913" s="36" t="n">
        <f aca="false">cust_sh*tk_he_gb300*cf_chip+(1-cust_sh)*((1-Sens!$M$4912)*tk_he_gb300+Sens!$M$4912*tk_he_vr200)</f>
        <v>11.5559410033471</v>
      </c>
    </row>
    <row r="4914" customFormat="false" ht="17.15" hidden="false" customHeight="false" outlineLevel="0" collapsed="false">
      <c r="A4914" s="5" t="s">
        <v>601</v>
      </c>
      <c r="B4914" s="0" t="s">
        <v>173</v>
      </c>
      <c r="F4914" s="36" t="n">
        <f aca="false">cust_sh*tk_ox_gb300+(1-cust_sh)*((1-Sens!$F$4912)*tk_ox_gb300+Sens!$F$4912*tk_ox_vr200)</f>
        <v>1.98263481314457</v>
      </c>
      <c r="G4914" s="36" t="n">
        <f aca="false">cust_sh*tk_ox_gb300+(1-cust_sh)*((1-Sens!$G$4912)*tk_ox_gb300+Sens!$G$4912*tk_ox_vr200)</f>
        <v>1.98263481314457</v>
      </c>
      <c r="H4914" s="36" t="n">
        <f aca="false">cust_sh*tk_ox_gb300+(1-cust_sh)*((1-Sens!$H$4912)*tk_ox_gb300+Sens!$H$4912*tk_ox_vr200)</f>
        <v>2.01034999693694</v>
      </c>
      <c r="I4914" s="36" t="n">
        <f aca="false">cust_sh*tk_ox_gb300+(1-cust_sh)*((1-Sens!$I$4912)*tk_ox_gb300+Sens!$I$4912*tk_ox_vr200)</f>
        <v>2.0380651807293</v>
      </c>
      <c r="J4914" s="36" t="n">
        <f aca="false">cust_sh*tk_ox_gb300+(1-cust_sh)*((1-Sens!$J$4912)*tk_ox_gb300+Sens!$J$4912*tk_ox_vr200)</f>
        <v>2.0380651807293</v>
      </c>
      <c r="K4914" s="36" t="n">
        <f aca="false">cust_sh*tk_ox_gb300+(1-cust_sh)*((1-Sens!$K$4912)*tk_ox_gb300+Sens!$K$4912*tk_ox_vr200)</f>
        <v>2.0380651807293</v>
      </c>
      <c r="L4914" s="36" t="n">
        <f aca="false">cust_sh*tk_ox_gb300+(1-cust_sh)*((1-Sens!$L$4912)*tk_ox_gb300+Sens!$L$4912*tk_ox_vr200)</f>
        <v>2.0380651807293</v>
      </c>
      <c r="M4914" s="36" t="n">
        <f aca="false">cust_sh*tk_ox_gb300+(1-cust_sh)*((1-Sens!$M$4912)*tk_ox_gb300+Sens!$M$4912*tk_ox_vr200)</f>
        <v>2.0380651807293</v>
      </c>
    </row>
    <row r="4915" customFormat="false" ht="17.15" hidden="false" customHeight="false" outlineLevel="0" collapsed="false">
      <c r="A4915" s="5" t="s">
        <v>602</v>
      </c>
      <c r="B4915" s="0" t="s">
        <v>192</v>
      </c>
      <c r="F4915" s="36" t="n">
        <f aca="false">cust_sh*tk_cx_gb300*cf_cx+(1-cust_sh)*((1-Sens!$F$4912)*tk_cx_gb300+Sens!$F$4912*tk_cx_vr200)</f>
        <v>32.237224</v>
      </c>
      <c r="G4915" s="36" t="n">
        <f aca="false">cust_sh*tk_cx_gb300*cf_cx+(1-cust_sh)*((1-Sens!$G$4912)*tk_cx_gb300+Sens!$G$4912*tk_cx_vr200)</f>
        <v>32.237224</v>
      </c>
      <c r="H4915" s="36" t="n">
        <f aca="false">cust_sh*tk_cx_gb300*cf_cx+(1-cust_sh)*((1-Sens!$H$4912)*tk_cx_gb300+Sens!$H$4912*tk_cx_vr200)</f>
        <v>33.574506</v>
      </c>
      <c r="I4915" s="36" t="n">
        <f aca="false">cust_sh*tk_cx_gb300*cf_cx+(1-cust_sh)*((1-Sens!$I$4912)*tk_cx_gb300+Sens!$I$4912*tk_cx_vr200)</f>
        <v>34.911788</v>
      </c>
      <c r="J4915" s="36" t="n">
        <f aca="false">cust_sh*tk_cx_gb300*cf_cx+(1-cust_sh)*((1-Sens!$J$4912)*tk_cx_gb300+Sens!$J$4912*tk_cx_vr200)</f>
        <v>34.911788</v>
      </c>
      <c r="K4915" s="36" t="n">
        <f aca="false">cust_sh*tk_cx_gb300*cf_cx+(1-cust_sh)*((1-Sens!$K$4912)*tk_cx_gb300+Sens!$K$4912*tk_cx_vr200)</f>
        <v>34.911788</v>
      </c>
      <c r="L4915" s="36" t="n">
        <f aca="false">cust_sh*tk_cx_gb300*cf_cx+(1-cust_sh)*((1-Sens!$L$4912)*tk_cx_gb300+Sens!$L$4912*tk_cx_vr200)</f>
        <v>34.911788</v>
      </c>
      <c r="M4915" s="36" t="n">
        <f aca="false">cust_sh*tk_cx_gb300*cf_cx+(1-cust_sh)*((1-Sens!$M$4912)*tk_cx_gb300+Sens!$M$4912*tk_cx_vr200)</f>
        <v>34.911788</v>
      </c>
    </row>
    <row r="4916" customFormat="false" ht="17.15" hidden="false" customHeight="false" outlineLevel="0" collapsed="false">
      <c r="A4916" s="5" t="s">
        <v>603</v>
      </c>
      <c r="B4916" s="0" t="s">
        <v>129</v>
      </c>
      <c r="F4916" s="32" t="n">
        <f aca="false">Sens!$F$4906-mw_open</f>
        <v>1817.15</v>
      </c>
      <c r="G4916" s="32" t="n">
        <f aca="false">Sens!$F$4916</f>
        <v>1817.15</v>
      </c>
      <c r="H4916" s="32" t="n">
        <f aca="false">Sens!$H$4906-mw_open</f>
        <v>5451.45</v>
      </c>
      <c r="I4916" s="32" t="n">
        <f aca="false">Sens!$I$4906-mw_open</f>
        <v>9085.75</v>
      </c>
      <c r="J4916" s="32" t="n">
        <f aca="false">Sens!$J$4906-mw_open</f>
        <v>12720.05</v>
      </c>
      <c r="K4916" s="32" t="n">
        <f aca="false">Sens!$K$4906-mw_open</f>
        <v>15290.9171666667</v>
      </c>
      <c r="L4916" s="32" t="n">
        <f aca="false">Sens!$L$4906-mw_open</f>
        <v>16798.3515</v>
      </c>
      <c r="M4916" s="32" t="n">
        <f aca="false">Sens!$M$4906-mw_open</f>
        <v>17242.353</v>
      </c>
    </row>
    <row r="4917" customFormat="false" ht="17.15" hidden="false" customHeight="false" outlineLevel="0" collapsed="false">
      <c r="A4917" s="0" t="s">
        <v>604</v>
      </c>
      <c r="B4917" s="0" t="s">
        <v>605</v>
      </c>
      <c r="F4917" s="32" t="n">
        <f aca="false">Sens!$F$4909*Sens!$F$4913</f>
        <v>19782.2417524844</v>
      </c>
      <c r="G4917" s="32" t="n">
        <f aca="false">Sens!$F$4917</f>
        <v>19782.2417524844</v>
      </c>
      <c r="H4917" s="32" t="n">
        <f aca="false">Sens!$G$4917+Sens!$H$4909*Sens!$H$4913</f>
        <v>60563.3616992009</v>
      </c>
      <c r="I4917" s="32" t="n">
        <f aca="false">Sens!$H$4917+Sens!$I$4909*Sens!$I$4913</f>
        <v>102561.118087665</v>
      </c>
      <c r="J4917" s="32" t="n">
        <f aca="false">Sens!$I$4917+Sens!$J$4909*Sens!$J$4913</f>
        <v>144558.87447613</v>
      </c>
      <c r="K4917" s="32" t="n">
        <f aca="false">Sens!$J$4917+Sens!$K$4909*Sens!$K$4913</f>
        <v>174267.663781572</v>
      </c>
      <c r="L4917" s="32" t="n">
        <f aca="false">Sens!$K$4917+Sens!$L$4909*Sens!$L$4913</f>
        <v>191687.486003992</v>
      </c>
      <c r="M4917" s="32" t="n">
        <f aca="false">Sens!$L$4917+Sens!$M$4909*Sens!$M$4913</f>
        <v>196818.341143389</v>
      </c>
    </row>
    <row r="4918" customFormat="false" ht="17.15" hidden="false" customHeight="false" outlineLevel="0" collapsed="false">
      <c r="A4918" s="0" t="s">
        <v>606</v>
      </c>
      <c r="B4918" s="0" t="s">
        <v>605</v>
      </c>
      <c r="F4918" s="32" t="n">
        <f aca="false">Sens!$F$4909*Sens!$F$4914</f>
        <v>3602.74485070566</v>
      </c>
      <c r="G4918" s="32" t="n">
        <f aca="false">Sens!$F$4918</f>
        <v>3602.74485070566</v>
      </c>
      <c r="H4918" s="32" t="n">
        <f aca="false">Sens!$G$4918+Sens!$H$4909*Sens!$H$4914</f>
        <v>10908.9598445736</v>
      </c>
      <c r="I4918" s="32" t="n">
        <f aca="false">Sens!$H$4918+Sens!$I$4909*Sens!$I$4914</f>
        <v>18315.9001308981</v>
      </c>
      <c r="J4918" s="32" t="n">
        <f aca="false">Sens!$I$4918+Sens!$J$4909*Sens!$J$4914</f>
        <v>25722.8404172225</v>
      </c>
      <c r="K4918" s="32" t="n">
        <f aca="false">Sens!$J$4918+Sens!$K$4909*Sens!$K$4914</f>
        <v>30962.4352738861</v>
      </c>
      <c r="L4918" s="32" t="n">
        <f aca="false">Sens!$K$4918+Sens!$L$4909*Sens!$L$4914</f>
        <v>34034.6847008886</v>
      </c>
      <c r="M4918" s="32" t="n">
        <f aca="false">Sens!$L$4918+Sens!$M$4909*Sens!$M$4914</f>
        <v>34939.5886982302</v>
      </c>
    </row>
    <row r="4919" customFormat="false" ht="17.15" hidden="false" customHeight="false" outlineLevel="0" collapsed="false">
      <c r="A4919" s="5" t="s">
        <v>607</v>
      </c>
      <c r="B4919" s="0" t="s">
        <v>173</v>
      </c>
      <c r="F4919" s="36" t="n">
        <f aca="false">IF(Sens!$F$4916&gt;0,Sens!$F$4917/Sens!$F$4916,Sens!$F$4913)</f>
        <v>10.8864110021101</v>
      </c>
      <c r="G4919" s="36" t="n">
        <f aca="false">IF(Sens!$G$4916&gt;0,Sens!$G$4917/Sens!$G$4916,Sens!$G$4913)</f>
        <v>10.8864110021101</v>
      </c>
      <c r="H4919" s="36" t="n">
        <f aca="false">IF(Sens!$H$4916&gt;0,Sens!$H$4917/Sens!$H$4916,Sens!$H$4913)</f>
        <v>11.1095876691891</v>
      </c>
      <c r="I4919" s="36" t="n">
        <f aca="false">IF(Sens!$I$4916&gt;0,Sens!$I$4917/Sens!$I$4916,Sens!$I$4913)</f>
        <v>11.2881290028523</v>
      </c>
      <c r="J4919" s="36" t="n">
        <f aca="false">IF(Sens!$J$4916&gt;0,Sens!$J$4917/Sens!$J$4916,Sens!$J$4913)</f>
        <v>11.3646467172794</v>
      </c>
      <c r="K4919" s="36" t="n">
        <f aca="false">IF(Sens!$K$4916&gt;0,Sens!$K$4917/Sens!$K$4916,Sens!$K$4913)</f>
        <v>11.3968090914432</v>
      </c>
      <c r="L4919" s="36" t="n">
        <f aca="false">IF(Sens!$L$4916&gt;0,Sens!$L$4917/Sens!$L$4916,Sens!$L$4913)</f>
        <v>11.4110891181192</v>
      </c>
      <c r="M4919" s="36" t="n">
        <f aca="false">IF(Sens!$M$4916&gt;0,Sens!$M$4917/Sens!$M$4916,Sens!$M$4913)</f>
        <v>11.4148191458201</v>
      </c>
    </row>
    <row r="4920" customFormat="false" ht="17.15" hidden="false" customHeight="false" outlineLevel="0" collapsed="false">
      <c r="A4920" s="5" t="s">
        <v>608</v>
      </c>
      <c r="B4920" s="0" t="s">
        <v>173</v>
      </c>
      <c r="F4920" s="36" t="n">
        <f aca="false">IF(Sens!$F$4916&gt;0,Sens!$F$4918/Sens!$F$4916,Sens!$F$4914)</f>
        <v>1.98263481314457</v>
      </c>
      <c r="G4920" s="36" t="n">
        <f aca="false">IF(Sens!$G$4916&gt;0,Sens!$G$4918/Sens!$G$4916,Sens!$G$4914)</f>
        <v>1.98263481314457</v>
      </c>
      <c r="H4920" s="36" t="n">
        <f aca="false">IF(Sens!$H$4916&gt;0,Sens!$H$4918/Sens!$H$4916,Sens!$H$4914)</f>
        <v>2.00111160233948</v>
      </c>
      <c r="I4920" s="36" t="n">
        <f aca="false">IF(Sens!$I$4916&gt;0,Sens!$I$4918/Sens!$I$4916,Sens!$I$4914)</f>
        <v>2.01589303369541</v>
      </c>
      <c r="J4920" s="36" t="n">
        <f aca="false">IF(Sens!$J$4916&gt;0,Sens!$J$4918/Sens!$J$4916,Sens!$J$4914)</f>
        <v>2.02222793284795</v>
      </c>
      <c r="K4920" s="36" t="n">
        <f aca="false">IF(Sens!$K$4916&gt;0,Sens!$K$4918/Sens!$K$4916,Sens!$K$4914)</f>
        <v>2.02489065478573</v>
      </c>
      <c r="L4920" s="36" t="n">
        <f aca="false">IF(Sens!$L$4916&gt;0,Sens!$L$4918/Sens!$L$4916,Sens!$L$4914)</f>
        <v>2.0260728977417</v>
      </c>
      <c r="M4920" s="36" t="n">
        <f aca="false">IF(Sens!$M$4916&gt;0,Sens!$M$4918/Sens!$M$4916,Sens!$M$4914)</f>
        <v>2.02638170661685</v>
      </c>
    </row>
    <row r="4921" customFormat="false" ht="17.15" hidden="false" customHeight="false" outlineLevel="0" collapsed="false">
      <c r="A4921" s="15" t="s">
        <v>609</v>
      </c>
      <c r="B4921" s="14" t="s">
        <v>173</v>
      </c>
      <c r="C4921" s="14"/>
      <c r="D4921" s="14"/>
      <c r="E4921" s="14"/>
      <c r="F4921" s="37" t="n">
        <f aca="false">Sens!$F$4919*k_B</f>
        <v>10.7987645808025</v>
      </c>
      <c r="G4921" s="37" t="n">
        <f aca="false">Sens!$G$4919*k_B</f>
        <v>10.7987645808025</v>
      </c>
      <c r="H4921" s="37" t="n">
        <f aca="false">Sens!$H$4919*k_B</f>
        <v>11.0201444540452</v>
      </c>
      <c r="I4921" s="37" t="n">
        <f aca="false">Sens!$I$4919*k_B</f>
        <v>11.1972483526393</v>
      </c>
      <c r="J4921" s="37" t="n">
        <f aca="false">Sens!$J$4919*k_B</f>
        <v>11.2731500234653</v>
      </c>
      <c r="K4921" s="37" t="n">
        <f aca="false">Sens!$K$4919*k_B</f>
        <v>11.3050534585724</v>
      </c>
      <c r="L4921" s="37" t="n">
        <f aca="false">Sens!$L$4919*k_B</f>
        <v>11.3192185168503</v>
      </c>
      <c r="M4921" s="37" t="n">
        <f aca="false">Sens!$M$4919*k_B</f>
        <v>11.3229185141234</v>
      </c>
      <c r="N4921" s="14"/>
      <c r="O4921" s="14"/>
      <c r="P4921" s="5" t="s">
        <v>610</v>
      </c>
    </row>
    <row r="4922" customFormat="false" ht="17.15" hidden="false" customHeight="false" outlineLevel="0" collapsed="false">
      <c r="A4922" s="5" t="s">
        <v>611</v>
      </c>
      <c r="B4922" s="0" t="s">
        <v>129</v>
      </c>
      <c r="F4922" s="32" t="n">
        <f aca="false">Sens!$F$4916/2</f>
        <v>908.575</v>
      </c>
      <c r="H4922" s="32" t="n">
        <f aca="false">(Sens!$G$4916+Sens!$H$4916)/2</f>
        <v>3634.3</v>
      </c>
      <c r="I4922" s="32" t="n">
        <f aca="false">(Sens!$H$4916+Sens!$I$4916)/2</f>
        <v>7268.6</v>
      </c>
      <c r="J4922" s="32" t="n">
        <f aca="false">(Sens!$I$4916+Sens!$J$4916)/2</f>
        <v>10902.9</v>
      </c>
      <c r="K4922" s="32" t="n">
        <f aca="false">(Sens!$J$4916+Sens!$K$4916)/2</f>
        <v>14005.4835833333</v>
      </c>
      <c r="L4922" s="32" t="n">
        <f aca="false">(Sens!$K$4916+Sens!$L$4916)/2</f>
        <v>16044.6343333333</v>
      </c>
      <c r="M4922" s="32" t="n">
        <f aca="false">(Sens!$L$4916+Sens!$M$4916)/2</f>
        <v>17020.35225</v>
      </c>
    </row>
    <row r="4923" customFormat="false" ht="17.15" hidden="false" customHeight="false" outlineLevel="0" collapsed="false">
      <c r="A4923" s="1" t="s">
        <v>612</v>
      </c>
    </row>
    <row r="4924" customFormat="false" ht="17.15" hidden="false" customHeight="false" outlineLevel="0" collapsed="false">
      <c r="A4924" s="1" t="s">
        <v>613</v>
      </c>
      <c r="B4924" s="8" t="s">
        <v>86</v>
      </c>
      <c r="C4924" s="38" t="n">
        <f aca="false">Sens!$C$4907*rpm_open*Sens!$C$4908/1000</f>
        <v>2.32100535697364</v>
      </c>
      <c r="D4924" s="38" t="n">
        <f aca="false">Sens!$D$4907*rpm_open*Sens!$D$4908/1000</f>
        <v>8.70377008865116</v>
      </c>
      <c r="E4924" s="38" t="n">
        <f aca="false">Sens!$E$4907*rpm_open*Sens!$E$4908/1000</f>
        <v>8.51035297557002</v>
      </c>
      <c r="F4924" s="38" t="n">
        <f aca="false">(mw_open*rpm_open+Sens!$F$4922*Sens!$F$4921)*Sens!$F$4908/1000</f>
        <v>14.9634336447205</v>
      </c>
      <c r="G4924" s="38" t="n">
        <f aca="false">Sens!$E$4924+Sens!$F$4924</f>
        <v>23.4737866202905</v>
      </c>
      <c r="H4924" s="38" t="n">
        <f aca="false">(mw_open*rpm_open+Sens!$H$4922*Sens!$H$4921)/1000</f>
        <v>60.1658907497746</v>
      </c>
      <c r="I4924" s="38" t="n">
        <f aca="false">(mw_open*rpm_open+Sens!$I$4922*Sens!$I$4921)/1000</f>
        <v>101.503699136432</v>
      </c>
      <c r="J4924" s="38" t="n">
        <f aca="false">(mw_open*rpm_open+Sens!$J$4922*Sens!$J$4921)/1000</f>
        <v>143.025407151278</v>
      </c>
      <c r="K4924" s="38" t="n">
        <f aca="false">(mw_open*rpm_open+Sens!$K$4922*Sens!$K$4921)/1000</f>
        <v>178.44812038318</v>
      </c>
      <c r="L4924" s="38" t="n">
        <f aca="false">(mw_open*rpm_open+Sens!$L$4922*Sens!$L$4921)/1000</f>
        <v>201.728101802396</v>
      </c>
      <c r="M4924" s="38" t="n">
        <f aca="false">(mw_open*rpm_open+Sens!$M$4922*Sens!$M$4921)/1000</f>
        <v>212.835441368865</v>
      </c>
      <c r="N4924" s="38" t="n">
        <f aca="false">Sens!$N$4907*rpm_open*Sens!$N$4908/1000</f>
        <v>3.04631953102791</v>
      </c>
      <c r="O4924" s="38" t="n">
        <f aca="false">Sens!$O$4907*rpm_open*Sens!$O$4908/1000</f>
        <v>5.65745055762326</v>
      </c>
      <c r="P4924" s="5" t="s">
        <v>614</v>
      </c>
    </row>
    <row r="4925" customFormat="false" ht="17.15" hidden="false" customHeight="false" outlineLevel="0" collapsed="false">
      <c r="A4925" s="5" t="s">
        <v>615</v>
      </c>
      <c r="B4925" s="0" t="s">
        <v>173</v>
      </c>
      <c r="C4925" s="36" t="n">
        <f aca="false">Sens!$C$4924*1000/(Sens!$C$4907*Sens!$C$4908)</f>
        <v>9.67085565405685</v>
      </c>
      <c r="D4925" s="36" t="n">
        <f aca="false">Sens!$D$4924*1000/(Sens!$D$4907*Sens!$D$4908)</f>
        <v>9.67085565405685</v>
      </c>
      <c r="E4925" s="36" t="n">
        <f aca="false">Sens!$E$4924*1000/(Sens!$E$4907*Sens!$E$4908)</f>
        <v>9.67085565405685</v>
      </c>
      <c r="F4925" s="36" t="n">
        <f aca="false">Sens!$F$4924*1000/(Sens!$F$4907*Sens!$F$4908)</f>
        <v>10.0137581588017</v>
      </c>
      <c r="G4925" s="36" t="n">
        <f aca="false">Sens!$G$4924*1000/(Sens!$G$4907*Sens!$G$4908)</f>
        <v>9.88666562928478</v>
      </c>
      <c r="H4925" s="36" t="n">
        <f aca="false">Sens!$H$4924*1000/(Sens!$H$4907*Sens!$H$4908)</f>
        <v>10.5290045586992</v>
      </c>
      <c r="I4925" s="36" t="n">
        <f aca="false">Sens!$I$4924*1000/(Sens!$I$4907*Sens!$I$4908)</f>
        <v>10.8576363451674</v>
      </c>
      <c r="J4925" s="36" t="n">
        <f aca="false">Sens!$J$4924*1000/(Sens!$J$4907*Sens!$J$4908)</f>
        <v>11.0164452588619</v>
      </c>
      <c r="K4925" s="36" t="n">
        <f aca="false">Sens!$K$4924*1000/(Sens!$K$4907*Sens!$K$4908)</f>
        <v>11.0937367508227</v>
      </c>
      <c r="L4925" s="36" t="n">
        <f aca="false">Sens!$L$4924*1000/(Sens!$L$4907*Sens!$L$4908)</f>
        <v>11.1300508519168</v>
      </c>
      <c r="M4925" s="36" t="n">
        <f aca="false">Sens!$M$4924*1000/(Sens!$M$4907*Sens!$M$4908)</f>
        <v>11.1430113216297</v>
      </c>
      <c r="N4925" s="36" t="n">
        <f aca="false">Sens!$N$4924*1000/(Sens!$N$4907*Sens!$N$4908)</f>
        <v>9.67085565405685</v>
      </c>
      <c r="O4925" s="36" t="n">
        <f aca="false">Sens!$O$4924*1000/(Sens!$O$4907*Sens!$O$4908)</f>
        <v>9.67085565405685</v>
      </c>
    </row>
    <row r="4926" customFormat="false" ht="17.15" hidden="false" customHeight="false" outlineLevel="0" collapsed="false">
      <c r="A4926" s="0" t="s">
        <v>616</v>
      </c>
      <c r="B4926" s="0" t="s">
        <v>86</v>
      </c>
      <c r="C4926" s="38" t="n">
        <f aca="false">Sens!$C$4907/ext_sh*(ox_open+rent_mw)*Sens!$C$4908/1000</f>
        <v>0.642569210675032</v>
      </c>
      <c r="D4926" s="38" t="n">
        <f aca="false">Sens!$D$4907/ext_sh*(ox_open+rent_mw)*Sens!$D$4908/1000</f>
        <v>2.40963454003137</v>
      </c>
      <c r="E4926" s="38" t="n">
        <f aca="false">Sens!$E$4907/ext_sh*(ox_open+rent_mw)*Sens!$E$4908/1000</f>
        <v>2.35608710580845</v>
      </c>
      <c r="F4926" s="38" t="n">
        <f aca="false">((mw_open*ox_open+Sens!$F$4922*Sens!$F$4920)/ext_sh+Sens!$F$4907/ext_sh*rent_mw)*Sens!$F$4908/1000</f>
        <v>4.05421991106232</v>
      </c>
      <c r="G4926" s="38" t="n">
        <f aca="false">Sens!$E$4926+Sens!$F$4926</f>
        <v>6.41030701687077</v>
      </c>
      <c r="H4926" s="38" t="n">
        <f aca="false">((mw_open*ox_open+Sens!$H$4922*Sens!$H$4920)/ext_sh+Sens!$H$4907/ext_sh*rent_mw)*Sens!$H$4908/1000</f>
        <v>15.8108975546616</v>
      </c>
      <c r="I4926" s="38" t="n">
        <f aca="false">((mw_open*ox_open+Sens!$I$4922*Sens!$I$4920)/ext_sh+Sens!$I$4907/ext_sh*rent_mw)*Sens!$I$4908/1000</f>
        <v>26.1871623400817</v>
      </c>
      <c r="J4926" s="38" t="n">
        <f aca="false">((mw_open*ox_open+Sens!$J$4922*Sens!$J$4920)/ext_sh+Sens!$J$4907/ext_sh*rent_mw)*Sens!$J$4908/1000</f>
        <v>36.5826128954935</v>
      </c>
      <c r="K4926" s="38" t="n">
        <f aca="false">((mw_open*ox_open+Sens!$K$4922*Sens!$K$4920)/ext_sh+Sens!$K$4907/ext_sh*rent_mw)*Sens!$K$4908/1000</f>
        <v>45.4546361137628</v>
      </c>
      <c r="L4926" s="38" t="n">
        <f aca="false">((mw_open*ox_open+Sens!$L$4922*Sens!$L$4920)/ext_sh+Sens!$L$4907/ext_sh*rent_mw)*Sens!$L$4908/1000</f>
        <v>51.2855695554452</v>
      </c>
      <c r="M4926" s="38" t="n">
        <f aca="false">((mw_open*ox_open+Sens!$M$4922*Sens!$M$4920)/ext_sh+Sens!$M$4907/ext_sh*rent_mw)*Sens!$M$4908/1000</f>
        <v>54.0722927838398</v>
      </c>
      <c r="N4926" s="38" t="n">
        <f aca="false">Sens!$N$4907/ext_sh*(ox_open+rent_mw)*Sens!$N$4908/1000</f>
        <v>0.84337208901098</v>
      </c>
      <c r="O4926" s="38" t="n">
        <f aca="false">Sens!$O$4907/ext_sh*(ox_open+rent_mw)*Sens!$O$4908/1000</f>
        <v>1.56626245102039</v>
      </c>
    </row>
    <row r="4927" customFormat="false" ht="17.15" hidden="false" customHeight="false" outlineLevel="0" collapsed="false">
      <c r="A4927" s="0" t="s">
        <v>617</v>
      </c>
      <c r="B4927" s="0" t="s">
        <v>86</v>
      </c>
      <c r="C4927" s="38" t="n">
        <f aca="false">Q!$D$7</f>
        <v>107.556</v>
      </c>
      <c r="D4927" s="38" t="n">
        <f aca="false">Q!$E$7</f>
        <v>128.725</v>
      </c>
      <c r="E4927" s="38" t="n">
        <f aca="false">Q!$P$7</f>
        <v>79.819</v>
      </c>
      <c r="N4927" s="38" t="n">
        <f aca="false">Q!$N$7</f>
        <v>60.14</v>
      </c>
      <c r="O4927" s="38" t="n">
        <f aca="false">Q!$O$7</f>
        <v>68.585</v>
      </c>
    </row>
    <row r="4928" customFormat="false" ht="17.15" hidden="false" customHeight="false" outlineLevel="0" collapsed="false">
      <c r="A4928" s="1" t="s">
        <v>618</v>
      </c>
      <c r="B4928" s="8" t="s">
        <v>86</v>
      </c>
      <c r="C4928" s="38" t="n">
        <f aca="false">Sens!$C$4927-Sens!$C$4924</f>
        <v>105.234994643026</v>
      </c>
      <c r="D4928" s="38" t="n">
        <f aca="false">Sens!$D$4927-Sens!$D$4924</f>
        <v>120.021229911349</v>
      </c>
      <c r="E4928" s="38" t="n">
        <f aca="false">Sens!$E$4927-Sens!$E$4924</f>
        <v>71.30864702443</v>
      </c>
      <c r="F4928" s="38" t="n">
        <f aca="false">Sens!$O$4928*(1+Sens!$F$4929)</f>
        <v>71.7692997942464</v>
      </c>
      <c r="G4928" s="38" t="n">
        <f aca="false">Sens!$E$4928+Sens!$F$4928</f>
        <v>143.077946818676</v>
      </c>
      <c r="H4928" s="38" t="n">
        <f aca="false">Sens!$G$4928*(1+Sens!$H$4929)</f>
        <v>161.017077079203</v>
      </c>
      <c r="I4928" s="38" t="n">
        <f aca="false">Sens!$H$4928*(1+Sens!$I$4929)</f>
        <v>178.769759521457</v>
      </c>
      <c r="J4928" s="38" t="n">
        <f aca="false">Sens!$I$4928*(1+Sens!$J$4929)</f>
        <v>195.775538045907</v>
      </c>
      <c r="K4928" s="38" t="n">
        <f aca="false">Sens!$J$4928*(1+Sens!$K$4929)</f>
        <v>211.43758108958</v>
      </c>
      <c r="L4928" s="38" t="n">
        <f aca="false">Sens!$K$4928*(1+Sens!$L$4929)</f>
        <v>228.352587576746</v>
      </c>
      <c r="M4928" s="38" t="n">
        <f aca="false">Sens!$L$4928*(1+Sens!$M$4929)</f>
        <v>246.620794582886</v>
      </c>
      <c r="N4928" s="38" t="n">
        <f aca="false">Sens!$N$4927-Sens!$N$4924</f>
        <v>57.0936804689721</v>
      </c>
      <c r="O4928" s="38" t="n">
        <f aca="false">Sens!$O$4927-Sens!$O$4924</f>
        <v>62.9275494423768</v>
      </c>
      <c r="P4928" s="5" t="s">
        <v>619</v>
      </c>
    </row>
    <row r="4929" customFormat="false" ht="17.15" hidden="false" customHeight="false" outlineLevel="0" collapsed="false">
      <c r="A4929" s="0" t="s">
        <v>620</v>
      </c>
      <c r="B4929" s="0" t="s">
        <v>52</v>
      </c>
      <c r="D4929" s="13" t="n">
        <f aca="false">Sens!$D$4928/Sens!$C$4928-1</f>
        <v>0.140506827776062</v>
      </c>
      <c r="E4929" s="13" t="n">
        <f aca="false">Sens!$E$4928/Sens!$N$4928-1</f>
        <v>0.248976181579029</v>
      </c>
      <c r="F4929" s="13" t="n">
        <f aca="false">Sens!$D$4929</f>
        <v>0.140506827776062</v>
      </c>
      <c r="G4929" s="13" t="n">
        <f aca="false">Sens!$G$4928/Sens!$D$4928-1</f>
        <v>0.19210532106993</v>
      </c>
      <c r="H4929" s="13" t="n">
        <f aca="false">Sens!$F$4929+(g_awso_lt-Sens!$F$4929)*1/4</f>
        <v>0.125380120832046</v>
      </c>
      <c r="I4929" s="13" t="n">
        <f aca="false">Sens!$F$4929+(g_awso_lt-Sens!$F$4929)*2/4</f>
        <v>0.110253413888031</v>
      </c>
      <c r="J4929" s="13" t="n">
        <f aca="false">Sens!$F$4929+(g_awso_lt-Sens!$F$4929)*3/4</f>
        <v>0.0951267069440154</v>
      </c>
      <c r="K4929" s="13" t="n">
        <f aca="false">Sens!$F$4929+(g_awso_lt-Sens!$F$4929)*4/4</f>
        <v>0.08</v>
      </c>
      <c r="L4929" s="13" t="n">
        <f aca="false">g_awso_lt</f>
        <v>0.08</v>
      </c>
      <c r="M4929" s="13" t="n">
        <f aca="false">g_awso_lt</f>
        <v>0.08</v>
      </c>
      <c r="P4929" s="5" t="s">
        <v>621</v>
      </c>
    </row>
    <row r="4930" customFormat="false" ht="17.15" hidden="false" customHeight="false" outlineLevel="0" collapsed="false">
      <c r="A4930" s="1" t="s">
        <v>622</v>
      </c>
    </row>
    <row r="4931" customFormat="false" ht="17.15" hidden="false" customHeight="false" outlineLevel="0" collapsed="false">
      <c r="A4931" s="0" t="s">
        <v>623</v>
      </c>
      <c r="B4931" s="0" t="s">
        <v>86</v>
      </c>
      <c r="F4931" s="38" t="n">
        <f aca="false">cx_rt*Sens!$F$4896+cx_awso*Sens!$F$4928</f>
        <v>34.9734495387866</v>
      </c>
    </row>
    <row r="4932" customFormat="false" ht="17.15" hidden="false" customHeight="false" outlineLevel="0" collapsed="false">
      <c r="A4932" s="0" t="s">
        <v>624</v>
      </c>
      <c r="B4932" s="0" t="s">
        <v>52</v>
      </c>
      <c r="C4932" s="13" t="n">
        <f aca="false">tk_cx_h100/(tk_cx_h100+tk_fac*(1-colo_sh))</f>
        <v>0.730756458006641</v>
      </c>
      <c r="D4932" s="13" t="n">
        <f aca="false">tk_cx_h100/(tk_cx_h100+tk_fac*(1-colo_sh))</f>
        <v>0.730756458006641</v>
      </c>
      <c r="E4932" s="13" t="n">
        <f aca="false">Sens!$F$4932</f>
        <v>0.760792334328868</v>
      </c>
      <c r="F4932" s="13" t="n">
        <f aca="false">Sens!$F$4915/(Sens!$F$4915+tk_fac*(1-colo_sh))</f>
        <v>0.760792334328868</v>
      </c>
      <c r="G4932" s="13" t="n">
        <f aca="false">Sens!$G$4915/(Sens!$G$4915+tk_fac*(1-colo_sh))</f>
        <v>0.760792334328868</v>
      </c>
      <c r="H4932" s="13" t="n">
        <f aca="false">Sens!$H$4915/(Sens!$H$4915+tk_fac*(1-colo_sh))</f>
        <v>0.768110668862996</v>
      </c>
      <c r="I4932" s="13" t="n">
        <f aca="false">Sens!$I$4915/(Sens!$I$4915+tk_fac*(1-colo_sh))</f>
        <v>0.77499450139483</v>
      </c>
      <c r="J4932" s="13" t="n">
        <f aca="false">Sens!$J$4915/(Sens!$J$4915+tk_fac*(1-colo_sh))</f>
        <v>0.77499450139483</v>
      </c>
      <c r="K4932" s="13" t="n">
        <f aca="false">Sens!$K$4915/(Sens!$K$4915+tk_fac*(1-colo_sh))</f>
        <v>0.77499450139483</v>
      </c>
      <c r="L4932" s="13" t="n">
        <f aca="false">Sens!$L$4915/(Sens!$L$4915+tk_fac*(1-colo_sh))</f>
        <v>0.77499450139483</v>
      </c>
      <c r="M4932" s="13" t="n">
        <f aca="false">Sens!$M$4915/(Sens!$M$4915+tk_fac*(1-colo_sh))</f>
        <v>0.77499450139483</v>
      </c>
    </row>
    <row r="4933" customFormat="false" ht="17.15" hidden="false" customHeight="false" outlineLevel="0" collapsed="false">
      <c r="A4933" s="1" t="s">
        <v>625</v>
      </c>
      <c r="B4933" s="8" t="s">
        <v>86</v>
      </c>
      <c r="C4933" s="38" t="n">
        <f aca="false">Q!$D$46-cx_rt*Q!$D$16-cx_awso*Sens!$C$4928</f>
        <v>25.2781053077374</v>
      </c>
      <c r="D4933" s="38" t="n">
        <f aca="false">Q!$E$46-cx_rt*Q!$E$16-cx_awso*Sens!$D$4928</f>
        <v>69.5686316310026</v>
      </c>
      <c r="E4933" s="38" t="n">
        <f aca="false">Q!$P$46-cx_rt*Q!$P$16-cx_awso*Sens!$E$4928</f>
        <v>64.1899206485108</v>
      </c>
      <c r="F4933" s="38" t="n">
        <f aca="false">MAX(Sens!$F$4910*(Sens!$F$4915+tk_fac*(1-colo_sh))/1000,capex_g26-Q!$P$46-Sens!$F$4931)</f>
        <v>96.2481299895</v>
      </c>
      <c r="G4933" s="38" t="n">
        <f aca="false">Sens!$E$4933+Sens!$F$4933</f>
        <v>160.438050638011</v>
      </c>
      <c r="H4933" s="38" t="n">
        <f aca="false">Sens!$H$4910*(Sens!$H$4915+tk_fac*(1-colo_sh))/1000+Sens!$H$4934</f>
        <v>198.57136494475</v>
      </c>
      <c r="I4933" s="38" t="n">
        <f aca="false">Sens!$I$4910*(Sens!$I$4915+tk_fac*(1-colo_sh))/1000+Sens!$I$4934</f>
        <v>204.6464699105</v>
      </c>
      <c r="J4933" s="38" t="n">
        <f aca="false">Sens!$J$4910*(Sens!$J$4915+tk_fac*(1-colo_sh))/1000+Sens!$J$4934</f>
        <v>209.8832381105</v>
      </c>
      <c r="K4933" s="38" t="n">
        <f aca="false">Sens!$K$4910*(Sens!$K$4915+tk_fac*(1-colo_sh))/1000+Sens!$K$4934</f>
        <v>155.238385275201</v>
      </c>
      <c r="L4933" s="38" t="n">
        <f aca="false">Sens!$L$4910*(Sens!$L$4915+tk_fac*(1-colo_sh))/1000+Sens!$L$4934</f>
        <v>132.014141639902</v>
      </c>
      <c r="M4933" s="38" t="n">
        <f aca="false">Sens!$M$4910*(Sens!$M$4915+tk_fac*(1-colo_sh))/1000+Sens!$M$4934</f>
        <v>132.230981659852</v>
      </c>
      <c r="P4933" s="5" t="s">
        <v>626</v>
      </c>
      <c r="R4933" s="38" t="n">
        <f aca="false">Q!$C$46-cx_rt*Q!$C$16-cx_awso*(Q!$C$7-mw_ye23/2*rpm_open/1000)</f>
        <v>1.50429979529945</v>
      </c>
      <c r="S4933" s="38" t="n">
        <f aca="false">Sens!$C$4933</f>
        <v>25.2781053077374</v>
      </c>
      <c r="T4933" s="38" t="n">
        <f aca="false">Sens!$D$4933</f>
        <v>69.5686316310026</v>
      </c>
      <c r="U4933" s="38" t="n">
        <f aca="false">Sens!$G$4933</f>
        <v>160.438050638011</v>
      </c>
      <c r="V4933" s="38" t="n">
        <f aca="false">Sens!$H$4933</f>
        <v>198.57136494475</v>
      </c>
      <c r="W4933" s="38" t="n">
        <f aca="false">Sens!$I$4933</f>
        <v>204.6464699105</v>
      </c>
      <c r="X4933" s="38" t="n">
        <f aca="false">Sens!$J$4933</f>
        <v>209.8832381105</v>
      </c>
      <c r="Y4933" s="38" t="n">
        <f aca="false">Sens!$K$4933</f>
        <v>155.238385275201</v>
      </c>
      <c r="Z4933" s="38" t="n">
        <f aca="false">Sens!$L$4933</f>
        <v>132.014141639902</v>
      </c>
      <c r="AA4933" s="38" t="n">
        <f aca="false">Sens!$M$4933</f>
        <v>132.230981659852</v>
      </c>
    </row>
    <row r="4934" customFormat="false" ht="17.15" hidden="false" customHeight="false" outlineLevel="0" collapsed="false">
      <c r="A4934" s="0" t="s">
        <v>627</v>
      </c>
      <c r="B4934" s="0" t="s">
        <v>86</v>
      </c>
      <c r="H4934" s="38" t="n">
        <f aca="false">SUMPRODUCT(--(Sens!$R$4903:$AA$4903=2027-tk_life),Sens!$R$4910:$AA$4910)*Sens!$H$4915/1000</f>
        <v>0</v>
      </c>
      <c r="I4934" s="38" t="n">
        <f aca="false">SUMPRODUCT(--(Sens!$R$4903:$AA$4903=2028-tk_life),Sens!$R$4910:$AA$4910)*Sens!$I$4915/1000</f>
        <v>0</v>
      </c>
      <c r="J4934" s="38" t="n">
        <f aca="false">SUMPRODUCT(--(Sens!$R$4903:$AA$4903=2029-tk_life),Sens!$R$4910:$AA$4910)*Sens!$J$4915/1000</f>
        <v>5.2367682</v>
      </c>
      <c r="K4934" s="38" t="n">
        <f aca="false">SUMPRODUCT(--(Sens!$R$4903:$AA$4903=2030-tk_life),Sens!$R$4910:$AA$4910)*Sens!$K$4915/1000</f>
        <v>10.4735364</v>
      </c>
      <c r="L4934" s="38" t="n">
        <f aca="false">SUMPRODUCT(--(Sens!$R$4903:$AA$4903=2031-tk_life),Sens!$R$4910:$AA$4910)*Sens!$L$4915/1000</f>
        <v>47.1309138</v>
      </c>
      <c r="M4934" s="38" t="n">
        <f aca="false">SUMPRODUCT(--(Sens!$R$4903:$AA$4903=2032-tk_life),Sens!$R$4910:$AA$4910)*Sens!$M$4915/1000</f>
        <v>107.22937485525</v>
      </c>
    </row>
    <row r="4935" customFormat="false" ht="17.15" hidden="false" customHeight="false" outlineLevel="0" collapsed="false">
      <c r="A4935" s="5" t="s">
        <v>628</v>
      </c>
      <c r="B4935" s="0" t="s">
        <v>86</v>
      </c>
      <c r="C4935" s="38" t="n">
        <f aca="false">Sens!$C$4933*Sens!$C$4932</f>
        <v>18.472138699801</v>
      </c>
      <c r="D4935" s="38" t="n">
        <f aca="false">Sens!$D$4933*Sens!$D$4932</f>
        <v>50.8377268390402</v>
      </c>
      <c r="E4935" s="38" t="n">
        <f aca="false">Sens!$E$4933*Sens!$E$4932</f>
        <v>48.8351995705653</v>
      </c>
      <c r="F4935" s="38" t="n">
        <f aca="false">Sens!$F$4933*Sens!$F$4932</f>
        <v>73.2248394895</v>
      </c>
      <c r="G4935" s="38" t="n">
        <f aca="false">Sens!$E$4935+Sens!$F$4935</f>
        <v>122.060039060065</v>
      </c>
      <c r="H4935" s="38" t="n">
        <f aca="false">(Sens!$H$4933-Sens!$H$4934)*Sens!$H$4932+Sens!$H$4934</f>
        <v>152.52478394475</v>
      </c>
      <c r="I4935" s="38" t="n">
        <f aca="false">(Sens!$I$4933-Sens!$I$4934)*Sens!$I$4932+Sens!$I$4934</f>
        <v>158.5998889105</v>
      </c>
      <c r="J4935" s="38" t="n">
        <f aca="false">(Sens!$J$4933-Sens!$J$4934)*Sens!$J$4932+Sens!$J$4934</f>
        <v>163.8366571105</v>
      </c>
      <c r="K4935" s="38" t="n">
        <f aca="false">(Sens!$K$4933-Sens!$K$4934)*Sens!$K$4932+Sens!$K$4934</f>
        <v>122.665498273534</v>
      </c>
      <c r="L4935" s="38" t="n">
        <f aca="false">(Sens!$L$4933-Sens!$L$4934)*Sens!$L$4932+Sens!$L$4934</f>
        <v>112.914948636568</v>
      </c>
      <c r="M4935" s="38" t="n">
        <f aca="false">(Sens!$M$4933-Sens!$M$4934)*Sens!$M$4932+Sens!$M$4934</f>
        <v>126.605482654852</v>
      </c>
      <c r="R4935" s="38" t="n">
        <f aca="false">Sens!$R$4933*Sens!$C$4932</f>
        <v>1.09927679019314</v>
      </c>
      <c r="S4935" s="38" t="n">
        <f aca="false">Sens!$C$4935</f>
        <v>18.472138699801</v>
      </c>
      <c r="T4935" s="38" t="n">
        <f aca="false">Sens!$D$4935</f>
        <v>50.8377268390402</v>
      </c>
      <c r="U4935" s="38" t="n">
        <f aca="false">Sens!$G$4935</f>
        <v>122.060039060065</v>
      </c>
      <c r="V4935" s="38" t="n">
        <f aca="false">Sens!$H$4935</f>
        <v>152.52478394475</v>
      </c>
      <c r="W4935" s="38" t="n">
        <f aca="false">Sens!$I$4935</f>
        <v>158.5998889105</v>
      </c>
      <c r="X4935" s="38" t="n">
        <f aca="false">Sens!$J$4935</f>
        <v>163.8366571105</v>
      </c>
      <c r="Y4935" s="38" t="n">
        <f aca="false">Sens!$K$4935</f>
        <v>122.665498273534</v>
      </c>
      <c r="Z4935" s="38" t="n">
        <f aca="false">Sens!$L$4935</f>
        <v>112.914948636568</v>
      </c>
      <c r="AA4935" s="38" t="n">
        <f aca="false">Sens!$M$4935</f>
        <v>126.605482654852</v>
      </c>
    </row>
    <row r="4936" customFormat="false" ht="15" hidden="false" customHeight="false" outlineLevel="0" collapsed="false">
      <c r="A4936" s="5" t="s">
        <v>629</v>
      </c>
      <c r="B4936" s="0" t="s">
        <v>86</v>
      </c>
      <c r="C4936" s="38" t="n">
        <f aca="false">Sens!$C$4933-Sens!$C$4935</f>
        <v>6.80596660793636</v>
      </c>
      <c r="D4936" s="38" t="n">
        <f aca="false">Sens!$D$4933-Sens!$D$4935</f>
        <v>18.7309047919624</v>
      </c>
      <c r="E4936" s="38" t="n">
        <f aca="false">Sens!$E$4933-Sens!$E$4935</f>
        <v>15.3547210779455</v>
      </c>
      <c r="F4936" s="38" t="n">
        <f aca="false">Sens!$F$4933-Sens!$F$4935</f>
        <v>23.0232905</v>
      </c>
      <c r="G4936" s="38" t="n">
        <f aca="false">Sens!$G$4933-Sens!$G$4935</f>
        <v>38.3780115779455</v>
      </c>
      <c r="H4936" s="38" t="n">
        <f aca="false">Sens!$H$4933-Sens!$H$4935</f>
        <v>46.046581</v>
      </c>
      <c r="I4936" s="38" t="n">
        <f aca="false">Sens!$I$4933-Sens!$I$4935</f>
        <v>46.046581</v>
      </c>
      <c r="J4936" s="38" t="n">
        <f aca="false">Sens!$J$4933-Sens!$J$4935</f>
        <v>46.046581</v>
      </c>
      <c r="K4936" s="38" t="n">
        <f aca="false">Sens!$K$4933-Sens!$K$4935</f>
        <v>32.5728870016667</v>
      </c>
      <c r="L4936" s="38" t="n">
        <f aca="false">Sens!$L$4933-Sens!$L$4935</f>
        <v>19.0991930033334</v>
      </c>
      <c r="M4936" s="38" t="n">
        <f aca="false">Sens!$M$4933-Sens!$M$4935</f>
        <v>5.62549900499998</v>
      </c>
      <c r="R4936" s="38" t="n">
        <f aca="false">Sens!$R$4933-Sens!$R$4935</f>
        <v>0.405023005106309</v>
      </c>
      <c r="S4936" s="38" t="n">
        <f aca="false">Sens!$S$4933-Sens!$S$4935</f>
        <v>6.80596660793636</v>
      </c>
      <c r="T4936" s="38" t="n">
        <f aca="false">Sens!$T$4933-Sens!$T$4935</f>
        <v>18.7309047919624</v>
      </c>
      <c r="U4936" s="38" t="n">
        <f aca="false">Sens!$U$4933-Sens!$U$4935</f>
        <v>38.3780115779455</v>
      </c>
      <c r="V4936" s="38" t="n">
        <f aca="false">Sens!$V$4933-Sens!$V$4935</f>
        <v>46.046581</v>
      </c>
      <c r="W4936" s="38" t="n">
        <f aca="false">Sens!$W$4933-Sens!$W$4935</f>
        <v>46.046581</v>
      </c>
      <c r="X4936" s="38" t="n">
        <f aca="false">Sens!$X$4933-Sens!$X$4935</f>
        <v>46.046581</v>
      </c>
      <c r="Y4936" s="38" t="n">
        <f aca="false">Sens!$Y$4933-Sens!$Y$4935</f>
        <v>32.5728870016667</v>
      </c>
      <c r="Z4936" s="38" t="n">
        <f aca="false">Sens!$Z$4933-Sens!$Z$4935</f>
        <v>19.0991930033334</v>
      </c>
      <c r="AA4936" s="38" t="n">
        <f aca="false">Sens!$AA$4933-Sens!$AA$4935</f>
        <v>5.62549900499998</v>
      </c>
    </row>
    <row r="4937" customFormat="false" ht="17.15" hidden="false" customHeight="false" outlineLevel="0" collapsed="false">
      <c r="A4937" s="0" t="s">
        <v>630</v>
      </c>
      <c r="B4937" s="0" t="s">
        <v>52</v>
      </c>
      <c r="C4937" s="13" t="n">
        <f aca="false">Sens!$C$4933/Sens!$C$5053</f>
        <v>0.325505489553393</v>
      </c>
      <c r="D4937" s="13" t="n">
        <f aca="false">Sens!$D$4933/Sens!$D$5053</f>
        <v>0.54214956071542</v>
      </c>
      <c r="E4937" s="13" t="n">
        <f aca="false">Sens!$E$4933/Sens!$E$5053</f>
        <v>0.666492790452817</v>
      </c>
      <c r="F4937" s="13" t="n">
        <f aca="false">Sens!$F$4933/Sens!$F$5053</f>
        <v>0.733477910687338</v>
      </c>
      <c r="G4937" s="13" t="n">
        <f aca="false">Sens!$G$4933/Sens!$G$5053</f>
        <v>0.705124321514523</v>
      </c>
      <c r="H4937" s="13" t="n">
        <f aca="false">Sens!$H$4933/Sens!$H$5053</f>
        <v>0.726376041178204</v>
      </c>
      <c r="I4937" s="13" t="n">
        <f aca="false">Sens!$I$4933/Sens!$I$5053</f>
        <v>0.713099092661699</v>
      </c>
      <c r="J4937" s="13" t="n">
        <f aca="false">Sens!$J$4933/Sens!$J$5053</f>
        <v>0.701208348786245</v>
      </c>
      <c r="K4937" s="13" t="n">
        <f aca="false">Sens!$K$4933/Sens!$K$5053</f>
        <v>0.618338844562383</v>
      </c>
      <c r="L4937" s="13" t="n">
        <f aca="false">Sens!$L$4933/Sens!$L$5053</f>
        <v>0.562489158462506</v>
      </c>
      <c r="M4937" s="13" t="n">
        <f aca="false">Sens!$M$4933/Sens!$M$5053</f>
        <v>0.545751190895923</v>
      </c>
    </row>
    <row r="4938" customFormat="false" ht="17.15" hidden="false" customHeight="false" outlineLevel="0" collapsed="false">
      <c r="A4938" s="0" t="s">
        <v>631</v>
      </c>
      <c r="B4938" s="0" t="s">
        <v>86</v>
      </c>
      <c r="C4938" s="38" t="n">
        <f aca="false">Sens!$S$4938</f>
        <v>0.183212798365523</v>
      </c>
      <c r="D4938" s="38" t="n">
        <f aca="false">Sens!$T$4938</f>
        <v>3.2619025816657</v>
      </c>
      <c r="E4938" s="38" t="n">
        <f aca="false">Sens!$G$4938/2</f>
        <v>5.86742852741953</v>
      </c>
      <c r="F4938" s="38" t="n">
        <f aca="false">Sens!$G$4938/2</f>
        <v>5.86742852741953</v>
      </c>
      <c r="G4938" s="38" t="n">
        <f aca="false">Sens!$U$4938</f>
        <v>11.7348570548391</v>
      </c>
      <c r="H4938" s="38" t="n">
        <f aca="false">Sens!$V$4938</f>
        <v>32.0781968981833</v>
      </c>
      <c r="I4938" s="38" t="n">
        <f aca="false">Sens!$W$4938</f>
        <v>57.4989942223083</v>
      </c>
      <c r="J4938" s="38" t="n">
        <f aca="false">Sens!$X$4938</f>
        <v>83.932309040725</v>
      </c>
      <c r="K4938" s="38" t="n">
        <f aca="false">Sens!$Y$4938</f>
        <v>111.055205760776</v>
      </c>
      <c r="L4938" s="38" t="n">
        <f aca="false">Sens!$Z$4938</f>
        <v>128.420765689732</v>
      </c>
      <c r="M4938" s="38" t="n">
        <f aca="false">Sens!$AA$4938</f>
        <v>138.766969322653</v>
      </c>
      <c r="N4938" s="38" t="n">
        <f aca="false">Sens!$D$4938/2</f>
        <v>1.63095129083285</v>
      </c>
      <c r="O4938" s="38" t="n">
        <f aca="false">Sens!$D$4938/2</f>
        <v>1.63095129083285</v>
      </c>
      <c r="R4938" s="38" t="n">
        <f aca="false">SUMPRODUCT(--(Sens!$R$4903:$AA$4903&lt;Sens!R$4903),--(Sens!$R$4903:$AA$4903&gt;=Sens!R$4903-tk_life),Sens!$R$4935:$AA$4935)/tk_life</f>
        <v>0</v>
      </c>
      <c r="S4938" s="38" t="n">
        <f aca="false">SUMPRODUCT(--(Sens!$R$4903:$AA$4903&lt;Sens!S$4903),--(Sens!$R$4903:$AA$4903&gt;=Sens!S$4903-tk_life),Sens!$R$4935:$AA$4935)/tk_life</f>
        <v>0.183212798365523</v>
      </c>
      <c r="T4938" s="38" t="n">
        <f aca="false">SUMPRODUCT(--(Sens!$R$4903:$AA$4903&lt;Sens!T$4903),--(Sens!$R$4903:$AA$4903&gt;=Sens!T$4903-tk_life),Sens!$R$4935:$AA$4935)/tk_life</f>
        <v>3.2619025816657</v>
      </c>
      <c r="U4938" s="38" t="n">
        <f aca="false">SUMPRODUCT(--(Sens!$R$4903:$AA$4903&lt;Sens!U$4903),--(Sens!$R$4903:$AA$4903&gt;=Sens!U$4903-tk_life),Sens!$R$4935:$AA$4935)/tk_life</f>
        <v>11.7348570548391</v>
      </c>
      <c r="V4938" s="38" t="n">
        <f aca="false">SUMPRODUCT(--(Sens!$R$4903:$AA$4903&lt;Sens!V$4903),--(Sens!$R$4903:$AA$4903&gt;=Sens!V$4903-tk_life),Sens!$R$4935:$AA$4935)/tk_life</f>
        <v>32.0781968981833</v>
      </c>
      <c r="W4938" s="38" t="n">
        <f aca="false">SUMPRODUCT(--(Sens!$R$4903:$AA$4903&lt;Sens!W$4903),--(Sens!$R$4903:$AA$4903&gt;=Sens!W$4903-tk_life),Sens!$R$4935:$AA$4935)/tk_life</f>
        <v>57.4989942223083</v>
      </c>
      <c r="X4938" s="38" t="n">
        <f aca="false">SUMPRODUCT(--(Sens!$R$4903:$AA$4903&lt;Sens!X$4903),--(Sens!$R$4903:$AA$4903&gt;=Sens!X$4903-tk_life),Sens!$R$4935:$AA$4935)/tk_life</f>
        <v>83.932309040725</v>
      </c>
      <c r="Y4938" s="38" t="n">
        <f aca="false">SUMPRODUCT(--(Sens!$R$4903:$AA$4903&lt;Sens!Y$4903),--(Sens!$R$4903:$AA$4903&gt;=Sens!Y$4903-tk_life),Sens!$R$4935:$AA$4935)/tk_life</f>
        <v>111.055205760776</v>
      </c>
      <c r="Z4938" s="38" t="n">
        <f aca="false">SUMPRODUCT(--(Sens!$R$4903:$AA$4903&lt;Sens!Z$4903),--(Sens!$R$4903:$AA$4903&gt;=Sens!Z$4903-tk_life),Sens!$R$4935:$AA$4935)/tk_life</f>
        <v>128.420765689732</v>
      </c>
      <c r="AA4938" s="38" t="n">
        <f aca="false">SUMPRODUCT(--(Sens!$R$4903:$AA$4903&lt;Sens!AA$4903),--(Sens!$R$4903:$AA$4903&gt;=Sens!AA$4903-tk_life),Sens!$R$4935:$AA$4935)/tk_life</f>
        <v>138.766969322653</v>
      </c>
    </row>
    <row r="4939" customFormat="false" ht="17.15" hidden="false" customHeight="false" outlineLevel="0" collapsed="false">
      <c r="A4939" s="0" t="s">
        <v>632</v>
      </c>
      <c r="B4939" s="0" t="s">
        <v>86</v>
      </c>
      <c r="C4939" s="38" t="n">
        <f aca="false">Sens!$S$4939</f>
        <v>0.0202511502553155</v>
      </c>
      <c r="D4939" s="38" t="n">
        <f aca="false">Sens!$T$4939</f>
        <v>0.360549480652134</v>
      </c>
      <c r="E4939" s="38" t="n">
        <f aca="false">Sens!$G$4939/2</f>
        <v>0.648547360125127</v>
      </c>
      <c r="F4939" s="38" t="n">
        <f aca="false">Sens!$G$4939/2</f>
        <v>0.648547360125127</v>
      </c>
      <c r="G4939" s="38" t="n">
        <f aca="false">Sens!$U$4939</f>
        <v>1.29709472025025</v>
      </c>
      <c r="H4939" s="38" t="n">
        <f aca="false">Sens!$V$4939</f>
        <v>3.21599529914753</v>
      </c>
      <c r="I4939" s="38" t="n">
        <f aca="false">Sens!$W$4939</f>
        <v>5.51832434914753</v>
      </c>
      <c r="J4939" s="38" t="n">
        <f aca="false">Sens!$X$4939</f>
        <v>7.82065339914753</v>
      </c>
      <c r="K4939" s="38" t="n">
        <f aca="false">Sens!$Y$4939</f>
        <v>10.1229824491475</v>
      </c>
      <c r="L4939" s="38" t="n">
        <f aca="false">Sens!$Z$4939</f>
        <v>11.7516267992309</v>
      </c>
      <c r="M4939" s="38" t="n">
        <f aca="false">Sens!$AA$4939</f>
        <v>12.7065864493975</v>
      </c>
      <c r="N4939" s="38" t="n">
        <f aca="false">Sens!$D$4939/2</f>
        <v>0.180274740326067</v>
      </c>
      <c r="O4939" s="38" t="n">
        <f aca="false">Sens!$D$4939/2</f>
        <v>0.180274740326067</v>
      </c>
      <c r="R4939" s="38" t="n">
        <f aca="false">SUMPRODUCT(--(Sens!$R$4903:$AA$4903&lt;Sens!R$4903),Sens!$R$4936:$AA$4936)/fac_life</f>
        <v>0</v>
      </c>
      <c r="S4939" s="38" t="n">
        <f aca="false">SUMPRODUCT(--(Sens!$R$4903:$AA$4903&lt;Sens!S$4903),Sens!$R$4936:$AA$4936)/fac_life</f>
        <v>0.0202511502553155</v>
      </c>
      <c r="T4939" s="38" t="n">
        <f aca="false">SUMPRODUCT(--(Sens!$R$4903:$AA$4903&lt;Sens!T$4903),Sens!$R$4936:$AA$4936)/fac_life</f>
        <v>0.360549480652134</v>
      </c>
      <c r="U4939" s="38" t="n">
        <f aca="false">SUMPRODUCT(--(Sens!$R$4903:$AA$4903&lt;Sens!U$4903),Sens!$R$4936:$AA$4936)/fac_life</f>
        <v>1.29709472025025</v>
      </c>
      <c r="V4939" s="38" t="n">
        <f aca="false">SUMPRODUCT(--(Sens!$R$4903:$AA$4903&lt;Sens!V$4903),Sens!$R$4936:$AA$4936)/fac_life</f>
        <v>3.21599529914753</v>
      </c>
      <c r="W4939" s="38" t="n">
        <f aca="false">SUMPRODUCT(--(Sens!$R$4903:$AA$4903&lt;Sens!W$4903),Sens!$R$4936:$AA$4936)/fac_life</f>
        <v>5.51832434914753</v>
      </c>
      <c r="X4939" s="38" t="n">
        <f aca="false">SUMPRODUCT(--(Sens!$R$4903:$AA$4903&lt;Sens!X$4903),Sens!$R$4936:$AA$4936)/fac_life</f>
        <v>7.82065339914753</v>
      </c>
      <c r="Y4939" s="38" t="n">
        <f aca="false">SUMPRODUCT(--(Sens!$R$4903:$AA$4903&lt;Sens!Y$4903),Sens!$R$4936:$AA$4936)/fac_life</f>
        <v>10.1229824491475</v>
      </c>
      <c r="Z4939" s="38" t="n">
        <f aca="false">SUMPRODUCT(--(Sens!$R$4903:$AA$4903&lt;Sens!Z$4903),Sens!$R$4936:$AA$4936)/fac_life</f>
        <v>11.7516267992309</v>
      </c>
      <c r="AA4939" s="38" t="n">
        <f aca="false">SUMPRODUCT(--(Sens!$R$4903:$AA$4903&lt;Sens!AA$4903),Sens!$R$4936:$AA$4936)/fac_life</f>
        <v>12.7065864493975</v>
      </c>
    </row>
    <row r="4940" customFormat="false" ht="17.15" hidden="false" customHeight="false" outlineLevel="0" collapsed="false">
      <c r="A4940" s="1" t="s">
        <v>633</v>
      </c>
      <c r="B4940" s="8" t="s">
        <v>86</v>
      </c>
      <c r="C4940" s="38" t="n">
        <f aca="false">Sens!$C$4938+Sens!$C$4939</f>
        <v>0.203463948620839</v>
      </c>
      <c r="D4940" s="38" t="n">
        <f aca="false">Sens!$D$4938+Sens!$D$4939</f>
        <v>3.62245206231783</v>
      </c>
      <c r="E4940" s="38" t="n">
        <f aca="false">Sens!$E$4938+Sens!$E$4939</f>
        <v>6.51597588754466</v>
      </c>
      <c r="F4940" s="38" t="n">
        <f aca="false">Sens!$F$4938+Sens!$F$4939</f>
        <v>6.51597588754466</v>
      </c>
      <c r="G4940" s="38" t="n">
        <f aca="false">Sens!$G$4938+Sens!$G$4939</f>
        <v>13.0319517750893</v>
      </c>
      <c r="H4940" s="38" t="n">
        <f aca="false">Sens!$H$4938+Sens!$H$4939</f>
        <v>35.2941921973308</v>
      </c>
      <c r="I4940" s="38" t="n">
        <f aca="false">Sens!$I$4938+Sens!$I$4939</f>
        <v>63.0173185714558</v>
      </c>
      <c r="J4940" s="38" t="n">
        <f aca="false">Sens!$J$4938+Sens!$J$4939</f>
        <v>91.7529624398725</v>
      </c>
      <c r="K4940" s="38" t="n">
        <f aca="false">Sens!$K$4938+Sens!$K$4939</f>
        <v>121.178188209924</v>
      </c>
      <c r="L4940" s="38" t="n">
        <f aca="false">Sens!$L$4938+Sens!$L$4939</f>
        <v>140.172392488963</v>
      </c>
      <c r="M4940" s="38" t="n">
        <f aca="false">Sens!$M$4938+Sens!$M$4939</f>
        <v>151.473555772051</v>
      </c>
      <c r="N4940" s="38" t="n">
        <f aca="false">Sens!$N$4938+Sens!$N$4939</f>
        <v>1.81122603115892</v>
      </c>
      <c r="O4940" s="38" t="n">
        <f aca="false">Sens!$O$4938+Sens!$O$4939</f>
        <v>1.81122603115892</v>
      </c>
      <c r="R4940" s="38" t="n">
        <f aca="false">Sens!$R$4938+Sens!$R$4939</f>
        <v>0</v>
      </c>
      <c r="S4940" s="38" t="n">
        <f aca="false">Sens!$S$4938+Sens!$S$4939</f>
        <v>0.203463948620839</v>
      </c>
      <c r="T4940" s="38" t="n">
        <f aca="false">Sens!$T$4938+Sens!$T$4939</f>
        <v>3.62245206231783</v>
      </c>
      <c r="U4940" s="38" t="n">
        <f aca="false">Sens!$U$4938+Sens!$U$4939</f>
        <v>13.0319517750893</v>
      </c>
      <c r="V4940" s="38" t="n">
        <f aca="false">Sens!$V$4938+Sens!$V$4939</f>
        <v>35.2941921973308</v>
      </c>
      <c r="W4940" s="38" t="n">
        <f aca="false">Sens!$W$4938+Sens!$W$4939</f>
        <v>63.0173185714558</v>
      </c>
      <c r="X4940" s="38" t="n">
        <f aca="false">Sens!$X$4938+Sens!$X$4939</f>
        <v>91.7529624398725</v>
      </c>
      <c r="Y4940" s="38" t="n">
        <f aca="false">Sens!$Y$4938+Sens!$Y$4939</f>
        <v>121.178188209924</v>
      </c>
      <c r="Z4940" s="38" t="n">
        <f aca="false">Sens!$Z$4938+Sens!$Z$4939</f>
        <v>140.172392488963</v>
      </c>
      <c r="AA4940" s="38" t="n">
        <f aca="false">Sens!$AA$4938+Sens!$AA$4939</f>
        <v>151.473555772051</v>
      </c>
    </row>
    <row r="4941" customFormat="false" ht="17.15" hidden="false" customHeight="false" outlineLevel="0" collapsed="false">
      <c r="A4941" s="0" t="s">
        <v>634</v>
      </c>
      <c r="B4941" s="0" t="s">
        <v>86</v>
      </c>
      <c r="C4941" s="38" t="n">
        <f aca="false">Sens!$S$4941</f>
        <v>26.578941154416</v>
      </c>
      <c r="D4941" s="38" t="n">
        <f aca="false">Sens!$T$4941</f>
        <v>92.5251207231008</v>
      </c>
      <c r="G4941" s="38" t="n">
        <f aca="false">Sens!$U$4941</f>
        <v>239.931219586022</v>
      </c>
      <c r="H4941" s="38" t="n">
        <f aca="false">Sens!$V$4941</f>
        <v>403.208392333442</v>
      </c>
      <c r="I4941" s="38" t="n">
        <f aca="false">Sens!$W$4941</f>
        <v>544.837543672486</v>
      </c>
      <c r="J4941" s="38" t="n">
        <f aca="false">Sens!$X$4941</f>
        <v>662.967819343113</v>
      </c>
      <c r="K4941" s="38" t="n">
        <f aca="false">Sens!$Y$4941</f>
        <v>697.028016408391</v>
      </c>
      <c r="L4941" s="38" t="n">
        <f aca="false">Sens!$Z$4941</f>
        <v>688.86976555933</v>
      </c>
      <c r="M4941" s="38" t="n">
        <f aca="false">Sens!$AA$4941</f>
        <v>669.627191447132</v>
      </c>
      <c r="R4941" s="38" t="n">
        <f aca="false">SUM(Sens!$R$4933:$R$4933)-SUM(Sens!$R$4940:$R$4940)</f>
        <v>1.50429979529945</v>
      </c>
      <c r="S4941" s="38" t="n">
        <f aca="false">SUM(Sens!$R$4933:$S$4933)-SUM(Sens!$R$4940:$S$4940)</f>
        <v>26.578941154416</v>
      </c>
      <c r="T4941" s="38" t="n">
        <f aca="false">SUM(Sens!$R$4933:$T$4933)-SUM(Sens!$R$4940:$T$4940)</f>
        <v>92.5251207231008</v>
      </c>
      <c r="U4941" s="38" t="n">
        <f aca="false">SUM(Sens!$R$4933:$U$4933)-SUM(Sens!$R$4940:$U$4940)</f>
        <v>239.931219586022</v>
      </c>
      <c r="V4941" s="38" t="n">
        <f aca="false">SUM(Sens!$R$4933:$V$4933)-SUM(Sens!$R$4940:$V$4940)</f>
        <v>403.208392333442</v>
      </c>
      <c r="W4941" s="38" t="n">
        <f aca="false">SUM(Sens!$R$4933:$W$4933)-SUM(Sens!$R$4940:$W$4940)</f>
        <v>544.837543672486</v>
      </c>
      <c r="X4941" s="38" t="n">
        <f aca="false">SUM(Sens!$R$4933:$X$4933)-SUM(Sens!$R$4940:$X$4940)</f>
        <v>662.967819343113</v>
      </c>
      <c r="Y4941" s="38" t="n">
        <f aca="false">SUM(Sens!$R$4933:$Y$4933)-SUM(Sens!$R$4940:$Y$4940)</f>
        <v>697.028016408391</v>
      </c>
      <c r="Z4941" s="38" t="n">
        <f aca="false">SUM(Sens!$R$4933:$Z$4933)-SUM(Sens!$R$4940:$Z$4940)</f>
        <v>688.86976555933</v>
      </c>
      <c r="AA4941" s="38" t="n">
        <f aca="false">SUM(Sens!$R$4933:$AA$4933)-SUM(Sens!$R$4940:$AA$4940)</f>
        <v>669.627191447132</v>
      </c>
    </row>
    <row r="4942" customFormat="false" ht="17.15" hidden="false" customHeight="false" outlineLevel="0" collapsed="false">
      <c r="A4942" s="1" t="s">
        <v>635</v>
      </c>
    </row>
    <row r="4943" customFormat="false" ht="17.15" hidden="false" customHeight="false" outlineLevel="0" collapsed="false">
      <c r="A4943" s="0" t="s">
        <v>636</v>
      </c>
      <c r="B4943" s="0" t="s">
        <v>86</v>
      </c>
      <c r="C4943" s="38" t="n">
        <f aca="false">Sens!$C$4924-ext_sh*Sens!$C$4926</f>
        <v>1.80694998843362</v>
      </c>
      <c r="D4943" s="38" t="n">
        <f aca="false">Sens!$D$4924-ext_sh*Sens!$D$4926</f>
        <v>6.77606245662607</v>
      </c>
      <c r="E4943" s="38" t="n">
        <f aca="false">Sens!$E$4924-ext_sh*Sens!$E$4926</f>
        <v>6.62548329092326</v>
      </c>
      <c r="F4943" s="38" t="n">
        <f aca="false">Sens!$F$4924-ext_sh*Sens!$F$4926</f>
        <v>11.7200577158706</v>
      </c>
      <c r="G4943" s="38" t="n">
        <f aca="false">Sens!$G$4924-ext_sh*Sens!$G$4926</f>
        <v>18.3455410067939</v>
      </c>
      <c r="H4943" s="38" t="n">
        <f aca="false">Sens!$H$4924-ext_sh*Sens!$H$4926</f>
        <v>47.5171727060453</v>
      </c>
      <c r="I4943" s="38" t="n">
        <f aca="false">Sens!$I$4924-ext_sh*Sens!$I$4926</f>
        <v>80.5539692643667</v>
      </c>
      <c r="J4943" s="38" t="n">
        <f aca="false">Sens!$J$4924-ext_sh*Sens!$J$4926</f>
        <v>113.759316834883</v>
      </c>
      <c r="K4943" s="38" t="n">
        <f aca="false">Sens!$K$4924-ext_sh*Sens!$K$4926</f>
        <v>142.084411492169</v>
      </c>
      <c r="L4943" s="38" t="n">
        <f aca="false">Sens!$L$4924-ext_sh*Sens!$L$4926</f>
        <v>160.69964615804</v>
      </c>
      <c r="M4943" s="38" t="n">
        <f aca="false">Sens!$M$4924-ext_sh*Sens!$M$4926</f>
        <v>169.577607141793</v>
      </c>
      <c r="N4943" s="38" t="n">
        <f aca="false">Sens!$N$4924-ext_sh*Sens!$N$4926</f>
        <v>2.37162185981912</v>
      </c>
      <c r="O4943" s="38" t="n">
        <f aca="false">Sens!$O$4924-ext_sh*Sens!$O$4926</f>
        <v>4.40444059680694</v>
      </c>
    </row>
    <row r="4944" customFormat="false" ht="17.15" hidden="false" customHeight="false" outlineLevel="0" collapsed="false">
      <c r="A4944" s="1" t="s">
        <v>637</v>
      </c>
      <c r="B4944" s="8" t="s">
        <v>86</v>
      </c>
      <c r="C4944" s="38" t="n">
        <f aca="false">Sens!$C$4943-ext_sh*Sens!$C$4940</f>
        <v>1.64417882953695</v>
      </c>
      <c r="D4944" s="38" t="n">
        <f aca="false">Sens!$D$4943-ext_sh*Sens!$D$4940</f>
        <v>3.8781008067718</v>
      </c>
      <c r="E4944" s="38" t="n">
        <f aca="false">Sens!$E$4943-ext_sh*Sens!$E$4940</f>
        <v>1.41270258088753</v>
      </c>
      <c r="F4944" s="38" t="n">
        <f aca="false">Sens!$F$4943-ext_sh*Sens!$F$4940</f>
        <v>6.50727700583486</v>
      </c>
      <c r="G4944" s="38" t="n">
        <f aca="false">Sens!$G$4943-ext_sh*Sens!$G$4940</f>
        <v>7.9199795867224</v>
      </c>
      <c r="H4944" s="38" t="n">
        <f aca="false">Sens!$H$4943-ext_sh*Sens!$H$4940</f>
        <v>19.2818189481807</v>
      </c>
      <c r="I4944" s="38" t="n">
        <f aca="false">Sens!$I$4943-ext_sh*Sens!$I$4940</f>
        <v>30.140114407202</v>
      </c>
      <c r="J4944" s="38" t="n">
        <f aca="false">Sens!$J$4943-ext_sh*Sens!$J$4940</f>
        <v>40.3569468829854</v>
      </c>
      <c r="K4944" s="38" t="n">
        <f aca="false">Sens!$K$4943-ext_sh*Sens!$K$4940</f>
        <v>45.1418609242305</v>
      </c>
      <c r="L4944" s="38" t="n">
        <f aca="false">Sens!$L$4943-ext_sh*Sens!$L$4940</f>
        <v>48.5617321668703</v>
      </c>
      <c r="M4944" s="38" t="n">
        <f aca="false">Sens!$M$4943-ext_sh*Sens!$M$4940</f>
        <v>48.3987625241529</v>
      </c>
      <c r="N4944" s="38" t="n">
        <f aca="false">Sens!$N$4943-ext_sh*Sens!$N$4940</f>
        <v>0.92264103489199</v>
      </c>
      <c r="O4944" s="38" t="n">
        <f aca="false">Sens!$O$4943-ext_sh*Sens!$O$4940</f>
        <v>2.95545977187981</v>
      </c>
    </row>
    <row r="4945" customFormat="false" ht="17.15" hidden="false" customHeight="false" outlineLevel="0" collapsed="false">
      <c r="A4945" s="0" t="s">
        <v>638</v>
      </c>
      <c r="B4945" s="0" t="s">
        <v>52</v>
      </c>
      <c r="C4945" s="13" t="n">
        <f aca="false">Sens!$C$4944/Sens!$C$4924</f>
        <v>0.708390794789371</v>
      </c>
      <c r="D4945" s="13" t="n">
        <f aca="false">Sens!$D$4944/Sens!$D$4924</f>
        <v>0.445565630441968</v>
      </c>
      <c r="E4945" s="13" t="n">
        <f aca="false">Sens!$E$4944/Sens!$E$4924</f>
        <v>0.165998118402711</v>
      </c>
      <c r="F4945" s="13" t="n">
        <f aca="false">Sens!$F$4944/Sens!$F$4924</f>
        <v>0.434878595403858</v>
      </c>
      <c r="G4945" s="13" t="n">
        <f aca="false">Sens!$G$4944/Sens!$G$4924</f>
        <v>0.3373967615381</v>
      </c>
      <c r="H4945" s="13" t="n">
        <f aca="false">Sens!$H$4944/Sens!$H$4924</f>
        <v>0.320477578041224</v>
      </c>
      <c r="I4945" s="13" t="n">
        <f aca="false">Sens!$I$4944/Sens!$I$4924</f>
        <v>0.296936118226494</v>
      </c>
      <c r="J4945" s="13" t="n">
        <f aca="false">Sens!$J$4944/Sens!$J$4924</f>
        <v>0.282166278613001</v>
      </c>
      <c r="K4945" s="13" t="n">
        <f aca="false">Sens!$K$4944/Sens!$K$4924</f>
        <v>0.252969102881543</v>
      </c>
      <c r="L4945" s="13" t="n">
        <f aca="false">Sens!$L$4944/Sens!$L$4924</f>
        <v>0.240728642826566</v>
      </c>
      <c r="M4945" s="13" t="n">
        <f aca="false">Sens!$M$4944/Sens!$M$4924</f>
        <v>0.227399920863147</v>
      </c>
      <c r="N4945" s="13" t="n">
        <f aca="false">Sens!$N$4944/Sens!$N$4924</f>
        <v>0.302870734830849</v>
      </c>
      <c r="O4945" s="13" t="n">
        <f aca="false">Sens!$O$4944/Sens!$O$4924</f>
        <v>0.52240134346334</v>
      </c>
    </row>
    <row r="4946" customFormat="false" ht="17.15" hidden="false" customHeight="false" outlineLevel="0" collapsed="false">
      <c r="A4946" s="5" t="s">
        <v>639</v>
      </c>
      <c r="B4946" s="0" t="s">
        <v>86</v>
      </c>
      <c r="C4946" s="39" t="n">
        <v>0</v>
      </c>
      <c r="D4946" s="39" t="n">
        <v>0</v>
      </c>
      <c r="E4946" s="39" t="n">
        <v>0</v>
      </c>
      <c r="F4946" s="38" t="n">
        <f aca="false">IF(internal_ai_reading=2,1,0)*(1-ext_sh)/ext_sh*(mw_open*he_open+Sens!$F$4922*Sens!$F$4919)*Sens!$F$4908/1000</f>
        <v>3.77122048175818</v>
      </c>
      <c r="G4946" s="38" t="n">
        <f aca="false">Sens!$E$4946+Sens!$F$4946</f>
        <v>3.77122048175818</v>
      </c>
      <c r="H4946" s="38" t="n">
        <f aca="false">IF(internal_ai_reading=2,1,0)*(1-ext_sh)/ext_sh*(mw_open*he_open+Sens!$H$4922*Sens!$H$4919)*Sens!$H$4908/1000</f>
        <v>15.1635543609893</v>
      </c>
      <c r="I4946" s="38" t="n">
        <f aca="false">IF(internal_ai_reading=2,1,0)*(1-ext_sh)/ext_sh*(mw_open*he_open+Sens!$I$4922*Sens!$I$4919)*Sens!$I$4908/1000</f>
        <v>25.5818843619889</v>
      </c>
      <c r="J4946" s="38" t="n">
        <f aca="false">IF(internal_ai_reading=2,1,0)*(1-ext_sh)/ext_sh*(mw_open*he_open+Sens!$J$4922*Sens!$J$4919)*Sens!$J$4908/1000</f>
        <v>36.0465624179122</v>
      </c>
      <c r="K4946" s="38" t="n">
        <f aca="false">IF(internal_ai_reading=2,1,0)*(1-ext_sh)/ext_sh*(mw_open*he_open+Sens!$K$4922*Sens!$K$4919)*Sens!$K$4908/1000</f>
        <v>44.9741164026038</v>
      </c>
      <c r="L4946" s="38" t="n">
        <f aca="false">IF(internal_ai_reading=2,1,0)*(1-ext_sh)/ext_sh*(mw_open*he_open+Sens!$L$4922*Sens!$L$4919)*Sens!$L$4908/1000</f>
        <v>50.8413488057813</v>
      </c>
      <c r="M4946" s="38" t="n">
        <f aca="false">IF(internal_ai_reading=2,1,0)*(1-ext_sh)/ext_sh*(mw_open*he_open+Sens!$M$4922*Sens!$M$4919)*Sens!$M$4908/1000</f>
        <v>53.6407214274315</v>
      </c>
      <c r="N4946" s="39" t="n">
        <v>0</v>
      </c>
      <c r="O4946" s="39" t="n">
        <v>0</v>
      </c>
      <c r="P4946" s="8" t="s">
        <v>640</v>
      </c>
    </row>
    <row r="4947" customFormat="false" ht="17.15" hidden="false" customHeight="false" outlineLevel="0" collapsed="false">
      <c r="A4947" s="5" t="s">
        <v>641</v>
      </c>
      <c r="B4947" s="0" t="s">
        <v>86</v>
      </c>
      <c r="C4947" s="38" t="n">
        <f aca="false">(1-ext_sh)*(Sens!$C$4926+Sens!$C$4940)</f>
        <v>0.169206631859174</v>
      </c>
      <c r="D4947" s="38" t="n">
        <f aca="false">(1-ext_sh)*(Sens!$D$4926+Sens!$D$4940)</f>
        <v>1.20641732046984</v>
      </c>
      <c r="E4947" s="38" t="n">
        <f aca="false">(1-ext_sh)*(Sens!$E$4926+Sens!$E$4940)</f>
        <v>1.77441259867062</v>
      </c>
      <c r="F4947" s="38" t="n">
        <f aca="false">(1-ext_sh)*(Sens!$F$4926+Sens!$F$4940)</f>
        <v>2.1140391597214</v>
      </c>
      <c r="G4947" s="38" t="n">
        <f aca="false">(1-ext_sh)*(Sens!$G$4926+Sens!$G$4940)</f>
        <v>3.88845175839202</v>
      </c>
      <c r="H4947" s="38" t="n">
        <f aca="false">(1-ext_sh)*(Sens!$H$4926+Sens!$H$4940)</f>
        <v>10.2210179503985</v>
      </c>
      <c r="I4947" s="38" t="n">
        <f aca="false">(1-ext_sh)*(Sens!$I$4926+Sens!$I$4940)</f>
        <v>17.8408961823075</v>
      </c>
      <c r="J4947" s="38" t="n">
        <f aca="false">(1-ext_sh)*(Sens!$J$4926+Sens!$J$4940)</f>
        <v>25.6671150670732</v>
      </c>
      <c r="K4947" s="38" t="n">
        <f aca="false">(1-ext_sh)*(Sens!$K$4926+Sens!$K$4940)</f>
        <v>33.3265648647373</v>
      </c>
      <c r="L4947" s="38" t="n">
        <f aca="false">(1-ext_sh)*(Sens!$L$4926+Sens!$L$4940)</f>
        <v>38.2915924088815</v>
      </c>
      <c r="M4947" s="38" t="n">
        <f aca="false">(1-ext_sh)*(Sens!$M$4926+Sens!$M$4940)</f>
        <v>41.1091697111781</v>
      </c>
      <c r="N4947" s="38" t="n">
        <f aca="false">(1-ext_sh)*(Sens!$N$4926+Sens!$N$4940)</f>
        <v>0.530919624033979</v>
      </c>
      <c r="O4947" s="38" t="n">
        <f aca="false">(1-ext_sh)*(Sens!$O$4926+Sens!$O$4940)</f>
        <v>0.675497696435861</v>
      </c>
    </row>
    <row r="4948" customFormat="false" ht="17.15" hidden="false" customHeight="false" outlineLevel="0" collapsed="false">
      <c r="A4948" s="0" t="s">
        <v>642</v>
      </c>
      <c r="B4948" s="0" t="s">
        <v>86</v>
      </c>
      <c r="C4948" s="38" t="n">
        <f aca="false">Q!$D$24</f>
        <v>39.834</v>
      </c>
      <c r="D4948" s="38" t="n">
        <f aca="false">Q!$E$24</f>
        <v>45.606</v>
      </c>
      <c r="E4948" s="38" t="n">
        <f aca="false">Q!$P$24</f>
        <v>30.782</v>
      </c>
      <c r="N4948" s="38" t="n">
        <f aca="false">Q!$N$24</f>
        <v>21.707</v>
      </c>
      <c r="O4948" s="38" t="n">
        <f aca="false">Q!$O$24</f>
        <v>23.899</v>
      </c>
    </row>
    <row r="4949" customFormat="false" ht="17.15" hidden="false" customHeight="false" outlineLevel="0" collapsed="false">
      <c r="A4949" s="0" t="s">
        <v>643</v>
      </c>
      <c r="B4949" s="0" t="s">
        <v>86</v>
      </c>
      <c r="C4949" s="38" t="n">
        <f aca="false">Sens!$C$4948-Sens!$C$4944</f>
        <v>38.1898211704631</v>
      </c>
      <c r="D4949" s="38" t="n">
        <f aca="false">Sens!$D$4948-Sens!$D$4944</f>
        <v>41.7278991932282</v>
      </c>
      <c r="E4949" s="38" t="n">
        <f aca="false">Sens!$E$4948-Sens!$E$4944</f>
        <v>29.3692974191125</v>
      </c>
      <c r="F4949" s="38" t="n">
        <f aca="false">Sens!$F$4928*Sens!$F$4950</f>
        <v>26.8997276714137</v>
      </c>
      <c r="G4949" s="38" t="n">
        <f aca="false">Sens!$E$4949+Sens!$F$4949</f>
        <v>56.2690250905262</v>
      </c>
      <c r="H4949" s="38" t="n">
        <f aca="false">Sens!$H$4928*Sens!$H$4950</f>
        <v>60.3505333937343</v>
      </c>
      <c r="I4949" s="38" t="n">
        <f aca="false">Sens!$I$4928*Sens!$I$4950</f>
        <v>67.0043857303571</v>
      </c>
      <c r="J4949" s="38" t="n">
        <f aca="false">Sens!$J$4928*Sens!$J$4950</f>
        <v>73.3782922956925</v>
      </c>
      <c r="K4949" s="38" t="n">
        <f aca="false">Sens!$K$4928*Sens!$K$4950</f>
        <v>79.2485556793479</v>
      </c>
      <c r="L4949" s="38" t="n">
        <f aca="false">Sens!$L$4928*Sens!$L$4950</f>
        <v>85.5884401336958</v>
      </c>
      <c r="M4949" s="38" t="n">
        <f aca="false">Sens!$M$4928*Sens!$M$4950</f>
        <v>92.4355153443914</v>
      </c>
      <c r="N4949" s="38" t="n">
        <f aca="false">Sens!$N$4948-Sens!$N$4944</f>
        <v>20.784358965108</v>
      </c>
      <c r="O4949" s="38" t="n">
        <f aca="false">Sens!$O$4948-Sens!$O$4944</f>
        <v>20.9435402281202</v>
      </c>
      <c r="P4949" s="5" t="s">
        <v>644</v>
      </c>
    </row>
    <row r="4950" customFormat="false" ht="17.15" hidden="false" customHeight="false" outlineLevel="0" collapsed="false">
      <c r="A4950" s="0" t="s">
        <v>645</v>
      </c>
      <c r="B4950" s="0" t="s">
        <v>52</v>
      </c>
      <c r="C4950" s="13" t="n">
        <f aca="false">Sens!$C$4949/Sens!$C$4928</f>
        <v>0.362900395443635</v>
      </c>
      <c r="D4950" s="13" t="n">
        <f aca="false">Sens!$D$4949/Sens!$D$4928</f>
        <v>0.34767098474203</v>
      </c>
      <c r="E4950" s="13" t="n">
        <f aca="false">Sens!$E$4949/Sens!$E$4928</f>
        <v>0.411861655558416</v>
      </c>
      <c r="F4950" s="13" t="n">
        <f aca="false">(Sens!$O$4949+Sens!$E$4949)/(Sens!$O$4928+Sens!$E$4928)</f>
        <v>0.37480827803158</v>
      </c>
      <c r="G4950" s="13" t="n">
        <f aca="false">Sens!$G$4949/Sens!$G$4928</f>
        <v>0.393275318395757</v>
      </c>
      <c r="H4950" s="13" t="n">
        <f aca="false">Sens!$F$4950</f>
        <v>0.37480827803158</v>
      </c>
      <c r="I4950" s="13" t="n">
        <f aca="false">Sens!$F$4950</f>
        <v>0.37480827803158</v>
      </c>
      <c r="J4950" s="13" t="n">
        <f aca="false">Sens!$F$4950</f>
        <v>0.37480827803158</v>
      </c>
      <c r="K4950" s="13" t="n">
        <f aca="false">Sens!$F$4950</f>
        <v>0.37480827803158</v>
      </c>
      <c r="L4950" s="13" t="n">
        <f aca="false">Sens!$F$4950</f>
        <v>0.37480827803158</v>
      </c>
      <c r="M4950" s="13" t="n">
        <f aca="false">Sens!$F$4950</f>
        <v>0.37480827803158</v>
      </c>
      <c r="N4950" s="13" t="n">
        <f aca="false">Sens!$N$4949/Sens!$N$4928</f>
        <v>0.364039571356823</v>
      </c>
      <c r="O4950" s="13" t="n">
        <f aca="false">Sens!$O$4949/Sens!$O$4928</f>
        <v>0.332819892300086</v>
      </c>
      <c r="P4950" s="8" t="s">
        <v>646</v>
      </c>
    </row>
    <row r="4951" customFormat="false" ht="17.15" hidden="false" customHeight="false" outlineLevel="0" collapsed="false">
      <c r="A4951" s="0" t="s">
        <v>647</v>
      </c>
      <c r="B4951" s="0" t="s">
        <v>52</v>
      </c>
      <c r="D4951" s="13" t="n">
        <f aca="false">(Q!$E$31-ext_sh*Sens!$D$4940)/Sens!$D$4928</f>
        <v>0.154572973163571</v>
      </c>
    </row>
    <row r="4952" customFormat="false" ht="17.15" hidden="false" customHeight="false" outlineLevel="0" collapsed="false">
      <c r="A4952" s="0" t="s">
        <v>648</v>
      </c>
      <c r="B4952" s="0" t="s">
        <v>86</v>
      </c>
      <c r="C4952" s="38" t="n">
        <f aca="false">Q!$D$31</f>
        <v>13.32</v>
      </c>
      <c r="D4952" s="38" t="n">
        <f aca="false">Q!$E$31</f>
        <v>21.45</v>
      </c>
      <c r="E4952" s="38" t="n">
        <f aca="false">Q!$P$31</f>
        <v>15.353</v>
      </c>
      <c r="F4952" s="38" t="n">
        <f aca="false">ext_sh*Sens!$F$4940+Sens!$D$4951*Sens!$F$4928</f>
        <v>16.3063747611001</v>
      </c>
      <c r="G4952" s="38" t="n">
        <f aca="false">Sens!$E$4952+Sens!$F$4952</f>
        <v>31.6593747611001</v>
      </c>
      <c r="H4952" s="38" t="n">
        <f aca="false">ext_sh*Sens!$H$4940+Sens!$D$4951*Sens!$H$4928</f>
        <v>53.124242092105</v>
      </c>
      <c r="I4952" s="38" t="n">
        <f aca="false">ext_sh*Sens!$I$4940+Sens!$D$4951*Sens!$I$4928</f>
        <v>78.046828098133</v>
      </c>
      <c r="J4952" s="38" t="n">
        <f aca="false">ext_sh*Sens!$J$4940+Sens!$D$4951*Sens!$J$4928</f>
        <v>103.663976940352</v>
      </c>
      <c r="K4952" s="38" t="n">
        <f aca="false">ext_sh*Sens!$K$4940+Sens!$D$4951*Sens!$K$4928</f>
        <v>129.625086115469</v>
      </c>
      <c r="L4952" s="38" t="n">
        <f aca="false">ext_sh*Sens!$L$4940+Sens!$D$4951*Sens!$L$4928</f>
        <v>147.435052382502</v>
      </c>
      <c r="M4952" s="38" t="n">
        <f aca="false">ext_sh*Sens!$M$4940+Sens!$D$4951*Sens!$M$4928</f>
        <v>159.299754080279</v>
      </c>
      <c r="N4952" s="38" t="n">
        <f aca="false">Q!$N$31</f>
        <v>9.234</v>
      </c>
      <c r="O4952" s="38" t="n">
        <f aca="false">Q!$O$31</f>
        <v>12.216</v>
      </c>
    </row>
    <row r="4953" customFormat="false" ht="17.15" hidden="false" customHeight="false" outlineLevel="0" collapsed="false">
      <c r="A4953" s="1" t="s">
        <v>649</v>
      </c>
    </row>
    <row r="4954" customFormat="false" ht="17.15" hidden="false" customHeight="false" outlineLevel="0" collapsed="false">
      <c r="A4954" s="15" t="s">
        <v>650</v>
      </c>
      <c r="B4954" s="14" t="s">
        <v>52</v>
      </c>
      <c r="C4954" s="14"/>
      <c r="D4954" s="14"/>
      <c r="E4954" s="14"/>
      <c r="F4954" s="14"/>
      <c r="G4954" s="17" t="n">
        <f aca="false">Sens!$G$4944*(1-tax)/(ext_sh*(Sens!$D$4941+Sens!$G$4941)/2)</f>
        <v>0.0492184452944045</v>
      </c>
      <c r="H4954" s="17" t="n">
        <f aca="false">Sens!$H$4944*(1-tax)/(ext_sh*(Sens!$G$4941+Sens!$H$4941)/2)</f>
        <v>0.0619414246858107</v>
      </c>
      <c r="I4954" s="17" t="n">
        <f aca="false">Sens!$I$4944*(1-tax)/(ext_sh*(Sens!$H$4941+Sens!$I$4941)/2)</f>
        <v>0.0656831488051666</v>
      </c>
      <c r="J4954" s="17" t="n">
        <f aca="false">Sens!$J$4944*(1-tax)/(ext_sh*(Sens!$I$4941+Sens!$J$4941)/2)</f>
        <v>0.0690334849962116</v>
      </c>
      <c r="K4954" s="17" t="n">
        <f aca="false">Sens!$K$4944*(1-tax)/(ext_sh*(Sens!$J$4941+Sens!$K$4941)/2)</f>
        <v>0.0685772915331967</v>
      </c>
      <c r="L4954" s="17" t="n">
        <f aca="false">Sens!$L$4944*(1-tax)/(ext_sh*(Sens!$K$4941+Sens!$L$4941)/2)</f>
        <v>0.0723938074635756</v>
      </c>
      <c r="M4954" s="17" t="n">
        <f aca="false">Sens!$M$4944*(1-tax)/(ext_sh*(Sens!$L$4941+Sens!$M$4941)/2)</f>
        <v>0.0736061388214139</v>
      </c>
      <c r="N4954" s="14"/>
      <c r="O4954" s="14"/>
      <c r="P4954" s="8" t="s">
        <v>651</v>
      </c>
    </row>
    <row r="4955" customFormat="false" ht="17.15" hidden="false" customHeight="false" outlineLevel="0" collapsed="false">
      <c r="A4955" s="5" t="s">
        <v>652</v>
      </c>
      <c r="B4955" s="0" t="s">
        <v>57</v>
      </c>
      <c r="H4955" s="36" t="n">
        <f aca="false">Sens!$H$4924*1000/(mw_open*he_open+Sens!$H$4922*Sens!$H$4919)</f>
        <v>0.991949006767191</v>
      </c>
      <c r="I4955" s="36" t="n">
        <f aca="false">Sens!$I$4924*1000/(mw_open*he_open+Sens!$I$4922*Sens!$I$4919)</f>
        <v>0.991949006767191</v>
      </c>
      <c r="J4955" s="36" t="n">
        <f aca="false">Sens!$J$4924*1000/(mw_open*he_open+Sens!$J$4922*Sens!$J$4919)</f>
        <v>0.991949006767191</v>
      </c>
      <c r="K4955" s="36" t="n">
        <f aca="false">Sens!$K$4924*1000/(mw_open*he_open+Sens!$K$4922*Sens!$K$4919)</f>
        <v>0.991949006767191</v>
      </c>
      <c r="L4955" s="36" t="n">
        <f aca="false">Sens!$L$4924*1000/(mw_open*he_open+Sens!$L$4922*Sens!$L$4919)</f>
        <v>0.991949006767191</v>
      </c>
      <c r="M4955" s="36" t="n">
        <f aca="false">Sens!$M$4924*1000/(mw_open*he_open+Sens!$M$4922*Sens!$M$4919)</f>
        <v>0.991949006767191</v>
      </c>
    </row>
    <row r="4956" customFormat="false" ht="17.15" hidden="false" customHeight="false" outlineLevel="0" collapsed="false">
      <c r="A4956" s="5" t="s">
        <v>653</v>
      </c>
      <c r="B4956" s="0" t="s">
        <v>57</v>
      </c>
      <c r="H4956" s="36" t="n">
        <f aca="false">Sens!$H$4955*(Sens!$H$4924+(wacc-0.01)*ext_sh*(Sens!$G$4941+Sens!$H$4941)/2/(1-tax)-Sens!$H$4944)/Sens!$H$4924</f>
        <v>1.20419735219982</v>
      </c>
      <c r="I4956" s="36" t="n">
        <f aca="false">Sens!$I$4955*(Sens!$I$4924+(wacc-0.01)*ext_sh*(Sens!$H$4941+Sens!$I$4941)/2/(1-tax)-Sens!$I$4944)/Sens!$I$4924</f>
        <v>1.16062415210962</v>
      </c>
      <c r="J4956" s="36" t="n">
        <f aca="false">Sens!$J$4955*(Sens!$J$4924+(wacc-0.01)*ext_sh*(Sens!$I$4941+Sens!$J$4941)/2/(1-tax)-Sens!$J$4944)/Sens!$J$4924</f>
        <v>1.13087129626685</v>
      </c>
      <c r="K4956" s="36" t="n">
        <f aca="false">Sens!$K$4955*(Sens!$K$4924+(wacc-0.01)*ext_sh*(Sens!$J$4941+Sens!$K$4941)/2/(1-tax)-Sens!$K$4944)/Sens!$K$4924</f>
        <v>1.11899408858966</v>
      </c>
      <c r="L4956" s="36" t="n">
        <f aca="false">Sens!$L$4955*(Sens!$L$4924+(wacc-0.01)*ext_sh*(Sens!$K$4941+Sens!$L$4941)/2/(1-tax)-Sens!$L$4944)/Sens!$L$4924</f>
        <v>1.09388439591883</v>
      </c>
      <c r="M4956" s="36" t="n">
        <f aca="false">Sens!$M$4955*(Sens!$M$4924+(wacc-0.01)*ext_sh*(Sens!$L$4941+Sens!$M$4941)/2/(1-tax)-Sens!$M$4944)/Sens!$M$4924</f>
        <v>1.08293920231862</v>
      </c>
    </row>
    <row r="4957" customFormat="false" ht="17.15" hidden="false" customHeight="false" outlineLevel="0" collapsed="false">
      <c r="A4957" s="5" t="s">
        <v>654</v>
      </c>
      <c r="B4957" s="0" t="s">
        <v>52</v>
      </c>
      <c r="C4957" s="13" t="n">
        <f aca="false">Sens!$C$4925/tk_pq</f>
        <v>0.195316432429398</v>
      </c>
      <c r="D4957" s="13" t="n">
        <f aca="false">Sens!$D$4925/tk_pq</f>
        <v>0.195316432429398</v>
      </c>
      <c r="E4957" s="13" t="n">
        <f aca="false">Sens!$E$4925/tk_pq</f>
        <v>0.195316432429398</v>
      </c>
      <c r="F4957" s="13" t="n">
        <f aca="false">Sens!$F$4925/tk_pq</f>
        <v>0.202241827274866</v>
      </c>
      <c r="G4957" s="13" t="n">
        <f aca="false">Sens!$G$4925/tk_pq</f>
        <v>0.199675016194063</v>
      </c>
      <c r="H4957" s="13" t="n">
        <f aca="false">Sens!$H$4925/tk_pq</f>
        <v>0.212647947710325</v>
      </c>
      <c r="I4957" s="13" t="n">
        <f aca="false">Sens!$I$4925/tk_pq</f>
        <v>0.219285125475351</v>
      </c>
      <c r="J4957" s="13" t="n">
        <f aca="false">Sens!$J$4925/tk_pq</f>
        <v>0.222492493217189</v>
      </c>
      <c r="K4957" s="13" t="n">
        <f aca="false">Sens!$K$4925/tk_pq</f>
        <v>0.224053502812094</v>
      </c>
      <c r="L4957" s="13" t="n">
        <f aca="false">Sens!$L$4925/tk_pq</f>
        <v>0.224786916785614</v>
      </c>
      <c r="M4957" s="13" t="n">
        <f aca="false">Sens!$M$4925/tk_pq</f>
        <v>0.225048671566937</v>
      </c>
      <c r="N4957" s="13" t="n">
        <f aca="false">Sens!$N$4925/tk_pq</f>
        <v>0.195316432429398</v>
      </c>
      <c r="O4957" s="13" t="n">
        <f aca="false">Sens!$O$4925/tk_pq</f>
        <v>0.195316432429398</v>
      </c>
      <c r="P4957" s="5" t="s">
        <v>655</v>
      </c>
    </row>
    <row r="4960" customFormat="false" ht="17.15" hidden="false" customHeight="false" outlineLevel="0" collapsed="false">
      <c r="A4960" s="1" t="s">
        <v>684</v>
      </c>
    </row>
    <row r="4961" customFormat="false" ht="17.15" hidden="false" customHeight="false" outlineLevel="0" collapsed="false">
      <c r="A4961" s="0" t="s">
        <v>685</v>
      </c>
      <c r="B4961" s="0" t="s">
        <v>86</v>
      </c>
      <c r="C4961" s="38" t="n">
        <f aca="false">Sens!$C$4924</f>
        <v>2.32100535697364</v>
      </c>
      <c r="D4961" s="38" t="n">
        <f aca="false">Sens!$D$4924</f>
        <v>8.70377008865116</v>
      </c>
      <c r="E4961" s="38" t="n">
        <f aca="false">Sens!$E$4924</f>
        <v>8.51035297557002</v>
      </c>
      <c r="F4961" s="38" t="n">
        <f aca="false">Sens!$F$4924</f>
        <v>14.9634336447205</v>
      </c>
      <c r="G4961" s="38" t="n">
        <f aca="false">Sens!$G$4924</f>
        <v>23.4737866202905</v>
      </c>
      <c r="H4961" s="38" t="n">
        <f aca="false">Sens!$H$4924</f>
        <v>60.1658907497746</v>
      </c>
      <c r="I4961" s="38" t="n">
        <f aca="false">Sens!$I$4924</f>
        <v>101.503699136432</v>
      </c>
      <c r="J4961" s="38" t="n">
        <f aca="false">Sens!$J$4924</f>
        <v>143.025407151278</v>
      </c>
      <c r="K4961" s="38" t="n">
        <f aca="false">Sens!$K$4924</f>
        <v>178.44812038318</v>
      </c>
      <c r="L4961" s="38" t="n">
        <f aca="false">Sens!$L$4924</f>
        <v>201.728101802396</v>
      </c>
      <c r="M4961" s="38" t="n">
        <f aca="false">Sens!$M$4924</f>
        <v>212.835441368865</v>
      </c>
      <c r="N4961" s="38" t="n">
        <f aca="false">Sens!$N$4924</f>
        <v>3.04631953102791</v>
      </c>
      <c r="O4961" s="38" t="n">
        <f aca="false">Sens!$O$4924</f>
        <v>5.65745055762326</v>
      </c>
      <c r="P4961" s="8" t="s">
        <v>686</v>
      </c>
    </row>
    <row r="4962" customFormat="false" ht="17.15" hidden="false" customHeight="false" outlineLevel="0" collapsed="false">
      <c r="A4962" s="0" t="s">
        <v>687</v>
      </c>
      <c r="B4962" s="0" t="s">
        <v>86</v>
      </c>
      <c r="C4962" s="38" t="n">
        <f aca="false">Sens!$C$4928</f>
        <v>105.234994643026</v>
      </c>
      <c r="D4962" s="38" t="n">
        <f aca="false">Sens!$D$4928</f>
        <v>120.021229911349</v>
      </c>
      <c r="E4962" s="38" t="n">
        <f aca="false">Sens!$E$4928</f>
        <v>71.30864702443</v>
      </c>
      <c r="F4962" s="38" t="n">
        <f aca="false">Sens!$F$4928</f>
        <v>71.7692997942464</v>
      </c>
      <c r="G4962" s="38" t="n">
        <f aca="false">Sens!$G$4928</f>
        <v>143.077946818676</v>
      </c>
      <c r="H4962" s="38" t="n">
        <f aca="false">Sens!$H$4928</f>
        <v>161.017077079203</v>
      </c>
      <c r="I4962" s="38" t="n">
        <f aca="false">Sens!$I$4928</f>
        <v>178.769759521457</v>
      </c>
      <c r="J4962" s="38" t="n">
        <f aca="false">Sens!$J$4928</f>
        <v>195.775538045907</v>
      </c>
      <c r="K4962" s="38" t="n">
        <f aca="false">Sens!$K$4928</f>
        <v>211.43758108958</v>
      </c>
      <c r="L4962" s="38" t="n">
        <f aca="false">Sens!$L$4928</f>
        <v>228.352587576746</v>
      </c>
      <c r="M4962" s="38" t="n">
        <f aca="false">Sens!$M$4928</f>
        <v>246.620794582886</v>
      </c>
      <c r="N4962" s="38" t="n">
        <f aca="false">Sens!$N$4928</f>
        <v>57.0936804689721</v>
      </c>
      <c r="O4962" s="38" t="n">
        <f aca="false">Sens!$O$4928</f>
        <v>62.9275494423768</v>
      </c>
      <c r="P4962" s="8" t="s">
        <v>686</v>
      </c>
    </row>
    <row r="4963" customFormat="false" ht="17.15" hidden="false" customHeight="false" outlineLevel="0" collapsed="false">
      <c r="A4963" s="1" t="s">
        <v>513</v>
      </c>
      <c r="B4963" s="8" t="s">
        <v>86</v>
      </c>
      <c r="C4963" s="38" t="n">
        <f aca="false">Q!$D$7</f>
        <v>107.556</v>
      </c>
      <c r="D4963" s="38" t="n">
        <f aca="false">Q!$E$7</f>
        <v>128.725</v>
      </c>
      <c r="E4963" s="38" t="n">
        <f aca="false">Q!$P$7</f>
        <v>79.819</v>
      </c>
      <c r="F4963" s="38" t="n">
        <f aca="false">Sens!$F$4961+Sens!$F$4962</f>
        <v>86.7327334389669</v>
      </c>
      <c r="G4963" s="38" t="n">
        <f aca="false">Sens!$G$4961+Sens!$G$4962</f>
        <v>166.551733438967</v>
      </c>
      <c r="H4963" s="38" t="n">
        <f aca="false">Sens!$H$4961+Sens!$H$4962</f>
        <v>221.182967828978</v>
      </c>
      <c r="I4963" s="38" t="n">
        <f aca="false">Sens!$I$4961+Sens!$I$4962</f>
        <v>280.27345865789</v>
      </c>
      <c r="J4963" s="38" t="n">
        <f aca="false">Sens!$J$4961+Sens!$J$4962</f>
        <v>338.800945197185</v>
      </c>
      <c r="K4963" s="38" t="n">
        <f aca="false">Sens!$K$4961+Sens!$K$4962</f>
        <v>389.88570147276</v>
      </c>
      <c r="L4963" s="38" t="n">
        <f aca="false">Sens!$L$4961+Sens!$L$4962</f>
        <v>430.080689379143</v>
      </c>
      <c r="M4963" s="38" t="n">
        <f aca="false">Sens!$M$4961+Sens!$M$4962</f>
        <v>459.456235951751</v>
      </c>
      <c r="N4963" s="38" t="n">
        <f aca="false">Q!$N$7</f>
        <v>60.14</v>
      </c>
      <c r="O4963" s="38" t="n">
        <f aca="false">Q!$O$7</f>
        <v>68.585</v>
      </c>
      <c r="P4963" s="5" t="s">
        <v>688</v>
      </c>
    </row>
    <row r="4964" customFormat="false" ht="15" hidden="false" customHeight="false" outlineLevel="0" collapsed="false">
      <c r="A4964" s="3" t="s">
        <v>689</v>
      </c>
      <c r="B4964" s="8" t="s">
        <v>86</v>
      </c>
      <c r="C4964" s="38" t="n">
        <f aca="false">Q!$D$8</f>
        <v>637.959</v>
      </c>
      <c r="D4964" s="38" t="n">
        <f aca="false">Q!$E$8</f>
        <v>716.924</v>
      </c>
      <c r="E4964" s="38" t="n">
        <f aca="false">Q!$P$8</f>
        <v>382.125</v>
      </c>
      <c r="F4964" s="38" t="n">
        <f aca="false">Sens!$F$4896+Sens!$F$4963</f>
        <v>435.780975084504</v>
      </c>
      <c r="G4964" s="38" t="n">
        <f aca="false">Sens!$G$4896+Sens!$G$4963</f>
        <v>817.905975084504</v>
      </c>
      <c r="H4964" s="38" t="n">
        <f aca="false">Sens!$H$4896+Sens!$H$4963</f>
        <v>942.279857350364</v>
      </c>
      <c r="I4964" s="38" t="n">
        <f aca="false">Sens!$I$4896+Sens!$I$4963</f>
        <v>1068.80284981042</v>
      </c>
      <c r="J4964" s="38" t="n">
        <f aca="false">Sens!$J$4896+Sens!$J$4963</f>
        <v>1189.90935093863</v>
      </c>
      <c r="K4964" s="38" t="n">
        <f aca="false">Sens!$K$4896+Sens!$K$4963</f>
        <v>1296.06215690385</v>
      </c>
      <c r="L4964" s="38" t="n">
        <f aca="false">Sens!$L$4896+Sens!$L$4963</f>
        <v>1395.17379585473</v>
      </c>
      <c r="M4964" s="38" t="n">
        <f aca="false">Sens!$M$4896+Sens!$M$4963</f>
        <v>1487.60414389864</v>
      </c>
      <c r="N4964" s="38" t="n">
        <f aca="false">Q!$N$8</f>
        <v>323.369</v>
      </c>
      <c r="O4964" s="38" t="n">
        <f aca="false">Q!$O$8</f>
        <v>393.555</v>
      </c>
    </row>
    <row r="4965" customFormat="false" ht="17.15" hidden="false" customHeight="false" outlineLevel="0" collapsed="false">
      <c r="A4965" s="24" t="s">
        <v>697</v>
      </c>
      <c r="B4965" s="25" t="s">
        <v>86</v>
      </c>
      <c r="C4965" s="41" t="n">
        <f aca="false">Sens!$C$4896-(Sens!$C$4898+Sens!$C$4899)</f>
        <v>0</v>
      </c>
      <c r="D4965" s="41" t="n">
        <f aca="false">Sens!$D$4896-(Sens!$D$4898+Sens!$D$4899)</f>
        <v>0</v>
      </c>
      <c r="E4965" s="41" t="n">
        <f aca="false">Sens!$E$4896-(Sens!$E$4898+Sens!$E$4899)</f>
        <v>0</v>
      </c>
      <c r="F4965" s="41" t="n">
        <f aca="false">Sens!$F$4896-(Sens!$F$4898+Sens!$F$4899)</f>
        <v>0</v>
      </c>
      <c r="G4965" s="41" t="n">
        <f aca="false">Sens!$G$4896-(Sens!$G$4898+Sens!$G$4899)</f>
        <v>0</v>
      </c>
      <c r="H4965" s="41" t="n">
        <f aca="false">Sens!$H$4896-(Sens!$H$4898+Sens!$H$4899)</f>
        <v>0</v>
      </c>
      <c r="I4965" s="41" t="n">
        <f aca="false">Sens!$I$4896-(Sens!$I$4898+Sens!$I$4899)</f>
        <v>0</v>
      </c>
      <c r="J4965" s="41" t="n">
        <f aca="false">Sens!$J$4896-(Sens!$J$4898+Sens!$J$4899)</f>
        <v>0</v>
      </c>
      <c r="K4965" s="41" t="n">
        <f aca="false">Sens!$K$4896-(Sens!$K$4898+Sens!$K$4899)</f>
        <v>0</v>
      </c>
      <c r="L4965" s="41" t="n">
        <f aca="false">Sens!$L$4896-(Sens!$L$4898+Sens!$L$4899)</f>
        <v>0</v>
      </c>
      <c r="M4965" s="41" t="n">
        <f aca="false">Sens!$M$4896-(Sens!$M$4898+Sens!$M$4899)</f>
        <v>0</v>
      </c>
      <c r="N4965" s="41" t="n">
        <f aca="false">Sens!$N$4896-(Sens!$N$4898+Sens!$N$4899)</f>
        <v>0</v>
      </c>
      <c r="O4965" s="41" t="n">
        <f aca="false">Sens!$O$4896-(Sens!$O$4898+Sens!$O$4899)</f>
        <v>0</v>
      </c>
    </row>
    <row r="4966" customFormat="false" ht="17.15" hidden="false" customHeight="false" outlineLevel="0" collapsed="false">
      <c r="A4966" s="24" t="s">
        <v>698</v>
      </c>
      <c r="B4966" s="25" t="s">
        <v>86</v>
      </c>
      <c r="C4966" s="41" t="n">
        <f aca="false">Sens!$C$4961+Sens!$C$4962-Sens!$C$4963</f>
        <v>0</v>
      </c>
      <c r="D4966" s="41" t="n">
        <f aca="false">Sens!$D$4961+Sens!$D$4962-Sens!$D$4963</f>
        <v>0</v>
      </c>
      <c r="E4966" s="41" t="n">
        <f aca="false">Sens!$E$4961+Sens!$E$4962-Sens!$E$4963</f>
        <v>0</v>
      </c>
      <c r="F4966" s="41" t="n">
        <f aca="false">Sens!$F$4961+Sens!$F$4962-Sens!$F$4963</f>
        <v>0</v>
      </c>
      <c r="G4966" s="41" t="n">
        <f aca="false">Sens!$G$4961+Sens!$G$4962-Sens!$G$4963</f>
        <v>0</v>
      </c>
      <c r="H4966" s="41" t="n">
        <f aca="false">Sens!$H$4961+Sens!$H$4962-Sens!$H$4963</f>
        <v>0</v>
      </c>
      <c r="I4966" s="41" t="n">
        <f aca="false">Sens!$I$4961+Sens!$I$4962-Sens!$I$4963</f>
        <v>0</v>
      </c>
      <c r="J4966" s="41" t="n">
        <f aca="false">Sens!$J$4961+Sens!$J$4962-Sens!$J$4963</f>
        <v>0</v>
      </c>
      <c r="K4966" s="41" t="n">
        <f aca="false">Sens!$K$4961+Sens!$K$4962-Sens!$K$4963</f>
        <v>0</v>
      </c>
      <c r="L4966" s="41" t="n">
        <f aca="false">Sens!$L$4961+Sens!$L$4962-Sens!$L$4963</f>
        <v>0</v>
      </c>
      <c r="M4966" s="41" t="n">
        <f aca="false">Sens!$M$4961+Sens!$M$4962-Sens!$M$4963</f>
        <v>0</v>
      </c>
      <c r="N4966" s="41" t="n">
        <f aca="false">Sens!$N$4961+Sens!$N$4962-Sens!$N$4963</f>
        <v>0</v>
      </c>
      <c r="O4966" s="41" t="n">
        <f aca="false">Sens!$O$4961+Sens!$O$4962-Sens!$O$4963</f>
        <v>0</v>
      </c>
    </row>
    <row r="4967" customFormat="false" ht="17.15" hidden="false" customHeight="false" outlineLevel="0" collapsed="false">
      <c r="A4967" s="24" t="s">
        <v>699</v>
      </c>
      <c r="B4967" s="25" t="s">
        <v>86</v>
      </c>
      <c r="C4967" s="41" t="n">
        <f aca="false">Sens!$C$4898+Sens!$C$4899+Sens!$C$4963-Sens!$C$4964</f>
        <v>0</v>
      </c>
      <c r="D4967" s="41" t="n">
        <f aca="false">Sens!$D$4898+Sens!$D$4899+Sens!$D$4963-Sens!$D$4964</f>
        <v>0</v>
      </c>
      <c r="E4967" s="41" t="n">
        <f aca="false">Sens!$E$4898+Sens!$E$4899+Sens!$E$4963-Sens!$E$4964</f>
        <v>0</v>
      </c>
      <c r="F4967" s="41" t="n">
        <f aca="false">Sens!$F$4898+Sens!$F$4899+Sens!$F$4963-Sens!$F$4964</f>
        <v>0</v>
      </c>
      <c r="G4967" s="41" t="n">
        <f aca="false">Sens!$G$4898+Sens!$G$4899+Sens!$G$4963-Sens!$G$4964</f>
        <v>0</v>
      </c>
      <c r="H4967" s="41" t="n">
        <f aca="false">Sens!$H$4898+Sens!$H$4899+Sens!$H$4963-Sens!$H$4964</f>
        <v>0</v>
      </c>
      <c r="I4967" s="41" t="n">
        <f aca="false">Sens!$I$4898+Sens!$I$4899+Sens!$I$4963-Sens!$I$4964</f>
        <v>0</v>
      </c>
      <c r="J4967" s="41" t="n">
        <f aca="false">Sens!$J$4898+Sens!$J$4899+Sens!$J$4963-Sens!$J$4964</f>
        <v>0</v>
      </c>
      <c r="K4967" s="41" t="n">
        <f aca="false">Sens!$K$4898+Sens!$K$4899+Sens!$K$4963-Sens!$K$4964</f>
        <v>0</v>
      </c>
      <c r="L4967" s="41" t="n">
        <f aca="false">Sens!$L$4898+Sens!$L$4899+Sens!$L$4963-Sens!$L$4964</f>
        <v>0</v>
      </c>
      <c r="M4967" s="41" t="n">
        <f aca="false">Sens!$M$4898+Sens!$M$4899+Sens!$M$4963-Sens!$M$4964</f>
        <v>0</v>
      </c>
      <c r="N4967" s="41" t="n">
        <f aca="false">Sens!$N$4898+Sens!$N$4899+Sens!$N$4963-Sens!$N$4964</f>
        <v>0</v>
      </c>
      <c r="O4967" s="41" t="n">
        <f aca="false">Sens!$O$4898+Sens!$O$4899+Sens!$O$4963-Sens!$O$4964</f>
        <v>0</v>
      </c>
    </row>
    <row r="4968" customFormat="false" ht="15" hidden="false" customHeight="false" outlineLevel="0" collapsed="false">
      <c r="A4968" s="5" t="s">
        <v>693</v>
      </c>
      <c r="B4968" s="0" t="s">
        <v>52</v>
      </c>
      <c r="G4968" s="13" t="n">
        <f aca="false">Sens!$G$4964/Sens!$D$4964-1</f>
        <v>0.140854504918937</v>
      </c>
      <c r="H4968" s="13" t="n">
        <f aca="false">Sens!$H$4964/Sens!$G$4964-1</f>
        <v>0.152063789793209</v>
      </c>
      <c r="I4968" s="13" t="n">
        <f aca="false">Sens!$I$4964/Sens!$H$4964-1</f>
        <v>0.134273264437417</v>
      </c>
      <c r="J4968" s="13" t="n">
        <f aca="false">Sens!$J$4964/Sens!$I$4964-1</f>
        <v>0.113310421234083</v>
      </c>
      <c r="K4968" s="13" t="n">
        <f aca="false">Sens!$K$4964/Sens!$J$4964-1</f>
        <v>0.0892108343223652</v>
      </c>
      <c r="L4968" s="13" t="n">
        <f aca="false">Sens!$L$4964/Sens!$K$4964-1</f>
        <v>0.076471362444261</v>
      </c>
      <c r="M4968" s="13" t="n">
        <f aca="false">Sens!$M$4964/Sens!$L$4964-1</f>
        <v>0.066250060256672</v>
      </c>
    </row>
    <row r="4969" customFormat="false" ht="17.15" hidden="false" customHeight="false" outlineLevel="0" collapsed="false">
      <c r="A4969" s="0" t="s">
        <v>694</v>
      </c>
      <c r="B4969" s="0" t="s">
        <v>52</v>
      </c>
      <c r="C4969" s="13" t="n">
        <f aca="false">Sens!$C$4963/Sens!$C$4964</f>
        <v>0.168593906504964</v>
      </c>
      <c r="D4969" s="13" t="n">
        <f aca="false">Sens!$D$4963/Sens!$D$4964</f>
        <v>0.179551807444025</v>
      </c>
      <c r="E4969" s="13" t="n">
        <f aca="false">Sens!$E$4963/Sens!$E$4964</f>
        <v>0.208881910369643</v>
      </c>
      <c r="F4969" s="13" t="n">
        <f aca="false">Sens!$F$4963/Sens!$F$4964</f>
        <v>0.199028269699356</v>
      </c>
      <c r="G4969" s="13" t="n">
        <f aca="false">Sens!$G$4963/Sens!$G$4964</f>
        <v>0.203631882529968</v>
      </c>
      <c r="H4969" s="13" t="n">
        <f aca="false">Sens!$H$4963/Sens!$H$4964</f>
        <v>0.234731715958496</v>
      </c>
      <c r="I4969" s="13" t="n">
        <f aca="false">Sens!$I$4963/Sens!$I$4964</f>
        <v>0.262231204480418</v>
      </c>
      <c r="J4969" s="13" t="n">
        <f aca="false">Sens!$J$4963/Sens!$J$4964</f>
        <v>0.284728366013706</v>
      </c>
      <c r="K4969" s="13" t="n">
        <f aca="false">Sens!$K$4963/Sens!$K$4964</f>
        <v>0.300823304959505</v>
      </c>
      <c r="L4969" s="13" t="n">
        <f aca="false">Sens!$L$4963/Sens!$L$4964</f>
        <v>0.308263164529735</v>
      </c>
      <c r="M4969" s="13" t="n">
        <f aca="false">Sens!$M$4963/Sens!$M$4964</f>
        <v>0.308856517936036</v>
      </c>
      <c r="N4969" s="13" t="n">
        <f aca="false">Sens!$N$4963/Sens!$N$4964</f>
        <v>0.185979484737251</v>
      </c>
      <c r="O4969" s="13" t="n">
        <f aca="false">Sens!$O$4963/Sens!$O$4964</f>
        <v>0.174270432341096</v>
      </c>
    </row>
    <row r="4970" customFormat="false" ht="17.15" hidden="false" customHeight="false" outlineLevel="0" collapsed="false">
      <c r="A4970" s="0" t="s">
        <v>695</v>
      </c>
      <c r="B4970" s="0" t="s">
        <v>52</v>
      </c>
      <c r="C4970" s="13" t="n">
        <f aca="false">Sens!$C$4961/Sens!$C$4963</f>
        <v>0.0215795060896058</v>
      </c>
      <c r="D4970" s="13" t="n">
        <f aca="false">Sens!$D$4961/Sens!$D$4963</f>
        <v>0.0676152269462122</v>
      </c>
      <c r="E4970" s="13" t="n">
        <f aca="false">Sens!$E$4961/Sens!$E$4963</f>
        <v>0.106620641395783</v>
      </c>
      <c r="F4970" s="13" t="n">
        <f aca="false">Sens!$F$4961/Sens!$F$4963</f>
        <v>0.172523487401099</v>
      </c>
      <c r="G4970" s="13" t="n">
        <f aca="false">Sens!$G$4961/Sens!$G$4963</f>
        <v>0.140939911795589</v>
      </c>
      <c r="H4970" s="13" t="n">
        <f aca="false">Sens!$H$4961/Sens!$H$4963</f>
        <v>0.272018642937714</v>
      </c>
      <c r="I4970" s="13" t="n">
        <f aca="false">Sens!$I$4961/Sens!$I$4963</f>
        <v>0.362159512436497</v>
      </c>
      <c r="J4970" s="13" t="n">
        <f aca="false">Sens!$J$4961/Sens!$J$4963</f>
        <v>0.422151735934609</v>
      </c>
      <c r="K4970" s="13" t="n">
        <f aca="false">Sens!$K$4961/Sens!$K$4963</f>
        <v>0.45769342068485</v>
      </c>
      <c r="L4970" s="13" t="n">
        <f aca="false">Sens!$L$4961/Sens!$L$4963</f>
        <v>0.469047103913472</v>
      </c>
      <c r="M4970" s="13" t="n">
        <f aca="false">Sens!$M$4961/Sens!$M$4963</f>
        <v>0.463233328258093</v>
      </c>
      <c r="N4970" s="13" t="n">
        <f aca="false">Sens!$N$4961/Sens!$N$4963</f>
        <v>0.0506537999838362</v>
      </c>
      <c r="O4970" s="13" t="n">
        <f aca="false">Sens!$O$4961/Sens!$O$4963</f>
        <v>0.0824881615167056</v>
      </c>
    </row>
    <row r="4973" customFormat="false" ht="19.4" hidden="false" customHeight="false" outlineLevel="0" collapsed="false">
      <c r="A4973" s="31" t="s">
        <v>1229</v>
      </c>
    </row>
    <row r="4974" customFormat="false" ht="17.15" hidden="false" customHeight="false" outlineLevel="0" collapsed="false">
      <c r="A4974" s="6" t="s">
        <v>16</v>
      </c>
      <c r="B4974" s="6" t="s">
        <v>17</v>
      </c>
      <c r="C4974" s="20" t="s">
        <v>494</v>
      </c>
      <c r="D4974" s="20" t="s">
        <v>495</v>
      </c>
      <c r="E4974" s="20" t="s">
        <v>577</v>
      </c>
      <c r="F4974" s="20" t="s">
        <v>578</v>
      </c>
      <c r="G4974" s="20" t="s">
        <v>579</v>
      </c>
      <c r="H4974" s="20" t="s">
        <v>580</v>
      </c>
      <c r="I4974" s="20" t="s">
        <v>581</v>
      </c>
      <c r="J4974" s="20" t="s">
        <v>582</v>
      </c>
      <c r="K4974" s="20" t="s">
        <v>583</v>
      </c>
      <c r="L4974" s="20" t="s">
        <v>584</v>
      </c>
      <c r="M4974" s="20" t="s">
        <v>585</v>
      </c>
      <c r="N4974" s="20" t="s">
        <v>586</v>
      </c>
      <c r="O4974" s="20" t="s">
        <v>587</v>
      </c>
      <c r="P4974" s="6" t="s">
        <v>23</v>
      </c>
      <c r="R4974" s="20" t="n">
        <v>2023</v>
      </c>
      <c r="S4974" s="20" t="n">
        <v>2024</v>
      </c>
      <c r="T4974" s="20" t="n">
        <v>2025</v>
      </c>
      <c r="U4974" s="20" t="n">
        <v>2026</v>
      </c>
      <c r="V4974" s="20" t="n">
        <v>2027</v>
      </c>
      <c r="W4974" s="20" t="n">
        <v>2028</v>
      </c>
      <c r="X4974" s="20" t="n">
        <v>2029</v>
      </c>
      <c r="Y4974" s="20" t="n">
        <v>2030</v>
      </c>
      <c r="Z4974" s="20" t="n">
        <v>2031</v>
      </c>
      <c r="AA4974" s="20" t="n">
        <v>2032</v>
      </c>
    </row>
    <row r="4975" customFormat="false" ht="17.15" hidden="false" customHeight="false" outlineLevel="0" collapsed="false">
      <c r="A4975" s="1" t="s">
        <v>710</v>
      </c>
    </row>
    <row r="4976" customFormat="false" ht="15" hidden="false" customHeight="false" outlineLevel="0" collapsed="false">
      <c r="A4976" s="0" t="s">
        <v>516</v>
      </c>
      <c r="B4976" s="0" t="s">
        <v>86</v>
      </c>
      <c r="C4976" s="38" t="n">
        <f aca="false">Sens!$C$4883</f>
        <v>247.029</v>
      </c>
      <c r="D4976" s="38" t="n">
        <f aca="false">Sens!$D$4883</f>
        <v>269.287</v>
      </c>
      <c r="E4976" s="38" t="n">
        <f aca="false">Sens!$E$4883</f>
        <v>134.686</v>
      </c>
      <c r="F4976" s="38" t="n">
        <f aca="false">Sens!$F$4883</f>
        <v>158.293876822267</v>
      </c>
      <c r="G4976" s="38" t="n">
        <f aca="false">Sens!$G$4883</f>
        <v>292.979876822267</v>
      </c>
      <c r="H4976" s="38" t="n">
        <f aca="false">Sens!$H$4883</f>
        <v>318.184543087396</v>
      </c>
      <c r="I4976" s="38" t="n">
        <f aca="false">Sens!$I$4883</f>
        <v>341.736278761793</v>
      </c>
      <c r="J4976" s="38" t="n">
        <f aca="false">Sens!$J$4883</f>
        <v>362.927192787048</v>
      </c>
      <c r="K4976" s="38" t="n">
        <f aca="false">Sens!$K$4883</f>
        <v>381.0735524264</v>
      </c>
      <c r="L4976" s="38" t="n">
        <f aca="false">Sens!$L$4883</f>
        <v>400.12723004772</v>
      </c>
      <c r="M4976" s="38" t="n">
        <f aca="false">Sens!$M$4883</f>
        <v>420.133591550106</v>
      </c>
      <c r="N4976" s="38" t="n">
        <f aca="false">Sens!$N$4883</f>
        <v>118.892</v>
      </c>
      <c r="O4976" s="38" t="n">
        <f aca="false">Sens!$O$4883</f>
        <v>150.395</v>
      </c>
    </row>
    <row r="4977" customFormat="false" ht="15" hidden="false" customHeight="false" outlineLevel="0" collapsed="false">
      <c r="A4977" s="0" t="s">
        <v>517</v>
      </c>
      <c r="B4977" s="0" t="s">
        <v>86</v>
      </c>
      <c r="C4977" s="38" t="n">
        <f aca="false">Sens!$C$4885</f>
        <v>21.215</v>
      </c>
      <c r="D4977" s="38" t="n">
        <f aca="false">Sens!$D$4885</f>
        <v>22.561</v>
      </c>
      <c r="E4977" s="38" t="n">
        <f aca="false">Sens!$E$4885</f>
        <v>11.579</v>
      </c>
      <c r="F4977" s="38" t="n">
        <f aca="false">Sens!$F$4885</f>
        <v>11.5938724610325</v>
      </c>
      <c r="G4977" s="38" t="n">
        <f aca="false">Sens!$G$4885</f>
        <v>23.1728724610325</v>
      </c>
      <c r="H4977" s="38" t="n">
        <f aca="false">Sens!$H$4885</f>
        <v>24.353392759506</v>
      </c>
      <c r="I4977" s="38" t="n">
        <f aca="false">Sens!$I$4885</f>
        <v>25.4240338872015</v>
      </c>
      <c r="J4977" s="38" t="n">
        <f aca="false">Sens!$J$4885</f>
        <v>26.3642491017174</v>
      </c>
      <c r="K4977" s="38" t="n">
        <f aca="false">Sens!$K$4885</f>
        <v>27.155176574769</v>
      </c>
      <c r="L4977" s="38" t="n">
        <f aca="false">Sens!$L$4885</f>
        <v>27.969831872012</v>
      </c>
      <c r="M4977" s="38" t="n">
        <f aca="false">Sens!$M$4885</f>
        <v>28.8089268281724</v>
      </c>
      <c r="N4977" s="38" t="n">
        <f aca="false">Sens!$N$4885</f>
        <v>11.128</v>
      </c>
      <c r="O4977" s="38" t="n">
        <f aca="false">Sens!$O$4885</f>
        <v>11.433</v>
      </c>
    </row>
    <row r="4978" customFormat="false" ht="15" hidden="false" customHeight="false" outlineLevel="0" collapsed="false">
      <c r="A4978" s="0" t="s">
        <v>518</v>
      </c>
      <c r="B4978" s="0" t="s">
        <v>86</v>
      </c>
      <c r="C4978" s="38" t="n">
        <f aca="false">Sens!$C$4887</f>
        <v>156.146</v>
      </c>
      <c r="D4978" s="38" t="n">
        <f aca="false">Sens!$D$4887</f>
        <v>172.162</v>
      </c>
      <c r="E4978" s="38" t="n">
        <f aca="false">Sens!$E$4887</f>
        <v>88.358</v>
      </c>
      <c r="F4978" s="38" t="n">
        <f aca="false">Sens!$F$4887</f>
        <v>102.004388260171</v>
      </c>
      <c r="G4978" s="38" t="n">
        <f aca="false">Sens!$G$4887</f>
        <v>190.362388260171</v>
      </c>
      <c r="H4978" s="38" t="n">
        <f aca="false">Sens!$H$4887</f>
        <v>210.343106588311</v>
      </c>
      <c r="I4978" s="38" t="n">
        <f aca="false">Sens!$I$4887</f>
        <v>229.969728494648</v>
      </c>
      <c r="J4978" s="38" t="n">
        <f aca="false">Sens!$J$4887</f>
        <v>248.747636972598</v>
      </c>
      <c r="K4978" s="38" t="n">
        <f aca="false">Sens!$K$4887</f>
        <v>266.15997156068</v>
      </c>
      <c r="L4978" s="38" t="n">
        <f aca="false">Sens!$L$4887</f>
        <v>284.791169569927</v>
      </c>
      <c r="M4978" s="38" t="n">
        <f aca="false">Sens!$M$4887</f>
        <v>304.726551439822</v>
      </c>
      <c r="N4978" s="38" t="n">
        <f aca="false">Sens!$N$4887</f>
        <v>76.86</v>
      </c>
      <c r="O4978" s="38" t="n">
        <f aca="false">Sens!$O$4887</f>
        <v>95.302</v>
      </c>
    </row>
    <row r="4979" customFormat="false" ht="15" hidden="false" customHeight="false" outlineLevel="0" collapsed="false">
      <c r="A4979" s="0" t="s">
        <v>519</v>
      </c>
      <c r="B4979" s="0" t="s">
        <v>86</v>
      </c>
      <c r="C4979" s="38" t="n">
        <f aca="false">Sens!$C$4889</f>
        <v>56.214</v>
      </c>
      <c r="D4979" s="38" t="n">
        <f aca="false">Sens!$D$4889</f>
        <v>68.635</v>
      </c>
      <c r="E4979" s="38" t="n">
        <f aca="false">Sens!$E$4889</f>
        <v>37.052</v>
      </c>
      <c r="F4979" s="38" t="n">
        <f aca="false">Sens!$F$4889</f>
        <v>46.1572219944148</v>
      </c>
      <c r="G4979" s="38" t="n">
        <f aca="false">Sens!$G$4889</f>
        <v>83.2092219944148</v>
      </c>
      <c r="H4979" s="38" t="n">
        <f aca="false">Sens!$H$4889</f>
        <v>99.8969223878976</v>
      </c>
      <c r="I4979" s="38" t="n">
        <f aca="false">Sens!$I$4889</f>
        <v>116.583111095496</v>
      </c>
      <c r="J4979" s="38" t="n">
        <f aca="false">Sens!$J$4889</f>
        <v>132.148941941952</v>
      </c>
      <c r="K4979" s="38" t="n">
        <f aca="false">Sens!$K$4889</f>
        <v>145.363836136147</v>
      </c>
      <c r="L4979" s="38" t="n">
        <f aca="false">Sens!$L$4889</f>
        <v>159.900219749762</v>
      </c>
      <c r="M4979" s="38" t="n">
        <f aca="false">Sens!$M$4889</f>
        <v>175.890241724738</v>
      </c>
      <c r="N4979" s="38" t="n">
        <f aca="false">Sens!$N$4889</f>
        <v>29.615</v>
      </c>
      <c r="O4979" s="38" t="n">
        <f aca="false">Sens!$O$4889</f>
        <v>39.02</v>
      </c>
    </row>
    <row r="4980" customFormat="false" ht="15" hidden="false" customHeight="false" outlineLevel="0" collapsed="false">
      <c r="A4980" s="0" t="s">
        <v>520</v>
      </c>
      <c r="B4980" s="0" t="s">
        <v>86</v>
      </c>
      <c r="C4980" s="38" t="n">
        <f aca="false">Sens!$C$4891</f>
        <v>44.374</v>
      </c>
      <c r="D4980" s="38" t="n">
        <f aca="false">Sens!$D$4891</f>
        <v>49.619</v>
      </c>
      <c r="E4980" s="38" t="n">
        <f aca="false">Sens!$E$4891</f>
        <v>27.157</v>
      </c>
      <c r="F4980" s="38" t="n">
        <f aca="false">Sens!$F$4891</f>
        <v>27.7764165988154</v>
      </c>
      <c r="G4980" s="38" t="n">
        <f aca="false">Sens!$G$4891</f>
        <v>54.9334165988154</v>
      </c>
      <c r="H4980" s="38" t="n">
        <f aca="false">Sens!$H$4891</f>
        <v>61.1564112561829</v>
      </c>
      <c r="I4980" s="38" t="n">
        <f aca="false">Sens!$I$4891</f>
        <v>67.2020282103945</v>
      </c>
      <c r="J4980" s="38" t="n">
        <f aca="false">Sens!$J$4891</f>
        <v>72.8757274028885</v>
      </c>
      <c r="K4980" s="38" t="n">
        <f aca="false">Sens!$K$4891</f>
        <v>77.9770283210907</v>
      </c>
      <c r="L4980" s="38" t="n">
        <f aca="false">Sens!$L$4891</f>
        <v>83.4354203035671</v>
      </c>
      <c r="M4980" s="38" t="n">
        <f aca="false">Sens!$M$4891</f>
        <v>89.2758997248168</v>
      </c>
      <c r="N4980" s="38" t="n">
        <f aca="false">Sens!$N$4891</f>
        <v>23.923</v>
      </c>
      <c r="O4980" s="38" t="n">
        <f aca="false">Sens!$O$4891</f>
        <v>25.696</v>
      </c>
    </row>
    <row r="4981" customFormat="false" ht="15" hidden="false" customHeight="false" outlineLevel="0" collapsed="false">
      <c r="A4981" s="0" t="s">
        <v>521</v>
      </c>
      <c r="B4981" s="0" t="s">
        <v>86</v>
      </c>
      <c r="C4981" s="38" t="n">
        <f aca="false">Sens!$C$4893</f>
        <v>5.425</v>
      </c>
      <c r="D4981" s="38" t="n">
        <f aca="false">Sens!$D$4893</f>
        <v>5.935</v>
      </c>
      <c r="E4981" s="38" t="n">
        <f aca="false">Sens!$E$4893</f>
        <v>3.474</v>
      </c>
      <c r="F4981" s="38" t="n">
        <f aca="false">Sens!$F$4893</f>
        <v>3.22246550883619</v>
      </c>
      <c r="G4981" s="38" t="n">
        <f aca="false">Sens!$G$4893</f>
        <v>6.69646550883619</v>
      </c>
      <c r="H4981" s="38" t="n">
        <f aca="false">Sens!$H$4893</f>
        <v>7.16251344209196</v>
      </c>
      <c r="I4981" s="38" t="n">
        <f aca="false">Sens!$I$4893</f>
        <v>7.61421070299826</v>
      </c>
      <c r="J4981" s="38" t="n">
        <f aca="false">Sens!$J$4893</f>
        <v>8.04465753523932</v>
      </c>
      <c r="K4981" s="38" t="n">
        <f aca="false">Sens!$K$4893</f>
        <v>8.44689041200128</v>
      </c>
      <c r="L4981" s="38" t="n">
        <f aca="false">Sens!$L$4893</f>
        <v>8.86923493260135</v>
      </c>
      <c r="M4981" s="38" t="n">
        <f aca="false">Sens!$M$4893</f>
        <v>9.31269667923142</v>
      </c>
      <c r="N4981" s="38" t="n">
        <f aca="false">Sens!$N$4893</f>
        <v>2.811</v>
      </c>
      <c r="O4981" s="38" t="n">
        <f aca="false">Sens!$O$4893</f>
        <v>3.124</v>
      </c>
    </row>
    <row r="4982" customFormat="false" ht="17.15" hidden="false" customHeight="false" outlineLevel="0" collapsed="false">
      <c r="A4982" s="0" t="s">
        <v>711</v>
      </c>
      <c r="B4982" s="0" t="s">
        <v>86</v>
      </c>
      <c r="C4982" s="38" t="n">
        <f aca="false">Sens!$C$4963</f>
        <v>107.556</v>
      </c>
      <c r="D4982" s="38" t="n">
        <f aca="false">Sens!$D$4963</f>
        <v>128.725</v>
      </c>
      <c r="E4982" s="38" t="n">
        <f aca="false">Sens!$E$4963</f>
        <v>79.819</v>
      </c>
      <c r="F4982" s="38" t="n">
        <f aca="false">Sens!$F$4963</f>
        <v>86.7327334389669</v>
      </c>
      <c r="G4982" s="38" t="n">
        <f aca="false">Sens!$G$4963</f>
        <v>166.551733438967</v>
      </c>
      <c r="H4982" s="38" t="n">
        <f aca="false">Sens!$H$4963</f>
        <v>221.182967828978</v>
      </c>
      <c r="I4982" s="38" t="n">
        <f aca="false">Sens!$I$4963</f>
        <v>280.27345865789</v>
      </c>
      <c r="J4982" s="38" t="n">
        <f aca="false">Sens!$J$4963</f>
        <v>338.800945197185</v>
      </c>
      <c r="K4982" s="38" t="n">
        <f aca="false">Sens!$K$4963</f>
        <v>389.88570147276</v>
      </c>
      <c r="L4982" s="38" t="n">
        <f aca="false">Sens!$L$4963</f>
        <v>430.080689379143</v>
      </c>
      <c r="M4982" s="38" t="n">
        <f aca="false">Sens!$M$4963</f>
        <v>459.456235951751</v>
      </c>
      <c r="N4982" s="38" t="n">
        <f aca="false">Sens!$N$4963</f>
        <v>60.14</v>
      </c>
      <c r="O4982" s="38" t="n">
        <f aca="false">Sens!$O$4963</f>
        <v>68.585</v>
      </c>
    </row>
    <row r="4983" customFormat="false" ht="15" hidden="false" customHeight="false" outlineLevel="0" collapsed="false">
      <c r="A4983" s="1" t="s">
        <v>509</v>
      </c>
      <c r="B4983" s="8" t="s">
        <v>86</v>
      </c>
      <c r="C4983" s="38" t="n">
        <f aca="false">Sens!$C$4898</f>
        <v>387.497</v>
      </c>
      <c r="D4983" s="38" t="n">
        <f aca="false">Sens!$D$4898</f>
        <v>426.305</v>
      </c>
      <c r="E4983" s="38" t="n">
        <f aca="false">Sens!$E$4898</f>
        <v>220.32</v>
      </c>
      <c r="F4983" s="38" t="n">
        <f aca="false">Sens!$F$4898</f>
        <v>250.639773480586</v>
      </c>
      <c r="G4983" s="38" t="n">
        <f aca="false">Sens!$G$4898</f>
        <v>470.959773480586</v>
      </c>
      <c r="H4983" s="38" t="n">
        <f aca="false">Sens!$H$4898</f>
        <v>521.386990416437</v>
      </c>
      <c r="I4983" s="38" t="n">
        <f aca="false">Sens!$I$4898</f>
        <v>570.143862887555</v>
      </c>
      <c r="J4983" s="38" t="n">
        <f aca="false">Sens!$J$4898</f>
        <v>615.391435791933</v>
      </c>
      <c r="K4983" s="38" t="n">
        <f aca="false">Sens!$K$4898</f>
        <v>655.208227561543</v>
      </c>
      <c r="L4983" s="38" t="n">
        <f aca="false">Sens!$L$4898</f>
        <v>697.807739249767</v>
      </c>
      <c r="M4983" s="38" t="n">
        <f aca="false">Sens!$M$4898</f>
        <v>743.399328463592</v>
      </c>
      <c r="N4983" s="38" t="n">
        <f aca="false">Sens!$N$4898</f>
        <v>192.955</v>
      </c>
      <c r="O4983" s="38" t="n">
        <f aca="false">Sens!$O$4898</f>
        <v>233.35</v>
      </c>
    </row>
    <row r="4984" customFormat="false" ht="15" hidden="false" customHeight="false" outlineLevel="0" collapsed="false">
      <c r="A4984" s="1" t="s">
        <v>512</v>
      </c>
      <c r="B4984" s="8" t="s">
        <v>86</v>
      </c>
      <c r="C4984" s="38" t="n">
        <f aca="false">Sens!$C$4899</f>
        <v>142.906</v>
      </c>
      <c r="D4984" s="38" t="n">
        <f aca="false">Sens!$D$4899</f>
        <v>161.894</v>
      </c>
      <c r="E4984" s="38" t="n">
        <f aca="false">Sens!$E$4899</f>
        <v>81.986</v>
      </c>
      <c r="F4984" s="38" t="n">
        <f aca="false">Sens!$F$4899</f>
        <v>98.408468164951</v>
      </c>
      <c r="G4984" s="38" t="n">
        <f aca="false">Sens!$G$4899</f>
        <v>180.394468164951</v>
      </c>
      <c r="H4984" s="38" t="n">
        <f aca="false">Sens!$H$4899</f>
        <v>199.709899104949</v>
      </c>
      <c r="I4984" s="38" t="n">
        <f aca="false">Sens!$I$4899</f>
        <v>218.385528264976</v>
      </c>
      <c r="J4984" s="38" t="n">
        <f aca="false">Sens!$J$4899</f>
        <v>235.71696994951</v>
      </c>
      <c r="K4984" s="38" t="n">
        <f aca="false">Sens!$K$4899</f>
        <v>250.968227869545</v>
      </c>
      <c r="L4984" s="38" t="n">
        <f aca="false">Sens!$L$4899</f>
        <v>267.285367225822</v>
      </c>
      <c r="M4984" s="38" t="n">
        <f aca="false">Sens!$M$4899</f>
        <v>284.748579483295</v>
      </c>
      <c r="N4984" s="38" t="n">
        <f aca="false">Sens!$N$4899</f>
        <v>70.274</v>
      </c>
      <c r="O4984" s="38" t="n">
        <f aca="false">Sens!$O$4899</f>
        <v>91.62</v>
      </c>
    </row>
    <row r="4985" customFormat="false" ht="15" hidden="false" customHeight="false" outlineLevel="0" collapsed="false">
      <c r="A4985" s="1" t="s">
        <v>513</v>
      </c>
      <c r="B4985" s="8" t="s">
        <v>86</v>
      </c>
      <c r="C4985" s="38" t="n">
        <f aca="false">Sens!$C$4963</f>
        <v>107.556</v>
      </c>
      <c r="D4985" s="38" t="n">
        <f aca="false">Sens!$D$4963</f>
        <v>128.725</v>
      </c>
      <c r="E4985" s="38" t="n">
        <f aca="false">Sens!$E$4963</f>
        <v>79.819</v>
      </c>
      <c r="F4985" s="38" t="n">
        <f aca="false">Sens!$F$4963</f>
        <v>86.7327334389669</v>
      </c>
      <c r="G4985" s="38" t="n">
        <f aca="false">Sens!$G$4963</f>
        <v>166.551733438967</v>
      </c>
      <c r="H4985" s="38" t="n">
        <f aca="false">Sens!$H$4963</f>
        <v>221.182967828978</v>
      </c>
      <c r="I4985" s="38" t="n">
        <f aca="false">Sens!$I$4963</f>
        <v>280.27345865789</v>
      </c>
      <c r="J4985" s="38" t="n">
        <f aca="false">Sens!$J$4963</f>
        <v>338.800945197185</v>
      </c>
      <c r="K4985" s="38" t="n">
        <f aca="false">Sens!$K$4963</f>
        <v>389.88570147276</v>
      </c>
      <c r="L4985" s="38" t="n">
        <f aca="false">Sens!$L$4963</f>
        <v>430.080689379143</v>
      </c>
      <c r="M4985" s="38" t="n">
        <f aca="false">Sens!$M$4963</f>
        <v>459.456235951751</v>
      </c>
      <c r="N4985" s="38" t="n">
        <f aca="false">Sens!$N$4963</f>
        <v>60.14</v>
      </c>
      <c r="O4985" s="38" t="n">
        <f aca="false">Sens!$O$4963</f>
        <v>68.585</v>
      </c>
    </row>
    <row r="4986" customFormat="false" ht="17.15" hidden="false" customHeight="false" outlineLevel="0" collapsed="false">
      <c r="A4986" s="0" t="s">
        <v>685</v>
      </c>
      <c r="B4986" s="0" t="s">
        <v>86</v>
      </c>
      <c r="C4986" s="38" t="n">
        <f aca="false">Sens!$C$4961</f>
        <v>2.32100535697364</v>
      </c>
      <c r="D4986" s="38" t="n">
        <f aca="false">Sens!$D$4961</f>
        <v>8.70377008865116</v>
      </c>
      <c r="E4986" s="38" t="n">
        <f aca="false">Sens!$E$4961</f>
        <v>8.51035297557002</v>
      </c>
      <c r="F4986" s="38" t="n">
        <f aca="false">Sens!$F$4961</f>
        <v>14.9634336447205</v>
      </c>
      <c r="G4986" s="38" t="n">
        <f aca="false">Sens!$G$4961</f>
        <v>23.4737866202905</v>
      </c>
      <c r="H4986" s="38" t="n">
        <f aca="false">Sens!$H$4961</f>
        <v>60.1658907497746</v>
      </c>
      <c r="I4986" s="38" t="n">
        <f aca="false">Sens!$I$4961</f>
        <v>101.503699136432</v>
      </c>
      <c r="J4986" s="38" t="n">
        <f aca="false">Sens!$J$4961</f>
        <v>143.025407151278</v>
      </c>
      <c r="K4986" s="38" t="n">
        <f aca="false">Sens!$K$4961</f>
        <v>178.44812038318</v>
      </c>
      <c r="L4986" s="38" t="n">
        <f aca="false">Sens!$L$4961</f>
        <v>201.728101802396</v>
      </c>
      <c r="M4986" s="38" t="n">
        <f aca="false">Sens!$M$4961</f>
        <v>212.835441368865</v>
      </c>
      <c r="N4986" s="38" t="n">
        <f aca="false">Sens!$N$4961</f>
        <v>3.04631953102791</v>
      </c>
      <c r="O4986" s="38" t="n">
        <f aca="false">Sens!$O$4961</f>
        <v>5.65745055762326</v>
      </c>
    </row>
    <row r="4987" customFormat="false" ht="17.15" hidden="false" customHeight="false" outlineLevel="0" collapsed="false">
      <c r="A4987" s="0" t="s">
        <v>687</v>
      </c>
      <c r="B4987" s="0" t="s">
        <v>86</v>
      </c>
      <c r="C4987" s="38" t="n">
        <f aca="false">Sens!$C$4962</f>
        <v>105.234994643026</v>
      </c>
      <c r="D4987" s="38" t="n">
        <f aca="false">Sens!$D$4962</f>
        <v>120.021229911349</v>
      </c>
      <c r="E4987" s="38" t="n">
        <f aca="false">Sens!$E$4962</f>
        <v>71.30864702443</v>
      </c>
      <c r="F4987" s="38" t="n">
        <f aca="false">Sens!$F$4962</f>
        <v>71.7692997942464</v>
      </c>
      <c r="G4987" s="38" t="n">
        <f aca="false">Sens!$G$4962</f>
        <v>143.077946818676</v>
      </c>
      <c r="H4987" s="38" t="n">
        <f aca="false">Sens!$H$4962</f>
        <v>161.017077079203</v>
      </c>
      <c r="I4987" s="38" t="n">
        <f aca="false">Sens!$I$4962</f>
        <v>178.769759521457</v>
      </c>
      <c r="J4987" s="38" t="n">
        <f aca="false">Sens!$J$4962</f>
        <v>195.775538045907</v>
      </c>
      <c r="K4987" s="38" t="n">
        <f aca="false">Sens!$K$4962</f>
        <v>211.43758108958</v>
      </c>
      <c r="L4987" s="38" t="n">
        <f aca="false">Sens!$L$4962</f>
        <v>228.352587576746</v>
      </c>
      <c r="M4987" s="38" t="n">
        <f aca="false">Sens!$M$4962</f>
        <v>246.620794582886</v>
      </c>
      <c r="N4987" s="38" t="n">
        <f aca="false">Sens!$N$4962</f>
        <v>57.0936804689721</v>
      </c>
      <c r="O4987" s="38" t="n">
        <f aca="false">Sens!$O$4962</f>
        <v>62.9275494423768</v>
      </c>
    </row>
    <row r="4988" customFormat="false" ht="15" hidden="false" customHeight="false" outlineLevel="0" collapsed="false">
      <c r="A4988" s="3" t="s">
        <v>514</v>
      </c>
      <c r="B4988" s="8" t="s">
        <v>86</v>
      </c>
      <c r="C4988" s="38" t="n">
        <f aca="false">Sens!$C$4964</f>
        <v>637.959</v>
      </c>
      <c r="D4988" s="38" t="n">
        <f aca="false">Sens!$D$4964</f>
        <v>716.924</v>
      </c>
      <c r="E4988" s="38" t="n">
        <f aca="false">Sens!$E$4964</f>
        <v>382.125</v>
      </c>
      <c r="F4988" s="38" t="n">
        <f aca="false">Sens!$F$4964</f>
        <v>435.780975084504</v>
      </c>
      <c r="G4988" s="38" t="n">
        <f aca="false">Sens!$G$4964</f>
        <v>817.905975084504</v>
      </c>
      <c r="H4988" s="38" t="n">
        <f aca="false">Sens!$H$4964</f>
        <v>942.279857350364</v>
      </c>
      <c r="I4988" s="38" t="n">
        <f aca="false">Sens!$I$4964</f>
        <v>1068.80284981042</v>
      </c>
      <c r="J4988" s="38" t="n">
        <f aca="false">Sens!$J$4964</f>
        <v>1189.90935093863</v>
      </c>
      <c r="K4988" s="38" t="n">
        <f aca="false">Sens!$K$4964</f>
        <v>1296.06215690385</v>
      </c>
      <c r="L4988" s="38" t="n">
        <f aca="false">Sens!$L$4964</f>
        <v>1395.17379585473</v>
      </c>
      <c r="M4988" s="38" t="n">
        <f aca="false">Sens!$M$4964</f>
        <v>1487.60414389864</v>
      </c>
      <c r="N4988" s="38" t="n">
        <f aca="false">Sens!$N$4964</f>
        <v>323.369</v>
      </c>
      <c r="O4988" s="38" t="n">
        <f aca="false">Sens!$O$4964</f>
        <v>393.555</v>
      </c>
    </row>
    <row r="4989" customFormat="false" ht="17.15" hidden="false" customHeight="false" outlineLevel="0" collapsed="false">
      <c r="A4989" s="24" t="s">
        <v>697</v>
      </c>
      <c r="B4989" s="25" t="s">
        <v>86</v>
      </c>
      <c r="C4989" s="41" t="n">
        <f aca="false">Sens!$C$4976+Sens!$C$4977+Sens!$C$4978+Sens!$C$4979+Sens!$C$4980+Sens!$C$4981-(Sens!$C$4983+Sens!$C$4984)</f>
        <v>0</v>
      </c>
      <c r="D4989" s="41" t="n">
        <f aca="false">Sens!$D$4976+Sens!$D$4977+Sens!$D$4978+Sens!$D$4979+Sens!$D$4980+Sens!$D$4981-(Sens!$D$4983+Sens!$D$4984)</f>
        <v>0</v>
      </c>
      <c r="E4989" s="41" t="n">
        <f aca="false">Sens!$E$4976+Sens!$E$4977+Sens!$E$4978+Sens!$E$4979+Sens!$E$4980+Sens!$E$4981-(Sens!$E$4983+Sens!$E$4984)</f>
        <v>0</v>
      </c>
      <c r="F4989" s="41" t="n">
        <f aca="false">Sens!$F$4976+Sens!$F$4977+Sens!$F$4978+Sens!$F$4979+Sens!$F$4980+Sens!$F$4981-(Sens!$F$4983+Sens!$F$4984)</f>
        <v>0</v>
      </c>
      <c r="G4989" s="41" t="n">
        <f aca="false">Sens!$G$4976+Sens!$G$4977+Sens!$G$4978+Sens!$G$4979+Sens!$G$4980+Sens!$G$4981-(Sens!$G$4983+Sens!$G$4984)</f>
        <v>0</v>
      </c>
      <c r="H4989" s="41" t="n">
        <f aca="false">Sens!$H$4976+Sens!$H$4977+Sens!$H$4978+Sens!$H$4979+Sens!$H$4980+Sens!$H$4981-(Sens!$H$4983+Sens!$H$4984)</f>
        <v>0</v>
      </c>
      <c r="I4989" s="41" t="n">
        <f aca="false">Sens!$I$4976+Sens!$I$4977+Sens!$I$4978+Sens!$I$4979+Sens!$I$4980+Sens!$I$4981-(Sens!$I$4983+Sens!$I$4984)</f>
        <v>0</v>
      </c>
      <c r="J4989" s="41" t="n">
        <f aca="false">Sens!$J$4976+Sens!$J$4977+Sens!$J$4978+Sens!$J$4979+Sens!$J$4980+Sens!$J$4981-(Sens!$J$4983+Sens!$J$4984)</f>
        <v>0</v>
      </c>
      <c r="K4989" s="41" t="n">
        <f aca="false">Sens!$K$4976+Sens!$K$4977+Sens!$K$4978+Sens!$K$4979+Sens!$K$4980+Sens!$K$4981-(Sens!$K$4983+Sens!$K$4984)</f>
        <v>0</v>
      </c>
      <c r="L4989" s="41" t="n">
        <f aca="false">Sens!$L$4976+Sens!$L$4977+Sens!$L$4978+Sens!$L$4979+Sens!$L$4980+Sens!$L$4981-(Sens!$L$4983+Sens!$L$4984)</f>
        <v>0</v>
      </c>
      <c r="M4989" s="41" t="n">
        <f aca="false">Sens!$M$4976+Sens!$M$4977+Sens!$M$4978+Sens!$M$4979+Sens!$M$4980+Sens!$M$4981-(Sens!$M$4983+Sens!$M$4984)</f>
        <v>0</v>
      </c>
      <c r="N4989" s="41" t="n">
        <f aca="false">Sens!$N$4976+Sens!$N$4977+Sens!$N$4978+Sens!$N$4979+Sens!$N$4980+Sens!$N$4981-(Sens!$N$4983+Sens!$N$4984)</f>
        <v>0</v>
      </c>
      <c r="O4989" s="41" t="n">
        <f aca="false">Sens!$O$4976+Sens!$O$4977+Sens!$O$4978+Sens!$O$4979+Sens!$O$4980+Sens!$O$4981-(Sens!$O$4983+Sens!$O$4984)</f>
        <v>0</v>
      </c>
    </row>
    <row r="4990" customFormat="false" ht="17.15" hidden="false" customHeight="false" outlineLevel="0" collapsed="false">
      <c r="A4990" s="24" t="s">
        <v>698</v>
      </c>
      <c r="B4990" s="25" t="s">
        <v>86</v>
      </c>
      <c r="C4990" s="41" t="n">
        <f aca="false">Sens!$C$4986+Sens!$C$4987-Sens!$C$4985</f>
        <v>0</v>
      </c>
      <c r="D4990" s="41" t="n">
        <f aca="false">Sens!$D$4986+Sens!$D$4987-Sens!$D$4985</f>
        <v>0</v>
      </c>
      <c r="E4990" s="41" t="n">
        <f aca="false">Sens!$E$4986+Sens!$E$4987-Sens!$E$4985</f>
        <v>0</v>
      </c>
      <c r="F4990" s="41" t="n">
        <f aca="false">Sens!$F$4986+Sens!$F$4987-Sens!$F$4985</f>
        <v>0</v>
      </c>
      <c r="G4990" s="41" t="n">
        <f aca="false">Sens!$G$4986+Sens!$G$4987-Sens!$G$4985</f>
        <v>0</v>
      </c>
      <c r="H4990" s="41" t="n">
        <f aca="false">Sens!$H$4986+Sens!$H$4987-Sens!$H$4985</f>
        <v>0</v>
      </c>
      <c r="I4990" s="41" t="n">
        <f aca="false">Sens!$I$4986+Sens!$I$4987-Sens!$I$4985</f>
        <v>0</v>
      </c>
      <c r="J4990" s="41" t="n">
        <f aca="false">Sens!$J$4986+Sens!$J$4987-Sens!$J$4985</f>
        <v>0</v>
      </c>
      <c r="K4990" s="41" t="n">
        <f aca="false">Sens!$K$4986+Sens!$K$4987-Sens!$K$4985</f>
        <v>0</v>
      </c>
      <c r="L4990" s="41" t="n">
        <f aca="false">Sens!$L$4986+Sens!$L$4987-Sens!$L$4985</f>
        <v>0</v>
      </c>
      <c r="M4990" s="41" t="n">
        <f aca="false">Sens!$M$4986+Sens!$M$4987-Sens!$M$4985</f>
        <v>0</v>
      </c>
      <c r="N4990" s="41" t="n">
        <f aca="false">Sens!$N$4986+Sens!$N$4987-Sens!$N$4985</f>
        <v>0</v>
      </c>
      <c r="O4990" s="41" t="n">
        <f aca="false">Sens!$O$4986+Sens!$O$4987-Sens!$O$4985</f>
        <v>0</v>
      </c>
    </row>
    <row r="4991" customFormat="false" ht="17.15" hidden="false" customHeight="false" outlineLevel="0" collapsed="false">
      <c r="A4991" s="24" t="s">
        <v>757</v>
      </c>
      <c r="B4991" s="25" t="s">
        <v>86</v>
      </c>
      <c r="C4991" s="41" t="n">
        <f aca="false">Sens!$C$4976+Sens!$C$4977+Sens!$C$4978+Sens!$C$4979+Sens!$C$4980+Sens!$C$4981+Sens!$C$4982-Sens!$C$4988</f>
        <v>0</v>
      </c>
      <c r="D4991" s="41" t="n">
        <f aca="false">Sens!$D$4976+Sens!$D$4977+Sens!$D$4978+Sens!$D$4979+Sens!$D$4980+Sens!$D$4981+Sens!$D$4982-Sens!$D$4988</f>
        <v>0</v>
      </c>
      <c r="E4991" s="41" t="n">
        <f aca="false">Sens!$E$4976+Sens!$E$4977+Sens!$E$4978+Sens!$E$4979+Sens!$E$4980+Sens!$E$4981+Sens!$E$4982-Sens!$E$4988</f>
        <v>0</v>
      </c>
      <c r="F4991" s="41" t="n">
        <f aca="false">Sens!$F$4976+Sens!$F$4977+Sens!$F$4978+Sens!$F$4979+Sens!$F$4980+Sens!$F$4981+Sens!$F$4982-Sens!$F$4988</f>
        <v>0</v>
      </c>
      <c r="G4991" s="41" t="n">
        <f aca="false">Sens!$G$4976+Sens!$G$4977+Sens!$G$4978+Sens!$G$4979+Sens!$G$4980+Sens!$G$4981+Sens!$G$4982-Sens!$G$4988</f>
        <v>0</v>
      </c>
      <c r="H4991" s="41" t="n">
        <f aca="false">Sens!$H$4976+Sens!$H$4977+Sens!$H$4978+Sens!$H$4979+Sens!$H$4980+Sens!$H$4981+Sens!$H$4982-Sens!$H$4988</f>
        <v>0</v>
      </c>
      <c r="I4991" s="41" t="n">
        <f aca="false">Sens!$I$4976+Sens!$I$4977+Sens!$I$4978+Sens!$I$4979+Sens!$I$4980+Sens!$I$4981+Sens!$I$4982-Sens!$I$4988</f>
        <v>0</v>
      </c>
      <c r="J4991" s="41" t="n">
        <f aca="false">Sens!$J$4976+Sens!$J$4977+Sens!$J$4978+Sens!$J$4979+Sens!$J$4980+Sens!$J$4981+Sens!$J$4982-Sens!$J$4988</f>
        <v>0</v>
      </c>
      <c r="K4991" s="41" t="n">
        <f aca="false">Sens!$K$4976+Sens!$K$4977+Sens!$K$4978+Sens!$K$4979+Sens!$K$4980+Sens!$K$4981+Sens!$K$4982-Sens!$K$4988</f>
        <v>0</v>
      </c>
      <c r="L4991" s="41" t="n">
        <f aca="false">Sens!$L$4976+Sens!$L$4977+Sens!$L$4978+Sens!$L$4979+Sens!$L$4980+Sens!$L$4981+Sens!$L$4982-Sens!$L$4988</f>
        <v>0</v>
      </c>
      <c r="M4991" s="41" t="n">
        <f aca="false">Sens!$M$4976+Sens!$M$4977+Sens!$M$4978+Sens!$M$4979+Sens!$M$4980+Sens!$M$4981+Sens!$M$4982-Sens!$M$4988</f>
        <v>0</v>
      </c>
      <c r="N4991" s="41" t="n">
        <f aca="false">Sens!$N$4976+Sens!$N$4977+Sens!$N$4978+Sens!$N$4979+Sens!$N$4980+Sens!$N$4981+Sens!$N$4982-Sens!$N$4988</f>
        <v>0</v>
      </c>
      <c r="O4991" s="41" t="n">
        <f aca="false">Sens!$O$4976+Sens!$O$4977+Sens!$O$4978+Sens!$O$4979+Sens!$O$4980+Sens!$O$4981+Sens!$O$4982-Sens!$O$4988</f>
        <v>0</v>
      </c>
    </row>
    <row r="4992" customFormat="false" ht="17.15" hidden="false" customHeight="false" outlineLevel="0" collapsed="false">
      <c r="A4992" s="24" t="s">
        <v>699</v>
      </c>
      <c r="B4992" s="25" t="s">
        <v>86</v>
      </c>
      <c r="C4992" s="41" t="n">
        <f aca="false">Sens!$C$4983+Sens!$C$4984+Sens!$C$4985-Sens!$C$4988</f>
        <v>0</v>
      </c>
      <c r="D4992" s="41" t="n">
        <f aca="false">Sens!$D$4983+Sens!$D$4984+Sens!$D$4985-Sens!$D$4988</f>
        <v>0</v>
      </c>
      <c r="E4992" s="41" t="n">
        <f aca="false">Sens!$E$4983+Sens!$E$4984+Sens!$E$4985-Sens!$E$4988</f>
        <v>0</v>
      </c>
      <c r="F4992" s="41" t="n">
        <f aca="false">Sens!$F$4983+Sens!$F$4984+Sens!$F$4985-Sens!$F$4988</f>
        <v>0</v>
      </c>
      <c r="G4992" s="41" t="n">
        <f aca="false">Sens!$G$4983+Sens!$G$4984+Sens!$G$4985-Sens!$G$4988</f>
        <v>0</v>
      </c>
      <c r="H4992" s="41" t="n">
        <f aca="false">Sens!$H$4983+Sens!$H$4984+Sens!$H$4985-Sens!$H$4988</f>
        <v>0</v>
      </c>
      <c r="I4992" s="41" t="n">
        <f aca="false">Sens!$I$4983+Sens!$I$4984+Sens!$I$4985-Sens!$I$4988</f>
        <v>0</v>
      </c>
      <c r="J4992" s="41" t="n">
        <f aca="false">Sens!$J$4983+Sens!$J$4984+Sens!$J$4985-Sens!$J$4988</f>
        <v>0</v>
      </c>
      <c r="K4992" s="41" t="n">
        <f aca="false">Sens!$K$4983+Sens!$K$4984+Sens!$K$4985-Sens!$K$4988</f>
        <v>0</v>
      </c>
      <c r="L4992" s="41" t="n">
        <f aca="false">Sens!$L$4983+Sens!$L$4984+Sens!$L$4985-Sens!$L$4988</f>
        <v>0</v>
      </c>
      <c r="M4992" s="41" t="n">
        <f aca="false">Sens!$M$4983+Sens!$M$4984+Sens!$M$4985-Sens!$M$4988</f>
        <v>0</v>
      </c>
      <c r="N4992" s="41" t="n">
        <f aca="false">Sens!$N$4983+Sens!$N$4984+Sens!$N$4985-Sens!$N$4988</f>
        <v>0</v>
      </c>
      <c r="O4992" s="41" t="n">
        <f aca="false">Sens!$O$4983+Sens!$O$4984+Sens!$O$4985-Sens!$O$4988</f>
        <v>0</v>
      </c>
    </row>
    <row r="4993" customFormat="false" ht="17.15" hidden="false" customHeight="false" outlineLevel="0" collapsed="false">
      <c r="A4993" s="1" t="s">
        <v>713</v>
      </c>
    </row>
    <row r="4994" customFormat="false" ht="17.15" hidden="false" customHeight="false" outlineLevel="0" collapsed="false">
      <c r="A4994" s="0" t="s">
        <v>714</v>
      </c>
      <c r="B4994" s="0" t="s">
        <v>86</v>
      </c>
      <c r="C4994" s="38" t="n">
        <f aca="false">Sens!$C$4900*m_ad</f>
        <v>20.5341564414228</v>
      </c>
      <c r="D4994" s="38" t="n">
        <f aca="false">Sens!$D$4900*m_ad</f>
        <v>24.8720617299587</v>
      </c>
      <c r="E4994" s="38" t="n">
        <f aca="false">Sens!$E$4900*m_ad</f>
        <v>13.5017112462207</v>
      </c>
      <c r="F4994" s="38" t="n">
        <f aca="false">Sens!$F$4900*m_ad</f>
        <v>16.5719724165257</v>
      </c>
      <c r="G4994" s="38" t="n">
        <f aca="false">Sens!$G$4900*m_ad</f>
        <v>30.0820919220415</v>
      </c>
      <c r="H4994" s="38" t="n">
        <f aca="false">Sens!$H$4900*m_ad</f>
        <v>36.1150883276314</v>
      </c>
      <c r="I4994" s="38" t="n">
        <f aca="false">Sens!$I$4900*m_ad</f>
        <v>42.1475382231996</v>
      </c>
      <c r="J4994" s="38" t="n">
        <f aca="false">Sens!$J$4900*m_ad</f>
        <v>47.7749523864693</v>
      </c>
      <c r="K4994" s="38" t="n">
        <f aca="false">Sens!$K$4900*m_ad</f>
        <v>52.5524476251162</v>
      </c>
      <c r="L4994" s="38" t="n">
        <f aca="false">Sens!$L$4900*m_ad</f>
        <v>57.8076923876279</v>
      </c>
      <c r="M4994" s="38" t="n">
        <f aca="false">Sens!$M$4900*m_ad</f>
        <v>63.5884616263907</v>
      </c>
      <c r="N4994" s="38" t="n">
        <f aca="false">Sens!$N$4900*m_ad</f>
        <v>10.8543555706248</v>
      </c>
      <c r="O4994" s="38" t="n">
        <f aca="false">Sens!$O$4900*m_ad</f>
        <v>14.0094731821399</v>
      </c>
    </row>
    <row r="4995" customFormat="false" ht="17.15" hidden="false" customHeight="false" outlineLevel="0" collapsed="false">
      <c r="A4995" s="0" t="s">
        <v>715</v>
      </c>
      <c r="B4995" s="0" t="s">
        <v>86</v>
      </c>
      <c r="C4995" s="38" t="n">
        <f aca="false">Sens!$C$4898-Sens!$C$4900</f>
        <v>346.428687117154</v>
      </c>
      <c r="D4995" s="38" t="n">
        <f aca="false">Sens!$D$4898-Sens!$D$4900</f>
        <v>376.560876540083</v>
      </c>
      <c r="E4995" s="38" t="n">
        <f aca="false">Sens!$E$4898-Sens!$E$4900</f>
        <v>193.316577507559</v>
      </c>
      <c r="F4995" s="38" t="n">
        <f aca="false">Sens!$F$4898-Sens!$F$4900</f>
        <v>217.495828647535</v>
      </c>
      <c r="G4995" s="38" t="n">
        <f aca="false">Sens!$G$4898-Sens!$G$4900</f>
        <v>410.795589636503</v>
      </c>
      <c r="H4995" s="38" t="n">
        <f aca="false">Sens!$H$4898-Sens!$H$4900</f>
        <v>449.156813761174</v>
      </c>
      <c r="I4995" s="38" t="n">
        <f aca="false">Sens!$I$4898-Sens!$I$4900</f>
        <v>485.848786441156</v>
      </c>
      <c r="J4995" s="38" t="n">
        <f aca="false">Sens!$J$4898-Sens!$J$4900</f>
        <v>519.841531018994</v>
      </c>
      <c r="K4995" s="38" t="n">
        <f aca="false">Sens!$K$4898-Sens!$K$4900</f>
        <v>550.103332311311</v>
      </c>
      <c r="L4995" s="38" t="n">
        <f aca="false">Sens!$L$4898-Sens!$L$4900</f>
        <v>582.192354474511</v>
      </c>
      <c r="M4995" s="38" t="n">
        <f aca="false">Sens!$M$4898-Sens!$M$4900</f>
        <v>616.22240521081</v>
      </c>
      <c r="N4995" s="38" t="n">
        <f aca="false">Sens!$N$4898-Sens!$N$4900</f>
        <v>171.24628885875</v>
      </c>
      <c r="O4995" s="38" t="n">
        <f aca="false">Sens!$O$4898-Sens!$O$4900</f>
        <v>205.33105363572</v>
      </c>
    </row>
    <row r="4996" customFormat="false" ht="17.15" hidden="false" customHeight="false" outlineLevel="0" collapsed="false">
      <c r="A4996" s="0" t="s">
        <v>716</v>
      </c>
      <c r="B4996" s="0" t="s">
        <v>86</v>
      </c>
      <c r="C4996" s="38" t="n">
        <f aca="false">Sens!$C$4947*Sens!$C$4897</f>
        <v>0.123617442257179</v>
      </c>
      <c r="D4996" s="38" t="n">
        <f aca="false">Sens!$D$4947*Sens!$D$4897</f>
        <v>0.874366899302609</v>
      </c>
      <c r="E4996" s="38" t="n">
        <f aca="false">Sens!$E$4947*Sens!$E$4897</f>
        <v>1.29318830502574</v>
      </c>
      <c r="F4996" s="38" t="n">
        <f aca="false">Sens!$F$4947*Sens!$F$4897</f>
        <v>1.51802024162534</v>
      </c>
      <c r="G4996" s="38" t="n">
        <f aca="false">Sens!$G$4947*Sens!$G$4897</f>
        <v>2.81153363597665</v>
      </c>
      <c r="H4996" s="38" t="n">
        <f aca="false">Sens!$H$4947*Sens!$H$4897</f>
        <v>7.39027704264226</v>
      </c>
      <c r="I4996" s="38" t="n">
        <f aca="false">Sens!$I$4947*Sens!$I$4897</f>
        <v>12.899807643047</v>
      </c>
      <c r="J4996" s="38" t="n">
        <f aca="false">Sens!$J$4947*Sens!$J$4897</f>
        <v>18.5585322471382</v>
      </c>
      <c r="K4996" s="38" t="n">
        <f aca="false">Sens!$K$4947*Sens!$K$4897</f>
        <v>24.0966749520672</v>
      </c>
      <c r="L4996" s="38" t="n">
        <f aca="false">Sens!$L$4947*Sens!$L$4897</f>
        <v>27.686623551477</v>
      </c>
      <c r="M4996" s="38" t="n">
        <f aca="false">Sens!$M$4947*Sens!$M$4897</f>
        <v>29.7238645537022</v>
      </c>
      <c r="N4996" s="38" t="n">
        <f aca="false">Sens!$N$4947*Sens!$N$4897</f>
        <v>0.389180508437431</v>
      </c>
      <c r="O4996" s="38" t="n">
        <f aca="false">Sens!$O$4947*Sens!$O$4897</f>
        <v>0.485052120082802</v>
      </c>
    </row>
    <row r="4997" customFormat="false" ht="17.15" hidden="false" customHeight="false" outlineLevel="0" collapsed="false">
      <c r="A4997" s="0" t="s">
        <v>717</v>
      </c>
      <c r="B4997" s="0" t="s">
        <v>52</v>
      </c>
      <c r="C4997" s="28" t="n">
        <f aca="false">(Sens!$C$4998-Sens!$C$4994+Sens!$C$4996)/Sens!$C$4995</f>
        <v>0.0131526665379575</v>
      </c>
      <c r="D4997" s="28" t="n">
        <f aca="false">(Sens!$D$4998-Sens!$D$4994+Sens!$D$4996)/Sens!$D$4995</f>
        <v>0.0149280116962589</v>
      </c>
      <c r="E4997" s="28" t="n">
        <f aca="false">(Sens!$E$4998-Sens!$E$4994+Sens!$E$4996)/Sens!$E$4995</f>
        <v>0.0268030663774938</v>
      </c>
      <c r="F4997" s="28" t="n">
        <f aca="false">Sens!$O$4997+(Sens!$E$4997-Sens!$N$4997)</f>
        <v>0.0232379346966962</v>
      </c>
      <c r="G4997" s="28" t="n">
        <f aca="false">(Sens!$G$4998-Sens!$G$4994+Sens!$G$4996)/Sens!$G$4995</f>
        <v>0.0248969268652583</v>
      </c>
      <c r="H4997" s="28" t="n">
        <f aca="false">Sens!$G$4997+step_na</f>
        <v>0.0278969268652583</v>
      </c>
      <c r="I4997" s="28" t="n">
        <f aca="false">Sens!$H$4997+step_na</f>
        <v>0.0308969268652583</v>
      </c>
      <c r="J4997" s="28" t="n">
        <f aca="false">Sens!$I$4997+step_na</f>
        <v>0.0338969268652583</v>
      </c>
      <c r="K4997" s="28" t="n">
        <f aca="false">Sens!$J$4997+step_na</f>
        <v>0.0368969268652584</v>
      </c>
      <c r="L4997" s="28" t="n">
        <f aca="false">Sens!$K$4997</f>
        <v>0.0368969268652584</v>
      </c>
      <c r="M4997" s="28" t="n">
        <f aca="false">Sens!$L$4997</f>
        <v>0.0368969268652584</v>
      </c>
      <c r="N4997" s="28" t="n">
        <f aca="false">(Sens!$N$4998-Sens!$N$4994+Sens!$N$4996)/Sens!$N$4995</f>
        <v>0.0168927744775755</v>
      </c>
      <c r="O4997" s="28" t="n">
        <f aca="false">(Sens!$O$4998-Sens!$O$4994+Sens!$O$4996)/Sens!$O$4995</f>
        <v>0.0133276427967779</v>
      </c>
      <c r="P4997" s="8" t="s">
        <v>718</v>
      </c>
    </row>
    <row r="4998" customFormat="false" ht="17.15" hidden="false" customHeight="false" outlineLevel="0" collapsed="false">
      <c r="A4998" s="1" t="s">
        <v>719</v>
      </c>
      <c r="B4998" s="8" t="s">
        <v>86</v>
      </c>
      <c r="C4998" s="38" t="n">
        <f aca="false">Q!$D$22</f>
        <v>24.967</v>
      </c>
      <c r="D4998" s="38" t="n">
        <f aca="false">Q!$E$22</f>
        <v>29.619</v>
      </c>
      <c r="E4998" s="38" t="n">
        <f aca="false">Q!$P$22</f>
        <v>17.39</v>
      </c>
      <c r="F4998" s="38" t="n">
        <f aca="false">Sens!$F$4994+Sens!$F$4995*Sens!$F$4997-Sens!$F$4996</f>
        <v>20.1081060378156</v>
      </c>
      <c r="G4998" s="38" t="n">
        <f aca="false">Sens!$E$4998+Sens!$F$4998</f>
        <v>37.4981060378156</v>
      </c>
      <c r="H4998" s="38" t="n">
        <f aca="false">Sens!$H$4994+Sens!$H$4995*Sens!$H$4997-Sens!$H$4996</f>
        <v>41.2549060695171</v>
      </c>
      <c r="I4998" s="38" t="n">
        <f aca="false">Sens!$I$4994+Sens!$I$4995*Sens!$I$4997-Sens!$I$4996</f>
        <v>44.2589650023995</v>
      </c>
      <c r="J4998" s="38" t="n">
        <f aca="false">Sens!$J$4994+Sens!$J$4995*Sens!$J$4997-Sens!$J$4996</f>
        <v>46.8374504978059</v>
      </c>
      <c r="K4998" s="38" t="n">
        <f aca="false">Sens!$K$4994+Sens!$K$4995*Sens!$K$4997-Sens!$K$4996</f>
        <v>48.7528950936744</v>
      </c>
      <c r="L4998" s="38" t="n">
        <f aca="false">Sens!$L$4994+Sens!$L$4995*Sens!$L$4997-Sens!$L$4996</f>
        <v>51.6021775607095</v>
      </c>
      <c r="M4998" s="38" t="n">
        <f aca="false">Sens!$M$4994+Sens!$M$4995*Sens!$M$4997-Sens!$M$4996</f>
        <v>56.6013100904853</v>
      </c>
      <c r="N4998" s="38" t="n">
        <f aca="false">Q!$N$22</f>
        <v>13.358</v>
      </c>
      <c r="O4998" s="38" t="n">
        <f aca="false">Q!$O$22</f>
        <v>16.261</v>
      </c>
    </row>
    <row r="4999" customFormat="false" ht="17.15" hidden="false" customHeight="false" outlineLevel="0" collapsed="false">
      <c r="A4999" s="0" t="s">
        <v>720</v>
      </c>
      <c r="B4999" s="0" t="s">
        <v>86</v>
      </c>
      <c r="C4999" s="38" t="n">
        <f aca="false">Sens!$C$4901*m_ad</f>
        <v>7.57284355857716</v>
      </c>
      <c r="D4999" s="38" t="n">
        <f aca="false">Sens!$D$4901*m_ad</f>
        <v>9.44543827004127</v>
      </c>
      <c r="E4999" s="38" t="n">
        <f aca="false">Sens!$E$4901*m_ad</f>
        <v>5.02428875377928</v>
      </c>
      <c r="F4999" s="38" t="n">
        <f aca="false">Sens!$F$4901*m_ad</f>
        <v>6.50663858068173</v>
      </c>
      <c r="G4999" s="38" t="n">
        <f aca="false">Sens!$G$4901*m_ad</f>
        <v>11.5225190751659</v>
      </c>
      <c r="H4999" s="38" t="n">
        <f aca="false">Sens!$H$4901*m_ad</f>
        <v>13.8333728663174</v>
      </c>
      <c r="I4999" s="38" t="n">
        <f aca="false">Sens!$I$4901*m_ad</f>
        <v>16.1440173245485</v>
      </c>
      <c r="J4999" s="38" t="n">
        <f aca="false">Sens!$J$4901*m_ad</f>
        <v>18.2995185845066</v>
      </c>
      <c r="K4999" s="38" t="n">
        <f aca="false">Sens!$K$4901*m_ad</f>
        <v>20.1294704429572</v>
      </c>
      <c r="L4999" s="38" t="n">
        <f aca="false">Sens!$L$4901*m_ad</f>
        <v>22.142417487253</v>
      </c>
      <c r="M4999" s="38" t="n">
        <f aca="false">Sens!$M$4901*m_ad</f>
        <v>24.3566592359783</v>
      </c>
      <c r="N4999" s="38" t="n">
        <f aca="false">Sens!$N$4901*m_ad</f>
        <v>3.95314442937518</v>
      </c>
      <c r="O4999" s="38" t="n">
        <f aca="false">Sens!$O$4901*m_ad</f>
        <v>5.50052681786011</v>
      </c>
    </row>
    <row r="5000" customFormat="false" ht="17.15" hidden="false" customHeight="false" outlineLevel="0" collapsed="false">
      <c r="A5000" s="0" t="s">
        <v>721</v>
      </c>
      <c r="B5000" s="0" t="s">
        <v>86</v>
      </c>
      <c r="C5000" s="38" t="n">
        <f aca="false">Sens!$C$4899-Sens!$C$4901</f>
        <v>127.760312882846</v>
      </c>
      <c r="D5000" s="38" t="n">
        <f aca="false">Sens!$D$4899-Sens!$D$4901</f>
        <v>143.003123459917</v>
      </c>
      <c r="E5000" s="38" t="n">
        <f aca="false">Sens!$E$4899-Sens!$E$4901</f>
        <v>71.9374224924414</v>
      </c>
      <c r="F5000" s="38" t="n">
        <f aca="false">Sens!$F$4899-Sens!$F$4901</f>
        <v>85.3951910035875</v>
      </c>
      <c r="G5000" s="38" t="n">
        <f aca="false">Sens!$G$4899-Sens!$G$4901</f>
        <v>157.349430014619</v>
      </c>
      <c r="H5000" s="38" t="n">
        <f aca="false">Sens!$H$4899-Sens!$H$4901</f>
        <v>172.043153372315</v>
      </c>
      <c r="I5000" s="38" t="n">
        <f aca="false">Sens!$I$4899-Sens!$I$4901</f>
        <v>186.097493615879</v>
      </c>
      <c r="J5000" s="38" t="n">
        <f aca="false">Sens!$J$4899-Sens!$J$4901</f>
        <v>199.117932780497</v>
      </c>
      <c r="K5000" s="38" t="n">
        <f aca="false">Sens!$K$4899-Sens!$K$4901</f>
        <v>210.70928698363</v>
      </c>
      <c r="L5000" s="38" t="n">
        <f aca="false">Sens!$L$4899-Sens!$L$4901</f>
        <v>223.000532251316</v>
      </c>
      <c r="M5000" s="38" t="n">
        <f aca="false">Sens!$M$4899-Sens!$M$4901</f>
        <v>236.035261011339</v>
      </c>
      <c r="N5000" s="38" t="n">
        <f aca="false">Sens!$N$4899-Sens!$N$4901</f>
        <v>62.3677111412496</v>
      </c>
      <c r="O5000" s="38" t="n">
        <f aca="false">Sens!$O$4899-Sens!$O$4901</f>
        <v>80.6189463642798</v>
      </c>
    </row>
    <row r="5001" customFormat="false" ht="17.15" hidden="false" customHeight="false" outlineLevel="0" collapsed="false">
      <c r="A5001" s="0" t="s">
        <v>722</v>
      </c>
      <c r="B5001" s="0" t="s">
        <v>86</v>
      </c>
      <c r="C5001" s="38" t="n">
        <f aca="false">Sens!$C$4947*(1-Sens!$C$4897)</f>
        <v>0.0455891896019953</v>
      </c>
      <c r="D5001" s="38" t="n">
        <f aca="false">Sens!$D$4947*(1-Sens!$D$4897)</f>
        <v>0.332050421167231</v>
      </c>
      <c r="E5001" s="38" t="n">
        <f aca="false">Sens!$E$4947*(1-Sens!$E$4897)</f>
        <v>0.481224293644882</v>
      </c>
      <c r="F5001" s="38" t="n">
        <f aca="false">Sens!$F$4947*(1-Sens!$F$4897)</f>
        <v>0.596018918096053</v>
      </c>
      <c r="G5001" s="38" t="n">
        <f aca="false">Sens!$G$4947*(1-Sens!$G$4897)</f>
        <v>1.07691812241537</v>
      </c>
      <c r="H5001" s="38" t="n">
        <f aca="false">Sens!$H$4947*(1-Sens!$H$4897)</f>
        <v>2.83074090775622</v>
      </c>
      <c r="I5001" s="38" t="n">
        <f aca="false">Sens!$I$4947*(1-Sens!$I$4897)</f>
        <v>4.94108853926048</v>
      </c>
      <c r="J5001" s="38" t="n">
        <f aca="false">Sens!$J$4947*(1-Sens!$J$4897)</f>
        <v>7.10858281993502</v>
      </c>
      <c r="K5001" s="38" t="n">
        <f aca="false">Sens!$K$4947*(1-Sens!$K$4897)</f>
        <v>9.2298899126701</v>
      </c>
      <c r="L5001" s="38" t="n">
        <f aca="false">Sens!$L$4947*(1-Sens!$L$4897)</f>
        <v>10.6049688574045</v>
      </c>
      <c r="M5001" s="38" t="n">
        <f aca="false">Sens!$M$4947*(1-Sens!$M$4897)</f>
        <v>11.3853051574758</v>
      </c>
      <c r="N5001" s="38" t="n">
        <f aca="false">Sens!$N$4947*(1-Sens!$N$4897)</f>
        <v>0.141739115596548</v>
      </c>
      <c r="O5001" s="38" t="n">
        <f aca="false">Sens!$O$4947*(1-Sens!$O$4897)</f>
        <v>0.190445576353059</v>
      </c>
    </row>
    <row r="5002" customFormat="false" ht="17.15" hidden="false" customHeight="false" outlineLevel="0" collapsed="false">
      <c r="A5002" s="0" t="s">
        <v>723</v>
      </c>
      <c r="B5002" s="0" t="s">
        <v>52</v>
      </c>
      <c r="C5002" s="28" t="n">
        <f aca="false">(Sens!$C$5003-Sens!$C$4999+Sens!$C$5001)/Sens!$C$5000</f>
        <v>-0.0292364215826579</v>
      </c>
      <c r="D5002" s="28" t="n">
        <f aca="false">(Sens!$D$5003-Sens!$D$4999+Sens!$D$5001)/Sens!$D$5000</f>
        <v>-0.0305125352740778</v>
      </c>
      <c r="E5002" s="28" t="n">
        <f aca="false">(Sens!$E$5003-Sens!$E$4999+Sens!$E$5001)/Sens!$E$5000</f>
        <v>-0.019490056934994</v>
      </c>
      <c r="F5002" s="28" t="n">
        <f aca="false">Sens!$O$5002+(Sens!$E$5002-Sens!$N$5002)</f>
        <v>-0.0367332293992226</v>
      </c>
      <c r="G5002" s="28" t="n">
        <f aca="false">(Sens!$G$5003-Sens!$G$4999+Sens!$G$5001)/Sens!$G$5000</f>
        <v>-0.0287946542321067</v>
      </c>
      <c r="H5002" s="28" t="n">
        <f aca="false">Sens!$G$5002+step_in</f>
        <v>-0.0287946542321067</v>
      </c>
      <c r="I5002" s="28" t="n">
        <f aca="false">Sens!$H$5002+step_in</f>
        <v>-0.0287946542321067</v>
      </c>
      <c r="J5002" s="28" t="n">
        <f aca="false">Sens!$I$5002+step_in</f>
        <v>-0.0287946542321067</v>
      </c>
      <c r="K5002" s="28" t="n">
        <f aca="false">Sens!$J$5002+step_in</f>
        <v>-0.0287946542321067</v>
      </c>
      <c r="L5002" s="28" t="n">
        <f aca="false">Sens!$K$5002</f>
        <v>-0.0287946542321067</v>
      </c>
      <c r="M5002" s="28" t="n">
        <f aca="false">Sens!$L$5002</f>
        <v>-0.0287946542321067</v>
      </c>
      <c r="N5002" s="28" t="n">
        <f aca="false">(Sens!$N$5003-Sens!$N$4999+Sens!$N$5001)/Sens!$N$5000</f>
        <v>-0.02085061789158</v>
      </c>
      <c r="O5002" s="28" t="n">
        <f aca="false">(Sens!$O$5003-Sens!$O$4999+Sens!$O$5001)/Sens!$O$5000</f>
        <v>-0.0380937903558086</v>
      </c>
      <c r="P5002" s="8" t="s">
        <v>718</v>
      </c>
    </row>
    <row r="5003" customFormat="false" ht="17.15" hidden="false" customHeight="false" outlineLevel="0" collapsed="false">
      <c r="A5003" s="1" t="s">
        <v>724</v>
      </c>
      <c r="B5003" s="8" t="s">
        <v>86</v>
      </c>
      <c r="C5003" s="38" t="n">
        <f aca="false">Q!$D$23</f>
        <v>3.792</v>
      </c>
      <c r="D5003" s="38" t="n">
        <f aca="false">Q!$E$23</f>
        <v>4.75</v>
      </c>
      <c r="E5003" s="38" t="n">
        <f aca="false">Q!$P$23</f>
        <v>3.141</v>
      </c>
      <c r="F5003" s="38" t="n">
        <f aca="false">Sens!$F$4999+Sens!$F$5000*Sens!$F$5002-Sens!$F$5001</f>
        <v>2.77377852186047</v>
      </c>
      <c r="G5003" s="38" t="n">
        <f aca="false">Sens!$E$5003+Sens!$F$5003</f>
        <v>5.91477852186047</v>
      </c>
      <c r="H5003" s="38" t="n">
        <f aca="false">Sens!$H$4999+Sens!$H$5000*Sens!$H$5002-Sens!$H$5001</f>
        <v>6.04870884420403</v>
      </c>
      <c r="I5003" s="38" t="n">
        <f aca="false">Sens!$I$4999+Sens!$I$5000*Sens!$I$5002-Sens!$I$5001</f>
        <v>5.84431580315713</v>
      </c>
      <c r="J5003" s="38" t="n">
        <f aca="false">Sens!$J$4999+Sens!$J$5000*Sens!$J$5002-Sens!$J$5001</f>
        <v>5.45740373874528</v>
      </c>
      <c r="K5003" s="38" t="n">
        <f aca="false">Sens!$K$4999+Sens!$K$5000*Sens!$K$5002-Sens!$K$5001</f>
        <v>4.83227946809976</v>
      </c>
      <c r="L5003" s="38" t="n">
        <f aca="false">Sens!$L$4999+Sens!$L$5000*Sens!$L$5002-Sens!$L$5001</f>
        <v>5.11622541009601</v>
      </c>
      <c r="M5003" s="38" t="n">
        <f aca="false">Sens!$M$4999+Sens!$M$5000*Sens!$M$5002-Sens!$M$5001</f>
        <v>6.17480035109588</v>
      </c>
      <c r="N5003" s="38" t="n">
        <f aca="false">Q!$N$23</f>
        <v>2.511</v>
      </c>
      <c r="O5003" s="38" t="n">
        <f aca="false">Q!$O$23</f>
        <v>2.239</v>
      </c>
    </row>
    <row r="5004" customFormat="false" ht="17.15" hidden="false" customHeight="false" outlineLevel="0" collapsed="false">
      <c r="A5004" s="0" t="s">
        <v>725</v>
      </c>
      <c r="B5004" s="0" t="s">
        <v>86</v>
      </c>
      <c r="C5004" s="38" t="n">
        <f aca="false">Sens!$C$4944</f>
        <v>1.64417882953695</v>
      </c>
      <c r="D5004" s="38" t="n">
        <f aca="false">Sens!$D$4944</f>
        <v>3.8781008067718</v>
      </c>
      <c r="E5004" s="38" t="n">
        <f aca="false">Sens!$E$4944</f>
        <v>1.41270258088753</v>
      </c>
      <c r="F5004" s="38" t="n">
        <f aca="false">Sens!$F$4944</f>
        <v>6.50727700583486</v>
      </c>
      <c r="G5004" s="38" t="n">
        <f aca="false">Sens!$G$4944</f>
        <v>7.9199795867224</v>
      </c>
      <c r="H5004" s="38" t="n">
        <f aca="false">Sens!$H$4944</f>
        <v>19.2818189481807</v>
      </c>
      <c r="I5004" s="38" t="n">
        <f aca="false">Sens!$I$4944</f>
        <v>30.140114407202</v>
      </c>
      <c r="J5004" s="38" t="n">
        <f aca="false">Sens!$J$4944</f>
        <v>40.3569468829854</v>
      </c>
      <c r="K5004" s="38" t="n">
        <f aca="false">Sens!$K$4944</f>
        <v>45.1418609242305</v>
      </c>
      <c r="L5004" s="38" t="n">
        <f aca="false">Sens!$L$4944</f>
        <v>48.5617321668703</v>
      </c>
      <c r="M5004" s="38" t="n">
        <f aca="false">Sens!$M$4944</f>
        <v>48.3987625241529</v>
      </c>
      <c r="N5004" s="38" t="n">
        <f aca="false">Sens!$N$4944</f>
        <v>0.92264103489199</v>
      </c>
      <c r="O5004" s="38" t="n">
        <f aca="false">Sens!$O$4944</f>
        <v>2.95545977187981</v>
      </c>
    </row>
    <row r="5005" customFormat="false" ht="17.15" hidden="false" customHeight="false" outlineLevel="0" collapsed="false">
      <c r="A5005" s="0" t="s">
        <v>643</v>
      </c>
      <c r="B5005" s="0" t="s">
        <v>86</v>
      </c>
      <c r="C5005" s="38" t="n">
        <f aca="false">Sens!$C$4949</f>
        <v>38.1898211704631</v>
      </c>
      <c r="D5005" s="38" t="n">
        <f aca="false">Sens!$D$4949</f>
        <v>41.7278991932282</v>
      </c>
      <c r="E5005" s="38" t="n">
        <f aca="false">Sens!$E$4949</f>
        <v>29.3692974191125</v>
      </c>
      <c r="F5005" s="38" t="n">
        <f aca="false">Sens!$F$4949</f>
        <v>26.8997276714137</v>
      </c>
      <c r="G5005" s="38" t="n">
        <f aca="false">Sens!$G$4949</f>
        <v>56.2690250905262</v>
      </c>
      <c r="H5005" s="38" t="n">
        <f aca="false">Sens!$H$4949</f>
        <v>60.3505333937343</v>
      </c>
      <c r="I5005" s="38" t="n">
        <f aca="false">Sens!$I$4949</f>
        <v>67.0043857303571</v>
      </c>
      <c r="J5005" s="38" t="n">
        <f aca="false">Sens!$J$4949</f>
        <v>73.3782922956925</v>
      </c>
      <c r="K5005" s="38" t="n">
        <f aca="false">Sens!$K$4949</f>
        <v>79.2485556793479</v>
      </c>
      <c r="L5005" s="38" t="n">
        <f aca="false">Sens!$L$4949</f>
        <v>85.5884401336958</v>
      </c>
      <c r="M5005" s="38" t="n">
        <f aca="false">Sens!$M$4949</f>
        <v>92.4355153443914</v>
      </c>
      <c r="N5005" s="38" t="n">
        <f aca="false">Sens!$N$4949</f>
        <v>20.784358965108</v>
      </c>
      <c r="O5005" s="38" t="n">
        <f aca="false">Sens!$O$4949</f>
        <v>20.9435402281202</v>
      </c>
    </row>
    <row r="5006" customFormat="false" ht="17.15" hidden="false" customHeight="false" outlineLevel="0" collapsed="false">
      <c r="A5006" s="1" t="s">
        <v>726</v>
      </c>
      <c r="B5006" s="8" t="s">
        <v>86</v>
      </c>
      <c r="C5006" s="38" t="n">
        <f aca="false">Q!$D$24</f>
        <v>39.834</v>
      </c>
      <c r="D5006" s="38" t="n">
        <f aca="false">Q!$E$24</f>
        <v>45.606</v>
      </c>
      <c r="E5006" s="38" t="n">
        <f aca="false">Q!$P$24</f>
        <v>30.782</v>
      </c>
      <c r="F5006" s="38" t="n">
        <f aca="false">Sens!$F$5004+Sens!$F$5005</f>
        <v>33.4070046772486</v>
      </c>
      <c r="G5006" s="38" t="n">
        <f aca="false">Sens!$G$5004+Sens!$G$5005</f>
        <v>64.1890046772486</v>
      </c>
      <c r="H5006" s="38" t="n">
        <f aca="false">Sens!$H$5004+Sens!$H$5005</f>
        <v>79.6323523419149</v>
      </c>
      <c r="I5006" s="38" t="n">
        <f aca="false">Sens!$I$5004+Sens!$I$5005</f>
        <v>97.1445001375591</v>
      </c>
      <c r="J5006" s="38" t="n">
        <f aca="false">Sens!$J$5004+Sens!$J$5005</f>
        <v>113.735239178678</v>
      </c>
      <c r="K5006" s="38" t="n">
        <f aca="false">Sens!$K$5004+Sens!$K$5005</f>
        <v>124.390416603578</v>
      </c>
      <c r="L5006" s="38" t="n">
        <f aca="false">Sens!$L$5004+Sens!$L$5005</f>
        <v>134.150172300566</v>
      </c>
      <c r="M5006" s="38" t="n">
        <f aca="false">Sens!$M$5004+Sens!$M$5005</f>
        <v>140.834277868544</v>
      </c>
      <c r="N5006" s="38" t="n">
        <f aca="false">Q!$N$24</f>
        <v>21.707</v>
      </c>
      <c r="O5006" s="38" t="n">
        <f aca="false">Q!$O$24</f>
        <v>23.899</v>
      </c>
    </row>
    <row r="5007" customFormat="false" ht="17.15" hidden="false" customHeight="false" outlineLevel="0" collapsed="false">
      <c r="A5007" s="5" t="s">
        <v>727</v>
      </c>
      <c r="B5007" s="0" t="s">
        <v>86</v>
      </c>
      <c r="C5007" s="38" t="n">
        <f aca="false">Q!$D$26</f>
        <v>0</v>
      </c>
      <c r="D5007" s="38" t="n">
        <f aca="false">Q!$E$26</f>
        <v>0</v>
      </c>
      <c r="E5007" s="38" t="n">
        <f aca="false">Q!$P$26</f>
        <v>0</v>
      </c>
      <c r="F5007" s="39" t="n">
        <v>0</v>
      </c>
      <c r="G5007" s="38" t="n">
        <f aca="false">Sens!$E$5007+Sens!$F$5007</f>
        <v>0</v>
      </c>
      <c r="H5007" s="39" t="n">
        <v>0</v>
      </c>
      <c r="I5007" s="39" t="n">
        <v>0</v>
      </c>
      <c r="J5007" s="39" t="n">
        <v>0</v>
      </c>
      <c r="K5007" s="39" t="n">
        <v>0</v>
      </c>
      <c r="L5007" s="39" t="n">
        <v>0</v>
      </c>
      <c r="M5007" s="39" t="n">
        <v>0</v>
      </c>
      <c r="N5007" s="38" t="n">
        <f aca="false">Q!$N$26</f>
        <v>0</v>
      </c>
      <c r="O5007" s="38" t="n">
        <f aca="false">Q!$O$26</f>
        <v>0</v>
      </c>
    </row>
    <row r="5008" customFormat="false" ht="15" hidden="false" customHeight="false" outlineLevel="0" collapsed="false">
      <c r="A5008" s="3" t="s">
        <v>531</v>
      </c>
      <c r="B5008" s="8" t="s">
        <v>86</v>
      </c>
      <c r="C5008" s="38" t="n">
        <f aca="false">Q!$D$25</f>
        <v>68.593</v>
      </c>
      <c r="D5008" s="38" t="n">
        <f aca="false">Q!$E$25</f>
        <v>79.975</v>
      </c>
      <c r="E5008" s="38" t="n">
        <f aca="false">Q!$P$25</f>
        <v>51.313</v>
      </c>
      <c r="F5008" s="38" t="n">
        <f aca="false">Sens!$F$4998+Sens!$F$5003+Sens!$F$5006+Sens!$F$5007</f>
        <v>56.2888892369246</v>
      </c>
      <c r="G5008" s="38" t="n">
        <f aca="false">Sens!$G$4998+Sens!$G$5003+Sens!$G$5006+Sens!$G$5007</f>
        <v>107.601889236925</v>
      </c>
      <c r="H5008" s="38" t="n">
        <f aca="false">Sens!$H$4998+Sens!$H$5003+Sens!$H$5006+Sens!$H$5007</f>
        <v>126.935967255636</v>
      </c>
      <c r="I5008" s="38" t="n">
        <f aca="false">Sens!$I$4998+Sens!$I$5003+Sens!$I$5006+Sens!$I$5007</f>
        <v>147.247780943116</v>
      </c>
      <c r="J5008" s="38" t="n">
        <f aca="false">Sens!$J$4998+Sens!$J$5003+Sens!$J$5006+Sens!$J$5007</f>
        <v>166.030093415229</v>
      </c>
      <c r="K5008" s="38" t="n">
        <f aca="false">Sens!$K$4998+Sens!$K$5003+Sens!$K$5006+Sens!$K$5007</f>
        <v>177.975591165353</v>
      </c>
      <c r="L5008" s="38" t="n">
        <f aca="false">Sens!$L$4998+Sens!$L$5003+Sens!$L$5006+Sens!$L$5007</f>
        <v>190.868575271371</v>
      </c>
      <c r="M5008" s="38" t="n">
        <f aca="false">Sens!$M$4998+Sens!$M$5003+Sens!$M$5006+Sens!$M$5007</f>
        <v>203.610388310126</v>
      </c>
      <c r="N5008" s="38" t="n">
        <f aca="false">Q!$N$25</f>
        <v>37.576</v>
      </c>
      <c r="O5008" s="38" t="n">
        <f aca="false">Q!$O$25</f>
        <v>42.399</v>
      </c>
    </row>
    <row r="5009" customFormat="false" ht="17.15" hidden="false" customHeight="false" outlineLevel="0" collapsed="false">
      <c r="A5009" s="24" t="s">
        <v>758</v>
      </c>
      <c r="B5009" s="25" t="s">
        <v>86</v>
      </c>
      <c r="C5009" s="41" t="n">
        <f aca="false">Sens!$C$4998+Sens!$C$5003+Sens!$C$5006+Sens!$C$5007-Sens!$C$5008</f>
        <v>0</v>
      </c>
      <c r="D5009" s="41" t="n">
        <f aca="false">Sens!$D$4998+Sens!$D$5003+Sens!$D$5006+Sens!$D$5007-Sens!$D$5008</f>
        <v>0</v>
      </c>
      <c r="E5009" s="41" t="n">
        <f aca="false">Sens!$E$4998+Sens!$E$5003+Sens!$E$5006+Sens!$E$5007-Sens!$E$5008</f>
        <v>0</v>
      </c>
      <c r="F5009" s="41" t="n">
        <f aca="false">Sens!$F$4998+Sens!$F$5003+Sens!$F$5006+Sens!$F$5007-Sens!$F$5008</f>
        <v>0</v>
      </c>
      <c r="G5009" s="41" t="n">
        <f aca="false">Sens!$G$4998+Sens!$G$5003+Sens!$G$5006+Sens!$G$5007-Sens!$G$5008</f>
        <v>0</v>
      </c>
      <c r="H5009" s="41" t="n">
        <f aca="false">Sens!$H$4998+Sens!$H$5003+Sens!$H$5006+Sens!$H$5007-Sens!$H$5008</f>
        <v>0</v>
      </c>
      <c r="I5009" s="41" t="n">
        <f aca="false">Sens!$I$4998+Sens!$I$5003+Sens!$I$5006+Sens!$I$5007-Sens!$I$5008</f>
        <v>0</v>
      </c>
      <c r="J5009" s="41" t="n">
        <f aca="false">Sens!$J$4998+Sens!$J$5003+Sens!$J$5006+Sens!$J$5007-Sens!$J$5008</f>
        <v>0</v>
      </c>
      <c r="K5009" s="41" t="n">
        <f aca="false">Sens!$K$4998+Sens!$K$5003+Sens!$K$5006+Sens!$K$5007-Sens!$K$5008</f>
        <v>0</v>
      </c>
      <c r="L5009" s="41" t="n">
        <f aca="false">Sens!$L$4998+Sens!$L$5003+Sens!$L$5006+Sens!$L$5007-Sens!$L$5008</f>
        <v>0</v>
      </c>
      <c r="M5009" s="41" t="n">
        <f aca="false">Sens!$M$4998+Sens!$M$5003+Sens!$M$5006+Sens!$M$5007-Sens!$M$5008</f>
        <v>0</v>
      </c>
      <c r="N5009" s="41" t="n">
        <f aca="false">Sens!$N$4998+Sens!$N$5003+Sens!$N$5006+Sens!$N$5007-Sens!$N$5008</f>
        <v>0</v>
      </c>
      <c r="O5009" s="41" t="n">
        <f aca="false">Sens!$O$4998+Sens!$O$5003+Sens!$O$5006+Sens!$O$5007-Sens!$O$5008</f>
        <v>0</v>
      </c>
    </row>
    <row r="5010" customFormat="false" ht="17.15" hidden="false" customHeight="false" outlineLevel="0" collapsed="false">
      <c r="A5010" s="5" t="s">
        <v>729</v>
      </c>
      <c r="B5010" s="0" t="s">
        <v>86</v>
      </c>
      <c r="C5010" s="38" t="n">
        <f aca="false">Sens!$C$4946</f>
        <v>0</v>
      </c>
      <c r="D5010" s="38" t="n">
        <f aca="false">Sens!$D$4946</f>
        <v>0</v>
      </c>
      <c r="E5010" s="38" t="n">
        <f aca="false">Sens!$E$4946</f>
        <v>0</v>
      </c>
      <c r="F5010" s="38" t="n">
        <f aca="false">Sens!$F$4946</f>
        <v>3.77122048175818</v>
      </c>
      <c r="G5010" s="38" t="n">
        <f aca="false">Sens!$G$4946</f>
        <v>3.77122048175818</v>
      </c>
      <c r="H5010" s="38" t="n">
        <f aca="false">Sens!$H$4946</f>
        <v>15.1635543609893</v>
      </c>
      <c r="I5010" s="38" t="n">
        <f aca="false">Sens!$I$4946</f>
        <v>25.5818843619889</v>
      </c>
      <c r="J5010" s="38" t="n">
        <f aca="false">Sens!$J$4946</f>
        <v>36.0465624179122</v>
      </c>
      <c r="K5010" s="38" t="n">
        <f aca="false">Sens!$K$4946</f>
        <v>44.9741164026038</v>
      </c>
      <c r="L5010" s="38" t="n">
        <f aca="false">Sens!$L$4946</f>
        <v>50.8413488057813</v>
      </c>
      <c r="M5010" s="38" t="n">
        <f aca="false">Sens!$M$4946</f>
        <v>53.6407214274315</v>
      </c>
      <c r="N5010" s="38" t="n">
        <f aca="false">Sens!$N$4946</f>
        <v>0</v>
      </c>
      <c r="O5010" s="38" t="n">
        <f aca="false">Sens!$O$4946</f>
        <v>0</v>
      </c>
      <c r="P5010" s="5" t="s">
        <v>730</v>
      </c>
    </row>
    <row r="5011" customFormat="false" ht="17.15" hidden="false" customHeight="false" outlineLevel="0" collapsed="false">
      <c r="A5011" s="5" t="s">
        <v>731</v>
      </c>
      <c r="B5011" s="0" t="s">
        <v>86</v>
      </c>
      <c r="C5011" s="38" t="n">
        <f aca="false">Sens!$C$5008+Sens!$C$5010</f>
        <v>68.593</v>
      </c>
      <c r="D5011" s="38" t="n">
        <f aca="false">Sens!$D$5008+Sens!$D$5010</f>
        <v>79.975</v>
      </c>
      <c r="E5011" s="38" t="n">
        <f aca="false">Sens!$E$5008+Sens!$E$5010</f>
        <v>51.313</v>
      </c>
      <c r="F5011" s="38" t="n">
        <f aca="false">Sens!$F$5008+Sens!$F$5010</f>
        <v>60.0601097186828</v>
      </c>
      <c r="G5011" s="38" t="n">
        <f aca="false">Sens!$G$5008+Sens!$G$5010</f>
        <v>111.373109718683</v>
      </c>
      <c r="H5011" s="38" t="n">
        <f aca="false">Sens!$H$5008+Sens!$H$5010</f>
        <v>142.099521616625</v>
      </c>
      <c r="I5011" s="38" t="n">
        <f aca="false">Sens!$I$5008+Sens!$I$5010</f>
        <v>172.829665305105</v>
      </c>
      <c r="J5011" s="38" t="n">
        <f aca="false">Sens!$J$5008+Sens!$J$5010</f>
        <v>202.076655833141</v>
      </c>
      <c r="K5011" s="38" t="n">
        <f aca="false">Sens!$K$5008+Sens!$K$5010</f>
        <v>222.949707567956</v>
      </c>
      <c r="L5011" s="38" t="n">
        <f aca="false">Sens!$L$5008+Sens!$L$5010</f>
        <v>241.709924077153</v>
      </c>
      <c r="M5011" s="38" t="n">
        <f aca="false">Sens!$M$5008+Sens!$M$5010</f>
        <v>257.251109737557</v>
      </c>
      <c r="N5011" s="38" t="n">
        <f aca="false">Sens!$N$5008+Sens!$N$5010</f>
        <v>37.576</v>
      </c>
      <c r="O5011" s="38" t="n">
        <f aca="false">Sens!$O$5008+Sens!$O$5010</f>
        <v>42.399</v>
      </c>
    </row>
    <row r="5012" customFormat="false" ht="17.15" hidden="false" customHeight="false" outlineLevel="0" collapsed="false">
      <c r="A5012" s="0" t="s">
        <v>732</v>
      </c>
      <c r="B5012" s="0" t="s">
        <v>52</v>
      </c>
      <c r="C5012" s="13" t="n">
        <f aca="false">Sens!$C$4998/Sens!$C$4983</f>
        <v>0.0644314665661928</v>
      </c>
      <c r="D5012" s="13" t="n">
        <f aca="false">Sens!$D$4998/Sens!$D$4983</f>
        <v>0.0694784250712518</v>
      </c>
      <c r="E5012" s="13" t="n">
        <f aca="false">Sens!$E$4998/Sens!$E$4983</f>
        <v>0.0789306463326071</v>
      </c>
      <c r="F5012" s="13" t="n">
        <f aca="false">Sens!$F$4998/Sens!$F$4983</f>
        <v>0.0802271154277638</v>
      </c>
      <c r="G5012" s="13" t="n">
        <f aca="false">Sens!$G$4998/Sens!$G$4983</f>
        <v>0.0796206133714758</v>
      </c>
      <c r="H5012" s="13" t="n">
        <f aca="false">Sens!$H$4998/Sens!$H$4983</f>
        <v>0.0791253077422711</v>
      </c>
      <c r="I5012" s="13" t="n">
        <f aca="false">Sens!$I$4998/Sens!$I$4983</f>
        <v>0.0776277144828766</v>
      </c>
      <c r="J5012" s="13" t="n">
        <f aca="false">Sens!$J$4998/Sens!$J$4983</f>
        <v>0.0761100135193333</v>
      </c>
      <c r="K5012" s="13" t="n">
        <f aca="false">Sens!$K$4998/Sens!$K$4983</f>
        <v>0.074408246177121</v>
      </c>
      <c r="L5012" s="13" t="n">
        <f aca="false">Sens!$L$4998/Sens!$L$4983</f>
        <v>0.0739489900415671</v>
      </c>
      <c r="M5012" s="13" t="n">
        <f aca="false">Sens!$M$4998/Sens!$M$4983</f>
        <v>0.076138500430805</v>
      </c>
      <c r="N5012" s="13" t="n">
        <f aca="false">Sens!$N$4998/Sens!$N$4983</f>
        <v>0.069228576611127</v>
      </c>
      <c r="O5012" s="13" t="n">
        <f aca="false">Sens!$O$4998/Sens!$O$4983</f>
        <v>0.069685022498393</v>
      </c>
    </row>
    <row r="5013" customFormat="false" ht="17.15" hidden="false" customHeight="false" outlineLevel="0" collapsed="false">
      <c r="A5013" s="0" t="s">
        <v>733</v>
      </c>
      <c r="B5013" s="0" t="s">
        <v>52</v>
      </c>
      <c r="C5013" s="13" t="n">
        <f aca="false">Sens!$C$5003/Sens!$C$4984</f>
        <v>0.026534925055631</v>
      </c>
      <c r="D5013" s="13" t="n">
        <f aca="false">Sens!$D$5003/Sens!$D$4984</f>
        <v>0.0293401855535103</v>
      </c>
      <c r="E5013" s="13" t="n">
        <f aca="false">Sens!$E$5003/Sens!$E$4984</f>
        <v>0.03831141902276</v>
      </c>
      <c r="F5013" s="13" t="n">
        <f aca="false">Sens!$F$5003/Sens!$F$4984</f>
        <v>0.028186380436398</v>
      </c>
      <c r="G5013" s="13" t="n">
        <f aca="false">Sens!$G$5003/Sens!$G$4984</f>
        <v>0.0327880260521739</v>
      </c>
      <c r="H5013" s="13" t="n">
        <f aca="false">Sens!$H$5003/Sens!$H$4984</f>
        <v>0.0302874763409969</v>
      </c>
      <c r="I5013" s="13" t="n">
        <f aca="false">Sens!$I$5003/Sens!$I$4984</f>
        <v>0.0267614610253202</v>
      </c>
      <c r="J5013" s="13" t="n">
        <f aca="false">Sens!$J$5003/Sens!$J$4984</f>
        <v>0.0231523582706593</v>
      </c>
      <c r="K5013" s="13" t="n">
        <f aca="false">Sens!$K$5003/Sens!$K$4984</f>
        <v>0.0192545467174101</v>
      </c>
      <c r="L5013" s="13" t="n">
        <f aca="false">Sens!$L$5003/Sens!$L$4984</f>
        <v>0.0191414347264789</v>
      </c>
      <c r="M5013" s="13" t="n">
        <f aca="false">Sens!$M$5003/Sens!$M$4984</f>
        <v>0.0216850962428001</v>
      </c>
      <c r="N5013" s="13" t="n">
        <f aca="false">Sens!$N$5003/Sens!$N$4984</f>
        <v>0.0357315650169337</v>
      </c>
      <c r="O5013" s="13" t="n">
        <f aca="false">Sens!$O$5003/Sens!$O$4984</f>
        <v>0.0244378956559703</v>
      </c>
    </row>
    <row r="5014" customFormat="false" ht="17.15" hidden="false" customHeight="false" outlineLevel="0" collapsed="false">
      <c r="A5014" s="14" t="s">
        <v>734</v>
      </c>
      <c r="B5014" s="14" t="s">
        <v>52</v>
      </c>
      <c r="C5014" s="17" t="n">
        <f aca="false">Sens!$C$5006/Sens!$C$4985</f>
        <v>0.370355907620217</v>
      </c>
      <c r="D5014" s="17" t="n">
        <f aca="false">Sens!$D$5006/Sens!$D$4985</f>
        <v>0.35429015342785</v>
      </c>
      <c r="E5014" s="17" t="n">
        <f aca="false">Sens!$E$5006/Sens!$E$4985</f>
        <v>0.385647527531039</v>
      </c>
      <c r="F5014" s="17" t="n">
        <f aca="false">Sens!$F$5006/Sens!$F$4985</f>
        <v>0.385171818673936</v>
      </c>
      <c r="G5014" s="17" t="n">
        <f aca="false">Sens!$G$5006/Sens!$G$4985</f>
        <v>0.385399799520974</v>
      </c>
      <c r="H5014" s="17" t="n">
        <f aca="false">Sens!$H$5006/Sens!$H$4985</f>
        <v>0.360029314750347</v>
      </c>
      <c r="I5014" s="17" t="n">
        <f aca="false">Sens!$I$5006/Sens!$I$4985</f>
        <v>0.346606134604193</v>
      </c>
      <c r="J5014" s="17" t="n">
        <f aca="false">Sens!$J$5006/Sens!$J$4985</f>
        <v>0.335699297156574</v>
      </c>
      <c r="K5014" s="17" t="n">
        <f aca="false">Sens!$K$5006/Sens!$K$4985</f>
        <v>0.319043289183739</v>
      </c>
      <c r="L5014" s="17" t="n">
        <f aca="false">Sens!$L$5006/Sens!$L$4985</f>
        <v>0.311918613444893</v>
      </c>
      <c r="M5014" s="17" t="n">
        <f aca="false">Sens!$M$5006/Sens!$M$4985</f>
        <v>0.306523814127389</v>
      </c>
      <c r="N5014" s="17" t="n">
        <f aca="false">Sens!$N$5006/Sens!$N$4985</f>
        <v>0.360941137346192</v>
      </c>
      <c r="O5014" s="17" t="n">
        <f aca="false">Sens!$O$5006/Sens!$O$4985</f>
        <v>0.348458117664212</v>
      </c>
    </row>
    <row r="5015" customFormat="false" ht="17.15" hidden="false" customHeight="false" outlineLevel="0" collapsed="false">
      <c r="A5015" s="0" t="s">
        <v>735</v>
      </c>
      <c r="B5015" s="0" t="s">
        <v>52</v>
      </c>
      <c r="C5015" s="13" t="n">
        <f aca="false">Sens!$C$5004/Sens!$C$4986</f>
        <v>0.708390794789371</v>
      </c>
      <c r="D5015" s="13" t="n">
        <f aca="false">Sens!$D$5004/Sens!$D$4986</f>
        <v>0.445565630441968</v>
      </c>
      <c r="E5015" s="13" t="n">
        <f aca="false">Sens!$E$5004/Sens!$E$4986</f>
        <v>0.165998118402711</v>
      </c>
      <c r="F5015" s="13" t="n">
        <f aca="false">Sens!$F$5004/Sens!$F$4986</f>
        <v>0.434878595403858</v>
      </c>
      <c r="G5015" s="13" t="n">
        <f aca="false">Sens!$G$5004/Sens!$G$4986</f>
        <v>0.3373967615381</v>
      </c>
      <c r="H5015" s="13" t="n">
        <f aca="false">Sens!$H$5004/Sens!$H$4986</f>
        <v>0.320477578041224</v>
      </c>
      <c r="I5015" s="13" t="n">
        <f aca="false">Sens!$I$5004/Sens!$I$4986</f>
        <v>0.296936118226494</v>
      </c>
      <c r="J5015" s="13" t="n">
        <f aca="false">Sens!$J$5004/Sens!$J$4986</f>
        <v>0.282166278613001</v>
      </c>
      <c r="K5015" s="13" t="n">
        <f aca="false">Sens!$K$5004/Sens!$K$4986</f>
        <v>0.252969102881543</v>
      </c>
      <c r="L5015" s="13" t="n">
        <f aca="false">Sens!$L$5004/Sens!$L$4986</f>
        <v>0.240728642826566</v>
      </c>
      <c r="M5015" s="13" t="n">
        <f aca="false">Sens!$M$5004/Sens!$M$4986</f>
        <v>0.227399920863147</v>
      </c>
      <c r="N5015" s="13" t="n">
        <f aca="false">Sens!$N$5004/Sens!$N$4986</f>
        <v>0.302870734830849</v>
      </c>
      <c r="O5015" s="13" t="n">
        <f aca="false">Sens!$O$5004/Sens!$O$4986</f>
        <v>0.52240134346334</v>
      </c>
    </row>
    <row r="5016" customFormat="false" ht="15" hidden="false" customHeight="false" outlineLevel="0" collapsed="false">
      <c r="A5016" s="5" t="s">
        <v>736</v>
      </c>
      <c r="B5016" s="0" t="s">
        <v>52</v>
      </c>
      <c r="C5016" s="13" t="n">
        <f aca="false">Sens!$C$5008/Sens!$C$4988</f>
        <v>0.107519448742004</v>
      </c>
      <c r="D5016" s="13" t="n">
        <f aca="false">Sens!$D$5008/Sens!$D$4988</f>
        <v>0.111552967957552</v>
      </c>
      <c r="E5016" s="13" t="n">
        <f aca="false">Sens!$E$5008/Sens!$E$4988</f>
        <v>0.13428328426562</v>
      </c>
      <c r="F5016" s="13" t="n">
        <f aca="false">Sens!$F$5008/Sens!$F$4988</f>
        <v>0.129167844525589</v>
      </c>
      <c r="G5016" s="13" t="n">
        <f aca="false">Sens!$G$5008/Sens!$G$4988</f>
        <v>0.131557773771988</v>
      </c>
      <c r="H5016" s="13" t="n">
        <f aca="false">Sens!$H$5008/Sens!$H$4988</f>
        <v>0.134711536350329</v>
      </c>
      <c r="I5016" s="13" t="n">
        <f aca="false">Sens!$I$5008/Sens!$I$4988</f>
        <v>0.137768888779847</v>
      </c>
      <c r="J5016" s="13" t="n">
        <f aca="false">Sens!$J$5008/Sens!$J$4988</f>
        <v>0.139531715827143</v>
      </c>
      <c r="K5016" s="13" t="n">
        <f aca="false">Sens!$K$5008/Sens!$K$4988</f>
        <v>0.137320259076553</v>
      </c>
      <c r="L5016" s="13" t="n">
        <f aca="false">Sens!$L$5008/Sens!$L$4988</f>
        <v>0.136806307456799</v>
      </c>
      <c r="M5016" s="13" t="n">
        <f aca="false">Sens!$M$5008/Sens!$M$4988</f>
        <v>0.136871350584245</v>
      </c>
      <c r="N5016" s="13" t="n">
        <f aca="false">Sens!$N$5008/Sens!$N$4988</f>
        <v>0.116201614873411</v>
      </c>
      <c r="O5016" s="13" t="n">
        <f aca="false">Sens!$O$5008/Sens!$O$4988</f>
        <v>0.107733353660861</v>
      </c>
    </row>
    <row r="5017" customFormat="false" ht="17.15" hidden="false" customHeight="false" outlineLevel="0" collapsed="false">
      <c r="A5017" s="1" t="s">
        <v>737</v>
      </c>
    </row>
    <row r="5018" customFormat="false" ht="17.15" hidden="false" customHeight="false" outlineLevel="0" collapsed="false">
      <c r="A5018" s="5" t="s">
        <v>738</v>
      </c>
      <c r="B5018" s="0" t="s">
        <v>52</v>
      </c>
      <c r="D5018" s="28" t="n">
        <f aca="false">(Q!$E$29+Q!$E$30-(1-ext_sh)*Sens!$D$4940)/Sens!$D$4896</f>
        <v>0.0334674312393194</v>
      </c>
    </row>
    <row r="5019" customFormat="false" ht="17.15" hidden="false" customHeight="false" outlineLevel="0" collapsed="false">
      <c r="A5019" s="0" t="s">
        <v>535</v>
      </c>
      <c r="B5019" s="0" t="s">
        <v>86</v>
      </c>
      <c r="C5019" s="38" t="n">
        <f aca="false">Q!$D$29</f>
        <v>14.285</v>
      </c>
      <c r="D5019" s="38" t="n">
        <f aca="false">Q!$E$29</f>
        <v>15.503</v>
      </c>
      <c r="E5019" s="38" t="n">
        <f aca="false">Q!$P$29</f>
        <v>8.78</v>
      </c>
      <c r="F5019" s="38" t="n">
        <f aca="false">(Sens!$D$5018*Sens!$F$4896+(1-ext_sh)*Sens!$F$4940)*Sens!$F$4897</f>
        <v>9.32404990199157</v>
      </c>
      <c r="G5019" s="38" t="n">
        <f aca="false">Sens!$E$5019+Sens!$F$5019</f>
        <v>18.1040499019916</v>
      </c>
      <c r="H5019" s="38" t="n">
        <f aca="false">(Sens!$D$5018*Sens!$H$4896+(1-ext_sh)*Sens!$H$4940)*Sens!$H$4897</f>
        <v>22.5533556752937</v>
      </c>
      <c r="I5019" s="38" t="n">
        <f aca="false">(Sens!$D$5018*Sens!$I$4896+(1-ext_sh)*Sens!$I$4940)*Sens!$I$4897</f>
        <v>28.1941479903215</v>
      </c>
      <c r="J5019" s="38" t="n">
        <f aca="false">(Sens!$D$5018*Sens!$J$4896+(1-ext_sh)*Sens!$J$4940)*Sens!$J$4897</f>
        <v>33.8639126241465</v>
      </c>
      <c r="K5019" s="38" t="n">
        <f aca="false">(Sens!$D$5018*Sens!$K$4896+(1-ext_sh)*Sens!$K$4940)*Sens!$K$4897</f>
        <v>39.4516429979446</v>
      </c>
      <c r="L5019" s="38" t="n">
        <f aca="false">(Sens!$D$5018*Sens!$L$4896+(1-ext_sh)*Sens!$L$4940)*Sens!$L$4897</f>
        <v>43.6240799619622</v>
      </c>
      <c r="M5019" s="38" t="n">
        <f aca="false">(Sens!$D$5018*Sens!$M$4896+(1-ext_sh)*Sens!$M$4940)*Sens!$M$4897</f>
        <v>46.7841679303704</v>
      </c>
      <c r="N5019" s="38" t="n">
        <f aca="false">Q!$N$29</f>
        <v>7.272</v>
      </c>
      <c r="O5019" s="38" t="n">
        <f aca="false">Q!$O$29</f>
        <v>8.231</v>
      </c>
    </row>
    <row r="5020" customFormat="false" ht="17.15" hidden="false" customHeight="false" outlineLevel="0" collapsed="false">
      <c r="A5020" s="0" t="s">
        <v>537</v>
      </c>
      <c r="B5020" s="0" t="s">
        <v>86</v>
      </c>
      <c r="C5020" s="38" t="n">
        <f aca="false">Q!$D$30</f>
        <v>4.462</v>
      </c>
      <c r="D5020" s="38" t="n">
        <f aca="false">Q!$E$30</f>
        <v>4.907</v>
      </c>
      <c r="E5020" s="38" t="n">
        <f aca="false">Q!$P$30</f>
        <v>2.57</v>
      </c>
      <c r="F5020" s="38" t="n">
        <f aca="false">(Sens!$D$5018*Sens!$F$4896+(1-ext_sh)*Sens!$F$4940)*(1-Sens!$F$4897)</f>
        <v>3.66089330199472</v>
      </c>
      <c r="G5020" s="38" t="n">
        <f aca="false">Sens!$E$5020+Sens!$F$5020</f>
        <v>6.23089330199472</v>
      </c>
      <c r="H5020" s="38" t="n">
        <f aca="false">(Sens!$D$5018*Sens!$H$4896+(1-ext_sh)*Sens!$H$4940)*(1-Sens!$H$4897)</f>
        <v>8.63874333111657</v>
      </c>
      <c r="I5020" s="38" t="n">
        <f aca="false">(Sens!$D$5018*Sens!$I$4896+(1-ext_sh)*Sens!$I$4940)*(1-Sens!$I$4897)</f>
        <v>10.7993689025494</v>
      </c>
      <c r="J5020" s="38" t="n">
        <f aca="false">(Sens!$D$5018*Sens!$J$4896+(1-ext_sh)*Sens!$J$4940)*(1-Sens!$J$4897)</f>
        <v>12.9710919101865</v>
      </c>
      <c r="K5020" s="38" t="n">
        <f aca="false">(Sens!$D$5018*Sens!$K$4896+(1-ext_sh)*Sens!$K$4940)*(1-Sens!$K$4897)</f>
        <v>15.1113928568702</v>
      </c>
      <c r="L5020" s="38" t="n">
        <f aca="false">(Sens!$D$5018*Sens!$L$4896+(1-ext_sh)*Sens!$L$4940)*(1-Sens!$L$4897)</f>
        <v>16.7095857163433</v>
      </c>
      <c r="M5020" s="38" t="n">
        <f aca="false">(Sens!$D$5018*Sens!$M$4896+(1-ext_sh)*Sens!$M$4940)*(1-Sens!$M$4897)</f>
        <v>17.9200126371023</v>
      </c>
      <c r="N5020" s="38" t="n">
        <f aca="false">Q!$N$30</f>
        <v>2.316</v>
      </c>
      <c r="O5020" s="38" t="n">
        <f aca="false">Q!$O$30</f>
        <v>2.591</v>
      </c>
    </row>
    <row r="5021" customFormat="false" ht="17.15" hidden="false" customHeight="false" outlineLevel="0" collapsed="false">
      <c r="A5021" s="0" t="s">
        <v>538</v>
      </c>
      <c r="B5021" s="0" t="s">
        <v>86</v>
      </c>
      <c r="C5021" s="38" t="n">
        <f aca="false">Sens!$C$4952</f>
        <v>13.32</v>
      </c>
      <c r="D5021" s="38" t="n">
        <f aca="false">Sens!$D$4952</f>
        <v>21.45</v>
      </c>
      <c r="E5021" s="38" t="n">
        <f aca="false">Sens!$E$4952</f>
        <v>15.353</v>
      </c>
      <c r="F5021" s="38" t="n">
        <f aca="false">Sens!$F$4952</f>
        <v>16.3063747611001</v>
      </c>
      <c r="G5021" s="38" t="n">
        <f aca="false">Sens!$G$4952</f>
        <v>31.6593747611001</v>
      </c>
      <c r="H5021" s="38" t="n">
        <f aca="false">Sens!$H$4952</f>
        <v>53.124242092105</v>
      </c>
      <c r="I5021" s="38" t="n">
        <f aca="false">Sens!$I$4952</f>
        <v>78.046828098133</v>
      </c>
      <c r="J5021" s="38" t="n">
        <f aca="false">Sens!$J$4952</f>
        <v>103.663976940352</v>
      </c>
      <c r="K5021" s="38" t="n">
        <f aca="false">Sens!$K$4952</f>
        <v>129.625086115469</v>
      </c>
      <c r="L5021" s="38" t="n">
        <f aca="false">Sens!$L$4952</f>
        <v>147.435052382502</v>
      </c>
      <c r="M5021" s="38" t="n">
        <f aca="false">Sens!$M$4952</f>
        <v>159.299754080279</v>
      </c>
      <c r="N5021" s="38" t="n">
        <f aca="false">Sens!$N$4952</f>
        <v>9.234</v>
      </c>
      <c r="O5021" s="38" t="n">
        <f aca="false">Sens!$O$4952</f>
        <v>12.216</v>
      </c>
    </row>
    <row r="5022" customFormat="false" ht="17.15" hidden="false" customHeight="false" outlineLevel="0" collapsed="false">
      <c r="A5022" s="5" t="s">
        <v>739</v>
      </c>
      <c r="B5022" s="0" t="s">
        <v>86</v>
      </c>
      <c r="C5022" s="38" t="n">
        <f aca="false">Sens!$C$5019+Sens!$C$5020+Sens!$C$5021</f>
        <v>32.067</v>
      </c>
      <c r="D5022" s="38" t="n">
        <f aca="false">Sens!$D$5019+Sens!$D$5020+Sens!$D$5021</f>
        <v>41.86</v>
      </c>
      <c r="E5022" s="38" t="n">
        <f aca="false">Sens!$E$5019+Sens!$E$5020+Sens!$E$5021</f>
        <v>26.703</v>
      </c>
      <c r="F5022" s="38" t="n">
        <f aca="false">Sens!$F$5019+Sens!$F$5020+Sens!$F$5021</f>
        <v>29.2913179650864</v>
      </c>
      <c r="G5022" s="38" t="n">
        <f aca="false">Sens!$G$5019+Sens!$G$5020+Sens!$G$5021</f>
        <v>55.9943179650864</v>
      </c>
      <c r="H5022" s="38" t="n">
        <f aca="false">Sens!$H$5019+Sens!$H$5020+Sens!$H$5021</f>
        <v>84.3163410985152</v>
      </c>
      <c r="I5022" s="38" t="n">
        <f aca="false">Sens!$I$5019+Sens!$I$5020+Sens!$I$5021</f>
        <v>117.040344991004</v>
      </c>
      <c r="J5022" s="38" t="n">
        <f aca="false">Sens!$J$5019+Sens!$J$5020+Sens!$J$5021</f>
        <v>150.498981474685</v>
      </c>
      <c r="K5022" s="38" t="n">
        <f aca="false">Sens!$K$5019+Sens!$K$5020+Sens!$K$5021</f>
        <v>184.188121970284</v>
      </c>
      <c r="L5022" s="38" t="n">
        <f aca="false">Sens!$L$5019+Sens!$L$5020+Sens!$L$5021</f>
        <v>207.768718060808</v>
      </c>
      <c r="M5022" s="38" t="n">
        <f aca="false">Sens!$M$5019+Sens!$M$5020+Sens!$M$5021</f>
        <v>224.003934647752</v>
      </c>
      <c r="N5022" s="38" t="n">
        <f aca="false">Sens!$N$5019+Sens!$N$5020+Sens!$N$5021</f>
        <v>18.822</v>
      </c>
      <c r="O5022" s="38" t="n">
        <f aca="false">Sens!$O$5019+Sens!$O$5020+Sens!$O$5021</f>
        <v>23.038</v>
      </c>
    </row>
    <row r="5023" customFormat="false" ht="17.15" hidden="false" customHeight="false" outlineLevel="0" collapsed="false">
      <c r="A5023" s="0" t="s">
        <v>740</v>
      </c>
      <c r="B5023" s="0" t="s">
        <v>86</v>
      </c>
      <c r="C5023" s="38" t="n">
        <f aca="false">Sens!$C$4994+Sens!$C$4999</f>
        <v>28.107</v>
      </c>
      <c r="D5023" s="38" t="n">
        <f aca="false">Sens!$D$4994+Sens!$D$4999</f>
        <v>34.3175</v>
      </c>
      <c r="E5023" s="38" t="n">
        <f aca="false">Sens!$E$4994+Sens!$E$4999</f>
        <v>18.526</v>
      </c>
      <c r="F5023" s="38" t="n">
        <f aca="false">Sens!$F$4994+Sens!$F$4999</f>
        <v>23.0786109972074</v>
      </c>
      <c r="G5023" s="38" t="n">
        <f aca="false">Sens!$G$4994+Sens!$G$4999</f>
        <v>41.6046109972074</v>
      </c>
      <c r="H5023" s="38" t="n">
        <f aca="false">Sens!$H$4994+Sens!$H$4999</f>
        <v>49.9484611939488</v>
      </c>
      <c r="I5023" s="38" t="n">
        <f aca="false">Sens!$I$4994+Sens!$I$4999</f>
        <v>58.2915555477481</v>
      </c>
      <c r="J5023" s="38" t="n">
        <f aca="false">Sens!$J$4994+Sens!$J$4999</f>
        <v>66.0744709709759</v>
      </c>
      <c r="K5023" s="38" t="n">
        <f aca="false">Sens!$K$4994+Sens!$K$4999</f>
        <v>72.6819180680735</v>
      </c>
      <c r="L5023" s="38" t="n">
        <f aca="false">Sens!$L$4994+Sens!$L$4999</f>
        <v>79.9501098748808</v>
      </c>
      <c r="M5023" s="38" t="n">
        <f aca="false">Sens!$M$4994+Sens!$M$4999</f>
        <v>87.9451208623689</v>
      </c>
      <c r="N5023" s="38" t="n">
        <f aca="false">Sens!$N$4994+Sens!$N$4999</f>
        <v>14.8075</v>
      </c>
      <c r="O5023" s="38" t="n">
        <f aca="false">Sens!$O$4994+Sens!$O$4999</f>
        <v>19.51</v>
      </c>
    </row>
    <row r="5024" customFormat="false" ht="17.15" hidden="false" customHeight="false" outlineLevel="0" collapsed="false">
      <c r="A5024" s="0" t="s">
        <v>741</v>
      </c>
      <c r="B5024" s="0" t="s">
        <v>86</v>
      </c>
      <c r="C5024" s="38" t="n">
        <f aca="false">Sens!$C$4998+Sens!$C$5003+Sens!$C$5019+Sens!$C$5020-Sens!$C$5023</f>
        <v>19.399</v>
      </c>
      <c r="D5024" s="38" t="n">
        <f aca="false">Sens!$D$4998+Sens!$D$5003+Sens!$D$5019+Sens!$D$5020-Sens!$D$5023</f>
        <v>20.4615</v>
      </c>
      <c r="E5024" s="38" t="n">
        <f aca="false">Sens!$E$4998+Sens!$E$5003+Sens!$E$5019+Sens!$E$5020-Sens!$E$5023</f>
        <v>13.355</v>
      </c>
      <c r="F5024" s="38" t="n">
        <f aca="false">Sens!$F$4998+Sens!$F$5003+Sens!$F$5019+Sens!$F$5020-Sens!$F$5023</f>
        <v>12.7882167664549</v>
      </c>
      <c r="G5024" s="38" t="n">
        <f aca="false">Sens!$G$4998+Sens!$G$5003+Sens!$G$5019+Sens!$G$5020-Sens!$G$5023</f>
        <v>26.1432167664549</v>
      </c>
      <c r="H5024" s="38" t="n">
        <f aca="false">Sens!$H$4998+Sens!$H$5003+Sens!$H$5019+Sens!$H$5020-Sens!$H$5023</f>
        <v>28.5472527261826</v>
      </c>
      <c r="I5024" s="38" t="n">
        <f aca="false">Sens!$I$4998+Sens!$I$5003+Sens!$I$5019+Sens!$I$5020-Sens!$I$5023</f>
        <v>30.8052421506794</v>
      </c>
      <c r="J5024" s="38" t="n">
        <f aca="false">Sens!$J$4998+Sens!$J$5003+Sens!$J$5019+Sens!$J$5020-Sens!$J$5023</f>
        <v>33.0553877999083</v>
      </c>
      <c r="K5024" s="38" t="n">
        <f aca="false">Sens!$K$4998+Sens!$K$5003+Sens!$K$5019+Sens!$K$5020-Sens!$K$5023</f>
        <v>35.4662923485155</v>
      </c>
      <c r="L5024" s="38" t="n">
        <f aca="false">Sens!$L$4998+Sens!$L$5003+Sens!$L$5019+Sens!$L$5020-Sens!$L$5023</f>
        <v>37.1019587742301</v>
      </c>
      <c r="M5024" s="38" t="n">
        <f aca="false">Sens!$M$4998+Sens!$M$5003+Sens!$M$5019+Sens!$M$5020-Sens!$M$5023</f>
        <v>39.5351701466849</v>
      </c>
      <c r="N5024" s="38" t="n">
        <f aca="false">Sens!$N$4998+Sens!$N$5003+Sens!$N$5019+Sens!$N$5020-Sens!$N$5023</f>
        <v>10.6495</v>
      </c>
      <c r="O5024" s="38" t="n">
        <f aca="false">Sens!$O$4998+Sens!$O$5003+Sens!$O$5019+Sens!$O$5020-Sens!$O$5023</f>
        <v>9.81200000000001</v>
      </c>
    </row>
    <row r="5025" customFormat="false" ht="17.15" hidden="false" customHeight="false" outlineLevel="0" collapsed="false">
      <c r="A5025" s="0" t="s">
        <v>742</v>
      </c>
      <c r="B5025" s="0" t="s">
        <v>86</v>
      </c>
      <c r="C5025" s="38" t="n">
        <f aca="false">Sens!$C$5005+Sens!$C$5021-ext_sh*Sens!$C$4940</f>
        <v>51.3470500115664</v>
      </c>
      <c r="D5025" s="38" t="n">
        <f aca="false">Sens!$D$5005+Sens!$D$5021-ext_sh*Sens!$D$4940</f>
        <v>60.2799375433739</v>
      </c>
      <c r="E5025" s="38" t="n">
        <f aca="false">Sens!$E$5005+Sens!$E$5021-ext_sh*Sens!$E$4940</f>
        <v>39.5095167090767</v>
      </c>
      <c r="F5025" s="38" t="n">
        <f aca="false">Sens!$F$5005+Sens!$F$5021-ext_sh*Sens!$F$4940</f>
        <v>37.993321722478</v>
      </c>
      <c r="G5025" s="38" t="n">
        <f aca="false">Sens!$G$5005+Sens!$G$5021-ext_sh*Sens!$G$4940</f>
        <v>77.5028384315548</v>
      </c>
      <c r="H5025" s="38" t="n">
        <f aca="false">Sens!$H$5005+Sens!$H$5021-ext_sh*Sens!$H$4940</f>
        <v>85.2394217279746</v>
      </c>
      <c r="I5025" s="38" t="n">
        <f aca="false">Sens!$I$5005+Sens!$I$5021-ext_sh*Sens!$I$4940</f>
        <v>94.6373589713254</v>
      </c>
      <c r="J5025" s="38" t="n">
        <f aca="false">Sens!$J$5005+Sens!$J$5021-ext_sh*Sens!$J$4940</f>
        <v>103.639899284146</v>
      </c>
      <c r="K5025" s="38" t="n">
        <f aca="false">Sens!$K$5005+Sens!$K$5021-ext_sh*Sens!$K$4940</f>
        <v>111.931091226878</v>
      </c>
      <c r="L5025" s="38" t="n">
        <f aca="false">Sens!$L$5005+Sens!$L$5021-ext_sh*Sens!$L$4940</f>
        <v>120.885578525028</v>
      </c>
      <c r="M5025" s="38" t="n">
        <f aca="false">Sens!$M$5005+Sens!$M$5021-ext_sh*Sens!$M$4940</f>
        <v>130.55642480703</v>
      </c>
      <c r="N5025" s="38" t="n">
        <f aca="false">Sens!$N$5005+Sens!$N$5021-ext_sh*Sens!$N$4940</f>
        <v>28.5693781401809</v>
      </c>
      <c r="O5025" s="38" t="n">
        <f aca="false">Sens!$O$5005+Sens!$O$5021-ext_sh*Sens!$O$4940</f>
        <v>31.7105594031931</v>
      </c>
    </row>
    <row r="5026" customFormat="false" ht="17.15" hidden="false" customHeight="false" outlineLevel="0" collapsed="false">
      <c r="A5026" s="0" t="s">
        <v>743</v>
      </c>
      <c r="B5026" s="0" t="s">
        <v>86</v>
      </c>
      <c r="C5026" s="38" t="n">
        <f aca="false">Sens!$C$4943</f>
        <v>1.80694998843362</v>
      </c>
      <c r="D5026" s="38" t="n">
        <f aca="false">Sens!$D$4943</f>
        <v>6.77606245662607</v>
      </c>
      <c r="E5026" s="38" t="n">
        <f aca="false">Sens!$E$4943</f>
        <v>6.62548329092326</v>
      </c>
      <c r="F5026" s="38" t="n">
        <f aca="false">Sens!$F$4943</f>
        <v>11.7200577158706</v>
      </c>
      <c r="G5026" s="38" t="n">
        <f aca="false">Sens!$G$4943</f>
        <v>18.3455410067939</v>
      </c>
      <c r="H5026" s="38" t="n">
        <f aca="false">Sens!$H$4943</f>
        <v>47.5171727060453</v>
      </c>
      <c r="I5026" s="38" t="n">
        <f aca="false">Sens!$I$4943</f>
        <v>80.5539692643667</v>
      </c>
      <c r="J5026" s="38" t="n">
        <f aca="false">Sens!$J$4943</f>
        <v>113.759316834883</v>
      </c>
      <c r="K5026" s="38" t="n">
        <f aca="false">Sens!$K$4943</f>
        <v>142.084411492169</v>
      </c>
      <c r="L5026" s="38" t="n">
        <f aca="false">Sens!$L$4943</f>
        <v>160.69964615804</v>
      </c>
      <c r="M5026" s="38" t="n">
        <f aca="false">Sens!$M$4943</f>
        <v>169.577607141793</v>
      </c>
      <c r="N5026" s="38" t="n">
        <f aca="false">Sens!$N$4943</f>
        <v>2.37162185981912</v>
      </c>
      <c r="O5026" s="38" t="n">
        <f aca="false">Sens!$O$4943</f>
        <v>4.40444059680694</v>
      </c>
    </row>
    <row r="5027" customFormat="false" ht="17.15" hidden="false" customHeight="false" outlineLevel="0" collapsed="false">
      <c r="A5027" s="0" t="s">
        <v>744</v>
      </c>
      <c r="B5027" s="0" t="s">
        <v>86</v>
      </c>
      <c r="C5027" s="38" t="n">
        <f aca="false">Sens!$C$5008+Sens!$C$5022</f>
        <v>100.66</v>
      </c>
      <c r="D5027" s="38" t="n">
        <f aca="false">Sens!$D$5008+Sens!$D$5022</f>
        <v>121.835</v>
      </c>
      <c r="E5027" s="38" t="n">
        <f aca="false">Sens!$E$5008+Sens!$E$5022</f>
        <v>78.016</v>
      </c>
      <c r="F5027" s="38" t="n">
        <f aca="false">Sens!$F$5008+Sens!$F$5022</f>
        <v>85.580207202011</v>
      </c>
      <c r="G5027" s="38" t="n">
        <f aca="false">Sens!$G$5008+Sens!$G$5022</f>
        <v>163.596207202011</v>
      </c>
      <c r="H5027" s="38" t="n">
        <f aca="false">Sens!$H$5008+Sens!$H$5022</f>
        <v>211.252308354151</v>
      </c>
      <c r="I5027" s="38" t="n">
        <f aca="false">Sens!$I$5008+Sens!$I$5022</f>
        <v>264.28812593412</v>
      </c>
      <c r="J5027" s="38" t="n">
        <f aca="false">Sens!$J$5008+Sens!$J$5022</f>
        <v>316.529074889914</v>
      </c>
      <c r="K5027" s="38" t="n">
        <f aca="false">Sens!$K$5008+Sens!$K$5022</f>
        <v>362.163713135636</v>
      </c>
      <c r="L5027" s="38" t="n">
        <f aca="false">Sens!$L$5008+Sens!$L$5022</f>
        <v>398.637293332179</v>
      </c>
      <c r="M5027" s="38" t="n">
        <f aca="false">Sens!$M$5008+Sens!$M$5022</f>
        <v>427.614322957878</v>
      </c>
      <c r="N5027" s="38" t="n">
        <f aca="false">Sens!$N$5008+Sens!$N$5022</f>
        <v>56.398</v>
      </c>
      <c r="O5027" s="38" t="n">
        <f aca="false">Sens!$O$5008+Sens!$O$5022</f>
        <v>65.437</v>
      </c>
    </row>
    <row r="5028" customFormat="false" ht="17.15" hidden="false" customHeight="false" outlineLevel="0" collapsed="false">
      <c r="A5028" s="1" t="s">
        <v>745</v>
      </c>
    </row>
    <row r="5029" customFormat="false" ht="15" hidden="false" customHeight="false" outlineLevel="0" collapsed="false">
      <c r="A5029" s="5" t="s">
        <v>541</v>
      </c>
      <c r="B5029" s="0" t="s">
        <v>86</v>
      </c>
      <c r="C5029" s="38" t="n">
        <f aca="false">Q!$D$34</f>
        <v>2.406</v>
      </c>
      <c r="D5029" s="38" t="n">
        <f aca="false">Q!$E$34</f>
        <v>2.274</v>
      </c>
      <c r="E5029" s="38" t="n">
        <f aca="false">Q!$P$34</f>
        <v>2.114</v>
      </c>
      <c r="F5029" s="38" t="n">
        <f aca="false">Sens!$F$5067</f>
        <v>3.24888962733561</v>
      </c>
      <c r="G5029" s="38" t="n">
        <f aca="false">Sens!$E$5029+Sens!$F$5029</f>
        <v>5.36288962733561</v>
      </c>
      <c r="H5029" s="38" t="n">
        <f aca="false">Sens!$H$5067</f>
        <v>7.42354172302123</v>
      </c>
      <c r="I5029" s="38" t="n">
        <f aca="false">Sens!$I$5067</f>
        <v>8.2931747618896</v>
      </c>
      <c r="J5029" s="38" t="n">
        <f aca="false">Sens!$J$5067</f>
        <v>9.27718179522602</v>
      </c>
      <c r="K5029" s="38" t="n">
        <f aca="false">Sens!$K$5067</f>
        <v>9.27718179522602</v>
      </c>
      <c r="L5029" s="38" t="n">
        <f aca="false">Sens!$L$5067</f>
        <v>9.27718179522602</v>
      </c>
      <c r="M5029" s="38" t="n">
        <f aca="false">Sens!$M$5067</f>
        <v>9.27718179522602</v>
      </c>
      <c r="N5029" s="38" t="n">
        <f aca="false">Q!$N$34</f>
        <v>1.057</v>
      </c>
      <c r="O5029" s="38" t="n">
        <f aca="false">Q!$O$34</f>
        <v>1.217</v>
      </c>
    </row>
    <row r="5030" customFormat="false" ht="15" hidden="false" customHeight="false" outlineLevel="0" collapsed="false">
      <c r="A5030" s="5" t="s">
        <v>746</v>
      </c>
      <c r="B5030" s="0" t="s">
        <v>86</v>
      </c>
      <c r="F5030" s="38" t="n">
        <f aca="false">Sens!$F$5068</f>
        <v>2.59</v>
      </c>
      <c r="H5030" s="38" t="n">
        <f aca="false">Sens!$H$5068</f>
        <v>3.80133635330174</v>
      </c>
      <c r="I5030" s="38" t="n">
        <f aca="false">Sens!$I$5068</f>
        <v>2.10589651022864</v>
      </c>
      <c r="J5030" s="38" t="n">
        <f aca="false">Sens!$J$5068</f>
        <v>2.10589651022864</v>
      </c>
      <c r="K5030" s="38" t="n">
        <f aca="false">Sens!$K$5068</f>
        <v>3.14850442073996</v>
      </c>
      <c r="L5030" s="38" t="n">
        <f aca="false">Sens!$L$5068</f>
        <v>8.25959583122945</v>
      </c>
      <c r="M5030" s="38" t="n">
        <f aca="false">Sens!$M$5068</f>
        <v>15.8335708401143</v>
      </c>
    </row>
    <row r="5031" customFormat="false" ht="17.15" hidden="false" customHeight="false" outlineLevel="0" collapsed="false">
      <c r="A5031" s="5" t="s">
        <v>747</v>
      </c>
      <c r="B5031" s="0" t="s">
        <v>86</v>
      </c>
      <c r="C5031" s="38" t="n">
        <f aca="false">Q!$D$39</f>
        <v>2.427</v>
      </c>
      <c r="D5031" s="38" t="n">
        <f aca="false">Q!$E$39</f>
        <v>19.61</v>
      </c>
      <c r="E5031" s="38" t="n">
        <f aca="false">Q!$P$39</f>
        <v>71.492</v>
      </c>
      <c r="F5031" s="39" t="n">
        <v>0</v>
      </c>
      <c r="G5031" s="38" t="n">
        <f aca="false">Sens!$E$5031+Sens!$F$5031</f>
        <v>71.492</v>
      </c>
      <c r="H5031" s="39" t="n">
        <v>0</v>
      </c>
      <c r="I5031" s="39" t="n">
        <v>0</v>
      </c>
      <c r="J5031" s="39" t="n">
        <v>0</v>
      </c>
      <c r="K5031" s="39" t="n">
        <v>0</v>
      </c>
      <c r="L5031" s="39" t="n">
        <v>0</v>
      </c>
      <c r="M5031" s="39" t="n">
        <v>0</v>
      </c>
      <c r="N5031" s="38" t="n">
        <f aca="false">Q!$N$39</f>
        <v>6.017</v>
      </c>
      <c r="O5031" s="38" t="n">
        <f aca="false">Q!$O$39</f>
        <v>13.593</v>
      </c>
      <c r="P5031" s="5" t="s">
        <v>748</v>
      </c>
    </row>
    <row r="5032" customFormat="false" ht="15" hidden="false" customHeight="false" outlineLevel="0" collapsed="false">
      <c r="A5032" s="5" t="s">
        <v>544</v>
      </c>
      <c r="B5032" s="0" t="s">
        <v>86</v>
      </c>
      <c r="C5032" s="38" t="n">
        <f aca="false">Q!$D$36</f>
        <v>68.614</v>
      </c>
      <c r="D5032" s="38" t="n">
        <f aca="false">Q!$E$36</f>
        <v>97.311</v>
      </c>
      <c r="E5032" s="38" t="n">
        <f aca="false">Q!$P$36</f>
        <v>120.691</v>
      </c>
      <c r="F5032" s="38" t="n">
        <f aca="false">Sens!$F$5008-Sens!$F$5029+Sens!$F$5030+Sens!$F$5031</f>
        <v>55.629999609589</v>
      </c>
      <c r="G5032" s="38" t="n">
        <f aca="false">Sens!$E$5032+Sens!$F$5032</f>
        <v>176.320999609589</v>
      </c>
      <c r="H5032" s="38" t="n">
        <f aca="false">Sens!$H$5008-Sens!$H$5029+Sens!$H$5030+Sens!$H$5031</f>
        <v>123.313761885917</v>
      </c>
      <c r="I5032" s="38" t="n">
        <f aca="false">Sens!$I$5008-Sens!$I$5029+Sens!$I$5030+Sens!$I$5031</f>
        <v>141.060502691455</v>
      </c>
      <c r="J5032" s="38" t="n">
        <f aca="false">Sens!$J$5008-Sens!$J$5029+Sens!$J$5030+Sens!$J$5031</f>
        <v>158.858808130232</v>
      </c>
      <c r="K5032" s="38" t="n">
        <f aca="false">Sens!$K$5008-Sens!$K$5029+Sens!$K$5030+Sens!$K$5031</f>
        <v>171.846913790867</v>
      </c>
      <c r="L5032" s="38" t="n">
        <f aca="false">Sens!$L$5008-Sens!$L$5029+Sens!$L$5030+Sens!$L$5031</f>
        <v>189.850989307375</v>
      </c>
      <c r="M5032" s="38" t="n">
        <f aca="false">Sens!$M$5008-Sens!$M$5029+Sens!$M$5030+Sens!$M$5031</f>
        <v>210.166777355014</v>
      </c>
      <c r="N5032" s="38" t="n">
        <f aca="false">Q!$N$36</f>
        <v>42.536</v>
      </c>
      <c r="O5032" s="38" t="n">
        <f aca="false">Q!$O$36</f>
        <v>54.775</v>
      </c>
    </row>
    <row r="5033" customFormat="false" ht="15" hidden="false" customHeight="false" outlineLevel="0" collapsed="false">
      <c r="A5033" s="5" t="s">
        <v>545</v>
      </c>
      <c r="B5033" s="0" t="s">
        <v>86</v>
      </c>
      <c r="C5033" s="38" t="n">
        <f aca="false">Q!$D$37</f>
        <v>9.265</v>
      </c>
      <c r="D5033" s="38" t="n">
        <f aca="false">Q!$E$37</f>
        <v>19.087</v>
      </c>
      <c r="E5033" s="38" t="n">
        <f aca="false">Q!$P$37</f>
        <v>27.759</v>
      </c>
      <c r="F5033" s="38" t="n">
        <f aca="false">Sens!$F$5032*tax</f>
        <v>9.65650714815835</v>
      </c>
      <c r="G5033" s="38" t="n">
        <f aca="false">Sens!$E$5033+Sens!$F$5033</f>
        <v>37.4155071481584</v>
      </c>
      <c r="H5033" s="38" t="n">
        <f aca="false">Sens!$H$5032*tax</f>
        <v>21.4053609828247</v>
      </c>
      <c r="I5033" s="38" t="n">
        <f aca="false">Sens!$I$5032*tax</f>
        <v>24.4859205846201</v>
      </c>
      <c r="J5033" s="38" t="n">
        <f aca="false">Sens!$J$5032*tax</f>
        <v>27.5754310088666</v>
      </c>
      <c r="K5033" s="38" t="n">
        <f aca="false">Sens!$K$5032*tax</f>
        <v>29.8299651816718</v>
      </c>
      <c r="L5033" s="38" t="n">
        <f aca="false">Sens!$L$5032*tax</f>
        <v>32.9551941074541</v>
      </c>
      <c r="M5033" s="38" t="n">
        <f aca="false">Sens!$M$5032*tax</f>
        <v>36.4817005586366</v>
      </c>
      <c r="N5033" s="38" t="n">
        <f aca="false">Q!$N$37</f>
        <v>7.231</v>
      </c>
      <c r="O5033" s="38" t="n">
        <f aca="false">Q!$O$37</f>
        <v>11.856</v>
      </c>
    </row>
    <row r="5034" customFormat="false" ht="15" hidden="false" customHeight="false" outlineLevel="0" collapsed="false">
      <c r="A5034" s="3" t="s">
        <v>546</v>
      </c>
      <c r="B5034" s="8" t="s">
        <v>86</v>
      </c>
      <c r="C5034" s="38" t="n">
        <f aca="false">Q!$D$38</f>
        <v>59.248</v>
      </c>
      <c r="D5034" s="38" t="n">
        <f aca="false">Q!$E$38</f>
        <v>77.67</v>
      </c>
      <c r="E5034" s="38" t="n">
        <f aca="false">Q!$P$38</f>
        <v>92.902</v>
      </c>
      <c r="F5034" s="38" t="n">
        <f aca="false">Sens!$F$5032-Sens!$F$5033</f>
        <v>45.9734924614306</v>
      </c>
      <c r="G5034" s="38" t="n">
        <f aca="false">Sens!$E$5034+Sens!$F$5034</f>
        <v>138.875492461431</v>
      </c>
      <c r="H5034" s="38" t="n">
        <f aca="false">Sens!$H$5032-Sens!$H$5033</f>
        <v>101.908400903092</v>
      </c>
      <c r="I5034" s="38" t="n">
        <f aca="false">Sens!$I$5032-Sens!$I$5033</f>
        <v>116.574582106835</v>
      </c>
      <c r="J5034" s="38" t="n">
        <f aca="false">Sens!$J$5032-Sens!$J$5033</f>
        <v>131.283377121365</v>
      </c>
      <c r="K5034" s="38" t="n">
        <f aca="false">Sens!$K$5032-Sens!$K$5033</f>
        <v>142.016948609195</v>
      </c>
      <c r="L5034" s="38" t="n">
        <f aca="false">Sens!$L$5032-Sens!$L$5033</f>
        <v>156.895795199921</v>
      </c>
      <c r="M5034" s="38" t="n">
        <f aca="false">Sens!$M$5032-Sens!$M$5033</f>
        <v>173.685076796377</v>
      </c>
      <c r="N5034" s="38" t="n">
        <f aca="false">Q!$N$38</f>
        <v>35.291</v>
      </c>
      <c r="O5034" s="38" t="n">
        <f aca="false">Q!$O$38</f>
        <v>42.379</v>
      </c>
    </row>
    <row r="5035" customFormat="false" ht="17.15" hidden="false" customHeight="false" outlineLevel="0" collapsed="false">
      <c r="A5035" s="5" t="s">
        <v>549</v>
      </c>
      <c r="B5035" s="5" t="s">
        <v>33</v>
      </c>
      <c r="C5035" s="22" t="n">
        <f aca="false">Q!$D$41</f>
        <v>10.721</v>
      </c>
      <c r="D5035" s="22" t="n">
        <f aca="false">Q!$E$41</f>
        <v>10.827</v>
      </c>
      <c r="E5035" s="22" t="n">
        <f aca="false">(Q!$L$41+Q!$M$41)/2</f>
        <v>10.8885</v>
      </c>
      <c r="F5035" s="22" t="n">
        <f aca="false">Sens!$G$5035</f>
        <v>10.924806</v>
      </c>
      <c r="G5035" s="22" t="n">
        <f aca="false">Q!$M$41*(1+sh_g*0.25)</f>
        <v>10.924806</v>
      </c>
      <c r="H5035" s="22" t="n">
        <f aca="false">Sens!$G$5035*(1+sh_g)</f>
        <v>11.012204448</v>
      </c>
      <c r="I5035" s="22" t="n">
        <f aca="false">Sens!$H$5035*(1+sh_g)</f>
        <v>11.100302083584</v>
      </c>
      <c r="J5035" s="22" t="n">
        <f aca="false">Sens!$I$5035*(1+sh_g)</f>
        <v>11.1891045002527</v>
      </c>
      <c r="K5035" s="22" t="n">
        <f aca="false">Sens!$J$5035*(1+sh_g)</f>
        <v>11.2786173362547</v>
      </c>
      <c r="L5035" s="22" t="n">
        <f aca="false">Sens!$K$5035*(1+sh_g)</f>
        <v>11.3688462749447</v>
      </c>
      <c r="M5035" s="22" t="n">
        <f aca="false">Sens!$L$5035*(1+sh_g)</f>
        <v>11.4597970451443</v>
      </c>
      <c r="P5035" s="5" t="s">
        <v>749</v>
      </c>
    </row>
    <row r="5036" customFormat="false" ht="17.15" hidden="false" customHeight="false" outlineLevel="0" collapsed="false">
      <c r="A5036" s="5" t="s">
        <v>750</v>
      </c>
      <c r="B5036" s="0" t="s">
        <v>86</v>
      </c>
      <c r="C5036" s="38" t="n">
        <f aca="false">Sens!$C$5034+Sens!$C$5010*(1-tax)</f>
        <v>59.248</v>
      </c>
      <c r="D5036" s="38" t="n">
        <f aca="false">Sens!$D$5034+Sens!$D$5010*(1-tax)</f>
        <v>77.67</v>
      </c>
      <c r="E5036" s="38" t="n">
        <f aca="false">Sens!$E$5034+Sens!$E$5010*(1-tax)</f>
        <v>92.902</v>
      </c>
      <c r="F5036" s="38" t="n">
        <f aca="false">Sens!$F$5034+Sens!$F$5010*(1-tax)</f>
        <v>49.0900874210793</v>
      </c>
      <c r="G5036" s="38" t="n">
        <f aca="false">Sens!$G$5034+Sens!$G$5010*(1-tax)</f>
        <v>141.992087421079</v>
      </c>
      <c r="H5036" s="38" t="n">
        <f aca="false">Sens!$H$5034+Sens!$H$5010*(1-tax)</f>
        <v>114.439796858437</v>
      </c>
      <c r="I5036" s="38" t="n">
        <f aca="false">Sens!$I$5034+Sens!$I$5010*(1-tax)</f>
        <v>137.715847181774</v>
      </c>
      <c r="J5036" s="38" t="n">
        <f aca="false">Sens!$J$5034+Sens!$J$5010*(1-tax)</f>
        <v>161.072814065649</v>
      </c>
      <c r="K5036" s="38" t="n">
        <f aca="false">Sens!$K$5034+Sens!$K$5010*(1-tax)</f>
        <v>179.184254305854</v>
      </c>
      <c r="L5036" s="38" t="n">
        <f aca="false">Sens!$L$5034+Sens!$L$5010*(1-tax)</f>
        <v>198.911872540476</v>
      </c>
      <c r="M5036" s="38" t="n">
        <f aca="false">Sens!$M$5034+Sens!$M$5010*(1-tax)</f>
        <v>218.014598987218</v>
      </c>
      <c r="N5036" s="38" t="n">
        <f aca="false">Sens!$N$5034+Sens!$N$5010*(1-tax)</f>
        <v>35.291</v>
      </c>
      <c r="O5036" s="38" t="n">
        <f aca="false">Sens!$O$5034+Sens!$O$5010*(1-tax)</f>
        <v>42.379</v>
      </c>
    </row>
    <row r="5037" customFormat="false" ht="17.15" hidden="false" customHeight="false" outlineLevel="0" collapsed="false">
      <c r="A5037" s="43" t="s">
        <v>751</v>
      </c>
      <c r="B5037" s="14" t="s">
        <v>27</v>
      </c>
      <c r="C5037" s="44" t="n">
        <f aca="false">Sens!$C$5036/Sens!$C$5035</f>
        <v>5.52635015390355</v>
      </c>
      <c r="D5037" s="44" t="n">
        <f aca="false">Sens!$D$5036/Sens!$D$5035</f>
        <v>7.1737323358271</v>
      </c>
      <c r="E5037" s="44" t="n">
        <f aca="false">Sens!$E$5036/Sens!$E$5035</f>
        <v>8.53212104513937</v>
      </c>
      <c r="F5037" s="14"/>
      <c r="G5037" s="44" t="n">
        <f aca="false">Sens!$G$5036/Sens!$G$5035</f>
        <v>12.9972182042481</v>
      </c>
      <c r="H5037" s="44" t="n">
        <f aca="false">Sens!$H$5036/Sens!$H$5035</f>
        <v>10.3920879237963</v>
      </c>
      <c r="I5037" s="44" t="n">
        <f aca="false">Sens!$I$5036/Sens!$I$5035</f>
        <v>12.4064954399249</v>
      </c>
      <c r="J5037" s="44" t="n">
        <f aca="false">Sens!$J$5036/Sens!$J$5035</f>
        <v>14.3955053831172</v>
      </c>
      <c r="K5037" s="44" t="n">
        <f aca="false">Sens!$K$5036/Sens!$K$5035</f>
        <v>15.8870763111957</v>
      </c>
      <c r="L5037" s="44" t="n">
        <f aca="false">Sens!$L$5036/Sens!$L$5035</f>
        <v>17.4962232516811</v>
      </c>
      <c r="M5037" s="44" t="n">
        <f aca="false">Sens!$M$5036/Sens!$M$5035</f>
        <v>19.0242984346389</v>
      </c>
      <c r="N5037" s="14"/>
      <c r="O5037" s="14"/>
    </row>
    <row r="5038" customFormat="false" ht="17.15" hidden="false" customHeight="false" outlineLevel="0" collapsed="false">
      <c r="A5038" s="0" t="s">
        <v>752</v>
      </c>
      <c r="B5038" s="0" t="s">
        <v>27</v>
      </c>
      <c r="C5038" s="30" t="n">
        <f aca="false">Sens!$C$5034/Sens!$C$5035</f>
        <v>5.52635015390355</v>
      </c>
      <c r="D5038" s="30" t="n">
        <f aca="false">Sens!$D$5034/Sens!$D$5035</f>
        <v>7.1737323358271</v>
      </c>
      <c r="E5038" s="30" t="n">
        <f aca="false">Sens!$E$5034/Sens!$E$5035</f>
        <v>8.53212104513937</v>
      </c>
      <c r="G5038" s="30" t="n">
        <f aca="false">Sens!$G$5034/Sens!$G$5035</f>
        <v>12.7119412886078</v>
      </c>
      <c r="H5038" s="30" t="n">
        <f aca="false">Sens!$H$5034/Sens!$H$5035</f>
        <v>9.25413266565353</v>
      </c>
      <c r="I5038" s="30" t="n">
        <f aca="false">Sens!$I$5034/Sens!$I$5035</f>
        <v>10.501928796986</v>
      </c>
      <c r="J5038" s="30" t="n">
        <f aca="false">Sens!$J$5034/Sens!$J$5035</f>
        <v>11.7331442492472</v>
      </c>
      <c r="K5038" s="30" t="n">
        <f aca="false">Sens!$K$5034/Sens!$K$5035</f>
        <v>12.5916984657939</v>
      </c>
      <c r="L5038" s="30" t="n">
        <f aca="false">Sens!$L$5034/Sens!$L$5035</f>
        <v>13.8005028307662</v>
      </c>
      <c r="M5038" s="30" t="n">
        <f aca="false">Sens!$M$5034/Sens!$M$5035</f>
        <v>15.1560342746184</v>
      </c>
    </row>
    <row r="5039" customFormat="false" ht="17.15" hidden="false" customHeight="false" outlineLevel="0" collapsed="false">
      <c r="A5039" s="0" t="s">
        <v>753</v>
      </c>
      <c r="B5039" s="0" t="s">
        <v>27</v>
      </c>
      <c r="C5039" s="30" t="n">
        <f aca="false">(Sens!$C$5034-Sens!$C$5031*(1-tax))/Sens!$C$5035</f>
        <v>5.33926775917445</v>
      </c>
      <c r="D5039" s="30" t="n">
        <f aca="false">(Sens!$D$5034-Sens!$D$5031*(1-tax))/Sens!$D$5035</f>
        <v>5.67691812755503</v>
      </c>
      <c r="E5039" s="30" t="n">
        <f aca="false">(Sens!$E$5034-Sens!$E$5031*(1-tax))/Sens!$E$5035</f>
        <v>3.10602057006846</v>
      </c>
      <c r="G5039" s="30" t="n">
        <f aca="false">(Sens!$G$5034-Sens!$G$5031*(1-tax))/Sens!$G$5035</f>
        <v>7.30387317071086</v>
      </c>
      <c r="H5039" s="30" t="n">
        <f aca="false">(Sens!$H$5034-Sens!$H$5031*(1-tax))/Sens!$H$5035</f>
        <v>9.25413266565353</v>
      </c>
      <c r="I5039" s="30" t="n">
        <f aca="false">(Sens!$I$5034-Sens!$I$5031*(1-tax))/Sens!$I$5035</f>
        <v>10.501928796986</v>
      </c>
      <c r="J5039" s="30" t="n">
        <f aca="false">(Sens!$J$5034-Sens!$J$5031*(1-tax))/Sens!$J$5035</f>
        <v>11.7331442492472</v>
      </c>
      <c r="K5039" s="30" t="n">
        <f aca="false">(Sens!$K$5034-Sens!$K$5031*(1-tax))/Sens!$K$5035</f>
        <v>12.5916984657939</v>
      </c>
      <c r="L5039" s="30" t="n">
        <f aca="false">(Sens!$L$5034-Sens!$L$5031*(1-tax))/Sens!$L$5035</f>
        <v>13.8005028307662</v>
      </c>
      <c r="M5039" s="30" t="n">
        <f aca="false">(Sens!$M$5034-Sens!$M$5031*(1-tax))/Sens!$M$5035</f>
        <v>15.1560342746184</v>
      </c>
      <c r="P5039" s="5" t="s">
        <v>754</v>
      </c>
    </row>
    <row r="5040" customFormat="false" ht="17.15" hidden="false" customHeight="false" outlineLevel="0" collapsed="false">
      <c r="A5040" s="0" t="s">
        <v>755</v>
      </c>
      <c r="B5040" s="0" t="s">
        <v>52</v>
      </c>
      <c r="H5040" s="13" t="n">
        <f aca="false">Sens!$H$5037/Sens!$G$5037-1</f>
        <v>-0.200437527439553</v>
      </c>
      <c r="I5040" s="13" t="n">
        <f aca="false">Sens!$I$5037/Sens!$H$5037-1</f>
        <v>0.193840499705158</v>
      </c>
      <c r="J5040" s="13" t="n">
        <f aca="false">Sens!$J$5037/Sens!$I$5037-1</f>
        <v>0.160320047899391</v>
      </c>
      <c r="K5040" s="13" t="n">
        <f aca="false">Sens!$K$5037/Sens!$J$5037-1</f>
        <v>0.103613654983436</v>
      </c>
      <c r="L5040" s="13" t="n">
        <f aca="false">Sens!$L$5037/Sens!$K$5037-1</f>
        <v>0.101286536865904</v>
      </c>
      <c r="M5040" s="13" t="n">
        <f aca="false">Sens!$M$5037/Sens!$L$5037-1</f>
        <v>0.0873374305400994</v>
      </c>
    </row>
    <row r="5043" customFormat="false" ht="19.4" hidden="false" customHeight="false" outlineLevel="0" collapsed="false">
      <c r="A5043" s="31" t="s">
        <v>1230</v>
      </c>
    </row>
    <row r="5044" customFormat="false" ht="17.15" hidden="false" customHeight="false" outlineLevel="0" collapsed="false">
      <c r="A5044" s="6" t="s">
        <v>16</v>
      </c>
      <c r="B5044" s="6" t="s">
        <v>17</v>
      </c>
      <c r="C5044" s="20" t="s">
        <v>494</v>
      </c>
      <c r="D5044" s="20" t="s">
        <v>495</v>
      </c>
      <c r="E5044" s="20" t="s">
        <v>577</v>
      </c>
      <c r="F5044" s="20" t="s">
        <v>578</v>
      </c>
      <c r="G5044" s="20" t="s">
        <v>579</v>
      </c>
      <c r="H5044" s="20" t="s">
        <v>580</v>
      </c>
      <c r="I5044" s="20" t="s">
        <v>581</v>
      </c>
      <c r="J5044" s="20" t="s">
        <v>582</v>
      </c>
      <c r="K5044" s="20" t="s">
        <v>583</v>
      </c>
      <c r="L5044" s="20" t="s">
        <v>584</v>
      </c>
      <c r="M5044" s="20" t="s">
        <v>585</v>
      </c>
      <c r="N5044" s="20" t="s">
        <v>586</v>
      </c>
      <c r="O5044" s="20" t="s">
        <v>587</v>
      </c>
      <c r="P5044" s="6" t="s">
        <v>23</v>
      </c>
      <c r="R5044" s="20" t="n">
        <v>2023</v>
      </c>
      <c r="S5044" s="20" t="n">
        <v>2024</v>
      </c>
      <c r="T5044" s="20" t="n">
        <v>2025</v>
      </c>
      <c r="U5044" s="20" t="n">
        <v>2026</v>
      </c>
      <c r="V5044" s="20" t="n">
        <v>2027</v>
      </c>
      <c r="W5044" s="20" t="n">
        <v>2028</v>
      </c>
      <c r="X5044" s="20" t="n">
        <v>2029</v>
      </c>
      <c r="Y5044" s="20" t="n">
        <v>2030</v>
      </c>
      <c r="Z5044" s="20" t="n">
        <v>2031</v>
      </c>
      <c r="AA5044" s="20" t="n">
        <v>2032</v>
      </c>
    </row>
    <row r="5045" customFormat="false" ht="15" hidden="false" customHeight="false" outlineLevel="0" collapsed="false">
      <c r="A5045" s="5" t="s">
        <v>546</v>
      </c>
      <c r="B5045" s="0" t="s">
        <v>86</v>
      </c>
      <c r="C5045" s="38" t="n">
        <f aca="false">Sens!$C$5034</f>
        <v>59.248</v>
      </c>
      <c r="D5045" s="38" t="n">
        <f aca="false">Sens!$D$5034</f>
        <v>77.67</v>
      </c>
      <c r="E5045" s="38" t="n">
        <f aca="false">Sens!$E$5034</f>
        <v>92.902</v>
      </c>
      <c r="F5045" s="38" t="n">
        <f aca="false">Sens!$F$5034</f>
        <v>45.9734924614306</v>
      </c>
      <c r="G5045" s="38" t="n">
        <f aca="false">Sens!$G$5034</f>
        <v>138.875492461431</v>
      </c>
      <c r="H5045" s="38" t="n">
        <f aca="false">Sens!$H$5034</f>
        <v>101.908400903092</v>
      </c>
      <c r="I5045" s="38" t="n">
        <f aca="false">Sens!$I$5034</f>
        <v>116.574582106835</v>
      </c>
      <c r="J5045" s="38" t="n">
        <f aca="false">Sens!$J$5034</f>
        <v>131.283377121365</v>
      </c>
      <c r="K5045" s="38" t="n">
        <f aca="false">Sens!$K$5034</f>
        <v>142.016948609195</v>
      </c>
      <c r="L5045" s="38" t="n">
        <f aca="false">Sens!$L$5034</f>
        <v>156.895795199921</v>
      </c>
      <c r="M5045" s="38" t="n">
        <f aca="false">Sens!$M$5034</f>
        <v>173.685076796377</v>
      </c>
    </row>
    <row r="5046" customFormat="false" ht="17.15" hidden="false" customHeight="false" outlineLevel="0" collapsed="false">
      <c r="A5046" s="5" t="s">
        <v>778</v>
      </c>
      <c r="B5046" s="0" t="s">
        <v>86</v>
      </c>
      <c r="C5046" s="38" t="n">
        <f aca="false">Sens!$C$5022</f>
        <v>32.067</v>
      </c>
      <c r="D5046" s="38" t="n">
        <f aca="false">Sens!$D$5022</f>
        <v>41.86</v>
      </c>
      <c r="E5046" s="38" t="n">
        <f aca="false">Sens!$E$5022</f>
        <v>26.703</v>
      </c>
      <c r="F5046" s="38" t="n">
        <f aca="false">Sens!$F$5022</f>
        <v>29.2913179650864</v>
      </c>
      <c r="G5046" s="38" t="n">
        <f aca="false">Sens!$G$5022</f>
        <v>55.9943179650864</v>
      </c>
      <c r="H5046" s="38" t="n">
        <f aca="false">Sens!$H$5022</f>
        <v>84.3163410985152</v>
      </c>
      <c r="I5046" s="38" t="n">
        <f aca="false">Sens!$I$5022</f>
        <v>117.040344991004</v>
      </c>
      <c r="J5046" s="38" t="n">
        <f aca="false">Sens!$J$5022</f>
        <v>150.498981474685</v>
      </c>
      <c r="K5046" s="38" t="n">
        <f aca="false">Sens!$K$5022</f>
        <v>184.188121970284</v>
      </c>
      <c r="L5046" s="38" t="n">
        <f aca="false">Sens!$L$5022</f>
        <v>207.768718060808</v>
      </c>
      <c r="M5046" s="38" t="n">
        <f aca="false">Sens!$M$5022</f>
        <v>224.003934647752</v>
      </c>
    </row>
    <row r="5047" customFormat="false" ht="15" hidden="false" customHeight="false" outlineLevel="0" collapsed="false">
      <c r="A5047" s="5" t="s">
        <v>779</v>
      </c>
      <c r="B5047" s="0" t="s">
        <v>86</v>
      </c>
      <c r="C5047" s="38" t="n">
        <f aca="false">Q!$D$48</f>
        <v>22.011</v>
      </c>
      <c r="D5047" s="38" t="n">
        <f aca="false">Q!$E$48</f>
        <v>19.467</v>
      </c>
      <c r="E5047" s="38" t="n">
        <f aca="false">Q!$P$48</f>
        <v>10.07</v>
      </c>
      <c r="F5047" s="38" t="n">
        <f aca="false">sbc_r*Sens!$F$4964</f>
        <v>10.8507035798037</v>
      </c>
      <c r="G5047" s="38" t="n">
        <f aca="false">Sens!$E$5047+Sens!$F$5047</f>
        <v>20.9207035798037</v>
      </c>
      <c r="H5047" s="38" t="n">
        <f aca="false">sbc_r*Sens!$H$4964</f>
        <v>23.46224366345</v>
      </c>
      <c r="I5047" s="38" t="n">
        <f aca="false">sbc_r*Sens!$I$4964</f>
        <v>26.6125957111676</v>
      </c>
      <c r="J5047" s="38" t="n">
        <f aca="false">sbc_r*Sens!$J$4964</f>
        <v>29.6280801413323</v>
      </c>
      <c r="K5047" s="38" t="n">
        <f aca="false">sbc_r*Sens!$K$4964</f>
        <v>32.2712258901105</v>
      </c>
      <c r="L5047" s="38" t="n">
        <f aca="false">sbc_r*Sens!$L$4964</f>
        <v>34.7390505016737</v>
      </c>
      <c r="M5047" s="38" t="n">
        <f aca="false">sbc_r*Sens!$M$4964</f>
        <v>37.0405146906692</v>
      </c>
    </row>
    <row r="5048" customFormat="false" ht="17.15" hidden="false" customHeight="false" outlineLevel="0" collapsed="false">
      <c r="A5048" s="5" t="s">
        <v>780</v>
      </c>
      <c r="B5048" s="0" t="s">
        <v>86</v>
      </c>
      <c r="C5048" s="38" t="n">
        <f aca="false">Q!$D$44-Sens!$C$5045-Sens!$C$5046-Sens!$C$5047</f>
        <v>2.551</v>
      </c>
      <c r="D5048" s="38" t="n">
        <f aca="false">Q!$E$44-Sens!$D$5045-Sens!$D$5046-Sens!$D$5047</f>
        <v>0.51700000000001</v>
      </c>
      <c r="E5048" s="38" t="n">
        <f aca="false">Q!$P$44-Sens!$E$5045-Sens!$E$5046-Sens!$E$5047</f>
        <v>-58.256</v>
      </c>
      <c r="F5048" s="38" t="n">
        <f aca="false">oth_r*Sens!$F$4964</f>
        <v>5.22265251035878</v>
      </c>
      <c r="G5048" s="38" t="n">
        <f aca="false">Sens!$E$5048+Sens!$F$5048</f>
        <v>-53.0333474896412</v>
      </c>
      <c r="H5048" s="38" t="n">
        <f aca="false">oth_r*Sens!$H$4964</f>
        <v>11.2928295263397</v>
      </c>
      <c r="I5048" s="38" t="n">
        <f aca="false">oth_r*Sens!$I$4964</f>
        <v>12.8091546115766</v>
      </c>
      <c r="J5048" s="38" t="n">
        <f aca="false">oth_r*Sens!$J$4964</f>
        <v>14.2605653162668</v>
      </c>
      <c r="K5048" s="38" t="n">
        <f aca="false">oth_r*Sens!$K$4964</f>
        <v>15.5327622460396</v>
      </c>
      <c r="L5048" s="38" t="n">
        <f aca="false">oth_r*Sens!$L$4964</f>
        <v>16.720573737517</v>
      </c>
      <c r="M5048" s="38" t="n">
        <f aca="false">oth_r*Sens!$M$4964</f>
        <v>17.8283127551536</v>
      </c>
      <c r="P5048" s="8" t="s">
        <v>781</v>
      </c>
    </row>
    <row r="5049" customFormat="false" ht="15" hidden="false" customHeight="false" outlineLevel="0" collapsed="false">
      <c r="A5049" s="3" t="s">
        <v>552</v>
      </c>
      <c r="B5049" s="8" t="s">
        <v>86</v>
      </c>
      <c r="C5049" s="38" t="n">
        <f aca="false">Q!$D$44</f>
        <v>115.877</v>
      </c>
      <c r="D5049" s="38" t="n">
        <f aca="false">Q!$E$44</f>
        <v>139.514</v>
      </c>
      <c r="E5049" s="38" t="n">
        <f aca="false">Q!$P$44</f>
        <v>71.419</v>
      </c>
      <c r="F5049" s="38" t="n">
        <f aca="false">Sens!$F$5045+Sens!$F$5046+Sens!$F$5047+Sens!$F$5048</f>
        <v>91.3381665166794</v>
      </c>
      <c r="G5049" s="38" t="n">
        <f aca="false">Sens!$E$5049+Sens!$F$5049</f>
        <v>162.757166516679</v>
      </c>
      <c r="H5049" s="38" t="n">
        <f aca="false">Sens!$H$5045+Sens!$H$5046+Sens!$H$5047+Sens!$H$5048</f>
        <v>220.979815191397</v>
      </c>
      <c r="I5049" s="38" t="n">
        <f aca="false">Sens!$I$5045+Sens!$I$5046+Sens!$I$5047+Sens!$I$5048</f>
        <v>273.036677420583</v>
      </c>
      <c r="J5049" s="38" t="n">
        <f aca="false">Sens!$J$5045+Sens!$J$5046+Sens!$J$5047+Sens!$J$5048</f>
        <v>325.671004053649</v>
      </c>
      <c r="K5049" s="38" t="n">
        <f aca="false">Sens!$K$5045+Sens!$K$5046+Sens!$K$5047+Sens!$K$5048</f>
        <v>374.009058715629</v>
      </c>
      <c r="L5049" s="38" t="n">
        <f aca="false">Sens!$L$5045+Sens!$L$5046+Sens!$L$5047+Sens!$L$5048</f>
        <v>416.124137499919</v>
      </c>
      <c r="M5049" s="38" t="n">
        <f aca="false">Sens!$M$5045+Sens!$M$5046+Sens!$M$5047+Sens!$M$5048</f>
        <v>452.557838889952</v>
      </c>
    </row>
    <row r="5050" customFormat="false" ht="17.15" hidden="false" customHeight="false" outlineLevel="0" collapsed="false">
      <c r="A5050" s="5" t="s">
        <v>782</v>
      </c>
      <c r="B5050" s="0" t="s">
        <v>86</v>
      </c>
      <c r="C5050" s="38" t="n">
        <f aca="false">Sens!$C$4933</f>
        <v>25.2781053077374</v>
      </c>
      <c r="D5050" s="38" t="n">
        <f aca="false">Sens!$D$4933</f>
        <v>69.5686316310026</v>
      </c>
      <c r="E5050" s="38" t="n">
        <f aca="false">Sens!$E$4933</f>
        <v>64.1899206485108</v>
      </c>
      <c r="F5050" s="38" t="n">
        <f aca="false">Sens!$F$4933</f>
        <v>96.2481299895</v>
      </c>
      <c r="G5050" s="38" t="n">
        <f aca="false">Sens!$G$4933</f>
        <v>160.438050638011</v>
      </c>
      <c r="H5050" s="38" t="n">
        <f aca="false">Sens!$H$4933</f>
        <v>198.57136494475</v>
      </c>
      <c r="I5050" s="38" t="n">
        <f aca="false">Sens!$I$4933</f>
        <v>204.6464699105</v>
      </c>
      <c r="J5050" s="38" t="n">
        <f aca="false">Sens!$J$4933</f>
        <v>209.8832381105</v>
      </c>
      <c r="K5050" s="38" t="n">
        <f aca="false">Sens!$K$4933</f>
        <v>155.238385275201</v>
      </c>
      <c r="L5050" s="38" t="n">
        <f aca="false">Sens!$L$4933</f>
        <v>132.014141639902</v>
      </c>
      <c r="M5050" s="38" t="n">
        <f aca="false">Sens!$M$4933</f>
        <v>132.230981659852</v>
      </c>
    </row>
    <row r="5051" customFormat="false" ht="17.15" hidden="false" customHeight="false" outlineLevel="0" collapsed="false">
      <c r="A5051" s="5" t="s">
        <v>783</v>
      </c>
      <c r="B5051" s="0" t="s">
        <v>86</v>
      </c>
      <c r="C5051" s="38" t="n">
        <f aca="false">cx_awso*Sens!$C$4962</f>
        <v>21.0469989286053</v>
      </c>
      <c r="D5051" s="38" t="n">
        <f aca="false">cx_awso*Sens!$D$4962</f>
        <v>24.0042459822698</v>
      </c>
      <c r="E5051" s="38" t="n">
        <f aca="false">cx_awso*Sens!$E$4962</f>
        <v>14.261729404886</v>
      </c>
      <c r="F5051" s="38" t="n">
        <f aca="false">cx_awso*Sens!$F$4962</f>
        <v>14.3538599588493</v>
      </c>
      <c r="G5051" s="38" t="n">
        <f aca="false">Sens!$E$5051+Sens!$F$5051</f>
        <v>28.6155893637353</v>
      </c>
      <c r="H5051" s="38" t="n">
        <f aca="false">cx_awso*Sens!$H$4962</f>
        <v>32.2034154158406</v>
      </c>
      <c r="I5051" s="38" t="n">
        <f aca="false">cx_awso*Sens!$I$4962</f>
        <v>35.7539519042915</v>
      </c>
      <c r="J5051" s="38" t="n">
        <f aca="false">cx_awso*Sens!$J$4962</f>
        <v>39.1551076091815</v>
      </c>
      <c r="K5051" s="38" t="n">
        <f aca="false">cx_awso*Sens!$K$4962</f>
        <v>42.287516217916</v>
      </c>
      <c r="L5051" s="38" t="n">
        <f aca="false">cx_awso*Sens!$L$4962</f>
        <v>45.6705175153492</v>
      </c>
      <c r="M5051" s="38" t="n">
        <f aca="false">cx_awso*Sens!$M$4962</f>
        <v>49.3241589165772</v>
      </c>
    </row>
    <row r="5052" customFormat="false" ht="17.15" hidden="false" customHeight="false" outlineLevel="0" collapsed="false">
      <c r="A5052" s="5" t="s">
        <v>784</v>
      </c>
      <c r="B5052" s="0" t="s">
        <v>86</v>
      </c>
      <c r="C5052" s="38" t="n">
        <f aca="false">Q!$D$46-Sens!$C$5050-Sens!$C$5051</f>
        <v>31.3328957636573</v>
      </c>
      <c r="D5052" s="38" t="n">
        <f aca="false">Q!$E$46-Sens!$D$5050-Sens!$D$5051</f>
        <v>34.7471223867276</v>
      </c>
      <c r="E5052" s="38" t="n">
        <f aca="false">Q!$P$46-Sens!$E$5050-Sens!$E$5051</f>
        <v>17.8583499466032</v>
      </c>
      <c r="F5052" s="38" t="n">
        <f aca="false">cx_rt*Sens!$F$4896</f>
        <v>20.6195895799373</v>
      </c>
      <c r="G5052" s="38" t="n">
        <f aca="false">Sens!$E$5052+Sens!$F$5052</f>
        <v>38.4779395265405</v>
      </c>
      <c r="H5052" s="38" t="n">
        <f aca="false">cx_rt*Sens!$H$4896</f>
        <v>42.5978994743075</v>
      </c>
      <c r="I5052" s="38" t="n">
        <f aca="false">cx_rt*Sens!$I$4896</f>
        <v>46.5813904136335</v>
      </c>
      <c r="J5052" s="38" t="n">
        <f aca="false">cx_rt*Sens!$J$4896</f>
        <v>50.2781676586844</v>
      </c>
      <c r="K5052" s="38" t="n">
        <f aca="false">cx_rt*Sens!$K$4896</f>
        <v>53.5312440191755</v>
      </c>
      <c r="L5052" s="38" t="n">
        <f aca="false">cx_rt*Sens!$L$4896</f>
        <v>57.0116717051447</v>
      </c>
      <c r="M5052" s="38" t="n">
        <f aca="false">cx_rt*Sens!$M$4896</f>
        <v>60.7365554669226</v>
      </c>
    </row>
    <row r="5053" customFormat="false" ht="15" hidden="false" customHeight="false" outlineLevel="0" collapsed="false">
      <c r="A5053" s="3" t="s">
        <v>785</v>
      </c>
      <c r="B5053" s="8" t="s">
        <v>86</v>
      </c>
      <c r="C5053" s="38" t="n">
        <f aca="false">Q!$D$46</f>
        <v>77.658</v>
      </c>
      <c r="D5053" s="38" t="n">
        <f aca="false">Q!$E$46</f>
        <v>128.32</v>
      </c>
      <c r="E5053" s="38" t="n">
        <f aca="false">Q!$P$46</f>
        <v>96.31</v>
      </c>
      <c r="F5053" s="38" t="n">
        <f aca="false">Sens!$F$5050+Sens!$F$5051+Sens!$F$5052</f>
        <v>131.221579528287</v>
      </c>
      <c r="G5053" s="38" t="n">
        <f aca="false">Sens!$E$5053+Sens!$F$5053</f>
        <v>227.531579528287</v>
      </c>
      <c r="H5053" s="38" t="n">
        <f aca="false">Sens!$H$5050+Sens!$H$5051+Sens!$H$5052</f>
        <v>273.372679834898</v>
      </c>
      <c r="I5053" s="38" t="n">
        <f aca="false">Sens!$I$5050+Sens!$I$5051+Sens!$I$5052</f>
        <v>286.981812228425</v>
      </c>
      <c r="J5053" s="38" t="n">
        <f aca="false">Sens!$J$5050+Sens!$J$5051+Sens!$J$5052</f>
        <v>299.316513378366</v>
      </c>
      <c r="K5053" s="38" t="n">
        <f aca="false">Sens!$K$5050+Sens!$K$5051+Sens!$K$5052</f>
        <v>251.057145512292</v>
      </c>
      <c r="L5053" s="38" t="n">
        <f aca="false">Sens!$L$5050+Sens!$L$5051+Sens!$L$5052</f>
        <v>234.696330860396</v>
      </c>
      <c r="M5053" s="38" t="n">
        <f aca="false">Sens!$M$5050+Sens!$M$5051+Sens!$M$5052</f>
        <v>242.291696043352</v>
      </c>
    </row>
    <row r="5054" customFormat="false" ht="17.15" hidden="false" customHeight="false" outlineLevel="0" collapsed="false">
      <c r="A5054" s="5" t="s">
        <v>560</v>
      </c>
      <c r="B5054" s="0" t="s">
        <v>86</v>
      </c>
      <c r="C5054" s="38" t="n">
        <f aca="false">Q!$D$50</f>
        <v>2.043</v>
      </c>
      <c r="D5054" s="38" t="n">
        <f aca="false">Q!$E$50</f>
        <v>1.557</v>
      </c>
      <c r="E5054" s="38" t="n">
        <f aca="false">lease_pr/2</f>
        <v>0.8</v>
      </c>
      <c r="F5054" s="38" t="n">
        <f aca="false">lease_pr/2</f>
        <v>0.8</v>
      </c>
      <c r="G5054" s="38" t="n">
        <f aca="false">Sens!$E$5054+Sens!$F$5054</f>
        <v>1.6</v>
      </c>
      <c r="H5054" s="38" t="n">
        <f aca="false">lease_pr</f>
        <v>1.6</v>
      </c>
      <c r="I5054" s="38" t="n">
        <f aca="false">lease_pr</f>
        <v>1.6</v>
      </c>
      <c r="J5054" s="38" t="n">
        <f aca="false">lease_pr</f>
        <v>1.6</v>
      </c>
      <c r="K5054" s="38" t="n">
        <f aca="false">lease_pr</f>
        <v>1.6</v>
      </c>
      <c r="L5054" s="38" t="n">
        <f aca="false">lease_pr</f>
        <v>1.6</v>
      </c>
      <c r="M5054" s="38" t="n">
        <f aca="false">lease_pr</f>
        <v>1.6</v>
      </c>
      <c r="P5054" s="8" t="s">
        <v>786</v>
      </c>
    </row>
    <row r="5055" customFormat="false" ht="15" hidden="false" customHeight="false" outlineLevel="0" collapsed="false">
      <c r="A5055" s="47" t="s">
        <v>787</v>
      </c>
      <c r="B5055" s="14" t="s">
        <v>86</v>
      </c>
      <c r="C5055" s="48" t="n">
        <f aca="false">Sens!$C$5049-Sens!$C$5053-Sens!$C$5054</f>
        <v>36.176</v>
      </c>
      <c r="D5055" s="48" t="n">
        <f aca="false">Sens!$D$5049-Sens!$D$5053-Sens!$D$5054</f>
        <v>9.63700000000002</v>
      </c>
      <c r="E5055" s="48" t="n">
        <f aca="false">Sens!$E$5049-Sens!$E$5053-Sens!$E$5054</f>
        <v>-25.691</v>
      </c>
      <c r="F5055" s="48" t="n">
        <f aca="false">Sens!$F$5049-Sens!$F$5053-Sens!$F$5054</f>
        <v>-40.6834130116072</v>
      </c>
      <c r="G5055" s="48" t="n">
        <f aca="false">Sens!$G$5049-Sens!$G$5053-Sens!$G$5054</f>
        <v>-66.3744130116072</v>
      </c>
      <c r="H5055" s="48" t="n">
        <f aca="false">Sens!$H$5049-Sens!$H$5053-Sens!$H$5054</f>
        <v>-53.9928646435014</v>
      </c>
      <c r="I5055" s="48" t="n">
        <f aca="false">Sens!$I$5049-Sens!$I$5053-Sens!$I$5054</f>
        <v>-15.5451348078424</v>
      </c>
      <c r="J5055" s="48" t="n">
        <f aca="false">Sens!$J$5049-Sens!$J$5053-Sens!$J$5054</f>
        <v>24.754490675283</v>
      </c>
      <c r="K5055" s="48" t="n">
        <f aca="false">Sens!$K$5049-Sens!$K$5053-Sens!$K$5054</f>
        <v>121.351913203336</v>
      </c>
      <c r="L5055" s="48" t="n">
        <f aca="false">Sens!$L$5049-Sens!$L$5053-Sens!$L$5054</f>
        <v>179.827806639524</v>
      </c>
      <c r="M5055" s="48" t="n">
        <f aca="false">Sens!$M$5049-Sens!$M$5053-Sens!$M$5054</f>
        <v>208.6661428466</v>
      </c>
      <c r="N5055" s="14"/>
      <c r="O5055" s="14"/>
    </row>
    <row r="5056" customFormat="false" ht="17.15" hidden="false" customHeight="false" outlineLevel="0" collapsed="false">
      <c r="A5056" s="5" t="s">
        <v>788</v>
      </c>
      <c r="B5056" s="0" t="s">
        <v>86</v>
      </c>
      <c r="C5056" s="38" t="n">
        <f aca="false">dps*Sens!$C$5035</f>
        <v>0</v>
      </c>
      <c r="D5056" s="38" t="n">
        <f aca="false">dps*Sens!$D$5035</f>
        <v>0</v>
      </c>
      <c r="E5056" s="38" t="n">
        <f aca="false">dps*Sens!$E$5035</f>
        <v>0</v>
      </c>
      <c r="F5056" s="38" t="n">
        <f aca="false">0</f>
        <v>0</v>
      </c>
      <c r="G5056" s="38" t="n">
        <f aca="false">dps*Sens!$G$5035</f>
        <v>0</v>
      </c>
      <c r="H5056" s="38" t="n">
        <f aca="false">dps*Sens!$H$5035</f>
        <v>0</v>
      </c>
      <c r="I5056" s="38" t="n">
        <f aca="false">dps*Sens!$I$5035</f>
        <v>0</v>
      </c>
      <c r="J5056" s="38" t="n">
        <f aca="false">dps*Sens!$J$5035</f>
        <v>0</v>
      </c>
      <c r="K5056" s="38" t="n">
        <f aca="false">dps*Sens!$K$5035</f>
        <v>0</v>
      </c>
      <c r="L5056" s="38" t="n">
        <f aca="false">dps*Sens!$L$5035</f>
        <v>0</v>
      </c>
      <c r="M5056" s="38" t="n">
        <f aca="false">dps*Sens!$M$5035</f>
        <v>0</v>
      </c>
      <c r="P5056" s="8" t="s">
        <v>789</v>
      </c>
    </row>
    <row r="5057" customFormat="false" ht="17.15" hidden="false" customHeight="false" outlineLevel="0" collapsed="false">
      <c r="A5057" s="5" t="s">
        <v>790</v>
      </c>
      <c r="B5057" s="0" t="s">
        <v>86</v>
      </c>
      <c r="C5057" s="38" t="n">
        <f aca="false">0</f>
        <v>0</v>
      </c>
      <c r="D5057" s="38" t="n">
        <f aca="false">0</f>
        <v>0</v>
      </c>
      <c r="E5057" s="38" t="n">
        <f aca="false">0</f>
        <v>0</v>
      </c>
      <c r="F5057" s="38" t="n">
        <f aca="false">0</f>
        <v>0</v>
      </c>
      <c r="G5057" s="38" t="n">
        <f aca="false">0</f>
        <v>0</v>
      </c>
      <c r="H5057" s="38" t="n">
        <f aca="false">0</f>
        <v>0</v>
      </c>
      <c r="I5057" s="38" t="n">
        <f aca="false">0</f>
        <v>0</v>
      </c>
      <c r="J5057" s="38" t="n">
        <f aca="false">0</f>
        <v>0</v>
      </c>
      <c r="K5057" s="38" t="n">
        <f aca="false">0</f>
        <v>0</v>
      </c>
      <c r="L5057" s="38" t="n">
        <f aca="false">0</f>
        <v>0</v>
      </c>
      <c r="M5057" s="38" t="n">
        <f aca="false">0</f>
        <v>0</v>
      </c>
      <c r="P5057" s="8" t="s">
        <v>791</v>
      </c>
    </row>
    <row r="5058" customFormat="false" ht="15" hidden="false" customHeight="false" outlineLevel="0" collapsed="false">
      <c r="A5058" s="3" t="s">
        <v>792</v>
      </c>
      <c r="B5058" s="8" t="s">
        <v>86</v>
      </c>
      <c r="C5058" s="38" t="n">
        <f aca="false">Sens!$C$5055-Sens!$C$5056</f>
        <v>36.176</v>
      </c>
      <c r="D5058" s="38" t="n">
        <f aca="false">Sens!$D$5055-Sens!$D$5056</f>
        <v>9.63700000000002</v>
      </c>
      <c r="E5058" s="38" t="n">
        <f aca="false">Sens!$E$5055-Sens!$E$5056</f>
        <v>-25.691</v>
      </c>
      <c r="F5058" s="38" t="n">
        <f aca="false">Sens!$F$5055-Sens!$F$5056</f>
        <v>-40.6834130116072</v>
      </c>
      <c r="G5058" s="38" t="n">
        <f aca="false">Sens!$G$5055-Sens!$G$5056</f>
        <v>-66.3744130116072</v>
      </c>
      <c r="H5058" s="38" t="n">
        <f aca="false">Sens!$H$5055-Sens!$H$5056</f>
        <v>-53.9928646435014</v>
      </c>
      <c r="I5058" s="38" t="n">
        <f aca="false">Sens!$I$5055-Sens!$I$5056</f>
        <v>-15.5451348078424</v>
      </c>
      <c r="J5058" s="38" t="n">
        <f aca="false">Sens!$J$5055-Sens!$J$5056</f>
        <v>24.754490675283</v>
      </c>
      <c r="K5058" s="38" t="n">
        <f aca="false">Sens!$K$5055-Sens!$K$5056</f>
        <v>121.351913203336</v>
      </c>
      <c r="L5058" s="38" t="n">
        <f aca="false">Sens!$L$5055-Sens!$L$5056</f>
        <v>179.827806639524</v>
      </c>
      <c r="M5058" s="38" t="n">
        <f aca="false">Sens!$M$5055-Sens!$M$5056</f>
        <v>208.6661428466</v>
      </c>
    </row>
    <row r="5059" customFormat="false" ht="17.15" hidden="false" customHeight="false" outlineLevel="0" collapsed="false">
      <c r="A5059" s="5" t="s">
        <v>793</v>
      </c>
      <c r="B5059" s="0" t="s">
        <v>86</v>
      </c>
      <c r="E5059" s="38" t="n">
        <f aca="false">Q!$P$53</f>
        <v>39.767</v>
      </c>
      <c r="F5059" s="38" t="n">
        <f aca="false">inv_2h26</f>
        <v>21.3</v>
      </c>
      <c r="G5059" s="38" t="n">
        <f aca="false">Sens!$E$5059+Sens!$F$5059</f>
        <v>61.067</v>
      </c>
      <c r="H5059" s="39" t="n">
        <v>0</v>
      </c>
      <c r="I5059" s="39" t="n">
        <v>0</v>
      </c>
      <c r="J5059" s="39" t="n">
        <v>0</v>
      </c>
      <c r="K5059" s="39" t="n">
        <v>0</v>
      </c>
      <c r="L5059" s="39" t="n">
        <v>0</v>
      </c>
      <c r="M5059" s="39" t="n">
        <v>0</v>
      </c>
    </row>
    <row r="5060" customFormat="false" ht="17.15" hidden="false" customHeight="false" outlineLevel="0" collapsed="false">
      <c r="A5060" s="5" t="s">
        <v>794</v>
      </c>
      <c r="B5060" s="0" t="s">
        <v>86</v>
      </c>
      <c r="F5060" s="38" t="n">
        <f aca="false">iss_2h26</f>
        <v>29.249999</v>
      </c>
      <c r="G5060" s="38" t="n">
        <f aca="false">Sens!$F$5060</f>
        <v>29.249999</v>
      </c>
      <c r="H5060" s="39" t="n">
        <v>0</v>
      </c>
      <c r="I5060" s="39" t="n">
        <v>0</v>
      </c>
      <c r="J5060" s="39" t="n">
        <v>0</v>
      </c>
      <c r="K5060" s="39" t="n">
        <v>0</v>
      </c>
      <c r="L5060" s="39" t="n">
        <v>0</v>
      </c>
      <c r="M5060" s="39" t="n">
        <v>0</v>
      </c>
    </row>
    <row r="5061" customFormat="false" ht="17.15" hidden="false" customHeight="false" outlineLevel="0" collapsed="false">
      <c r="A5061" s="5" t="s">
        <v>795</v>
      </c>
      <c r="B5061" s="0" t="s">
        <v>86</v>
      </c>
      <c r="F5061" s="38" t="n">
        <f aca="false">cash_q2</f>
        <v>122.988</v>
      </c>
      <c r="G5061" s="38" t="n">
        <f aca="false">cash_q2</f>
        <v>122.988</v>
      </c>
      <c r="H5061" s="38" t="n">
        <f aca="false">Sens!$G$5064</f>
        <v>90.2545859883928</v>
      </c>
      <c r="I5061" s="38" t="n">
        <f aca="false">Sens!$H$5064</f>
        <v>50</v>
      </c>
      <c r="J5061" s="38" t="n">
        <f aca="false">Sens!$I$5064</f>
        <v>50</v>
      </c>
      <c r="K5061" s="38" t="n">
        <f aca="false">Sens!$J$5064</f>
        <v>74.7544906752831</v>
      </c>
      <c r="L5061" s="38" t="n">
        <f aca="false">Sens!$K$5064</f>
        <v>196.106403878619</v>
      </c>
      <c r="M5061" s="38" t="n">
        <f aca="false">Sens!$L$5064</f>
        <v>375.934210518143</v>
      </c>
    </row>
    <row r="5062" customFormat="false" ht="15" hidden="false" customHeight="false" outlineLevel="0" collapsed="false">
      <c r="A5062" s="5" t="s">
        <v>796</v>
      </c>
      <c r="B5062" s="0" t="s">
        <v>86</v>
      </c>
      <c r="F5062" s="38" t="n">
        <f aca="false">Sens!$F$5061+Sens!$F$5058-Sens!$F$5057-Sens!$F$5059+Sens!$F$5060</f>
        <v>90.2545859883928</v>
      </c>
      <c r="H5062" s="38" t="n">
        <f aca="false">Sens!$H$5061+Sens!$H$5058-Sens!$H$5057-Sens!$H$5059+Sens!$H$5060</f>
        <v>36.2617213448915</v>
      </c>
      <c r="I5062" s="38" t="n">
        <f aca="false">Sens!$I$5061+Sens!$I$5058-Sens!$I$5057-Sens!$I$5059+Sens!$I$5060</f>
        <v>34.4548651921577</v>
      </c>
      <c r="J5062" s="38" t="n">
        <f aca="false">Sens!$J$5061+Sens!$J$5058-Sens!$J$5057-Sens!$J$5059+Sens!$J$5060</f>
        <v>74.7544906752831</v>
      </c>
      <c r="K5062" s="38" t="n">
        <f aca="false">Sens!$K$5061+Sens!$K$5058-Sens!$K$5057-Sens!$K$5059+Sens!$K$5060</f>
        <v>196.106403878619</v>
      </c>
      <c r="L5062" s="38" t="n">
        <f aca="false">Sens!$L$5061+Sens!$L$5058-Sens!$L$5057-Sens!$L$5059+Sens!$L$5060</f>
        <v>375.934210518143</v>
      </c>
      <c r="M5062" s="38" t="n">
        <f aca="false">Sens!$M$5061+Sens!$M$5058-Sens!$M$5057-Sens!$M$5059+Sens!$M$5060</f>
        <v>584.600353364743</v>
      </c>
    </row>
    <row r="5063" customFormat="false" ht="17.15" hidden="false" customHeight="false" outlineLevel="0" collapsed="false">
      <c r="A5063" s="5" t="s">
        <v>797</v>
      </c>
      <c r="B5063" s="0" t="s">
        <v>86</v>
      </c>
      <c r="F5063" s="38" t="n">
        <f aca="false">MAX(0,min_cash-Sens!$F$5062)</f>
        <v>0</v>
      </c>
      <c r="G5063" s="38" t="n">
        <f aca="false">Sens!$F$5063</f>
        <v>0</v>
      </c>
      <c r="H5063" s="38" t="n">
        <f aca="false">MAX(0,min_cash-Sens!$H$5062)</f>
        <v>13.7382786551085</v>
      </c>
      <c r="I5063" s="38" t="n">
        <f aca="false">MAX(0,min_cash-Sens!$I$5062)</f>
        <v>15.5451348078424</v>
      </c>
      <c r="J5063" s="38" t="n">
        <f aca="false">MAX(0,min_cash-Sens!$J$5062)</f>
        <v>0</v>
      </c>
      <c r="K5063" s="38" t="n">
        <f aca="false">MAX(0,min_cash-Sens!$K$5062)</f>
        <v>0</v>
      </c>
      <c r="L5063" s="38" t="n">
        <f aca="false">MAX(0,min_cash-Sens!$L$5062)</f>
        <v>0</v>
      </c>
      <c r="M5063" s="38" t="n">
        <f aca="false">MAX(0,min_cash-Sens!$M$5062)</f>
        <v>0</v>
      </c>
      <c r="P5063" s="5" t="s">
        <v>798</v>
      </c>
    </row>
    <row r="5064" customFormat="false" ht="15" hidden="false" customHeight="false" outlineLevel="0" collapsed="false">
      <c r="A5064" s="5" t="s">
        <v>799</v>
      </c>
      <c r="B5064" s="0" t="s">
        <v>86</v>
      </c>
      <c r="D5064" s="38" t="n">
        <f aca="false">Q!$E$61</f>
        <v>123.029</v>
      </c>
      <c r="E5064" s="38" t="n">
        <f aca="false">Q!$M$61</f>
        <v>122.988</v>
      </c>
      <c r="F5064" s="38" t="n">
        <f aca="false">Sens!$F$5062+Sens!$F$5063</f>
        <v>90.2545859883928</v>
      </c>
      <c r="G5064" s="38" t="n">
        <f aca="false">Sens!$F$5064</f>
        <v>90.2545859883928</v>
      </c>
      <c r="H5064" s="38" t="n">
        <f aca="false">Sens!$H$5062+Sens!$H$5063</f>
        <v>50</v>
      </c>
      <c r="I5064" s="38" t="n">
        <f aca="false">Sens!$I$5062+Sens!$I$5063</f>
        <v>50</v>
      </c>
      <c r="J5064" s="38" t="n">
        <f aca="false">Sens!$J$5062+Sens!$J$5063</f>
        <v>74.7544906752831</v>
      </c>
      <c r="K5064" s="38" t="n">
        <f aca="false">Sens!$K$5062+Sens!$K$5063</f>
        <v>196.106403878619</v>
      </c>
      <c r="L5064" s="38" t="n">
        <f aca="false">Sens!$L$5062+Sens!$L$5063</f>
        <v>375.934210518143</v>
      </c>
      <c r="M5064" s="38" t="n">
        <f aca="false">Sens!$M$5062+Sens!$M$5063</f>
        <v>584.600353364743</v>
      </c>
    </row>
    <row r="5065" customFormat="false" ht="15" hidden="false" customHeight="false" outlineLevel="0" collapsed="false">
      <c r="A5065" s="5" t="s">
        <v>800</v>
      </c>
      <c r="B5065" s="0" t="s">
        <v>86</v>
      </c>
      <c r="D5065" s="38" t="n">
        <f aca="false">Q!$E$62</f>
        <v>68.836</v>
      </c>
      <c r="E5065" s="38" t="n">
        <f aca="false">Q!$M$62</f>
        <v>132.995</v>
      </c>
      <c r="F5065" s="38" t="n">
        <f aca="false">debt_q2+Sens!$F$5060+Sens!$F$5063</f>
        <v>162.244999</v>
      </c>
      <c r="G5065" s="38" t="n">
        <f aca="false">Sens!$F$5065</f>
        <v>162.244999</v>
      </c>
      <c r="H5065" s="38" t="n">
        <f aca="false">Sens!$G$5065+Sens!$H$5063</f>
        <v>175.983277655109</v>
      </c>
      <c r="I5065" s="38" t="n">
        <f aca="false">Sens!$H$5065+Sens!$I$5063</f>
        <v>191.528412462951</v>
      </c>
      <c r="J5065" s="38" t="n">
        <f aca="false">Sens!$I$5065+Sens!$J$5063</f>
        <v>191.528412462951</v>
      </c>
      <c r="K5065" s="38" t="n">
        <f aca="false">Sens!$J$5065+Sens!$K$5063</f>
        <v>191.528412462951</v>
      </c>
      <c r="L5065" s="38" t="n">
        <f aca="false">Sens!$K$5065+Sens!$L$5063</f>
        <v>191.528412462951</v>
      </c>
      <c r="M5065" s="38" t="n">
        <f aca="false">Sens!$L$5065+Sens!$M$5063</f>
        <v>191.528412462951</v>
      </c>
    </row>
    <row r="5066" customFormat="false" ht="15" hidden="false" customHeight="false" outlineLevel="0" collapsed="false">
      <c r="A5066" s="5" t="s">
        <v>801</v>
      </c>
      <c r="B5066" s="0" t="s">
        <v>86</v>
      </c>
      <c r="D5066" s="38" t="n">
        <f aca="false">Sens!$D$5065-Sens!$D$5064</f>
        <v>-54.193</v>
      </c>
      <c r="E5066" s="38" t="n">
        <f aca="false">Sens!$E$5065-Sens!$E$5064</f>
        <v>10.007</v>
      </c>
      <c r="F5066" s="38" t="n">
        <f aca="false">Sens!$F$5065-Sens!$F$5064</f>
        <v>71.9904130116072</v>
      </c>
      <c r="G5066" s="38" t="n">
        <f aca="false">Sens!$G$5065-Sens!$G$5064</f>
        <v>71.9904130116072</v>
      </c>
      <c r="H5066" s="38" t="n">
        <f aca="false">Sens!$H$5065-Sens!$H$5064</f>
        <v>125.983277655109</v>
      </c>
      <c r="I5066" s="38" t="n">
        <f aca="false">Sens!$I$5065-Sens!$I$5064</f>
        <v>141.528412462951</v>
      </c>
      <c r="J5066" s="38" t="n">
        <f aca="false">Sens!$J$5065-Sens!$J$5064</f>
        <v>116.773921787668</v>
      </c>
      <c r="K5066" s="38" t="n">
        <f aca="false">Sens!$K$5065-Sens!$K$5064</f>
        <v>-4.57799141566841</v>
      </c>
      <c r="L5066" s="38" t="n">
        <f aca="false">Sens!$L$5065-Sens!$L$5064</f>
        <v>-184.405798055192</v>
      </c>
      <c r="M5066" s="38" t="n">
        <f aca="false">Sens!$M$5065-Sens!$M$5064</f>
        <v>-393.071940901792</v>
      </c>
    </row>
    <row r="5067" customFormat="false" ht="17.15" hidden="false" customHeight="false" outlineLevel="0" collapsed="false">
      <c r="A5067" s="5" t="s">
        <v>802</v>
      </c>
      <c r="B5067" s="0" t="s">
        <v>86</v>
      </c>
      <c r="F5067" s="38" t="n">
        <f aca="false">debt_q2*kd_book*0.5+iss_2h26*kd_new*iss_t</f>
        <v>3.24888962733561</v>
      </c>
      <c r="H5067" s="38" t="n">
        <f aca="false">debt_q2*kd_book+(Sens!$G$5065-debt_q2)*kd_new</f>
        <v>7.42354172302123</v>
      </c>
      <c r="I5067" s="38" t="n">
        <f aca="false">debt_q2*kd_book+(Sens!$H$5065-debt_q2)*kd_new</f>
        <v>8.2931747618896</v>
      </c>
      <c r="J5067" s="38" t="n">
        <f aca="false">debt_q2*kd_book+(Sens!$I$5065-debt_q2)*kd_new</f>
        <v>9.27718179522602</v>
      </c>
      <c r="K5067" s="38" t="n">
        <f aca="false">debt_q2*kd_book+(Sens!$J$5065-debt_q2)*kd_new</f>
        <v>9.27718179522602</v>
      </c>
      <c r="L5067" s="38" t="n">
        <f aca="false">debt_q2*kd_book+(Sens!$K$5065-debt_q2)*kd_new</f>
        <v>9.27718179522602</v>
      </c>
      <c r="M5067" s="38" t="n">
        <f aca="false">debt_q2*kd_book+(Sens!$L$5065-debt_q2)*kd_new</f>
        <v>9.27718179522602</v>
      </c>
    </row>
    <row r="5068" customFormat="false" ht="17.15" hidden="false" customHeight="false" outlineLevel="0" collapsed="false">
      <c r="A5068" s="5" t="s">
        <v>803</v>
      </c>
      <c r="B5068" s="0" t="s">
        <v>86</v>
      </c>
      <c r="F5068" s="38" t="n">
        <f aca="false">cash_q2*y_cash*0.5</f>
        <v>2.59</v>
      </c>
      <c r="H5068" s="38" t="n">
        <f aca="false">Sens!$G$5064*y_cash</f>
        <v>3.80133635330174</v>
      </c>
      <c r="I5068" s="38" t="n">
        <f aca="false">Sens!$H$5064*y_cash</f>
        <v>2.10589651022864</v>
      </c>
      <c r="J5068" s="38" t="n">
        <f aca="false">Sens!$I$5064*y_cash</f>
        <v>2.10589651022864</v>
      </c>
      <c r="K5068" s="38" t="n">
        <f aca="false">Sens!$J$5064*y_cash</f>
        <v>3.14850442073996</v>
      </c>
      <c r="L5068" s="38" t="n">
        <f aca="false">Sens!$K$5064*y_cash</f>
        <v>8.25959583122945</v>
      </c>
      <c r="M5068" s="38" t="n">
        <f aca="false">Sens!$L$5064*y_cash</f>
        <v>15.8335708401143</v>
      </c>
    </row>
    <row r="5069" customFormat="false" ht="17.15" hidden="false" customHeight="false" outlineLevel="0" collapsed="false">
      <c r="A5069" s="47" t="s">
        <v>804</v>
      </c>
      <c r="B5069" s="14" t="s">
        <v>86</v>
      </c>
      <c r="C5069" s="14"/>
      <c r="D5069" s="14"/>
      <c r="E5069" s="14"/>
      <c r="F5069" s="14"/>
      <c r="G5069" s="48" t="n">
        <f aca="false">SUM(Sens!$G$5058:$K$5058)</f>
        <v>10.1939914156684</v>
      </c>
      <c r="H5069" s="14"/>
      <c r="I5069" s="14"/>
      <c r="J5069" s="14"/>
      <c r="K5069" s="14"/>
      <c r="L5069" s="14"/>
      <c r="M5069" s="14"/>
      <c r="N5069" s="14"/>
      <c r="O5069" s="14"/>
    </row>
    <row r="5070" customFormat="false" ht="17.15" hidden="false" customHeight="false" outlineLevel="0" collapsed="false">
      <c r="A5070" s="0" t="s">
        <v>770</v>
      </c>
      <c r="B5070" s="0" t="s">
        <v>86</v>
      </c>
      <c r="G5070" s="38" t="n">
        <f aca="false">SUM(Sens!$G$5063:$K$5063)</f>
        <v>29.2834134629509</v>
      </c>
    </row>
    <row r="5071" customFormat="false" ht="17.15" hidden="false" customHeight="false" outlineLevel="0" collapsed="false">
      <c r="A5071" s="24" t="s">
        <v>807</v>
      </c>
      <c r="B5071" s="25" t="s">
        <v>86</v>
      </c>
      <c r="C5071" s="25"/>
      <c r="D5071" s="25"/>
      <c r="E5071" s="25"/>
      <c r="F5071" s="25"/>
      <c r="G5071" s="41" t="n">
        <f aca="false">Sens!$G$5069-(Sens!$G$5058+Sens!$H$5058+Sens!$I$5058+Sens!$J$5058+Sens!$K$5058)</f>
        <v>0</v>
      </c>
      <c r="H5071" s="25"/>
      <c r="I5071" s="25"/>
      <c r="J5071" s="25"/>
      <c r="K5071" s="25"/>
      <c r="L5071" s="25"/>
      <c r="M5071" s="25"/>
      <c r="N5071" s="25"/>
      <c r="O5071" s="25"/>
    </row>
    <row r="5074" customFormat="false" ht="19.4" hidden="false" customHeight="false" outlineLevel="0" collapsed="false">
      <c r="A5074" s="31" t="s">
        <v>1231</v>
      </c>
    </row>
    <row r="5075" customFormat="false" ht="17.15" hidden="false" customHeight="false" outlineLevel="0" collapsed="false">
      <c r="A5075" s="6" t="s">
        <v>16</v>
      </c>
      <c r="B5075" s="6" t="s">
        <v>17</v>
      </c>
      <c r="C5075" s="20" t="s">
        <v>494</v>
      </c>
      <c r="D5075" s="20" t="s">
        <v>495</v>
      </c>
      <c r="E5075" s="20" t="s">
        <v>577</v>
      </c>
      <c r="F5075" s="20" t="s">
        <v>578</v>
      </c>
      <c r="G5075" s="20" t="s">
        <v>579</v>
      </c>
      <c r="H5075" s="20" t="s">
        <v>580</v>
      </c>
      <c r="I5075" s="20" t="s">
        <v>581</v>
      </c>
      <c r="J5075" s="20" t="s">
        <v>582</v>
      </c>
      <c r="K5075" s="20" t="s">
        <v>583</v>
      </c>
      <c r="L5075" s="20" t="s">
        <v>584</v>
      </c>
      <c r="M5075" s="20" t="s">
        <v>585</v>
      </c>
      <c r="N5075" s="20" t="s">
        <v>586</v>
      </c>
      <c r="O5075" s="20" t="s">
        <v>587</v>
      </c>
      <c r="P5075" s="6" t="s">
        <v>23</v>
      </c>
      <c r="R5075" s="20" t="n">
        <v>2023</v>
      </c>
      <c r="S5075" s="20" t="n">
        <v>2024</v>
      </c>
      <c r="T5075" s="20" t="n">
        <v>2025</v>
      </c>
      <c r="U5075" s="20" t="n">
        <v>2026</v>
      </c>
      <c r="V5075" s="20" t="n">
        <v>2027</v>
      </c>
      <c r="W5075" s="20" t="n">
        <v>2028</v>
      </c>
      <c r="X5075" s="20" t="n">
        <v>2029</v>
      </c>
      <c r="Y5075" s="20" t="n">
        <v>2030</v>
      </c>
      <c r="Z5075" s="20" t="n">
        <v>2031</v>
      </c>
      <c r="AA5075" s="20" t="n">
        <v>2032</v>
      </c>
    </row>
    <row r="5076" customFormat="false" ht="17.15" hidden="false" customHeight="false" outlineLevel="0" collapsed="false">
      <c r="A5076" s="1" t="s">
        <v>909</v>
      </c>
    </row>
    <row r="5077" customFormat="false" ht="17.15" hidden="false" customHeight="false" outlineLevel="0" collapsed="false">
      <c r="A5077" s="0" t="s">
        <v>910</v>
      </c>
      <c r="B5077" s="0" t="s">
        <v>86</v>
      </c>
      <c r="H5077" s="38" t="n">
        <f aca="false">Sens!$H$5011*(1-tax)</f>
        <v>117.433243423729</v>
      </c>
      <c r="I5077" s="38" t="n">
        <f aca="false">Sens!$I$5011*(1-tax)</f>
        <v>142.829109667048</v>
      </c>
      <c r="J5077" s="38" t="n">
        <f aca="false">Sens!$J$5011*(1-tax)</f>
        <v>166.999275189185</v>
      </c>
      <c r="K5077" s="38" t="n">
        <f aca="false">Sens!$K$5011*(1-tax)</f>
        <v>184.249088119477</v>
      </c>
      <c r="L5077" s="38" t="n">
        <f aca="false">Sens!$L$5011*(1-tax)</f>
        <v>199.752821326616</v>
      </c>
      <c r="M5077" s="38" t="n">
        <f aca="false">Sens!$M$5011*(1-tax)</f>
        <v>212.59629763103</v>
      </c>
    </row>
    <row r="5078" customFormat="false" ht="15" hidden="false" customHeight="false" outlineLevel="0" collapsed="false">
      <c r="A5078" s="5" t="s">
        <v>911</v>
      </c>
      <c r="B5078" s="0" t="s">
        <v>86</v>
      </c>
      <c r="H5078" s="38" t="n">
        <f aca="false">Sens!$H$5022</f>
        <v>84.3163410985152</v>
      </c>
      <c r="I5078" s="38" t="n">
        <f aca="false">Sens!$I$5022</f>
        <v>117.040344991004</v>
      </c>
      <c r="J5078" s="38" t="n">
        <f aca="false">Sens!$J$5022</f>
        <v>150.498981474685</v>
      </c>
      <c r="K5078" s="38" t="n">
        <f aca="false">Sens!$K$5022</f>
        <v>184.188121970284</v>
      </c>
      <c r="L5078" s="38" t="n">
        <f aca="false">Sens!$L$5022</f>
        <v>207.768718060808</v>
      </c>
      <c r="M5078" s="38" t="n">
        <f aca="false">Sens!$M$5022</f>
        <v>224.003934647752</v>
      </c>
    </row>
    <row r="5079" customFormat="false" ht="15" hidden="false" customHeight="false" outlineLevel="0" collapsed="false">
      <c r="A5079" s="5" t="s">
        <v>912</v>
      </c>
      <c r="B5079" s="0" t="s">
        <v>86</v>
      </c>
      <c r="H5079" s="38" t="n">
        <f aca="false">Sens!$H$5053</f>
        <v>273.372679834898</v>
      </c>
      <c r="I5079" s="38" t="n">
        <f aca="false">Sens!$I$5053</f>
        <v>286.981812228425</v>
      </c>
      <c r="J5079" s="38" t="n">
        <f aca="false">Sens!$J$5053</f>
        <v>299.316513378366</v>
      </c>
      <c r="K5079" s="38" t="n">
        <f aca="false">Sens!$K$5053</f>
        <v>251.057145512292</v>
      </c>
      <c r="L5079" s="38" t="n">
        <f aca="false">Sens!$L$5053</f>
        <v>234.696330860396</v>
      </c>
      <c r="M5079" s="38" t="n">
        <f aca="false">Sens!$M$5053</f>
        <v>242.291696043352</v>
      </c>
    </row>
    <row r="5080" customFormat="false" ht="15" hidden="false" customHeight="false" outlineLevel="0" collapsed="false">
      <c r="A5080" s="5" t="s">
        <v>913</v>
      </c>
      <c r="B5080" s="0" t="s">
        <v>86</v>
      </c>
      <c r="H5080" s="38" t="n">
        <f aca="false">Sens!$H$5054</f>
        <v>1.6</v>
      </c>
      <c r="I5080" s="38" t="n">
        <f aca="false">Sens!$I$5054</f>
        <v>1.6</v>
      </c>
      <c r="J5080" s="38" t="n">
        <f aca="false">Sens!$J$5054</f>
        <v>1.6</v>
      </c>
      <c r="K5080" s="38" t="n">
        <f aca="false">Sens!$K$5054</f>
        <v>1.6</v>
      </c>
      <c r="L5080" s="38" t="n">
        <f aca="false">Sens!$L$5054</f>
        <v>1.6</v>
      </c>
      <c r="M5080" s="38" t="n">
        <f aca="false">Sens!$M$5054</f>
        <v>1.6</v>
      </c>
    </row>
    <row r="5081" customFormat="false" ht="15" hidden="false" customHeight="false" outlineLevel="0" collapsed="false">
      <c r="A5081" s="5" t="s">
        <v>914</v>
      </c>
      <c r="B5081" s="0" t="s">
        <v>86</v>
      </c>
      <c r="H5081" s="38" t="n">
        <f aca="false">Sens!$H$5048</f>
        <v>11.2928295263397</v>
      </c>
      <c r="I5081" s="38" t="n">
        <f aca="false">Sens!$I$5048</f>
        <v>12.8091546115766</v>
      </c>
      <c r="J5081" s="38" t="n">
        <f aca="false">Sens!$J$5048</f>
        <v>14.2605653162668</v>
      </c>
      <c r="K5081" s="38" t="n">
        <f aca="false">Sens!$K$5048</f>
        <v>15.5327622460396</v>
      </c>
      <c r="L5081" s="38" t="n">
        <f aca="false">Sens!$L$5048</f>
        <v>16.720573737517</v>
      </c>
      <c r="M5081" s="38" t="n">
        <f aca="false">Sens!$M$5048</f>
        <v>17.8283127551536</v>
      </c>
    </row>
    <row r="5082" customFormat="false" ht="17.15" hidden="false" customHeight="false" outlineLevel="0" collapsed="false">
      <c r="A5082" s="1" t="s">
        <v>915</v>
      </c>
      <c r="B5082" s="8" t="s">
        <v>86</v>
      </c>
      <c r="H5082" s="38" t="n">
        <f aca="false">Sens!$H$5077+Sens!$H$5078-Sens!$H$5079-Sens!$H$5080+Sens!$H$5081</f>
        <v>-61.930265786314</v>
      </c>
      <c r="I5082" s="38" t="n">
        <f aca="false">Sens!$I$5077+Sens!$I$5078-Sens!$I$5079-Sens!$I$5080+Sens!$I$5081</f>
        <v>-15.9032029587969</v>
      </c>
      <c r="J5082" s="38" t="n">
        <f aca="false">Sens!$J$5077+Sens!$J$5078-Sens!$J$5079-Sens!$J$5080+Sens!$J$5081</f>
        <v>30.8423086017711</v>
      </c>
      <c r="K5082" s="38" t="n">
        <f aca="false">Sens!$K$5077+Sens!$K$5078-Sens!$K$5079-Sens!$K$5080+Sens!$K$5081</f>
        <v>131.312826823508</v>
      </c>
      <c r="L5082" s="38" t="n">
        <f aca="false">Sens!$L$5077+Sens!$L$5078-Sens!$L$5079-Sens!$L$5080+Sens!$L$5081</f>
        <v>187.945782264545</v>
      </c>
      <c r="M5082" s="38" t="n">
        <f aca="false">Sens!$M$5077+Sens!$M$5078-Sens!$M$5079-Sens!$M$5080+Sens!$M$5081</f>
        <v>210.536848990583</v>
      </c>
    </row>
    <row r="5083" customFormat="false" ht="15" hidden="false" customHeight="false" outlineLevel="0" collapsed="false">
      <c r="A5083" s="5" t="s">
        <v>916</v>
      </c>
      <c r="B5083" s="0" t="s">
        <v>57</v>
      </c>
      <c r="H5083" s="40" t="n">
        <f aca="false">1/(1+(wacc-0.01))^(2027-2026-0.5)</f>
        <v>0.952036717208703</v>
      </c>
      <c r="I5083" s="40" t="n">
        <f aca="false">1/(1+(wacc-0.01))^(2028-2026-0.5)</f>
        <v>0.862901242709724</v>
      </c>
      <c r="J5083" s="40" t="n">
        <f aca="false">1/(1+(wacc-0.01))^(2029-2026-0.5)</f>
        <v>0.782111174086951</v>
      </c>
      <c r="K5083" s="40" t="n">
        <f aca="false">1/(1+(wacc-0.01))^(2030-2026-0.5)</f>
        <v>0.708885163626357</v>
      </c>
      <c r="L5083" s="40" t="n">
        <f aca="false">1/(1+(wacc-0.01))^(2031-2026-0.5)</f>
        <v>0.642515018144594</v>
      </c>
      <c r="M5083" s="40" t="n">
        <f aca="false">1/(1+(wacc-0.01))^(2032-2026-0.5)</f>
        <v>0.582358849816389</v>
      </c>
    </row>
    <row r="5084" customFormat="false" ht="15" hidden="false" customHeight="false" outlineLevel="0" collapsed="false">
      <c r="A5084" s="5" t="s">
        <v>917</v>
      </c>
      <c r="B5084" s="0" t="s">
        <v>86</v>
      </c>
      <c r="H5084" s="38" t="n">
        <f aca="false">Sens!$H$5082*Sens!$H$5083</f>
        <v>-58.9598869350648</v>
      </c>
      <c r="I5084" s="38" t="n">
        <f aca="false">Sens!$I$5082*Sens!$I$5083</f>
        <v>-13.7228935962108</v>
      </c>
      <c r="J5084" s="38" t="n">
        <f aca="false">Sens!$J$5082*Sens!$J$5083</f>
        <v>24.1221141920833</v>
      </c>
      <c r="K5084" s="38" t="n">
        <f aca="false">Sens!$K$5082*Sens!$K$5083</f>
        <v>93.0857147290217</v>
      </c>
      <c r="L5084" s="38" t="n">
        <f aca="false">Sens!$L$5082*Sens!$L$5083</f>
        <v>120.757987701904</v>
      </c>
      <c r="M5084" s="38" t="n">
        <f aca="false">Sens!$M$5082*Sens!$M$5083</f>
        <v>122.607997222123</v>
      </c>
    </row>
    <row r="5085" customFormat="false" ht="15" hidden="false" customHeight="false" outlineLevel="0" collapsed="false">
      <c r="A5085" s="5" t="s">
        <v>918</v>
      </c>
      <c r="B5085" s="0" t="s">
        <v>86</v>
      </c>
      <c r="C5085" s="38" t="n">
        <f aca="false">SUM(Sens!$H$5084:$M$5084)</f>
        <v>287.891033313856</v>
      </c>
    </row>
    <row r="5086" customFormat="false" ht="17.15" hidden="false" customHeight="false" outlineLevel="0" collapsed="false">
      <c r="A5086" s="5" t="s">
        <v>919</v>
      </c>
      <c r="B5086" s="0" t="s">
        <v>86</v>
      </c>
      <c r="C5086" s="38" t="n">
        <f aca="false">Sens!$M$5077*(1+tg)*(1-tg/ronic)/((wacc-0.01)-tg)</f>
        <v>2196.42182591402</v>
      </c>
    </row>
    <row r="5087" customFormat="false" ht="15" hidden="false" customHeight="false" outlineLevel="0" collapsed="false">
      <c r="A5087" s="5" t="s">
        <v>920</v>
      </c>
      <c r="B5087" s="0" t="s">
        <v>86</v>
      </c>
      <c r="C5087" s="38" t="n">
        <f aca="false">Sens!$C$5086/(1+(wacc-0.01))^6</f>
        <v>1217.75558040536</v>
      </c>
    </row>
    <row r="5088" customFormat="false" ht="17.15" hidden="false" customHeight="false" outlineLevel="0" collapsed="false">
      <c r="A5088" s="5" t="s">
        <v>921</v>
      </c>
      <c r="B5088" s="0" t="s">
        <v>86</v>
      </c>
      <c r="C5088" s="38" t="n">
        <f aca="false">Sens!$C$5085+Sens!$C$5087</f>
        <v>1505.64661371922</v>
      </c>
    </row>
    <row r="5089" customFormat="false" ht="17.15" hidden="false" customHeight="false" outlineLevel="0" collapsed="false">
      <c r="A5089" s="5" t="s">
        <v>922</v>
      </c>
      <c r="B5089" s="0" t="s">
        <v>52</v>
      </c>
      <c r="C5089" s="13" t="n">
        <f aca="false">Sens!$C$5087/Sens!$C$5088</f>
        <v>0.808792427990315</v>
      </c>
    </row>
    <row r="5090" customFormat="false" ht="17.15" hidden="false" customHeight="false" outlineLevel="0" collapsed="false">
      <c r="A5090" s="5" t="s">
        <v>923</v>
      </c>
      <c r="B5090" s="0" t="s">
        <v>86</v>
      </c>
      <c r="C5090" s="38" t="n">
        <f aca="false">Sens!$G$5066+fin_debt</f>
        <v>96.5114130116072</v>
      </c>
    </row>
    <row r="5091" customFormat="false" ht="17.15" hidden="false" customHeight="false" outlineLevel="0" collapsed="false">
      <c r="A5091" s="5" t="s">
        <v>924</v>
      </c>
      <c r="B5091" s="0" t="s">
        <v>86</v>
      </c>
      <c r="C5091" s="38" t="n">
        <f aca="false">(ant_val*ant_sh+oai_val*oai_sh)*(1-liq_disc)</f>
        <v>178.944</v>
      </c>
    </row>
    <row r="5092" customFormat="false" ht="15" hidden="false" customHeight="false" outlineLevel="0" collapsed="false">
      <c r="A5092" s="5" t="s">
        <v>925</v>
      </c>
      <c r="B5092" s="0" t="s">
        <v>86</v>
      </c>
      <c r="C5092" s="38" t="n">
        <f aca="false">Sens!$C$5088-Sens!$C$5090+Sens!$C$5091</f>
        <v>1588.07920070761</v>
      </c>
    </row>
    <row r="5093" customFormat="false" ht="17.15" hidden="false" customHeight="false" outlineLevel="0" collapsed="false">
      <c r="A5093" s="5" t="s">
        <v>926</v>
      </c>
      <c r="B5093" s="0" t="s">
        <v>27</v>
      </c>
      <c r="C5093" s="30" t="n">
        <f aca="false">Sens!$C$5092/sh_out</f>
        <v>147.23094476089</v>
      </c>
    </row>
    <row r="5094" customFormat="false" ht="17.15" hidden="false" customHeight="false" outlineLevel="0" collapsed="false">
      <c r="A5094" s="1" t="s">
        <v>927</v>
      </c>
      <c r="B5094" s="8" t="s">
        <v>27</v>
      </c>
      <c r="C5094" s="30" t="n">
        <f aca="false">Sens!$C$5093*(1+ke)^tp_yf-dps*tp_yf</f>
        <v>161.272190128107</v>
      </c>
    </row>
    <row r="5095" customFormat="false" ht="17.15" hidden="false" customHeight="false" outlineLevel="0" collapsed="false">
      <c r="A5095" s="3" t="s">
        <v>928</v>
      </c>
    </row>
    <row r="5096" customFormat="false" ht="17.15" hidden="false" customHeight="false" outlineLevel="0" collapsed="false">
      <c r="A5096" s="5" t="s">
        <v>929</v>
      </c>
      <c r="B5096" s="0" t="s">
        <v>86</v>
      </c>
      <c r="C5096" s="38" t="n">
        <f aca="false">(1-tp_yf)*(Sens!$H$5023+Sens!$H$5047*Sens!$H$4889/Sens!$H$4964)+tp_yf*(Sens!$I$5023+Sens!$I$5047*Sens!$I$4889/Sens!$I$4964)</f>
        <v>59.634664536349</v>
      </c>
    </row>
    <row r="5097" customFormat="false" ht="15" hidden="false" customHeight="false" outlineLevel="0" collapsed="false">
      <c r="A5097" s="5" t="s">
        <v>930</v>
      </c>
      <c r="B5097" s="0" t="s">
        <v>57</v>
      </c>
      <c r="C5097" s="30" t="n">
        <f aca="false">m_ads*m_x</f>
        <v>9.11</v>
      </c>
    </row>
    <row r="5098" customFormat="false" ht="17.15" hidden="false" customHeight="false" outlineLevel="0" collapsed="false">
      <c r="A5098" s="5" t="s">
        <v>931</v>
      </c>
      <c r="B5098" s="0" t="s">
        <v>86</v>
      </c>
      <c r="C5098" s="38" t="n">
        <f aca="false">Sens!$C$5096*Sens!$C$5097</f>
        <v>543.271793926139</v>
      </c>
    </row>
    <row r="5099" customFormat="false" ht="17.15" hidden="false" customHeight="false" outlineLevel="0" collapsed="false">
      <c r="A5099" s="5" t="s">
        <v>932</v>
      </c>
      <c r="B5099" s="0" t="s">
        <v>86</v>
      </c>
      <c r="C5099" s="38" t="n">
        <f aca="false">(1-tp_yf)*(Sens!$H$5024+Sens!$H$5047*(Sens!$H$4896-Sens!$H$4889)/Sens!$H$4964+IF(internal_ai_reading=2,1,0)*(1-ext_sh)*Sens!$H$4926)+tp_yf*(Sens!$I$5024+Sens!$I$5047*(Sens!$I$4896-Sens!$I$4889)/Sens!$I$4964+IF(internal_ai_reading=2,1,0)*(1-ext_sh)*Sens!$I$4926)</f>
        <v>51.7770728324773</v>
      </c>
    </row>
    <row r="5100" customFormat="false" ht="17.15" hidden="false" customHeight="false" outlineLevel="0" collapsed="false">
      <c r="A5100" s="5" t="s">
        <v>933</v>
      </c>
      <c r="B5100" s="0" t="s">
        <v>57</v>
      </c>
      <c r="C5100" s="30" t="n">
        <f aca="false">m_retail*m_x</f>
        <v>17.72</v>
      </c>
    </row>
    <row r="5101" customFormat="false" ht="17.15" hidden="false" customHeight="false" outlineLevel="0" collapsed="false">
      <c r="A5101" s="5" t="s">
        <v>934</v>
      </c>
      <c r="B5101" s="0" t="s">
        <v>86</v>
      </c>
      <c r="C5101" s="38" t="n">
        <f aca="false">Sens!$C$5099*Sens!$C$5100</f>
        <v>917.489730591498</v>
      </c>
    </row>
    <row r="5102" customFormat="false" ht="17.15" hidden="false" customHeight="false" outlineLevel="0" collapsed="false">
      <c r="A5102" s="0" t="s">
        <v>935</v>
      </c>
      <c r="B5102" s="0" t="s">
        <v>86</v>
      </c>
      <c r="C5102" s="38" t="n">
        <f aca="false">(1-tp_yf)*(Sens!$H$5025+Sens!$H$5047*Sens!$H$4962/Sens!$H$4964)+tp_yf*(Sens!$I$5025+Sens!$I$5047*Sens!$I$4962/Sens!$I$4964)</f>
        <v>97.3363031479074</v>
      </c>
    </row>
    <row r="5103" customFormat="false" ht="17.15" hidden="false" customHeight="false" outlineLevel="0" collapsed="false">
      <c r="A5103" s="0" t="s">
        <v>936</v>
      </c>
      <c r="B5103" s="0" t="s">
        <v>57</v>
      </c>
      <c r="C5103" s="30" t="n">
        <f aca="false">m_cloud*m_x</f>
        <v>13.82</v>
      </c>
    </row>
    <row r="5104" customFormat="false" ht="17.15" hidden="false" customHeight="false" outlineLevel="0" collapsed="false">
      <c r="A5104" s="0" t="s">
        <v>937</v>
      </c>
      <c r="B5104" s="0" t="s">
        <v>86</v>
      </c>
      <c r="C5104" s="38" t="n">
        <f aca="false">Sens!$C$5102*Sens!$C$5103</f>
        <v>1345.18770950408</v>
      </c>
    </row>
    <row r="5105" customFormat="false" ht="17.15" hidden="false" customHeight="false" outlineLevel="0" collapsed="false">
      <c r="A5105" s="0" t="s">
        <v>938</v>
      </c>
      <c r="B5105" s="0" t="s">
        <v>86</v>
      </c>
      <c r="H5105" s="38" t="n">
        <f aca="false">Sens!$H$4943-tax*Sens!$H$4944-ext_sh*Sens!$H$4933</f>
        <v>-114.686944664267</v>
      </c>
      <c r="I5105" s="38" t="n">
        <f aca="false">Sens!$I$4943-tax*Sens!$I$4944-ext_sh*Sens!$I$4933</f>
        <v>-88.3950641557111</v>
      </c>
      <c r="J5105" s="38" t="n">
        <f aca="false">Sens!$J$4943-tax*Sens!$J$4944-ext_sh*Sens!$J$4933</f>
        <v>-61.1526151740695</v>
      </c>
      <c r="K5105" s="38" t="n">
        <f aca="false">Sens!$K$4943-tax*Sens!$K$4944-ext_sh*Sens!$K$4933</f>
        <v>10.057774712684</v>
      </c>
      <c r="L5105" s="38" t="n">
        <f aca="false">Sens!$L$4943-tax*Sens!$L$4944-ext_sh*Sens!$L$4933</f>
        <v>46.6587675560356</v>
      </c>
      <c r="M5105" s="38" t="n">
        <f aca="false">Sens!$M$4943-tax*Sens!$M$4944-ext_sh*Sens!$M$4933</f>
        <v>55.3915455321129</v>
      </c>
    </row>
    <row r="5106" customFormat="false" ht="17.15" hidden="false" customHeight="false" outlineLevel="0" collapsed="false">
      <c r="A5106" s="5" t="s">
        <v>939</v>
      </c>
      <c r="B5106" s="0" t="s">
        <v>86</v>
      </c>
      <c r="H5106" s="38" t="n">
        <f aca="false">Sens!$H$5105*Sens!$H$5083</f>
        <v>-109.186182304865</v>
      </c>
      <c r="I5106" s="38" t="n">
        <f aca="false">Sens!$I$5105*Sens!$I$5083</f>
        <v>-76.2762107093688</v>
      </c>
      <c r="J5106" s="38" t="n">
        <f aca="false">Sens!$J$5105*Sens!$J$5083</f>
        <v>-47.828143652279</v>
      </c>
      <c r="K5106" s="38" t="n">
        <f aca="false">Sens!$K$5105*Sens!$K$5083</f>
        <v>7.12980727291801</v>
      </c>
      <c r="L5106" s="38" t="n">
        <f aca="false">Sens!$L$5105*Sens!$L$5083</f>
        <v>29.9789588828706</v>
      </c>
      <c r="M5106" s="38" t="n">
        <f aca="false">Sens!$M$5105*Sens!$M$5083</f>
        <v>32.2577567456334</v>
      </c>
    </row>
    <row r="5107" customFormat="false" ht="17.15" hidden="false" customHeight="false" outlineLevel="0" collapsed="false">
      <c r="A5107" s="5" t="s">
        <v>940</v>
      </c>
      <c r="B5107" s="0" t="s">
        <v>86</v>
      </c>
      <c r="C5107" s="38" t="n">
        <f aca="false">Sens!$M$4944*(1-tax)*(1+tg)*(1-tg/ronic)/((wacc-0.01)-tg)</f>
        <v>413.230864052359</v>
      </c>
    </row>
    <row r="5108" customFormat="false" ht="17.15" hidden="false" customHeight="false" outlineLevel="0" collapsed="false">
      <c r="A5108" s="0" t="s">
        <v>941</v>
      </c>
      <c r="B5108" s="0" t="s">
        <v>86</v>
      </c>
      <c r="C5108" s="38" t="n">
        <f aca="false">(SUM(Sens!$H$5106:$M$5106)+Sens!$C$5107/(1+(wacc-0.01))^6)*(1+(wacc-0.01))^tp_yf</f>
        <v>70.667502486622</v>
      </c>
    </row>
    <row r="5109" customFormat="false" ht="17.15" hidden="false" customHeight="false" outlineLevel="0" collapsed="false">
      <c r="A5109" s="5" t="s">
        <v>942</v>
      </c>
      <c r="B5109" s="0" t="s">
        <v>86</v>
      </c>
      <c r="C5109" s="38" t="n">
        <f aca="false">(1-tp_yf)*(Sens!$H$5026)+tp_yf*(Sens!$I$5026)</f>
        <v>74.6707041238437</v>
      </c>
    </row>
    <row r="5110" customFormat="false" ht="17.15" hidden="false" customHeight="false" outlineLevel="0" collapsed="false">
      <c r="A5110" s="5" t="s">
        <v>943</v>
      </c>
      <c r="B5110" s="0" t="s">
        <v>86</v>
      </c>
      <c r="C5110" s="38" t="n">
        <f aca="false">Sens!$C$5109*m_ai</f>
        <v>448.024224743062</v>
      </c>
    </row>
    <row r="5111" customFormat="false" ht="17.15" hidden="false" customHeight="false" outlineLevel="0" collapsed="false">
      <c r="A5111" s="0" t="s">
        <v>944</v>
      </c>
      <c r="B5111" s="0" t="s">
        <v>86</v>
      </c>
      <c r="C5111" s="38" t="n">
        <f aca="false">IF(ai_leg=1,Sens!$C$5108,Sens!$C$5110)</f>
        <v>70.667502486622</v>
      </c>
    </row>
    <row r="5112" customFormat="false" ht="17.15" hidden="false" customHeight="false" outlineLevel="0" collapsed="false">
      <c r="A5112" s="5" t="s">
        <v>945</v>
      </c>
      <c r="B5112" s="0" t="s">
        <v>86</v>
      </c>
      <c r="C5112" s="38" t="n">
        <f aca="false">Sens!$C$5098+Sens!$C$5101+Sens!$C$5104+Sens!$C$5111</f>
        <v>2876.61673650834</v>
      </c>
    </row>
    <row r="5113" customFormat="false" ht="17.15" hidden="false" customHeight="false" outlineLevel="0" collapsed="false">
      <c r="A5113" s="5" t="s">
        <v>946</v>
      </c>
      <c r="B5113" s="0" t="s">
        <v>86</v>
      </c>
      <c r="C5113" s="38" t="n">
        <f aca="false">Sens!$H$5066+fin_debt</f>
        <v>150.504277655109</v>
      </c>
    </row>
    <row r="5114" customFormat="false" ht="15" hidden="false" customHeight="false" outlineLevel="0" collapsed="false">
      <c r="A5114" s="5" t="s">
        <v>947</v>
      </c>
      <c r="B5114" s="0" t="s">
        <v>86</v>
      </c>
      <c r="C5114" s="38" t="n">
        <f aca="false">Sens!$C$5112-Sens!$C$5113+Sens!$C$5091</f>
        <v>2905.05645885323</v>
      </c>
    </row>
    <row r="5115" customFormat="false" ht="15" hidden="false" customHeight="false" outlineLevel="0" collapsed="false">
      <c r="A5115" s="3" t="s">
        <v>948</v>
      </c>
      <c r="B5115" s="8" t="s">
        <v>27</v>
      </c>
      <c r="C5115" s="30" t="n">
        <f aca="false">Sens!$C$5114/sh_val</f>
        <v>263.370241214641</v>
      </c>
    </row>
    <row r="5116" customFormat="false" ht="17.15" hidden="false" customHeight="false" outlineLevel="0" collapsed="false">
      <c r="A5116" s="47" t="s">
        <v>949</v>
      </c>
      <c r="B5116" s="14" t="s">
        <v>27</v>
      </c>
      <c r="C5116" s="44" t="n">
        <f aca="false">w_dcf*Sens!$C$5094+(1-w_dcf)*Sens!$C$5115</f>
        <v>212.321215671374</v>
      </c>
      <c r="D5116" s="14"/>
      <c r="E5116" s="14"/>
      <c r="F5116" s="14"/>
      <c r="G5116" s="14"/>
      <c r="H5116" s="14"/>
      <c r="I5116" s="14"/>
      <c r="J5116" s="14"/>
      <c r="K5116" s="14"/>
      <c r="L5116" s="14"/>
      <c r="M5116" s="14"/>
      <c r="N5116" s="14"/>
      <c r="O5116" s="14"/>
    </row>
    <row r="5117" customFormat="false" ht="17.15" hidden="false" customHeight="false" outlineLevel="0" collapsed="false">
      <c r="A5117" s="5" t="s">
        <v>950</v>
      </c>
      <c r="B5117" s="0" t="s">
        <v>27</v>
      </c>
      <c r="C5117" s="30" t="n">
        <f aca="false">v022_wdcf*Sens!$C$5094+(1-v022_wdcf)*Sens!$C$5115</f>
        <v>217.426118225701</v>
      </c>
    </row>
    <row r="5118" customFormat="false" ht="17.15" hidden="false" customHeight="false" outlineLevel="0" collapsed="false">
      <c r="A5118" s="5" t="s">
        <v>951</v>
      </c>
      <c r="B5118" s="0" t="s">
        <v>27</v>
      </c>
      <c r="C5118" s="30" t="n">
        <f aca="false">(Sens!$C$5114-Sens!$C$5111+Sens!$C$5110)/sh_val</f>
        <v>297.581118824874</v>
      </c>
    </row>
    <row r="5121" customFormat="false" ht="19.4" hidden="false" customHeight="false" outlineLevel="0" collapsed="false">
      <c r="A5121" s="31" t="s">
        <v>1232</v>
      </c>
    </row>
    <row r="5122" customFormat="false" ht="17.15" hidden="false" customHeight="false" outlineLevel="0" collapsed="false">
      <c r="A5122" s="6" t="s">
        <v>16</v>
      </c>
      <c r="B5122" s="6" t="s">
        <v>17</v>
      </c>
      <c r="C5122" s="20" t="s">
        <v>494</v>
      </c>
      <c r="D5122" s="20" t="s">
        <v>495</v>
      </c>
      <c r="E5122" s="20" t="s">
        <v>577</v>
      </c>
      <c r="F5122" s="20" t="s">
        <v>578</v>
      </c>
      <c r="G5122" s="20" t="s">
        <v>579</v>
      </c>
      <c r="H5122" s="20" t="s">
        <v>580</v>
      </c>
      <c r="I5122" s="20" t="s">
        <v>581</v>
      </c>
      <c r="J5122" s="20" t="s">
        <v>582</v>
      </c>
      <c r="K5122" s="20" t="s">
        <v>583</v>
      </c>
      <c r="L5122" s="20" t="s">
        <v>584</v>
      </c>
      <c r="M5122" s="20" t="s">
        <v>585</v>
      </c>
      <c r="N5122" s="20" t="s">
        <v>586</v>
      </c>
      <c r="O5122" s="20" t="s">
        <v>587</v>
      </c>
      <c r="P5122" s="6" t="s">
        <v>23</v>
      </c>
      <c r="R5122" s="20" t="n">
        <v>2023</v>
      </c>
      <c r="S5122" s="20" t="n">
        <v>2024</v>
      </c>
      <c r="T5122" s="20" t="n">
        <v>2025</v>
      </c>
      <c r="U5122" s="20" t="n">
        <v>2026</v>
      </c>
      <c r="V5122" s="20" t="n">
        <v>2027</v>
      </c>
      <c r="W5122" s="20" t="n">
        <v>2028</v>
      </c>
      <c r="X5122" s="20" t="n">
        <v>2029</v>
      </c>
      <c r="Y5122" s="20" t="n">
        <v>2030</v>
      </c>
      <c r="Z5122" s="20" t="n">
        <v>2031</v>
      </c>
      <c r="AA5122" s="20" t="n">
        <v>2032</v>
      </c>
    </row>
    <row r="5123" customFormat="false" ht="17.15" hidden="false" customHeight="false" outlineLevel="0" collapsed="false">
      <c r="A5123" s="1" t="s">
        <v>660</v>
      </c>
    </row>
    <row r="5124" customFormat="false" ht="17.15" hidden="false" customHeight="false" outlineLevel="0" collapsed="false">
      <c r="A5124" s="0" t="s">
        <v>516</v>
      </c>
      <c r="B5124" s="0" t="s">
        <v>86</v>
      </c>
      <c r="C5124" s="38" t="n">
        <f aca="false">Q!$D$10</f>
        <v>247.029</v>
      </c>
      <c r="D5124" s="38" t="n">
        <f aca="false">Q!$E$10</f>
        <v>269.287</v>
      </c>
      <c r="E5124" s="38" t="n">
        <f aca="false">Q!$P$10</f>
        <v>134.686</v>
      </c>
      <c r="F5124" s="38" t="n">
        <f aca="false">Sens!$O$5124*(1+Sens!$F$5125)*Sens!$F$5136</f>
        <v>158.293876822267</v>
      </c>
      <c r="G5124" s="38" t="n">
        <f aca="false">Sens!$E$5124+Sens!$F$5124</f>
        <v>292.979876822267</v>
      </c>
      <c r="H5124" s="38" t="n">
        <f aca="false">Sens!$G$5124*(1+Sens!$H$5125)</f>
        <v>318.184543087396</v>
      </c>
      <c r="I5124" s="38" t="n">
        <f aca="false">Sens!$H$5124*(1+Sens!$I$5125)</f>
        <v>341.736278761793</v>
      </c>
      <c r="J5124" s="38" t="n">
        <f aca="false">Sens!$I$5124*(1+Sens!$J$5125)</f>
        <v>362.927192787048</v>
      </c>
      <c r="K5124" s="38" t="n">
        <f aca="false">Sens!$J$5124*(1+Sens!$K$5125)</f>
        <v>381.0735524264</v>
      </c>
      <c r="L5124" s="38" t="n">
        <f aca="false">Sens!$K$5124*(1+Sens!$L$5125)</f>
        <v>400.12723004772</v>
      </c>
      <c r="M5124" s="38" t="n">
        <f aca="false">Sens!$L$5124*(1+Sens!$M$5125)</f>
        <v>420.133591550106</v>
      </c>
      <c r="N5124" s="38" t="n">
        <f aca="false">Q!$N$10</f>
        <v>118.892</v>
      </c>
      <c r="O5124" s="38" t="n">
        <f aca="false">Q!$O$10</f>
        <v>150.395</v>
      </c>
      <c r="P5124" s="8" t="s">
        <v>661</v>
      </c>
    </row>
    <row r="5125" customFormat="false" ht="17.15" hidden="false" customHeight="false" outlineLevel="0" collapsed="false">
      <c r="A5125" s="0" t="s">
        <v>662</v>
      </c>
      <c r="B5125" s="0" t="s">
        <v>52</v>
      </c>
      <c r="E5125" s="13" t="n">
        <f aca="false">Sens!$E$5124/Sens!$N$5124-1</f>
        <v>0.132843252699929</v>
      </c>
      <c r="F5125" s="13" t="n">
        <f aca="false">Sens!$O$5124/(Q!$F$10+Q!$G$10)-1</f>
        <v>0.0980382135842941</v>
      </c>
      <c r="G5125" s="13" t="n">
        <f aca="false">Sens!$G$5124/Sens!$D$5124-1</f>
        <v>0.0879837378791657</v>
      </c>
      <c r="H5125" s="13" t="n">
        <f aca="false">Sens!$F$5125+(g_os-Sens!$F$5125)*1/4</f>
        <v>0.0860286601882206</v>
      </c>
      <c r="I5125" s="13" t="n">
        <f aca="false">Sens!$F$5125+(g_os-Sens!$F$5125)*2/4</f>
        <v>0.074019106792147</v>
      </c>
      <c r="J5125" s="13" t="n">
        <f aca="false">Sens!$F$5125+(g_os-Sens!$F$5125)*3/4</f>
        <v>0.0620095533960735</v>
      </c>
      <c r="K5125" s="13" t="n">
        <f aca="false">Sens!$F$5125+(g_os-Sens!$F$5125)*4/4</f>
        <v>0.05</v>
      </c>
      <c r="L5125" s="13" t="n">
        <f aca="false">g_os</f>
        <v>0.05</v>
      </c>
      <c r="M5125" s="13" t="n">
        <f aca="false">g_os</f>
        <v>0.05</v>
      </c>
      <c r="P5125" s="8" t="s">
        <v>663</v>
      </c>
    </row>
    <row r="5126" customFormat="false" ht="17.15" hidden="false" customHeight="false" outlineLevel="0" collapsed="false">
      <c r="A5126" s="0" t="s">
        <v>517</v>
      </c>
      <c r="B5126" s="0" t="s">
        <v>86</v>
      </c>
      <c r="C5126" s="38" t="n">
        <f aca="false">Q!$D$11</f>
        <v>21.215</v>
      </c>
      <c r="D5126" s="38" t="n">
        <f aca="false">Q!$E$11</f>
        <v>22.561</v>
      </c>
      <c r="E5126" s="38" t="n">
        <f aca="false">Q!$P$11</f>
        <v>11.579</v>
      </c>
      <c r="F5126" s="38" t="n">
        <f aca="false">Sens!$O$5126*(1+Sens!$F$5127)*Sens!$F$5136</f>
        <v>11.5938724610325</v>
      </c>
      <c r="G5126" s="38" t="n">
        <f aca="false">Sens!$E$5126+Sens!$F$5126</f>
        <v>23.1728724610325</v>
      </c>
      <c r="H5126" s="38" t="n">
        <f aca="false">Sens!$G$5126*(1+Sens!$H$5127)</f>
        <v>24.353392759506</v>
      </c>
      <c r="I5126" s="38" t="n">
        <f aca="false">Sens!$H$5126*(1+Sens!$I$5127)</f>
        <v>25.4240338872015</v>
      </c>
      <c r="J5126" s="38" t="n">
        <f aca="false">Sens!$I$5126*(1+Sens!$J$5127)</f>
        <v>26.3642491017174</v>
      </c>
      <c r="K5126" s="38" t="n">
        <f aca="false">Sens!$J$5126*(1+Sens!$K$5127)</f>
        <v>27.155176574769</v>
      </c>
      <c r="L5126" s="38" t="n">
        <f aca="false">Sens!$K$5126*(1+Sens!$L$5127)</f>
        <v>27.969831872012</v>
      </c>
      <c r="M5126" s="38" t="n">
        <f aca="false">Sens!$L$5126*(1+Sens!$M$5127)</f>
        <v>28.8089268281724</v>
      </c>
      <c r="N5126" s="38" t="n">
        <f aca="false">Q!$N$11</f>
        <v>11.128</v>
      </c>
      <c r="O5126" s="38" t="n">
        <f aca="false">Q!$O$11</f>
        <v>11.433</v>
      </c>
      <c r="P5126" s="8" t="s">
        <v>661</v>
      </c>
    </row>
    <row r="5127" customFormat="false" ht="17.15" hidden="false" customHeight="false" outlineLevel="0" collapsed="false">
      <c r="A5127" s="0" t="s">
        <v>664</v>
      </c>
      <c r="B5127" s="0" t="s">
        <v>52</v>
      </c>
      <c r="E5127" s="13" t="n">
        <f aca="false">Sens!$E$5126/Sens!$N$5126-1</f>
        <v>0.0405283968368082</v>
      </c>
      <c r="F5127" s="13" t="n">
        <f aca="false">Sens!$O$5126/(Q!$F$11+Q!$G$11)-1</f>
        <v>0.0579254187100955</v>
      </c>
      <c r="G5127" s="13" t="n">
        <f aca="false">Sens!$G$5126/Sens!$D$5126-1</f>
        <v>0.0271208040881397</v>
      </c>
      <c r="H5127" s="13" t="n">
        <f aca="false">Sens!$F$5127+(g_ps-Sens!$F$5127)*1/4</f>
        <v>0.0509440640325716</v>
      </c>
      <c r="I5127" s="13" t="n">
        <f aca="false">Sens!$F$5127+(g_ps-Sens!$F$5127)*2/4</f>
        <v>0.0439627093550477</v>
      </c>
      <c r="J5127" s="13" t="n">
        <f aca="false">Sens!$F$5127+(g_ps-Sens!$F$5127)*3/4</f>
        <v>0.0369813546775239</v>
      </c>
      <c r="K5127" s="13" t="n">
        <f aca="false">Sens!$F$5127+(g_ps-Sens!$F$5127)*4/4</f>
        <v>0.03</v>
      </c>
      <c r="L5127" s="13" t="n">
        <f aca="false">g_ps</f>
        <v>0.03</v>
      </c>
      <c r="M5127" s="13" t="n">
        <f aca="false">g_ps</f>
        <v>0.03</v>
      </c>
      <c r="P5127" s="8" t="s">
        <v>665</v>
      </c>
    </row>
    <row r="5128" customFormat="false" ht="17.15" hidden="false" customHeight="false" outlineLevel="0" collapsed="false">
      <c r="A5128" s="0" t="s">
        <v>518</v>
      </c>
      <c r="B5128" s="0" t="s">
        <v>86</v>
      </c>
      <c r="C5128" s="38" t="n">
        <f aca="false">Q!$D$12</f>
        <v>156.146</v>
      </c>
      <c r="D5128" s="38" t="n">
        <f aca="false">Q!$E$12</f>
        <v>172.162</v>
      </c>
      <c r="E5128" s="38" t="n">
        <f aca="false">Q!$P$12</f>
        <v>88.358</v>
      </c>
      <c r="F5128" s="38" t="n">
        <f aca="false">Sens!$O$5128*(1+Sens!$F$5129)*Sens!$F$5136</f>
        <v>102.004388260171</v>
      </c>
      <c r="G5128" s="38" t="n">
        <f aca="false">Sens!$E$5128+Sens!$F$5128</f>
        <v>190.362388260171</v>
      </c>
      <c r="H5128" s="38" t="n">
        <f aca="false">Sens!$G$5128*(1+Sens!$H$5129)</f>
        <v>210.343106588311</v>
      </c>
      <c r="I5128" s="38" t="n">
        <f aca="false">Sens!$H$5128*(1+Sens!$I$5129)</f>
        <v>229.969728494648</v>
      </c>
      <c r="J5128" s="38" t="n">
        <f aca="false">Sens!$I$5128*(1+Sens!$J$5129)</f>
        <v>248.747636972598</v>
      </c>
      <c r="K5128" s="38" t="n">
        <f aca="false">Sens!$J$5128*(1+Sens!$K$5129)</f>
        <v>266.15997156068</v>
      </c>
      <c r="L5128" s="38" t="n">
        <f aca="false">Sens!$K$5128*(1+Sens!$L$5129)</f>
        <v>284.791169569927</v>
      </c>
      <c r="M5128" s="38" t="n">
        <f aca="false">Sens!$L$5128*(1+Sens!$M$5129)</f>
        <v>304.726551439822</v>
      </c>
      <c r="N5128" s="38" t="n">
        <f aca="false">Q!$N$12</f>
        <v>76.86</v>
      </c>
      <c r="O5128" s="38" t="n">
        <f aca="false">Q!$O$12</f>
        <v>95.302</v>
      </c>
      <c r="P5128" s="8" t="s">
        <v>661</v>
      </c>
    </row>
    <row r="5129" customFormat="false" ht="17.15" hidden="false" customHeight="false" outlineLevel="0" collapsed="false">
      <c r="A5129" s="0" t="s">
        <v>666</v>
      </c>
      <c r="B5129" s="0" t="s">
        <v>52</v>
      </c>
      <c r="E5129" s="13" t="n">
        <f aca="false">Sens!$E$5128/Sens!$N$5128-1</f>
        <v>0.1495966692688</v>
      </c>
      <c r="F5129" s="13" t="n">
        <f aca="false">Sens!$O$5128/(Q!$F$12+Q!$G$12)-1</f>
        <v>0.11661530890813</v>
      </c>
      <c r="G5129" s="13" t="n">
        <f aca="false">Sens!$G$5128/Sens!$D$5128-1</f>
        <v>0.105716640490767</v>
      </c>
      <c r="H5129" s="13" t="n">
        <f aca="false">Sens!$F$5129+(g_sp-Sens!$F$5129)*1/4</f>
        <v>0.104961481681098</v>
      </c>
      <c r="I5129" s="13" t="n">
        <f aca="false">Sens!$F$5129+(g_sp-Sens!$F$5129)*2/4</f>
        <v>0.0933076544540651</v>
      </c>
      <c r="J5129" s="13" t="n">
        <f aca="false">Sens!$F$5129+(g_sp-Sens!$F$5129)*3/4</f>
        <v>0.0816538272270325</v>
      </c>
      <c r="K5129" s="13" t="n">
        <f aca="false">Sens!$F$5129+(g_sp-Sens!$F$5129)*4/4</f>
        <v>0.07</v>
      </c>
      <c r="L5129" s="13" t="n">
        <f aca="false">g_sp</f>
        <v>0.07</v>
      </c>
      <c r="M5129" s="13" t="n">
        <f aca="false">g_sp</f>
        <v>0.07</v>
      </c>
      <c r="P5129" s="8" t="s">
        <v>667</v>
      </c>
    </row>
    <row r="5130" customFormat="false" ht="17.15" hidden="false" customHeight="false" outlineLevel="0" collapsed="false">
      <c r="A5130" s="0" t="s">
        <v>519</v>
      </c>
      <c r="B5130" s="0" t="s">
        <v>86</v>
      </c>
      <c r="C5130" s="38" t="n">
        <f aca="false">Q!$D$13</f>
        <v>56.214</v>
      </c>
      <c r="D5130" s="38" t="n">
        <f aca="false">Q!$E$13</f>
        <v>68.635</v>
      </c>
      <c r="E5130" s="38" t="n">
        <f aca="false">Q!$P$13</f>
        <v>37.052</v>
      </c>
      <c r="F5130" s="38" t="n">
        <f aca="false">Sens!$O$5130*(1+Sens!$F$5131)*Sens!$F$5136</f>
        <v>46.1572219944148</v>
      </c>
      <c r="G5130" s="38" t="n">
        <f aca="false">Sens!$E$5130+Sens!$F$5130</f>
        <v>83.2092219944148</v>
      </c>
      <c r="H5130" s="38" t="n">
        <f aca="false">Sens!$G$5130*(1+Sens!$H$5131)</f>
        <v>99.8969223878976</v>
      </c>
      <c r="I5130" s="38" t="n">
        <f aca="false">Sens!$H$5130*(1+Sens!$I$5131)</f>
        <v>116.583111095496</v>
      </c>
      <c r="J5130" s="38" t="n">
        <f aca="false">Sens!$I$5130*(1+Sens!$J$5131)</f>
        <v>132.148941941952</v>
      </c>
      <c r="K5130" s="38" t="n">
        <f aca="false">Sens!$J$5130*(1+Sens!$K$5131)</f>
        <v>145.363836136147</v>
      </c>
      <c r="L5130" s="38" t="n">
        <f aca="false">Sens!$K$5130*(1+Sens!$L$5131)</f>
        <v>159.900219749762</v>
      </c>
      <c r="M5130" s="38" t="n">
        <f aca="false">Sens!$L$5130*(1+Sens!$M$5131)</f>
        <v>175.890241724738</v>
      </c>
      <c r="N5130" s="38" t="n">
        <f aca="false">Q!$N$13</f>
        <v>29.615</v>
      </c>
      <c r="O5130" s="38" t="n">
        <f aca="false">Q!$O$13</f>
        <v>39.02</v>
      </c>
      <c r="P5130" s="8" t="s">
        <v>661</v>
      </c>
    </row>
    <row r="5131" customFormat="false" ht="17.15" hidden="false" customHeight="false" outlineLevel="0" collapsed="false">
      <c r="A5131" s="0" t="s">
        <v>668</v>
      </c>
      <c r="B5131" s="0" t="s">
        <v>52</v>
      </c>
      <c r="E5131" s="13" t="n">
        <f aca="false">Sens!$E$5130/Sens!$N$5130-1</f>
        <v>0.25112274185379</v>
      </c>
      <c r="F5131" s="13" t="n">
        <f aca="false">Sens!$O$5130/(Q!$F$13+Q!$G$13)-1</f>
        <v>0.234068123596572</v>
      </c>
      <c r="G5131" s="13" t="n">
        <f aca="false">Sens!$G$5130/Sens!$D$5130-1</f>
        <v>0.212343876949294</v>
      </c>
      <c r="H5131" s="13" t="n">
        <f aca="false">Sens!$F$5131+(g_ad-Sens!$F$5131)*1/4</f>
        <v>0.200551092697429</v>
      </c>
      <c r="I5131" s="13" t="n">
        <f aca="false">Sens!$F$5131+(g_ad-Sens!$F$5131)*2/4</f>
        <v>0.167034061798286</v>
      </c>
      <c r="J5131" s="13" t="n">
        <f aca="false">Sens!$F$5131+(g_ad-Sens!$F$5131)*3/4</f>
        <v>0.133517030899143</v>
      </c>
      <c r="K5131" s="13" t="n">
        <f aca="false">Sens!$F$5131+(g_ad-Sens!$F$5131)*4/4</f>
        <v>0.1</v>
      </c>
      <c r="L5131" s="13" t="n">
        <f aca="false">g_ad</f>
        <v>0.1</v>
      </c>
      <c r="M5131" s="13" t="n">
        <f aca="false">g_ad</f>
        <v>0.1</v>
      </c>
      <c r="P5131" s="8" t="s">
        <v>669</v>
      </c>
    </row>
    <row r="5132" customFormat="false" ht="17.15" hidden="false" customHeight="false" outlineLevel="0" collapsed="false">
      <c r="A5132" s="0" t="s">
        <v>520</v>
      </c>
      <c r="B5132" s="0" t="s">
        <v>86</v>
      </c>
      <c r="C5132" s="38" t="n">
        <f aca="false">Q!$D$14</f>
        <v>44.374</v>
      </c>
      <c r="D5132" s="38" t="n">
        <f aca="false">Q!$E$14</f>
        <v>49.619</v>
      </c>
      <c r="E5132" s="38" t="n">
        <f aca="false">Q!$P$14</f>
        <v>27.157</v>
      </c>
      <c r="F5132" s="38" t="n">
        <f aca="false">Sens!$O$5132*(1+Sens!$F$5133)*Sens!$F$5136</f>
        <v>27.7764165988154</v>
      </c>
      <c r="G5132" s="38" t="n">
        <f aca="false">Sens!$E$5132+Sens!$F$5132</f>
        <v>54.9334165988154</v>
      </c>
      <c r="H5132" s="38" t="n">
        <f aca="false">Sens!$G$5132*(1+Sens!$H$5133)</f>
        <v>61.1564112561829</v>
      </c>
      <c r="I5132" s="38" t="n">
        <f aca="false">Sens!$H$5132*(1+Sens!$I$5133)</f>
        <v>67.2020282103945</v>
      </c>
      <c r="J5132" s="38" t="n">
        <f aca="false">Sens!$I$5132*(1+Sens!$J$5133)</f>
        <v>72.8757274028885</v>
      </c>
      <c r="K5132" s="38" t="n">
        <f aca="false">Sens!$J$5132*(1+Sens!$K$5133)</f>
        <v>77.9770283210907</v>
      </c>
      <c r="L5132" s="38" t="n">
        <f aca="false">Sens!$K$5132*(1+Sens!$L$5133)</f>
        <v>83.4354203035671</v>
      </c>
      <c r="M5132" s="38" t="n">
        <f aca="false">Sens!$L$5132*(1+Sens!$M$5133)</f>
        <v>89.2758997248168</v>
      </c>
      <c r="N5132" s="38" t="n">
        <f aca="false">Q!$N$14</f>
        <v>23.923</v>
      </c>
      <c r="O5132" s="38" t="n">
        <f aca="false">Q!$O$14</f>
        <v>25.696</v>
      </c>
      <c r="P5132" s="8" t="s">
        <v>661</v>
      </c>
    </row>
    <row r="5133" customFormat="false" ht="17.15" hidden="false" customHeight="false" outlineLevel="0" collapsed="false">
      <c r="A5133" s="0" t="s">
        <v>670</v>
      </c>
      <c r="B5133" s="0" t="s">
        <v>52</v>
      </c>
      <c r="E5133" s="13" t="n">
        <f aca="false">Sens!$E$5132/Sens!$N$5132-1</f>
        <v>0.135183714417088</v>
      </c>
      <c r="F5133" s="13" t="n">
        <f aca="false">Sens!$O$5132/(Q!$F$14+Q!$G$14)-1</f>
        <v>0.127709997366804</v>
      </c>
      <c r="G5133" s="13" t="n">
        <f aca="false">Sens!$G$5132/Sens!$D$5132-1</f>
        <v>0.107104468022641</v>
      </c>
      <c r="H5133" s="13" t="n">
        <f aca="false">Sens!$F$5133+(g_sub-Sens!$F$5133)*1/4</f>
        <v>0.113282498025103</v>
      </c>
      <c r="I5133" s="13" t="n">
        <f aca="false">Sens!$F$5133+(g_sub-Sens!$F$5133)*2/4</f>
        <v>0.0988549986834021</v>
      </c>
      <c r="J5133" s="13" t="n">
        <f aca="false">Sens!$F$5133+(g_sub-Sens!$F$5133)*3/4</f>
        <v>0.084427499341701</v>
      </c>
      <c r="K5133" s="13" t="n">
        <f aca="false">Sens!$F$5133+(g_sub-Sens!$F$5133)*4/4</f>
        <v>0.07</v>
      </c>
      <c r="L5133" s="13" t="n">
        <f aca="false">g_sub</f>
        <v>0.07</v>
      </c>
      <c r="M5133" s="13" t="n">
        <f aca="false">g_sub</f>
        <v>0.07</v>
      </c>
      <c r="P5133" s="8" t="s">
        <v>671</v>
      </c>
    </row>
    <row r="5134" customFormat="false" ht="17.15" hidden="false" customHeight="false" outlineLevel="0" collapsed="false">
      <c r="A5134" s="0" t="s">
        <v>521</v>
      </c>
      <c r="B5134" s="0" t="s">
        <v>86</v>
      </c>
      <c r="C5134" s="38" t="n">
        <f aca="false">Q!$D$15</f>
        <v>5.425</v>
      </c>
      <c r="D5134" s="38" t="n">
        <f aca="false">Q!$E$15</f>
        <v>5.935</v>
      </c>
      <c r="E5134" s="38" t="n">
        <f aca="false">Q!$P$15</f>
        <v>3.474</v>
      </c>
      <c r="F5134" s="38" t="n">
        <f aca="false">Sens!$O$5134*(1+Sens!$F$5135)*Sens!$F$5136</f>
        <v>3.22246550883619</v>
      </c>
      <c r="G5134" s="38" t="n">
        <f aca="false">Sens!$E$5134+Sens!$F$5134</f>
        <v>6.69646550883619</v>
      </c>
      <c r="H5134" s="38" t="n">
        <f aca="false">Sens!$G$5134*(1+Sens!$H$5135)</f>
        <v>7.16251344209196</v>
      </c>
      <c r="I5134" s="38" t="n">
        <f aca="false">Sens!$H$5134*(1+Sens!$I$5135)</f>
        <v>7.61421070299826</v>
      </c>
      <c r="J5134" s="38" t="n">
        <f aca="false">Sens!$I$5134*(1+Sens!$J$5135)</f>
        <v>8.04465753523932</v>
      </c>
      <c r="K5134" s="38" t="n">
        <f aca="false">Sens!$J$5134*(1+Sens!$K$5135)</f>
        <v>8.44689041200128</v>
      </c>
      <c r="L5134" s="38" t="n">
        <f aca="false">Sens!$K$5134*(1+Sens!$L$5135)</f>
        <v>8.86923493260135</v>
      </c>
      <c r="M5134" s="38" t="n">
        <f aca="false">Sens!$L$5134*(1+Sens!$M$5135)</f>
        <v>9.31269667923142</v>
      </c>
      <c r="N5134" s="38" t="n">
        <f aca="false">Q!$N$15</f>
        <v>2.811</v>
      </c>
      <c r="O5134" s="38" t="n">
        <f aca="false">Q!$O$15</f>
        <v>3.124</v>
      </c>
      <c r="P5134" s="8" t="s">
        <v>661</v>
      </c>
    </row>
    <row r="5135" customFormat="false" ht="17.15" hidden="false" customHeight="false" outlineLevel="0" collapsed="false">
      <c r="A5135" s="0" t="s">
        <v>672</v>
      </c>
      <c r="B5135" s="0" t="s">
        <v>52</v>
      </c>
      <c r="E5135" s="13" t="n">
        <f aca="false">Sens!$E$5134/Sens!$N$5134-1</f>
        <v>0.235859124866596</v>
      </c>
      <c r="F5135" s="13" t="n">
        <f aca="false">Sens!$O$5134/(Q!$F$15+Q!$G$15)-1</f>
        <v>0.0761281433000345</v>
      </c>
      <c r="G5135" s="13" t="n">
        <f aca="false">Sens!$G$5134/Sens!$D$5134-1</f>
        <v>0.128300843948811</v>
      </c>
      <c r="H5135" s="13" t="n">
        <f aca="false">Sens!$F$5135+(g_ot-Sens!$F$5135)*1/4</f>
        <v>0.0695961074750259</v>
      </c>
      <c r="I5135" s="13" t="n">
        <f aca="false">Sens!$F$5135+(g_ot-Sens!$F$5135)*2/4</f>
        <v>0.0630640716500172</v>
      </c>
      <c r="J5135" s="13" t="n">
        <f aca="false">Sens!$F$5135+(g_ot-Sens!$F$5135)*3/4</f>
        <v>0.0565320358250086</v>
      </c>
      <c r="K5135" s="13" t="n">
        <f aca="false">Sens!$F$5135+(g_ot-Sens!$F$5135)*4/4</f>
        <v>0.05</v>
      </c>
      <c r="L5135" s="13" t="n">
        <f aca="false">g_ot</f>
        <v>0.05</v>
      </c>
      <c r="M5135" s="13" t="n">
        <f aca="false">g_ot</f>
        <v>0.05</v>
      </c>
      <c r="P5135" s="8" t="s">
        <v>673</v>
      </c>
    </row>
    <row r="5136" customFormat="false" ht="17.15" hidden="false" customHeight="false" outlineLevel="0" collapsed="false">
      <c r="A5136" s="0" t="s">
        <v>674</v>
      </c>
      <c r="B5136" s="0" t="s">
        <v>57</v>
      </c>
      <c r="F5136" s="40" t="n">
        <f aca="false">(g26q3_mid*Q!$O$8/Q!$J$8-Sens!$F$5165-Sens!$F$5169)/(Sens!$O$5124*(1+Sens!$F$5125)+Sens!$O$5126*(1+Sens!$F$5127)+Sens!$O$5128*(1+Sens!$F$5129)+Sens!$O$5130*(1+Sens!$F$5131)+Sens!$O$5132*(1+Sens!$F$5133)+Sens!$O$5134*(1+Sens!$F$5135))</f>
        <v>0.958546670622329</v>
      </c>
      <c r="P5136" s="8" t="s">
        <v>675</v>
      </c>
    </row>
    <row r="5137" customFormat="false" ht="17.15" hidden="false" customHeight="false" outlineLevel="0" collapsed="false">
      <c r="A5137" s="3" t="s">
        <v>676</v>
      </c>
      <c r="B5137" s="8" t="s">
        <v>86</v>
      </c>
      <c r="C5137" s="38" t="n">
        <f aca="false">Sens!$C$5124+Sens!$C$5126+Sens!$C$5128+Sens!$C$5130+Sens!$C$5132+Sens!$C$5134</f>
        <v>530.403</v>
      </c>
      <c r="D5137" s="38" t="n">
        <f aca="false">Sens!$D$5124+Sens!$D$5126+Sens!$D$5128+Sens!$D$5130+Sens!$D$5132+Sens!$D$5134</f>
        <v>588.199</v>
      </c>
      <c r="E5137" s="38" t="n">
        <f aca="false">Sens!$E$5124+Sens!$E$5126+Sens!$E$5128+Sens!$E$5130+Sens!$E$5132+Sens!$E$5134</f>
        <v>302.306</v>
      </c>
      <c r="F5137" s="38" t="n">
        <f aca="false">Sens!$F$5124+Sens!$F$5126+Sens!$F$5128+Sens!$F$5130+Sens!$F$5132+Sens!$F$5134</f>
        <v>349.048241645537</v>
      </c>
      <c r="G5137" s="38" t="n">
        <f aca="false">Sens!$G$5124+Sens!$G$5126+Sens!$G$5128+Sens!$G$5130+Sens!$G$5132+Sens!$G$5134</f>
        <v>651.354241645537</v>
      </c>
      <c r="H5137" s="38" t="n">
        <f aca="false">Sens!$H$5124+Sens!$H$5126+Sens!$H$5128+Sens!$H$5130+Sens!$H$5132+Sens!$H$5134</f>
        <v>721.096889521386</v>
      </c>
      <c r="I5137" s="38" t="n">
        <f aca="false">Sens!$I$5124+Sens!$I$5126+Sens!$I$5128+Sens!$I$5130+Sens!$I$5132+Sens!$I$5134</f>
        <v>788.529391152531</v>
      </c>
      <c r="J5137" s="38" t="n">
        <f aca="false">Sens!$J$5124+Sens!$J$5126+Sens!$J$5128+Sens!$J$5130+Sens!$J$5132+Sens!$J$5134</f>
        <v>851.108405741443</v>
      </c>
      <c r="K5137" s="38" t="n">
        <f aca="false">Sens!$K$5124+Sens!$K$5126+Sens!$K$5128+Sens!$K$5130+Sens!$K$5132+Sens!$K$5134</f>
        <v>906.176455431088</v>
      </c>
      <c r="L5137" s="38" t="n">
        <f aca="false">Sens!$L$5124+Sens!$L$5126+Sens!$L$5128+Sens!$L$5130+Sens!$L$5132+Sens!$L$5134</f>
        <v>965.093106475589</v>
      </c>
      <c r="M5137" s="38" t="n">
        <f aca="false">Sens!$M$5124+Sens!$M$5126+Sens!$M$5128+Sens!$M$5130+Sens!$M$5132+Sens!$M$5134</f>
        <v>1028.14790794689</v>
      </c>
      <c r="N5137" s="38" t="n">
        <f aca="false">Sens!$N$5124+Sens!$N$5126+Sens!$N$5128+Sens!$N$5130+Sens!$N$5132+Sens!$N$5134</f>
        <v>263.229</v>
      </c>
      <c r="O5137" s="38" t="n">
        <f aca="false">Sens!$O$5124+Sens!$O$5126+Sens!$O$5128+Sens!$O$5130+Sens!$O$5132+Sens!$O$5134</f>
        <v>324.97</v>
      </c>
    </row>
    <row r="5138" customFormat="false" ht="17.15" hidden="false" customHeight="false" outlineLevel="0" collapsed="false">
      <c r="A5138" s="5" t="s">
        <v>677</v>
      </c>
      <c r="B5138" s="0" t="s">
        <v>52</v>
      </c>
      <c r="C5138" s="13" t="n">
        <f aca="false">Q!$D$5/(Q!$D$5+Q!$D$6)</f>
        <v>0.730570905519011</v>
      </c>
      <c r="D5138" s="13" t="n">
        <f aca="false">Q!$E$5/(Q!$E$5+Q!$E$6)</f>
        <v>0.724763217890544</v>
      </c>
      <c r="E5138" s="13" t="n">
        <f aca="false">Q!$P$5/(Q!$P$5+Q!$P$6)</f>
        <v>0.728797972914861</v>
      </c>
      <c r="F5138" s="13" t="n">
        <f aca="false">Sens!$O$5138</f>
        <v>0.718066283041511</v>
      </c>
      <c r="G5138" s="13" t="n">
        <f aca="false">Sens!$G$5139/Sens!$G$5137</f>
        <v>0.723047066202847</v>
      </c>
      <c r="H5138" s="13" t="n">
        <f aca="false">Sens!$G$5138</f>
        <v>0.723047066202847</v>
      </c>
      <c r="I5138" s="13" t="n">
        <f aca="false">Sens!$G$5138</f>
        <v>0.723047066202847</v>
      </c>
      <c r="J5138" s="13" t="n">
        <f aca="false">Sens!$G$5138</f>
        <v>0.723047066202847</v>
      </c>
      <c r="K5138" s="13" t="n">
        <f aca="false">Sens!$G$5138</f>
        <v>0.723047066202847</v>
      </c>
      <c r="L5138" s="13" t="n">
        <f aca="false">Sens!$G$5138</f>
        <v>0.723047066202847</v>
      </c>
      <c r="M5138" s="13" t="n">
        <f aca="false">Sens!$G$5138</f>
        <v>0.723047066202847</v>
      </c>
      <c r="N5138" s="13" t="n">
        <f aca="false">Q!$N$5/(Q!$N$5+Q!$N$6)</f>
        <v>0.733030935041352</v>
      </c>
      <c r="O5138" s="13" t="n">
        <f aca="false">Q!$O$5/(Q!$O$5+Q!$O$6)</f>
        <v>0.718066283041511</v>
      </c>
      <c r="P5138" s="8" t="s">
        <v>678</v>
      </c>
    </row>
    <row r="5139" customFormat="false" ht="17.15" hidden="false" customHeight="false" outlineLevel="0" collapsed="false">
      <c r="A5139" s="1" t="s">
        <v>509</v>
      </c>
      <c r="B5139" s="8" t="s">
        <v>86</v>
      </c>
      <c r="C5139" s="38" t="n">
        <f aca="false">Q!$D$5</f>
        <v>387.497</v>
      </c>
      <c r="D5139" s="38" t="n">
        <f aca="false">Q!$E$5</f>
        <v>426.305</v>
      </c>
      <c r="E5139" s="38" t="n">
        <f aca="false">Q!$P$5</f>
        <v>220.32</v>
      </c>
      <c r="F5139" s="38" t="n">
        <f aca="false">Sens!$F$5137*Sens!$F$5138</f>
        <v>250.639773480586</v>
      </c>
      <c r="G5139" s="38" t="n">
        <f aca="false">Sens!$E$5139+Sens!$F$5139</f>
        <v>470.959773480586</v>
      </c>
      <c r="H5139" s="38" t="n">
        <f aca="false">Sens!$H$5137*Sens!$H$5138</f>
        <v>521.386990416437</v>
      </c>
      <c r="I5139" s="38" t="n">
        <f aca="false">Sens!$I$5137*Sens!$I$5138</f>
        <v>570.143862887555</v>
      </c>
      <c r="J5139" s="38" t="n">
        <f aca="false">Sens!$J$5137*Sens!$J$5138</f>
        <v>615.391435791933</v>
      </c>
      <c r="K5139" s="38" t="n">
        <f aca="false">Sens!$K$5137*Sens!$K$5138</f>
        <v>655.208227561543</v>
      </c>
      <c r="L5139" s="38" t="n">
        <f aca="false">Sens!$L$5137*Sens!$L$5138</f>
        <v>697.807739249767</v>
      </c>
      <c r="M5139" s="38" t="n">
        <f aca="false">Sens!$M$5137*Sens!$M$5138</f>
        <v>743.399328463592</v>
      </c>
      <c r="N5139" s="38" t="n">
        <f aca="false">Q!$N$5</f>
        <v>192.955</v>
      </c>
      <c r="O5139" s="38" t="n">
        <f aca="false">Q!$O$5</f>
        <v>233.35</v>
      </c>
      <c r="P5139" s="5" t="s">
        <v>679</v>
      </c>
    </row>
    <row r="5140" customFormat="false" ht="17.15" hidden="false" customHeight="false" outlineLevel="0" collapsed="false">
      <c r="A5140" s="1" t="s">
        <v>512</v>
      </c>
      <c r="B5140" s="8" t="s">
        <v>86</v>
      </c>
      <c r="C5140" s="38" t="n">
        <f aca="false">Q!$D$6</f>
        <v>142.906</v>
      </c>
      <c r="D5140" s="38" t="n">
        <f aca="false">Q!$E$6</f>
        <v>161.894</v>
      </c>
      <c r="E5140" s="38" t="n">
        <f aca="false">Q!$P$6</f>
        <v>81.986</v>
      </c>
      <c r="F5140" s="38" t="n">
        <f aca="false">Sens!$F$5137*(1-Sens!$F$5138)</f>
        <v>98.408468164951</v>
      </c>
      <c r="G5140" s="38" t="n">
        <f aca="false">Sens!$E$5140+Sens!$F$5140</f>
        <v>180.394468164951</v>
      </c>
      <c r="H5140" s="38" t="n">
        <f aca="false">Sens!$H$5137*(1-Sens!$H$5138)</f>
        <v>199.709899104949</v>
      </c>
      <c r="I5140" s="38" t="n">
        <f aca="false">Sens!$I$5137*(1-Sens!$I$5138)</f>
        <v>218.385528264976</v>
      </c>
      <c r="J5140" s="38" t="n">
        <f aca="false">Sens!$J$5137*(1-Sens!$J$5138)</f>
        <v>235.71696994951</v>
      </c>
      <c r="K5140" s="38" t="n">
        <f aca="false">Sens!$K$5137*(1-Sens!$K$5138)</f>
        <v>250.968227869545</v>
      </c>
      <c r="L5140" s="38" t="n">
        <f aca="false">Sens!$L$5137*(1-Sens!$L$5138)</f>
        <v>267.285367225822</v>
      </c>
      <c r="M5140" s="38" t="n">
        <f aca="false">Sens!$M$5137*(1-Sens!$M$5138)</f>
        <v>284.748579483295</v>
      </c>
      <c r="N5140" s="38" t="n">
        <f aca="false">Q!$N$6</f>
        <v>70.274</v>
      </c>
      <c r="O5140" s="38" t="n">
        <f aca="false">Q!$O$6</f>
        <v>91.62</v>
      </c>
      <c r="P5140" s="5" t="s">
        <v>680</v>
      </c>
    </row>
    <row r="5141" customFormat="false" ht="17.15" hidden="false" customHeight="false" outlineLevel="0" collapsed="false">
      <c r="A5141" s="5" t="s">
        <v>681</v>
      </c>
      <c r="B5141" s="0" t="s">
        <v>86</v>
      </c>
      <c r="C5141" s="38" t="n">
        <f aca="false">Sens!$C$5130*Sens!$C$5138</f>
        <v>41.0683128828457</v>
      </c>
      <c r="D5141" s="38" t="n">
        <f aca="false">Sens!$D$5130*Sens!$D$5138</f>
        <v>49.7441234599175</v>
      </c>
      <c r="E5141" s="38" t="n">
        <f aca="false">Sens!$E$5130*Sens!$E$5138</f>
        <v>27.0034224924414</v>
      </c>
      <c r="F5141" s="38" t="n">
        <f aca="false">Sens!$F$5130*Sens!$F$5138</f>
        <v>33.1439448330513</v>
      </c>
      <c r="G5141" s="38" t="n">
        <f aca="false">Sens!$G$5130*Sens!$G$5138</f>
        <v>60.164183844083</v>
      </c>
      <c r="H5141" s="38" t="n">
        <f aca="false">Sens!$H$5130*Sens!$H$5138</f>
        <v>72.2301766552629</v>
      </c>
      <c r="I5141" s="38" t="n">
        <f aca="false">Sens!$I$5130*Sens!$I$5138</f>
        <v>84.2950764463991</v>
      </c>
      <c r="J5141" s="38" t="n">
        <f aca="false">Sens!$J$5130*Sens!$J$5138</f>
        <v>95.5499047729386</v>
      </c>
      <c r="K5141" s="38" t="n">
        <f aca="false">Sens!$K$5130*Sens!$K$5138</f>
        <v>105.104895250232</v>
      </c>
      <c r="L5141" s="38" t="n">
        <f aca="false">Sens!$L$5130*Sens!$L$5138</f>
        <v>115.615384775256</v>
      </c>
      <c r="M5141" s="38" t="n">
        <f aca="false">Sens!$M$5130*Sens!$M$5138</f>
        <v>127.176923252781</v>
      </c>
      <c r="N5141" s="38" t="n">
        <f aca="false">Sens!$N$5130*Sens!$N$5138</f>
        <v>21.7087111412496</v>
      </c>
      <c r="O5141" s="38" t="n">
        <f aca="false">Sens!$O$5130*Sens!$O$5138</f>
        <v>28.0189463642798</v>
      </c>
      <c r="P5141" s="5" t="s">
        <v>682</v>
      </c>
    </row>
    <row r="5142" customFormat="false" ht="15" hidden="false" customHeight="false" outlineLevel="0" collapsed="false">
      <c r="A5142" s="5" t="s">
        <v>683</v>
      </c>
      <c r="B5142" s="0" t="s">
        <v>86</v>
      </c>
      <c r="C5142" s="38" t="n">
        <f aca="false">Sens!$C$5130-Sens!$C$5141</f>
        <v>15.1456871171543</v>
      </c>
      <c r="D5142" s="38" t="n">
        <f aca="false">Sens!$D$5130-Sens!$D$5141</f>
        <v>18.8908765400825</v>
      </c>
      <c r="E5142" s="38" t="n">
        <f aca="false">Sens!$E$5130-Sens!$E$5141</f>
        <v>10.0485775075586</v>
      </c>
      <c r="F5142" s="38" t="n">
        <f aca="false">Sens!$F$5130-Sens!$F$5141</f>
        <v>13.0132771613635</v>
      </c>
      <c r="G5142" s="38" t="n">
        <f aca="false">Sens!$G$5130-Sens!$G$5141</f>
        <v>23.0450381503318</v>
      </c>
      <c r="H5142" s="38" t="n">
        <f aca="false">Sens!$H$5130-Sens!$H$5141</f>
        <v>27.6667457326347</v>
      </c>
      <c r="I5142" s="38" t="n">
        <f aca="false">Sens!$I$5130-Sens!$I$5141</f>
        <v>32.2880346490971</v>
      </c>
      <c r="J5142" s="38" t="n">
        <f aca="false">Sens!$J$5130-Sens!$J$5141</f>
        <v>36.5990371690132</v>
      </c>
      <c r="K5142" s="38" t="n">
        <f aca="false">Sens!$K$5130-Sens!$K$5141</f>
        <v>40.2589408859145</v>
      </c>
      <c r="L5142" s="38" t="n">
        <f aca="false">Sens!$L$5130-Sens!$L$5141</f>
        <v>44.2848349745059</v>
      </c>
      <c r="M5142" s="38" t="n">
        <f aca="false">Sens!$M$5130-Sens!$M$5141</f>
        <v>48.7133184719565</v>
      </c>
      <c r="N5142" s="38" t="n">
        <f aca="false">Sens!$N$5130-Sens!$N$5141</f>
        <v>7.90628885875037</v>
      </c>
      <c r="O5142" s="38" t="n">
        <f aca="false">Sens!$O$5130-Sens!$O$5141</f>
        <v>11.0010536357202</v>
      </c>
    </row>
    <row r="5143" customFormat="false" ht="19.4" hidden="false" customHeight="false" outlineLevel="0" collapsed="false">
      <c r="A5143" s="31" t="s">
        <v>1233</v>
      </c>
    </row>
    <row r="5144" customFormat="false" ht="17.15" hidden="false" customHeight="false" outlineLevel="0" collapsed="false">
      <c r="A5144" s="6" t="s">
        <v>16</v>
      </c>
      <c r="B5144" s="6" t="s">
        <v>17</v>
      </c>
      <c r="C5144" s="20" t="s">
        <v>494</v>
      </c>
      <c r="D5144" s="20" t="s">
        <v>495</v>
      </c>
      <c r="E5144" s="20" t="s">
        <v>577</v>
      </c>
      <c r="F5144" s="20" t="s">
        <v>578</v>
      </c>
      <c r="G5144" s="20" t="s">
        <v>579</v>
      </c>
      <c r="H5144" s="20" t="s">
        <v>580</v>
      </c>
      <c r="I5144" s="20" t="s">
        <v>581</v>
      </c>
      <c r="J5144" s="20" t="s">
        <v>582</v>
      </c>
      <c r="K5144" s="20" t="s">
        <v>583</v>
      </c>
      <c r="L5144" s="20" t="s">
        <v>584</v>
      </c>
      <c r="M5144" s="20" t="s">
        <v>585</v>
      </c>
      <c r="N5144" s="20" t="s">
        <v>586</v>
      </c>
      <c r="O5144" s="20" t="s">
        <v>587</v>
      </c>
      <c r="P5144" s="6" t="s">
        <v>23</v>
      </c>
      <c r="R5144" s="20" t="n">
        <v>2023</v>
      </c>
      <c r="S5144" s="20" t="n">
        <v>2024</v>
      </c>
      <c r="T5144" s="20" t="n">
        <v>2025</v>
      </c>
      <c r="U5144" s="20" t="n">
        <v>2026</v>
      </c>
      <c r="V5144" s="20" t="n">
        <v>2027</v>
      </c>
      <c r="W5144" s="20" t="n">
        <v>2028</v>
      </c>
      <c r="X5144" s="20" t="n">
        <v>2029</v>
      </c>
      <c r="Y5144" s="20" t="n">
        <v>2030</v>
      </c>
      <c r="Z5144" s="20" t="n">
        <v>2031</v>
      </c>
      <c r="AA5144" s="20" t="n">
        <v>2032</v>
      </c>
    </row>
    <row r="5145" customFormat="false" ht="17.15" hidden="false" customHeight="false" outlineLevel="0" collapsed="false">
      <c r="A5145" s="1" t="s">
        <v>588</v>
      </c>
    </row>
    <row r="5146" customFormat="false" ht="17.15" hidden="false" customHeight="false" outlineLevel="0" collapsed="false">
      <c r="A5146" s="5" t="s">
        <v>589</v>
      </c>
      <c r="B5146" s="0" t="s">
        <v>144</v>
      </c>
      <c r="H5146" s="32" t="n">
        <f aca="false">pace_B</f>
        <v>3634.3</v>
      </c>
      <c r="I5146" s="32" t="n">
        <f aca="false">pace_B</f>
        <v>3634.3</v>
      </c>
      <c r="J5146" s="32" t="n">
        <f aca="false">pace_B</f>
        <v>3634.3</v>
      </c>
      <c r="K5146" s="32" t="n">
        <f aca="false">pace_B+(Sens!$J$5147*tg-pace_B)*1/3</f>
        <v>2570.86716666667</v>
      </c>
      <c r="L5146" s="32" t="n">
        <f aca="false">pace_B+(Sens!$J$5147*tg-pace_B)*2/3</f>
        <v>1507.43433333333</v>
      </c>
      <c r="M5146" s="32" t="n">
        <f aca="false">pace_B+(Sens!$J$5147*tg-pace_B)*3/3</f>
        <v>444.0015</v>
      </c>
      <c r="P5146" s="5" t="s">
        <v>590</v>
      </c>
    </row>
    <row r="5147" customFormat="false" ht="17.15" hidden="false" customHeight="false" outlineLevel="0" collapsed="false">
      <c r="A5147" s="15" t="s">
        <v>591</v>
      </c>
      <c r="B5147" s="14" t="s">
        <v>129</v>
      </c>
      <c r="C5147" s="33" t="n">
        <f aca="false">mw_ye24</f>
        <v>360</v>
      </c>
      <c r="D5147" s="33" t="n">
        <f aca="false">mw_ye25</f>
        <v>1440</v>
      </c>
      <c r="E5147" s="33" t="n">
        <f aca="false">mw_open</f>
        <v>2080</v>
      </c>
      <c r="F5147" s="33" t="n">
        <f aca="false">Sens!$E$5147+pace_B*0.5</f>
        <v>3897.15</v>
      </c>
      <c r="G5147" s="33" t="n">
        <f aca="false">Sens!$F$5147</f>
        <v>3897.15</v>
      </c>
      <c r="H5147" s="33" t="n">
        <f aca="false">Sens!$G$5147+Sens!$H$5146</f>
        <v>7531.45</v>
      </c>
      <c r="I5147" s="33" t="n">
        <f aca="false">Sens!$H$5147+Sens!$I$5146</f>
        <v>11165.75</v>
      </c>
      <c r="J5147" s="33" t="n">
        <f aca="false">Sens!$I$5147+Sens!$J$5146</f>
        <v>14800.05</v>
      </c>
      <c r="K5147" s="33" t="n">
        <f aca="false">Sens!$J$5147+Sens!$K$5146</f>
        <v>17370.9171666667</v>
      </c>
      <c r="L5147" s="33" t="n">
        <f aca="false">Sens!$K$5147+Sens!$L$5146</f>
        <v>18878.3515</v>
      </c>
      <c r="M5147" s="33" t="n">
        <f aca="false">Sens!$L$5147+Sens!$M$5146</f>
        <v>19322.353</v>
      </c>
      <c r="N5147" s="33" t="n">
        <f aca="false">(mw_ye24+mw_ye25)/2</f>
        <v>900</v>
      </c>
      <c r="O5147" s="33" t="n">
        <f aca="false">mw_ye25</f>
        <v>1440</v>
      </c>
      <c r="P5147" s="5" t="s">
        <v>592</v>
      </c>
    </row>
    <row r="5148" customFormat="false" ht="17.15" hidden="false" customHeight="false" outlineLevel="0" collapsed="false">
      <c r="A5148" s="5" t="s">
        <v>593</v>
      </c>
      <c r="B5148" s="0" t="s">
        <v>129</v>
      </c>
      <c r="C5148" s="32" t="n">
        <f aca="false">(mw_ye23+mw_ye24)/2</f>
        <v>240</v>
      </c>
      <c r="D5148" s="32" t="n">
        <f aca="false">(Sens!$C$5147+Sens!$D$5147)/2</f>
        <v>900</v>
      </c>
      <c r="E5148" s="32" t="n">
        <f aca="false">(Sens!$D$5147+Sens!$E$5147)/2</f>
        <v>1760</v>
      </c>
      <c r="F5148" s="32" t="n">
        <f aca="false">(Sens!$E$5147+Sens!$F$5147)/2</f>
        <v>2988.575</v>
      </c>
      <c r="G5148" s="32" t="n">
        <f aca="false">(Sens!$E$5148+Sens!$F$5148)/2</f>
        <v>2374.2875</v>
      </c>
      <c r="H5148" s="32" t="n">
        <f aca="false">(Sens!$G$5147+Sens!$H$5147)/2</f>
        <v>5714.3</v>
      </c>
      <c r="I5148" s="32" t="n">
        <f aca="false">(Sens!$H$5147+Sens!$I$5147)/2</f>
        <v>9348.6</v>
      </c>
      <c r="J5148" s="32" t="n">
        <f aca="false">(Sens!$I$5147+Sens!$J$5147)/2</f>
        <v>12982.9</v>
      </c>
      <c r="K5148" s="32" t="n">
        <f aca="false">(Sens!$J$5147+Sens!$K$5147)/2</f>
        <v>16085.4835833333</v>
      </c>
      <c r="L5148" s="32" t="n">
        <f aca="false">(Sens!$K$5147+Sens!$L$5147)/2</f>
        <v>18124.6343333333</v>
      </c>
      <c r="M5148" s="32" t="n">
        <f aca="false">(Sens!$L$5147+Sens!$M$5147)/2</f>
        <v>19100.35225</v>
      </c>
      <c r="N5148" s="32" t="n">
        <f aca="false">(Sens!$C$5147+Sens!$N$5147)/2</f>
        <v>630</v>
      </c>
      <c r="O5148" s="32" t="n">
        <f aca="false">(Sens!$N$5147+Sens!$O$5147)/2</f>
        <v>1170</v>
      </c>
    </row>
    <row r="5149" customFormat="false" ht="15" hidden="false" customHeight="false" outlineLevel="0" collapsed="false">
      <c r="A5149" s="5" t="s">
        <v>594</v>
      </c>
      <c r="B5149" s="5" t="s">
        <v>123</v>
      </c>
      <c r="C5149" s="34" t="n">
        <v>1</v>
      </c>
      <c r="D5149" s="34" t="n">
        <v>1</v>
      </c>
      <c r="E5149" s="34" t="n">
        <v>0.5</v>
      </c>
      <c r="F5149" s="34" t="n">
        <v>0.5</v>
      </c>
      <c r="G5149" s="34" t="n">
        <v>1</v>
      </c>
      <c r="H5149" s="34" t="n">
        <v>1</v>
      </c>
      <c r="I5149" s="34" t="n">
        <v>1</v>
      </c>
      <c r="J5149" s="34" t="n">
        <v>1</v>
      </c>
      <c r="K5149" s="34" t="n">
        <v>1</v>
      </c>
      <c r="L5149" s="34" t="n">
        <v>1</v>
      </c>
      <c r="M5149" s="34" t="n">
        <v>1</v>
      </c>
      <c r="N5149" s="34" t="n">
        <v>0.5</v>
      </c>
      <c r="O5149" s="34" t="n">
        <v>0.5</v>
      </c>
    </row>
    <row r="5150" customFormat="false" ht="17.15" hidden="false" customHeight="false" outlineLevel="0" collapsed="false">
      <c r="A5150" s="5" t="s">
        <v>595</v>
      </c>
      <c r="B5150" s="0" t="s">
        <v>129</v>
      </c>
      <c r="C5150" s="32" t="n">
        <f aca="false">Sens!$C$5147-mw_ye23</f>
        <v>240</v>
      </c>
      <c r="D5150" s="32" t="n">
        <f aca="false">Sens!$D$5147-Sens!$C$5147</f>
        <v>1080</v>
      </c>
      <c r="E5150" s="32" t="n">
        <f aca="false">Sens!$E$5147-Sens!$D$5147</f>
        <v>640</v>
      </c>
      <c r="F5150" s="32" t="n">
        <f aca="false">Sens!$F$5147-Sens!$E$5147</f>
        <v>1817.15</v>
      </c>
      <c r="G5150" s="32" t="n">
        <f aca="false">Sens!$E$5150+Sens!$F$5150</f>
        <v>2457.15</v>
      </c>
      <c r="H5150" s="32" t="n">
        <f aca="false">Sens!$H$5147-Sens!$G$5147</f>
        <v>3634.3</v>
      </c>
      <c r="I5150" s="32" t="n">
        <f aca="false">Sens!$I$5147-Sens!$H$5147</f>
        <v>3634.3</v>
      </c>
      <c r="J5150" s="32" t="n">
        <f aca="false">Sens!$J$5147-Sens!$I$5147</f>
        <v>3634.3</v>
      </c>
      <c r="K5150" s="32" t="n">
        <f aca="false">Sens!$K$5147-Sens!$J$5147</f>
        <v>2570.86716666667</v>
      </c>
      <c r="L5150" s="32" t="n">
        <f aca="false">Sens!$L$5147-Sens!$K$5147</f>
        <v>1507.43433333333</v>
      </c>
      <c r="M5150" s="32" t="n">
        <f aca="false">Sens!$M$5147-Sens!$L$5147</f>
        <v>444.001499999999</v>
      </c>
      <c r="N5150" s="32" t="n">
        <f aca="false">Sens!$N$5147-Sens!$C$5147</f>
        <v>540</v>
      </c>
      <c r="O5150" s="32" t="n">
        <f aca="false">Sens!$O$5147-Sens!$N$5147</f>
        <v>540</v>
      </c>
    </row>
    <row r="5151" customFormat="false" ht="17.15" hidden="false" customHeight="false" outlineLevel="0" collapsed="false">
      <c r="A5151" s="5" t="s">
        <v>596</v>
      </c>
      <c r="B5151" s="0" t="s">
        <v>129</v>
      </c>
      <c r="C5151" s="32" t="n">
        <f aca="false">Sens!$C$5150/ext_sh</f>
        <v>300</v>
      </c>
      <c r="D5151" s="32" t="n">
        <f aca="false">Sens!$D$5150/ext_sh</f>
        <v>1350</v>
      </c>
      <c r="E5151" s="32" t="n">
        <f aca="false">Sens!$E$5150/ext_sh</f>
        <v>800</v>
      </c>
      <c r="F5151" s="32" t="n">
        <f aca="false">Sens!$F$5150/ext_sh</f>
        <v>2271.4375</v>
      </c>
      <c r="G5151" s="32" t="n">
        <f aca="false">Sens!$G$5150/ext_sh</f>
        <v>3071.4375</v>
      </c>
      <c r="H5151" s="32" t="n">
        <f aca="false">Sens!$H$5150/ext_sh</f>
        <v>4542.875</v>
      </c>
      <c r="I5151" s="32" t="n">
        <f aca="false">Sens!$I$5150/ext_sh</f>
        <v>4542.875</v>
      </c>
      <c r="J5151" s="32" t="n">
        <f aca="false">Sens!$J$5150/ext_sh</f>
        <v>4542.875</v>
      </c>
      <c r="K5151" s="32" t="n">
        <f aca="false">Sens!$K$5150/ext_sh</f>
        <v>3213.58395833333</v>
      </c>
      <c r="L5151" s="32" t="n">
        <f aca="false">Sens!$L$5150/ext_sh</f>
        <v>1884.29291666667</v>
      </c>
      <c r="M5151" s="32" t="n">
        <f aca="false">Sens!$M$5150/ext_sh</f>
        <v>555.001874999998</v>
      </c>
      <c r="N5151" s="32" t="n">
        <f aca="false">Sens!$N$5150/ext_sh</f>
        <v>675</v>
      </c>
      <c r="O5151" s="32" t="n">
        <f aca="false">Sens!$O$5150/ext_sh</f>
        <v>675</v>
      </c>
      <c r="P5151" s="8" t="s">
        <v>597</v>
      </c>
      <c r="R5151" s="32" t="n">
        <f aca="false">mw_ye23/ext_sh</f>
        <v>150</v>
      </c>
      <c r="S5151" s="32" t="n">
        <f aca="false">Sens!$C$5151</f>
        <v>300</v>
      </c>
      <c r="T5151" s="32" t="n">
        <f aca="false">Sens!$D$5151</f>
        <v>1350</v>
      </c>
      <c r="U5151" s="32" t="n">
        <f aca="false">Sens!$G$5151</f>
        <v>3071.4375</v>
      </c>
      <c r="V5151" s="32" t="n">
        <f aca="false">Sens!$H$5151</f>
        <v>4542.875</v>
      </c>
      <c r="W5151" s="32" t="n">
        <f aca="false">Sens!$I$5151</f>
        <v>4542.875</v>
      </c>
      <c r="X5151" s="32" t="n">
        <f aca="false">Sens!$J$5151</f>
        <v>4542.875</v>
      </c>
      <c r="Y5151" s="32" t="n">
        <f aca="false">Sens!$K$5151</f>
        <v>3213.58395833333</v>
      </c>
      <c r="Z5151" s="32" t="n">
        <f aca="false">Sens!$L$5151</f>
        <v>1884.29291666667</v>
      </c>
      <c r="AA5151" s="32" t="n">
        <f aca="false">Sens!$M$5151</f>
        <v>555.001874999998</v>
      </c>
    </row>
    <row r="5152" customFormat="false" ht="17.15" hidden="false" customHeight="false" outlineLevel="0" collapsed="false">
      <c r="A5152" s="1" t="s">
        <v>598</v>
      </c>
    </row>
    <row r="5153" customFormat="false" ht="17.15" hidden="false" customHeight="false" outlineLevel="0" collapsed="false">
      <c r="A5153" s="0" t="s">
        <v>599</v>
      </c>
      <c r="B5153" s="0" t="s">
        <v>52</v>
      </c>
      <c r="F5153" s="35" t="n">
        <f aca="false">na_vr26</f>
        <v>0</v>
      </c>
      <c r="G5153" s="35" t="n">
        <f aca="false">na_vr26</f>
        <v>0</v>
      </c>
      <c r="H5153" s="35" t="n">
        <f aca="false">na_vr27</f>
        <v>0.5</v>
      </c>
      <c r="I5153" s="35" t="n">
        <f aca="false">na_vr28</f>
        <v>1</v>
      </c>
      <c r="J5153" s="35" t="n">
        <f aca="false">na_vr28</f>
        <v>1</v>
      </c>
      <c r="K5153" s="35" t="n">
        <f aca="false">na_vr28</f>
        <v>1</v>
      </c>
      <c r="L5153" s="35" t="n">
        <f aca="false">na_vr28</f>
        <v>1</v>
      </c>
      <c r="M5153" s="35" t="n">
        <f aca="false">na_vr28</f>
        <v>1</v>
      </c>
    </row>
    <row r="5154" customFormat="false" ht="17.15" hidden="false" customHeight="false" outlineLevel="0" collapsed="false">
      <c r="A5154" s="5" t="s">
        <v>600</v>
      </c>
      <c r="B5154" s="0" t="s">
        <v>173</v>
      </c>
      <c r="F5154" s="36" t="n">
        <f aca="false">cust_sh*tk_he_gb300*cf_chip+(1-cust_sh)*((1-Sens!$F$5153)*tk_he_gb300+Sens!$F$5153*tk_he_vr200)</f>
        <v>10.8864110021101</v>
      </c>
      <c r="G5154" s="36" t="n">
        <f aca="false">cust_sh*tk_he_gb300*cf_chip+(1-cust_sh)*((1-Sens!$G$5153)*tk_he_gb300+Sens!$G$5153*tk_he_vr200)</f>
        <v>10.8864110021101</v>
      </c>
      <c r="H5154" s="36" t="n">
        <f aca="false">cust_sh*tk_he_gb300*cf_chip+(1-cust_sh)*((1-Sens!$H$5153)*tk_he_gb300+Sens!$H$5153*tk_he_vr200)</f>
        <v>11.2211760027286</v>
      </c>
      <c r="I5154" s="36" t="n">
        <f aca="false">cust_sh*tk_he_gb300*cf_chip+(1-cust_sh)*((1-Sens!$I$5153)*tk_he_gb300+Sens!$I$5153*tk_he_vr200)</f>
        <v>11.5559410033471</v>
      </c>
      <c r="J5154" s="36" t="n">
        <f aca="false">cust_sh*tk_he_gb300*cf_chip+(1-cust_sh)*((1-Sens!$J$5153)*tk_he_gb300+Sens!$J$5153*tk_he_vr200)</f>
        <v>11.5559410033471</v>
      </c>
      <c r="K5154" s="36" t="n">
        <f aca="false">cust_sh*tk_he_gb300*cf_chip+(1-cust_sh)*((1-Sens!$K$5153)*tk_he_gb300+Sens!$K$5153*tk_he_vr200)</f>
        <v>11.5559410033471</v>
      </c>
      <c r="L5154" s="36" t="n">
        <f aca="false">cust_sh*tk_he_gb300*cf_chip+(1-cust_sh)*((1-Sens!$L$5153)*tk_he_gb300+Sens!$L$5153*tk_he_vr200)</f>
        <v>11.5559410033471</v>
      </c>
      <c r="M5154" s="36" t="n">
        <f aca="false">cust_sh*tk_he_gb300*cf_chip+(1-cust_sh)*((1-Sens!$M$5153)*tk_he_gb300+Sens!$M$5153*tk_he_vr200)</f>
        <v>11.5559410033471</v>
      </c>
    </row>
    <row r="5155" customFormat="false" ht="17.15" hidden="false" customHeight="false" outlineLevel="0" collapsed="false">
      <c r="A5155" s="5" t="s">
        <v>601</v>
      </c>
      <c r="B5155" s="0" t="s">
        <v>173</v>
      </c>
      <c r="F5155" s="36" t="n">
        <f aca="false">cust_sh*tk_ox_gb300+(1-cust_sh)*((1-Sens!$F$5153)*tk_ox_gb300+Sens!$F$5153*tk_ox_vr200)</f>
        <v>1.98263481314457</v>
      </c>
      <c r="G5155" s="36" t="n">
        <f aca="false">cust_sh*tk_ox_gb300+(1-cust_sh)*((1-Sens!$G$5153)*tk_ox_gb300+Sens!$G$5153*tk_ox_vr200)</f>
        <v>1.98263481314457</v>
      </c>
      <c r="H5155" s="36" t="n">
        <f aca="false">cust_sh*tk_ox_gb300+(1-cust_sh)*((1-Sens!$H$5153)*tk_ox_gb300+Sens!$H$5153*tk_ox_vr200)</f>
        <v>2.01034999693694</v>
      </c>
      <c r="I5155" s="36" t="n">
        <f aca="false">cust_sh*tk_ox_gb300+(1-cust_sh)*((1-Sens!$I$5153)*tk_ox_gb300+Sens!$I$5153*tk_ox_vr200)</f>
        <v>2.0380651807293</v>
      </c>
      <c r="J5155" s="36" t="n">
        <f aca="false">cust_sh*tk_ox_gb300+(1-cust_sh)*((1-Sens!$J$5153)*tk_ox_gb300+Sens!$J$5153*tk_ox_vr200)</f>
        <v>2.0380651807293</v>
      </c>
      <c r="K5155" s="36" t="n">
        <f aca="false">cust_sh*tk_ox_gb300+(1-cust_sh)*((1-Sens!$K$5153)*tk_ox_gb300+Sens!$K$5153*tk_ox_vr200)</f>
        <v>2.0380651807293</v>
      </c>
      <c r="L5155" s="36" t="n">
        <f aca="false">cust_sh*tk_ox_gb300+(1-cust_sh)*((1-Sens!$L$5153)*tk_ox_gb300+Sens!$L$5153*tk_ox_vr200)</f>
        <v>2.0380651807293</v>
      </c>
      <c r="M5155" s="36" t="n">
        <f aca="false">cust_sh*tk_ox_gb300+(1-cust_sh)*((1-Sens!$M$5153)*tk_ox_gb300+Sens!$M$5153*tk_ox_vr200)</f>
        <v>2.0380651807293</v>
      </c>
    </row>
    <row r="5156" customFormat="false" ht="17.15" hidden="false" customHeight="false" outlineLevel="0" collapsed="false">
      <c r="A5156" s="5" t="s">
        <v>602</v>
      </c>
      <c r="B5156" s="0" t="s">
        <v>192</v>
      </c>
      <c r="F5156" s="36" t="n">
        <f aca="false">cust_sh*tk_cx_gb300*cf_cx+(1-cust_sh)*((1-Sens!$F$5153)*tk_cx_gb300+Sens!$F$5153*tk_cx_vr200)</f>
        <v>32.237224</v>
      </c>
      <c r="G5156" s="36" t="n">
        <f aca="false">cust_sh*tk_cx_gb300*cf_cx+(1-cust_sh)*((1-Sens!$G$5153)*tk_cx_gb300+Sens!$G$5153*tk_cx_vr200)</f>
        <v>32.237224</v>
      </c>
      <c r="H5156" s="36" t="n">
        <f aca="false">cust_sh*tk_cx_gb300*cf_cx+(1-cust_sh)*((1-Sens!$H$5153)*tk_cx_gb300+Sens!$H$5153*tk_cx_vr200)</f>
        <v>33.574506</v>
      </c>
      <c r="I5156" s="36" t="n">
        <f aca="false">cust_sh*tk_cx_gb300*cf_cx+(1-cust_sh)*((1-Sens!$I$5153)*tk_cx_gb300+Sens!$I$5153*tk_cx_vr200)</f>
        <v>34.911788</v>
      </c>
      <c r="J5156" s="36" t="n">
        <f aca="false">cust_sh*tk_cx_gb300*cf_cx+(1-cust_sh)*((1-Sens!$J$5153)*tk_cx_gb300+Sens!$J$5153*tk_cx_vr200)</f>
        <v>34.911788</v>
      </c>
      <c r="K5156" s="36" t="n">
        <f aca="false">cust_sh*tk_cx_gb300*cf_cx+(1-cust_sh)*((1-Sens!$K$5153)*tk_cx_gb300+Sens!$K$5153*tk_cx_vr200)</f>
        <v>34.911788</v>
      </c>
      <c r="L5156" s="36" t="n">
        <f aca="false">cust_sh*tk_cx_gb300*cf_cx+(1-cust_sh)*((1-Sens!$L$5153)*tk_cx_gb300+Sens!$L$5153*tk_cx_vr200)</f>
        <v>34.911788</v>
      </c>
      <c r="M5156" s="36" t="n">
        <f aca="false">cust_sh*tk_cx_gb300*cf_cx+(1-cust_sh)*((1-Sens!$M$5153)*tk_cx_gb300+Sens!$M$5153*tk_cx_vr200)</f>
        <v>34.911788</v>
      </c>
    </row>
    <row r="5157" customFormat="false" ht="17.15" hidden="false" customHeight="false" outlineLevel="0" collapsed="false">
      <c r="A5157" s="5" t="s">
        <v>603</v>
      </c>
      <c r="B5157" s="0" t="s">
        <v>129</v>
      </c>
      <c r="F5157" s="32" t="n">
        <f aca="false">Sens!$F$5147-mw_open</f>
        <v>1817.15</v>
      </c>
      <c r="G5157" s="32" t="n">
        <f aca="false">Sens!$F$5157</f>
        <v>1817.15</v>
      </c>
      <c r="H5157" s="32" t="n">
        <f aca="false">Sens!$H$5147-mw_open</f>
        <v>5451.45</v>
      </c>
      <c r="I5157" s="32" t="n">
        <f aca="false">Sens!$I$5147-mw_open</f>
        <v>9085.75</v>
      </c>
      <c r="J5157" s="32" t="n">
        <f aca="false">Sens!$J$5147-mw_open</f>
        <v>12720.05</v>
      </c>
      <c r="K5157" s="32" t="n">
        <f aca="false">Sens!$K$5147-mw_open</f>
        <v>15290.9171666667</v>
      </c>
      <c r="L5157" s="32" t="n">
        <f aca="false">Sens!$L$5147-mw_open</f>
        <v>16798.3515</v>
      </c>
      <c r="M5157" s="32" t="n">
        <f aca="false">Sens!$M$5147-mw_open</f>
        <v>17242.353</v>
      </c>
    </row>
    <row r="5158" customFormat="false" ht="17.15" hidden="false" customHeight="false" outlineLevel="0" collapsed="false">
      <c r="A5158" s="0" t="s">
        <v>604</v>
      </c>
      <c r="B5158" s="0" t="s">
        <v>605</v>
      </c>
      <c r="F5158" s="32" t="n">
        <f aca="false">Sens!$F$5150*Sens!$F$5154</f>
        <v>19782.2417524844</v>
      </c>
      <c r="G5158" s="32" t="n">
        <f aca="false">Sens!$F$5158</f>
        <v>19782.2417524844</v>
      </c>
      <c r="H5158" s="32" t="n">
        <f aca="false">Sens!$G$5158+Sens!$H$5150*Sens!$H$5154</f>
        <v>60563.3616992009</v>
      </c>
      <c r="I5158" s="32" t="n">
        <f aca="false">Sens!$H$5158+Sens!$I$5150*Sens!$I$5154</f>
        <v>102561.118087665</v>
      </c>
      <c r="J5158" s="32" t="n">
        <f aca="false">Sens!$I$5158+Sens!$J$5150*Sens!$J$5154</f>
        <v>144558.87447613</v>
      </c>
      <c r="K5158" s="32" t="n">
        <f aca="false">Sens!$J$5158+Sens!$K$5150*Sens!$K$5154</f>
        <v>174267.663781572</v>
      </c>
      <c r="L5158" s="32" t="n">
        <f aca="false">Sens!$K$5158+Sens!$L$5150*Sens!$L$5154</f>
        <v>191687.486003992</v>
      </c>
      <c r="M5158" s="32" t="n">
        <f aca="false">Sens!$L$5158+Sens!$M$5150*Sens!$M$5154</f>
        <v>196818.341143389</v>
      </c>
    </row>
    <row r="5159" customFormat="false" ht="17.15" hidden="false" customHeight="false" outlineLevel="0" collapsed="false">
      <c r="A5159" s="0" t="s">
        <v>606</v>
      </c>
      <c r="B5159" s="0" t="s">
        <v>605</v>
      </c>
      <c r="F5159" s="32" t="n">
        <f aca="false">Sens!$F$5150*Sens!$F$5155</f>
        <v>3602.74485070566</v>
      </c>
      <c r="G5159" s="32" t="n">
        <f aca="false">Sens!$F$5159</f>
        <v>3602.74485070566</v>
      </c>
      <c r="H5159" s="32" t="n">
        <f aca="false">Sens!$G$5159+Sens!$H$5150*Sens!$H$5155</f>
        <v>10908.9598445736</v>
      </c>
      <c r="I5159" s="32" t="n">
        <f aca="false">Sens!$H$5159+Sens!$I$5150*Sens!$I$5155</f>
        <v>18315.9001308981</v>
      </c>
      <c r="J5159" s="32" t="n">
        <f aca="false">Sens!$I$5159+Sens!$J$5150*Sens!$J$5155</f>
        <v>25722.8404172225</v>
      </c>
      <c r="K5159" s="32" t="n">
        <f aca="false">Sens!$J$5159+Sens!$K$5150*Sens!$K$5155</f>
        <v>30962.4352738861</v>
      </c>
      <c r="L5159" s="32" t="n">
        <f aca="false">Sens!$K$5159+Sens!$L$5150*Sens!$L$5155</f>
        <v>34034.6847008886</v>
      </c>
      <c r="M5159" s="32" t="n">
        <f aca="false">Sens!$L$5159+Sens!$M$5150*Sens!$M$5155</f>
        <v>34939.5886982302</v>
      </c>
    </row>
    <row r="5160" customFormat="false" ht="17.15" hidden="false" customHeight="false" outlineLevel="0" collapsed="false">
      <c r="A5160" s="5" t="s">
        <v>607</v>
      </c>
      <c r="B5160" s="0" t="s">
        <v>173</v>
      </c>
      <c r="F5160" s="36" t="n">
        <f aca="false">IF(Sens!$F$5157&gt;0,Sens!$F$5158/Sens!$F$5157,Sens!$F$5154)</f>
        <v>10.8864110021101</v>
      </c>
      <c r="G5160" s="36" t="n">
        <f aca="false">IF(Sens!$G$5157&gt;0,Sens!$G$5158/Sens!$G$5157,Sens!$G$5154)</f>
        <v>10.8864110021101</v>
      </c>
      <c r="H5160" s="36" t="n">
        <f aca="false">IF(Sens!$H$5157&gt;0,Sens!$H$5158/Sens!$H$5157,Sens!$H$5154)</f>
        <v>11.1095876691891</v>
      </c>
      <c r="I5160" s="36" t="n">
        <f aca="false">IF(Sens!$I$5157&gt;0,Sens!$I$5158/Sens!$I$5157,Sens!$I$5154)</f>
        <v>11.2881290028523</v>
      </c>
      <c r="J5160" s="36" t="n">
        <f aca="false">IF(Sens!$J$5157&gt;0,Sens!$J$5158/Sens!$J$5157,Sens!$J$5154)</f>
        <v>11.3646467172794</v>
      </c>
      <c r="K5160" s="36" t="n">
        <f aca="false">IF(Sens!$K$5157&gt;0,Sens!$K$5158/Sens!$K$5157,Sens!$K$5154)</f>
        <v>11.3968090914432</v>
      </c>
      <c r="L5160" s="36" t="n">
        <f aca="false">IF(Sens!$L$5157&gt;0,Sens!$L$5158/Sens!$L$5157,Sens!$L$5154)</f>
        <v>11.4110891181192</v>
      </c>
      <c r="M5160" s="36" t="n">
        <f aca="false">IF(Sens!$M$5157&gt;0,Sens!$M$5158/Sens!$M$5157,Sens!$M$5154)</f>
        <v>11.4148191458201</v>
      </c>
    </row>
    <row r="5161" customFormat="false" ht="17.15" hidden="false" customHeight="false" outlineLevel="0" collapsed="false">
      <c r="A5161" s="5" t="s">
        <v>608</v>
      </c>
      <c r="B5161" s="0" t="s">
        <v>173</v>
      </c>
      <c r="F5161" s="36" t="n">
        <f aca="false">IF(Sens!$F$5157&gt;0,Sens!$F$5159/Sens!$F$5157,Sens!$F$5155)</f>
        <v>1.98263481314457</v>
      </c>
      <c r="G5161" s="36" t="n">
        <f aca="false">IF(Sens!$G$5157&gt;0,Sens!$G$5159/Sens!$G$5157,Sens!$G$5155)</f>
        <v>1.98263481314457</v>
      </c>
      <c r="H5161" s="36" t="n">
        <f aca="false">IF(Sens!$H$5157&gt;0,Sens!$H$5159/Sens!$H$5157,Sens!$H$5155)</f>
        <v>2.00111160233948</v>
      </c>
      <c r="I5161" s="36" t="n">
        <f aca="false">IF(Sens!$I$5157&gt;0,Sens!$I$5159/Sens!$I$5157,Sens!$I$5155)</f>
        <v>2.01589303369541</v>
      </c>
      <c r="J5161" s="36" t="n">
        <f aca="false">IF(Sens!$J$5157&gt;0,Sens!$J$5159/Sens!$J$5157,Sens!$J$5155)</f>
        <v>2.02222793284795</v>
      </c>
      <c r="K5161" s="36" t="n">
        <f aca="false">IF(Sens!$K$5157&gt;0,Sens!$K$5159/Sens!$K$5157,Sens!$K$5155)</f>
        <v>2.02489065478573</v>
      </c>
      <c r="L5161" s="36" t="n">
        <f aca="false">IF(Sens!$L$5157&gt;0,Sens!$L$5159/Sens!$L$5157,Sens!$L$5155)</f>
        <v>2.0260728977417</v>
      </c>
      <c r="M5161" s="36" t="n">
        <f aca="false">IF(Sens!$M$5157&gt;0,Sens!$M$5159/Sens!$M$5157,Sens!$M$5155)</f>
        <v>2.02638170661685</v>
      </c>
    </row>
    <row r="5162" customFormat="false" ht="17.15" hidden="false" customHeight="false" outlineLevel="0" collapsed="false">
      <c r="A5162" s="15" t="s">
        <v>609</v>
      </c>
      <c r="B5162" s="14" t="s">
        <v>173</v>
      </c>
      <c r="C5162" s="14"/>
      <c r="D5162" s="14"/>
      <c r="E5162" s="14"/>
      <c r="F5162" s="37" t="n">
        <f aca="false">Sens!$F$5160*k_B</f>
        <v>10.7987645808025</v>
      </c>
      <c r="G5162" s="37" t="n">
        <f aca="false">Sens!$G$5160*k_B</f>
        <v>10.7987645808025</v>
      </c>
      <c r="H5162" s="37" t="n">
        <f aca="false">Sens!$H$5160*k_B</f>
        <v>11.0201444540452</v>
      </c>
      <c r="I5162" s="37" t="n">
        <f aca="false">Sens!$I$5160*k_B</f>
        <v>11.1972483526393</v>
      </c>
      <c r="J5162" s="37" t="n">
        <f aca="false">Sens!$J$5160*k_B</f>
        <v>11.2731500234653</v>
      </c>
      <c r="K5162" s="37" t="n">
        <f aca="false">Sens!$K$5160*k_B</f>
        <v>11.3050534585724</v>
      </c>
      <c r="L5162" s="37" t="n">
        <f aca="false">Sens!$L$5160*k_B</f>
        <v>11.3192185168503</v>
      </c>
      <c r="M5162" s="37" t="n">
        <f aca="false">Sens!$M$5160*k_B</f>
        <v>11.3229185141234</v>
      </c>
      <c r="N5162" s="14"/>
      <c r="O5162" s="14"/>
      <c r="P5162" s="5" t="s">
        <v>610</v>
      </c>
    </row>
    <row r="5163" customFormat="false" ht="17.15" hidden="false" customHeight="false" outlineLevel="0" collapsed="false">
      <c r="A5163" s="5" t="s">
        <v>611</v>
      </c>
      <c r="B5163" s="0" t="s">
        <v>129</v>
      </c>
      <c r="F5163" s="32" t="n">
        <f aca="false">Sens!$F$5157/2</f>
        <v>908.575</v>
      </c>
      <c r="H5163" s="32" t="n">
        <f aca="false">(Sens!$G$5157+Sens!$H$5157)/2</f>
        <v>3634.3</v>
      </c>
      <c r="I5163" s="32" t="n">
        <f aca="false">(Sens!$H$5157+Sens!$I$5157)/2</f>
        <v>7268.6</v>
      </c>
      <c r="J5163" s="32" t="n">
        <f aca="false">(Sens!$I$5157+Sens!$J$5157)/2</f>
        <v>10902.9</v>
      </c>
      <c r="K5163" s="32" t="n">
        <f aca="false">(Sens!$J$5157+Sens!$K$5157)/2</f>
        <v>14005.4835833333</v>
      </c>
      <c r="L5163" s="32" t="n">
        <f aca="false">(Sens!$K$5157+Sens!$L$5157)/2</f>
        <v>16044.6343333333</v>
      </c>
      <c r="M5163" s="32" t="n">
        <f aca="false">(Sens!$L$5157+Sens!$M$5157)/2</f>
        <v>17020.35225</v>
      </c>
    </row>
    <row r="5164" customFormat="false" ht="17.15" hidden="false" customHeight="false" outlineLevel="0" collapsed="false">
      <c r="A5164" s="1" t="s">
        <v>612</v>
      </c>
    </row>
    <row r="5165" customFormat="false" ht="17.15" hidden="false" customHeight="false" outlineLevel="0" collapsed="false">
      <c r="A5165" s="1" t="s">
        <v>613</v>
      </c>
      <c r="B5165" s="8" t="s">
        <v>86</v>
      </c>
      <c r="C5165" s="38" t="n">
        <f aca="false">Sens!$C$5148*rpm_open*Sens!$C$5149/1000</f>
        <v>2.32100535697364</v>
      </c>
      <c r="D5165" s="38" t="n">
        <f aca="false">Sens!$D$5148*rpm_open*Sens!$D$5149/1000</f>
        <v>8.70377008865116</v>
      </c>
      <c r="E5165" s="38" t="n">
        <f aca="false">Sens!$E$5148*rpm_open*Sens!$E$5149/1000</f>
        <v>8.51035297557002</v>
      </c>
      <c r="F5165" s="38" t="n">
        <f aca="false">(mw_open*rpm_open+Sens!$F$5163*Sens!$F$5162)*Sens!$F$5149/1000</f>
        <v>14.9634336447205</v>
      </c>
      <c r="G5165" s="38" t="n">
        <f aca="false">Sens!$E$5165+Sens!$F$5165</f>
        <v>23.4737866202905</v>
      </c>
      <c r="H5165" s="38" t="n">
        <f aca="false">(mw_open*rpm_open+Sens!$H$5163*Sens!$H$5162)/1000</f>
        <v>60.1658907497746</v>
      </c>
      <c r="I5165" s="38" t="n">
        <f aca="false">(mw_open*rpm_open+Sens!$I$5163*Sens!$I$5162)/1000</f>
        <v>101.503699136432</v>
      </c>
      <c r="J5165" s="38" t="n">
        <f aca="false">(mw_open*rpm_open+Sens!$J$5163*Sens!$J$5162)/1000</f>
        <v>143.025407151278</v>
      </c>
      <c r="K5165" s="38" t="n">
        <f aca="false">(mw_open*rpm_open+Sens!$K$5163*Sens!$K$5162)/1000</f>
        <v>178.44812038318</v>
      </c>
      <c r="L5165" s="38" t="n">
        <f aca="false">(mw_open*rpm_open+Sens!$L$5163*Sens!$L$5162)/1000</f>
        <v>201.728101802396</v>
      </c>
      <c r="M5165" s="38" t="n">
        <f aca="false">(mw_open*rpm_open+Sens!$M$5163*Sens!$M$5162)/1000</f>
        <v>212.835441368865</v>
      </c>
      <c r="N5165" s="38" t="n">
        <f aca="false">Sens!$N$5148*rpm_open*Sens!$N$5149/1000</f>
        <v>3.04631953102791</v>
      </c>
      <c r="O5165" s="38" t="n">
        <f aca="false">Sens!$O$5148*rpm_open*Sens!$O$5149/1000</f>
        <v>5.65745055762326</v>
      </c>
      <c r="P5165" s="5" t="s">
        <v>614</v>
      </c>
    </row>
    <row r="5166" customFormat="false" ht="17.15" hidden="false" customHeight="false" outlineLevel="0" collapsed="false">
      <c r="A5166" s="5" t="s">
        <v>615</v>
      </c>
      <c r="B5166" s="0" t="s">
        <v>173</v>
      </c>
      <c r="C5166" s="36" t="n">
        <f aca="false">Sens!$C$5165*1000/(Sens!$C$5148*Sens!$C$5149)</f>
        <v>9.67085565405685</v>
      </c>
      <c r="D5166" s="36" t="n">
        <f aca="false">Sens!$D$5165*1000/(Sens!$D$5148*Sens!$D$5149)</f>
        <v>9.67085565405685</v>
      </c>
      <c r="E5166" s="36" t="n">
        <f aca="false">Sens!$E$5165*1000/(Sens!$E$5148*Sens!$E$5149)</f>
        <v>9.67085565405685</v>
      </c>
      <c r="F5166" s="36" t="n">
        <f aca="false">Sens!$F$5165*1000/(Sens!$F$5148*Sens!$F$5149)</f>
        <v>10.0137581588017</v>
      </c>
      <c r="G5166" s="36" t="n">
        <f aca="false">Sens!$G$5165*1000/(Sens!$G$5148*Sens!$G$5149)</f>
        <v>9.88666562928478</v>
      </c>
      <c r="H5166" s="36" t="n">
        <f aca="false">Sens!$H$5165*1000/(Sens!$H$5148*Sens!$H$5149)</f>
        <v>10.5290045586992</v>
      </c>
      <c r="I5166" s="36" t="n">
        <f aca="false">Sens!$I$5165*1000/(Sens!$I$5148*Sens!$I$5149)</f>
        <v>10.8576363451674</v>
      </c>
      <c r="J5166" s="36" t="n">
        <f aca="false">Sens!$J$5165*1000/(Sens!$J$5148*Sens!$J$5149)</f>
        <v>11.0164452588619</v>
      </c>
      <c r="K5166" s="36" t="n">
        <f aca="false">Sens!$K$5165*1000/(Sens!$K$5148*Sens!$K$5149)</f>
        <v>11.0937367508227</v>
      </c>
      <c r="L5166" s="36" t="n">
        <f aca="false">Sens!$L$5165*1000/(Sens!$L$5148*Sens!$L$5149)</f>
        <v>11.1300508519168</v>
      </c>
      <c r="M5166" s="36" t="n">
        <f aca="false">Sens!$M$5165*1000/(Sens!$M$5148*Sens!$M$5149)</f>
        <v>11.1430113216297</v>
      </c>
      <c r="N5166" s="36" t="n">
        <f aca="false">Sens!$N$5165*1000/(Sens!$N$5148*Sens!$N$5149)</f>
        <v>9.67085565405685</v>
      </c>
      <c r="O5166" s="36" t="n">
        <f aca="false">Sens!$O$5165*1000/(Sens!$O$5148*Sens!$O$5149)</f>
        <v>9.67085565405685</v>
      </c>
    </row>
    <row r="5167" customFormat="false" ht="17.15" hidden="false" customHeight="false" outlineLevel="0" collapsed="false">
      <c r="A5167" s="0" t="s">
        <v>616</v>
      </c>
      <c r="B5167" s="0" t="s">
        <v>86</v>
      </c>
      <c r="C5167" s="38" t="n">
        <f aca="false">Sens!$C$5148/ext_sh*(ox_open+rent_mw)*Sens!$C$5149/1000</f>
        <v>0.642569210675032</v>
      </c>
      <c r="D5167" s="38" t="n">
        <f aca="false">Sens!$D$5148/ext_sh*(ox_open+rent_mw)*Sens!$D$5149/1000</f>
        <v>2.40963454003137</v>
      </c>
      <c r="E5167" s="38" t="n">
        <f aca="false">Sens!$E$5148/ext_sh*(ox_open+rent_mw)*Sens!$E$5149/1000</f>
        <v>2.35608710580845</v>
      </c>
      <c r="F5167" s="38" t="n">
        <f aca="false">((mw_open*ox_open+Sens!$F$5163*Sens!$F$5161)/ext_sh+Sens!$F$5148/ext_sh*rent_mw)*Sens!$F$5149/1000</f>
        <v>4.05421991106232</v>
      </c>
      <c r="G5167" s="38" t="n">
        <f aca="false">Sens!$E$5167+Sens!$F$5167</f>
        <v>6.41030701687077</v>
      </c>
      <c r="H5167" s="38" t="n">
        <f aca="false">((mw_open*ox_open+Sens!$H$5163*Sens!$H$5161)/ext_sh+Sens!$H$5148/ext_sh*rent_mw)*Sens!$H$5149/1000</f>
        <v>15.8108975546616</v>
      </c>
      <c r="I5167" s="38" t="n">
        <f aca="false">((mw_open*ox_open+Sens!$I$5163*Sens!$I$5161)/ext_sh+Sens!$I$5148/ext_sh*rent_mw)*Sens!$I$5149/1000</f>
        <v>26.1871623400817</v>
      </c>
      <c r="J5167" s="38" t="n">
        <f aca="false">((mw_open*ox_open+Sens!$J$5163*Sens!$J$5161)/ext_sh+Sens!$J$5148/ext_sh*rent_mw)*Sens!$J$5149/1000</f>
        <v>36.5826128954935</v>
      </c>
      <c r="K5167" s="38" t="n">
        <f aca="false">((mw_open*ox_open+Sens!$K$5163*Sens!$K$5161)/ext_sh+Sens!$K$5148/ext_sh*rent_mw)*Sens!$K$5149/1000</f>
        <v>45.4546361137628</v>
      </c>
      <c r="L5167" s="38" t="n">
        <f aca="false">((mw_open*ox_open+Sens!$L$5163*Sens!$L$5161)/ext_sh+Sens!$L$5148/ext_sh*rent_mw)*Sens!$L$5149/1000</f>
        <v>51.2855695554452</v>
      </c>
      <c r="M5167" s="38" t="n">
        <f aca="false">((mw_open*ox_open+Sens!$M$5163*Sens!$M$5161)/ext_sh+Sens!$M$5148/ext_sh*rent_mw)*Sens!$M$5149/1000</f>
        <v>54.0722927838398</v>
      </c>
      <c r="N5167" s="38" t="n">
        <f aca="false">Sens!$N$5148/ext_sh*(ox_open+rent_mw)*Sens!$N$5149/1000</f>
        <v>0.84337208901098</v>
      </c>
      <c r="O5167" s="38" t="n">
        <f aca="false">Sens!$O$5148/ext_sh*(ox_open+rent_mw)*Sens!$O$5149/1000</f>
        <v>1.56626245102039</v>
      </c>
    </row>
    <row r="5168" customFormat="false" ht="17.15" hidden="false" customHeight="false" outlineLevel="0" collapsed="false">
      <c r="A5168" s="0" t="s">
        <v>617</v>
      </c>
      <c r="B5168" s="0" t="s">
        <v>86</v>
      </c>
      <c r="C5168" s="38" t="n">
        <f aca="false">Q!$D$7</f>
        <v>107.556</v>
      </c>
      <c r="D5168" s="38" t="n">
        <f aca="false">Q!$E$7</f>
        <v>128.725</v>
      </c>
      <c r="E5168" s="38" t="n">
        <f aca="false">Q!$P$7</f>
        <v>79.819</v>
      </c>
      <c r="N5168" s="38" t="n">
        <f aca="false">Q!$N$7</f>
        <v>60.14</v>
      </c>
      <c r="O5168" s="38" t="n">
        <f aca="false">Q!$O$7</f>
        <v>68.585</v>
      </c>
    </row>
    <row r="5169" customFormat="false" ht="17.15" hidden="false" customHeight="false" outlineLevel="0" collapsed="false">
      <c r="A5169" s="1" t="s">
        <v>618</v>
      </c>
      <c r="B5169" s="8" t="s">
        <v>86</v>
      </c>
      <c r="C5169" s="38" t="n">
        <f aca="false">Sens!$C$5168-Sens!$C$5165</f>
        <v>105.234994643026</v>
      </c>
      <c r="D5169" s="38" t="n">
        <f aca="false">Sens!$D$5168-Sens!$D$5165</f>
        <v>120.021229911349</v>
      </c>
      <c r="E5169" s="38" t="n">
        <f aca="false">Sens!$E$5168-Sens!$E$5165</f>
        <v>71.30864702443</v>
      </c>
      <c r="F5169" s="38" t="n">
        <f aca="false">Sens!$O$5169*(1+Sens!$F$5170)</f>
        <v>71.7692997942464</v>
      </c>
      <c r="G5169" s="38" t="n">
        <f aca="false">Sens!$E$5169+Sens!$F$5169</f>
        <v>143.077946818676</v>
      </c>
      <c r="H5169" s="38" t="n">
        <f aca="false">Sens!$G$5169*(1+Sens!$H$5170)</f>
        <v>161.017077079203</v>
      </c>
      <c r="I5169" s="38" t="n">
        <f aca="false">Sens!$H$5169*(1+Sens!$I$5170)</f>
        <v>178.769759521457</v>
      </c>
      <c r="J5169" s="38" t="n">
        <f aca="false">Sens!$I$5169*(1+Sens!$J$5170)</f>
        <v>195.775538045907</v>
      </c>
      <c r="K5169" s="38" t="n">
        <f aca="false">Sens!$J$5169*(1+Sens!$K$5170)</f>
        <v>211.43758108958</v>
      </c>
      <c r="L5169" s="38" t="n">
        <f aca="false">Sens!$K$5169*(1+Sens!$L$5170)</f>
        <v>228.352587576746</v>
      </c>
      <c r="M5169" s="38" t="n">
        <f aca="false">Sens!$L$5169*(1+Sens!$M$5170)</f>
        <v>246.620794582886</v>
      </c>
      <c r="N5169" s="38" t="n">
        <f aca="false">Sens!$N$5168-Sens!$N$5165</f>
        <v>57.0936804689721</v>
      </c>
      <c r="O5169" s="38" t="n">
        <f aca="false">Sens!$O$5168-Sens!$O$5165</f>
        <v>62.9275494423768</v>
      </c>
      <c r="P5169" s="5" t="s">
        <v>619</v>
      </c>
    </row>
    <row r="5170" customFormat="false" ht="17.15" hidden="false" customHeight="false" outlineLevel="0" collapsed="false">
      <c r="A5170" s="0" t="s">
        <v>620</v>
      </c>
      <c r="B5170" s="0" t="s">
        <v>52</v>
      </c>
      <c r="D5170" s="13" t="n">
        <f aca="false">Sens!$D$5169/Sens!$C$5169-1</f>
        <v>0.140506827776062</v>
      </c>
      <c r="E5170" s="13" t="n">
        <f aca="false">Sens!$E$5169/Sens!$N$5169-1</f>
        <v>0.248976181579029</v>
      </c>
      <c r="F5170" s="13" t="n">
        <f aca="false">Sens!$D$5170</f>
        <v>0.140506827776062</v>
      </c>
      <c r="G5170" s="13" t="n">
        <f aca="false">Sens!$G$5169/Sens!$D$5169-1</f>
        <v>0.19210532106993</v>
      </c>
      <c r="H5170" s="13" t="n">
        <f aca="false">Sens!$F$5170+(g_awso_lt-Sens!$F$5170)*1/4</f>
        <v>0.125380120832046</v>
      </c>
      <c r="I5170" s="13" t="n">
        <f aca="false">Sens!$F$5170+(g_awso_lt-Sens!$F$5170)*2/4</f>
        <v>0.110253413888031</v>
      </c>
      <c r="J5170" s="13" t="n">
        <f aca="false">Sens!$F$5170+(g_awso_lt-Sens!$F$5170)*3/4</f>
        <v>0.0951267069440154</v>
      </c>
      <c r="K5170" s="13" t="n">
        <f aca="false">Sens!$F$5170+(g_awso_lt-Sens!$F$5170)*4/4</f>
        <v>0.08</v>
      </c>
      <c r="L5170" s="13" t="n">
        <f aca="false">g_awso_lt</f>
        <v>0.08</v>
      </c>
      <c r="M5170" s="13" t="n">
        <f aca="false">g_awso_lt</f>
        <v>0.08</v>
      </c>
      <c r="P5170" s="5" t="s">
        <v>621</v>
      </c>
    </row>
    <row r="5171" customFormat="false" ht="17.15" hidden="false" customHeight="false" outlineLevel="0" collapsed="false">
      <c r="A5171" s="1" t="s">
        <v>622</v>
      </c>
    </row>
    <row r="5172" customFormat="false" ht="17.15" hidden="false" customHeight="false" outlineLevel="0" collapsed="false">
      <c r="A5172" s="0" t="s">
        <v>623</v>
      </c>
      <c r="B5172" s="0" t="s">
        <v>86</v>
      </c>
      <c r="F5172" s="38" t="n">
        <f aca="false">cx_rt*Sens!$F$5137+cx_awso*Sens!$F$5169</f>
        <v>34.9734495387866</v>
      </c>
    </row>
    <row r="5173" customFormat="false" ht="17.15" hidden="false" customHeight="false" outlineLevel="0" collapsed="false">
      <c r="A5173" s="0" t="s">
        <v>624</v>
      </c>
      <c r="B5173" s="0" t="s">
        <v>52</v>
      </c>
      <c r="C5173" s="13" t="n">
        <f aca="false">tk_cx_h100/(tk_cx_h100+tk_fac*(1-colo_sh))</f>
        <v>0.730756458006641</v>
      </c>
      <c r="D5173" s="13" t="n">
        <f aca="false">tk_cx_h100/(tk_cx_h100+tk_fac*(1-colo_sh))</f>
        <v>0.730756458006641</v>
      </c>
      <c r="E5173" s="13" t="n">
        <f aca="false">Sens!$F$5173</f>
        <v>0.760792334328868</v>
      </c>
      <c r="F5173" s="13" t="n">
        <f aca="false">Sens!$F$5156/(Sens!$F$5156+tk_fac*(1-colo_sh))</f>
        <v>0.760792334328868</v>
      </c>
      <c r="G5173" s="13" t="n">
        <f aca="false">Sens!$G$5156/(Sens!$G$5156+tk_fac*(1-colo_sh))</f>
        <v>0.760792334328868</v>
      </c>
      <c r="H5173" s="13" t="n">
        <f aca="false">Sens!$H$5156/(Sens!$H$5156+tk_fac*(1-colo_sh))</f>
        <v>0.768110668862996</v>
      </c>
      <c r="I5173" s="13" t="n">
        <f aca="false">Sens!$I$5156/(Sens!$I$5156+tk_fac*(1-colo_sh))</f>
        <v>0.77499450139483</v>
      </c>
      <c r="J5173" s="13" t="n">
        <f aca="false">Sens!$J$5156/(Sens!$J$5156+tk_fac*(1-colo_sh))</f>
        <v>0.77499450139483</v>
      </c>
      <c r="K5173" s="13" t="n">
        <f aca="false">Sens!$K$5156/(Sens!$K$5156+tk_fac*(1-colo_sh))</f>
        <v>0.77499450139483</v>
      </c>
      <c r="L5173" s="13" t="n">
        <f aca="false">Sens!$L$5156/(Sens!$L$5156+tk_fac*(1-colo_sh))</f>
        <v>0.77499450139483</v>
      </c>
      <c r="M5173" s="13" t="n">
        <f aca="false">Sens!$M$5156/(Sens!$M$5156+tk_fac*(1-colo_sh))</f>
        <v>0.77499450139483</v>
      </c>
    </row>
    <row r="5174" customFormat="false" ht="17.15" hidden="false" customHeight="false" outlineLevel="0" collapsed="false">
      <c r="A5174" s="1" t="s">
        <v>625</v>
      </c>
      <c r="B5174" s="8" t="s">
        <v>86</v>
      </c>
      <c r="C5174" s="38" t="n">
        <f aca="false">Q!$D$46-cx_rt*Q!$D$16-cx_awso*Sens!$C$5169</f>
        <v>25.2781053077374</v>
      </c>
      <c r="D5174" s="38" t="n">
        <f aca="false">Q!$E$46-cx_rt*Q!$E$16-cx_awso*Sens!$D$5169</f>
        <v>69.5686316310026</v>
      </c>
      <c r="E5174" s="38" t="n">
        <f aca="false">Q!$P$46-cx_rt*Q!$P$16-cx_awso*Sens!$E$5169</f>
        <v>64.1899206485108</v>
      </c>
      <c r="F5174" s="38" t="n">
        <f aca="false">MAX(Sens!$F$5151*(Sens!$F$5156+tk_fac*(1-colo_sh))/1000,capex_g26-Q!$P$46-Sens!$F$5172)</f>
        <v>96.2481299895</v>
      </c>
      <c r="G5174" s="38" t="n">
        <f aca="false">Sens!$E$5174+Sens!$F$5174</f>
        <v>160.438050638011</v>
      </c>
      <c r="H5174" s="38" t="n">
        <f aca="false">Sens!$H$5151*(Sens!$H$5156+tk_fac*(1-colo_sh))/1000+Sens!$H$5175</f>
        <v>198.57136494475</v>
      </c>
      <c r="I5174" s="38" t="n">
        <f aca="false">Sens!$I$5151*(Sens!$I$5156+tk_fac*(1-colo_sh))/1000+Sens!$I$5175</f>
        <v>204.6464699105</v>
      </c>
      <c r="J5174" s="38" t="n">
        <f aca="false">Sens!$J$5151*(Sens!$J$5156+tk_fac*(1-colo_sh))/1000+Sens!$J$5175</f>
        <v>209.8832381105</v>
      </c>
      <c r="K5174" s="38" t="n">
        <f aca="false">Sens!$K$5151*(Sens!$K$5156+tk_fac*(1-colo_sh))/1000+Sens!$K$5175</f>
        <v>155.238385275201</v>
      </c>
      <c r="L5174" s="38" t="n">
        <f aca="false">Sens!$L$5151*(Sens!$L$5156+tk_fac*(1-colo_sh))/1000+Sens!$L$5175</f>
        <v>132.014141639902</v>
      </c>
      <c r="M5174" s="38" t="n">
        <f aca="false">Sens!$M$5151*(Sens!$M$5156+tk_fac*(1-colo_sh))/1000+Sens!$M$5175</f>
        <v>132.230981659852</v>
      </c>
      <c r="P5174" s="5" t="s">
        <v>626</v>
      </c>
      <c r="R5174" s="38" t="n">
        <f aca="false">Q!$C$46-cx_rt*Q!$C$16-cx_awso*(Q!$C$7-mw_ye23/2*rpm_open/1000)</f>
        <v>1.50429979529945</v>
      </c>
      <c r="S5174" s="38" t="n">
        <f aca="false">Sens!$C$5174</f>
        <v>25.2781053077374</v>
      </c>
      <c r="T5174" s="38" t="n">
        <f aca="false">Sens!$D$5174</f>
        <v>69.5686316310026</v>
      </c>
      <c r="U5174" s="38" t="n">
        <f aca="false">Sens!$G$5174</f>
        <v>160.438050638011</v>
      </c>
      <c r="V5174" s="38" t="n">
        <f aca="false">Sens!$H$5174</f>
        <v>198.57136494475</v>
      </c>
      <c r="W5174" s="38" t="n">
        <f aca="false">Sens!$I$5174</f>
        <v>204.6464699105</v>
      </c>
      <c r="X5174" s="38" t="n">
        <f aca="false">Sens!$J$5174</f>
        <v>209.8832381105</v>
      </c>
      <c r="Y5174" s="38" t="n">
        <f aca="false">Sens!$K$5174</f>
        <v>155.238385275201</v>
      </c>
      <c r="Z5174" s="38" t="n">
        <f aca="false">Sens!$L$5174</f>
        <v>132.014141639902</v>
      </c>
      <c r="AA5174" s="38" t="n">
        <f aca="false">Sens!$M$5174</f>
        <v>132.230981659852</v>
      </c>
    </row>
    <row r="5175" customFormat="false" ht="17.15" hidden="false" customHeight="false" outlineLevel="0" collapsed="false">
      <c r="A5175" s="0" t="s">
        <v>627</v>
      </c>
      <c r="B5175" s="0" t="s">
        <v>86</v>
      </c>
      <c r="H5175" s="38" t="n">
        <f aca="false">SUMPRODUCT(--(Sens!$R$5144:$AA$5144=2027-tk_life),Sens!$R$5151:$AA$5151)*Sens!$H$5156/1000</f>
        <v>0</v>
      </c>
      <c r="I5175" s="38" t="n">
        <f aca="false">SUMPRODUCT(--(Sens!$R$5144:$AA$5144=2028-tk_life),Sens!$R$5151:$AA$5151)*Sens!$I$5156/1000</f>
        <v>0</v>
      </c>
      <c r="J5175" s="38" t="n">
        <f aca="false">SUMPRODUCT(--(Sens!$R$5144:$AA$5144=2029-tk_life),Sens!$R$5151:$AA$5151)*Sens!$J$5156/1000</f>
        <v>5.2367682</v>
      </c>
      <c r="K5175" s="38" t="n">
        <f aca="false">SUMPRODUCT(--(Sens!$R$5144:$AA$5144=2030-tk_life),Sens!$R$5151:$AA$5151)*Sens!$K$5156/1000</f>
        <v>10.4735364</v>
      </c>
      <c r="L5175" s="38" t="n">
        <f aca="false">SUMPRODUCT(--(Sens!$R$5144:$AA$5144=2031-tk_life),Sens!$R$5151:$AA$5151)*Sens!$L$5156/1000</f>
        <v>47.1309138</v>
      </c>
      <c r="M5175" s="38" t="n">
        <f aca="false">SUMPRODUCT(--(Sens!$R$5144:$AA$5144=2032-tk_life),Sens!$R$5151:$AA$5151)*Sens!$M$5156/1000</f>
        <v>107.22937485525</v>
      </c>
    </row>
    <row r="5176" customFormat="false" ht="17.15" hidden="false" customHeight="false" outlineLevel="0" collapsed="false">
      <c r="A5176" s="5" t="s">
        <v>628</v>
      </c>
      <c r="B5176" s="0" t="s">
        <v>86</v>
      </c>
      <c r="C5176" s="38" t="n">
        <f aca="false">Sens!$C$5174*Sens!$C$5173</f>
        <v>18.472138699801</v>
      </c>
      <c r="D5176" s="38" t="n">
        <f aca="false">Sens!$D$5174*Sens!$D$5173</f>
        <v>50.8377268390402</v>
      </c>
      <c r="E5176" s="38" t="n">
        <f aca="false">Sens!$E$5174*Sens!$E$5173</f>
        <v>48.8351995705653</v>
      </c>
      <c r="F5176" s="38" t="n">
        <f aca="false">Sens!$F$5174*Sens!$F$5173</f>
        <v>73.2248394895</v>
      </c>
      <c r="G5176" s="38" t="n">
        <f aca="false">Sens!$E$5176+Sens!$F$5176</f>
        <v>122.060039060065</v>
      </c>
      <c r="H5176" s="38" t="n">
        <f aca="false">(Sens!$H$5174-Sens!$H$5175)*Sens!$H$5173+Sens!$H$5175</f>
        <v>152.52478394475</v>
      </c>
      <c r="I5176" s="38" t="n">
        <f aca="false">(Sens!$I$5174-Sens!$I$5175)*Sens!$I$5173+Sens!$I$5175</f>
        <v>158.5998889105</v>
      </c>
      <c r="J5176" s="38" t="n">
        <f aca="false">(Sens!$J$5174-Sens!$J$5175)*Sens!$J$5173+Sens!$J$5175</f>
        <v>163.8366571105</v>
      </c>
      <c r="K5176" s="38" t="n">
        <f aca="false">(Sens!$K$5174-Sens!$K$5175)*Sens!$K$5173+Sens!$K$5175</f>
        <v>122.665498273534</v>
      </c>
      <c r="L5176" s="38" t="n">
        <f aca="false">(Sens!$L$5174-Sens!$L$5175)*Sens!$L$5173+Sens!$L$5175</f>
        <v>112.914948636568</v>
      </c>
      <c r="M5176" s="38" t="n">
        <f aca="false">(Sens!$M$5174-Sens!$M$5175)*Sens!$M$5173+Sens!$M$5175</f>
        <v>126.605482654852</v>
      </c>
      <c r="R5176" s="38" t="n">
        <f aca="false">Sens!$R$5174*Sens!$C$5173</f>
        <v>1.09927679019314</v>
      </c>
      <c r="S5176" s="38" t="n">
        <f aca="false">Sens!$C$5176</f>
        <v>18.472138699801</v>
      </c>
      <c r="T5176" s="38" t="n">
        <f aca="false">Sens!$D$5176</f>
        <v>50.8377268390402</v>
      </c>
      <c r="U5176" s="38" t="n">
        <f aca="false">Sens!$G$5176</f>
        <v>122.060039060065</v>
      </c>
      <c r="V5176" s="38" t="n">
        <f aca="false">Sens!$H$5176</f>
        <v>152.52478394475</v>
      </c>
      <c r="W5176" s="38" t="n">
        <f aca="false">Sens!$I$5176</f>
        <v>158.5998889105</v>
      </c>
      <c r="X5176" s="38" t="n">
        <f aca="false">Sens!$J$5176</f>
        <v>163.8366571105</v>
      </c>
      <c r="Y5176" s="38" t="n">
        <f aca="false">Sens!$K$5176</f>
        <v>122.665498273534</v>
      </c>
      <c r="Z5176" s="38" t="n">
        <f aca="false">Sens!$L$5176</f>
        <v>112.914948636568</v>
      </c>
      <c r="AA5176" s="38" t="n">
        <f aca="false">Sens!$M$5176</f>
        <v>126.605482654852</v>
      </c>
    </row>
    <row r="5177" customFormat="false" ht="15" hidden="false" customHeight="false" outlineLevel="0" collapsed="false">
      <c r="A5177" s="5" t="s">
        <v>629</v>
      </c>
      <c r="B5177" s="0" t="s">
        <v>86</v>
      </c>
      <c r="C5177" s="38" t="n">
        <f aca="false">Sens!$C$5174-Sens!$C$5176</f>
        <v>6.80596660793636</v>
      </c>
      <c r="D5177" s="38" t="n">
        <f aca="false">Sens!$D$5174-Sens!$D$5176</f>
        <v>18.7309047919624</v>
      </c>
      <c r="E5177" s="38" t="n">
        <f aca="false">Sens!$E$5174-Sens!$E$5176</f>
        <v>15.3547210779455</v>
      </c>
      <c r="F5177" s="38" t="n">
        <f aca="false">Sens!$F$5174-Sens!$F$5176</f>
        <v>23.0232905</v>
      </c>
      <c r="G5177" s="38" t="n">
        <f aca="false">Sens!$G$5174-Sens!$G$5176</f>
        <v>38.3780115779455</v>
      </c>
      <c r="H5177" s="38" t="n">
        <f aca="false">Sens!$H$5174-Sens!$H$5176</f>
        <v>46.046581</v>
      </c>
      <c r="I5177" s="38" t="n">
        <f aca="false">Sens!$I$5174-Sens!$I$5176</f>
        <v>46.046581</v>
      </c>
      <c r="J5177" s="38" t="n">
        <f aca="false">Sens!$J$5174-Sens!$J$5176</f>
        <v>46.046581</v>
      </c>
      <c r="K5177" s="38" t="n">
        <f aca="false">Sens!$K$5174-Sens!$K$5176</f>
        <v>32.5728870016667</v>
      </c>
      <c r="L5177" s="38" t="n">
        <f aca="false">Sens!$L$5174-Sens!$L$5176</f>
        <v>19.0991930033334</v>
      </c>
      <c r="M5177" s="38" t="n">
        <f aca="false">Sens!$M$5174-Sens!$M$5176</f>
        <v>5.62549900499998</v>
      </c>
      <c r="R5177" s="38" t="n">
        <f aca="false">Sens!$R$5174-Sens!$R$5176</f>
        <v>0.405023005106309</v>
      </c>
      <c r="S5177" s="38" t="n">
        <f aca="false">Sens!$S$5174-Sens!$S$5176</f>
        <v>6.80596660793636</v>
      </c>
      <c r="T5177" s="38" t="n">
        <f aca="false">Sens!$T$5174-Sens!$T$5176</f>
        <v>18.7309047919624</v>
      </c>
      <c r="U5177" s="38" t="n">
        <f aca="false">Sens!$U$5174-Sens!$U$5176</f>
        <v>38.3780115779455</v>
      </c>
      <c r="V5177" s="38" t="n">
        <f aca="false">Sens!$V$5174-Sens!$V$5176</f>
        <v>46.046581</v>
      </c>
      <c r="W5177" s="38" t="n">
        <f aca="false">Sens!$W$5174-Sens!$W$5176</f>
        <v>46.046581</v>
      </c>
      <c r="X5177" s="38" t="n">
        <f aca="false">Sens!$X$5174-Sens!$X$5176</f>
        <v>46.046581</v>
      </c>
      <c r="Y5177" s="38" t="n">
        <f aca="false">Sens!$Y$5174-Sens!$Y$5176</f>
        <v>32.5728870016667</v>
      </c>
      <c r="Z5177" s="38" t="n">
        <f aca="false">Sens!$Z$5174-Sens!$Z$5176</f>
        <v>19.0991930033334</v>
      </c>
      <c r="AA5177" s="38" t="n">
        <f aca="false">Sens!$AA$5174-Sens!$AA$5176</f>
        <v>5.62549900499998</v>
      </c>
    </row>
    <row r="5178" customFormat="false" ht="17.15" hidden="false" customHeight="false" outlineLevel="0" collapsed="false">
      <c r="A5178" s="0" t="s">
        <v>630</v>
      </c>
      <c r="B5178" s="0" t="s">
        <v>52</v>
      </c>
      <c r="C5178" s="13" t="n">
        <f aca="false">Sens!$C$5174/Sens!$C$5294</f>
        <v>0.325505489553393</v>
      </c>
      <c r="D5178" s="13" t="n">
        <f aca="false">Sens!$D$5174/Sens!$D$5294</f>
        <v>0.54214956071542</v>
      </c>
      <c r="E5178" s="13" t="n">
        <f aca="false">Sens!$E$5174/Sens!$E$5294</f>
        <v>0.666492790452817</v>
      </c>
      <c r="F5178" s="13" t="n">
        <f aca="false">Sens!$F$5174/Sens!$F$5294</f>
        <v>0.733477910687338</v>
      </c>
      <c r="G5178" s="13" t="n">
        <f aca="false">Sens!$G$5174/Sens!$G$5294</f>
        <v>0.705124321514523</v>
      </c>
      <c r="H5178" s="13" t="n">
        <f aca="false">Sens!$H$5174/Sens!$H$5294</f>
        <v>0.726376041178204</v>
      </c>
      <c r="I5178" s="13" t="n">
        <f aca="false">Sens!$I$5174/Sens!$I$5294</f>
        <v>0.713099092661699</v>
      </c>
      <c r="J5178" s="13" t="n">
        <f aca="false">Sens!$J$5174/Sens!$J$5294</f>
        <v>0.701208348786245</v>
      </c>
      <c r="K5178" s="13" t="n">
        <f aca="false">Sens!$K$5174/Sens!$K$5294</f>
        <v>0.618338844562383</v>
      </c>
      <c r="L5178" s="13" t="n">
        <f aca="false">Sens!$L$5174/Sens!$L$5294</f>
        <v>0.562489158462506</v>
      </c>
      <c r="M5178" s="13" t="n">
        <f aca="false">Sens!$M$5174/Sens!$M$5294</f>
        <v>0.545751190895923</v>
      </c>
    </row>
    <row r="5179" customFormat="false" ht="17.15" hidden="false" customHeight="false" outlineLevel="0" collapsed="false">
      <c r="A5179" s="0" t="s">
        <v>631</v>
      </c>
      <c r="B5179" s="0" t="s">
        <v>86</v>
      </c>
      <c r="C5179" s="38" t="n">
        <f aca="false">Sens!$S$5179</f>
        <v>0.183212798365523</v>
      </c>
      <c r="D5179" s="38" t="n">
        <f aca="false">Sens!$T$5179</f>
        <v>3.2619025816657</v>
      </c>
      <c r="E5179" s="38" t="n">
        <f aca="false">Sens!$G$5179/2</f>
        <v>5.86742852741953</v>
      </c>
      <c r="F5179" s="38" t="n">
        <f aca="false">Sens!$G$5179/2</f>
        <v>5.86742852741953</v>
      </c>
      <c r="G5179" s="38" t="n">
        <f aca="false">Sens!$U$5179</f>
        <v>11.7348570548391</v>
      </c>
      <c r="H5179" s="38" t="n">
        <f aca="false">Sens!$V$5179</f>
        <v>32.0781968981833</v>
      </c>
      <c r="I5179" s="38" t="n">
        <f aca="false">Sens!$W$5179</f>
        <v>57.4989942223083</v>
      </c>
      <c r="J5179" s="38" t="n">
        <f aca="false">Sens!$X$5179</f>
        <v>83.932309040725</v>
      </c>
      <c r="K5179" s="38" t="n">
        <f aca="false">Sens!$Y$5179</f>
        <v>111.055205760776</v>
      </c>
      <c r="L5179" s="38" t="n">
        <f aca="false">Sens!$Z$5179</f>
        <v>128.420765689732</v>
      </c>
      <c r="M5179" s="38" t="n">
        <f aca="false">Sens!$AA$5179</f>
        <v>138.766969322653</v>
      </c>
      <c r="N5179" s="38" t="n">
        <f aca="false">Sens!$D$5179/2</f>
        <v>1.63095129083285</v>
      </c>
      <c r="O5179" s="38" t="n">
        <f aca="false">Sens!$D$5179/2</f>
        <v>1.63095129083285</v>
      </c>
      <c r="R5179" s="38" t="n">
        <f aca="false">SUMPRODUCT(--(Sens!$R$5144:$AA$5144&lt;Sens!R$5144),--(Sens!$R$5144:$AA$5144&gt;=Sens!R$5144-tk_life),Sens!$R$5176:$AA$5176)/tk_life</f>
        <v>0</v>
      </c>
      <c r="S5179" s="38" t="n">
        <f aca="false">SUMPRODUCT(--(Sens!$R$5144:$AA$5144&lt;Sens!S$5144),--(Sens!$R$5144:$AA$5144&gt;=Sens!S$5144-tk_life),Sens!$R$5176:$AA$5176)/tk_life</f>
        <v>0.183212798365523</v>
      </c>
      <c r="T5179" s="38" t="n">
        <f aca="false">SUMPRODUCT(--(Sens!$R$5144:$AA$5144&lt;Sens!T$5144),--(Sens!$R$5144:$AA$5144&gt;=Sens!T$5144-tk_life),Sens!$R$5176:$AA$5176)/tk_life</f>
        <v>3.2619025816657</v>
      </c>
      <c r="U5179" s="38" t="n">
        <f aca="false">SUMPRODUCT(--(Sens!$R$5144:$AA$5144&lt;Sens!U$5144),--(Sens!$R$5144:$AA$5144&gt;=Sens!U$5144-tk_life),Sens!$R$5176:$AA$5176)/tk_life</f>
        <v>11.7348570548391</v>
      </c>
      <c r="V5179" s="38" t="n">
        <f aca="false">SUMPRODUCT(--(Sens!$R$5144:$AA$5144&lt;Sens!V$5144),--(Sens!$R$5144:$AA$5144&gt;=Sens!V$5144-tk_life),Sens!$R$5176:$AA$5176)/tk_life</f>
        <v>32.0781968981833</v>
      </c>
      <c r="W5179" s="38" t="n">
        <f aca="false">SUMPRODUCT(--(Sens!$R$5144:$AA$5144&lt;Sens!W$5144),--(Sens!$R$5144:$AA$5144&gt;=Sens!W$5144-tk_life),Sens!$R$5176:$AA$5176)/tk_life</f>
        <v>57.4989942223083</v>
      </c>
      <c r="X5179" s="38" t="n">
        <f aca="false">SUMPRODUCT(--(Sens!$R$5144:$AA$5144&lt;Sens!X$5144),--(Sens!$R$5144:$AA$5144&gt;=Sens!X$5144-tk_life),Sens!$R$5176:$AA$5176)/tk_life</f>
        <v>83.932309040725</v>
      </c>
      <c r="Y5179" s="38" t="n">
        <f aca="false">SUMPRODUCT(--(Sens!$R$5144:$AA$5144&lt;Sens!Y$5144),--(Sens!$R$5144:$AA$5144&gt;=Sens!Y$5144-tk_life),Sens!$R$5176:$AA$5176)/tk_life</f>
        <v>111.055205760776</v>
      </c>
      <c r="Z5179" s="38" t="n">
        <f aca="false">SUMPRODUCT(--(Sens!$R$5144:$AA$5144&lt;Sens!Z$5144),--(Sens!$R$5144:$AA$5144&gt;=Sens!Z$5144-tk_life),Sens!$R$5176:$AA$5176)/tk_life</f>
        <v>128.420765689732</v>
      </c>
      <c r="AA5179" s="38" t="n">
        <f aca="false">SUMPRODUCT(--(Sens!$R$5144:$AA$5144&lt;Sens!AA$5144),--(Sens!$R$5144:$AA$5144&gt;=Sens!AA$5144-tk_life),Sens!$R$5176:$AA$5176)/tk_life</f>
        <v>138.766969322653</v>
      </c>
    </row>
    <row r="5180" customFormat="false" ht="17.15" hidden="false" customHeight="false" outlineLevel="0" collapsed="false">
      <c r="A5180" s="0" t="s">
        <v>632</v>
      </c>
      <c r="B5180" s="0" t="s">
        <v>86</v>
      </c>
      <c r="C5180" s="38" t="n">
        <f aca="false">Sens!$S$5180</f>
        <v>0.0202511502553155</v>
      </c>
      <c r="D5180" s="38" t="n">
        <f aca="false">Sens!$T$5180</f>
        <v>0.360549480652134</v>
      </c>
      <c r="E5180" s="38" t="n">
        <f aca="false">Sens!$G$5180/2</f>
        <v>0.648547360125127</v>
      </c>
      <c r="F5180" s="38" t="n">
        <f aca="false">Sens!$G$5180/2</f>
        <v>0.648547360125127</v>
      </c>
      <c r="G5180" s="38" t="n">
        <f aca="false">Sens!$U$5180</f>
        <v>1.29709472025025</v>
      </c>
      <c r="H5180" s="38" t="n">
        <f aca="false">Sens!$V$5180</f>
        <v>3.21599529914753</v>
      </c>
      <c r="I5180" s="38" t="n">
        <f aca="false">Sens!$W$5180</f>
        <v>5.51832434914753</v>
      </c>
      <c r="J5180" s="38" t="n">
        <f aca="false">Sens!$X$5180</f>
        <v>7.82065339914753</v>
      </c>
      <c r="K5180" s="38" t="n">
        <f aca="false">Sens!$Y$5180</f>
        <v>10.1229824491475</v>
      </c>
      <c r="L5180" s="38" t="n">
        <f aca="false">Sens!$Z$5180</f>
        <v>11.7516267992309</v>
      </c>
      <c r="M5180" s="38" t="n">
        <f aca="false">Sens!$AA$5180</f>
        <v>12.7065864493975</v>
      </c>
      <c r="N5180" s="38" t="n">
        <f aca="false">Sens!$D$5180/2</f>
        <v>0.180274740326067</v>
      </c>
      <c r="O5180" s="38" t="n">
        <f aca="false">Sens!$D$5180/2</f>
        <v>0.180274740326067</v>
      </c>
      <c r="R5180" s="38" t="n">
        <f aca="false">SUMPRODUCT(--(Sens!$R$5144:$AA$5144&lt;Sens!R$5144),Sens!$R$5177:$AA$5177)/fac_life</f>
        <v>0</v>
      </c>
      <c r="S5180" s="38" t="n">
        <f aca="false">SUMPRODUCT(--(Sens!$R$5144:$AA$5144&lt;Sens!S$5144),Sens!$R$5177:$AA$5177)/fac_life</f>
        <v>0.0202511502553155</v>
      </c>
      <c r="T5180" s="38" t="n">
        <f aca="false">SUMPRODUCT(--(Sens!$R$5144:$AA$5144&lt;Sens!T$5144),Sens!$R$5177:$AA$5177)/fac_life</f>
        <v>0.360549480652134</v>
      </c>
      <c r="U5180" s="38" t="n">
        <f aca="false">SUMPRODUCT(--(Sens!$R$5144:$AA$5144&lt;Sens!U$5144),Sens!$R$5177:$AA$5177)/fac_life</f>
        <v>1.29709472025025</v>
      </c>
      <c r="V5180" s="38" t="n">
        <f aca="false">SUMPRODUCT(--(Sens!$R$5144:$AA$5144&lt;Sens!V$5144),Sens!$R$5177:$AA$5177)/fac_life</f>
        <v>3.21599529914753</v>
      </c>
      <c r="W5180" s="38" t="n">
        <f aca="false">SUMPRODUCT(--(Sens!$R$5144:$AA$5144&lt;Sens!W$5144),Sens!$R$5177:$AA$5177)/fac_life</f>
        <v>5.51832434914753</v>
      </c>
      <c r="X5180" s="38" t="n">
        <f aca="false">SUMPRODUCT(--(Sens!$R$5144:$AA$5144&lt;Sens!X$5144),Sens!$R$5177:$AA$5177)/fac_life</f>
        <v>7.82065339914753</v>
      </c>
      <c r="Y5180" s="38" t="n">
        <f aca="false">SUMPRODUCT(--(Sens!$R$5144:$AA$5144&lt;Sens!Y$5144),Sens!$R$5177:$AA$5177)/fac_life</f>
        <v>10.1229824491475</v>
      </c>
      <c r="Z5180" s="38" t="n">
        <f aca="false">SUMPRODUCT(--(Sens!$R$5144:$AA$5144&lt;Sens!Z$5144),Sens!$R$5177:$AA$5177)/fac_life</f>
        <v>11.7516267992309</v>
      </c>
      <c r="AA5180" s="38" t="n">
        <f aca="false">SUMPRODUCT(--(Sens!$R$5144:$AA$5144&lt;Sens!AA$5144),Sens!$R$5177:$AA$5177)/fac_life</f>
        <v>12.7065864493975</v>
      </c>
    </row>
    <row r="5181" customFormat="false" ht="17.15" hidden="false" customHeight="false" outlineLevel="0" collapsed="false">
      <c r="A5181" s="1" t="s">
        <v>633</v>
      </c>
      <c r="B5181" s="8" t="s">
        <v>86</v>
      </c>
      <c r="C5181" s="38" t="n">
        <f aca="false">Sens!$C$5179+Sens!$C$5180</f>
        <v>0.203463948620839</v>
      </c>
      <c r="D5181" s="38" t="n">
        <f aca="false">Sens!$D$5179+Sens!$D$5180</f>
        <v>3.62245206231783</v>
      </c>
      <c r="E5181" s="38" t="n">
        <f aca="false">Sens!$E$5179+Sens!$E$5180</f>
        <v>6.51597588754466</v>
      </c>
      <c r="F5181" s="38" t="n">
        <f aca="false">Sens!$F$5179+Sens!$F$5180</f>
        <v>6.51597588754466</v>
      </c>
      <c r="G5181" s="38" t="n">
        <f aca="false">Sens!$G$5179+Sens!$G$5180</f>
        <v>13.0319517750893</v>
      </c>
      <c r="H5181" s="38" t="n">
        <f aca="false">Sens!$H$5179+Sens!$H$5180</f>
        <v>35.2941921973308</v>
      </c>
      <c r="I5181" s="38" t="n">
        <f aca="false">Sens!$I$5179+Sens!$I$5180</f>
        <v>63.0173185714558</v>
      </c>
      <c r="J5181" s="38" t="n">
        <f aca="false">Sens!$J$5179+Sens!$J$5180</f>
        <v>91.7529624398725</v>
      </c>
      <c r="K5181" s="38" t="n">
        <f aca="false">Sens!$K$5179+Sens!$K$5180</f>
        <v>121.178188209924</v>
      </c>
      <c r="L5181" s="38" t="n">
        <f aca="false">Sens!$L$5179+Sens!$L$5180</f>
        <v>140.172392488963</v>
      </c>
      <c r="M5181" s="38" t="n">
        <f aca="false">Sens!$M$5179+Sens!$M$5180</f>
        <v>151.473555772051</v>
      </c>
      <c r="N5181" s="38" t="n">
        <f aca="false">Sens!$N$5179+Sens!$N$5180</f>
        <v>1.81122603115892</v>
      </c>
      <c r="O5181" s="38" t="n">
        <f aca="false">Sens!$O$5179+Sens!$O$5180</f>
        <v>1.81122603115892</v>
      </c>
      <c r="R5181" s="38" t="n">
        <f aca="false">Sens!$R$5179+Sens!$R$5180</f>
        <v>0</v>
      </c>
      <c r="S5181" s="38" t="n">
        <f aca="false">Sens!$S$5179+Sens!$S$5180</f>
        <v>0.203463948620839</v>
      </c>
      <c r="T5181" s="38" t="n">
        <f aca="false">Sens!$T$5179+Sens!$T$5180</f>
        <v>3.62245206231783</v>
      </c>
      <c r="U5181" s="38" t="n">
        <f aca="false">Sens!$U$5179+Sens!$U$5180</f>
        <v>13.0319517750893</v>
      </c>
      <c r="V5181" s="38" t="n">
        <f aca="false">Sens!$V$5179+Sens!$V$5180</f>
        <v>35.2941921973308</v>
      </c>
      <c r="W5181" s="38" t="n">
        <f aca="false">Sens!$W$5179+Sens!$W$5180</f>
        <v>63.0173185714558</v>
      </c>
      <c r="X5181" s="38" t="n">
        <f aca="false">Sens!$X$5179+Sens!$X$5180</f>
        <v>91.7529624398725</v>
      </c>
      <c r="Y5181" s="38" t="n">
        <f aca="false">Sens!$Y$5179+Sens!$Y$5180</f>
        <v>121.178188209924</v>
      </c>
      <c r="Z5181" s="38" t="n">
        <f aca="false">Sens!$Z$5179+Sens!$Z$5180</f>
        <v>140.172392488963</v>
      </c>
      <c r="AA5181" s="38" t="n">
        <f aca="false">Sens!$AA$5179+Sens!$AA$5180</f>
        <v>151.473555772051</v>
      </c>
    </row>
    <row r="5182" customFormat="false" ht="17.15" hidden="false" customHeight="false" outlineLevel="0" collapsed="false">
      <c r="A5182" s="0" t="s">
        <v>634</v>
      </c>
      <c r="B5182" s="0" t="s">
        <v>86</v>
      </c>
      <c r="C5182" s="38" t="n">
        <f aca="false">Sens!$S$5182</f>
        <v>26.578941154416</v>
      </c>
      <c r="D5182" s="38" t="n">
        <f aca="false">Sens!$T$5182</f>
        <v>92.5251207231008</v>
      </c>
      <c r="G5182" s="38" t="n">
        <f aca="false">Sens!$U$5182</f>
        <v>239.931219586022</v>
      </c>
      <c r="H5182" s="38" t="n">
        <f aca="false">Sens!$V$5182</f>
        <v>403.208392333442</v>
      </c>
      <c r="I5182" s="38" t="n">
        <f aca="false">Sens!$W$5182</f>
        <v>544.837543672486</v>
      </c>
      <c r="J5182" s="38" t="n">
        <f aca="false">Sens!$X$5182</f>
        <v>662.967819343113</v>
      </c>
      <c r="K5182" s="38" t="n">
        <f aca="false">Sens!$Y$5182</f>
        <v>697.028016408391</v>
      </c>
      <c r="L5182" s="38" t="n">
        <f aca="false">Sens!$Z$5182</f>
        <v>688.86976555933</v>
      </c>
      <c r="M5182" s="38" t="n">
        <f aca="false">Sens!$AA$5182</f>
        <v>669.627191447132</v>
      </c>
      <c r="R5182" s="38" t="n">
        <f aca="false">SUM(Sens!$R$5174:$R$5174)-SUM(Sens!$R$5181:$R$5181)</f>
        <v>1.50429979529945</v>
      </c>
      <c r="S5182" s="38" t="n">
        <f aca="false">SUM(Sens!$R$5174:$S$5174)-SUM(Sens!$R$5181:$S$5181)</f>
        <v>26.578941154416</v>
      </c>
      <c r="T5182" s="38" t="n">
        <f aca="false">SUM(Sens!$R$5174:$T$5174)-SUM(Sens!$R$5181:$T$5181)</f>
        <v>92.5251207231008</v>
      </c>
      <c r="U5182" s="38" t="n">
        <f aca="false">SUM(Sens!$R$5174:$U$5174)-SUM(Sens!$R$5181:$U$5181)</f>
        <v>239.931219586022</v>
      </c>
      <c r="V5182" s="38" t="n">
        <f aca="false">SUM(Sens!$R$5174:$V$5174)-SUM(Sens!$R$5181:$V$5181)</f>
        <v>403.208392333442</v>
      </c>
      <c r="W5182" s="38" t="n">
        <f aca="false">SUM(Sens!$R$5174:$W$5174)-SUM(Sens!$R$5181:$W$5181)</f>
        <v>544.837543672486</v>
      </c>
      <c r="X5182" s="38" t="n">
        <f aca="false">SUM(Sens!$R$5174:$X$5174)-SUM(Sens!$R$5181:$X$5181)</f>
        <v>662.967819343113</v>
      </c>
      <c r="Y5182" s="38" t="n">
        <f aca="false">SUM(Sens!$R$5174:$Y$5174)-SUM(Sens!$R$5181:$Y$5181)</f>
        <v>697.028016408391</v>
      </c>
      <c r="Z5182" s="38" t="n">
        <f aca="false">SUM(Sens!$R$5174:$Z$5174)-SUM(Sens!$R$5181:$Z$5181)</f>
        <v>688.86976555933</v>
      </c>
      <c r="AA5182" s="38" t="n">
        <f aca="false">SUM(Sens!$R$5174:$AA$5174)-SUM(Sens!$R$5181:$AA$5181)</f>
        <v>669.627191447132</v>
      </c>
    </row>
    <row r="5183" customFormat="false" ht="17.15" hidden="false" customHeight="false" outlineLevel="0" collapsed="false">
      <c r="A5183" s="1" t="s">
        <v>635</v>
      </c>
    </row>
    <row r="5184" customFormat="false" ht="17.15" hidden="false" customHeight="false" outlineLevel="0" collapsed="false">
      <c r="A5184" s="0" t="s">
        <v>636</v>
      </c>
      <c r="B5184" s="0" t="s">
        <v>86</v>
      </c>
      <c r="C5184" s="38" t="n">
        <f aca="false">Sens!$C$5165-ext_sh*Sens!$C$5167</f>
        <v>1.80694998843362</v>
      </c>
      <c r="D5184" s="38" t="n">
        <f aca="false">Sens!$D$5165-ext_sh*Sens!$D$5167</f>
        <v>6.77606245662607</v>
      </c>
      <c r="E5184" s="38" t="n">
        <f aca="false">Sens!$E$5165-ext_sh*Sens!$E$5167</f>
        <v>6.62548329092326</v>
      </c>
      <c r="F5184" s="38" t="n">
        <f aca="false">Sens!$F$5165-ext_sh*Sens!$F$5167</f>
        <v>11.7200577158706</v>
      </c>
      <c r="G5184" s="38" t="n">
        <f aca="false">Sens!$G$5165-ext_sh*Sens!$G$5167</f>
        <v>18.3455410067939</v>
      </c>
      <c r="H5184" s="38" t="n">
        <f aca="false">Sens!$H$5165-ext_sh*Sens!$H$5167</f>
        <v>47.5171727060453</v>
      </c>
      <c r="I5184" s="38" t="n">
        <f aca="false">Sens!$I$5165-ext_sh*Sens!$I$5167</f>
        <v>80.5539692643667</v>
      </c>
      <c r="J5184" s="38" t="n">
        <f aca="false">Sens!$J$5165-ext_sh*Sens!$J$5167</f>
        <v>113.759316834883</v>
      </c>
      <c r="K5184" s="38" t="n">
        <f aca="false">Sens!$K$5165-ext_sh*Sens!$K$5167</f>
        <v>142.084411492169</v>
      </c>
      <c r="L5184" s="38" t="n">
        <f aca="false">Sens!$L$5165-ext_sh*Sens!$L$5167</f>
        <v>160.69964615804</v>
      </c>
      <c r="M5184" s="38" t="n">
        <f aca="false">Sens!$M$5165-ext_sh*Sens!$M$5167</f>
        <v>169.577607141793</v>
      </c>
      <c r="N5184" s="38" t="n">
        <f aca="false">Sens!$N$5165-ext_sh*Sens!$N$5167</f>
        <v>2.37162185981912</v>
      </c>
      <c r="O5184" s="38" t="n">
        <f aca="false">Sens!$O$5165-ext_sh*Sens!$O$5167</f>
        <v>4.40444059680694</v>
      </c>
    </row>
    <row r="5185" customFormat="false" ht="17.15" hidden="false" customHeight="false" outlineLevel="0" collapsed="false">
      <c r="A5185" s="1" t="s">
        <v>637</v>
      </c>
      <c r="B5185" s="8" t="s">
        <v>86</v>
      </c>
      <c r="C5185" s="38" t="n">
        <f aca="false">Sens!$C$5184-ext_sh*Sens!$C$5181</f>
        <v>1.64417882953695</v>
      </c>
      <c r="D5185" s="38" t="n">
        <f aca="false">Sens!$D$5184-ext_sh*Sens!$D$5181</f>
        <v>3.8781008067718</v>
      </c>
      <c r="E5185" s="38" t="n">
        <f aca="false">Sens!$E$5184-ext_sh*Sens!$E$5181</f>
        <v>1.41270258088753</v>
      </c>
      <c r="F5185" s="38" t="n">
        <f aca="false">Sens!$F$5184-ext_sh*Sens!$F$5181</f>
        <v>6.50727700583486</v>
      </c>
      <c r="G5185" s="38" t="n">
        <f aca="false">Sens!$G$5184-ext_sh*Sens!$G$5181</f>
        <v>7.9199795867224</v>
      </c>
      <c r="H5185" s="38" t="n">
        <f aca="false">Sens!$H$5184-ext_sh*Sens!$H$5181</f>
        <v>19.2818189481807</v>
      </c>
      <c r="I5185" s="38" t="n">
        <f aca="false">Sens!$I$5184-ext_sh*Sens!$I$5181</f>
        <v>30.140114407202</v>
      </c>
      <c r="J5185" s="38" t="n">
        <f aca="false">Sens!$J$5184-ext_sh*Sens!$J$5181</f>
        <v>40.3569468829854</v>
      </c>
      <c r="K5185" s="38" t="n">
        <f aca="false">Sens!$K$5184-ext_sh*Sens!$K$5181</f>
        <v>45.1418609242305</v>
      </c>
      <c r="L5185" s="38" t="n">
        <f aca="false">Sens!$L$5184-ext_sh*Sens!$L$5181</f>
        <v>48.5617321668703</v>
      </c>
      <c r="M5185" s="38" t="n">
        <f aca="false">Sens!$M$5184-ext_sh*Sens!$M$5181</f>
        <v>48.3987625241529</v>
      </c>
      <c r="N5185" s="38" t="n">
        <f aca="false">Sens!$N$5184-ext_sh*Sens!$N$5181</f>
        <v>0.92264103489199</v>
      </c>
      <c r="O5185" s="38" t="n">
        <f aca="false">Sens!$O$5184-ext_sh*Sens!$O$5181</f>
        <v>2.95545977187981</v>
      </c>
    </row>
    <row r="5186" customFormat="false" ht="17.15" hidden="false" customHeight="false" outlineLevel="0" collapsed="false">
      <c r="A5186" s="0" t="s">
        <v>638</v>
      </c>
      <c r="B5186" s="0" t="s">
        <v>52</v>
      </c>
      <c r="C5186" s="13" t="n">
        <f aca="false">Sens!$C$5185/Sens!$C$5165</f>
        <v>0.708390794789371</v>
      </c>
      <c r="D5186" s="13" t="n">
        <f aca="false">Sens!$D$5185/Sens!$D$5165</f>
        <v>0.445565630441968</v>
      </c>
      <c r="E5186" s="13" t="n">
        <f aca="false">Sens!$E$5185/Sens!$E$5165</f>
        <v>0.165998118402711</v>
      </c>
      <c r="F5186" s="13" t="n">
        <f aca="false">Sens!$F$5185/Sens!$F$5165</f>
        <v>0.434878595403858</v>
      </c>
      <c r="G5186" s="13" t="n">
        <f aca="false">Sens!$G$5185/Sens!$G$5165</f>
        <v>0.3373967615381</v>
      </c>
      <c r="H5186" s="13" t="n">
        <f aca="false">Sens!$H$5185/Sens!$H$5165</f>
        <v>0.320477578041224</v>
      </c>
      <c r="I5186" s="13" t="n">
        <f aca="false">Sens!$I$5185/Sens!$I$5165</f>
        <v>0.296936118226494</v>
      </c>
      <c r="J5186" s="13" t="n">
        <f aca="false">Sens!$J$5185/Sens!$J$5165</f>
        <v>0.282166278613001</v>
      </c>
      <c r="K5186" s="13" t="n">
        <f aca="false">Sens!$K$5185/Sens!$K$5165</f>
        <v>0.252969102881543</v>
      </c>
      <c r="L5186" s="13" t="n">
        <f aca="false">Sens!$L$5185/Sens!$L$5165</f>
        <v>0.240728642826566</v>
      </c>
      <c r="M5186" s="13" t="n">
        <f aca="false">Sens!$M$5185/Sens!$M$5165</f>
        <v>0.227399920863147</v>
      </c>
      <c r="N5186" s="13" t="n">
        <f aca="false">Sens!$N$5185/Sens!$N$5165</f>
        <v>0.302870734830849</v>
      </c>
      <c r="O5186" s="13" t="n">
        <f aca="false">Sens!$O$5185/Sens!$O$5165</f>
        <v>0.52240134346334</v>
      </c>
    </row>
    <row r="5187" customFormat="false" ht="17.15" hidden="false" customHeight="false" outlineLevel="0" collapsed="false">
      <c r="A5187" s="5" t="s">
        <v>639</v>
      </c>
      <c r="B5187" s="0" t="s">
        <v>86</v>
      </c>
      <c r="C5187" s="39" t="n">
        <v>0</v>
      </c>
      <c r="D5187" s="39" t="n">
        <v>0</v>
      </c>
      <c r="E5187" s="39" t="n">
        <v>0</v>
      </c>
      <c r="F5187" s="38" t="n">
        <f aca="false">IF(internal_ai_reading=2,1,0)*(1-ext_sh)/ext_sh*(mw_open*he_open+Sens!$F$5163*Sens!$F$5160)*Sens!$F$5149/1000</f>
        <v>3.77122048175818</v>
      </c>
      <c r="G5187" s="38" t="n">
        <f aca="false">Sens!$E$5187+Sens!$F$5187</f>
        <v>3.77122048175818</v>
      </c>
      <c r="H5187" s="38" t="n">
        <f aca="false">IF(internal_ai_reading=2,1,0)*(1-ext_sh)/ext_sh*(mw_open*he_open+Sens!$H$5163*Sens!$H$5160)*Sens!$H$5149/1000</f>
        <v>15.1635543609893</v>
      </c>
      <c r="I5187" s="38" t="n">
        <f aca="false">IF(internal_ai_reading=2,1,0)*(1-ext_sh)/ext_sh*(mw_open*he_open+Sens!$I$5163*Sens!$I$5160)*Sens!$I$5149/1000</f>
        <v>25.5818843619889</v>
      </c>
      <c r="J5187" s="38" t="n">
        <f aca="false">IF(internal_ai_reading=2,1,0)*(1-ext_sh)/ext_sh*(mw_open*he_open+Sens!$J$5163*Sens!$J$5160)*Sens!$J$5149/1000</f>
        <v>36.0465624179122</v>
      </c>
      <c r="K5187" s="38" t="n">
        <f aca="false">IF(internal_ai_reading=2,1,0)*(1-ext_sh)/ext_sh*(mw_open*he_open+Sens!$K$5163*Sens!$K$5160)*Sens!$K$5149/1000</f>
        <v>44.9741164026038</v>
      </c>
      <c r="L5187" s="38" t="n">
        <f aca="false">IF(internal_ai_reading=2,1,0)*(1-ext_sh)/ext_sh*(mw_open*he_open+Sens!$L$5163*Sens!$L$5160)*Sens!$L$5149/1000</f>
        <v>50.8413488057813</v>
      </c>
      <c r="M5187" s="38" t="n">
        <f aca="false">IF(internal_ai_reading=2,1,0)*(1-ext_sh)/ext_sh*(mw_open*he_open+Sens!$M$5163*Sens!$M$5160)*Sens!$M$5149/1000</f>
        <v>53.6407214274315</v>
      </c>
      <c r="N5187" s="39" t="n">
        <v>0</v>
      </c>
      <c r="O5187" s="39" t="n">
        <v>0</v>
      </c>
      <c r="P5187" s="8" t="s">
        <v>640</v>
      </c>
    </row>
    <row r="5188" customFormat="false" ht="17.15" hidden="false" customHeight="false" outlineLevel="0" collapsed="false">
      <c r="A5188" s="5" t="s">
        <v>641</v>
      </c>
      <c r="B5188" s="0" t="s">
        <v>86</v>
      </c>
      <c r="C5188" s="38" t="n">
        <f aca="false">(1-ext_sh)*(Sens!$C$5167+Sens!$C$5181)</f>
        <v>0.169206631859174</v>
      </c>
      <c r="D5188" s="38" t="n">
        <f aca="false">(1-ext_sh)*(Sens!$D$5167+Sens!$D$5181)</f>
        <v>1.20641732046984</v>
      </c>
      <c r="E5188" s="38" t="n">
        <f aca="false">(1-ext_sh)*(Sens!$E$5167+Sens!$E$5181)</f>
        <v>1.77441259867062</v>
      </c>
      <c r="F5188" s="38" t="n">
        <f aca="false">(1-ext_sh)*(Sens!$F$5167+Sens!$F$5181)</f>
        <v>2.1140391597214</v>
      </c>
      <c r="G5188" s="38" t="n">
        <f aca="false">(1-ext_sh)*(Sens!$G$5167+Sens!$G$5181)</f>
        <v>3.88845175839202</v>
      </c>
      <c r="H5188" s="38" t="n">
        <f aca="false">(1-ext_sh)*(Sens!$H$5167+Sens!$H$5181)</f>
        <v>10.2210179503985</v>
      </c>
      <c r="I5188" s="38" t="n">
        <f aca="false">(1-ext_sh)*(Sens!$I$5167+Sens!$I$5181)</f>
        <v>17.8408961823075</v>
      </c>
      <c r="J5188" s="38" t="n">
        <f aca="false">(1-ext_sh)*(Sens!$J$5167+Sens!$J$5181)</f>
        <v>25.6671150670732</v>
      </c>
      <c r="K5188" s="38" t="n">
        <f aca="false">(1-ext_sh)*(Sens!$K$5167+Sens!$K$5181)</f>
        <v>33.3265648647373</v>
      </c>
      <c r="L5188" s="38" t="n">
        <f aca="false">(1-ext_sh)*(Sens!$L$5167+Sens!$L$5181)</f>
        <v>38.2915924088815</v>
      </c>
      <c r="M5188" s="38" t="n">
        <f aca="false">(1-ext_sh)*(Sens!$M$5167+Sens!$M$5181)</f>
        <v>41.1091697111781</v>
      </c>
      <c r="N5188" s="38" t="n">
        <f aca="false">(1-ext_sh)*(Sens!$N$5167+Sens!$N$5181)</f>
        <v>0.530919624033979</v>
      </c>
      <c r="O5188" s="38" t="n">
        <f aca="false">(1-ext_sh)*(Sens!$O$5167+Sens!$O$5181)</f>
        <v>0.675497696435861</v>
      </c>
    </row>
    <row r="5189" customFormat="false" ht="17.15" hidden="false" customHeight="false" outlineLevel="0" collapsed="false">
      <c r="A5189" s="0" t="s">
        <v>642</v>
      </c>
      <c r="B5189" s="0" t="s">
        <v>86</v>
      </c>
      <c r="C5189" s="38" t="n">
        <f aca="false">Q!$D$24</f>
        <v>39.834</v>
      </c>
      <c r="D5189" s="38" t="n">
        <f aca="false">Q!$E$24</f>
        <v>45.606</v>
      </c>
      <c r="E5189" s="38" t="n">
        <f aca="false">Q!$P$24</f>
        <v>30.782</v>
      </c>
      <c r="N5189" s="38" t="n">
        <f aca="false">Q!$N$24</f>
        <v>21.707</v>
      </c>
      <c r="O5189" s="38" t="n">
        <f aca="false">Q!$O$24</f>
        <v>23.899</v>
      </c>
    </row>
    <row r="5190" customFormat="false" ht="17.15" hidden="false" customHeight="false" outlineLevel="0" collapsed="false">
      <c r="A5190" s="0" t="s">
        <v>643</v>
      </c>
      <c r="B5190" s="0" t="s">
        <v>86</v>
      </c>
      <c r="C5190" s="38" t="n">
        <f aca="false">Sens!$C$5189-Sens!$C$5185</f>
        <v>38.1898211704631</v>
      </c>
      <c r="D5190" s="38" t="n">
        <f aca="false">Sens!$D$5189-Sens!$D$5185</f>
        <v>41.7278991932282</v>
      </c>
      <c r="E5190" s="38" t="n">
        <f aca="false">Sens!$E$5189-Sens!$E$5185</f>
        <v>29.3692974191125</v>
      </c>
      <c r="F5190" s="38" t="n">
        <f aca="false">Sens!$F$5169*Sens!$F$5191</f>
        <v>26.8997276714137</v>
      </c>
      <c r="G5190" s="38" t="n">
        <f aca="false">Sens!$E$5190+Sens!$F$5190</f>
        <v>56.2690250905262</v>
      </c>
      <c r="H5190" s="38" t="n">
        <f aca="false">Sens!$H$5169*Sens!$H$5191</f>
        <v>60.3505333937343</v>
      </c>
      <c r="I5190" s="38" t="n">
        <f aca="false">Sens!$I$5169*Sens!$I$5191</f>
        <v>67.0043857303571</v>
      </c>
      <c r="J5190" s="38" t="n">
        <f aca="false">Sens!$J$5169*Sens!$J$5191</f>
        <v>73.3782922956925</v>
      </c>
      <c r="K5190" s="38" t="n">
        <f aca="false">Sens!$K$5169*Sens!$K$5191</f>
        <v>79.2485556793479</v>
      </c>
      <c r="L5190" s="38" t="n">
        <f aca="false">Sens!$L$5169*Sens!$L$5191</f>
        <v>85.5884401336958</v>
      </c>
      <c r="M5190" s="38" t="n">
        <f aca="false">Sens!$M$5169*Sens!$M$5191</f>
        <v>92.4355153443914</v>
      </c>
      <c r="N5190" s="38" t="n">
        <f aca="false">Sens!$N$5189-Sens!$N$5185</f>
        <v>20.784358965108</v>
      </c>
      <c r="O5190" s="38" t="n">
        <f aca="false">Sens!$O$5189-Sens!$O$5185</f>
        <v>20.9435402281202</v>
      </c>
      <c r="P5190" s="5" t="s">
        <v>644</v>
      </c>
    </row>
    <row r="5191" customFormat="false" ht="17.15" hidden="false" customHeight="false" outlineLevel="0" collapsed="false">
      <c r="A5191" s="0" t="s">
        <v>645</v>
      </c>
      <c r="B5191" s="0" t="s">
        <v>52</v>
      </c>
      <c r="C5191" s="13" t="n">
        <f aca="false">Sens!$C$5190/Sens!$C$5169</f>
        <v>0.362900395443635</v>
      </c>
      <c r="D5191" s="13" t="n">
        <f aca="false">Sens!$D$5190/Sens!$D$5169</f>
        <v>0.34767098474203</v>
      </c>
      <c r="E5191" s="13" t="n">
        <f aca="false">Sens!$E$5190/Sens!$E$5169</f>
        <v>0.411861655558416</v>
      </c>
      <c r="F5191" s="13" t="n">
        <f aca="false">(Sens!$O$5190+Sens!$E$5190)/(Sens!$O$5169+Sens!$E$5169)</f>
        <v>0.37480827803158</v>
      </c>
      <c r="G5191" s="13" t="n">
        <f aca="false">Sens!$G$5190/Sens!$G$5169</f>
        <v>0.393275318395757</v>
      </c>
      <c r="H5191" s="13" t="n">
        <f aca="false">Sens!$F$5191</f>
        <v>0.37480827803158</v>
      </c>
      <c r="I5191" s="13" t="n">
        <f aca="false">Sens!$F$5191</f>
        <v>0.37480827803158</v>
      </c>
      <c r="J5191" s="13" t="n">
        <f aca="false">Sens!$F$5191</f>
        <v>0.37480827803158</v>
      </c>
      <c r="K5191" s="13" t="n">
        <f aca="false">Sens!$F$5191</f>
        <v>0.37480827803158</v>
      </c>
      <c r="L5191" s="13" t="n">
        <f aca="false">Sens!$F$5191</f>
        <v>0.37480827803158</v>
      </c>
      <c r="M5191" s="13" t="n">
        <f aca="false">Sens!$F$5191</f>
        <v>0.37480827803158</v>
      </c>
      <c r="N5191" s="13" t="n">
        <f aca="false">Sens!$N$5190/Sens!$N$5169</f>
        <v>0.364039571356823</v>
      </c>
      <c r="O5191" s="13" t="n">
        <f aca="false">Sens!$O$5190/Sens!$O$5169</f>
        <v>0.332819892300086</v>
      </c>
      <c r="P5191" s="8" t="s">
        <v>646</v>
      </c>
    </row>
    <row r="5192" customFormat="false" ht="17.15" hidden="false" customHeight="false" outlineLevel="0" collapsed="false">
      <c r="A5192" s="0" t="s">
        <v>647</v>
      </c>
      <c r="B5192" s="0" t="s">
        <v>52</v>
      </c>
      <c r="D5192" s="13" t="n">
        <f aca="false">(Q!$E$31-ext_sh*Sens!$D$5181)/Sens!$D$5169</f>
        <v>0.154572973163571</v>
      </c>
    </row>
    <row r="5193" customFormat="false" ht="17.15" hidden="false" customHeight="false" outlineLevel="0" collapsed="false">
      <c r="A5193" s="0" t="s">
        <v>648</v>
      </c>
      <c r="B5193" s="0" t="s">
        <v>86</v>
      </c>
      <c r="C5193" s="38" t="n">
        <f aca="false">Q!$D$31</f>
        <v>13.32</v>
      </c>
      <c r="D5193" s="38" t="n">
        <f aca="false">Q!$E$31</f>
        <v>21.45</v>
      </c>
      <c r="E5193" s="38" t="n">
        <f aca="false">Q!$P$31</f>
        <v>15.353</v>
      </c>
      <c r="F5193" s="38" t="n">
        <f aca="false">ext_sh*Sens!$F$5181+Sens!$D$5192*Sens!$F$5169</f>
        <v>16.3063747611001</v>
      </c>
      <c r="G5193" s="38" t="n">
        <f aca="false">Sens!$E$5193+Sens!$F$5193</f>
        <v>31.6593747611001</v>
      </c>
      <c r="H5193" s="38" t="n">
        <f aca="false">ext_sh*Sens!$H$5181+Sens!$D$5192*Sens!$H$5169</f>
        <v>53.124242092105</v>
      </c>
      <c r="I5193" s="38" t="n">
        <f aca="false">ext_sh*Sens!$I$5181+Sens!$D$5192*Sens!$I$5169</f>
        <v>78.046828098133</v>
      </c>
      <c r="J5193" s="38" t="n">
        <f aca="false">ext_sh*Sens!$J$5181+Sens!$D$5192*Sens!$J$5169</f>
        <v>103.663976940352</v>
      </c>
      <c r="K5193" s="38" t="n">
        <f aca="false">ext_sh*Sens!$K$5181+Sens!$D$5192*Sens!$K$5169</f>
        <v>129.625086115469</v>
      </c>
      <c r="L5193" s="38" t="n">
        <f aca="false">ext_sh*Sens!$L$5181+Sens!$D$5192*Sens!$L$5169</f>
        <v>147.435052382502</v>
      </c>
      <c r="M5193" s="38" t="n">
        <f aca="false">ext_sh*Sens!$M$5181+Sens!$D$5192*Sens!$M$5169</f>
        <v>159.299754080279</v>
      </c>
      <c r="N5193" s="38" t="n">
        <f aca="false">Q!$N$31</f>
        <v>9.234</v>
      </c>
      <c r="O5193" s="38" t="n">
        <f aca="false">Q!$O$31</f>
        <v>12.216</v>
      </c>
    </row>
    <row r="5194" customFormat="false" ht="17.15" hidden="false" customHeight="false" outlineLevel="0" collapsed="false">
      <c r="A5194" s="1" t="s">
        <v>649</v>
      </c>
    </row>
    <row r="5195" customFormat="false" ht="17.15" hidden="false" customHeight="false" outlineLevel="0" collapsed="false">
      <c r="A5195" s="15" t="s">
        <v>650</v>
      </c>
      <c r="B5195" s="14" t="s">
        <v>52</v>
      </c>
      <c r="C5195" s="14"/>
      <c r="D5195" s="14"/>
      <c r="E5195" s="14"/>
      <c r="F5195" s="14"/>
      <c r="G5195" s="17" t="n">
        <f aca="false">Sens!$G$5185*(1-tax)/(ext_sh*(Sens!$D$5182+Sens!$G$5182)/2)</f>
        <v>0.0492184452944045</v>
      </c>
      <c r="H5195" s="17" t="n">
        <f aca="false">Sens!$H$5185*(1-tax)/(ext_sh*(Sens!$G$5182+Sens!$H$5182)/2)</f>
        <v>0.0619414246858107</v>
      </c>
      <c r="I5195" s="17" t="n">
        <f aca="false">Sens!$I$5185*(1-tax)/(ext_sh*(Sens!$H$5182+Sens!$I$5182)/2)</f>
        <v>0.0656831488051666</v>
      </c>
      <c r="J5195" s="17" t="n">
        <f aca="false">Sens!$J$5185*(1-tax)/(ext_sh*(Sens!$I$5182+Sens!$J$5182)/2)</f>
        <v>0.0690334849962116</v>
      </c>
      <c r="K5195" s="17" t="n">
        <f aca="false">Sens!$K$5185*(1-tax)/(ext_sh*(Sens!$J$5182+Sens!$K$5182)/2)</f>
        <v>0.0685772915331967</v>
      </c>
      <c r="L5195" s="17" t="n">
        <f aca="false">Sens!$L$5185*(1-tax)/(ext_sh*(Sens!$K$5182+Sens!$L$5182)/2)</f>
        <v>0.0723938074635756</v>
      </c>
      <c r="M5195" s="17" t="n">
        <f aca="false">Sens!$M$5185*(1-tax)/(ext_sh*(Sens!$L$5182+Sens!$M$5182)/2)</f>
        <v>0.0736061388214139</v>
      </c>
      <c r="N5195" s="14"/>
      <c r="O5195" s="14"/>
      <c r="P5195" s="8" t="s">
        <v>651</v>
      </c>
    </row>
    <row r="5196" customFormat="false" ht="17.15" hidden="false" customHeight="false" outlineLevel="0" collapsed="false">
      <c r="A5196" s="5" t="s">
        <v>652</v>
      </c>
      <c r="B5196" s="0" t="s">
        <v>57</v>
      </c>
      <c r="H5196" s="36" t="n">
        <f aca="false">Sens!$H$5165*1000/(mw_open*he_open+Sens!$H$5163*Sens!$H$5160)</f>
        <v>0.991949006767191</v>
      </c>
      <c r="I5196" s="36" t="n">
        <f aca="false">Sens!$I$5165*1000/(mw_open*he_open+Sens!$I$5163*Sens!$I$5160)</f>
        <v>0.991949006767191</v>
      </c>
      <c r="J5196" s="36" t="n">
        <f aca="false">Sens!$J$5165*1000/(mw_open*he_open+Sens!$J$5163*Sens!$J$5160)</f>
        <v>0.991949006767191</v>
      </c>
      <c r="K5196" s="36" t="n">
        <f aca="false">Sens!$K$5165*1000/(mw_open*he_open+Sens!$K$5163*Sens!$K$5160)</f>
        <v>0.991949006767191</v>
      </c>
      <c r="L5196" s="36" t="n">
        <f aca="false">Sens!$L$5165*1000/(mw_open*he_open+Sens!$L$5163*Sens!$L$5160)</f>
        <v>0.991949006767191</v>
      </c>
      <c r="M5196" s="36" t="n">
        <f aca="false">Sens!$M$5165*1000/(mw_open*he_open+Sens!$M$5163*Sens!$M$5160)</f>
        <v>0.991949006767191</v>
      </c>
    </row>
    <row r="5197" customFormat="false" ht="17.15" hidden="false" customHeight="false" outlineLevel="0" collapsed="false">
      <c r="A5197" s="5" t="s">
        <v>653</v>
      </c>
      <c r="B5197" s="0" t="s">
        <v>57</v>
      </c>
      <c r="H5197" s="36" t="n">
        <f aca="false">Sens!$H$5196*(Sens!$H$5165+(wacc+0.01)*ext_sh*(Sens!$G$5182+Sens!$H$5182)/2/(1-tax)-Sens!$H$5185)/Sens!$H$5165</f>
        <v>1.30684188026537</v>
      </c>
      <c r="I5197" s="36" t="n">
        <f aca="false">Sens!$I$5196*(Sens!$I$5165+(wacc+0.01)*ext_sh*(Sens!$H$5182+Sens!$I$5182)/2/(1-tax)-Sens!$I$5185)/Sens!$I$5165</f>
        <v>1.25031092654298</v>
      </c>
      <c r="J5197" s="36" t="n">
        <f aca="false">Sens!$J$5196*(Sens!$J$5165+(wacc+0.01)*ext_sh*(Sens!$I$5182+Sens!$J$5182)/2/(1-tax)-Sens!$J$5185)/Sens!$J$5165</f>
        <v>1.2119608022736</v>
      </c>
      <c r="K5197" s="36" t="n">
        <f aca="false">Sens!$K$5196*(Sens!$K$5165+(wacc+0.01)*ext_sh*(Sens!$J$5182+Sens!$K$5182)/2/(1-tax)-Sens!$K$5185)/Sens!$K$5165</f>
        <v>1.19217646273596</v>
      </c>
      <c r="L5197" s="36" t="n">
        <f aca="false">Sens!$L$5196*(Sens!$L$5165+(wacc+0.01)*ext_sh*(Sens!$K$5182+Sens!$L$5182)/2/(1-tax)-Sens!$L$5185)/Sens!$L$5165</f>
        <v>1.15985427553108</v>
      </c>
      <c r="M5197" s="36" t="n">
        <f aca="false">Sens!$M$5196*(Sens!$M$5165+(wacc+0.01)*ext_sh*(Sens!$L$5182+Sens!$M$5182)/2/(1-tax)-Sens!$M$5185)/Sens!$M$5165</f>
        <v>1.14423004823201</v>
      </c>
    </row>
    <row r="5198" customFormat="false" ht="17.15" hidden="false" customHeight="false" outlineLevel="0" collapsed="false">
      <c r="A5198" s="5" t="s">
        <v>654</v>
      </c>
      <c r="B5198" s="0" t="s">
        <v>52</v>
      </c>
      <c r="C5198" s="13" t="n">
        <f aca="false">Sens!$C$5166/tk_pq</f>
        <v>0.195316432429398</v>
      </c>
      <c r="D5198" s="13" t="n">
        <f aca="false">Sens!$D$5166/tk_pq</f>
        <v>0.195316432429398</v>
      </c>
      <c r="E5198" s="13" t="n">
        <f aca="false">Sens!$E$5166/tk_pq</f>
        <v>0.195316432429398</v>
      </c>
      <c r="F5198" s="13" t="n">
        <f aca="false">Sens!$F$5166/tk_pq</f>
        <v>0.202241827274866</v>
      </c>
      <c r="G5198" s="13" t="n">
        <f aca="false">Sens!$G$5166/tk_pq</f>
        <v>0.199675016194063</v>
      </c>
      <c r="H5198" s="13" t="n">
        <f aca="false">Sens!$H$5166/tk_pq</f>
        <v>0.212647947710325</v>
      </c>
      <c r="I5198" s="13" t="n">
        <f aca="false">Sens!$I$5166/tk_pq</f>
        <v>0.219285125475351</v>
      </c>
      <c r="J5198" s="13" t="n">
        <f aca="false">Sens!$J$5166/tk_pq</f>
        <v>0.222492493217189</v>
      </c>
      <c r="K5198" s="13" t="n">
        <f aca="false">Sens!$K$5166/tk_pq</f>
        <v>0.224053502812094</v>
      </c>
      <c r="L5198" s="13" t="n">
        <f aca="false">Sens!$L$5166/tk_pq</f>
        <v>0.224786916785614</v>
      </c>
      <c r="M5198" s="13" t="n">
        <f aca="false">Sens!$M$5166/tk_pq</f>
        <v>0.225048671566937</v>
      </c>
      <c r="N5198" s="13" t="n">
        <f aca="false">Sens!$N$5166/tk_pq</f>
        <v>0.195316432429398</v>
      </c>
      <c r="O5198" s="13" t="n">
        <f aca="false">Sens!$O$5166/tk_pq</f>
        <v>0.195316432429398</v>
      </c>
      <c r="P5198" s="5" t="s">
        <v>655</v>
      </c>
    </row>
    <row r="5201" customFormat="false" ht="17.15" hidden="false" customHeight="false" outlineLevel="0" collapsed="false">
      <c r="A5201" s="1" t="s">
        <v>684</v>
      </c>
    </row>
    <row r="5202" customFormat="false" ht="17.15" hidden="false" customHeight="false" outlineLevel="0" collapsed="false">
      <c r="A5202" s="0" t="s">
        <v>685</v>
      </c>
      <c r="B5202" s="0" t="s">
        <v>86</v>
      </c>
      <c r="C5202" s="38" t="n">
        <f aca="false">Sens!$C$5165</f>
        <v>2.32100535697364</v>
      </c>
      <c r="D5202" s="38" t="n">
        <f aca="false">Sens!$D$5165</f>
        <v>8.70377008865116</v>
      </c>
      <c r="E5202" s="38" t="n">
        <f aca="false">Sens!$E$5165</f>
        <v>8.51035297557002</v>
      </c>
      <c r="F5202" s="38" t="n">
        <f aca="false">Sens!$F$5165</f>
        <v>14.9634336447205</v>
      </c>
      <c r="G5202" s="38" t="n">
        <f aca="false">Sens!$G$5165</f>
        <v>23.4737866202905</v>
      </c>
      <c r="H5202" s="38" t="n">
        <f aca="false">Sens!$H$5165</f>
        <v>60.1658907497746</v>
      </c>
      <c r="I5202" s="38" t="n">
        <f aca="false">Sens!$I$5165</f>
        <v>101.503699136432</v>
      </c>
      <c r="J5202" s="38" t="n">
        <f aca="false">Sens!$J$5165</f>
        <v>143.025407151278</v>
      </c>
      <c r="K5202" s="38" t="n">
        <f aca="false">Sens!$K$5165</f>
        <v>178.44812038318</v>
      </c>
      <c r="L5202" s="38" t="n">
        <f aca="false">Sens!$L$5165</f>
        <v>201.728101802396</v>
      </c>
      <c r="M5202" s="38" t="n">
        <f aca="false">Sens!$M$5165</f>
        <v>212.835441368865</v>
      </c>
      <c r="N5202" s="38" t="n">
        <f aca="false">Sens!$N$5165</f>
        <v>3.04631953102791</v>
      </c>
      <c r="O5202" s="38" t="n">
        <f aca="false">Sens!$O$5165</f>
        <v>5.65745055762326</v>
      </c>
      <c r="P5202" s="8" t="s">
        <v>686</v>
      </c>
    </row>
    <row r="5203" customFormat="false" ht="17.15" hidden="false" customHeight="false" outlineLevel="0" collapsed="false">
      <c r="A5203" s="0" t="s">
        <v>687</v>
      </c>
      <c r="B5203" s="0" t="s">
        <v>86</v>
      </c>
      <c r="C5203" s="38" t="n">
        <f aca="false">Sens!$C$5169</f>
        <v>105.234994643026</v>
      </c>
      <c r="D5203" s="38" t="n">
        <f aca="false">Sens!$D$5169</f>
        <v>120.021229911349</v>
      </c>
      <c r="E5203" s="38" t="n">
        <f aca="false">Sens!$E$5169</f>
        <v>71.30864702443</v>
      </c>
      <c r="F5203" s="38" t="n">
        <f aca="false">Sens!$F$5169</f>
        <v>71.7692997942464</v>
      </c>
      <c r="G5203" s="38" t="n">
        <f aca="false">Sens!$G$5169</f>
        <v>143.077946818676</v>
      </c>
      <c r="H5203" s="38" t="n">
        <f aca="false">Sens!$H$5169</f>
        <v>161.017077079203</v>
      </c>
      <c r="I5203" s="38" t="n">
        <f aca="false">Sens!$I$5169</f>
        <v>178.769759521457</v>
      </c>
      <c r="J5203" s="38" t="n">
        <f aca="false">Sens!$J$5169</f>
        <v>195.775538045907</v>
      </c>
      <c r="K5203" s="38" t="n">
        <f aca="false">Sens!$K$5169</f>
        <v>211.43758108958</v>
      </c>
      <c r="L5203" s="38" t="n">
        <f aca="false">Sens!$L$5169</f>
        <v>228.352587576746</v>
      </c>
      <c r="M5203" s="38" t="n">
        <f aca="false">Sens!$M$5169</f>
        <v>246.620794582886</v>
      </c>
      <c r="N5203" s="38" t="n">
        <f aca="false">Sens!$N$5169</f>
        <v>57.0936804689721</v>
      </c>
      <c r="O5203" s="38" t="n">
        <f aca="false">Sens!$O$5169</f>
        <v>62.9275494423768</v>
      </c>
      <c r="P5203" s="8" t="s">
        <v>686</v>
      </c>
    </row>
    <row r="5204" customFormat="false" ht="17.15" hidden="false" customHeight="false" outlineLevel="0" collapsed="false">
      <c r="A5204" s="1" t="s">
        <v>513</v>
      </c>
      <c r="B5204" s="8" t="s">
        <v>86</v>
      </c>
      <c r="C5204" s="38" t="n">
        <f aca="false">Q!$D$7</f>
        <v>107.556</v>
      </c>
      <c r="D5204" s="38" t="n">
        <f aca="false">Q!$E$7</f>
        <v>128.725</v>
      </c>
      <c r="E5204" s="38" t="n">
        <f aca="false">Q!$P$7</f>
        <v>79.819</v>
      </c>
      <c r="F5204" s="38" t="n">
        <f aca="false">Sens!$F$5202+Sens!$F$5203</f>
        <v>86.7327334389669</v>
      </c>
      <c r="G5204" s="38" t="n">
        <f aca="false">Sens!$G$5202+Sens!$G$5203</f>
        <v>166.551733438967</v>
      </c>
      <c r="H5204" s="38" t="n">
        <f aca="false">Sens!$H$5202+Sens!$H$5203</f>
        <v>221.182967828978</v>
      </c>
      <c r="I5204" s="38" t="n">
        <f aca="false">Sens!$I$5202+Sens!$I$5203</f>
        <v>280.27345865789</v>
      </c>
      <c r="J5204" s="38" t="n">
        <f aca="false">Sens!$J$5202+Sens!$J$5203</f>
        <v>338.800945197185</v>
      </c>
      <c r="K5204" s="38" t="n">
        <f aca="false">Sens!$K$5202+Sens!$K$5203</f>
        <v>389.88570147276</v>
      </c>
      <c r="L5204" s="38" t="n">
        <f aca="false">Sens!$L$5202+Sens!$L$5203</f>
        <v>430.080689379143</v>
      </c>
      <c r="M5204" s="38" t="n">
        <f aca="false">Sens!$M$5202+Sens!$M$5203</f>
        <v>459.456235951751</v>
      </c>
      <c r="N5204" s="38" t="n">
        <f aca="false">Q!$N$7</f>
        <v>60.14</v>
      </c>
      <c r="O5204" s="38" t="n">
        <f aca="false">Q!$O$7</f>
        <v>68.585</v>
      </c>
      <c r="P5204" s="5" t="s">
        <v>688</v>
      </c>
    </row>
    <row r="5205" customFormat="false" ht="15" hidden="false" customHeight="false" outlineLevel="0" collapsed="false">
      <c r="A5205" s="3" t="s">
        <v>689</v>
      </c>
      <c r="B5205" s="8" t="s">
        <v>86</v>
      </c>
      <c r="C5205" s="38" t="n">
        <f aca="false">Q!$D$8</f>
        <v>637.959</v>
      </c>
      <c r="D5205" s="38" t="n">
        <f aca="false">Q!$E$8</f>
        <v>716.924</v>
      </c>
      <c r="E5205" s="38" t="n">
        <f aca="false">Q!$P$8</f>
        <v>382.125</v>
      </c>
      <c r="F5205" s="38" t="n">
        <f aca="false">Sens!$F$5137+Sens!$F$5204</f>
        <v>435.780975084504</v>
      </c>
      <c r="G5205" s="38" t="n">
        <f aca="false">Sens!$G$5137+Sens!$G$5204</f>
        <v>817.905975084504</v>
      </c>
      <c r="H5205" s="38" t="n">
        <f aca="false">Sens!$H$5137+Sens!$H$5204</f>
        <v>942.279857350364</v>
      </c>
      <c r="I5205" s="38" t="n">
        <f aca="false">Sens!$I$5137+Sens!$I$5204</f>
        <v>1068.80284981042</v>
      </c>
      <c r="J5205" s="38" t="n">
        <f aca="false">Sens!$J$5137+Sens!$J$5204</f>
        <v>1189.90935093863</v>
      </c>
      <c r="K5205" s="38" t="n">
        <f aca="false">Sens!$K$5137+Sens!$K$5204</f>
        <v>1296.06215690385</v>
      </c>
      <c r="L5205" s="38" t="n">
        <f aca="false">Sens!$L$5137+Sens!$L$5204</f>
        <v>1395.17379585473</v>
      </c>
      <c r="M5205" s="38" t="n">
        <f aca="false">Sens!$M$5137+Sens!$M$5204</f>
        <v>1487.60414389864</v>
      </c>
      <c r="N5205" s="38" t="n">
        <f aca="false">Q!$N$8</f>
        <v>323.369</v>
      </c>
      <c r="O5205" s="38" t="n">
        <f aca="false">Q!$O$8</f>
        <v>393.555</v>
      </c>
    </row>
    <row r="5206" customFormat="false" ht="17.15" hidden="false" customHeight="false" outlineLevel="0" collapsed="false">
      <c r="A5206" s="24" t="s">
        <v>697</v>
      </c>
      <c r="B5206" s="25" t="s">
        <v>86</v>
      </c>
      <c r="C5206" s="41" t="n">
        <f aca="false">Sens!$C$5137-(Sens!$C$5139+Sens!$C$5140)</f>
        <v>0</v>
      </c>
      <c r="D5206" s="41" t="n">
        <f aca="false">Sens!$D$5137-(Sens!$D$5139+Sens!$D$5140)</f>
        <v>0</v>
      </c>
      <c r="E5206" s="41" t="n">
        <f aca="false">Sens!$E$5137-(Sens!$E$5139+Sens!$E$5140)</f>
        <v>0</v>
      </c>
      <c r="F5206" s="41" t="n">
        <f aca="false">Sens!$F$5137-(Sens!$F$5139+Sens!$F$5140)</f>
        <v>0</v>
      </c>
      <c r="G5206" s="41" t="n">
        <f aca="false">Sens!$G$5137-(Sens!$G$5139+Sens!$G$5140)</f>
        <v>0</v>
      </c>
      <c r="H5206" s="41" t="n">
        <f aca="false">Sens!$H$5137-(Sens!$H$5139+Sens!$H$5140)</f>
        <v>0</v>
      </c>
      <c r="I5206" s="41" t="n">
        <f aca="false">Sens!$I$5137-(Sens!$I$5139+Sens!$I$5140)</f>
        <v>0</v>
      </c>
      <c r="J5206" s="41" t="n">
        <f aca="false">Sens!$J$5137-(Sens!$J$5139+Sens!$J$5140)</f>
        <v>0</v>
      </c>
      <c r="K5206" s="41" t="n">
        <f aca="false">Sens!$K$5137-(Sens!$K$5139+Sens!$K$5140)</f>
        <v>0</v>
      </c>
      <c r="L5206" s="41" t="n">
        <f aca="false">Sens!$L$5137-(Sens!$L$5139+Sens!$L$5140)</f>
        <v>0</v>
      </c>
      <c r="M5206" s="41" t="n">
        <f aca="false">Sens!$M$5137-(Sens!$M$5139+Sens!$M$5140)</f>
        <v>0</v>
      </c>
      <c r="N5206" s="41" t="n">
        <f aca="false">Sens!$N$5137-(Sens!$N$5139+Sens!$N$5140)</f>
        <v>0</v>
      </c>
      <c r="O5206" s="41" t="n">
        <f aca="false">Sens!$O$5137-(Sens!$O$5139+Sens!$O$5140)</f>
        <v>0</v>
      </c>
    </row>
    <row r="5207" customFormat="false" ht="17.15" hidden="false" customHeight="false" outlineLevel="0" collapsed="false">
      <c r="A5207" s="24" t="s">
        <v>698</v>
      </c>
      <c r="B5207" s="25" t="s">
        <v>86</v>
      </c>
      <c r="C5207" s="41" t="n">
        <f aca="false">Sens!$C$5202+Sens!$C$5203-Sens!$C$5204</f>
        <v>0</v>
      </c>
      <c r="D5207" s="41" t="n">
        <f aca="false">Sens!$D$5202+Sens!$D$5203-Sens!$D$5204</f>
        <v>0</v>
      </c>
      <c r="E5207" s="41" t="n">
        <f aca="false">Sens!$E$5202+Sens!$E$5203-Sens!$E$5204</f>
        <v>0</v>
      </c>
      <c r="F5207" s="41" t="n">
        <f aca="false">Sens!$F$5202+Sens!$F$5203-Sens!$F$5204</f>
        <v>0</v>
      </c>
      <c r="G5207" s="41" t="n">
        <f aca="false">Sens!$G$5202+Sens!$G$5203-Sens!$G$5204</f>
        <v>0</v>
      </c>
      <c r="H5207" s="41" t="n">
        <f aca="false">Sens!$H$5202+Sens!$H$5203-Sens!$H$5204</f>
        <v>0</v>
      </c>
      <c r="I5207" s="41" t="n">
        <f aca="false">Sens!$I$5202+Sens!$I$5203-Sens!$I$5204</f>
        <v>0</v>
      </c>
      <c r="J5207" s="41" t="n">
        <f aca="false">Sens!$J$5202+Sens!$J$5203-Sens!$J$5204</f>
        <v>0</v>
      </c>
      <c r="K5207" s="41" t="n">
        <f aca="false">Sens!$K$5202+Sens!$K$5203-Sens!$K$5204</f>
        <v>0</v>
      </c>
      <c r="L5207" s="41" t="n">
        <f aca="false">Sens!$L$5202+Sens!$L$5203-Sens!$L$5204</f>
        <v>0</v>
      </c>
      <c r="M5207" s="41" t="n">
        <f aca="false">Sens!$M$5202+Sens!$M$5203-Sens!$M$5204</f>
        <v>0</v>
      </c>
      <c r="N5207" s="41" t="n">
        <f aca="false">Sens!$N$5202+Sens!$N$5203-Sens!$N$5204</f>
        <v>0</v>
      </c>
      <c r="O5207" s="41" t="n">
        <f aca="false">Sens!$O$5202+Sens!$O$5203-Sens!$O$5204</f>
        <v>0</v>
      </c>
    </row>
    <row r="5208" customFormat="false" ht="17.15" hidden="false" customHeight="false" outlineLevel="0" collapsed="false">
      <c r="A5208" s="24" t="s">
        <v>699</v>
      </c>
      <c r="B5208" s="25" t="s">
        <v>86</v>
      </c>
      <c r="C5208" s="41" t="n">
        <f aca="false">Sens!$C$5139+Sens!$C$5140+Sens!$C$5204-Sens!$C$5205</f>
        <v>0</v>
      </c>
      <c r="D5208" s="41" t="n">
        <f aca="false">Sens!$D$5139+Sens!$D$5140+Sens!$D$5204-Sens!$D$5205</f>
        <v>0</v>
      </c>
      <c r="E5208" s="41" t="n">
        <f aca="false">Sens!$E$5139+Sens!$E$5140+Sens!$E$5204-Sens!$E$5205</f>
        <v>0</v>
      </c>
      <c r="F5208" s="41" t="n">
        <f aca="false">Sens!$F$5139+Sens!$F$5140+Sens!$F$5204-Sens!$F$5205</f>
        <v>0</v>
      </c>
      <c r="G5208" s="41" t="n">
        <f aca="false">Sens!$G$5139+Sens!$G$5140+Sens!$G$5204-Sens!$G$5205</f>
        <v>0</v>
      </c>
      <c r="H5208" s="41" t="n">
        <f aca="false">Sens!$H$5139+Sens!$H$5140+Sens!$H$5204-Sens!$H$5205</f>
        <v>0</v>
      </c>
      <c r="I5208" s="41" t="n">
        <f aca="false">Sens!$I$5139+Sens!$I$5140+Sens!$I$5204-Sens!$I$5205</f>
        <v>0</v>
      </c>
      <c r="J5208" s="41" t="n">
        <f aca="false">Sens!$J$5139+Sens!$J$5140+Sens!$J$5204-Sens!$J$5205</f>
        <v>0</v>
      </c>
      <c r="K5208" s="41" t="n">
        <f aca="false">Sens!$K$5139+Sens!$K$5140+Sens!$K$5204-Sens!$K$5205</f>
        <v>0</v>
      </c>
      <c r="L5208" s="41" t="n">
        <f aca="false">Sens!$L$5139+Sens!$L$5140+Sens!$L$5204-Sens!$L$5205</f>
        <v>0</v>
      </c>
      <c r="M5208" s="41" t="n">
        <f aca="false">Sens!$M$5139+Sens!$M$5140+Sens!$M$5204-Sens!$M$5205</f>
        <v>0</v>
      </c>
      <c r="N5208" s="41" t="n">
        <f aca="false">Sens!$N$5139+Sens!$N$5140+Sens!$N$5204-Sens!$N$5205</f>
        <v>0</v>
      </c>
      <c r="O5208" s="41" t="n">
        <f aca="false">Sens!$O$5139+Sens!$O$5140+Sens!$O$5204-Sens!$O$5205</f>
        <v>0</v>
      </c>
    </row>
    <row r="5209" customFormat="false" ht="15" hidden="false" customHeight="false" outlineLevel="0" collapsed="false">
      <c r="A5209" s="5" t="s">
        <v>693</v>
      </c>
      <c r="B5209" s="0" t="s">
        <v>52</v>
      </c>
      <c r="G5209" s="13" t="n">
        <f aca="false">Sens!$G$5205/Sens!$D$5205-1</f>
        <v>0.140854504918937</v>
      </c>
      <c r="H5209" s="13" t="n">
        <f aca="false">Sens!$H$5205/Sens!$G$5205-1</f>
        <v>0.152063789793209</v>
      </c>
      <c r="I5209" s="13" t="n">
        <f aca="false">Sens!$I$5205/Sens!$H$5205-1</f>
        <v>0.134273264437417</v>
      </c>
      <c r="J5209" s="13" t="n">
        <f aca="false">Sens!$J$5205/Sens!$I$5205-1</f>
        <v>0.113310421234083</v>
      </c>
      <c r="K5209" s="13" t="n">
        <f aca="false">Sens!$K$5205/Sens!$J$5205-1</f>
        <v>0.0892108343223652</v>
      </c>
      <c r="L5209" s="13" t="n">
        <f aca="false">Sens!$L$5205/Sens!$K$5205-1</f>
        <v>0.076471362444261</v>
      </c>
      <c r="M5209" s="13" t="n">
        <f aca="false">Sens!$M$5205/Sens!$L$5205-1</f>
        <v>0.066250060256672</v>
      </c>
    </row>
    <row r="5210" customFormat="false" ht="17.15" hidden="false" customHeight="false" outlineLevel="0" collapsed="false">
      <c r="A5210" s="0" t="s">
        <v>694</v>
      </c>
      <c r="B5210" s="0" t="s">
        <v>52</v>
      </c>
      <c r="C5210" s="13" t="n">
        <f aca="false">Sens!$C$5204/Sens!$C$5205</f>
        <v>0.168593906504964</v>
      </c>
      <c r="D5210" s="13" t="n">
        <f aca="false">Sens!$D$5204/Sens!$D$5205</f>
        <v>0.179551807444025</v>
      </c>
      <c r="E5210" s="13" t="n">
        <f aca="false">Sens!$E$5204/Sens!$E$5205</f>
        <v>0.208881910369643</v>
      </c>
      <c r="F5210" s="13" t="n">
        <f aca="false">Sens!$F$5204/Sens!$F$5205</f>
        <v>0.199028269699356</v>
      </c>
      <c r="G5210" s="13" t="n">
        <f aca="false">Sens!$G$5204/Sens!$G$5205</f>
        <v>0.203631882529968</v>
      </c>
      <c r="H5210" s="13" t="n">
        <f aca="false">Sens!$H$5204/Sens!$H$5205</f>
        <v>0.234731715958496</v>
      </c>
      <c r="I5210" s="13" t="n">
        <f aca="false">Sens!$I$5204/Sens!$I$5205</f>
        <v>0.262231204480418</v>
      </c>
      <c r="J5210" s="13" t="n">
        <f aca="false">Sens!$J$5204/Sens!$J$5205</f>
        <v>0.284728366013706</v>
      </c>
      <c r="K5210" s="13" t="n">
        <f aca="false">Sens!$K$5204/Sens!$K$5205</f>
        <v>0.300823304959505</v>
      </c>
      <c r="L5210" s="13" t="n">
        <f aca="false">Sens!$L$5204/Sens!$L$5205</f>
        <v>0.308263164529735</v>
      </c>
      <c r="M5210" s="13" t="n">
        <f aca="false">Sens!$M$5204/Sens!$M$5205</f>
        <v>0.308856517936036</v>
      </c>
      <c r="N5210" s="13" t="n">
        <f aca="false">Sens!$N$5204/Sens!$N$5205</f>
        <v>0.185979484737251</v>
      </c>
      <c r="O5210" s="13" t="n">
        <f aca="false">Sens!$O$5204/Sens!$O$5205</f>
        <v>0.174270432341096</v>
      </c>
    </row>
    <row r="5211" customFormat="false" ht="17.15" hidden="false" customHeight="false" outlineLevel="0" collapsed="false">
      <c r="A5211" s="0" t="s">
        <v>695</v>
      </c>
      <c r="B5211" s="0" t="s">
        <v>52</v>
      </c>
      <c r="C5211" s="13" t="n">
        <f aca="false">Sens!$C$5202/Sens!$C$5204</f>
        <v>0.0215795060896058</v>
      </c>
      <c r="D5211" s="13" t="n">
        <f aca="false">Sens!$D$5202/Sens!$D$5204</f>
        <v>0.0676152269462122</v>
      </c>
      <c r="E5211" s="13" t="n">
        <f aca="false">Sens!$E$5202/Sens!$E$5204</f>
        <v>0.106620641395783</v>
      </c>
      <c r="F5211" s="13" t="n">
        <f aca="false">Sens!$F$5202/Sens!$F$5204</f>
        <v>0.172523487401099</v>
      </c>
      <c r="G5211" s="13" t="n">
        <f aca="false">Sens!$G$5202/Sens!$G$5204</f>
        <v>0.140939911795589</v>
      </c>
      <c r="H5211" s="13" t="n">
        <f aca="false">Sens!$H$5202/Sens!$H$5204</f>
        <v>0.272018642937714</v>
      </c>
      <c r="I5211" s="13" t="n">
        <f aca="false">Sens!$I$5202/Sens!$I$5204</f>
        <v>0.362159512436497</v>
      </c>
      <c r="J5211" s="13" t="n">
        <f aca="false">Sens!$J$5202/Sens!$J$5204</f>
        <v>0.422151735934609</v>
      </c>
      <c r="K5211" s="13" t="n">
        <f aca="false">Sens!$K$5202/Sens!$K$5204</f>
        <v>0.45769342068485</v>
      </c>
      <c r="L5211" s="13" t="n">
        <f aca="false">Sens!$L$5202/Sens!$L$5204</f>
        <v>0.469047103913472</v>
      </c>
      <c r="M5211" s="13" t="n">
        <f aca="false">Sens!$M$5202/Sens!$M$5204</f>
        <v>0.463233328258093</v>
      </c>
      <c r="N5211" s="13" t="n">
        <f aca="false">Sens!$N$5202/Sens!$N$5204</f>
        <v>0.0506537999838362</v>
      </c>
      <c r="O5211" s="13" t="n">
        <f aca="false">Sens!$O$5202/Sens!$O$5204</f>
        <v>0.0824881615167056</v>
      </c>
    </row>
    <row r="5214" customFormat="false" ht="19.4" hidden="false" customHeight="false" outlineLevel="0" collapsed="false">
      <c r="A5214" s="31" t="s">
        <v>1234</v>
      </c>
    </row>
    <row r="5215" customFormat="false" ht="17.15" hidden="false" customHeight="false" outlineLevel="0" collapsed="false">
      <c r="A5215" s="6" t="s">
        <v>16</v>
      </c>
      <c r="B5215" s="6" t="s">
        <v>17</v>
      </c>
      <c r="C5215" s="20" t="s">
        <v>494</v>
      </c>
      <c r="D5215" s="20" t="s">
        <v>495</v>
      </c>
      <c r="E5215" s="20" t="s">
        <v>577</v>
      </c>
      <c r="F5215" s="20" t="s">
        <v>578</v>
      </c>
      <c r="G5215" s="20" t="s">
        <v>579</v>
      </c>
      <c r="H5215" s="20" t="s">
        <v>580</v>
      </c>
      <c r="I5215" s="20" t="s">
        <v>581</v>
      </c>
      <c r="J5215" s="20" t="s">
        <v>582</v>
      </c>
      <c r="K5215" s="20" t="s">
        <v>583</v>
      </c>
      <c r="L5215" s="20" t="s">
        <v>584</v>
      </c>
      <c r="M5215" s="20" t="s">
        <v>585</v>
      </c>
      <c r="N5215" s="20" t="s">
        <v>586</v>
      </c>
      <c r="O5215" s="20" t="s">
        <v>587</v>
      </c>
      <c r="P5215" s="6" t="s">
        <v>23</v>
      </c>
      <c r="R5215" s="20" t="n">
        <v>2023</v>
      </c>
      <c r="S5215" s="20" t="n">
        <v>2024</v>
      </c>
      <c r="T5215" s="20" t="n">
        <v>2025</v>
      </c>
      <c r="U5215" s="20" t="n">
        <v>2026</v>
      </c>
      <c r="V5215" s="20" t="n">
        <v>2027</v>
      </c>
      <c r="W5215" s="20" t="n">
        <v>2028</v>
      </c>
      <c r="X5215" s="20" t="n">
        <v>2029</v>
      </c>
      <c r="Y5215" s="20" t="n">
        <v>2030</v>
      </c>
      <c r="Z5215" s="20" t="n">
        <v>2031</v>
      </c>
      <c r="AA5215" s="20" t="n">
        <v>2032</v>
      </c>
    </row>
    <row r="5216" customFormat="false" ht="17.15" hidden="false" customHeight="false" outlineLevel="0" collapsed="false">
      <c r="A5216" s="1" t="s">
        <v>710</v>
      </c>
    </row>
    <row r="5217" customFormat="false" ht="15" hidden="false" customHeight="false" outlineLevel="0" collapsed="false">
      <c r="A5217" s="0" t="s">
        <v>516</v>
      </c>
      <c r="B5217" s="0" t="s">
        <v>86</v>
      </c>
      <c r="C5217" s="38" t="n">
        <f aca="false">Sens!$C$5124</f>
        <v>247.029</v>
      </c>
      <c r="D5217" s="38" t="n">
        <f aca="false">Sens!$D$5124</f>
        <v>269.287</v>
      </c>
      <c r="E5217" s="38" t="n">
        <f aca="false">Sens!$E$5124</f>
        <v>134.686</v>
      </c>
      <c r="F5217" s="38" t="n">
        <f aca="false">Sens!$F$5124</f>
        <v>158.293876822267</v>
      </c>
      <c r="G5217" s="38" t="n">
        <f aca="false">Sens!$G$5124</f>
        <v>292.979876822267</v>
      </c>
      <c r="H5217" s="38" t="n">
        <f aca="false">Sens!$H$5124</f>
        <v>318.184543087396</v>
      </c>
      <c r="I5217" s="38" t="n">
        <f aca="false">Sens!$I$5124</f>
        <v>341.736278761793</v>
      </c>
      <c r="J5217" s="38" t="n">
        <f aca="false">Sens!$J$5124</f>
        <v>362.927192787048</v>
      </c>
      <c r="K5217" s="38" t="n">
        <f aca="false">Sens!$K$5124</f>
        <v>381.0735524264</v>
      </c>
      <c r="L5217" s="38" t="n">
        <f aca="false">Sens!$L$5124</f>
        <v>400.12723004772</v>
      </c>
      <c r="M5217" s="38" t="n">
        <f aca="false">Sens!$M$5124</f>
        <v>420.133591550106</v>
      </c>
      <c r="N5217" s="38" t="n">
        <f aca="false">Sens!$N$5124</f>
        <v>118.892</v>
      </c>
      <c r="O5217" s="38" t="n">
        <f aca="false">Sens!$O$5124</f>
        <v>150.395</v>
      </c>
    </row>
    <row r="5218" customFormat="false" ht="15" hidden="false" customHeight="false" outlineLevel="0" collapsed="false">
      <c r="A5218" s="0" t="s">
        <v>517</v>
      </c>
      <c r="B5218" s="0" t="s">
        <v>86</v>
      </c>
      <c r="C5218" s="38" t="n">
        <f aca="false">Sens!$C$5126</f>
        <v>21.215</v>
      </c>
      <c r="D5218" s="38" t="n">
        <f aca="false">Sens!$D$5126</f>
        <v>22.561</v>
      </c>
      <c r="E5218" s="38" t="n">
        <f aca="false">Sens!$E$5126</f>
        <v>11.579</v>
      </c>
      <c r="F5218" s="38" t="n">
        <f aca="false">Sens!$F$5126</f>
        <v>11.5938724610325</v>
      </c>
      <c r="G5218" s="38" t="n">
        <f aca="false">Sens!$G$5126</f>
        <v>23.1728724610325</v>
      </c>
      <c r="H5218" s="38" t="n">
        <f aca="false">Sens!$H$5126</f>
        <v>24.353392759506</v>
      </c>
      <c r="I5218" s="38" t="n">
        <f aca="false">Sens!$I$5126</f>
        <v>25.4240338872015</v>
      </c>
      <c r="J5218" s="38" t="n">
        <f aca="false">Sens!$J$5126</f>
        <v>26.3642491017174</v>
      </c>
      <c r="K5218" s="38" t="n">
        <f aca="false">Sens!$K$5126</f>
        <v>27.155176574769</v>
      </c>
      <c r="L5218" s="38" t="n">
        <f aca="false">Sens!$L$5126</f>
        <v>27.969831872012</v>
      </c>
      <c r="M5218" s="38" t="n">
        <f aca="false">Sens!$M$5126</f>
        <v>28.8089268281724</v>
      </c>
      <c r="N5218" s="38" t="n">
        <f aca="false">Sens!$N$5126</f>
        <v>11.128</v>
      </c>
      <c r="O5218" s="38" t="n">
        <f aca="false">Sens!$O$5126</f>
        <v>11.433</v>
      </c>
    </row>
    <row r="5219" customFormat="false" ht="15" hidden="false" customHeight="false" outlineLevel="0" collapsed="false">
      <c r="A5219" s="0" t="s">
        <v>518</v>
      </c>
      <c r="B5219" s="0" t="s">
        <v>86</v>
      </c>
      <c r="C5219" s="38" t="n">
        <f aca="false">Sens!$C$5128</f>
        <v>156.146</v>
      </c>
      <c r="D5219" s="38" t="n">
        <f aca="false">Sens!$D$5128</f>
        <v>172.162</v>
      </c>
      <c r="E5219" s="38" t="n">
        <f aca="false">Sens!$E$5128</f>
        <v>88.358</v>
      </c>
      <c r="F5219" s="38" t="n">
        <f aca="false">Sens!$F$5128</f>
        <v>102.004388260171</v>
      </c>
      <c r="G5219" s="38" t="n">
        <f aca="false">Sens!$G$5128</f>
        <v>190.362388260171</v>
      </c>
      <c r="H5219" s="38" t="n">
        <f aca="false">Sens!$H$5128</f>
        <v>210.343106588311</v>
      </c>
      <c r="I5219" s="38" t="n">
        <f aca="false">Sens!$I$5128</f>
        <v>229.969728494648</v>
      </c>
      <c r="J5219" s="38" t="n">
        <f aca="false">Sens!$J$5128</f>
        <v>248.747636972598</v>
      </c>
      <c r="K5219" s="38" t="n">
        <f aca="false">Sens!$K$5128</f>
        <v>266.15997156068</v>
      </c>
      <c r="L5219" s="38" t="n">
        <f aca="false">Sens!$L$5128</f>
        <v>284.791169569927</v>
      </c>
      <c r="M5219" s="38" t="n">
        <f aca="false">Sens!$M$5128</f>
        <v>304.726551439822</v>
      </c>
      <c r="N5219" s="38" t="n">
        <f aca="false">Sens!$N$5128</f>
        <v>76.86</v>
      </c>
      <c r="O5219" s="38" t="n">
        <f aca="false">Sens!$O$5128</f>
        <v>95.302</v>
      </c>
    </row>
    <row r="5220" customFormat="false" ht="15" hidden="false" customHeight="false" outlineLevel="0" collapsed="false">
      <c r="A5220" s="0" t="s">
        <v>519</v>
      </c>
      <c r="B5220" s="0" t="s">
        <v>86</v>
      </c>
      <c r="C5220" s="38" t="n">
        <f aca="false">Sens!$C$5130</f>
        <v>56.214</v>
      </c>
      <c r="D5220" s="38" t="n">
        <f aca="false">Sens!$D$5130</f>
        <v>68.635</v>
      </c>
      <c r="E5220" s="38" t="n">
        <f aca="false">Sens!$E$5130</f>
        <v>37.052</v>
      </c>
      <c r="F5220" s="38" t="n">
        <f aca="false">Sens!$F$5130</f>
        <v>46.1572219944148</v>
      </c>
      <c r="G5220" s="38" t="n">
        <f aca="false">Sens!$G$5130</f>
        <v>83.2092219944148</v>
      </c>
      <c r="H5220" s="38" t="n">
        <f aca="false">Sens!$H$5130</f>
        <v>99.8969223878976</v>
      </c>
      <c r="I5220" s="38" t="n">
        <f aca="false">Sens!$I$5130</f>
        <v>116.583111095496</v>
      </c>
      <c r="J5220" s="38" t="n">
        <f aca="false">Sens!$J$5130</f>
        <v>132.148941941952</v>
      </c>
      <c r="K5220" s="38" t="n">
        <f aca="false">Sens!$K$5130</f>
        <v>145.363836136147</v>
      </c>
      <c r="L5220" s="38" t="n">
        <f aca="false">Sens!$L$5130</f>
        <v>159.900219749762</v>
      </c>
      <c r="M5220" s="38" t="n">
        <f aca="false">Sens!$M$5130</f>
        <v>175.890241724738</v>
      </c>
      <c r="N5220" s="38" t="n">
        <f aca="false">Sens!$N$5130</f>
        <v>29.615</v>
      </c>
      <c r="O5220" s="38" t="n">
        <f aca="false">Sens!$O$5130</f>
        <v>39.02</v>
      </c>
    </row>
    <row r="5221" customFormat="false" ht="15" hidden="false" customHeight="false" outlineLevel="0" collapsed="false">
      <c r="A5221" s="0" t="s">
        <v>520</v>
      </c>
      <c r="B5221" s="0" t="s">
        <v>86</v>
      </c>
      <c r="C5221" s="38" t="n">
        <f aca="false">Sens!$C$5132</f>
        <v>44.374</v>
      </c>
      <c r="D5221" s="38" t="n">
        <f aca="false">Sens!$D$5132</f>
        <v>49.619</v>
      </c>
      <c r="E5221" s="38" t="n">
        <f aca="false">Sens!$E$5132</f>
        <v>27.157</v>
      </c>
      <c r="F5221" s="38" t="n">
        <f aca="false">Sens!$F$5132</f>
        <v>27.7764165988154</v>
      </c>
      <c r="G5221" s="38" t="n">
        <f aca="false">Sens!$G$5132</f>
        <v>54.9334165988154</v>
      </c>
      <c r="H5221" s="38" t="n">
        <f aca="false">Sens!$H$5132</f>
        <v>61.1564112561829</v>
      </c>
      <c r="I5221" s="38" t="n">
        <f aca="false">Sens!$I$5132</f>
        <v>67.2020282103945</v>
      </c>
      <c r="J5221" s="38" t="n">
        <f aca="false">Sens!$J$5132</f>
        <v>72.8757274028885</v>
      </c>
      <c r="K5221" s="38" t="n">
        <f aca="false">Sens!$K$5132</f>
        <v>77.9770283210907</v>
      </c>
      <c r="L5221" s="38" t="n">
        <f aca="false">Sens!$L$5132</f>
        <v>83.4354203035671</v>
      </c>
      <c r="M5221" s="38" t="n">
        <f aca="false">Sens!$M$5132</f>
        <v>89.2758997248168</v>
      </c>
      <c r="N5221" s="38" t="n">
        <f aca="false">Sens!$N$5132</f>
        <v>23.923</v>
      </c>
      <c r="O5221" s="38" t="n">
        <f aca="false">Sens!$O$5132</f>
        <v>25.696</v>
      </c>
    </row>
    <row r="5222" customFormat="false" ht="15" hidden="false" customHeight="false" outlineLevel="0" collapsed="false">
      <c r="A5222" s="0" t="s">
        <v>521</v>
      </c>
      <c r="B5222" s="0" t="s">
        <v>86</v>
      </c>
      <c r="C5222" s="38" t="n">
        <f aca="false">Sens!$C$5134</f>
        <v>5.425</v>
      </c>
      <c r="D5222" s="38" t="n">
        <f aca="false">Sens!$D$5134</f>
        <v>5.935</v>
      </c>
      <c r="E5222" s="38" t="n">
        <f aca="false">Sens!$E$5134</f>
        <v>3.474</v>
      </c>
      <c r="F5222" s="38" t="n">
        <f aca="false">Sens!$F$5134</f>
        <v>3.22246550883619</v>
      </c>
      <c r="G5222" s="38" t="n">
        <f aca="false">Sens!$G$5134</f>
        <v>6.69646550883619</v>
      </c>
      <c r="H5222" s="38" t="n">
        <f aca="false">Sens!$H$5134</f>
        <v>7.16251344209196</v>
      </c>
      <c r="I5222" s="38" t="n">
        <f aca="false">Sens!$I$5134</f>
        <v>7.61421070299826</v>
      </c>
      <c r="J5222" s="38" t="n">
        <f aca="false">Sens!$J$5134</f>
        <v>8.04465753523932</v>
      </c>
      <c r="K5222" s="38" t="n">
        <f aca="false">Sens!$K$5134</f>
        <v>8.44689041200128</v>
      </c>
      <c r="L5222" s="38" t="n">
        <f aca="false">Sens!$L$5134</f>
        <v>8.86923493260135</v>
      </c>
      <c r="M5222" s="38" t="n">
        <f aca="false">Sens!$M$5134</f>
        <v>9.31269667923142</v>
      </c>
      <c r="N5222" s="38" t="n">
        <f aca="false">Sens!$N$5134</f>
        <v>2.811</v>
      </c>
      <c r="O5222" s="38" t="n">
        <f aca="false">Sens!$O$5134</f>
        <v>3.124</v>
      </c>
    </row>
    <row r="5223" customFormat="false" ht="17.15" hidden="false" customHeight="false" outlineLevel="0" collapsed="false">
      <c r="A5223" s="0" t="s">
        <v>711</v>
      </c>
      <c r="B5223" s="0" t="s">
        <v>86</v>
      </c>
      <c r="C5223" s="38" t="n">
        <f aca="false">Sens!$C$5204</f>
        <v>107.556</v>
      </c>
      <c r="D5223" s="38" t="n">
        <f aca="false">Sens!$D$5204</f>
        <v>128.725</v>
      </c>
      <c r="E5223" s="38" t="n">
        <f aca="false">Sens!$E$5204</f>
        <v>79.819</v>
      </c>
      <c r="F5223" s="38" t="n">
        <f aca="false">Sens!$F$5204</f>
        <v>86.7327334389669</v>
      </c>
      <c r="G5223" s="38" t="n">
        <f aca="false">Sens!$G$5204</f>
        <v>166.551733438967</v>
      </c>
      <c r="H5223" s="38" t="n">
        <f aca="false">Sens!$H$5204</f>
        <v>221.182967828978</v>
      </c>
      <c r="I5223" s="38" t="n">
        <f aca="false">Sens!$I$5204</f>
        <v>280.27345865789</v>
      </c>
      <c r="J5223" s="38" t="n">
        <f aca="false">Sens!$J$5204</f>
        <v>338.800945197185</v>
      </c>
      <c r="K5223" s="38" t="n">
        <f aca="false">Sens!$K$5204</f>
        <v>389.88570147276</v>
      </c>
      <c r="L5223" s="38" t="n">
        <f aca="false">Sens!$L$5204</f>
        <v>430.080689379143</v>
      </c>
      <c r="M5223" s="38" t="n">
        <f aca="false">Sens!$M$5204</f>
        <v>459.456235951751</v>
      </c>
      <c r="N5223" s="38" t="n">
        <f aca="false">Sens!$N$5204</f>
        <v>60.14</v>
      </c>
      <c r="O5223" s="38" t="n">
        <f aca="false">Sens!$O$5204</f>
        <v>68.585</v>
      </c>
    </row>
    <row r="5224" customFormat="false" ht="15" hidden="false" customHeight="false" outlineLevel="0" collapsed="false">
      <c r="A5224" s="1" t="s">
        <v>509</v>
      </c>
      <c r="B5224" s="8" t="s">
        <v>86</v>
      </c>
      <c r="C5224" s="38" t="n">
        <f aca="false">Sens!$C$5139</f>
        <v>387.497</v>
      </c>
      <c r="D5224" s="38" t="n">
        <f aca="false">Sens!$D$5139</f>
        <v>426.305</v>
      </c>
      <c r="E5224" s="38" t="n">
        <f aca="false">Sens!$E$5139</f>
        <v>220.32</v>
      </c>
      <c r="F5224" s="38" t="n">
        <f aca="false">Sens!$F$5139</f>
        <v>250.639773480586</v>
      </c>
      <c r="G5224" s="38" t="n">
        <f aca="false">Sens!$G$5139</f>
        <v>470.959773480586</v>
      </c>
      <c r="H5224" s="38" t="n">
        <f aca="false">Sens!$H$5139</f>
        <v>521.386990416437</v>
      </c>
      <c r="I5224" s="38" t="n">
        <f aca="false">Sens!$I$5139</f>
        <v>570.143862887555</v>
      </c>
      <c r="J5224" s="38" t="n">
        <f aca="false">Sens!$J$5139</f>
        <v>615.391435791933</v>
      </c>
      <c r="K5224" s="38" t="n">
        <f aca="false">Sens!$K$5139</f>
        <v>655.208227561543</v>
      </c>
      <c r="L5224" s="38" t="n">
        <f aca="false">Sens!$L$5139</f>
        <v>697.807739249767</v>
      </c>
      <c r="M5224" s="38" t="n">
        <f aca="false">Sens!$M$5139</f>
        <v>743.399328463592</v>
      </c>
      <c r="N5224" s="38" t="n">
        <f aca="false">Sens!$N$5139</f>
        <v>192.955</v>
      </c>
      <c r="O5224" s="38" t="n">
        <f aca="false">Sens!$O$5139</f>
        <v>233.35</v>
      </c>
    </row>
    <row r="5225" customFormat="false" ht="15" hidden="false" customHeight="false" outlineLevel="0" collapsed="false">
      <c r="A5225" s="1" t="s">
        <v>512</v>
      </c>
      <c r="B5225" s="8" t="s">
        <v>86</v>
      </c>
      <c r="C5225" s="38" t="n">
        <f aca="false">Sens!$C$5140</f>
        <v>142.906</v>
      </c>
      <c r="D5225" s="38" t="n">
        <f aca="false">Sens!$D$5140</f>
        <v>161.894</v>
      </c>
      <c r="E5225" s="38" t="n">
        <f aca="false">Sens!$E$5140</f>
        <v>81.986</v>
      </c>
      <c r="F5225" s="38" t="n">
        <f aca="false">Sens!$F$5140</f>
        <v>98.408468164951</v>
      </c>
      <c r="G5225" s="38" t="n">
        <f aca="false">Sens!$G$5140</f>
        <v>180.394468164951</v>
      </c>
      <c r="H5225" s="38" t="n">
        <f aca="false">Sens!$H$5140</f>
        <v>199.709899104949</v>
      </c>
      <c r="I5225" s="38" t="n">
        <f aca="false">Sens!$I$5140</f>
        <v>218.385528264976</v>
      </c>
      <c r="J5225" s="38" t="n">
        <f aca="false">Sens!$J$5140</f>
        <v>235.71696994951</v>
      </c>
      <c r="K5225" s="38" t="n">
        <f aca="false">Sens!$K$5140</f>
        <v>250.968227869545</v>
      </c>
      <c r="L5225" s="38" t="n">
        <f aca="false">Sens!$L$5140</f>
        <v>267.285367225822</v>
      </c>
      <c r="M5225" s="38" t="n">
        <f aca="false">Sens!$M$5140</f>
        <v>284.748579483295</v>
      </c>
      <c r="N5225" s="38" t="n">
        <f aca="false">Sens!$N$5140</f>
        <v>70.274</v>
      </c>
      <c r="O5225" s="38" t="n">
        <f aca="false">Sens!$O$5140</f>
        <v>91.62</v>
      </c>
    </row>
    <row r="5226" customFormat="false" ht="15" hidden="false" customHeight="false" outlineLevel="0" collapsed="false">
      <c r="A5226" s="1" t="s">
        <v>513</v>
      </c>
      <c r="B5226" s="8" t="s">
        <v>86</v>
      </c>
      <c r="C5226" s="38" t="n">
        <f aca="false">Sens!$C$5204</f>
        <v>107.556</v>
      </c>
      <c r="D5226" s="38" t="n">
        <f aca="false">Sens!$D$5204</f>
        <v>128.725</v>
      </c>
      <c r="E5226" s="38" t="n">
        <f aca="false">Sens!$E$5204</f>
        <v>79.819</v>
      </c>
      <c r="F5226" s="38" t="n">
        <f aca="false">Sens!$F$5204</f>
        <v>86.7327334389669</v>
      </c>
      <c r="G5226" s="38" t="n">
        <f aca="false">Sens!$G$5204</f>
        <v>166.551733438967</v>
      </c>
      <c r="H5226" s="38" t="n">
        <f aca="false">Sens!$H$5204</f>
        <v>221.182967828978</v>
      </c>
      <c r="I5226" s="38" t="n">
        <f aca="false">Sens!$I$5204</f>
        <v>280.27345865789</v>
      </c>
      <c r="J5226" s="38" t="n">
        <f aca="false">Sens!$J$5204</f>
        <v>338.800945197185</v>
      </c>
      <c r="K5226" s="38" t="n">
        <f aca="false">Sens!$K$5204</f>
        <v>389.88570147276</v>
      </c>
      <c r="L5226" s="38" t="n">
        <f aca="false">Sens!$L$5204</f>
        <v>430.080689379143</v>
      </c>
      <c r="M5226" s="38" t="n">
        <f aca="false">Sens!$M$5204</f>
        <v>459.456235951751</v>
      </c>
      <c r="N5226" s="38" t="n">
        <f aca="false">Sens!$N$5204</f>
        <v>60.14</v>
      </c>
      <c r="O5226" s="38" t="n">
        <f aca="false">Sens!$O$5204</f>
        <v>68.585</v>
      </c>
    </row>
    <row r="5227" customFormat="false" ht="17.15" hidden="false" customHeight="false" outlineLevel="0" collapsed="false">
      <c r="A5227" s="0" t="s">
        <v>685</v>
      </c>
      <c r="B5227" s="0" t="s">
        <v>86</v>
      </c>
      <c r="C5227" s="38" t="n">
        <f aca="false">Sens!$C$5202</f>
        <v>2.32100535697364</v>
      </c>
      <c r="D5227" s="38" t="n">
        <f aca="false">Sens!$D$5202</f>
        <v>8.70377008865116</v>
      </c>
      <c r="E5227" s="38" t="n">
        <f aca="false">Sens!$E$5202</f>
        <v>8.51035297557002</v>
      </c>
      <c r="F5227" s="38" t="n">
        <f aca="false">Sens!$F$5202</f>
        <v>14.9634336447205</v>
      </c>
      <c r="G5227" s="38" t="n">
        <f aca="false">Sens!$G$5202</f>
        <v>23.4737866202905</v>
      </c>
      <c r="H5227" s="38" t="n">
        <f aca="false">Sens!$H$5202</f>
        <v>60.1658907497746</v>
      </c>
      <c r="I5227" s="38" t="n">
        <f aca="false">Sens!$I$5202</f>
        <v>101.503699136432</v>
      </c>
      <c r="J5227" s="38" t="n">
        <f aca="false">Sens!$J$5202</f>
        <v>143.025407151278</v>
      </c>
      <c r="K5227" s="38" t="n">
        <f aca="false">Sens!$K$5202</f>
        <v>178.44812038318</v>
      </c>
      <c r="L5227" s="38" t="n">
        <f aca="false">Sens!$L$5202</f>
        <v>201.728101802396</v>
      </c>
      <c r="M5227" s="38" t="n">
        <f aca="false">Sens!$M$5202</f>
        <v>212.835441368865</v>
      </c>
      <c r="N5227" s="38" t="n">
        <f aca="false">Sens!$N$5202</f>
        <v>3.04631953102791</v>
      </c>
      <c r="O5227" s="38" t="n">
        <f aca="false">Sens!$O$5202</f>
        <v>5.65745055762326</v>
      </c>
    </row>
    <row r="5228" customFormat="false" ht="17.15" hidden="false" customHeight="false" outlineLevel="0" collapsed="false">
      <c r="A5228" s="0" t="s">
        <v>687</v>
      </c>
      <c r="B5228" s="0" t="s">
        <v>86</v>
      </c>
      <c r="C5228" s="38" t="n">
        <f aca="false">Sens!$C$5203</f>
        <v>105.234994643026</v>
      </c>
      <c r="D5228" s="38" t="n">
        <f aca="false">Sens!$D$5203</f>
        <v>120.021229911349</v>
      </c>
      <c r="E5228" s="38" t="n">
        <f aca="false">Sens!$E$5203</f>
        <v>71.30864702443</v>
      </c>
      <c r="F5228" s="38" t="n">
        <f aca="false">Sens!$F$5203</f>
        <v>71.7692997942464</v>
      </c>
      <c r="G5228" s="38" t="n">
        <f aca="false">Sens!$G$5203</f>
        <v>143.077946818676</v>
      </c>
      <c r="H5228" s="38" t="n">
        <f aca="false">Sens!$H$5203</f>
        <v>161.017077079203</v>
      </c>
      <c r="I5228" s="38" t="n">
        <f aca="false">Sens!$I$5203</f>
        <v>178.769759521457</v>
      </c>
      <c r="J5228" s="38" t="n">
        <f aca="false">Sens!$J$5203</f>
        <v>195.775538045907</v>
      </c>
      <c r="K5228" s="38" t="n">
        <f aca="false">Sens!$K$5203</f>
        <v>211.43758108958</v>
      </c>
      <c r="L5228" s="38" t="n">
        <f aca="false">Sens!$L$5203</f>
        <v>228.352587576746</v>
      </c>
      <c r="M5228" s="38" t="n">
        <f aca="false">Sens!$M$5203</f>
        <v>246.620794582886</v>
      </c>
      <c r="N5228" s="38" t="n">
        <f aca="false">Sens!$N$5203</f>
        <v>57.0936804689721</v>
      </c>
      <c r="O5228" s="38" t="n">
        <f aca="false">Sens!$O$5203</f>
        <v>62.9275494423768</v>
      </c>
    </row>
    <row r="5229" customFormat="false" ht="15" hidden="false" customHeight="false" outlineLevel="0" collapsed="false">
      <c r="A5229" s="3" t="s">
        <v>514</v>
      </c>
      <c r="B5229" s="8" t="s">
        <v>86</v>
      </c>
      <c r="C5229" s="38" t="n">
        <f aca="false">Sens!$C$5205</f>
        <v>637.959</v>
      </c>
      <c r="D5229" s="38" t="n">
        <f aca="false">Sens!$D$5205</f>
        <v>716.924</v>
      </c>
      <c r="E5229" s="38" t="n">
        <f aca="false">Sens!$E$5205</f>
        <v>382.125</v>
      </c>
      <c r="F5229" s="38" t="n">
        <f aca="false">Sens!$F$5205</f>
        <v>435.780975084504</v>
      </c>
      <c r="G5229" s="38" t="n">
        <f aca="false">Sens!$G$5205</f>
        <v>817.905975084504</v>
      </c>
      <c r="H5229" s="38" t="n">
        <f aca="false">Sens!$H$5205</f>
        <v>942.279857350364</v>
      </c>
      <c r="I5229" s="38" t="n">
        <f aca="false">Sens!$I$5205</f>
        <v>1068.80284981042</v>
      </c>
      <c r="J5229" s="38" t="n">
        <f aca="false">Sens!$J$5205</f>
        <v>1189.90935093863</v>
      </c>
      <c r="K5229" s="38" t="n">
        <f aca="false">Sens!$K$5205</f>
        <v>1296.06215690385</v>
      </c>
      <c r="L5229" s="38" t="n">
        <f aca="false">Sens!$L$5205</f>
        <v>1395.17379585473</v>
      </c>
      <c r="M5229" s="38" t="n">
        <f aca="false">Sens!$M$5205</f>
        <v>1487.60414389864</v>
      </c>
      <c r="N5229" s="38" t="n">
        <f aca="false">Sens!$N$5205</f>
        <v>323.369</v>
      </c>
      <c r="O5229" s="38" t="n">
        <f aca="false">Sens!$O$5205</f>
        <v>393.555</v>
      </c>
    </row>
    <row r="5230" customFormat="false" ht="17.15" hidden="false" customHeight="false" outlineLevel="0" collapsed="false">
      <c r="A5230" s="24" t="s">
        <v>697</v>
      </c>
      <c r="B5230" s="25" t="s">
        <v>86</v>
      </c>
      <c r="C5230" s="41" t="n">
        <f aca="false">Sens!$C$5217+Sens!$C$5218+Sens!$C$5219+Sens!$C$5220+Sens!$C$5221+Sens!$C$5222-(Sens!$C$5224+Sens!$C$5225)</f>
        <v>0</v>
      </c>
      <c r="D5230" s="41" t="n">
        <f aca="false">Sens!$D$5217+Sens!$D$5218+Sens!$D$5219+Sens!$D$5220+Sens!$D$5221+Sens!$D$5222-(Sens!$D$5224+Sens!$D$5225)</f>
        <v>0</v>
      </c>
      <c r="E5230" s="41" t="n">
        <f aca="false">Sens!$E$5217+Sens!$E$5218+Sens!$E$5219+Sens!$E$5220+Sens!$E$5221+Sens!$E$5222-(Sens!$E$5224+Sens!$E$5225)</f>
        <v>0</v>
      </c>
      <c r="F5230" s="41" t="n">
        <f aca="false">Sens!$F$5217+Sens!$F$5218+Sens!$F$5219+Sens!$F$5220+Sens!$F$5221+Sens!$F$5222-(Sens!$F$5224+Sens!$F$5225)</f>
        <v>0</v>
      </c>
      <c r="G5230" s="41" t="n">
        <f aca="false">Sens!$G$5217+Sens!$G$5218+Sens!$G$5219+Sens!$G$5220+Sens!$G$5221+Sens!$G$5222-(Sens!$G$5224+Sens!$G$5225)</f>
        <v>0</v>
      </c>
      <c r="H5230" s="41" t="n">
        <f aca="false">Sens!$H$5217+Sens!$H$5218+Sens!$H$5219+Sens!$H$5220+Sens!$H$5221+Sens!$H$5222-(Sens!$H$5224+Sens!$H$5225)</f>
        <v>0</v>
      </c>
      <c r="I5230" s="41" t="n">
        <f aca="false">Sens!$I$5217+Sens!$I$5218+Sens!$I$5219+Sens!$I$5220+Sens!$I$5221+Sens!$I$5222-(Sens!$I$5224+Sens!$I$5225)</f>
        <v>0</v>
      </c>
      <c r="J5230" s="41" t="n">
        <f aca="false">Sens!$J$5217+Sens!$J$5218+Sens!$J$5219+Sens!$J$5220+Sens!$J$5221+Sens!$J$5222-(Sens!$J$5224+Sens!$J$5225)</f>
        <v>0</v>
      </c>
      <c r="K5230" s="41" t="n">
        <f aca="false">Sens!$K$5217+Sens!$K$5218+Sens!$K$5219+Sens!$K$5220+Sens!$K$5221+Sens!$K$5222-(Sens!$K$5224+Sens!$K$5225)</f>
        <v>0</v>
      </c>
      <c r="L5230" s="41" t="n">
        <f aca="false">Sens!$L$5217+Sens!$L$5218+Sens!$L$5219+Sens!$L$5220+Sens!$L$5221+Sens!$L$5222-(Sens!$L$5224+Sens!$L$5225)</f>
        <v>0</v>
      </c>
      <c r="M5230" s="41" t="n">
        <f aca="false">Sens!$M$5217+Sens!$M$5218+Sens!$M$5219+Sens!$M$5220+Sens!$M$5221+Sens!$M$5222-(Sens!$M$5224+Sens!$M$5225)</f>
        <v>0</v>
      </c>
      <c r="N5230" s="41" t="n">
        <f aca="false">Sens!$N$5217+Sens!$N$5218+Sens!$N$5219+Sens!$N$5220+Sens!$N$5221+Sens!$N$5222-(Sens!$N$5224+Sens!$N$5225)</f>
        <v>0</v>
      </c>
      <c r="O5230" s="41" t="n">
        <f aca="false">Sens!$O$5217+Sens!$O$5218+Sens!$O$5219+Sens!$O$5220+Sens!$O$5221+Sens!$O$5222-(Sens!$O$5224+Sens!$O$5225)</f>
        <v>0</v>
      </c>
    </row>
    <row r="5231" customFormat="false" ht="17.15" hidden="false" customHeight="false" outlineLevel="0" collapsed="false">
      <c r="A5231" s="24" t="s">
        <v>698</v>
      </c>
      <c r="B5231" s="25" t="s">
        <v>86</v>
      </c>
      <c r="C5231" s="41" t="n">
        <f aca="false">Sens!$C$5227+Sens!$C$5228-Sens!$C$5226</f>
        <v>0</v>
      </c>
      <c r="D5231" s="41" t="n">
        <f aca="false">Sens!$D$5227+Sens!$D$5228-Sens!$D$5226</f>
        <v>0</v>
      </c>
      <c r="E5231" s="41" t="n">
        <f aca="false">Sens!$E$5227+Sens!$E$5228-Sens!$E$5226</f>
        <v>0</v>
      </c>
      <c r="F5231" s="41" t="n">
        <f aca="false">Sens!$F$5227+Sens!$F$5228-Sens!$F$5226</f>
        <v>0</v>
      </c>
      <c r="G5231" s="41" t="n">
        <f aca="false">Sens!$G$5227+Sens!$G$5228-Sens!$G$5226</f>
        <v>0</v>
      </c>
      <c r="H5231" s="41" t="n">
        <f aca="false">Sens!$H$5227+Sens!$H$5228-Sens!$H$5226</f>
        <v>0</v>
      </c>
      <c r="I5231" s="41" t="n">
        <f aca="false">Sens!$I$5227+Sens!$I$5228-Sens!$I$5226</f>
        <v>0</v>
      </c>
      <c r="J5231" s="41" t="n">
        <f aca="false">Sens!$J$5227+Sens!$J$5228-Sens!$J$5226</f>
        <v>0</v>
      </c>
      <c r="K5231" s="41" t="n">
        <f aca="false">Sens!$K$5227+Sens!$K$5228-Sens!$K$5226</f>
        <v>0</v>
      </c>
      <c r="L5231" s="41" t="n">
        <f aca="false">Sens!$L$5227+Sens!$L$5228-Sens!$L$5226</f>
        <v>0</v>
      </c>
      <c r="M5231" s="41" t="n">
        <f aca="false">Sens!$M$5227+Sens!$M$5228-Sens!$M$5226</f>
        <v>0</v>
      </c>
      <c r="N5231" s="41" t="n">
        <f aca="false">Sens!$N$5227+Sens!$N$5228-Sens!$N$5226</f>
        <v>0</v>
      </c>
      <c r="O5231" s="41" t="n">
        <f aca="false">Sens!$O$5227+Sens!$O$5228-Sens!$O$5226</f>
        <v>0</v>
      </c>
    </row>
    <row r="5232" customFormat="false" ht="17.15" hidden="false" customHeight="false" outlineLevel="0" collapsed="false">
      <c r="A5232" s="24" t="s">
        <v>757</v>
      </c>
      <c r="B5232" s="25" t="s">
        <v>86</v>
      </c>
      <c r="C5232" s="41" t="n">
        <f aca="false">Sens!$C$5217+Sens!$C$5218+Sens!$C$5219+Sens!$C$5220+Sens!$C$5221+Sens!$C$5222+Sens!$C$5223-Sens!$C$5229</f>
        <v>0</v>
      </c>
      <c r="D5232" s="41" t="n">
        <f aca="false">Sens!$D$5217+Sens!$D$5218+Sens!$D$5219+Sens!$D$5220+Sens!$D$5221+Sens!$D$5222+Sens!$D$5223-Sens!$D$5229</f>
        <v>0</v>
      </c>
      <c r="E5232" s="41" t="n">
        <f aca="false">Sens!$E$5217+Sens!$E$5218+Sens!$E$5219+Sens!$E$5220+Sens!$E$5221+Sens!$E$5222+Sens!$E$5223-Sens!$E$5229</f>
        <v>0</v>
      </c>
      <c r="F5232" s="41" t="n">
        <f aca="false">Sens!$F$5217+Sens!$F$5218+Sens!$F$5219+Sens!$F$5220+Sens!$F$5221+Sens!$F$5222+Sens!$F$5223-Sens!$F$5229</f>
        <v>0</v>
      </c>
      <c r="G5232" s="41" t="n">
        <f aca="false">Sens!$G$5217+Sens!$G$5218+Sens!$G$5219+Sens!$G$5220+Sens!$G$5221+Sens!$G$5222+Sens!$G$5223-Sens!$G$5229</f>
        <v>0</v>
      </c>
      <c r="H5232" s="41" t="n">
        <f aca="false">Sens!$H$5217+Sens!$H$5218+Sens!$H$5219+Sens!$H$5220+Sens!$H$5221+Sens!$H$5222+Sens!$H$5223-Sens!$H$5229</f>
        <v>0</v>
      </c>
      <c r="I5232" s="41" t="n">
        <f aca="false">Sens!$I$5217+Sens!$I$5218+Sens!$I$5219+Sens!$I$5220+Sens!$I$5221+Sens!$I$5222+Sens!$I$5223-Sens!$I$5229</f>
        <v>0</v>
      </c>
      <c r="J5232" s="41" t="n">
        <f aca="false">Sens!$J$5217+Sens!$J$5218+Sens!$J$5219+Sens!$J$5220+Sens!$J$5221+Sens!$J$5222+Sens!$J$5223-Sens!$J$5229</f>
        <v>0</v>
      </c>
      <c r="K5232" s="41" t="n">
        <f aca="false">Sens!$K$5217+Sens!$K$5218+Sens!$K$5219+Sens!$K$5220+Sens!$K$5221+Sens!$K$5222+Sens!$K$5223-Sens!$K$5229</f>
        <v>0</v>
      </c>
      <c r="L5232" s="41" t="n">
        <f aca="false">Sens!$L$5217+Sens!$L$5218+Sens!$L$5219+Sens!$L$5220+Sens!$L$5221+Sens!$L$5222+Sens!$L$5223-Sens!$L$5229</f>
        <v>0</v>
      </c>
      <c r="M5232" s="41" t="n">
        <f aca="false">Sens!$M$5217+Sens!$M$5218+Sens!$M$5219+Sens!$M$5220+Sens!$M$5221+Sens!$M$5222+Sens!$M$5223-Sens!$M$5229</f>
        <v>0</v>
      </c>
      <c r="N5232" s="41" t="n">
        <f aca="false">Sens!$N$5217+Sens!$N$5218+Sens!$N$5219+Sens!$N$5220+Sens!$N$5221+Sens!$N$5222+Sens!$N$5223-Sens!$N$5229</f>
        <v>0</v>
      </c>
      <c r="O5232" s="41" t="n">
        <f aca="false">Sens!$O$5217+Sens!$O$5218+Sens!$O$5219+Sens!$O$5220+Sens!$O$5221+Sens!$O$5222+Sens!$O$5223-Sens!$O$5229</f>
        <v>0</v>
      </c>
    </row>
    <row r="5233" customFormat="false" ht="17.15" hidden="false" customHeight="false" outlineLevel="0" collapsed="false">
      <c r="A5233" s="24" t="s">
        <v>699</v>
      </c>
      <c r="B5233" s="25" t="s">
        <v>86</v>
      </c>
      <c r="C5233" s="41" t="n">
        <f aca="false">Sens!$C$5224+Sens!$C$5225+Sens!$C$5226-Sens!$C$5229</f>
        <v>0</v>
      </c>
      <c r="D5233" s="41" t="n">
        <f aca="false">Sens!$D$5224+Sens!$D$5225+Sens!$D$5226-Sens!$D$5229</f>
        <v>0</v>
      </c>
      <c r="E5233" s="41" t="n">
        <f aca="false">Sens!$E$5224+Sens!$E$5225+Sens!$E$5226-Sens!$E$5229</f>
        <v>0</v>
      </c>
      <c r="F5233" s="41" t="n">
        <f aca="false">Sens!$F$5224+Sens!$F$5225+Sens!$F$5226-Sens!$F$5229</f>
        <v>0</v>
      </c>
      <c r="G5233" s="41" t="n">
        <f aca="false">Sens!$G$5224+Sens!$G$5225+Sens!$G$5226-Sens!$G$5229</f>
        <v>0</v>
      </c>
      <c r="H5233" s="41" t="n">
        <f aca="false">Sens!$H$5224+Sens!$H$5225+Sens!$H$5226-Sens!$H$5229</f>
        <v>0</v>
      </c>
      <c r="I5233" s="41" t="n">
        <f aca="false">Sens!$I$5224+Sens!$I$5225+Sens!$I$5226-Sens!$I$5229</f>
        <v>0</v>
      </c>
      <c r="J5233" s="41" t="n">
        <f aca="false">Sens!$J$5224+Sens!$J$5225+Sens!$J$5226-Sens!$J$5229</f>
        <v>0</v>
      </c>
      <c r="K5233" s="41" t="n">
        <f aca="false">Sens!$K$5224+Sens!$K$5225+Sens!$K$5226-Sens!$K$5229</f>
        <v>0</v>
      </c>
      <c r="L5233" s="41" t="n">
        <f aca="false">Sens!$L$5224+Sens!$L$5225+Sens!$L$5226-Sens!$L$5229</f>
        <v>0</v>
      </c>
      <c r="M5233" s="41" t="n">
        <f aca="false">Sens!$M$5224+Sens!$M$5225+Sens!$M$5226-Sens!$M$5229</f>
        <v>0</v>
      </c>
      <c r="N5233" s="41" t="n">
        <f aca="false">Sens!$N$5224+Sens!$N$5225+Sens!$N$5226-Sens!$N$5229</f>
        <v>0</v>
      </c>
      <c r="O5233" s="41" t="n">
        <f aca="false">Sens!$O$5224+Sens!$O$5225+Sens!$O$5226-Sens!$O$5229</f>
        <v>0</v>
      </c>
    </row>
    <row r="5234" customFormat="false" ht="17.15" hidden="false" customHeight="false" outlineLevel="0" collapsed="false">
      <c r="A5234" s="1" t="s">
        <v>713</v>
      </c>
    </row>
    <row r="5235" customFormat="false" ht="17.15" hidden="false" customHeight="false" outlineLevel="0" collapsed="false">
      <c r="A5235" s="0" t="s">
        <v>714</v>
      </c>
      <c r="B5235" s="0" t="s">
        <v>86</v>
      </c>
      <c r="C5235" s="38" t="n">
        <f aca="false">Sens!$C$5141*m_ad</f>
        <v>20.5341564414228</v>
      </c>
      <c r="D5235" s="38" t="n">
        <f aca="false">Sens!$D$5141*m_ad</f>
        <v>24.8720617299587</v>
      </c>
      <c r="E5235" s="38" t="n">
        <f aca="false">Sens!$E$5141*m_ad</f>
        <v>13.5017112462207</v>
      </c>
      <c r="F5235" s="38" t="n">
        <f aca="false">Sens!$F$5141*m_ad</f>
        <v>16.5719724165257</v>
      </c>
      <c r="G5235" s="38" t="n">
        <f aca="false">Sens!$G$5141*m_ad</f>
        <v>30.0820919220415</v>
      </c>
      <c r="H5235" s="38" t="n">
        <f aca="false">Sens!$H$5141*m_ad</f>
        <v>36.1150883276314</v>
      </c>
      <c r="I5235" s="38" t="n">
        <f aca="false">Sens!$I$5141*m_ad</f>
        <v>42.1475382231996</v>
      </c>
      <c r="J5235" s="38" t="n">
        <f aca="false">Sens!$J$5141*m_ad</f>
        <v>47.7749523864693</v>
      </c>
      <c r="K5235" s="38" t="n">
        <f aca="false">Sens!$K$5141*m_ad</f>
        <v>52.5524476251162</v>
      </c>
      <c r="L5235" s="38" t="n">
        <f aca="false">Sens!$L$5141*m_ad</f>
        <v>57.8076923876279</v>
      </c>
      <c r="M5235" s="38" t="n">
        <f aca="false">Sens!$M$5141*m_ad</f>
        <v>63.5884616263907</v>
      </c>
      <c r="N5235" s="38" t="n">
        <f aca="false">Sens!$N$5141*m_ad</f>
        <v>10.8543555706248</v>
      </c>
      <c r="O5235" s="38" t="n">
        <f aca="false">Sens!$O$5141*m_ad</f>
        <v>14.0094731821399</v>
      </c>
    </row>
    <row r="5236" customFormat="false" ht="17.15" hidden="false" customHeight="false" outlineLevel="0" collapsed="false">
      <c r="A5236" s="0" t="s">
        <v>715</v>
      </c>
      <c r="B5236" s="0" t="s">
        <v>86</v>
      </c>
      <c r="C5236" s="38" t="n">
        <f aca="false">Sens!$C$5139-Sens!$C$5141</f>
        <v>346.428687117154</v>
      </c>
      <c r="D5236" s="38" t="n">
        <f aca="false">Sens!$D$5139-Sens!$D$5141</f>
        <v>376.560876540083</v>
      </c>
      <c r="E5236" s="38" t="n">
        <f aca="false">Sens!$E$5139-Sens!$E$5141</f>
        <v>193.316577507559</v>
      </c>
      <c r="F5236" s="38" t="n">
        <f aca="false">Sens!$F$5139-Sens!$F$5141</f>
        <v>217.495828647535</v>
      </c>
      <c r="G5236" s="38" t="n">
        <f aca="false">Sens!$G$5139-Sens!$G$5141</f>
        <v>410.795589636503</v>
      </c>
      <c r="H5236" s="38" t="n">
        <f aca="false">Sens!$H$5139-Sens!$H$5141</f>
        <v>449.156813761174</v>
      </c>
      <c r="I5236" s="38" t="n">
        <f aca="false">Sens!$I$5139-Sens!$I$5141</f>
        <v>485.848786441156</v>
      </c>
      <c r="J5236" s="38" t="n">
        <f aca="false">Sens!$J$5139-Sens!$J$5141</f>
        <v>519.841531018994</v>
      </c>
      <c r="K5236" s="38" t="n">
        <f aca="false">Sens!$K$5139-Sens!$K$5141</f>
        <v>550.103332311311</v>
      </c>
      <c r="L5236" s="38" t="n">
        <f aca="false">Sens!$L$5139-Sens!$L$5141</f>
        <v>582.192354474511</v>
      </c>
      <c r="M5236" s="38" t="n">
        <f aca="false">Sens!$M$5139-Sens!$M$5141</f>
        <v>616.22240521081</v>
      </c>
      <c r="N5236" s="38" t="n">
        <f aca="false">Sens!$N$5139-Sens!$N$5141</f>
        <v>171.24628885875</v>
      </c>
      <c r="O5236" s="38" t="n">
        <f aca="false">Sens!$O$5139-Sens!$O$5141</f>
        <v>205.33105363572</v>
      </c>
    </row>
    <row r="5237" customFormat="false" ht="17.15" hidden="false" customHeight="false" outlineLevel="0" collapsed="false">
      <c r="A5237" s="0" t="s">
        <v>716</v>
      </c>
      <c r="B5237" s="0" t="s">
        <v>86</v>
      </c>
      <c r="C5237" s="38" t="n">
        <f aca="false">Sens!$C$5188*Sens!$C$5138</f>
        <v>0.123617442257179</v>
      </c>
      <c r="D5237" s="38" t="n">
        <f aca="false">Sens!$D$5188*Sens!$D$5138</f>
        <v>0.874366899302609</v>
      </c>
      <c r="E5237" s="38" t="n">
        <f aca="false">Sens!$E$5188*Sens!$E$5138</f>
        <v>1.29318830502574</v>
      </c>
      <c r="F5237" s="38" t="n">
        <f aca="false">Sens!$F$5188*Sens!$F$5138</f>
        <v>1.51802024162534</v>
      </c>
      <c r="G5237" s="38" t="n">
        <f aca="false">Sens!$G$5188*Sens!$G$5138</f>
        <v>2.81153363597665</v>
      </c>
      <c r="H5237" s="38" t="n">
        <f aca="false">Sens!$H$5188*Sens!$H$5138</f>
        <v>7.39027704264226</v>
      </c>
      <c r="I5237" s="38" t="n">
        <f aca="false">Sens!$I$5188*Sens!$I$5138</f>
        <v>12.899807643047</v>
      </c>
      <c r="J5237" s="38" t="n">
        <f aca="false">Sens!$J$5188*Sens!$J$5138</f>
        <v>18.5585322471382</v>
      </c>
      <c r="K5237" s="38" t="n">
        <f aca="false">Sens!$K$5188*Sens!$K$5138</f>
        <v>24.0966749520672</v>
      </c>
      <c r="L5237" s="38" t="n">
        <f aca="false">Sens!$L$5188*Sens!$L$5138</f>
        <v>27.686623551477</v>
      </c>
      <c r="M5237" s="38" t="n">
        <f aca="false">Sens!$M$5188*Sens!$M$5138</f>
        <v>29.7238645537022</v>
      </c>
      <c r="N5237" s="38" t="n">
        <f aca="false">Sens!$N$5188*Sens!$N$5138</f>
        <v>0.389180508437431</v>
      </c>
      <c r="O5237" s="38" t="n">
        <f aca="false">Sens!$O$5188*Sens!$O$5138</f>
        <v>0.485052120082802</v>
      </c>
    </row>
    <row r="5238" customFormat="false" ht="17.15" hidden="false" customHeight="false" outlineLevel="0" collapsed="false">
      <c r="A5238" s="0" t="s">
        <v>717</v>
      </c>
      <c r="B5238" s="0" t="s">
        <v>52</v>
      </c>
      <c r="C5238" s="28" t="n">
        <f aca="false">(Sens!$C$5239-Sens!$C$5235+Sens!$C$5237)/Sens!$C$5236</f>
        <v>0.0131526665379575</v>
      </c>
      <c r="D5238" s="28" t="n">
        <f aca="false">(Sens!$D$5239-Sens!$D$5235+Sens!$D$5237)/Sens!$D$5236</f>
        <v>0.0149280116962589</v>
      </c>
      <c r="E5238" s="28" t="n">
        <f aca="false">(Sens!$E$5239-Sens!$E$5235+Sens!$E$5237)/Sens!$E$5236</f>
        <v>0.0268030663774938</v>
      </c>
      <c r="F5238" s="28" t="n">
        <f aca="false">Sens!$O$5238+(Sens!$E$5238-Sens!$N$5238)</f>
        <v>0.0232379346966962</v>
      </c>
      <c r="G5238" s="28" t="n">
        <f aca="false">(Sens!$G$5239-Sens!$G$5235+Sens!$G$5237)/Sens!$G$5236</f>
        <v>0.0248969268652583</v>
      </c>
      <c r="H5238" s="28" t="n">
        <f aca="false">Sens!$G$5238+step_na</f>
        <v>0.0278969268652583</v>
      </c>
      <c r="I5238" s="28" t="n">
        <f aca="false">Sens!$H$5238+step_na</f>
        <v>0.0308969268652583</v>
      </c>
      <c r="J5238" s="28" t="n">
        <f aca="false">Sens!$I$5238+step_na</f>
        <v>0.0338969268652583</v>
      </c>
      <c r="K5238" s="28" t="n">
        <f aca="false">Sens!$J$5238+step_na</f>
        <v>0.0368969268652584</v>
      </c>
      <c r="L5238" s="28" t="n">
        <f aca="false">Sens!$K$5238</f>
        <v>0.0368969268652584</v>
      </c>
      <c r="M5238" s="28" t="n">
        <f aca="false">Sens!$L$5238</f>
        <v>0.0368969268652584</v>
      </c>
      <c r="N5238" s="28" t="n">
        <f aca="false">(Sens!$N$5239-Sens!$N$5235+Sens!$N$5237)/Sens!$N$5236</f>
        <v>0.0168927744775755</v>
      </c>
      <c r="O5238" s="28" t="n">
        <f aca="false">(Sens!$O$5239-Sens!$O$5235+Sens!$O$5237)/Sens!$O$5236</f>
        <v>0.0133276427967779</v>
      </c>
      <c r="P5238" s="8" t="s">
        <v>718</v>
      </c>
    </row>
    <row r="5239" customFormat="false" ht="17.15" hidden="false" customHeight="false" outlineLevel="0" collapsed="false">
      <c r="A5239" s="1" t="s">
        <v>719</v>
      </c>
      <c r="B5239" s="8" t="s">
        <v>86</v>
      </c>
      <c r="C5239" s="38" t="n">
        <f aca="false">Q!$D$22</f>
        <v>24.967</v>
      </c>
      <c r="D5239" s="38" t="n">
        <f aca="false">Q!$E$22</f>
        <v>29.619</v>
      </c>
      <c r="E5239" s="38" t="n">
        <f aca="false">Q!$P$22</f>
        <v>17.39</v>
      </c>
      <c r="F5239" s="38" t="n">
        <f aca="false">Sens!$F$5235+Sens!$F$5236*Sens!$F$5238-Sens!$F$5237</f>
        <v>20.1081060378156</v>
      </c>
      <c r="G5239" s="38" t="n">
        <f aca="false">Sens!$E$5239+Sens!$F$5239</f>
        <v>37.4981060378156</v>
      </c>
      <c r="H5239" s="38" t="n">
        <f aca="false">Sens!$H$5235+Sens!$H$5236*Sens!$H$5238-Sens!$H$5237</f>
        <v>41.2549060695171</v>
      </c>
      <c r="I5239" s="38" t="n">
        <f aca="false">Sens!$I$5235+Sens!$I$5236*Sens!$I$5238-Sens!$I$5237</f>
        <v>44.2589650023995</v>
      </c>
      <c r="J5239" s="38" t="n">
        <f aca="false">Sens!$J$5235+Sens!$J$5236*Sens!$J$5238-Sens!$J$5237</f>
        <v>46.8374504978059</v>
      </c>
      <c r="K5239" s="38" t="n">
        <f aca="false">Sens!$K$5235+Sens!$K$5236*Sens!$K$5238-Sens!$K$5237</f>
        <v>48.7528950936744</v>
      </c>
      <c r="L5239" s="38" t="n">
        <f aca="false">Sens!$L$5235+Sens!$L$5236*Sens!$L$5238-Sens!$L$5237</f>
        <v>51.6021775607095</v>
      </c>
      <c r="M5239" s="38" t="n">
        <f aca="false">Sens!$M$5235+Sens!$M$5236*Sens!$M$5238-Sens!$M$5237</f>
        <v>56.6013100904853</v>
      </c>
      <c r="N5239" s="38" t="n">
        <f aca="false">Q!$N$22</f>
        <v>13.358</v>
      </c>
      <c r="O5239" s="38" t="n">
        <f aca="false">Q!$O$22</f>
        <v>16.261</v>
      </c>
    </row>
    <row r="5240" customFormat="false" ht="17.15" hidden="false" customHeight="false" outlineLevel="0" collapsed="false">
      <c r="A5240" s="0" t="s">
        <v>720</v>
      </c>
      <c r="B5240" s="0" t="s">
        <v>86</v>
      </c>
      <c r="C5240" s="38" t="n">
        <f aca="false">Sens!$C$5142*m_ad</f>
        <v>7.57284355857716</v>
      </c>
      <c r="D5240" s="38" t="n">
        <f aca="false">Sens!$D$5142*m_ad</f>
        <v>9.44543827004127</v>
      </c>
      <c r="E5240" s="38" t="n">
        <f aca="false">Sens!$E$5142*m_ad</f>
        <v>5.02428875377928</v>
      </c>
      <c r="F5240" s="38" t="n">
        <f aca="false">Sens!$F$5142*m_ad</f>
        <v>6.50663858068173</v>
      </c>
      <c r="G5240" s="38" t="n">
        <f aca="false">Sens!$G$5142*m_ad</f>
        <v>11.5225190751659</v>
      </c>
      <c r="H5240" s="38" t="n">
        <f aca="false">Sens!$H$5142*m_ad</f>
        <v>13.8333728663174</v>
      </c>
      <c r="I5240" s="38" t="n">
        <f aca="false">Sens!$I$5142*m_ad</f>
        <v>16.1440173245485</v>
      </c>
      <c r="J5240" s="38" t="n">
        <f aca="false">Sens!$J$5142*m_ad</f>
        <v>18.2995185845066</v>
      </c>
      <c r="K5240" s="38" t="n">
        <f aca="false">Sens!$K$5142*m_ad</f>
        <v>20.1294704429572</v>
      </c>
      <c r="L5240" s="38" t="n">
        <f aca="false">Sens!$L$5142*m_ad</f>
        <v>22.142417487253</v>
      </c>
      <c r="M5240" s="38" t="n">
        <f aca="false">Sens!$M$5142*m_ad</f>
        <v>24.3566592359783</v>
      </c>
      <c r="N5240" s="38" t="n">
        <f aca="false">Sens!$N$5142*m_ad</f>
        <v>3.95314442937518</v>
      </c>
      <c r="O5240" s="38" t="n">
        <f aca="false">Sens!$O$5142*m_ad</f>
        <v>5.50052681786011</v>
      </c>
    </row>
    <row r="5241" customFormat="false" ht="17.15" hidden="false" customHeight="false" outlineLevel="0" collapsed="false">
      <c r="A5241" s="0" t="s">
        <v>721</v>
      </c>
      <c r="B5241" s="0" t="s">
        <v>86</v>
      </c>
      <c r="C5241" s="38" t="n">
        <f aca="false">Sens!$C$5140-Sens!$C$5142</f>
        <v>127.760312882846</v>
      </c>
      <c r="D5241" s="38" t="n">
        <f aca="false">Sens!$D$5140-Sens!$D$5142</f>
        <v>143.003123459917</v>
      </c>
      <c r="E5241" s="38" t="n">
        <f aca="false">Sens!$E$5140-Sens!$E$5142</f>
        <v>71.9374224924414</v>
      </c>
      <c r="F5241" s="38" t="n">
        <f aca="false">Sens!$F$5140-Sens!$F$5142</f>
        <v>85.3951910035875</v>
      </c>
      <c r="G5241" s="38" t="n">
        <f aca="false">Sens!$G$5140-Sens!$G$5142</f>
        <v>157.349430014619</v>
      </c>
      <c r="H5241" s="38" t="n">
        <f aca="false">Sens!$H$5140-Sens!$H$5142</f>
        <v>172.043153372315</v>
      </c>
      <c r="I5241" s="38" t="n">
        <f aca="false">Sens!$I$5140-Sens!$I$5142</f>
        <v>186.097493615879</v>
      </c>
      <c r="J5241" s="38" t="n">
        <f aca="false">Sens!$J$5140-Sens!$J$5142</f>
        <v>199.117932780497</v>
      </c>
      <c r="K5241" s="38" t="n">
        <f aca="false">Sens!$K$5140-Sens!$K$5142</f>
        <v>210.70928698363</v>
      </c>
      <c r="L5241" s="38" t="n">
        <f aca="false">Sens!$L$5140-Sens!$L$5142</f>
        <v>223.000532251316</v>
      </c>
      <c r="M5241" s="38" t="n">
        <f aca="false">Sens!$M$5140-Sens!$M$5142</f>
        <v>236.035261011339</v>
      </c>
      <c r="N5241" s="38" t="n">
        <f aca="false">Sens!$N$5140-Sens!$N$5142</f>
        <v>62.3677111412496</v>
      </c>
      <c r="O5241" s="38" t="n">
        <f aca="false">Sens!$O$5140-Sens!$O$5142</f>
        <v>80.6189463642798</v>
      </c>
    </row>
    <row r="5242" customFormat="false" ht="17.15" hidden="false" customHeight="false" outlineLevel="0" collapsed="false">
      <c r="A5242" s="0" t="s">
        <v>722</v>
      </c>
      <c r="B5242" s="0" t="s">
        <v>86</v>
      </c>
      <c r="C5242" s="38" t="n">
        <f aca="false">Sens!$C$5188*(1-Sens!$C$5138)</f>
        <v>0.0455891896019953</v>
      </c>
      <c r="D5242" s="38" t="n">
        <f aca="false">Sens!$D$5188*(1-Sens!$D$5138)</f>
        <v>0.332050421167231</v>
      </c>
      <c r="E5242" s="38" t="n">
        <f aca="false">Sens!$E$5188*(1-Sens!$E$5138)</f>
        <v>0.481224293644882</v>
      </c>
      <c r="F5242" s="38" t="n">
        <f aca="false">Sens!$F$5188*(1-Sens!$F$5138)</f>
        <v>0.596018918096053</v>
      </c>
      <c r="G5242" s="38" t="n">
        <f aca="false">Sens!$G$5188*(1-Sens!$G$5138)</f>
        <v>1.07691812241537</v>
      </c>
      <c r="H5242" s="38" t="n">
        <f aca="false">Sens!$H$5188*(1-Sens!$H$5138)</f>
        <v>2.83074090775622</v>
      </c>
      <c r="I5242" s="38" t="n">
        <f aca="false">Sens!$I$5188*(1-Sens!$I$5138)</f>
        <v>4.94108853926048</v>
      </c>
      <c r="J5242" s="38" t="n">
        <f aca="false">Sens!$J$5188*(1-Sens!$J$5138)</f>
        <v>7.10858281993502</v>
      </c>
      <c r="K5242" s="38" t="n">
        <f aca="false">Sens!$K$5188*(1-Sens!$K$5138)</f>
        <v>9.2298899126701</v>
      </c>
      <c r="L5242" s="38" t="n">
        <f aca="false">Sens!$L$5188*(1-Sens!$L$5138)</f>
        <v>10.6049688574045</v>
      </c>
      <c r="M5242" s="38" t="n">
        <f aca="false">Sens!$M$5188*(1-Sens!$M$5138)</f>
        <v>11.3853051574758</v>
      </c>
      <c r="N5242" s="38" t="n">
        <f aca="false">Sens!$N$5188*(1-Sens!$N$5138)</f>
        <v>0.141739115596548</v>
      </c>
      <c r="O5242" s="38" t="n">
        <f aca="false">Sens!$O$5188*(1-Sens!$O$5138)</f>
        <v>0.190445576353059</v>
      </c>
    </row>
    <row r="5243" customFormat="false" ht="17.15" hidden="false" customHeight="false" outlineLevel="0" collapsed="false">
      <c r="A5243" s="0" t="s">
        <v>723</v>
      </c>
      <c r="B5243" s="0" t="s">
        <v>52</v>
      </c>
      <c r="C5243" s="28" t="n">
        <f aca="false">(Sens!$C$5244-Sens!$C$5240+Sens!$C$5242)/Sens!$C$5241</f>
        <v>-0.0292364215826579</v>
      </c>
      <c r="D5243" s="28" t="n">
        <f aca="false">(Sens!$D$5244-Sens!$D$5240+Sens!$D$5242)/Sens!$D$5241</f>
        <v>-0.0305125352740778</v>
      </c>
      <c r="E5243" s="28" t="n">
        <f aca="false">(Sens!$E$5244-Sens!$E$5240+Sens!$E$5242)/Sens!$E$5241</f>
        <v>-0.019490056934994</v>
      </c>
      <c r="F5243" s="28" t="n">
        <f aca="false">Sens!$O$5243+(Sens!$E$5243-Sens!$N$5243)</f>
        <v>-0.0367332293992226</v>
      </c>
      <c r="G5243" s="28" t="n">
        <f aca="false">(Sens!$G$5244-Sens!$G$5240+Sens!$G$5242)/Sens!$G$5241</f>
        <v>-0.0287946542321067</v>
      </c>
      <c r="H5243" s="28" t="n">
        <f aca="false">Sens!$G$5243+step_in</f>
        <v>-0.0287946542321067</v>
      </c>
      <c r="I5243" s="28" t="n">
        <f aca="false">Sens!$H$5243+step_in</f>
        <v>-0.0287946542321067</v>
      </c>
      <c r="J5243" s="28" t="n">
        <f aca="false">Sens!$I$5243+step_in</f>
        <v>-0.0287946542321067</v>
      </c>
      <c r="K5243" s="28" t="n">
        <f aca="false">Sens!$J$5243+step_in</f>
        <v>-0.0287946542321067</v>
      </c>
      <c r="L5243" s="28" t="n">
        <f aca="false">Sens!$K$5243</f>
        <v>-0.0287946542321067</v>
      </c>
      <c r="M5243" s="28" t="n">
        <f aca="false">Sens!$L$5243</f>
        <v>-0.0287946542321067</v>
      </c>
      <c r="N5243" s="28" t="n">
        <f aca="false">(Sens!$N$5244-Sens!$N$5240+Sens!$N$5242)/Sens!$N$5241</f>
        <v>-0.02085061789158</v>
      </c>
      <c r="O5243" s="28" t="n">
        <f aca="false">(Sens!$O$5244-Sens!$O$5240+Sens!$O$5242)/Sens!$O$5241</f>
        <v>-0.0380937903558086</v>
      </c>
      <c r="P5243" s="8" t="s">
        <v>718</v>
      </c>
    </row>
    <row r="5244" customFormat="false" ht="17.15" hidden="false" customHeight="false" outlineLevel="0" collapsed="false">
      <c r="A5244" s="1" t="s">
        <v>724</v>
      </c>
      <c r="B5244" s="8" t="s">
        <v>86</v>
      </c>
      <c r="C5244" s="38" t="n">
        <f aca="false">Q!$D$23</f>
        <v>3.792</v>
      </c>
      <c r="D5244" s="38" t="n">
        <f aca="false">Q!$E$23</f>
        <v>4.75</v>
      </c>
      <c r="E5244" s="38" t="n">
        <f aca="false">Q!$P$23</f>
        <v>3.141</v>
      </c>
      <c r="F5244" s="38" t="n">
        <f aca="false">Sens!$F$5240+Sens!$F$5241*Sens!$F$5243-Sens!$F$5242</f>
        <v>2.77377852186047</v>
      </c>
      <c r="G5244" s="38" t="n">
        <f aca="false">Sens!$E$5244+Sens!$F$5244</f>
        <v>5.91477852186047</v>
      </c>
      <c r="H5244" s="38" t="n">
        <f aca="false">Sens!$H$5240+Sens!$H$5241*Sens!$H$5243-Sens!$H$5242</f>
        <v>6.04870884420403</v>
      </c>
      <c r="I5244" s="38" t="n">
        <f aca="false">Sens!$I$5240+Sens!$I$5241*Sens!$I$5243-Sens!$I$5242</f>
        <v>5.84431580315713</v>
      </c>
      <c r="J5244" s="38" t="n">
        <f aca="false">Sens!$J$5240+Sens!$J$5241*Sens!$J$5243-Sens!$J$5242</f>
        <v>5.45740373874528</v>
      </c>
      <c r="K5244" s="38" t="n">
        <f aca="false">Sens!$K$5240+Sens!$K$5241*Sens!$K$5243-Sens!$K$5242</f>
        <v>4.83227946809976</v>
      </c>
      <c r="L5244" s="38" t="n">
        <f aca="false">Sens!$L$5240+Sens!$L$5241*Sens!$L$5243-Sens!$L$5242</f>
        <v>5.11622541009601</v>
      </c>
      <c r="M5244" s="38" t="n">
        <f aca="false">Sens!$M$5240+Sens!$M$5241*Sens!$M$5243-Sens!$M$5242</f>
        <v>6.17480035109588</v>
      </c>
      <c r="N5244" s="38" t="n">
        <f aca="false">Q!$N$23</f>
        <v>2.511</v>
      </c>
      <c r="O5244" s="38" t="n">
        <f aca="false">Q!$O$23</f>
        <v>2.239</v>
      </c>
    </row>
    <row r="5245" customFormat="false" ht="17.15" hidden="false" customHeight="false" outlineLevel="0" collapsed="false">
      <c r="A5245" s="0" t="s">
        <v>725</v>
      </c>
      <c r="B5245" s="0" t="s">
        <v>86</v>
      </c>
      <c r="C5245" s="38" t="n">
        <f aca="false">Sens!$C$5185</f>
        <v>1.64417882953695</v>
      </c>
      <c r="D5245" s="38" t="n">
        <f aca="false">Sens!$D$5185</f>
        <v>3.8781008067718</v>
      </c>
      <c r="E5245" s="38" t="n">
        <f aca="false">Sens!$E$5185</f>
        <v>1.41270258088753</v>
      </c>
      <c r="F5245" s="38" t="n">
        <f aca="false">Sens!$F$5185</f>
        <v>6.50727700583486</v>
      </c>
      <c r="G5245" s="38" t="n">
        <f aca="false">Sens!$G$5185</f>
        <v>7.9199795867224</v>
      </c>
      <c r="H5245" s="38" t="n">
        <f aca="false">Sens!$H$5185</f>
        <v>19.2818189481807</v>
      </c>
      <c r="I5245" s="38" t="n">
        <f aca="false">Sens!$I$5185</f>
        <v>30.140114407202</v>
      </c>
      <c r="J5245" s="38" t="n">
        <f aca="false">Sens!$J$5185</f>
        <v>40.3569468829854</v>
      </c>
      <c r="K5245" s="38" t="n">
        <f aca="false">Sens!$K$5185</f>
        <v>45.1418609242305</v>
      </c>
      <c r="L5245" s="38" t="n">
        <f aca="false">Sens!$L$5185</f>
        <v>48.5617321668703</v>
      </c>
      <c r="M5245" s="38" t="n">
        <f aca="false">Sens!$M$5185</f>
        <v>48.3987625241529</v>
      </c>
      <c r="N5245" s="38" t="n">
        <f aca="false">Sens!$N$5185</f>
        <v>0.92264103489199</v>
      </c>
      <c r="O5245" s="38" t="n">
        <f aca="false">Sens!$O$5185</f>
        <v>2.95545977187981</v>
      </c>
    </row>
    <row r="5246" customFormat="false" ht="17.15" hidden="false" customHeight="false" outlineLevel="0" collapsed="false">
      <c r="A5246" s="0" t="s">
        <v>643</v>
      </c>
      <c r="B5246" s="0" t="s">
        <v>86</v>
      </c>
      <c r="C5246" s="38" t="n">
        <f aca="false">Sens!$C$5190</f>
        <v>38.1898211704631</v>
      </c>
      <c r="D5246" s="38" t="n">
        <f aca="false">Sens!$D$5190</f>
        <v>41.7278991932282</v>
      </c>
      <c r="E5246" s="38" t="n">
        <f aca="false">Sens!$E$5190</f>
        <v>29.3692974191125</v>
      </c>
      <c r="F5246" s="38" t="n">
        <f aca="false">Sens!$F$5190</f>
        <v>26.8997276714137</v>
      </c>
      <c r="G5246" s="38" t="n">
        <f aca="false">Sens!$G$5190</f>
        <v>56.2690250905262</v>
      </c>
      <c r="H5246" s="38" t="n">
        <f aca="false">Sens!$H$5190</f>
        <v>60.3505333937343</v>
      </c>
      <c r="I5246" s="38" t="n">
        <f aca="false">Sens!$I$5190</f>
        <v>67.0043857303571</v>
      </c>
      <c r="J5246" s="38" t="n">
        <f aca="false">Sens!$J$5190</f>
        <v>73.3782922956925</v>
      </c>
      <c r="K5246" s="38" t="n">
        <f aca="false">Sens!$K$5190</f>
        <v>79.2485556793479</v>
      </c>
      <c r="L5246" s="38" t="n">
        <f aca="false">Sens!$L$5190</f>
        <v>85.5884401336958</v>
      </c>
      <c r="M5246" s="38" t="n">
        <f aca="false">Sens!$M$5190</f>
        <v>92.4355153443914</v>
      </c>
      <c r="N5246" s="38" t="n">
        <f aca="false">Sens!$N$5190</f>
        <v>20.784358965108</v>
      </c>
      <c r="O5246" s="38" t="n">
        <f aca="false">Sens!$O$5190</f>
        <v>20.9435402281202</v>
      </c>
    </row>
    <row r="5247" customFormat="false" ht="17.15" hidden="false" customHeight="false" outlineLevel="0" collapsed="false">
      <c r="A5247" s="1" t="s">
        <v>726</v>
      </c>
      <c r="B5247" s="8" t="s">
        <v>86</v>
      </c>
      <c r="C5247" s="38" t="n">
        <f aca="false">Q!$D$24</f>
        <v>39.834</v>
      </c>
      <c r="D5247" s="38" t="n">
        <f aca="false">Q!$E$24</f>
        <v>45.606</v>
      </c>
      <c r="E5247" s="38" t="n">
        <f aca="false">Q!$P$24</f>
        <v>30.782</v>
      </c>
      <c r="F5247" s="38" t="n">
        <f aca="false">Sens!$F$5245+Sens!$F$5246</f>
        <v>33.4070046772486</v>
      </c>
      <c r="G5247" s="38" t="n">
        <f aca="false">Sens!$G$5245+Sens!$G$5246</f>
        <v>64.1890046772486</v>
      </c>
      <c r="H5247" s="38" t="n">
        <f aca="false">Sens!$H$5245+Sens!$H$5246</f>
        <v>79.6323523419149</v>
      </c>
      <c r="I5247" s="38" t="n">
        <f aca="false">Sens!$I$5245+Sens!$I$5246</f>
        <v>97.1445001375591</v>
      </c>
      <c r="J5247" s="38" t="n">
        <f aca="false">Sens!$J$5245+Sens!$J$5246</f>
        <v>113.735239178678</v>
      </c>
      <c r="K5247" s="38" t="n">
        <f aca="false">Sens!$K$5245+Sens!$K$5246</f>
        <v>124.390416603578</v>
      </c>
      <c r="L5247" s="38" t="n">
        <f aca="false">Sens!$L$5245+Sens!$L$5246</f>
        <v>134.150172300566</v>
      </c>
      <c r="M5247" s="38" t="n">
        <f aca="false">Sens!$M$5245+Sens!$M$5246</f>
        <v>140.834277868544</v>
      </c>
      <c r="N5247" s="38" t="n">
        <f aca="false">Q!$N$24</f>
        <v>21.707</v>
      </c>
      <c r="O5247" s="38" t="n">
        <f aca="false">Q!$O$24</f>
        <v>23.899</v>
      </c>
    </row>
    <row r="5248" customFormat="false" ht="17.15" hidden="false" customHeight="false" outlineLevel="0" collapsed="false">
      <c r="A5248" s="5" t="s">
        <v>727</v>
      </c>
      <c r="B5248" s="0" t="s">
        <v>86</v>
      </c>
      <c r="C5248" s="38" t="n">
        <f aca="false">Q!$D$26</f>
        <v>0</v>
      </c>
      <c r="D5248" s="38" t="n">
        <f aca="false">Q!$E$26</f>
        <v>0</v>
      </c>
      <c r="E5248" s="38" t="n">
        <f aca="false">Q!$P$26</f>
        <v>0</v>
      </c>
      <c r="F5248" s="39" t="n">
        <v>0</v>
      </c>
      <c r="G5248" s="38" t="n">
        <f aca="false">Sens!$E$5248+Sens!$F$5248</f>
        <v>0</v>
      </c>
      <c r="H5248" s="39" t="n">
        <v>0</v>
      </c>
      <c r="I5248" s="39" t="n">
        <v>0</v>
      </c>
      <c r="J5248" s="39" t="n">
        <v>0</v>
      </c>
      <c r="K5248" s="39" t="n">
        <v>0</v>
      </c>
      <c r="L5248" s="39" t="n">
        <v>0</v>
      </c>
      <c r="M5248" s="39" t="n">
        <v>0</v>
      </c>
      <c r="N5248" s="38" t="n">
        <f aca="false">Q!$N$26</f>
        <v>0</v>
      </c>
      <c r="O5248" s="38" t="n">
        <f aca="false">Q!$O$26</f>
        <v>0</v>
      </c>
    </row>
    <row r="5249" customFormat="false" ht="15" hidden="false" customHeight="false" outlineLevel="0" collapsed="false">
      <c r="A5249" s="3" t="s">
        <v>531</v>
      </c>
      <c r="B5249" s="8" t="s">
        <v>86</v>
      </c>
      <c r="C5249" s="38" t="n">
        <f aca="false">Q!$D$25</f>
        <v>68.593</v>
      </c>
      <c r="D5249" s="38" t="n">
        <f aca="false">Q!$E$25</f>
        <v>79.975</v>
      </c>
      <c r="E5249" s="38" t="n">
        <f aca="false">Q!$P$25</f>
        <v>51.313</v>
      </c>
      <c r="F5249" s="38" t="n">
        <f aca="false">Sens!$F$5239+Sens!$F$5244+Sens!$F$5247+Sens!$F$5248</f>
        <v>56.2888892369246</v>
      </c>
      <c r="G5249" s="38" t="n">
        <f aca="false">Sens!$G$5239+Sens!$G$5244+Sens!$G$5247+Sens!$G$5248</f>
        <v>107.601889236925</v>
      </c>
      <c r="H5249" s="38" t="n">
        <f aca="false">Sens!$H$5239+Sens!$H$5244+Sens!$H$5247+Sens!$H$5248</f>
        <v>126.935967255636</v>
      </c>
      <c r="I5249" s="38" t="n">
        <f aca="false">Sens!$I$5239+Sens!$I$5244+Sens!$I$5247+Sens!$I$5248</f>
        <v>147.247780943116</v>
      </c>
      <c r="J5249" s="38" t="n">
        <f aca="false">Sens!$J$5239+Sens!$J$5244+Sens!$J$5247+Sens!$J$5248</f>
        <v>166.030093415229</v>
      </c>
      <c r="K5249" s="38" t="n">
        <f aca="false">Sens!$K$5239+Sens!$K$5244+Sens!$K$5247+Sens!$K$5248</f>
        <v>177.975591165353</v>
      </c>
      <c r="L5249" s="38" t="n">
        <f aca="false">Sens!$L$5239+Sens!$L$5244+Sens!$L$5247+Sens!$L$5248</f>
        <v>190.868575271371</v>
      </c>
      <c r="M5249" s="38" t="n">
        <f aca="false">Sens!$M$5239+Sens!$M$5244+Sens!$M$5247+Sens!$M$5248</f>
        <v>203.610388310126</v>
      </c>
      <c r="N5249" s="38" t="n">
        <f aca="false">Q!$N$25</f>
        <v>37.576</v>
      </c>
      <c r="O5249" s="38" t="n">
        <f aca="false">Q!$O$25</f>
        <v>42.399</v>
      </c>
    </row>
    <row r="5250" customFormat="false" ht="17.15" hidden="false" customHeight="false" outlineLevel="0" collapsed="false">
      <c r="A5250" s="24" t="s">
        <v>758</v>
      </c>
      <c r="B5250" s="25" t="s">
        <v>86</v>
      </c>
      <c r="C5250" s="41" t="n">
        <f aca="false">Sens!$C$5239+Sens!$C$5244+Sens!$C$5247+Sens!$C$5248-Sens!$C$5249</f>
        <v>0</v>
      </c>
      <c r="D5250" s="41" t="n">
        <f aca="false">Sens!$D$5239+Sens!$D$5244+Sens!$D$5247+Sens!$D$5248-Sens!$D$5249</f>
        <v>0</v>
      </c>
      <c r="E5250" s="41" t="n">
        <f aca="false">Sens!$E$5239+Sens!$E$5244+Sens!$E$5247+Sens!$E$5248-Sens!$E$5249</f>
        <v>0</v>
      </c>
      <c r="F5250" s="41" t="n">
        <f aca="false">Sens!$F$5239+Sens!$F$5244+Sens!$F$5247+Sens!$F$5248-Sens!$F$5249</f>
        <v>0</v>
      </c>
      <c r="G5250" s="41" t="n">
        <f aca="false">Sens!$G$5239+Sens!$G$5244+Sens!$G$5247+Sens!$G$5248-Sens!$G$5249</f>
        <v>0</v>
      </c>
      <c r="H5250" s="41" t="n">
        <f aca="false">Sens!$H$5239+Sens!$H$5244+Sens!$H$5247+Sens!$H$5248-Sens!$H$5249</f>
        <v>0</v>
      </c>
      <c r="I5250" s="41" t="n">
        <f aca="false">Sens!$I$5239+Sens!$I$5244+Sens!$I$5247+Sens!$I$5248-Sens!$I$5249</f>
        <v>0</v>
      </c>
      <c r="J5250" s="41" t="n">
        <f aca="false">Sens!$J$5239+Sens!$J$5244+Sens!$J$5247+Sens!$J$5248-Sens!$J$5249</f>
        <v>0</v>
      </c>
      <c r="K5250" s="41" t="n">
        <f aca="false">Sens!$K$5239+Sens!$K$5244+Sens!$K$5247+Sens!$K$5248-Sens!$K$5249</f>
        <v>0</v>
      </c>
      <c r="L5250" s="41" t="n">
        <f aca="false">Sens!$L$5239+Sens!$L$5244+Sens!$L$5247+Sens!$L$5248-Sens!$L$5249</f>
        <v>0</v>
      </c>
      <c r="M5250" s="41" t="n">
        <f aca="false">Sens!$M$5239+Sens!$M$5244+Sens!$M$5247+Sens!$M$5248-Sens!$M$5249</f>
        <v>0</v>
      </c>
      <c r="N5250" s="41" t="n">
        <f aca="false">Sens!$N$5239+Sens!$N$5244+Sens!$N$5247+Sens!$N$5248-Sens!$N$5249</f>
        <v>0</v>
      </c>
      <c r="O5250" s="41" t="n">
        <f aca="false">Sens!$O$5239+Sens!$O$5244+Sens!$O$5247+Sens!$O$5248-Sens!$O$5249</f>
        <v>0</v>
      </c>
    </row>
    <row r="5251" customFormat="false" ht="17.15" hidden="false" customHeight="false" outlineLevel="0" collapsed="false">
      <c r="A5251" s="5" t="s">
        <v>729</v>
      </c>
      <c r="B5251" s="0" t="s">
        <v>86</v>
      </c>
      <c r="C5251" s="38" t="n">
        <f aca="false">Sens!$C$5187</f>
        <v>0</v>
      </c>
      <c r="D5251" s="38" t="n">
        <f aca="false">Sens!$D$5187</f>
        <v>0</v>
      </c>
      <c r="E5251" s="38" t="n">
        <f aca="false">Sens!$E$5187</f>
        <v>0</v>
      </c>
      <c r="F5251" s="38" t="n">
        <f aca="false">Sens!$F$5187</f>
        <v>3.77122048175818</v>
      </c>
      <c r="G5251" s="38" t="n">
        <f aca="false">Sens!$G$5187</f>
        <v>3.77122048175818</v>
      </c>
      <c r="H5251" s="38" t="n">
        <f aca="false">Sens!$H$5187</f>
        <v>15.1635543609893</v>
      </c>
      <c r="I5251" s="38" t="n">
        <f aca="false">Sens!$I$5187</f>
        <v>25.5818843619889</v>
      </c>
      <c r="J5251" s="38" t="n">
        <f aca="false">Sens!$J$5187</f>
        <v>36.0465624179122</v>
      </c>
      <c r="K5251" s="38" t="n">
        <f aca="false">Sens!$K$5187</f>
        <v>44.9741164026038</v>
      </c>
      <c r="L5251" s="38" t="n">
        <f aca="false">Sens!$L$5187</f>
        <v>50.8413488057813</v>
      </c>
      <c r="M5251" s="38" t="n">
        <f aca="false">Sens!$M$5187</f>
        <v>53.6407214274315</v>
      </c>
      <c r="N5251" s="38" t="n">
        <f aca="false">Sens!$N$5187</f>
        <v>0</v>
      </c>
      <c r="O5251" s="38" t="n">
        <f aca="false">Sens!$O$5187</f>
        <v>0</v>
      </c>
      <c r="P5251" s="5" t="s">
        <v>730</v>
      </c>
    </row>
    <row r="5252" customFormat="false" ht="17.15" hidden="false" customHeight="false" outlineLevel="0" collapsed="false">
      <c r="A5252" s="5" t="s">
        <v>731</v>
      </c>
      <c r="B5252" s="0" t="s">
        <v>86</v>
      </c>
      <c r="C5252" s="38" t="n">
        <f aca="false">Sens!$C$5249+Sens!$C$5251</f>
        <v>68.593</v>
      </c>
      <c r="D5252" s="38" t="n">
        <f aca="false">Sens!$D$5249+Sens!$D$5251</f>
        <v>79.975</v>
      </c>
      <c r="E5252" s="38" t="n">
        <f aca="false">Sens!$E$5249+Sens!$E$5251</f>
        <v>51.313</v>
      </c>
      <c r="F5252" s="38" t="n">
        <f aca="false">Sens!$F$5249+Sens!$F$5251</f>
        <v>60.0601097186828</v>
      </c>
      <c r="G5252" s="38" t="n">
        <f aca="false">Sens!$G$5249+Sens!$G$5251</f>
        <v>111.373109718683</v>
      </c>
      <c r="H5252" s="38" t="n">
        <f aca="false">Sens!$H$5249+Sens!$H$5251</f>
        <v>142.099521616625</v>
      </c>
      <c r="I5252" s="38" t="n">
        <f aca="false">Sens!$I$5249+Sens!$I$5251</f>
        <v>172.829665305105</v>
      </c>
      <c r="J5252" s="38" t="n">
        <f aca="false">Sens!$J$5249+Sens!$J$5251</f>
        <v>202.076655833141</v>
      </c>
      <c r="K5252" s="38" t="n">
        <f aca="false">Sens!$K$5249+Sens!$K$5251</f>
        <v>222.949707567956</v>
      </c>
      <c r="L5252" s="38" t="n">
        <f aca="false">Sens!$L$5249+Sens!$L$5251</f>
        <v>241.709924077153</v>
      </c>
      <c r="M5252" s="38" t="n">
        <f aca="false">Sens!$M$5249+Sens!$M$5251</f>
        <v>257.251109737557</v>
      </c>
      <c r="N5252" s="38" t="n">
        <f aca="false">Sens!$N$5249+Sens!$N$5251</f>
        <v>37.576</v>
      </c>
      <c r="O5252" s="38" t="n">
        <f aca="false">Sens!$O$5249+Sens!$O$5251</f>
        <v>42.399</v>
      </c>
    </row>
    <row r="5253" customFormat="false" ht="17.15" hidden="false" customHeight="false" outlineLevel="0" collapsed="false">
      <c r="A5253" s="0" t="s">
        <v>732</v>
      </c>
      <c r="B5253" s="0" t="s">
        <v>52</v>
      </c>
      <c r="C5253" s="13" t="n">
        <f aca="false">Sens!$C$5239/Sens!$C$5224</f>
        <v>0.0644314665661928</v>
      </c>
      <c r="D5253" s="13" t="n">
        <f aca="false">Sens!$D$5239/Sens!$D$5224</f>
        <v>0.0694784250712518</v>
      </c>
      <c r="E5253" s="13" t="n">
        <f aca="false">Sens!$E$5239/Sens!$E$5224</f>
        <v>0.0789306463326071</v>
      </c>
      <c r="F5253" s="13" t="n">
        <f aca="false">Sens!$F$5239/Sens!$F$5224</f>
        <v>0.0802271154277638</v>
      </c>
      <c r="G5253" s="13" t="n">
        <f aca="false">Sens!$G$5239/Sens!$G$5224</f>
        <v>0.0796206133714758</v>
      </c>
      <c r="H5253" s="13" t="n">
        <f aca="false">Sens!$H$5239/Sens!$H$5224</f>
        <v>0.0791253077422711</v>
      </c>
      <c r="I5253" s="13" t="n">
        <f aca="false">Sens!$I$5239/Sens!$I$5224</f>
        <v>0.0776277144828766</v>
      </c>
      <c r="J5253" s="13" t="n">
        <f aca="false">Sens!$J$5239/Sens!$J$5224</f>
        <v>0.0761100135193333</v>
      </c>
      <c r="K5253" s="13" t="n">
        <f aca="false">Sens!$K$5239/Sens!$K$5224</f>
        <v>0.074408246177121</v>
      </c>
      <c r="L5253" s="13" t="n">
        <f aca="false">Sens!$L$5239/Sens!$L$5224</f>
        <v>0.0739489900415671</v>
      </c>
      <c r="M5253" s="13" t="n">
        <f aca="false">Sens!$M$5239/Sens!$M$5224</f>
        <v>0.076138500430805</v>
      </c>
      <c r="N5253" s="13" t="n">
        <f aca="false">Sens!$N$5239/Sens!$N$5224</f>
        <v>0.069228576611127</v>
      </c>
      <c r="O5253" s="13" t="n">
        <f aca="false">Sens!$O$5239/Sens!$O$5224</f>
        <v>0.069685022498393</v>
      </c>
    </row>
    <row r="5254" customFormat="false" ht="17.15" hidden="false" customHeight="false" outlineLevel="0" collapsed="false">
      <c r="A5254" s="0" t="s">
        <v>733</v>
      </c>
      <c r="B5254" s="0" t="s">
        <v>52</v>
      </c>
      <c r="C5254" s="13" t="n">
        <f aca="false">Sens!$C$5244/Sens!$C$5225</f>
        <v>0.026534925055631</v>
      </c>
      <c r="D5254" s="13" t="n">
        <f aca="false">Sens!$D$5244/Sens!$D$5225</f>
        <v>0.0293401855535103</v>
      </c>
      <c r="E5254" s="13" t="n">
        <f aca="false">Sens!$E$5244/Sens!$E$5225</f>
        <v>0.03831141902276</v>
      </c>
      <c r="F5254" s="13" t="n">
        <f aca="false">Sens!$F$5244/Sens!$F$5225</f>
        <v>0.028186380436398</v>
      </c>
      <c r="G5254" s="13" t="n">
        <f aca="false">Sens!$G$5244/Sens!$G$5225</f>
        <v>0.0327880260521739</v>
      </c>
      <c r="H5254" s="13" t="n">
        <f aca="false">Sens!$H$5244/Sens!$H$5225</f>
        <v>0.0302874763409969</v>
      </c>
      <c r="I5254" s="13" t="n">
        <f aca="false">Sens!$I$5244/Sens!$I$5225</f>
        <v>0.0267614610253202</v>
      </c>
      <c r="J5254" s="13" t="n">
        <f aca="false">Sens!$J$5244/Sens!$J$5225</f>
        <v>0.0231523582706593</v>
      </c>
      <c r="K5254" s="13" t="n">
        <f aca="false">Sens!$K$5244/Sens!$K$5225</f>
        <v>0.0192545467174101</v>
      </c>
      <c r="L5254" s="13" t="n">
        <f aca="false">Sens!$L$5244/Sens!$L$5225</f>
        <v>0.0191414347264789</v>
      </c>
      <c r="M5254" s="13" t="n">
        <f aca="false">Sens!$M$5244/Sens!$M$5225</f>
        <v>0.0216850962428001</v>
      </c>
      <c r="N5254" s="13" t="n">
        <f aca="false">Sens!$N$5244/Sens!$N$5225</f>
        <v>0.0357315650169337</v>
      </c>
      <c r="O5254" s="13" t="n">
        <f aca="false">Sens!$O$5244/Sens!$O$5225</f>
        <v>0.0244378956559703</v>
      </c>
    </row>
    <row r="5255" customFormat="false" ht="17.15" hidden="false" customHeight="false" outlineLevel="0" collapsed="false">
      <c r="A5255" s="14" t="s">
        <v>734</v>
      </c>
      <c r="B5255" s="14" t="s">
        <v>52</v>
      </c>
      <c r="C5255" s="17" t="n">
        <f aca="false">Sens!$C$5247/Sens!$C$5226</f>
        <v>0.370355907620217</v>
      </c>
      <c r="D5255" s="17" t="n">
        <f aca="false">Sens!$D$5247/Sens!$D$5226</f>
        <v>0.35429015342785</v>
      </c>
      <c r="E5255" s="17" t="n">
        <f aca="false">Sens!$E$5247/Sens!$E$5226</f>
        <v>0.385647527531039</v>
      </c>
      <c r="F5255" s="17" t="n">
        <f aca="false">Sens!$F$5247/Sens!$F$5226</f>
        <v>0.385171818673936</v>
      </c>
      <c r="G5255" s="17" t="n">
        <f aca="false">Sens!$G$5247/Sens!$G$5226</f>
        <v>0.385399799520974</v>
      </c>
      <c r="H5255" s="17" t="n">
        <f aca="false">Sens!$H$5247/Sens!$H$5226</f>
        <v>0.360029314750347</v>
      </c>
      <c r="I5255" s="17" t="n">
        <f aca="false">Sens!$I$5247/Sens!$I$5226</f>
        <v>0.346606134604193</v>
      </c>
      <c r="J5255" s="17" t="n">
        <f aca="false">Sens!$J$5247/Sens!$J$5226</f>
        <v>0.335699297156574</v>
      </c>
      <c r="K5255" s="17" t="n">
        <f aca="false">Sens!$K$5247/Sens!$K$5226</f>
        <v>0.319043289183739</v>
      </c>
      <c r="L5255" s="17" t="n">
        <f aca="false">Sens!$L$5247/Sens!$L$5226</f>
        <v>0.311918613444893</v>
      </c>
      <c r="M5255" s="17" t="n">
        <f aca="false">Sens!$M$5247/Sens!$M$5226</f>
        <v>0.306523814127389</v>
      </c>
      <c r="N5255" s="17" t="n">
        <f aca="false">Sens!$N$5247/Sens!$N$5226</f>
        <v>0.360941137346192</v>
      </c>
      <c r="O5255" s="17" t="n">
        <f aca="false">Sens!$O$5247/Sens!$O$5226</f>
        <v>0.348458117664212</v>
      </c>
    </row>
    <row r="5256" customFormat="false" ht="17.15" hidden="false" customHeight="false" outlineLevel="0" collapsed="false">
      <c r="A5256" s="0" t="s">
        <v>735</v>
      </c>
      <c r="B5256" s="0" t="s">
        <v>52</v>
      </c>
      <c r="C5256" s="13" t="n">
        <f aca="false">Sens!$C$5245/Sens!$C$5227</f>
        <v>0.708390794789371</v>
      </c>
      <c r="D5256" s="13" t="n">
        <f aca="false">Sens!$D$5245/Sens!$D$5227</f>
        <v>0.445565630441968</v>
      </c>
      <c r="E5256" s="13" t="n">
        <f aca="false">Sens!$E$5245/Sens!$E$5227</f>
        <v>0.165998118402711</v>
      </c>
      <c r="F5256" s="13" t="n">
        <f aca="false">Sens!$F$5245/Sens!$F$5227</f>
        <v>0.434878595403858</v>
      </c>
      <c r="G5256" s="13" t="n">
        <f aca="false">Sens!$G$5245/Sens!$G$5227</f>
        <v>0.3373967615381</v>
      </c>
      <c r="H5256" s="13" t="n">
        <f aca="false">Sens!$H$5245/Sens!$H$5227</f>
        <v>0.320477578041224</v>
      </c>
      <c r="I5256" s="13" t="n">
        <f aca="false">Sens!$I$5245/Sens!$I$5227</f>
        <v>0.296936118226494</v>
      </c>
      <c r="J5256" s="13" t="n">
        <f aca="false">Sens!$J$5245/Sens!$J$5227</f>
        <v>0.282166278613001</v>
      </c>
      <c r="K5256" s="13" t="n">
        <f aca="false">Sens!$K$5245/Sens!$K$5227</f>
        <v>0.252969102881543</v>
      </c>
      <c r="L5256" s="13" t="n">
        <f aca="false">Sens!$L$5245/Sens!$L$5227</f>
        <v>0.240728642826566</v>
      </c>
      <c r="M5256" s="13" t="n">
        <f aca="false">Sens!$M$5245/Sens!$M$5227</f>
        <v>0.227399920863147</v>
      </c>
      <c r="N5256" s="13" t="n">
        <f aca="false">Sens!$N$5245/Sens!$N$5227</f>
        <v>0.302870734830849</v>
      </c>
      <c r="O5256" s="13" t="n">
        <f aca="false">Sens!$O$5245/Sens!$O$5227</f>
        <v>0.52240134346334</v>
      </c>
    </row>
    <row r="5257" customFormat="false" ht="15" hidden="false" customHeight="false" outlineLevel="0" collapsed="false">
      <c r="A5257" s="5" t="s">
        <v>736</v>
      </c>
      <c r="B5257" s="0" t="s">
        <v>52</v>
      </c>
      <c r="C5257" s="13" t="n">
        <f aca="false">Sens!$C$5249/Sens!$C$5229</f>
        <v>0.107519448742004</v>
      </c>
      <c r="D5257" s="13" t="n">
        <f aca="false">Sens!$D$5249/Sens!$D$5229</f>
        <v>0.111552967957552</v>
      </c>
      <c r="E5257" s="13" t="n">
        <f aca="false">Sens!$E$5249/Sens!$E$5229</f>
        <v>0.13428328426562</v>
      </c>
      <c r="F5257" s="13" t="n">
        <f aca="false">Sens!$F$5249/Sens!$F$5229</f>
        <v>0.129167844525589</v>
      </c>
      <c r="G5257" s="13" t="n">
        <f aca="false">Sens!$G$5249/Sens!$G$5229</f>
        <v>0.131557773771988</v>
      </c>
      <c r="H5257" s="13" t="n">
        <f aca="false">Sens!$H$5249/Sens!$H$5229</f>
        <v>0.134711536350329</v>
      </c>
      <c r="I5257" s="13" t="n">
        <f aca="false">Sens!$I$5249/Sens!$I$5229</f>
        <v>0.137768888779847</v>
      </c>
      <c r="J5257" s="13" t="n">
        <f aca="false">Sens!$J$5249/Sens!$J$5229</f>
        <v>0.139531715827143</v>
      </c>
      <c r="K5257" s="13" t="n">
        <f aca="false">Sens!$K$5249/Sens!$K$5229</f>
        <v>0.137320259076553</v>
      </c>
      <c r="L5257" s="13" t="n">
        <f aca="false">Sens!$L$5249/Sens!$L$5229</f>
        <v>0.136806307456799</v>
      </c>
      <c r="M5257" s="13" t="n">
        <f aca="false">Sens!$M$5249/Sens!$M$5229</f>
        <v>0.136871350584245</v>
      </c>
      <c r="N5257" s="13" t="n">
        <f aca="false">Sens!$N$5249/Sens!$N$5229</f>
        <v>0.116201614873411</v>
      </c>
      <c r="O5257" s="13" t="n">
        <f aca="false">Sens!$O$5249/Sens!$O$5229</f>
        <v>0.107733353660861</v>
      </c>
    </row>
    <row r="5258" customFormat="false" ht="17.15" hidden="false" customHeight="false" outlineLevel="0" collapsed="false">
      <c r="A5258" s="1" t="s">
        <v>737</v>
      </c>
    </row>
    <row r="5259" customFormat="false" ht="17.15" hidden="false" customHeight="false" outlineLevel="0" collapsed="false">
      <c r="A5259" s="5" t="s">
        <v>738</v>
      </c>
      <c r="B5259" s="0" t="s">
        <v>52</v>
      </c>
      <c r="D5259" s="28" t="n">
        <f aca="false">(Q!$E$29+Q!$E$30-(1-ext_sh)*Sens!$D$5181)/Sens!$D$5137</f>
        <v>0.0334674312393194</v>
      </c>
    </row>
    <row r="5260" customFormat="false" ht="17.15" hidden="false" customHeight="false" outlineLevel="0" collapsed="false">
      <c r="A5260" s="0" t="s">
        <v>535</v>
      </c>
      <c r="B5260" s="0" t="s">
        <v>86</v>
      </c>
      <c r="C5260" s="38" t="n">
        <f aca="false">Q!$D$29</f>
        <v>14.285</v>
      </c>
      <c r="D5260" s="38" t="n">
        <f aca="false">Q!$E$29</f>
        <v>15.503</v>
      </c>
      <c r="E5260" s="38" t="n">
        <f aca="false">Q!$P$29</f>
        <v>8.78</v>
      </c>
      <c r="F5260" s="38" t="n">
        <f aca="false">(Sens!$D$5259*Sens!$F$5137+(1-ext_sh)*Sens!$F$5181)*Sens!$F$5138</f>
        <v>9.32404990199157</v>
      </c>
      <c r="G5260" s="38" t="n">
        <f aca="false">Sens!$E$5260+Sens!$F$5260</f>
        <v>18.1040499019916</v>
      </c>
      <c r="H5260" s="38" t="n">
        <f aca="false">(Sens!$D$5259*Sens!$H$5137+(1-ext_sh)*Sens!$H$5181)*Sens!$H$5138</f>
        <v>22.5533556752937</v>
      </c>
      <c r="I5260" s="38" t="n">
        <f aca="false">(Sens!$D$5259*Sens!$I$5137+(1-ext_sh)*Sens!$I$5181)*Sens!$I$5138</f>
        <v>28.1941479903215</v>
      </c>
      <c r="J5260" s="38" t="n">
        <f aca="false">(Sens!$D$5259*Sens!$J$5137+(1-ext_sh)*Sens!$J$5181)*Sens!$J$5138</f>
        <v>33.8639126241465</v>
      </c>
      <c r="K5260" s="38" t="n">
        <f aca="false">(Sens!$D$5259*Sens!$K$5137+(1-ext_sh)*Sens!$K$5181)*Sens!$K$5138</f>
        <v>39.4516429979446</v>
      </c>
      <c r="L5260" s="38" t="n">
        <f aca="false">(Sens!$D$5259*Sens!$L$5137+(1-ext_sh)*Sens!$L$5181)*Sens!$L$5138</f>
        <v>43.6240799619622</v>
      </c>
      <c r="M5260" s="38" t="n">
        <f aca="false">(Sens!$D$5259*Sens!$M$5137+(1-ext_sh)*Sens!$M$5181)*Sens!$M$5138</f>
        <v>46.7841679303704</v>
      </c>
      <c r="N5260" s="38" t="n">
        <f aca="false">Q!$N$29</f>
        <v>7.272</v>
      </c>
      <c r="O5260" s="38" t="n">
        <f aca="false">Q!$O$29</f>
        <v>8.231</v>
      </c>
    </row>
    <row r="5261" customFormat="false" ht="17.15" hidden="false" customHeight="false" outlineLevel="0" collapsed="false">
      <c r="A5261" s="0" t="s">
        <v>537</v>
      </c>
      <c r="B5261" s="0" t="s">
        <v>86</v>
      </c>
      <c r="C5261" s="38" t="n">
        <f aca="false">Q!$D$30</f>
        <v>4.462</v>
      </c>
      <c r="D5261" s="38" t="n">
        <f aca="false">Q!$E$30</f>
        <v>4.907</v>
      </c>
      <c r="E5261" s="38" t="n">
        <f aca="false">Q!$P$30</f>
        <v>2.57</v>
      </c>
      <c r="F5261" s="38" t="n">
        <f aca="false">(Sens!$D$5259*Sens!$F$5137+(1-ext_sh)*Sens!$F$5181)*(1-Sens!$F$5138)</f>
        <v>3.66089330199472</v>
      </c>
      <c r="G5261" s="38" t="n">
        <f aca="false">Sens!$E$5261+Sens!$F$5261</f>
        <v>6.23089330199472</v>
      </c>
      <c r="H5261" s="38" t="n">
        <f aca="false">(Sens!$D$5259*Sens!$H$5137+(1-ext_sh)*Sens!$H$5181)*(1-Sens!$H$5138)</f>
        <v>8.63874333111657</v>
      </c>
      <c r="I5261" s="38" t="n">
        <f aca="false">(Sens!$D$5259*Sens!$I$5137+(1-ext_sh)*Sens!$I$5181)*(1-Sens!$I$5138)</f>
        <v>10.7993689025494</v>
      </c>
      <c r="J5261" s="38" t="n">
        <f aca="false">(Sens!$D$5259*Sens!$J$5137+(1-ext_sh)*Sens!$J$5181)*(1-Sens!$J$5138)</f>
        <v>12.9710919101865</v>
      </c>
      <c r="K5261" s="38" t="n">
        <f aca="false">(Sens!$D$5259*Sens!$K$5137+(1-ext_sh)*Sens!$K$5181)*(1-Sens!$K$5138)</f>
        <v>15.1113928568702</v>
      </c>
      <c r="L5261" s="38" t="n">
        <f aca="false">(Sens!$D$5259*Sens!$L$5137+(1-ext_sh)*Sens!$L$5181)*(1-Sens!$L$5138)</f>
        <v>16.7095857163433</v>
      </c>
      <c r="M5261" s="38" t="n">
        <f aca="false">(Sens!$D$5259*Sens!$M$5137+(1-ext_sh)*Sens!$M$5181)*(1-Sens!$M$5138)</f>
        <v>17.9200126371023</v>
      </c>
      <c r="N5261" s="38" t="n">
        <f aca="false">Q!$N$30</f>
        <v>2.316</v>
      </c>
      <c r="O5261" s="38" t="n">
        <f aca="false">Q!$O$30</f>
        <v>2.591</v>
      </c>
    </row>
    <row r="5262" customFormat="false" ht="17.15" hidden="false" customHeight="false" outlineLevel="0" collapsed="false">
      <c r="A5262" s="0" t="s">
        <v>538</v>
      </c>
      <c r="B5262" s="0" t="s">
        <v>86</v>
      </c>
      <c r="C5262" s="38" t="n">
        <f aca="false">Sens!$C$5193</f>
        <v>13.32</v>
      </c>
      <c r="D5262" s="38" t="n">
        <f aca="false">Sens!$D$5193</f>
        <v>21.45</v>
      </c>
      <c r="E5262" s="38" t="n">
        <f aca="false">Sens!$E$5193</f>
        <v>15.353</v>
      </c>
      <c r="F5262" s="38" t="n">
        <f aca="false">Sens!$F$5193</f>
        <v>16.3063747611001</v>
      </c>
      <c r="G5262" s="38" t="n">
        <f aca="false">Sens!$G$5193</f>
        <v>31.6593747611001</v>
      </c>
      <c r="H5262" s="38" t="n">
        <f aca="false">Sens!$H$5193</f>
        <v>53.124242092105</v>
      </c>
      <c r="I5262" s="38" t="n">
        <f aca="false">Sens!$I$5193</f>
        <v>78.046828098133</v>
      </c>
      <c r="J5262" s="38" t="n">
        <f aca="false">Sens!$J$5193</f>
        <v>103.663976940352</v>
      </c>
      <c r="K5262" s="38" t="n">
        <f aca="false">Sens!$K$5193</f>
        <v>129.625086115469</v>
      </c>
      <c r="L5262" s="38" t="n">
        <f aca="false">Sens!$L$5193</f>
        <v>147.435052382502</v>
      </c>
      <c r="M5262" s="38" t="n">
        <f aca="false">Sens!$M$5193</f>
        <v>159.299754080279</v>
      </c>
      <c r="N5262" s="38" t="n">
        <f aca="false">Sens!$N$5193</f>
        <v>9.234</v>
      </c>
      <c r="O5262" s="38" t="n">
        <f aca="false">Sens!$O$5193</f>
        <v>12.216</v>
      </c>
    </row>
    <row r="5263" customFormat="false" ht="17.15" hidden="false" customHeight="false" outlineLevel="0" collapsed="false">
      <c r="A5263" s="5" t="s">
        <v>739</v>
      </c>
      <c r="B5263" s="0" t="s">
        <v>86</v>
      </c>
      <c r="C5263" s="38" t="n">
        <f aca="false">Sens!$C$5260+Sens!$C$5261+Sens!$C$5262</f>
        <v>32.067</v>
      </c>
      <c r="D5263" s="38" t="n">
        <f aca="false">Sens!$D$5260+Sens!$D$5261+Sens!$D$5262</f>
        <v>41.86</v>
      </c>
      <c r="E5263" s="38" t="n">
        <f aca="false">Sens!$E$5260+Sens!$E$5261+Sens!$E$5262</f>
        <v>26.703</v>
      </c>
      <c r="F5263" s="38" t="n">
        <f aca="false">Sens!$F$5260+Sens!$F$5261+Sens!$F$5262</f>
        <v>29.2913179650864</v>
      </c>
      <c r="G5263" s="38" t="n">
        <f aca="false">Sens!$G$5260+Sens!$G$5261+Sens!$G$5262</f>
        <v>55.9943179650864</v>
      </c>
      <c r="H5263" s="38" t="n">
        <f aca="false">Sens!$H$5260+Sens!$H$5261+Sens!$H$5262</f>
        <v>84.3163410985152</v>
      </c>
      <c r="I5263" s="38" t="n">
        <f aca="false">Sens!$I$5260+Sens!$I$5261+Sens!$I$5262</f>
        <v>117.040344991004</v>
      </c>
      <c r="J5263" s="38" t="n">
        <f aca="false">Sens!$J$5260+Sens!$J$5261+Sens!$J$5262</f>
        <v>150.498981474685</v>
      </c>
      <c r="K5263" s="38" t="n">
        <f aca="false">Sens!$K$5260+Sens!$K$5261+Sens!$K$5262</f>
        <v>184.188121970284</v>
      </c>
      <c r="L5263" s="38" t="n">
        <f aca="false">Sens!$L$5260+Sens!$L$5261+Sens!$L$5262</f>
        <v>207.768718060808</v>
      </c>
      <c r="M5263" s="38" t="n">
        <f aca="false">Sens!$M$5260+Sens!$M$5261+Sens!$M$5262</f>
        <v>224.003934647752</v>
      </c>
      <c r="N5263" s="38" t="n">
        <f aca="false">Sens!$N$5260+Sens!$N$5261+Sens!$N$5262</f>
        <v>18.822</v>
      </c>
      <c r="O5263" s="38" t="n">
        <f aca="false">Sens!$O$5260+Sens!$O$5261+Sens!$O$5262</f>
        <v>23.038</v>
      </c>
    </row>
    <row r="5264" customFormat="false" ht="17.15" hidden="false" customHeight="false" outlineLevel="0" collapsed="false">
      <c r="A5264" s="0" t="s">
        <v>740</v>
      </c>
      <c r="B5264" s="0" t="s">
        <v>86</v>
      </c>
      <c r="C5264" s="38" t="n">
        <f aca="false">Sens!$C$5235+Sens!$C$5240</f>
        <v>28.107</v>
      </c>
      <c r="D5264" s="38" t="n">
        <f aca="false">Sens!$D$5235+Sens!$D$5240</f>
        <v>34.3175</v>
      </c>
      <c r="E5264" s="38" t="n">
        <f aca="false">Sens!$E$5235+Sens!$E$5240</f>
        <v>18.526</v>
      </c>
      <c r="F5264" s="38" t="n">
        <f aca="false">Sens!$F$5235+Sens!$F$5240</f>
        <v>23.0786109972074</v>
      </c>
      <c r="G5264" s="38" t="n">
        <f aca="false">Sens!$G$5235+Sens!$G$5240</f>
        <v>41.6046109972074</v>
      </c>
      <c r="H5264" s="38" t="n">
        <f aca="false">Sens!$H$5235+Sens!$H$5240</f>
        <v>49.9484611939488</v>
      </c>
      <c r="I5264" s="38" t="n">
        <f aca="false">Sens!$I$5235+Sens!$I$5240</f>
        <v>58.2915555477481</v>
      </c>
      <c r="J5264" s="38" t="n">
        <f aca="false">Sens!$J$5235+Sens!$J$5240</f>
        <v>66.0744709709759</v>
      </c>
      <c r="K5264" s="38" t="n">
        <f aca="false">Sens!$K$5235+Sens!$K$5240</f>
        <v>72.6819180680735</v>
      </c>
      <c r="L5264" s="38" t="n">
        <f aca="false">Sens!$L$5235+Sens!$L$5240</f>
        <v>79.9501098748808</v>
      </c>
      <c r="M5264" s="38" t="n">
        <f aca="false">Sens!$M$5235+Sens!$M$5240</f>
        <v>87.9451208623689</v>
      </c>
      <c r="N5264" s="38" t="n">
        <f aca="false">Sens!$N$5235+Sens!$N$5240</f>
        <v>14.8075</v>
      </c>
      <c r="O5264" s="38" t="n">
        <f aca="false">Sens!$O$5235+Sens!$O$5240</f>
        <v>19.51</v>
      </c>
    </row>
    <row r="5265" customFormat="false" ht="17.15" hidden="false" customHeight="false" outlineLevel="0" collapsed="false">
      <c r="A5265" s="0" t="s">
        <v>741</v>
      </c>
      <c r="B5265" s="0" t="s">
        <v>86</v>
      </c>
      <c r="C5265" s="38" t="n">
        <f aca="false">Sens!$C$5239+Sens!$C$5244+Sens!$C$5260+Sens!$C$5261-Sens!$C$5264</f>
        <v>19.399</v>
      </c>
      <c r="D5265" s="38" t="n">
        <f aca="false">Sens!$D$5239+Sens!$D$5244+Sens!$D$5260+Sens!$D$5261-Sens!$D$5264</f>
        <v>20.4615</v>
      </c>
      <c r="E5265" s="38" t="n">
        <f aca="false">Sens!$E$5239+Sens!$E$5244+Sens!$E$5260+Sens!$E$5261-Sens!$E$5264</f>
        <v>13.355</v>
      </c>
      <c r="F5265" s="38" t="n">
        <f aca="false">Sens!$F$5239+Sens!$F$5244+Sens!$F$5260+Sens!$F$5261-Sens!$F$5264</f>
        <v>12.7882167664549</v>
      </c>
      <c r="G5265" s="38" t="n">
        <f aca="false">Sens!$G$5239+Sens!$G$5244+Sens!$G$5260+Sens!$G$5261-Sens!$G$5264</f>
        <v>26.1432167664549</v>
      </c>
      <c r="H5265" s="38" t="n">
        <f aca="false">Sens!$H$5239+Sens!$H$5244+Sens!$H$5260+Sens!$H$5261-Sens!$H$5264</f>
        <v>28.5472527261826</v>
      </c>
      <c r="I5265" s="38" t="n">
        <f aca="false">Sens!$I$5239+Sens!$I$5244+Sens!$I$5260+Sens!$I$5261-Sens!$I$5264</f>
        <v>30.8052421506794</v>
      </c>
      <c r="J5265" s="38" t="n">
        <f aca="false">Sens!$J$5239+Sens!$J$5244+Sens!$J$5260+Sens!$J$5261-Sens!$J$5264</f>
        <v>33.0553877999083</v>
      </c>
      <c r="K5265" s="38" t="n">
        <f aca="false">Sens!$K$5239+Sens!$K$5244+Sens!$K$5260+Sens!$K$5261-Sens!$K$5264</f>
        <v>35.4662923485155</v>
      </c>
      <c r="L5265" s="38" t="n">
        <f aca="false">Sens!$L$5239+Sens!$L$5244+Sens!$L$5260+Sens!$L$5261-Sens!$L$5264</f>
        <v>37.1019587742301</v>
      </c>
      <c r="M5265" s="38" t="n">
        <f aca="false">Sens!$M$5239+Sens!$M$5244+Sens!$M$5260+Sens!$M$5261-Sens!$M$5264</f>
        <v>39.5351701466849</v>
      </c>
      <c r="N5265" s="38" t="n">
        <f aca="false">Sens!$N$5239+Sens!$N$5244+Sens!$N$5260+Sens!$N$5261-Sens!$N$5264</f>
        <v>10.6495</v>
      </c>
      <c r="O5265" s="38" t="n">
        <f aca="false">Sens!$O$5239+Sens!$O$5244+Sens!$O$5260+Sens!$O$5261-Sens!$O$5264</f>
        <v>9.81200000000001</v>
      </c>
    </row>
    <row r="5266" customFormat="false" ht="17.15" hidden="false" customHeight="false" outlineLevel="0" collapsed="false">
      <c r="A5266" s="0" t="s">
        <v>742</v>
      </c>
      <c r="B5266" s="0" t="s">
        <v>86</v>
      </c>
      <c r="C5266" s="38" t="n">
        <f aca="false">Sens!$C$5246+Sens!$C$5262-ext_sh*Sens!$C$5181</f>
        <v>51.3470500115664</v>
      </c>
      <c r="D5266" s="38" t="n">
        <f aca="false">Sens!$D$5246+Sens!$D$5262-ext_sh*Sens!$D$5181</f>
        <v>60.2799375433739</v>
      </c>
      <c r="E5266" s="38" t="n">
        <f aca="false">Sens!$E$5246+Sens!$E$5262-ext_sh*Sens!$E$5181</f>
        <v>39.5095167090767</v>
      </c>
      <c r="F5266" s="38" t="n">
        <f aca="false">Sens!$F$5246+Sens!$F$5262-ext_sh*Sens!$F$5181</f>
        <v>37.993321722478</v>
      </c>
      <c r="G5266" s="38" t="n">
        <f aca="false">Sens!$G$5246+Sens!$G$5262-ext_sh*Sens!$G$5181</f>
        <v>77.5028384315548</v>
      </c>
      <c r="H5266" s="38" t="n">
        <f aca="false">Sens!$H$5246+Sens!$H$5262-ext_sh*Sens!$H$5181</f>
        <v>85.2394217279746</v>
      </c>
      <c r="I5266" s="38" t="n">
        <f aca="false">Sens!$I$5246+Sens!$I$5262-ext_sh*Sens!$I$5181</f>
        <v>94.6373589713254</v>
      </c>
      <c r="J5266" s="38" t="n">
        <f aca="false">Sens!$J$5246+Sens!$J$5262-ext_sh*Sens!$J$5181</f>
        <v>103.639899284146</v>
      </c>
      <c r="K5266" s="38" t="n">
        <f aca="false">Sens!$K$5246+Sens!$K$5262-ext_sh*Sens!$K$5181</f>
        <v>111.931091226878</v>
      </c>
      <c r="L5266" s="38" t="n">
        <f aca="false">Sens!$L$5246+Sens!$L$5262-ext_sh*Sens!$L$5181</f>
        <v>120.885578525028</v>
      </c>
      <c r="M5266" s="38" t="n">
        <f aca="false">Sens!$M$5246+Sens!$M$5262-ext_sh*Sens!$M$5181</f>
        <v>130.55642480703</v>
      </c>
      <c r="N5266" s="38" t="n">
        <f aca="false">Sens!$N$5246+Sens!$N$5262-ext_sh*Sens!$N$5181</f>
        <v>28.5693781401809</v>
      </c>
      <c r="O5266" s="38" t="n">
        <f aca="false">Sens!$O$5246+Sens!$O$5262-ext_sh*Sens!$O$5181</f>
        <v>31.7105594031931</v>
      </c>
    </row>
    <row r="5267" customFormat="false" ht="17.15" hidden="false" customHeight="false" outlineLevel="0" collapsed="false">
      <c r="A5267" s="0" t="s">
        <v>743</v>
      </c>
      <c r="B5267" s="0" t="s">
        <v>86</v>
      </c>
      <c r="C5267" s="38" t="n">
        <f aca="false">Sens!$C$5184</f>
        <v>1.80694998843362</v>
      </c>
      <c r="D5267" s="38" t="n">
        <f aca="false">Sens!$D$5184</f>
        <v>6.77606245662607</v>
      </c>
      <c r="E5267" s="38" t="n">
        <f aca="false">Sens!$E$5184</f>
        <v>6.62548329092326</v>
      </c>
      <c r="F5267" s="38" t="n">
        <f aca="false">Sens!$F$5184</f>
        <v>11.7200577158706</v>
      </c>
      <c r="G5267" s="38" t="n">
        <f aca="false">Sens!$G$5184</f>
        <v>18.3455410067939</v>
      </c>
      <c r="H5267" s="38" t="n">
        <f aca="false">Sens!$H$5184</f>
        <v>47.5171727060453</v>
      </c>
      <c r="I5267" s="38" t="n">
        <f aca="false">Sens!$I$5184</f>
        <v>80.5539692643667</v>
      </c>
      <c r="J5267" s="38" t="n">
        <f aca="false">Sens!$J$5184</f>
        <v>113.759316834883</v>
      </c>
      <c r="K5267" s="38" t="n">
        <f aca="false">Sens!$K$5184</f>
        <v>142.084411492169</v>
      </c>
      <c r="L5267" s="38" t="n">
        <f aca="false">Sens!$L$5184</f>
        <v>160.69964615804</v>
      </c>
      <c r="M5267" s="38" t="n">
        <f aca="false">Sens!$M$5184</f>
        <v>169.577607141793</v>
      </c>
      <c r="N5267" s="38" t="n">
        <f aca="false">Sens!$N$5184</f>
        <v>2.37162185981912</v>
      </c>
      <c r="O5267" s="38" t="n">
        <f aca="false">Sens!$O$5184</f>
        <v>4.40444059680694</v>
      </c>
    </row>
    <row r="5268" customFormat="false" ht="17.15" hidden="false" customHeight="false" outlineLevel="0" collapsed="false">
      <c r="A5268" s="0" t="s">
        <v>744</v>
      </c>
      <c r="B5268" s="0" t="s">
        <v>86</v>
      </c>
      <c r="C5268" s="38" t="n">
        <f aca="false">Sens!$C$5249+Sens!$C$5263</f>
        <v>100.66</v>
      </c>
      <c r="D5268" s="38" t="n">
        <f aca="false">Sens!$D$5249+Sens!$D$5263</f>
        <v>121.835</v>
      </c>
      <c r="E5268" s="38" t="n">
        <f aca="false">Sens!$E$5249+Sens!$E$5263</f>
        <v>78.016</v>
      </c>
      <c r="F5268" s="38" t="n">
        <f aca="false">Sens!$F$5249+Sens!$F$5263</f>
        <v>85.580207202011</v>
      </c>
      <c r="G5268" s="38" t="n">
        <f aca="false">Sens!$G$5249+Sens!$G$5263</f>
        <v>163.596207202011</v>
      </c>
      <c r="H5268" s="38" t="n">
        <f aca="false">Sens!$H$5249+Sens!$H$5263</f>
        <v>211.252308354151</v>
      </c>
      <c r="I5268" s="38" t="n">
        <f aca="false">Sens!$I$5249+Sens!$I$5263</f>
        <v>264.28812593412</v>
      </c>
      <c r="J5268" s="38" t="n">
        <f aca="false">Sens!$J$5249+Sens!$J$5263</f>
        <v>316.529074889914</v>
      </c>
      <c r="K5268" s="38" t="n">
        <f aca="false">Sens!$K$5249+Sens!$K$5263</f>
        <v>362.163713135636</v>
      </c>
      <c r="L5268" s="38" t="n">
        <f aca="false">Sens!$L$5249+Sens!$L$5263</f>
        <v>398.637293332179</v>
      </c>
      <c r="M5268" s="38" t="n">
        <f aca="false">Sens!$M$5249+Sens!$M$5263</f>
        <v>427.614322957878</v>
      </c>
      <c r="N5268" s="38" t="n">
        <f aca="false">Sens!$N$5249+Sens!$N$5263</f>
        <v>56.398</v>
      </c>
      <c r="O5268" s="38" t="n">
        <f aca="false">Sens!$O$5249+Sens!$O$5263</f>
        <v>65.437</v>
      </c>
    </row>
    <row r="5269" customFormat="false" ht="17.15" hidden="false" customHeight="false" outlineLevel="0" collapsed="false">
      <c r="A5269" s="1" t="s">
        <v>745</v>
      </c>
    </row>
    <row r="5270" customFormat="false" ht="15" hidden="false" customHeight="false" outlineLevel="0" collapsed="false">
      <c r="A5270" s="5" t="s">
        <v>541</v>
      </c>
      <c r="B5270" s="0" t="s">
        <v>86</v>
      </c>
      <c r="C5270" s="38" t="n">
        <f aca="false">Q!$D$34</f>
        <v>2.406</v>
      </c>
      <c r="D5270" s="38" t="n">
        <f aca="false">Q!$E$34</f>
        <v>2.274</v>
      </c>
      <c r="E5270" s="38" t="n">
        <f aca="false">Q!$P$34</f>
        <v>2.114</v>
      </c>
      <c r="F5270" s="38" t="n">
        <f aca="false">Sens!$F$5308</f>
        <v>3.24888962733561</v>
      </c>
      <c r="G5270" s="38" t="n">
        <f aca="false">Sens!$E$5270+Sens!$F$5270</f>
        <v>5.36288962733561</v>
      </c>
      <c r="H5270" s="38" t="n">
        <f aca="false">Sens!$H$5308</f>
        <v>7.42354172302123</v>
      </c>
      <c r="I5270" s="38" t="n">
        <f aca="false">Sens!$I$5308</f>
        <v>8.2931747618896</v>
      </c>
      <c r="J5270" s="38" t="n">
        <f aca="false">Sens!$J$5308</f>
        <v>9.27718179522602</v>
      </c>
      <c r="K5270" s="38" t="n">
        <f aca="false">Sens!$K$5308</f>
        <v>9.27718179522602</v>
      </c>
      <c r="L5270" s="38" t="n">
        <f aca="false">Sens!$L$5308</f>
        <v>9.27718179522602</v>
      </c>
      <c r="M5270" s="38" t="n">
        <f aca="false">Sens!$M$5308</f>
        <v>9.27718179522602</v>
      </c>
      <c r="N5270" s="38" t="n">
        <f aca="false">Q!$N$34</f>
        <v>1.057</v>
      </c>
      <c r="O5270" s="38" t="n">
        <f aca="false">Q!$O$34</f>
        <v>1.217</v>
      </c>
    </row>
    <row r="5271" customFormat="false" ht="15" hidden="false" customHeight="false" outlineLevel="0" collapsed="false">
      <c r="A5271" s="5" t="s">
        <v>746</v>
      </c>
      <c r="B5271" s="0" t="s">
        <v>86</v>
      </c>
      <c r="F5271" s="38" t="n">
        <f aca="false">Sens!$F$5309</f>
        <v>2.59</v>
      </c>
      <c r="H5271" s="38" t="n">
        <f aca="false">Sens!$H$5309</f>
        <v>3.80133635330174</v>
      </c>
      <c r="I5271" s="38" t="n">
        <f aca="false">Sens!$I$5309</f>
        <v>2.10589651022864</v>
      </c>
      <c r="J5271" s="38" t="n">
        <f aca="false">Sens!$J$5309</f>
        <v>2.10589651022864</v>
      </c>
      <c r="K5271" s="38" t="n">
        <f aca="false">Sens!$K$5309</f>
        <v>3.14850442073996</v>
      </c>
      <c r="L5271" s="38" t="n">
        <f aca="false">Sens!$L$5309</f>
        <v>8.25959583122945</v>
      </c>
      <c r="M5271" s="38" t="n">
        <f aca="false">Sens!$M$5309</f>
        <v>15.8335708401143</v>
      </c>
    </row>
    <row r="5272" customFormat="false" ht="17.15" hidden="false" customHeight="false" outlineLevel="0" collapsed="false">
      <c r="A5272" s="5" t="s">
        <v>747</v>
      </c>
      <c r="B5272" s="0" t="s">
        <v>86</v>
      </c>
      <c r="C5272" s="38" t="n">
        <f aca="false">Q!$D$39</f>
        <v>2.427</v>
      </c>
      <c r="D5272" s="38" t="n">
        <f aca="false">Q!$E$39</f>
        <v>19.61</v>
      </c>
      <c r="E5272" s="38" t="n">
        <f aca="false">Q!$P$39</f>
        <v>71.492</v>
      </c>
      <c r="F5272" s="39" t="n">
        <v>0</v>
      </c>
      <c r="G5272" s="38" t="n">
        <f aca="false">Sens!$E$5272+Sens!$F$5272</f>
        <v>71.492</v>
      </c>
      <c r="H5272" s="39" t="n">
        <v>0</v>
      </c>
      <c r="I5272" s="39" t="n">
        <v>0</v>
      </c>
      <c r="J5272" s="39" t="n">
        <v>0</v>
      </c>
      <c r="K5272" s="39" t="n">
        <v>0</v>
      </c>
      <c r="L5272" s="39" t="n">
        <v>0</v>
      </c>
      <c r="M5272" s="39" t="n">
        <v>0</v>
      </c>
      <c r="N5272" s="38" t="n">
        <f aca="false">Q!$N$39</f>
        <v>6.017</v>
      </c>
      <c r="O5272" s="38" t="n">
        <f aca="false">Q!$O$39</f>
        <v>13.593</v>
      </c>
      <c r="P5272" s="5" t="s">
        <v>748</v>
      </c>
    </row>
    <row r="5273" customFormat="false" ht="15" hidden="false" customHeight="false" outlineLevel="0" collapsed="false">
      <c r="A5273" s="5" t="s">
        <v>544</v>
      </c>
      <c r="B5273" s="0" t="s">
        <v>86</v>
      </c>
      <c r="C5273" s="38" t="n">
        <f aca="false">Q!$D$36</f>
        <v>68.614</v>
      </c>
      <c r="D5273" s="38" t="n">
        <f aca="false">Q!$E$36</f>
        <v>97.311</v>
      </c>
      <c r="E5273" s="38" t="n">
        <f aca="false">Q!$P$36</f>
        <v>120.691</v>
      </c>
      <c r="F5273" s="38" t="n">
        <f aca="false">Sens!$F$5249-Sens!$F$5270+Sens!$F$5271+Sens!$F$5272</f>
        <v>55.629999609589</v>
      </c>
      <c r="G5273" s="38" t="n">
        <f aca="false">Sens!$E$5273+Sens!$F$5273</f>
        <v>176.320999609589</v>
      </c>
      <c r="H5273" s="38" t="n">
        <f aca="false">Sens!$H$5249-Sens!$H$5270+Sens!$H$5271+Sens!$H$5272</f>
        <v>123.313761885917</v>
      </c>
      <c r="I5273" s="38" t="n">
        <f aca="false">Sens!$I$5249-Sens!$I$5270+Sens!$I$5271+Sens!$I$5272</f>
        <v>141.060502691455</v>
      </c>
      <c r="J5273" s="38" t="n">
        <f aca="false">Sens!$J$5249-Sens!$J$5270+Sens!$J$5271+Sens!$J$5272</f>
        <v>158.858808130232</v>
      </c>
      <c r="K5273" s="38" t="n">
        <f aca="false">Sens!$K$5249-Sens!$K$5270+Sens!$K$5271+Sens!$K$5272</f>
        <v>171.846913790867</v>
      </c>
      <c r="L5273" s="38" t="n">
        <f aca="false">Sens!$L$5249-Sens!$L$5270+Sens!$L$5271+Sens!$L$5272</f>
        <v>189.850989307375</v>
      </c>
      <c r="M5273" s="38" t="n">
        <f aca="false">Sens!$M$5249-Sens!$M$5270+Sens!$M$5271+Sens!$M$5272</f>
        <v>210.166777355014</v>
      </c>
      <c r="N5273" s="38" t="n">
        <f aca="false">Q!$N$36</f>
        <v>42.536</v>
      </c>
      <c r="O5273" s="38" t="n">
        <f aca="false">Q!$O$36</f>
        <v>54.775</v>
      </c>
    </row>
    <row r="5274" customFormat="false" ht="15" hidden="false" customHeight="false" outlineLevel="0" collapsed="false">
      <c r="A5274" s="5" t="s">
        <v>545</v>
      </c>
      <c r="B5274" s="0" t="s">
        <v>86</v>
      </c>
      <c r="C5274" s="38" t="n">
        <f aca="false">Q!$D$37</f>
        <v>9.265</v>
      </c>
      <c r="D5274" s="38" t="n">
        <f aca="false">Q!$E$37</f>
        <v>19.087</v>
      </c>
      <c r="E5274" s="38" t="n">
        <f aca="false">Q!$P$37</f>
        <v>27.759</v>
      </c>
      <c r="F5274" s="38" t="n">
        <f aca="false">Sens!$F$5273*tax</f>
        <v>9.65650714815835</v>
      </c>
      <c r="G5274" s="38" t="n">
        <f aca="false">Sens!$E$5274+Sens!$F$5274</f>
        <v>37.4155071481584</v>
      </c>
      <c r="H5274" s="38" t="n">
        <f aca="false">Sens!$H$5273*tax</f>
        <v>21.4053609828247</v>
      </c>
      <c r="I5274" s="38" t="n">
        <f aca="false">Sens!$I$5273*tax</f>
        <v>24.4859205846201</v>
      </c>
      <c r="J5274" s="38" t="n">
        <f aca="false">Sens!$J$5273*tax</f>
        <v>27.5754310088666</v>
      </c>
      <c r="K5274" s="38" t="n">
        <f aca="false">Sens!$K$5273*tax</f>
        <v>29.8299651816718</v>
      </c>
      <c r="L5274" s="38" t="n">
        <f aca="false">Sens!$L$5273*tax</f>
        <v>32.9551941074541</v>
      </c>
      <c r="M5274" s="38" t="n">
        <f aca="false">Sens!$M$5273*tax</f>
        <v>36.4817005586366</v>
      </c>
      <c r="N5274" s="38" t="n">
        <f aca="false">Q!$N$37</f>
        <v>7.231</v>
      </c>
      <c r="O5274" s="38" t="n">
        <f aca="false">Q!$O$37</f>
        <v>11.856</v>
      </c>
    </row>
    <row r="5275" customFormat="false" ht="15" hidden="false" customHeight="false" outlineLevel="0" collapsed="false">
      <c r="A5275" s="3" t="s">
        <v>546</v>
      </c>
      <c r="B5275" s="8" t="s">
        <v>86</v>
      </c>
      <c r="C5275" s="38" t="n">
        <f aca="false">Q!$D$38</f>
        <v>59.248</v>
      </c>
      <c r="D5275" s="38" t="n">
        <f aca="false">Q!$E$38</f>
        <v>77.67</v>
      </c>
      <c r="E5275" s="38" t="n">
        <f aca="false">Q!$P$38</f>
        <v>92.902</v>
      </c>
      <c r="F5275" s="38" t="n">
        <f aca="false">Sens!$F$5273-Sens!$F$5274</f>
        <v>45.9734924614306</v>
      </c>
      <c r="G5275" s="38" t="n">
        <f aca="false">Sens!$E$5275+Sens!$F$5275</f>
        <v>138.875492461431</v>
      </c>
      <c r="H5275" s="38" t="n">
        <f aca="false">Sens!$H$5273-Sens!$H$5274</f>
        <v>101.908400903092</v>
      </c>
      <c r="I5275" s="38" t="n">
        <f aca="false">Sens!$I$5273-Sens!$I$5274</f>
        <v>116.574582106835</v>
      </c>
      <c r="J5275" s="38" t="n">
        <f aca="false">Sens!$J$5273-Sens!$J$5274</f>
        <v>131.283377121365</v>
      </c>
      <c r="K5275" s="38" t="n">
        <f aca="false">Sens!$K$5273-Sens!$K$5274</f>
        <v>142.016948609195</v>
      </c>
      <c r="L5275" s="38" t="n">
        <f aca="false">Sens!$L$5273-Sens!$L$5274</f>
        <v>156.895795199921</v>
      </c>
      <c r="M5275" s="38" t="n">
        <f aca="false">Sens!$M$5273-Sens!$M$5274</f>
        <v>173.685076796377</v>
      </c>
      <c r="N5275" s="38" t="n">
        <f aca="false">Q!$N$38</f>
        <v>35.291</v>
      </c>
      <c r="O5275" s="38" t="n">
        <f aca="false">Q!$O$38</f>
        <v>42.379</v>
      </c>
    </row>
    <row r="5276" customFormat="false" ht="17.15" hidden="false" customHeight="false" outlineLevel="0" collapsed="false">
      <c r="A5276" s="5" t="s">
        <v>549</v>
      </c>
      <c r="B5276" s="5" t="s">
        <v>33</v>
      </c>
      <c r="C5276" s="22" t="n">
        <f aca="false">Q!$D$41</f>
        <v>10.721</v>
      </c>
      <c r="D5276" s="22" t="n">
        <f aca="false">Q!$E$41</f>
        <v>10.827</v>
      </c>
      <c r="E5276" s="22" t="n">
        <f aca="false">(Q!$L$41+Q!$M$41)/2</f>
        <v>10.8885</v>
      </c>
      <c r="F5276" s="22" t="n">
        <f aca="false">Sens!$G$5276</f>
        <v>10.924806</v>
      </c>
      <c r="G5276" s="22" t="n">
        <f aca="false">Q!$M$41*(1+sh_g*0.25)</f>
        <v>10.924806</v>
      </c>
      <c r="H5276" s="22" t="n">
        <f aca="false">Sens!$G$5276*(1+sh_g)</f>
        <v>11.012204448</v>
      </c>
      <c r="I5276" s="22" t="n">
        <f aca="false">Sens!$H$5276*(1+sh_g)</f>
        <v>11.100302083584</v>
      </c>
      <c r="J5276" s="22" t="n">
        <f aca="false">Sens!$I$5276*(1+sh_g)</f>
        <v>11.1891045002527</v>
      </c>
      <c r="K5276" s="22" t="n">
        <f aca="false">Sens!$J$5276*(1+sh_g)</f>
        <v>11.2786173362547</v>
      </c>
      <c r="L5276" s="22" t="n">
        <f aca="false">Sens!$K$5276*(1+sh_g)</f>
        <v>11.3688462749447</v>
      </c>
      <c r="M5276" s="22" t="n">
        <f aca="false">Sens!$L$5276*(1+sh_g)</f>
        <v>11.4597970451443</v>
      </c>
      <c r="P5276" s="5" t="s">
        <v>749</v>
      </c>
    </row>
    <row r="5277" customFormat="false" ht="17.15" hidden="false" customHeight="false" outlineLevel="0" collapsed="false">
      <c r="A5277" s="5" t="s">
        <v>750</v>
      </c>
      <c r="B5277" s="0" t="s">
        <v>86</v>
      </c>
      <c r="C5277" s="38" t="n">
        <f aca="false">Sens!$C$5275+Sens!$C$5251*(1-tax)</f>
        <v>59.248</v>
      </c>
      <c r="D5277" s="38" t="n">
        <f aca="false">Sens!$D$5275+Sens!$D$5251*(1-tax)</f>
        <v>77.67</v>
      </c>
      <c r="E5277" s="38" t="n">
        <f aca="false">Sens!$E$5275+Sens!$E$5251*(1-tax)</f>
        <v>92.902</v>
      </c>
      <c r="F5277" s="38" t="n">
        <f aca="false">Sens!$F$5275+Sens!$F$5251*(1-tax)</f>
        <v>49.0900874210793</v>
      </c>
      <c r="G5277" s="38" t="n">
        <f aca="false">Sens!$G$5275+Sens!$G$5251*(1-tax)</f>
        <v>141.992087421079</v>
      </c>
      <c r="H5277" s="38" t="n">
        <f aca="false">Sens!$H$5275+Sens!$H$5251*(1-tax)</f>
        <v>114.439796858437</v>
      </c>
      <c r="I5277" s="38" t="n">
        <f aca="false">Sens!$I$5275+Sens!$I$5251*(1-tax)</f>
        <v>137.715847181774</v>
      </c>
      <c r="J5277" s="38" t="n">
        <f aca="false">Sens!$J$5275+Sens!$J$5251*(1-tax)</f>
        <v>161.072814065649</v>
      </c>
      <c r="K5277" s="38" t="n">
        <f aca="false">Sens!$K$5275+Sens!$K$5251*(1-tax)</f>
        <v>179.184254305854</v>
      </c>
      <c r="L5277" s="38" t="n">
        <f aca="false">Sens!$L$5275+Sens!$L$5251*(1-tax)</f>
        <v>198.911872540476</v>
      </c>
      <c r="M5277" s="38" t="n">
        <f aca="false">Sens!$M$5275+Sens!$M$5251*(1-tax)</f>
        <v>218.014598987218</v>
      </c>
      <c r="N5277" s="38" t="n">
        <f aca="false">Sens!$N$5275+Sens!$N$5251*(1-tax)</f>
        <v>35.291</v>
      </c>
      <c r="O5277" s="38" t="n">
        <f aca="false">Sens!$O$5275+Sens!$O$5251*(1-tax)</f>
        <v>42.379</v>
      </c>
    </row>
    <row r="5278" customFormat="false" ht="17.15" hidden="false" customHeight="false" outlineLevel="0" collapsed="false">
      <c r="A5278" s="43" t="s">
        <v>751</v>
      </c>
      <c r="B5278" s="14" t="s">
        <v>27</v>
      </c>
      <c r="C5278" s="44" t="n">
        <f aca="false">Sens!$C$5277/Sens!$C$5276</f>
        <v>5.52635015390355</v>
      </c>
      <c r="D5278" s="44" t="n">
        <f aca="false">Sens!$D$5277/Sens!$D$5276</f>
        <v>7.1737323358271</v>
      </c>
      <c r="E5278" s="44" t="n">
        <f aca="false">Sens!$E$5277/Sens!$E$5276</f>
        <v>8.53212104513937</v>
      </c>
      <c r="F5278" s="14"/>
      <c r="G5278" s="44" t="n">
        <f aca="false">Sens!$G$5277/Sens!$G$5276</f>
        <v>12.9972182042481</v>
      </c>
      <c r="H5278" s="44" t="n">
        <f aca="false">Sens!$H$5277/Sens!$H$5276</f>
        <v>10.3920879237963</v>
      </c>
      <c r="I5278" s="44" t="n">
        <f aca="false">Sens!$I$5277/Sens!$I$5276</f>
        <v>12.4064954399249</v>
      </c>
      <c r="J5278" s="44" t="n">
        <f aca="false">Sens!$J$5277/Sens!$J$5276</f>
        <v>14.3955053831172</v>
      </c>
      <c r="K5278" s="44" t="n">
        <f aca="false">Sens!$K$5277/Sens!$K$5276</f>
        <v>15.8870763111957</v>
      </c>
      <c r="L5278" s="44" t="n">
        <f aca="false">Sens!$L$5277/Sens!$L$5276</f>
        <v>17.4962232516811</v>
      </c>
      <c r="M5278" s="44" t="n">
        <f aca="false">Sens!$M$5277/Sens!$M$5276</f>
        <v>19.0242984346389</v>
      </c>
      <c r="N5278" s="14"/>
      <c r="O5278" s="14"/>
    </row>
    <row r="5279" customFormat="false" ht="17.15" hidden="false" customHeight="false" outlineLevel="0" collapsed="false">
      <c r="A5279" s="0" t="s">
        <v>752</v>
      </c>
      <c r="B5279" s="0" t="s">
        <v>27</v>
      </c>
      <c r="C5279" s="30" t="n">
        <f aca="false">Sens!$C$5275/Sens!$C$5276</f>
        <v>5.52635015390355</v>
      </c>
      <c r="D5279" s="30" t="n">
        <f aca="false">Sens!$D$5275/Sens!$D$5276</f>
        <v>7.1737323358271</v>
      </c>
      <c r="E5279" s="30" t="n">
        <f aca="false">Sens!$E$5275/Sens!$E$5276</f>
        <v>8.53212104513937</v>
      </c>
      <c r="G5279" s="30" t="n">
        <f aca="false">Sens!$G$5275/Sens!$G$5276</f>
        <v>12.7119412886078</v>
      </c>
      <c r="H5279" s="30" t="n">
        <f aca="false">Sens!$H$5275/Sens!$H$5276</f>
        <v>9.25413266565353</v>
      </c>
      <c r="I5279" s="30" t="n">
        <f aca="false">Sens!$I$5275/Sens!$I$5276</f>
        <v>10.501928796986</v>
      </c>
      <c r="J5279" s="30" t="n">
        <f aca="false">Sens!$J$5275/Sens!$J$5276</f>
        <v>11.7331442492472</v>
      </c>
      <c r="K5279" s="30" t="n">
        <f aca="false">Sens!$K$5275/Sens!$K$5276</f>
        <v>12.5916984657939</v>
      </c>
      <c r="L5279" s="30" t="n">
        <f aca="false">Sens!$L$5275/Sens!$L$5276</f>
        <v>13.8005028307662</v>
      </c>
      <c r="M5279" s="30" t="n">
        <f aca="false">Sens!$M$5275/Sens!$M$5276</f>
        <v>15.1560342746184</v>
      </c>
    </row>
    <row r="5280" customFormat="false" ht="17.15" hidden="false" customHeight="false" outlineLevel="0" collapsed="false">
      <c r="A5280" s="0" t="s">
        <v>753</v>
      </c>
      <c r="B5280" s="0" t="s">
        <v>27</v>
      </c>
      <c r="C5280" s="30" t="n">
        <f aca="false">(Sens!$C$5275-Sens!$C$5272*(1-tax))/Sens!$C$5276</f>
        <v>5.33926775917445</v>
      </c>
      <c r="D5280" s="30" t="n">
        <f aca="false">(Sens!$D$5275-Sens!$D$5272*(1-tax))/Sens!$D$5276</f>
        <v>5.67691812755503</v>
      </c>
      <c r="E5280" s="30" t="n">
        <f aca="false">(Sens!$E$5275-Sens!$E$5272*(1-tax))/Sens!$E$5276</f>
        <v>3.10602057006846</v>
      </c>
      <c r="G5280" s="30" t="n">
        <f aca="false">(Sens!$G$5275-Sens!$G$5272*(1-tax))/Sens!$G$5276</f>
        <v>7.30387317071086</v>
      </c>
      <c r="H5280" s="30" t="n">
        <f aca="false">(Sens!$H$5275-Sens!$H$5272*(1-tax))/Sens!$H$5276</f>
        <v>9.25413266565353</v>
      </c>
      <c r="I5280" s="30" t="n">
        <f aca="false">(Sens!$I$5275-Sens!$I$5272*(1-tax))/Sens!$I$5276</f>
        <v>10.501928796986</v>
      </c>
      <c r="J5280" s="30" t="n">
        <f aca="false">(Sens!$J$5275-Sens!$J$5272*(1-tax))/Sens!$J$5276</f>
        <v>11.7331442492472</v>
      </c>
      <c r="K5280" s="30" t="n">
        <f aca="false">(Sens!$K$5275-Sens!$K$5272*(1-tax))/Sens!$K$5276</f>
        <v>12.5916984657939</v>
      </c>
      <c r="L5280" s="30" t="n">
        <f aca="false">(Sens!$L$5275-Sens!$L$5272*(1-tax))/Sens!$L$5276</f>
        <v>13.8005028307662</v>
      </c>
      <c r="M5280" s="30" t="n">
        <f aca="false">(Sens!$M$5275-Sens!$M$5272*(1-tax))/Sens!$M$5276</f>
        <v>15.1560342746184</v>
      </c>
      <c r="P5280" s="5" t="s">
        <v>754</v>
      </c>
    </row>
    <row r="5281" customFormat="false" ht="17.15" hidden="false" customHeight="false" outlineLevel="0" collapsed="false">
      <c r="A5281" s="0" t="s">
        <v>755</v>
      </c>
      <c r="B5281" s="0" t="s">
        <v>52</v>
      </c>
      <c r="H5281" s="13" t="n">
        <f aca="false">Sens!$H$5278/Sens!$G$5278-1</f>
        <v>-0.200437527439553</v>
      </c>
      <c r="I5281" s="13" t="n">
        <f aca="false">Sens!$I$5278/Sens!$H$5278-1</f>
        <v>0.193840499705158</v>
      </c>
      <c r="J5281" s="13" t="n">
        <f aca="false">Sens!$J$5278/Sens!$I$5278-1</f>
        <v>0.160320047899391</v>
      </c>
      <c r="K5281" s="13" t="n">
        <f aca="false">Sens!$K$5278/Sens!$J$5278-1</f>
        <v>0.103613654983436</v>
      </c>
      <c r="L5281" s="13" t="n">
        <f aca="false">Sens!$L$5278/Sens!$K$5278-1</f>
        <v>0.101286536865904</v>
      </c>
      <c r="M5281" s="13" t="n">
        <f aca="false">Sens!$M$5278/Sens!$L$5278-1</f>
        <v>0.0873374305400994</v>
      </c>
    </row>
    <row r="5284" customFormat="false" ht="19.4" hidden="false" customHeight="false" outlineLevel="0" collapsed="false">
      <c r="A5284" s="31" t="s">
        <v>1235</v>
      </c>
    </row>
    <row r="5285" customFormat="false" ht="17.15" hidden="false" customHeight="false" outlineLevel="0" collapsed="false">
      <c r="A5285" s="6" t="s">
        <v>16</v>
      </c>
      <c r="B5285" s="6" t="s">
        <v>17</v>
      </c>
      <c r="C5285" s="20" t="s">
        <v>494</v>
      </c>
      <c r="D5285" s="20" t="s">
        <v>495</v>
      </c>
      <c r="E5285" s="20" t="s">
        <v>577</v>
      </c>
      <c r="F5285" s="20" t="s">
        <v>578</v>
      </c>
      <c r="G5285" s="20" t="s">
        <v>579</v>
      </c>
      <c r="H5285" s="20" t="s">
        <v>580</v>
      </c>
      <c r="I5285" s="20" t="s">
        <v>581</v>
      </c>
      <c r="J5285" s="20" t="s">
        <v>582</v>
      </c>
      <c r="K5285" s="20" t="s">
        <v>583</v>
      </c>
      <c r="L5285" s="20" t="s">
        <v>584</v>
      </c>
      <c r="M5285" s="20" t="s">
        <v>585</v>
      </c>
      <c r="N5285" s="20" t="s">
        <v>586</v>
      </c>
      <c r="O5285" s="20" t="s">
        <v>587</v>
      </c>
      <c r="P5285" s="6" t="s">
        <v>23</v>
      </c>
      <c r="R5285" s="20" t="n">
        <v>2023</v>
      </c>
      <c r="S5285" s="20" t="n">
        <v>2024</v>
      </c>
      <c r="T5285" s="20" t="n">
        <v>2025</v>
      </c>
      <c r="U5285" s="20" t="n">
        <v>2026</v>
      </c>
      <c r="V5285" s="20" t="n">
        <v>2027</v>
      </c>
      <c r="W5285" s="20" t="n">
        <v>2028</v>
      </c>
      <c r="X5285" s="20" t="n">
        <v>2029</v>
      </c>
      <c r="Y5285" s="20" t="n">
        <v>2030</v>
      </c>
      <c r="Z5285" s="20" t="n">
        <v>2031</v>
      </c>
      <c r="AA5285" s="20" t="n">
        <v>2032</v>
      </c>
    </row>
    <row r="5286" customFormat="false" ht="15" hidden="false" customHeight="false" outlineLevel="0" collapsed="false">
      <c r="A5286" s="5" t="s">
        <v>546</v>
      </c>
      <c r="B5286" s="0" t="s">
        <v>86</v>
      </c>
      <c r="C5286" s="38" t="n">
        <f aca="false">Sens!$C$5275</f>
        <v>59.248</v>
      </c>
      <c r="D5286" s="38" t="n">
        <f aca="false">Sens!$D$5275</f>
        <v>77.67</v>
      </c>
      <c r="E5286" s="38" t="n">
        <f aca="false">Sens!$E$5275</f>
        <v>92.902</v>
      </c>
      <c r="F5286" s="38" t="n">
        <f aca="false">Sens!$F$5275</f>
        <v>45.9734924614306</v>
      </c>
      <c r="G5286" s="38" t="n">
        <f aca="false">Sens!$G$5275</f>
        <v>138.875492461431</v>
      </c>
      <c r="H5286" s="38" t="n">
        <f aca="false">Sens!$H$5275</f>
        <v>101.908400903092</v>
      </c>
      <c r="I5286" s="38" t="n">
        <f aca="false">Sens!$I$5275</f>
        <v>116.574582106835</v>
      </c>
      <c r="J5286" s="38" t="n">
        <f aca="false">Sens!$J$5275</f>
        <v>131.283377121365</v>
      </c>
      <c r="K5286" s="38" t="n">
        <f aca="false">Sens!$K$5275</f>
        <v>142.016948609195</v>
      </c>
      <c r="L5286" s="38" t="n">
        <f aca="false">Sens!$L$5275</f>
        <v>156.895795199921</v>
      </c>
      <c r="M5286" s="38" t="n">
        <f aca="false">Sens!$M$5275</f>
        <v>173.685076796377</v>
      </c>
    </row>
    <row r="5287" customFormat="false" ht="17.15" hidden="false" customHeight="false" outlineLevel="0" collapsed="false">
      <c r="A5287" s="5" t="s">
        <v>778</v>
      </c>
      <c r="B5287" s="0" t="s">
        <v>86</v>
      </c>
      <c r="C5287" s="38" t="n">
        <f aca="false">Sens!$C$5263</f>
        <v>32.067</v>
      </c>
      <c r="D5287" s="38" t="n">
        <f aca="false">Sens!$D$5263</f>
        <v>41.86</v>
      </c>
      <c r="E5287" s="38" t="n">
        <f aca="false">Sens!$E$5263</f>
        <v>26.703</v>
      </c>
      <c r="F5287" s="38" t="n">
        <f aca="false">Sens!$F$5263</f>
        <v>29.2913179650864</v>
      </c>
      <c r="G5287" s="38" t="n">
        <f aca="false">Sens!$G$5263</f>
        <v>55.9943179650864</v>
      </c>
      <c r="H5287" s="38" t="n">
        <f aca="false">Sens!$H$5263</f>
        <v>84.3163410985152</v>
      </c>
      <c r="I5287" s="38" t="n">
        <f aca="false">Sens!$I$5263</f>
        <v>117.040344991004</v>
      </c>
      <c r="J5287" s="38" t="n">
        <f aca="false">Sens!$J$5263</f>
        <v>150.498981474685</v>
      </c>
      <c r="K5287" s="38" t="n">
        <f aca="false">Sens!$K$5263</f>
        <v>184.188121970284</v>
      </c>
      <c r="L5287" s="38" t="n">
        <f aca="false">Sens!$L$5263</f>
        <v>207.768718060808</v>
      </c>
      <c r="M5287" s="38" t="n">
        <f aca="false">Sens!$M$5263</f>
        <v>224.003934647752</v>
      </c>
    </row>
    <row r="5288" customFormat="false" ht="15" hidden="false" customHeight="false" outlineLevel="0" collapsed="false">
      <c r="A5288" s="5" t="s">
        <v>779</v>
      </c>
      <c r="B5288" s="0" t="s">
        <v>86</v>
      </c>
      <c r="C5288" s="38" t="n">
        <f aca="false">Q!$D$48</f>
        <v>22.011</v>
      </c>
      <c r="D5288" s="38" t="n">
        <f aca="false">Q!$E$48</f>
        <v>19.467</v>
      </c>
      <c r="E5288" s="38" t="n">
        <f aca="false">Q!$P$48</f>
        <v>10.07</v>
      </c>
      <c r="F5288" s="38" t="n">
        <f aca="false">sbc_r*Sens!$F$5205</f>
        <v>10.8507035798037</v>
      </c>
      <c r="G5288" s="38" t="n">
        <f aca="false">Sens!$E$5288+Sens!$F$5288</f>
        <v>20.9207035798037</v>
      </c>
      <c r="H5288" s="38" t="n">
        <f aca="false">sbc_r*Sens!$H$5205</f>
        <v>23.46224366345</v>
      </c>
      <c r="I5288" s="38" t="n">
        <f aca="false">sbc_r*Sens!$I$5205</f>
        <v>26.6125957111676</v>
      </c>
      <c r="J5288" s="38" t="n">
        <f aca="false">sbc_r*Sens!$J$5205</f>
        <v>29.6280801413323</v>
      </c>
      <c r="K5288" s="38" t="n">
        <f aca="false">sbc_r*Sens!$K$5205</f>
        <v>32.2712258901105</v>
      </c>
      <c r="L5288" s="38" t="n">
        <f aca="false">sbc_r*Sens!$L$5205</f>
        <v>34.7390505016737</v>
      </c>
      <c r="M5288" s="38" t="n">
        <f aca="false">sbc_r*Sens!$M$5205</f>
        <v>37.0405146906692</v>
      </c>
    </row>
    <row r="5289" customFormat="false" ht="17.15" hidden="false" customHeight="false" outlineLevel="0" collapsed="false">
      <c r="A5289" s="5" t="s">
        <v>780</v>
      </c>
      <c r="B5289" s="0" t="s">
        <v>86</v>
      </c>
      <c r="C5289" s="38" t="n">
        <f aca="false">Q!$D$44-Sens!$C$5286-Sens!$C$5287-Sens!$C$5288</f>
        <v>2.551</v>
      </c>
      <c r="D5289" s="38" t="n">
        <f aca="false">Q!$E$44-Sens!$D$5286-Sens!$D$5287-Sens!$D$5288</f>
        <v>0.51700000000001</v>
      </c>
      <c r="E5289" s="38" t="n">
        <f aca="false">Q!$P$44-Sens!$E$5286-Sens!$E$5287-Sens!$E$5288</f>
        <v>-58.256</v>
      </c>
      <c r="F5289" s="38" t="n">
        <f aca="false">oth_r*Sens!$F$5205</f>
        <v>5.22265251035878</v>
      </c>
      <c r="G5289" s="38" t="n">
        <f aca="false">Sens!$E$5289+Sens!$F$5289</f>
        <v>-53.0333474896412</v>
      </c>
      <c r="H5289" s="38" t="n">
        <f aca="false">oth_r*Sens!$H$5205</f>
        <v>11.2928295263397</v>
      </c>
      <c r="I5289" s="38" t="n">
        <f aca="false">oth_r*Sens!$I$5205</f>
        <v>12.8091546115766</v>
      </c>
      <c r="J5289" s="38" t="n">
        <f aca="false">oth_r*Sens!$J$5205</f>
        <v>14.2605653162668</v>
      </c>
      <c r="K5289" s="38" t="n">
        <f aca="false">oth_r*Sens!$K$5205</f>
        <v>15.5327622460396</v>
      </c>
      <c r="L5289" s="38" t="n">
        <f aca="false">oth_r*Sens!$L$5205</f>
        <v>16.720573737517</v>
      </c>
      <c r="M5289" s="38" t="n">
        <f aca="false">oth_r*Sens!$M$5205</f>
        <v>17.8283127551536</v>
      </c>
      <c r="P5289" s="8" t="s">
        <v>781</v>
      </c>
    </row>
    <row r="5290" customFormat="false" ht="15" hidden="false" customHeight="false" outlineLevel="0" collapsed="false">
      <c r="A5290" s="3" t="s">
        <v>552</v>
      </c>
      <c r="B5290" s="8" t="s">
        <v>86</v>
      </c>
      <c r="C5290" s="38" t="n">
        <f aca="false">Q!$D$44</f>
        <v>115.877</v>
      </c>
      <c r="D5290" s="38" t="n">
        <f aca="false">Q!$E$44</f>
        <v>139.514</v>
      </c>
      <c r="E5290" s="38" t="n">
        <f aca="false">Q!$P$44</f>
        <v>71.419</v>
      </c>
      <c r="F5290" s="38" t="n">
        <f aca="false">Sens!$F$5286+Sens!$F$5287+Sens!$F$5288+Sens!$F$5289</f>
        <v>91.3381665166794</v>
      </c>
      <c r="G5290" s="38" t="n">
        <f aca="false">Sens!$E$5290+Sens!$F$5290</f>
        <v>162.757166516679</v>
      </c>
      <c r="H5290" s="38" t="n">
        <f aca="false">Sens!$H$5286+Sens!$H$5287+Sens!$H$5288+Sens!$H$5289</f>
        <v>220.979815191397</v>
      </c>
      <c r="I5290" s="38" t="n">
        <f aca="false">Sens!$I$5286+Sens!$I$5287+Sens!$I$5288+Sens!$I$5289</f>
        <v>273.036677420583</v>
      </c>
      <c r="J5290" s="38" t="n">
        <f aca="false">Sens!$J$5286+Sens!$J$5287+Sens!$J$5288+Sens!$J$5289</f>
        <v>325.671004053649</v>
      </c>
      <c r="K5290" s="38" t="n">
        <f aca="false">Sens!$K$5286+Sens!$K$5287+Sens!$K$5288+Sens!$K$5289</f>
        <v>374.009058715629</v>
      </c>
      <c r="L5290" s="38" t="n">
        <f aca="false">Sens!$L$5286+Sens!$L$5287+Sens!$L$5288+Sens!$L$5289</f>
        <v>416.124137499919</v>
      </c>
      <c r="M5290" s="38" t="n">
        <f aca="false">Sens!$M$5286+Sens!$M$5287+Sens!$M$5288+Sens!$M$5289</f>
        <v>452.557838889952</v>
      </c>
    </row>
    <row r="5291" customFormat="false" ht="17.15" hidden="false" customHeight="false" outlineLevel="0" collapsed="false">
      <c r="A5291" s="5" t="s">
        <v>782</v>
      </c>
      <c r="B5291" s="0" t="s">
        <v>86</v>
      </c>
      <c r="C5291" s="38" t="n">
        <f aca="false">Sens!$C$5174</f>
        <v>25.2781053077374</v>
      </c>
      <c r="D5291" s="38" t="n">
        <f aca="false">Sens!$D$5174</f>
        <v>69.5686316310026</v>
      </c>
      <c r="E5291" s="38" t="n">
        <f aca="false">Sens!$E$5174</f>
        <v>64.1899206485108</v>
      </c>
      <c r="F5291" s="38" t="n">
        <f aca="false">Sens!$F$5174</f>
        <v>96.2481299895</v>
      </c>
      <c r="G5291" s="38" t="n">
        <f aca="false">Sens!$G$5174</f>
        <v>160.438050638011</v>
      </c>
      <c r="H5291" s="38" t="n">
        <f aca="false">Sens!$H$5174</f>
        <v>198.57136494475</v>
      </c>
      <c r="I5291" s="38" t="n">
        <f aca="false">Sens!$I$5174</f>
        <v>204.6464699105</v>
      </c>
      <c r="J5291" s="38" t="n">
        <f aca="false">Sens!$J$5174</f>
        <v>209.8832381105</v>
      </c>
      <c r="K5291" s="38" t="n">
        <f aca="false">Sens!$K$5174</f>
        <v>155.238385275201</v>
      </c>
      <c r="L5291" s="38" t="n">
        <f aca="false">Sens!$L$5174</f>
        <v>132.014141639902</v>
      </c>
      <c r="M5291" s="38" t="n">
        <f aca="false">Sens!$M$5174</f>
        <v>132.230981659852</v>
      </c>
    </row>
    <row r="5292" customFormat="false" ht="17.15" hidden="false" customHeight="false" outlineLevel="0" collapsed="false">
      <c r="A5292" s="5" t="s">
        <v>783</v>
      </c>
      <c r="B5292" s="0" t="s">
        <v>86</v>
      </c>
      <c r="C5292" s="38" t="n">
        <f aca="false">cx_awso*Sens!$C$5203</f>
        <v>21.0469989286053</v>
      </c>
      <c r="D5292" s="38" t="n">
        <f aca="false">cx_awso*Sens!$D$5203</f>
        <v>24.0042459822698</v>
      </c>
      <c r="E5292" s="38" t="n">
        <f aca="false">cx_awso*Sens!$E$5203</f>
        <v>14.261729404886</v>
      </c>
      <c r="F5292" s="38" t="n">
        <f aca="false">cx_awso*Sens!$F$5203</f>
        <v>14.3538599588493</v>
      </c>
      <c r="G5292" s="38" t="n">
        <f aca="false">Sens!$E$5292+Sens!$F$5292</f>
        <v>28.6155893637353</v>
      </c>
      <c r="H5292" s="38" t="n">
        <f aca="false">cx_awso*Sens!$H$5203</f>
        <v>32.2034154158406</v>
      </c>
      <c r="I5292" s="38" t="n">
        <f aca="false">cx_awso*Sens!$I$5203</f>
        <v>35.7539519042915</v>
      </c>
      <c r="J5292" s="38" t="n">
        <f aca="false">cx_awso*Sens!$J$5203</f>
        <v>39.1551076091815</v>
      </c>
      <c r="K5292" s="38" t="n">
        <f aca="false">cx_awso*Sens!$K$5203</f>
        <v>42.287516217916</v>
      </c>
      <c r="L5292" s="38" t="n">
        <f aca="false">cx_awso*Sens!$L$5203</f>
        <v>45.6705175153492</v>
      </c>
      <c r="M5292" s="38" t="n">
        <f aca="false">cx_awso*Sens!$M$5203</f>
        <v>49.3241589165772</v>
      </c>
    </row>
    <row r="5293" customFormat="false" ht="17.15" hidden="false" customHeight="false" outlineLevel="0" collapsed="false">
      <c r="A5293" s="5" t="s">
        <v>784</v>
      </c>
      <c r="B5293" s="0" t="s">
        <v>86</v>
      </c>
      <c r="C5293" s="38" t="n">
        <f aca="false">Q!$D$46-Sens!$C$5291-Sens!$C$5292</f>
        <v>31.3328957636573</v>
      </c>
      <c r="D5293" s="38" t="n">
        <f aca="false">Q!$E$46-Sens!$D$5291-Sens!$D$5292</f>
        <v>34.7471223867276</v>
      </c>
      <c r="E5293" s="38" t="n">
        <f aca="false">Q!$P$46-Sens!$E$5291-Sens!$E$5292</f>
        <v>17.8583499466032</v>
      </c>
      <c r="F5293" s="38" t="n">
        <f aca="false">cx_rt*Sens!$F$5137</f>
        <v>20.6195895799373</v>
      </c>
      <c r="G5293" s="38" t="n">
        <f aca="false">Sens!$E$5293+Sens!$F$5293</f>
        <v>38.4779395265405</v>
      </c>
      <c r="H5293" s="38" t="n">
        <f aca="false">cx_rt*Sens!$H$5137</f>
        <v>42.5978994743075</v>
      </c>
      <c r="I5293" s="38" t="n">
        <f aca="false">cx_rt*Sens!$I$5137</f>
        <v>46.5813904136335</v>
      </c>
      <c r="J5293" s="38" t="n">
        <f aca="false">cx_rt*Sens!$J$5137</f>
        <v>50.2781676586844</v>
      </c>
      <c r="K5293" s="38" t="n">
        <f aca="false">cx_rt*Sens!$K$5137</f>
        <v>53.5312440191755</v>
      </c>
      <c r="L5293" s="38" t="n">
        <f aca="false">cx_rt*Sens!$L$5137</f>
        <v>57.0116717051447</v>
      </c>
      <c r="M5293" s="38" t="n">
        <f aca="false">cx_rt*Sens!$M$5137</f>
        <v>60.7365554669226</v>
      </c>
    </row>
    <row r="5294" customFormat="false" ht="15" hidden="false" customHeight="false" outlineLevel="0" collapsed="false">
      <c r="A5294" s="3" t="s">
        <v>785</v>
      </c>
      <c r="B5294" s="8" t="s">
        <v>86</v>
      </c>
      <c r="C5294" s="38" t="n">
        <f aca="false">Q!$D$46</f>
        <v>77.658</v>
      </c>
      <c r="D5294" s="38" t="n">
        <f aca="false">Q!$E$46</f>
        <v>128.32</v>
      </c>
      <c r="E5294" s="38" t="n">
        <f aca="false">Q!$P$46</f>
        <v>96.31</v>
      </c>
      <c r="F5294" s="38" t="n">
        <f aca="false">Sens!$F$5291+Sens!$F$5292+Sens!$F$5293</f>
        <v>131.221579528287</v>
      </c>
      <c r="G5294" s="38" t="n">
        <f aca="false">Sens!$E$5294+Sens!$F$5294</f>
        <v>227.531579528287</v>
      </c>
      <c r="H5294" s="38" t="n">
        <f aca="false">Sens!$H$5291+Sens!$H$5292+Sens!$H$5293</f>
        <v>273.372679834898</v>
      </c>
      <c r="I5294" s="38" t="n">
        <f aca="false">Sens!$I$5291+Sens!$I$5292+Sens!$I$5293</f>
        <v>286.981812228425</v>
      </c>
      <c r="J5294" s="38" t="n">
        <f aca="false">Sens!$J$5291+Sens!$J$5292+Sens!$J$5293</f>
        <v>299.316513378366</v>
      </c>
      <c r="K5294" s="38" t="n">
        <f aca="false">Sens!$K$5291+Sens!$K$5292+Sens!$K$5293</f>
        <v>251.057145512292</v>
      </c>
      <c r="L5294" s="38" t="n">
        <f aca="false">Sens!$L$5291+Sens!$L$5292+Sens!$L$5293</f>
        <v>234.696330860396</v>
      </c>
      <c r="M5294" s="38" t="n">
        <f aca="false">Sens!$M$5291+Sens!$M$5292+Sens!$M$5293</f>
        <v>242.291696043352</v>
      </c>
    </row>
    <row r="5295" customFormat="false" ht="17.15" hidden="false" customHeight="false" outlineLevel="0" collapsed="false">
      <c r="A5295" s="5" t="s">
        <v>560</v>
      </c>
      <c r="B5295" s="0" t="s">
        <v>86</v>
      </c>
      <c r="C5295" s="38" t="n">
        <f aca="false">Q!$D$50</f>
        <v>2.043</v>
      </c>
      <c r="D5295" s="38" t="n">
        <f aca="false">Q!$E$50</f>
        <v>1.557</v>
      </c>
      <c r="E5295" s="38" t="n">
        <f aca="false">lease_pr/2</f>
        <v>0.8</v>
      </c>
      <c r="F5295" s="38" t="n">
        <f aca="false">lease_pr/2</f>
        <v>0.8</v>
      </c>
      <c r="G5295" s="38" t="n">
        <f aca="false">Sens!$E$5295+Sens!$F$5295</f>
        <v>1.6</v>
      </c>
      <c r="H5295" s="38" t="n">
        <f aca="false">lease_pr</f>
        <v>1.6</v>
      </c>
      <c r="I5295" s="38" t="n">
        <f aca="false">lease_pr</f>
        <v>1.6</v>
      </c>
      <c r="J5295" s="38" t="n">
        <f aca="false">lease_pr</f>
        <v>1.6</v>
      </c>
      <c r="K5295" s="38" t="n">
        <f aca="false">lease_pr</f>
        <v>1.6</v>
      </c>
      <c r="L5295" s="38" t="n">
        <f aca="false">lease_pr</f>
        <v>1.6</v>
      </c>
      <c r="M5295" s="38" t="n">
        <f aca="false">lease_pr</f>
        <v>1.6</v>
      </c>
      <c r="P5295" s="8" t="s">
        <v>786</v>
      </c>
    </row>
    <row r="5296" customFormat="false" ht="15" hidden="false" customHeight="false" outlineLevel="0" collapsed="false">
      <c r="A5296" s="47" t="s">
        <v>787</v>
      </c>
      <c r="B5296" s="14" t="s">
        <v>86</v>
      </c>
      <c r="C5296" s="48" t="n">
        <f aca="false">Sens!$C$5290-Sens!$C$5294-Sens!$C$5295</f>
        <v>36.176</v>
      </c>
      <c r="D5296" s="48" t="n">
        <f aca="false">Sens!$D$5290-Sens!$D$5294-Sens!$D$5295</f>
        <v>9.63700000000002</v>
      </c>
      <c r="E5296" s="48" t="n">
        <f aca="false">Sens!$E$5290-Sens!$E$5294-Sens!$E$5295</f>
        <v>-25.691</v>
      </c>
      <c r="F5296" s="48" t="n">
        <f aca="false">Sens!$F$5290-Sens!$F$5294-Sens!$F$5295</f>
        <v>-40.6834130116072</v>
      </c>
      <c r="G5296" s="48" t="n">
        <f aca="false">Sens!$G$5290-Sens!$G$5294-Sens!$G$5295</f>
        <v>-66.3744130116072</v>
      </c>
      <c r="H5296" s="48" t="n">
        <f aca="false">Sens!$H$5290-Sens!$H$5294-Sens!$H$5295</f>
        <v>-53.9928646435014</v>
      </c>
      <c r="I5296" s="48" t="n">
        <f aca="false">Sens!$I$5290-Sens!$I$5294-Sens!$I$5295</f>
        <v>-15.5451348078424</v>
      </c>
      <c r="J5296" s="48" t="n">
        <f aca="false">Sens!$J$5290-Sens!$J$5294-Sens!$J$5295</f>
        <v>24.754490675283</v>
      </c>
      <c r="K5296" s="48" t="n">
        <f aca="false">Sens!$K$5290-Sens!$K$5294-Sens!$K$5295</f>
        <v>121.351913203336</v>
      </c>
      <c r="L5296" s="48" t="n">
        <f aca="false">Sens!$L$5290-Sens!$L$5294-Sens!$L$5295</f>
        <v>179.827806639524</v>
      </c>
      <c r="M5296" s="48" t="n">
        <f aca="false">Sens!$M$5290-Sens!$M$5294-Sens!$M$5295</f>
        <v>208.6661428466</v>
      </c>
      <c r="N5296" s="14"/>
      <c r="O5296" s="14"/>
    </row>
    <row r="5297" customFormat="false" ht="17.15" hidden="false" customHeight="false" outlineLevel="0" collapsed="false">
      <c r="A5297" s="5" t="s">
        <v>788</v>
      </c>
      <c r="B5297" s="0" t="s">
        <v>86</v>
      </c>
      <c r="C5297" s="38" t="n">
        <f aca="false">dps*Sens!$C$5276</f>
        <v>0</v>
      </c>
      <c r="D5297" s="38" t="n">
        <f aca="false">dps*Sens!$D$5276</f>
        <v>0</v>
      </c>
      <c r="E5297" s="38" t="n">
        <f aca="false">dps*Sens!$E$5276</f>
        <v>0</v>
      </c>
      <c r="F5297" s="38" t="n">
        <f aca="false">0</f>
        <v>0</v>
      </c>
      <c r="G5297" s="38" t="n">
        <f aca="false">dps*Sens!$G$5276</f>
        <v>0</v>
      </c>
      <c r="H5297" s="38" t="n">
        <f aca="false">dps*Sens!$H$5276</f>
        <v>0</v>
      </c>
      <c r="I5297" s="38" t="n">
        <f aca="false">dps*Sens!$I$5276</f>
        <v>0</v>
      </c>
      <c r="J5297" s="38" t="n">
        <f aca="false">dps*Sens!$J$5276</f>
        <v>0</v>
      </c>
      <c r="K5297" s="38" t="n">
        <f aca="false">dps*Sens!$K$5276</f>
        <v>0</v>
      </c>
      <c r="L5297" s="38" t="n">
        <f aca="false">dps*Sens!$L$5276</f>
        <v>0</v>
      </c>
      <c r="M5297" s="38" t="n">
        <f aca="false">dps*Sens!$M$5276</f>
        <v>0</v>
      </c>
      <c r="P5297" s="8" t="s">
        <v>789</v>
      </c>
    </row>
    <row r="5298" customFormat="false" ht="17.15" hidden="false" customHeight="false" outlineLevel="0" collapsed="false">
      <c r="A5298" s="5" t="s">
        <v>790</v>
      </c>
      <c r="B5298" s="0" t="s">
        <v>86</v>
      </c>
      <c r="C5298" s="38" t="n">
        <f aca="false">0</f>
        <v>0</v>
      </c>
      <c r="D5298" s="38" t="n">
        <f aca="false">0</f>
        <v>0</v>
      </c>
      <c r="E5298" s="38" t="n">
        <f aca="false">0</f>
        <v>0</v>
      </c>
      <c r="F5298" s="38" t="n">
        <f aca="false">0</f>
        <v>0</v>
      </c>
      <c r="G5298" s="38" t="n">
        <f aca="false">0</f>
        <v>0</v>
      </c>
      <c r="H5298" s="38" t="n">
        <f aca="false">0</f>
        <v>0</v>
      </c>
      <c r="I5298" s="38" t="n">
        <f aca="false">0</f>
        <v>0</v>
      </c>
      <c r="J5298" s="38" t="n">
        <f aca="false">0</f>
        <v>0</v>
      </c>
      <c r="K5298" s="38" t="n">
        <f aca="false">0</f>
        <v>0</v>
      </c>
      <c r="L5298" s="38" t="n">
        <f aca="false">0</f>
        <v>0</v>
      </c>
      <c r="M5298" s="38" t="n">
        <f aca="false">0</f>
        <v>0</v>
      </c>
      <c r="P5298" s="8" t="s">
        <v>791</v>
      </c>
    </row>
    <row r="5299" customFormat="false" ht="15" hidden="false" customHeight="false" outlineLevel="0" collapsed="false">
      <c r="A5299" s="3" t="s">
        <v>792</v>
      </c>
      <c r="B5299" s="8" t="s">
        <v>86</v>
      </c>
      <c r="C5299" s="38" t="n">
        <f aca="false">Sens!$C$5296-Sens!$C$5297</f>
        <v>36.176</v>
      </c>
      <c r="D5299" s="38" t="n">
        <f aca="false">Sens!$D$5296-Sens!$D$5297</f>
        <v>9.63700000000002</v>
      </c>
      <c r="E5299" s="38" t="n">
        <f aca="false">Sens!$E$5296-Sens!$E$5297</f>
        <v>-25.691</v>
      </c>
      <c r="F5299" s="38" t="n">
        <f aca="false">Sens!$F$5296-Sens!$F$5297</f>
        <v>-40.6834130116072</v>
      </c>
      <c r="G5299" s="38" t="n">
        <f aca="false">Sens!$G$5296-Sens!$G$5297</f>
        <v>-66.3744130116072</v>
      </c>
      <c r="H5299" s="38" t="n">
        <f aca="false">Sens!$H$5296-Sens!$H$5297</f>
        <v>-53.9928646435014</v>
      </c>
      <c r="I5299" s="38" t="n">
        <f aca="false">Sens!$I$5296-Sens!$I$5297</f>
        <v>-15.5451348078424</v>
      </c>
      <c r="J5299" s="38" t="n">
        <f aca="false">Sens!$J$5296-Sens!$J$5297</f>
        <v>24.754490675283</v>
      </c>
      <c r="K5299" s="38" t="n">
        <f aca="false">Sens!$K$5296-Sens!$K$5297</f>
        <v>121.351913203336</v>
      </c>
      <c r="L5299" s="38" t="n">
        <f aca="false">Sens!$L$5296-Sens!$L$5297</f>
        <v>179.827806639524</v>
      </c>
      <c r="M5299" s="38" t="n">
        <f aca="false">Sens!$M$5296-Sens!$M$5297</f>
        <v>208.6661428466</v>
      </c>
    </row>
    <row r="5300" customFormat="false" ht="17.15" hidden="false" customHeight="false" outlineLevel="0" collapsed="false">
      <c r="A5300" s="5" t="s">
        <v>793</v>
      </c>
      <c r="B5300" s="0" t="s">
        <v>86</v>
      </c>
      <c r="E5300" s="38" t="n">
        <f aca="false">Q!$P$53</f>
        <v>39.767</v>
      </c>
      <c r="F5300" s="38" t="n">
        <f aca="false">inv_2h26</f>
        <v>21.3</v>
      </c>
      <c r="G5300" s="38" t="n">
        <f aca="false">Sens!$E$5300+Sens!$F$5300</f>
        <v>61.067</v>
      </c>
      <c r="H5300" s="39" t="n">
        <v>0</v>
      </c>
      <c r="I5300" s="39" t="n">
        <v>0</v>
      </c>
      <c r="J5300" s="39" t="n">
        <v>0</v>
      </c>
      <c r="K5300" s="39" t="n">
        <v>0</v>
      </c>
      <c r="L5300" s="39" t="n">
        <v>0</v>
      </c>
      <c r="M5300" s="39" t="n">
        <v>0</v>
      </c>
    </row>
    <row r="5301" customFormat="false" ht="17.15" hidden="false" customHeight="false" outlineLevel="0" collapsed="false">
      <c r="A5301" s="5" t="s">
        <v>794</v>
      </c>
      <c r="B5301" s="0" t="s">
        <v>86</v>
      </c>
      <c r="F5301" s="38" t="n">
        <f aca="false">iss_2h26</f>
        <v>29.249999</v>
      </c>
      <c r="G5301" s="38" t="n">
        <f aca="false">Sens!$F$5301</f>
        <v>29.249999</v>
      </c>
      <c r="H5301" s="39" t="n">
        <v>0</v>
      </c>
      <c r="I5301" s="39" t="n">
        <v>0</v>
      </c>
      <c r="J5301" s="39" t="n">
        <v>0</v>
      </c>
      <c r="K5301" s="39" t="n">
        <v>0</v>
      </c>
      <c r="L5301" s="39" t="n">
        <v>0</v>
      </c>
      <c r="M5301" s="39" t="n">
        <v>0</v>
      </c>
    </row>
    <row r="5302" customFormat="false" ht="17.15" hidden="false" customHeight="false" outlineLevel="0" collapsed="false">
      <c r="A5302" s="5" t="s">
        <v>795</v>
      </c>
      <c r="B5302" s="0" t="s">
        <v>86</v>
      </c>
      <c r="F5302" s="38" t="n">
        <f aca="false">cash_q2</f>
        <v>122.988</v>
      </c>
      <c r="G5302" s="38" t="n">
        <f aca="false">cash_q2</f>
        <v>122.988</v>
      </c>
      <c r="H5302" s="38" t="n">
        <f aca="false">Sens!$G$5305</f>
        <v>90.2545859883928</v>
      </c>
      <c r="I5302" s="38" t="n">
        <f aca="false">Sens!$H$5305</f>
        <v>50</v>
      </c>
      <c r="J5302" s="38" t="n">
        <f aca="false">Sens!$I$5305</f>
        <v>50</v>
      </c>
      <c r="K5302" s="38" t="n">
        <f aca="false">Sens!$J$5305</f>
        <v>74.7544906752831</v>
      </c>
      <c r="L5302" s="38" t="n">
        <f aca="false">Sens!$K$5305</f>
        <v>196.106403878619</v>
      </c>
      <c r="M5302" s="38" t="n">
        <f aca="false">Sens!$L$5305</f>
        <v>375.934210518143</v>
      </c>
    </row>
    <row r="5303" customFormat="false" ht="15" hidden="false" customHeight="false" outlineLevel="0" collapsed="false">
      <c r="A5303" s="5" t="s">
        <v>796</v>
      </c>
      <c r="B5303" s="0" t="s">
        <v>86</v>
      </c>
      <c r="F5303" s="38" t="n">
        <f aca="false">Sens!$F$5302+Sens!$F$5299-Sens!$F$5298-Sens!$F$5300+Sens!$F$5301</f>
        <v>90.2545859883928</v>
      </c>
      <c r="H5303" s="38" t="n">
        <f aca="false">Sens!$H$5302+Sens!$H$5299-Sens!$H$5298-Sens!$H$5300+Sens!$H$5301</f>
        <v>36.2617213448915</v>
      </c>
      <c r="I5303" s="38" t="n">
        <f aca="false">Sens!$I$5302+Sens!$I$5299-Sens!$I$5298-Sens!$I$5300+Sens!$I$5301</f>
        <v>34.4548651921577</v>
      </c>
      <c r="J5303" s="38" t="n">
        <f aca="false">Sens!$J$5302+Sens!$J$5299-Sens!$J$5298-Sens!$J$5300+Sens!$J$5301</f>
        <v>74.7544906752831</v>
      </c>
      <c r="K5303" s="38" t="n">
        <f aca="false">Sens!$K$5302+Sens!$K$5299-Sens!$K$5298-Sens!$K$5300+Sens!$K$5301</f>
        <v>196.106403878619</v>
      </c>
      <c r="L5303" s="38" t="n">
        <f aca="false">Sens!$L$5302+Sens!$L$5299-Sens!$L$5298-Sens!$L$5300+Sens!$L$5301</f>
        <v>375.934210518143</v>
      </c>
      <c r="M5303" s="38" t="n">
        <f aca="false">Sens!$M$5302+Sens!$M$5299-Sens!$M$5298-Sens!$M$5300+Sens!$M$5301</f>
        <v>584.600353364743</v>
      </c>
    </row>
    <row r="5304" customFormat="false" ht="17.15" hidden="false" customHeight="false" outlineLevel="0" collapsed="false">
      <c r="A5304" s="5" t="s">
        <v>797</v>
      </c>
      <c r="B5304" s="0" t="s">
        <v>86</v>
      </c>
      <c r="F5304" s="38" t="n">
        <f aca="false">MAX(0,min_cash-Sens!$F$5303)</f>
        <v>0</v>
      </c>
      <c r="G5304" s="38" t="n">
        <f aca="false">Sens!$F$5304</f>
        <v>0</v>
      </c>
      <c r="H5304" s="38" t="n">
        <f aca="false">MAX(0,min_cash-Sens!$H$5303)</f>
        <v>13.7382786551085</v>
      </c>
      <c r="I5304" s="38" t="n">
        <f aca="false">MAX(0,min_cash-Sens!$I$5303)</f>
        <v>15.5451348078424</v>
      </c>
      <c r="J5304" s="38" t="n">
        <f aca="false">MAX(0,min_cash-Sens!$J$5303)</f>
        <v>0</v>
      </c>
      <c r="K5304" s="38" t="n">
        <f aca="false">MAX(0,min_cash-Sens!$K$5303)</f>
        <v>0</v>
      </c>
      <c r="L5304" s="38" t="n">
        <f aca="false">MAX(0,min_cash-Sens!$L$5303)</f>
        <v>0</v>
      </c>
      <c r="M5304" s="38" t="n">
        <f aca="false">MAX(0,min_cash-Sens!$M$5303)</f>
        <v>0</v>
      </c>
      <c r="P5304" s="5" t="s">
        <v>798</v>
      </c>
    </row>
    <row r="5305" customFormat="false" ht="15" hidden="false" customHeight="false" outlineLevel="0" collapsed="false">
      <c r="A5305" s="5" t="s">
        <v>799</v>
      </c>
      <c r="B5305" s="0" t="s">
        <v>86</v>
      </c>
      <c r="D5305" s="38" t="n">
        <f aca="false">Q!$E$61</f>
        <v>123.029</v>
      </c>
      <c r="E5305" s="38" t="n">
        <f aca="false">Q!$M$61</f>
        <v>122.988</v>
      </c>
      <c r="F5305" s="38" t="n">
        <f aca="false">Sens!$F$5303+Sens!$F$5304</f>
        <v>90.2545859883928</v>
      </c>
      <c r="G5305" s="38" t="n">
        <f aca="false">Sens!$F$5305</f>
        <v>90.2545859883928</v>
      </c>
      <c r="H5305" s="38" t="n">
        <f aca="false">Sens!$H$5303+Sens!$H$5304</f>
        <v>50</v>
      </c>
      <c r="I5305" s="38" t="n">
        <f aca="false">Sens!$I$5303+Sens!$I$5304</f>
        <v>50</v>
      </c>
      <c r="J5305" s="38" t="n">
        <f aca="false">Sens!$J$5303+Sens!$J$5304</f>
        <v>74.7544906752831</v>
      </c>
      <c r="K5305" s="38" t="n">
        <f aca="false">Sens!$K$5303+Sens!$K$5304</f>
        <v>196.106403878619</v>
      </c>
      <c r="L5305" s="38" t="n">
        <f aca="false">Sens!$L$5303+Sens!$L$5304</f>
        <v>375.934210518143</v>
      </c>
      <c r="M5305" s="38" t="n">
        <f aca="false">Sens!$M$5303+Sens!$M$5304</f>
        <v>584.600353364743</v>
      </c>
    </row>
    <row r="5306" customFormat="false" ht="15" hidden="false" customHeight="false" outlineLevel="0" collapsed="false">
      <c r="A5306" s="5" t="s">
        <v>800</v>
      </c>
      <c r="B5306" s="0" t="s">
        <v>86</v>
      </c>
      <c r="D5306" s="38" t="n">
        <f aca="false">Q!$E$62</f>
        <v>68.836</v>
      </c>
      <c r="E5306" s="38" t="n">
        <f aca="false">Q!$M$62</f>
        <v>132.995</v>
      </c>
      <c r="F5306" s="38" t="n">
        <f aca="false">debt_q2+Sens!$F$5301+Sens!$F$5304</f>
        <v>162.244999</v>
      </c>
      <c r="G5306" s="38" t="n">
        <f aca="false">Sens!$F$5306</f>
        <v>162.244999</v>
      </c>
      <c r="H5306" s="38" t="n">
        <f aca="false">Sens!$G$5306+Sens!$H$5304</f>
        <v>175.983277655109</v>
      </c>
      <c r="I5306" s="38" t="n">
        <f aca="false">Sens!$H$5306+Sens!$I$5304</f>
        <v>191.528412462951</v>
      </c>
      <c r="J5306" s="38" t="n">
        <f aca="false">Sens!$I$5306+Sens!$J$5304</f>
        <v>191.528412462951</v>
      </c>
      <c r="K5306" s="38" t="n">
        <f aca="false">Sens!$J$5306+Sens!$K$5304</f>
        <v>191.528412462951</v>
      </c>
      <c r="L5306" s="38" t="n">
        <f aca="false">Sens!$K$5306+Sens!$L$5304</f>
        <v>191.528412462951</v>
      </c>
      <c r="M5306" s="38" t="n">
        <f aca="false">Sens!$L$5306+Sens!$M$5304</f>
        <v>191.528412462951</v>
      </c>
    </row>
    <row r="5307" customFormat="false" ht="15" hidden="false" customHeight="false" outlineLevel="0" collapsed="false">
      <c r="A5307" s="5" t="s">
        <v>801</v>
      </c>
      <c r="B5307" s="0" t="s">
        <v>86</v>
      </c>
      <c r="D5307" s="38" t="n">
        <f aca="false">Sens!$D$5306-Sens!$D$5305</f>
        <v>-54.193</v>
      </c>
      <c r="E5307" s="38" t="n">
        <f aca="false">Sens!$E$5306-Sens!$E$5305</f>
        <v>10.007</v>
      </c>
      <c r="F5307" s="38" t="n">
        <f aca="false">Sens!$F$5306-Sens!$F$5305</f>
        <v>71.9904130116072</v>
      </c>
      <c r="G5307" s="38" t="n">
        <f aca="false">Sens!$G$5306-Sens!$G$5305</f>
        <v>71.9904130116072</v>
      </c>
      <c r="H5307" s="38" t="n">
        <f aca="false">Sens!$H$5306-Sens!$H$5305</f>
        <v>125.983277655109</v>
      </c>
      <c r="I5307" s="38" t="n">
        <f aca="false">Sens!$I$5306-Sens!$I$5305</f>
        <v>141.528412462951</v>
      </c>
      <c r="J5307" s="38" t="n">
        <f aca="false">Sens!$J$5306-Sens!$J$5305</f>
        <v>116.773921787668</v>
      </c>
      <c r="K5307" s="38" t="n">
        <f aca="false">Sens!$K$5306-Sens!$K$5305</f>
        <v>-4.57799141566841</v>
      </c>
      <c r="L5307" s="38" t="n">
        <f aca="false">Sens!$L$5306-Sens!$L$5305</f>
        <v>-184.405798055192</v>
      </c>
      <c r="M5307" s="38" t="n">
        <f aca="false">Sens!$M$5306-Sens!$M$5305</f>
        <v>-393.071940901792</v>
      </c>
    </row>
    <row r="5308" customFormat="false" ht="17.15" hidden="false" customHeight="false" outlineLevel="0" collapsed="false">
      <c r="A5308" s="5" t="s">
        <v>802</v>
      </c>
      <c r="B5308" s="0" t="s">
        <v>86</v>
      </c>
      <c r="F5308" s="38" t="n">
        <f aca="false">debt_q2*kd_book*0.5+iss_2h26*kd_new*iss_t</f>
        <v>3.24888962733561</v>
      </c>
      <c r="H5308" s="38" t="n">
        <f aca="false">debt_q2*kd_book+(Sens!$G$5306-debt_q2)*kd_new</f>
        <v>7.42354172302123</v>
      </c>
      <c r="I5308" s="38" t="n">
        <f aca="false">debt_q2*kd_book+(Sens!$H$5306-debt_q2)*kd_new</f>
        <v>8.2931747618896</v>
      </c>
      <c r="J5308" s="38" t="n">
        <f aca="false">debt_q2*kd_book+(Sens!$I$5306-debt_q2)*kd_new</f>
        <v>9.27718179522602</v>
      </c>
      <c r="K5308" s="38" t="n">
        <f aca="false">debt_q2*kd_book+(Sens!$J$5306-debt_q2)*kd_new</f>
        <v>9.27718179522602</v>
      </c>
      <c r="L5308" s="38" t="n">
        <f aca="false">debt_q2*kd_book+(Sens!$K$5306-debt_q2)*kd_new</f>
        <v>9.27718179522602</v>
      </c>
      <c r="M5308" s="38" t="n">
        <f aca="false">debt_q2*kd_book+(Sens!$L$5306-debt_q2)*kd_new</f>
        <v>9.27718179522602</v>
      </c>
    </row>
    <row r="5309" customFormat="false" ht="17.15" hidden="false" customHeight="false" outlineLevel="0" collapsed="false">
      <c r="A5309" s="5" t="s">
        <v>803</v>
      </c>
      <c r="B5309" s="0" t="s">
        <v>86</v>
      </c>
      <c r="F5309" s="38" t="n">
        <f aca="false">cash_q2*y_cash*0.5</f>
        <v>2.59</v>
      </c>
      <c r="H5309" s="38" t="n">
        <f aca="false">Sens!$G$5305*y_cash</f>
        <v>3.80133635330174</v>
      </c>
      <c r="I5309" s="38" t="n">
        <f aca="false">Sens!$H$5305*y_cash</f>
        <v>2.10589651022864</v>
      </c>
      <c r="J5309" s="38" t="n">
        <f aca="false">Sens!$I$5305*y_cash</f>
        <v>2.10589651022864</v>
      </c>
      <c r="K5309" s="38" t="n">
        <f aca="false">Sens!$J$5305*y_cash</f>
        <v>3.14850442073996</v>
      </c>
      <c r="L5309" s="38" t="n">
        <f aca="false">Sens!$K$5305*y_cash</f>
        <v>8.25959583122945</v>
      </c>
      <c r="M5309" s="38" t="n">
        <f aca="false">Sens!$L$5305*y_cash</f>
        <v>15.8335708401143</v>
      </c>
    </row>
    <row r="5310" customFormat="false" ht="17.15" hidden="false" customHeight="false" outlineLevel="0" collapsed="false">
      <c r="A5310" s="47" t="s">
        <v>804</v>
      </c>
      <c r="B5310" s="14" t="s">
        <v>86</v>
      </c>
      <c r="C5310" s="14"/>
      <c r="D5310" s="14"/>
      <c r="E5310" s="14"/>
      <c r="F5310" s="14"/>
      <c r="G5310" s="48" t="n">
        <f aca="false">SUM(Sens!$G$5299:$K$5299)</f>
        <v>10.1939914156684</v>
      </c>
      <c r="H5310" s="14"/>
      <c r="I5310" s="14"/>
      <c r="J5310" s="14"/>
      <c r="K5310" s="14"/>
      <c r="L5310" s="14"/>
      <c r="M5310" s="14"/>
      <c r="N5310" s="14"/>
      <c r="O5310" s="14"/>
    </row>
    <row r="5311" customFormat="false" ht="17.15" hidden="false" customHeight="false" outlineLevel="0" collapsed="false">
      <c r="A5311" s="0" t="s">
        <v>770</v>
      </c>
      <c r="B5311" s="0" t="s">
        <v>86</v>
      </c>
      <c r="G5311" s="38" t="n">
        <f aca="false">SUM(Sens!$G$5304:$K$5304)</f>
        <v>29.2834134629509</v>
      </c>
    </row>
    <row r="5312" customFormat="false" ht="17.15" hidden="false" customHeight="false" outlineLevel="0" collapsed="false">
      <c r="A5312" s="24" t="s">
        <v>807</v>
      </c>
      <c r="B5312" s="25" t="s">
        <v>86</v>
      </c>
      <c r="C5312" s="25"/>
      <c r="D5312" s="25"/>
      <c r="E5312" s="25"/>
      <c r="F5312" s="25"/>
      <c r="G5312" s="41" t="n">
        <f aca="false">Sens!$G$5310-(Sens!$G$5299+Sens!$H$5299+Sens!$I$5299+Sens!$J$5299+Sens!$K$5299)</f>
        <v>0</v>
      </c>
      <c r="H5312" s="25"/>
      <c r="I5312" s="25"/>
      <c r="J5312" s="25"/>
      <c r="K5312" s="25"/>
      <c r="L5312" s="25"/>
      <c r="M5312" s="25"/>
      <c r="N5312" s="25"/>
      <c r="O5312" s="25"/>
    </row>
    <row r="5315" customFormat="false" ht="19.4" hidden="false" customHeight="false" outlineLevel="0" collapsed="false">
      <c r="A5315" s="31" t="s">
        <v>1236</v>
      </c>
    </row>
    <row r="5316" customFormat="false" ht="17.15" hidden="false" customHeight="false" outlineLevel="0" collapsed="false">
      <c r="A5316" s="6" t="s">
        <v>16</v>
      </c>
      <c r="B5316" s="6" t="s">
        <v>17</v>
      </c>
      <c r="C5316" s="20" t="s">
        <v>494</v>
      </c>
      <c r="D5316" s="20" t="s">
        <v>495</v>
      </c>
      <c r="E5316" s="20" t="s">
        <v>577</v>
      </c>
      <c r="F5316" s="20" t="s">
        <v>578</v>
      </c>
      <c r="G5316" s="20" t="s">
        <v>579</v>
      </c>
      <c r="H5316" s="20" t="s">
        <v>580</v>
      </c>
      <c r="I5316" s="20" t="s">
        <v>581</v>
      </c>
      <c r="J5316" s="20" t="s">
        <v>582</v>
      </c>
      <c r="K5316" s="20" t="s">
        <v>583</v>
      </c>
      <c r="L5316" s="20" t="s">
        <v>584</v>
      </c>
      <c r="M5316" s="20" t="s">
        <v>585</v>
      </c>
      <c r="N5316" s="20" t="s">
        <v>586</v>
      </c>
      <c r="O5316" s="20" t="s">
        <v>587</v>
      </c>
      <c r="P5316" s="6" t="s">
        <v>23</v>
      </c>
      <c r="R5316" s="20" t="n">
        <v>2023</v>
      </c>
      <c r="S5316" s="20" t="n">
        <v>2024</v>
      </c>
      <c r="T5316" s="20" t="n">
        <v>2025</v>
      </c>
      <c r="U5316" s="20" t="n">
        <v>2026</v>
      </c>
      <c r="V5316" s="20" t="n">
        <v>2027</v>
      </c>
      <c r="W5316" s="20" t="n">
        <v>2028</v>
      </c>
      <c r="X5316" s="20" t="n">
        <v>2029</v>
      </c>
      <c r="Y5316" s="20" t="n">
        <v>2030</v>
      </c>
      <c r="Z5316" s="20" t="n">
        <v>2031</v>
      </c>
      <c r="AA5316" s="20" t="n">
        <v>2032</v>
      </c>
    </row>
    <row r="5317" customFormat="false" ht="17.15" hidden="false" customHeight="false" outlineLevel="0" collapsed="false">
      <c r="A5317" s="1" t="s">
        <v>909</v>
      </c>
    </row>
    <row r="5318" customFormat="false" ht="17.15" hidden="false" customHeight="false" outlineLevel="0" collapsed="false">
      <c r="A5318" s="0" t="s">
        <v>910</v>
      </c>
      <c r="B5318" s="0" t="s">
        <v>86</v>
      </c>
      <c r="H5318" s="38" t="n">
        <f aca="false">Sens!$H$5252*(1-tax)</f>
        <v>117.433243423729</v>
      </c>
      <c r="I5318" s="38" t="n">
        <f aca="false">Sens!$I$5252*(1-tax)</f>
        <v>142.829109667048</v>
      </c>
      <c r="J5318" s="38" t="n">
        <f aca="false">Sens!$J$5252*(1-tax)</f>
        <v>166.999275189185</v>
      </c>
      <c r="K5318" s="38" t="n">
        <f aca="false">Sens!$K$5252*(1-tax)</f>
        <v>184.249088119477</v>
      </c>
      <c r="L5318" s="38" t="n">
        <f aca="false">Sens!$L$5252*(1-tax)</f>
        <v>199.752821326616</v>
      </c>
      <c r="M5318" s="38" t="n">
        <f aca="false">Sens!$M$5252*(1-tax)</f>
        <v>212.59629763103</v>
      </c>
    </row>
    <row r="5319" customFormat="false" ht="15" hidden="false" customHeight="false" outlineLevel="0" collapsed="false">
      <c r="A5319" s="5" t="s">
        <v>911</v>
      </c>
      <c r="B5319" s="0" t="s">
        <v>86</v>
      </c>
      <c r="H5319" s="38" t="n">
        <f aca="false">Sens!$H$5263</f>
        <v>84.3163410985152</v>
      </c>
      <c r="I5319" s="38" t="n">
        <f aca="false">Sens!$I$5263</f>
        <v>117.040344991004</v>
      </c>
      <c r="J5319" s="38" t="n">
        <f aca="false">Sens!$J$5263</f>
        <v>150.498981474685</v>
      </c>
      <c r="K5319" s="38" t="n">
        <f aca="false">Sens!$K$5263</f>
        <v>184.188121970284</v>
      </c>
      <c r="L5319" s="38" t="n">
        <f aca="false">Sens!$L$5263</f>
        <v>207.768718060808</v>
      </c>
      <c r="M5319" s="38" t="n">
        <f aca="false">Sens!$M$5263</f>
        <v>224.003934647752</v>
      </c>
    </row>
    <row r="5320" customFormat="false" ht="15" hidden="false" customHeight="false" outlineLevel="0" collapsed="false">
      <c r="A5320" s="5" t="s">
        <v>912</v>
      </c>
      <c r="B5320" s="0" t="s">
        <v>86</v>
      </c>
      <c r="H5320" s="38" t="n">
        <f aca="false">Sens!$H$5294</f>
        <v>273.372679834898</v>
      </c>
      <c r="I5320" s="38" t="n">
        <f aca="false">Sens!$I$5294</f>
        <v>286.981812228425</v>
      </c>
      <c r="J5320" s="38" t="n">
        <f aca="false">Sens!$J$5294</f>
        <v>299.316513378366</v>
      </c>
      <c r="K5320" s="38" t="n">
        <f aca="false">Sens!$K$5294</f>
        <v>251.057145512292</v>
      </c>
      <c r="L5320" s="38" t="n">
        <f aca="false">Sens!$L$5294</f>
        <v>234.696330860396</v>
      </c>
      <c r="M5320" s="38" t="n">
        <f aca="false">Sens!$M$5294</f>
        <v>242.291696043352</v>
      </c>
    </row>
    <row r="5321" customFormat="false" ht="15" hidden="false" customHeight="false" outlineLevel="0" collapsed="false">
      <c r="A5321" s="5" t="s">
        <v>913</v>
      </c>
      <c r="B5321" s="0" t="s">
        <v>86</v>
      </c>
      <c r="H5321" s="38" t="n">
        <f aca="false">Sens!$H$5295</f>
        <v>1.6</v>
      </c>
      <c r="I5321" s="38" t="n">
        <f aca="false">Sens!$I$5295</f>
        <v>1.6</v>
      </c>
      <c r="J5321" s="38" t="n">
        <f aca="false">Sens!$J$5295</f>
        <v>1.6</v>
      </c>
      <c r="K5321" s="38" t="n">
        <f aca="false">Sens!$K$5295</f>
        <v>1.6</v>
      </c>
      <c r="L5321" s="38" t="n">
        <f aca="false">Sens!$L$5295</f>
        <v>1.6</v>
      </c>
      <c r="M5321" s="38" t="n">
        <f aca="false">Sens!$M$5295</f>
        <v>1.6</v>
      </c>
    </row>
    <row r="5322" customFormat="false" ht="15" hidden="false" customHeight="false" outlineLevel="0" collapsed="false">
      <c r="A5322" s="5" t="s">
        <v>914</v>
      </c>
      <c r="B5322" s="0" t="s">
        <v>86</v>
      </c>
      <c r="H5322" s="38" t="n">
        <f aca="false">Sens!$H$5289</f>
        <v>11.2928295263397</v>
      </c>
      <c r="I5322" s="38" t="n">
        <f aca="false">Sens!$I$5289</f>
        <v>12.8091546115766</v>
      </c>
      <c r="J5322" s="38" t="n">
        <f aca="false">Sens!$J$5289</f>
        <v>14.2605653162668</v>
      </c>
      <c r="K5322" s="38" t="n">
        <f aca="false">Sens!$K$5289</f>
        <v>15.5327622460396</v>
      </c>
      <c r="L5322" s="38" t="n">
        <f aca="false">Sens!$L$5289</f>
        <v>16.720573737517</v>
      </c>
      <c r="M5322" s="38" t="n">
        <f aca="false">Sens!$M$5289</f>
        <v>17.8283127551536</v>
      </c>
    </row>
    <row r="5323" customFormat="false" ht="17.15" hidden="false" customHeight="false" outlineLevel="0" collapsed="false">
      <c r="A5323" s="1" t="s">
        <v>915</v>
      </c>
      <c r="B5323" s="8" t="s">
        <v>86</v>
      </c>
      <c r="H5323" s="38" t="n">
        <f aca="false">Sens!$H$5318+Sens!$H$5319-Sens!$H$5320-Sens!$H$5321+Sens!$H$5322</f>
        <v>-61.930265786314</v>
      </c>
      <c r="I5323" s="38" t="n">
        <f aca="false">Sens!$I$5318+Sens!$I$5319-Sens!$I$5320-Sens!$I$5321+Sens!$I$5322</f>
        <v>-15.9032029587969</v>
      </c>
      <c r="J5323" s="38" t="n">
        <f aca="false">Sens!$J$5318+Sens!$J$5319-Sens!$J$5320-Sens!$J$5321+Sens!$J$5322</f>
        <v>30.8423086017711</v>
      </c>
      <c r="K5323" s="38" t="n">
        <f aca="false">Sens!$K$5318+Sens!$K$5319-Sens!$K$5320-Sens!$K$5321+Sens!$K$5322</f>
        <v>131.312826823508</v>
      </c>
      <c r="L5323" s="38" t="n">
        <f aca="false">Sens!$L$5318+Sens!$L$5319-Sens!$L$5320-Sens!$L$5321+Sens!$L$5322</f>
        <v>187.945782264545</v>
      </c>
      <c r="M5323" s="38" t="n">
        <f aca="false">Sens!$M$5318+Sens!$M$5319-Sens!$M$5320-Sens!$M$5321+Sens!$M$5322</f>
        <v>210.536848990583</v>
      </c>
    </row>
    <row r="5324" customFormat="false" ht="15" hidden="false" customHeight="false" outlineLevel="0" collapsed="false">
      <c r="A5324" s="5" t="s">
        <v>916</v>
      </c>
      <c r="B5324" s="0" t="s">
        <v>57</v>
      </c>
      <c r="H5324" s="40" t="n">
        <f aca="false">1/(1+(wacc+0.01))^(2027-2026-0.5)</f>
        <v>0.943523276903728</v>
      </c>
      <c r="I5324" s="40" t="n">
        <f aca="false">1/(1+(wacc+0.01))^(2028-2026-0.5)</f>
        <v>0.839958552166526</v>
      </c>
      <c r="J5324" s="40" t="n">
        <f aca="false">1/(1+(wacc+0.01))^(2029-2026-0.5)</f>
        <v>0.747761487848991</v>
      </c>
      <c r="K5324" s="40" t="n">
        <f aca="false">1/(1+(wacc+0.01))^(2030-2026-0.5)</f>
        <v>0.665684326051463</v>
      </c>
      <c r="L5324" s="40" t="n">
        <f aca="false">1/(1+(wacc+0.01))^(2031-2026-0.5)</f>
        <v>0.592616267555198</v>
      </c>
      <c r="M5324" s="40" t="n">
        <f aca="false">1/(1+(wacc+0.01))^(2032-2026-0.5)</f>
        <v>0.527568438713552</v>
      </c>
    </row>
    <row r="5325" customFormat="false" ht="15" hidden="false" customHeight="false" outlineLevel="0" collapsed="false">
      <c r="A5325" s="5" t="s">
        <v>917</v>
      </c>
      <c r="B5325" s="0" t="s">
        <v>86</v>
      </c>
      <c r="H5325" s="38" t="n">
        <f aca="false">Sens!$H$5323*Sens!$H$5324</f>
        <v>-58.4326473142218</v>
      </c>
      <c r="I5325" s="38" t="n">
        <f aca="false">Sens!$I$5323*Sens!$I$5324</f>
        <v>-13.3580313320814</v>
      </c>
      <c r="J5325" s="38" t="n">
        <f aca="false">Sens!$J$5323*Sens!$J$5324</f>
        <v>23.0626905687581</v>
      </c>
      <c r="K5325" s="38" t="n">
        <f aca="false">Sens!$K$5323*Sens!$K$5324</f>
        <v>87.4128906259191</v>
      </c>
      <c r="L5325" s="38" t="n">
        <f aca="false">Sens!$L$5323*Sens!$L$5324</f>
        <v>111.379727988357</v>
      </c>
      <c r="M5325" s="38" t="n">
        <f aca="false">Sens!$M$5323*Sens!$M$5324</f>
        <v>111.072596713633</v>
      </c>
    </row>
    <row r="5326" customFormat="false" ht="15" hidden="false" customHeight="false" outlineLevel="0" collapsed="false">
      <c r="A5326" s="5" t="s">
        <v>918</v>
      </c>
      <c r="B5326" s="0" t="s">
        <v>86</v>
      </c>
      <c r="C5326" s="38" t="n">
        <f aca="false">SUM(Sens!$H$5325:$M$5325)</f>
        <v>261.137227250363</v>
      </c>
    </row>
    <row r="5327" customFormat="false" ht="17.15" hidden="false" customHeight="false" outlineLevel="0" collapsed="false">
      <c r="A5327" s="5" t="s">
        <v>919</v>
      </c>
      <c r="B5327" s="0" t="s">
        <v>86</v>
      </c>
      <c r="C5327" s="38" t="n">
        <f aca="false">Sens!$M$5318*(1+tg)*(1-tg/ronic)/((wacc+0.01)-tg)</f>
        <v>1725.57884652593</v>
      </c>
    </row>
    <row r="5328" customFormat="false" ht="15" hidden="false" customHeight="false" outlineLevel="0" collapsed="false">
      <c r="A5328" s="5" t="s">
        <v>920</v>
      </c>
      <c r="B5328" s="0" t="s">
        <v>86</v>
      </c>
      <c r="C5328" s="38" t="n">
        <f aca="false">Sens!$C$5327/(1+(wacc+0.01))^6</f>
        <v>858.946735329182</v>
      </c>
    </row>
    <row r="5329" customFormat="false" ht="17.15" hidden="false" customHeight="false" outlineLevel="0" collapsed="false">
      <c r="A5329" s="5" t="s">
        <v>921</v>
      </c>
      <c r="B5329" s="0" t="s">
        <v>86</v>
      </c>
      <c r="C5329" s="38" t="n">
        <f aca="false">Sens!$C$5326+Sens!$C$5328</f>
        <v>1120.08396257955</v>
      </c>
    </row>
    <row r="5330" customFormat="false" ht="17.15" hidden="false" customHeight="false" outlineLevel="0" collapsed="false">
      <c r="A5330" s="5" t="s">
        <v>922</v>
      </c>
      <c r="B5330" s="0" t="s">
        <v>52</v>
      </c>
      <c r="C5330" s="13" t="n">
        <f aca="false">Sens!$C$5328/Sens!$C$5329</f>
        <v>0.766859239151174</v>
      </c>
    </row>
    <row r="5331" customFormat="false" ht="17.15" hidden="false" customHeight="false" outlineLevel="0" collapsed="false">
      <c r="A5331" s="5" t="s">
        <v>923</v>
      </c>
      <c r="B5331" s="0" t="s">
        <v>86</v>
      </c>
      <c r="C5331" s="38" t="n">
        <f aca="false">Sens!$G$5307+fin_debt</f>
        <v>96.5114130116072</v>
      </c>
    </row>
    <row r="5332" customFormat="false" ht="17.15" hidden="false" customHeight="false" outlineLevel="0" collapsed="false">
      <c r="A5332" s="5" t="s">
        <v>924</v>
      </c>
      <c r="B5332" s="0" t="s">
        <v>86</v>
      </c>
      <c r="C5332" s="38" t="n">
        <f aca="false">(ant_val*ant_sh+oai_val*oai_sh)*(1-liq_disc)</f>
        <v>178.944</v>
      </c>
    </row>
    <row r="5333" customFormat="false" ht="15" hidden="false" customHeight="false" outlineLevel="0" collapsed="false">
      <c r="A5333" s="5" t="s">
        <v>925</v>
      </c>
      <c r="B5333" s="0" t="s">
        <v>86</v>
      </c>
      <c r="C5333" s="38" t="n">
        <f aca="false">Sens!$C$5329-Sens!$C$5331+Sens!$C$5332</f>
        <v>1202.51654956794</v>
      </c>
    </row>
    <row r="5334" customFormat="false" ht="17.15" hidden="false" customHeight="false" outlineLevel="0" collapsed="false">
      <c r="A5334" s="5" t="s">
        <v>926</v>
      </c>
      <c r="B5334" s="0" t="s">
        <v>27</v>
      </c>
      <c r="C5334" s="30" t="n">
        <f aca="false">Sens!$C$5333/sh_out</f>
        <v>111.485401738531</v>
      </c>
    </row>
    <row r="5335" customFormat="false" ht="17.15" hidden="false" customHeight="false" outlineLevel="0" collapsed="false">
      <c r="A5335" s="1" t="s">
        <v>927</v>
      </c>
      <c r="B5335" s="8" t="s">
        <v>27</v>
      </c>
      <c r="C5335" s="30" t="n">
        <f aca="false">Sens!$C$5334*(1+ke)^tp_yf-dps*tp_yf</f>
        <v>122.117635901096</v>
      </c>
    </row>
    <row r="5336" customFormat="false" ht="17.15" hidden="false" customHeight="false" outlineLevel="0" collapsed="false">
      <c r="A5336" s="3" t="s">
        <v>928</v>
      </c>
    </row>
    <row r="5337" customFormat="false" ht="17.15" hidden="false" customHeight="false" outlineLevel="0" collapsed="false">
      <c r="A5337" s="5" t="s">
        <v>929</v>
      </c>
      <c r="B5337" s="0" t="s">
        <v>86</v>
      </c>
      <c r="C5337" s="38" t="n">
        <f aca="false">(1-tp_yf)*(Sens!$H$5264+Sens!$H$5288*Sens!$H$5130/Sens!$H$5205)+tp_yf*(Sens!$I$5264+Sens!$I$5288*Sens!$I$5130/Sens!$I$5205)</f>
        <v>59.634664536349</v>
      </c>
    </row>
    <row r="5338" customFormat="false" ht="15" hidden="false" customHeight="false" outlineLevel="0" collapsed="false">
      <c r="A5338" s="5" t="s">
        <v>930</v>
      </c>
      <c r="B5338" s="0" t="s">
        <v>57</v>
      </c>
      <c r="C5338" s="30" t="n">
        <f aca="false">m_ads*m_x</f>
        <v>9.11</v>
      </c>
    </row>
    <row r="5339" customFormat="false" ht="17.15" hidden="false" customHeight="false" outlineLevel="0" collapsed="false">
      <c r="A5339" s="5" t="s">
        <v>931</v>
      </c>
      <c r="B5339" s="0" t="s">
        <v>86</v>
      </c>
      <c r="C5339" s="38" t="n">
        <f aca="false">Sens!$C$5337*Sens!$C$5338</f>
        <v>543.271793926139</v>
      </c>
    </row>
    <row r="5340" customFormat="false" ht="17.15" hidden="false" customHeight="false" outlineLevel="0" collapsed="false">
      <c r="A5340" s="5" t="s">
        <v>932</v>
      </c>
      <c r="B5340" s="0" t="s">
        <v>86</v>
      </c>
      <c r="C5340" s="38" t="n">
        <f aca="false">(1-tp_yf)*(Sens!$H$5265+Sens!$H$5288*(Sens!$H$5137-Sens!$H$5130)/Sens!$H$5205+IF(internal_ai_reading=2,1,0)*(1-ext_sh)*Sens!$H$5167)+tp_yf*(Sens!$I$5265+Sens!$I$5288*(Sens!$I$5137-Sens!$I$5130)/Sens!$I$5205+IF(internal_ai_reading=2,1,0)*(1-ext_sh)*Sens!$I$5167)</f>
        <v>51.7770728324773</v>
      </c>
    </row>
    <row r="5341" customFormat="false" ht="17.15" hidden="false" customHeight="false" outlineLevel="0" collapsed="false">
      <c r="A5341" s="5" t="s">
        <v>933</v>
      </c>
      <c r="B5341" s="0" t="s">
        <v>57</v>
      </c>
      <c r="C5341" s="30" t="n">
        <f aca="false">m_retail*m_x</f>
        <v>17.72</v>
      </c>
    </row>
    <row r="5342" customFormat="false" ht="17.15" hidden="false" customHeight="false" outlineLevel="0" collapsed="false">
      <c r="A5342" s="5" t="s">
        <v>934</v>
      </c>
      <c r="B5342" s="0" t="s">
        <v>86</v>
      </c>
      <c r="C5342" s="38" t="n">
        <f aca="false">Sens!$C$5340*Sens!$C$5341</f>
        <v>917.489730591498</v>
      </c>
    </row>
    <row r="5343" customFormat="false" ht="17.15" hidden="false" customHeight="false" outlineLevel="0" collapsed="false">
      <c r="A5343" s="0" t="s">
        <v>935</v>
      </c>
      <c r="B5343" s="0" t="s">
        <v>86</v>
      </c>
      <c r="C5343" s="38" t="n">
        <f aca="false">(1-tp_yf)*(Sens!$H$5266+Sens!$H$5288*Sens!$H$5203/Sens!$H$5205)+tp_yf*(Sens!$I$5266+Sens!$I$5288*Sens!$I$5203/Sens!$I$5205)</f>
        <v>97.3363031479074</v>
      </c>
    </row>
    <row r="5344" customFormat="false" ht="17.15" hidden="false" customHeight="false" outlineLevel="0" collapsed="false">
      <c r="A5344" s="0" t="s">
        <v>936</v>
      </c>
      <c r="B5344" s="0" t="s">
        <v>57</v>
      </c>
      <c r="C5344" s="30" t="n">
        <f aca="false">m_cloud*m_x</f>
        <v>13.82</v>
      </c>
    </row>
    <row r="5345" customFormat="false" ht="17.15" hidden="false" customHeight="false" outlineLevel="0" collapsed="false">
      <c r="A5345" s="0" t="s">
        <v>937</v>
      </c>
      <c r="B5345" s="0" t="s">
        <v>86</v>
      </c>
      <c r="C5345" s="38" t="n">
        <f aca="false">Sens!$C$5343*Sens!$C$5344</f>
        <v>1345.18770950408</v>
      </c>
    </row>
    <row r="5346" customFormat="false" ht="17.15" hidden="false" customHeight="false" outlineLevel="0" collapsed="false">
      <c r="A5346" s="0" t="s">
        <v>938</v>
      </c>
      <c r="B5346" s="0" t="s">
        <v>86</v>
      </c>
      <c r="H5346" s="38" t="n">
        <f aca="false">Sens!$H$5184-tax*Sens!$H$5185-ext_sh*Sens!$H$5174</f>
        <v>-114.686944664267</v>
      </c>
      <c r="I5346" s="38" t="n">
        <f aca="false">Sens!$I$5184-tax*Sens!$I$5185-ext_sh*Sens!$I$5174</f>
        <v>-88.3950641557111</v>
      </c>
      <c r="J5346" s="38" t="n">
        <f aca="false">Sens!$J$5184-tax*Sens!$J$5185-ext_sh*Sens!$J$5174</f>
        <v>-61.1526151740695</v>
      </c>
      <c r="K5346" s="38" t="n">
        <f aca="false">Sens!$K$5184-tax*Sens!$K$5185-ext_sh*Sens!$K$5174</f>
        <v>10.057774712684</v>
      </c>
      <c r="L5346" s="38" t="n">
        <f aca="false">Sens!$L$5184-tax*Sens!$L$5185-ext_sh*Sens!$L$5174</f>
        <v>46.6587675560356</v>
      </c>
      <c r="M5346" s="38" t="n">
        <f aca="false">Sens!$M$5184-tax*Sens!$M$5185-ext_sh*Sens!$M$5174</f>
        <v>55.3915455321129</v>
      </c>
    </row>
    <row r="5347" customFormat="false" ht="17.15" hidden="false" customHeight="false" outlineLevel="0" collapsed="false">
      <c r="A5347" s="5" t="s">
        <v>939</v>
      </c>
      <c r="B5347" s="0" t="s">
        <v>86</v>
      </c>
      <c r="H5347" s="38" t="n">
        <f aca="false">Sens!$H$5346*Sens!$H$5324</f>
        <v>-108.209801847706</v>
      </c>
      <c r="I5347" s="38" t="n">
        <f aca="false">Sens!$I$5346*Sens!$I$5324</f>
        <v>-74.2481901068983</v>
      </c>
      <c r="J5347" s="38" t="n">
        <f aca="false">Sens!$J$5346*Sens!$J$5324</f>
        <v>-45.727570508419</v>
      </c>
      <c r="K5347" s="38" t="n">
        <f aca="false">Sens!$K$5346*Sens!$K$5324</f>
        <v>6.69530298119047</v>
      </c>
      <c r="L5347" s="38" t="n">
        <f aca="false">Sens!$L$5346*Sens!$L$5324</f>
        <v>27.6507446777834</v>
      </c>
      <c r="M5347" s="38" t="n">
        <f aca="false">Sens!$M$5346*Sens!$M$5324</f>
        <v>29.2228311943074</v>
      </c>
    </row>
    <row r="5348" customFormat="false" ht="17.15" hidden="false" customHeight="false" outlineLevel="0" collapsed="false">
      <c r="A5348" s="5" t="s">
        <v>940</v>
      </c>
      <c r="B5348" s="0" t="s">
        <v>86</v>
      </c>
      <c r="C5348" s="38" t="n">
        <f aca="false">Sens!$M$5185*(1-tax)*(1+tg)*(1-tg/ronic)/((wacc+0.01)-tg)</f>
        <v>324.647310151203</v>
      </c>
    </row>
    <row r="5349" customFormat="false" ht="17.15" hidden="false" customHeight="false" outlineLevel="0" collapsed="false">
      <c r="A5349" s="0" t="s">
        <v>941</v>
      </c>
      <c r="B5349" s="0" t="s">
        <v>86</v>
      </c>
      <c r="C5349" s="38" t="n">
        <f aca="false">(SUM(Sens!$H$5347:$M$5347)+Sens!$C$5348/(1+(wacc+0.01))^6)*(1+(wacc+0.01))^tp_yf</f>
        <v>-3.31842277075215</v>
      </c>
    </row>
    <row r="5350" customFormat="false" ht="17.15" hidden="false" customHeight="false" outlineLevel="0" collapsed="false">
      <c r="A5350" s="5" t="s">
        <v>942</v>
      </c>
      <c r="B5350" s="0" t="s">
        <v>86</v>
      </c>
      <c r="C5350" s="38" t="n">
        <f aca="false">(1-tp_yf)*(Sens!$H$5267)+tp_yf*(Sens!$I$5267)</f>
        <v>74.6707041238437</v>
      </c>
    </row>
    <row r="5351" customFormat="false" ht="17.15" hidden="false" customHeight="false" outlineLevel="0" collapsed="false">
      <c r="A5351" s="5" t="s">
        <v>943</v>
      </c>
      <c r="B5351" s="0" t="s">
        <v>86</v>
      </c>
      <c r="C5351" s="38" t="n">
        <f aca="false">Sens!$C$5350*m_ai</f>
        <v>448.024224743062</v>
      </c>
    </row>
    <row r="5352" customFormat="false" ht="17.15" hidden="false" customHeight="false" outlineLevel="0" collapsed="false">
      <c r="A5352" s="0" t="s">
        <v>944</v>
      </c>
      <c r="B5352" s="0" t="s">
        <v>86</v>
      </c>
      <c r="C5352" s="38" t="n">
        <f aca="false">IF(ai_leg=1,Sens!$C$5349,Sens!$C$5351)</f>
        <v>-3.31842277075215</v>
      </c>
    </row>
    <row r="5353" customFormat="false" ht="17.15" hidden="false" customHeight="false" outlineLevel="0" collapsed="false">
      <c r="A5353" s="5" t="s">
        <v>945</v>
      </c>
      <c r="B5353" s="0" t="s">
        <v>86</v>
      </c>
      <c r="C5353" s="38" t="n">
        <f aca="false">Sens!$C$5339+Sens!$C$5342+Sens!$C$5345+Sens!$C$5352</f>
        <v>2802.63081125097</v>
      </c>
    </row>
    <row r="5354" customFormat="false" ht="17.15" hidden="false" customHeight="false" outlineLevel="0" collapsed="false">
      <c r="A5354" s="5" t="s">
        <v>946</v>
      </c>
      <c r="B5354" s="0" t="s">
        <v>86</v>
      </c>
      <c r="C5354" s="38" t="n">
        <f aca="false">Sens!$H$5307+fin_debt</f>
        <v>150.504277655109</v>
      </c>
    </row>
    <row r="5355" customFormat="false" ht="15" hidden="false" customHeight="false" outlineLevel="0" collapsed="false">
      <c r="A5355" s="5" t="s">
        <v>947</v>
      </c>
      <c r="B5355" s="0" t="s">
        <v>86</v>
      </c>
      <c r="C5355" s="38" t="n">
        <f aca="false">Sens!$C$5353-Sens!$C$5354+Sens!$C$5332</f>
        <v>2831.07053359586</v>
      </c>
    </row>
    <row r="5356" customFormat="false" ht="15" hidden="false" customHeight="false" outlineLevel="0" collapsed="false">
      <c r="A5356" s="3" t="s">
        <v>948</v>
      </c>
      <c r="B5356" s="8" t="s">
        <v>27</v>
      </c>
      <c r="C5356" s="30" t="n">
        <f aca="false">Sens!$C$5355/sh_val</f>
        <v>256.66273268339</v>
      </c>
    </row>
    <row r="5357" customFormat="false" ht="17.15" hidden="false" customHeight="false" outlineLevel="0" collapsed="false">
      <c r="A5357" s="47" t="s">
        <v>949</v>
      </c>
      <c r="B5357" s="14" t="s">
        <v>27</v>
      </c>
      <c r="C5357" s="44" t="n">
        <f aca="false">w_dcf*Sens!$C$5335+(1-w_dcf)*Sens!$C$5356</f>
        <v>189.390184292243</v>
      </c>
      <c r="D5357" s="14"/>
      <c r="E5357" s="14"/>
      <c r="F5357" s="14"/>
      <c r="G5357" s="14"/>
      <c r="H5357" s="14"/>
      <c r="I5357" s="14"/>
      <c r="J5357" s="14"/>
      <c r="K5357" s="14"/>
      <c r="L5357" s="14"/>
      <c r="M5357" s="14"/>
      <c r="N5357" s="14"/>
      <c r="O5357" s="14"/>
    </row>
    <row r="5358" customFormat="false" ht="17.15" hidden="false" customHeight="false" outlineLevel="0" collapsed="false">
      <c r="A5358" s="5" t="s">
        <v>950</v>
      </c>
      <c r="B5358" s="0" t="s">
        <v>27</v>
      </c>
      <c r="C5358" s="30" t="n">
        <f aca="false">v022_wdcf*Sens!$C$5335+(1-v022_wdcf)*Sens!$C$5356</f>
        <v>196.117439131358</v>
      </c>
    </row>
    <row r="5359" customFormat="false" ht="17.15" hidden="false" customHeight="false" outlineLevel="0" collapsed="false">
      <c r="A5359" s="5" t="s">
        <v>951</v>
      </c>
      <c r="B5359" s="0" t="s">
        <v>27</v>
      </c>
      <c r="C5359" s="30" t="n">
        <f aca="false">(Sens!$C$5355-Sens!$C$5352+Sens!$C$5351)/sh_val</f>
        <v>297.581118824874</v>
      </c>
    </row>
    <row r="5362" customFormat="false" ht="19.4" hidden="false" customHeight="false" outlineLevel="0" collapsed="false">
      <c r="A5362" s="31" t="s">
        <v>1237</v>
      </c>
    </row>
    <row r="5363" customFormat="false" ht="17.15" hidden="false" customHeight="false" outlineLevel="0" collapsed="false">
      <c r="A5363" s="6" t="s">
        <v>16</v>
      </c>
      <c r="B5363" s="6" t="s">
        <v>17</v>
      </c>
      <c r="C5363" s="20" t="s">
        <v>494</v>
      </c>
      <c r="D5363" s="20" t="s">
        <v>495</v>
      </c>
      <c r="E5363" s="20" t="s">
        <v>577</v>
      </c>
      <c r="F5363" s="20" t="s">
        <v>578</v>
      </c>
      <c r="G5363" s="20" t="s">
        <v>579</v>
      </c>
      <c r="H5363" s="20" t="s">
        <v>580</v>
      </c>
      <c r="I5363" s="20" t="s">
        <v>581</v>
      </c>
      <c r="J5363" s="20" t="s">
        <v>582</v>
      </c>
      <c r="K5363" s="20" t="s">
        <v>583</v>
      </c>
      <c r="L5363" s="20" t="s">
        <v>584</v>
      </c>
      <c r="M5363" s="20" t="s">
        <v>585</v>
      </c>
      <c r="N5363" s="20" t="s">
        <v>586</v>
      </c>
      <c r="O5363" s="20" t="s">
        <v>587</v>
      </c>
      <c r="P5363" s="6" t="s">
        <v>23</v>
      </c>
      <c r="R5363" s="20" t="n">
        <v>2023</v>
      </c>
      <c r="S5363" s="20" t="n">
        <v>2024</v>
      </c>
      <c r="T5363" s="20" t="n">
        <v>2025</v>
      </c>
      <c r="U5363" s="20" t="n">
        <v>2026</v>
      </c>
      <c r="V5363" s="20" t="n">
        <v>2027</v>
      </c>
      <c r="W5363" s="20" t="n">
        <v>2028</v>
      </c>
      <c r="X5363" s="20" t="n">
        <v>2029</v>
      </c>
      <c r="Y5363" s="20" t="n">
        <v>2030</v>
      </c>
      <c r="Z5363" s="20" t="n">
        <v>2031</v>
      </c>
      <c r="AA5363" s="20" t="n">
        <v>2032</v>
      </c>
    </row>
    <row r="5364" customFormat="false" ht="17.15" hidden="false" customHeight="false" outlineLevel="0" collapsed="false">
      <c r="A5364" s="1" t="s">
        <v>660</v>
      </c>
    </row>
    <row r="5365" customFormat="false" ht="17.15" hidden="false" customHeight="false" outlineLevel="0" collapsed="false">
      <c r="A5365" s="0" t="s">
        <v>516</v>
      </c>
      <c r="B5365" s="0" t="s">
        <v>86</v>
      </c>
      <c r="C5365" s="38" t="n">
        <f aca="false">Q!$D$10</f>
        <v>247.029</v>
      </c>
      <c r="D5365" s="38" t="n">
        <f aca="false">Q!$E$10</f>
        <v>269.287</v>
      </c>
      <c r="E5365" s="38" t="n">
        <f aca="false">Q!$P$10</f>
        <v>134.686</v>
      </c>
      <c r="F5365" s="38" t="n">
        <f aca="false">Sens!$O$5365*(1+Sens!$F$5366)*Sens!$F$5377</f>
        <v>158.293876822267</v>
      </c>
      <c r="G5365" s="38" t="n">
        <f aca="false">Sens!$E$5365+Sens!$F$5365</f>
        <v>292.979876822267</v>
      </c>
      <c r="H5365" s="38" t="n">
        <f aca="false">Sens!$G$5365*(1+Sens!$H$5366)</f>
        <v>318.184543087396</v>
      </c>
      <c r="I5365" s="38" t="n">
        <f aca="false">Sens!$H$5365*(1+Sens!$I$5366)</f>
        <v>341.736278761793</v>
      </c>
      <c r="J5365" s="38" t="n">
        <f aca="false">Sens!$I$5365*(1+Sens!$J$5366)</f>
        <v>362.927192787048</v>
      </c>
      <c r="K5365" s="38" t="n">
        <f aca="false">Sens!$J$5365*(1+Sens!$K$5366)</f>
        <v>381.0735524264</v>
      </c>
      <c r="L5365" s="38" t="n">
        <f aca="false">Sens!$K$5365*(1+Sens!$L$5366)</f>
        <v>400.12723004772</v>
      </c>
      <c r="M5365" s="38" t="n">
        <f aca="false">Sens!$L$5365*(1+Sens!$M$5366)</f>
        <v>420.133591550106</v>
      </c>
      <c r="N5365" s="38" t="n">
        <f aca="false">Q!$N$10</f>
        <v>118.892</v>
      </c>
      <c r="O5365" s="38" t="n">
        <f aca="false">Q!$O$10</f>
        <v>150.395</v>
      </c>
      <c r="P5365" s="8" t="s">
        <v>661</v>
      </c>
    </row>
    <row r="5366" customFormat="false" ht="17.15" hidden="false" customHeight="false" outlineLevel="0" collapsed="false">
      <c r="A5366" s="0" t="s">
        <v>662</v>
      </c>
      <c r="B5366" s="0" t="s">
        <v>52</v>
      </c>
      <c r="E5366" s="13" t="n">
        <f aca="false">Sens!$E$5365/Sens!$N$5365-1</f>
        <v>0.132843252699929</v>
      </c>
      <c r="F5366" s="13" t="n">
        <f aca="false">Sens!$O$5365/(Q!$F$10+Q!$G$10)-1</f>
        <v>0.0980382135842941</v>
      </c>
      <c r="G5366" s="13" t="n">
        <f aca="false">Sens!$G$5365/Sens!$D$5365-1</f>
        <v>0.0879837378791657</v>
      </c>
      <c r="H5366" s="13" t="n">
        <f aca="false">Sens!$F$5366+(g_os-Sens!$F$5366)*1/4</f>
        <v>0.0860286601882206</v>
      </c>
      <c r="I5366" s="13" t="n">
        <f aca="false">Sens!$F$5366+(g_os-Sens!$F$5366)*2/4</f>
        <v>0.074019106792147</v>
      </c>
      <c r="J5366" s="13" t="n">
        <f aca="false">Sens!$F$5366+(g_os-Sens!$F$5366)*3/4</f>
        <v>0.0620095533960735</v>
      </c>
      <c r="K5366" s="13" t="n">
        <f aca="false">Sens!$F$5366+(g_os-Sens!$F$5366)*4/4</f>
        <v>0.05</v>
      </c>
      <c r="L5366" s="13" t="n">
        <f aca="false">g_os</f>
        <v>0.05</v>
      </c>
      <c r="M5366" s="13" t="n">
        <f aca="false">g_os</f>
        <v>0.05</v>
      </c>
      <c r="P5366" s="8" t="s">
        <v>663</v>
      </c>
    </row>
    <row r="5367" customFormat="false" ht="17.15" hidden="false" customHeight="false" outlineLevel="0" collapsed="false">
      <c r="A5367" s="0" t="s">
        <v>517</v>
      </c>
      <c r="B5367" s="0" t="s">
        <v>86</v>
      </c>
      <c r="C5367" s="38" t="n">
        <f aca="false">Q!$D$11</f>
        <v>21.215</v>
      </c>
      <c r="D5367" s="38" t="n">
        <f aca="false">Q!$E$11</f>
        <v>22.561</v>
      </c>
      <c r="E5367" s="38" t="n">
        <f aca="false">Q!$P$11</f>
        <v>11.579</v>
      </c>
      <c r="F5367" s="38" t="n">
        <f aca="false">Sens!$O$5367*(1+Sens!$F$5368)*Sens!$F$5377</f>
        <v>11.5938724610325</v>
      </c>
      <c r="G5367" s="38" t="n">
        <f aca="false">Sens!$E$5367+Sens!$F$5367</f>
        <v>23.1728724610325</v>
      </c>
      <c r="H5367" s="38" t="n">
        <f aca="false">Sens!$G$5367*(1+Sens!$H$5368)</f>
        <v>24.353392759506</v>
      </c>
      <c r="I5367" s="38" t="n">
        <f aca="false">Sens!$H$5367*(1+Sens!$I$5368)</f>
        <v>25.4240338872015</v>
      </c>
      <c r="J5367" s="38" t="n">
        <f aca="false">Sens!$I$5367*(1+Sens!$J$5368)</f>
        <v>26.3642491017174</v>
      </c>
      <c r="K5367" s="38" t="n">
        <f aca="false">Sens!$J$5367*(1+Sens!$K$5368)</f>
        <v>27.155176574769</v>
      </c>
      <c r="L5367" s="38" t="n">
        <f aca="false">Sens!$K$5367*(1+Sens!$L$5368)</f>
        <v>27.969831872012</v>
      </c>
      <c r="M5367" s="38" t="n">
        <f aca="false">Sens!$L$5367*(1+Sens!$M$5368)</f>
        <v>28.8089268281724</v>
      </c>
      <c r="N5367" s="38" t="n">
        <f aca="false">Q!$N$11</f>
        <v>11.128</v>
      </c>
      <c r="O5367" s="38" t="n">
        <f aca="false">Q!$O$11</f>
        <v>11.433</v>
      </c>
      <c r="P5367" s="8" t="s">
        <v>661</v>
      </c>
    </row>
    <row r="5368" customFormat="false" ht="17.15" hidden="false" customHeight="false" outlineLevel="0" collapsed="false">
      <c r="A5368" s="0" t="s">
        <v>664</v>
      </c>
      <c r="B5368" s="0" t="s">
        <v>52</v>
      </c>
      <c r="E5368" s="13" t="n">
        <f aca="false">Sens!$E$5367/Sens!$N$5367-1</f>
        <v>0.0405283968368082</v>
      </c>
      <c r="F5368" s="13" t="n">
        <f aca="false">Sens!$O$5367/(Q!$F$11+Q!$G$11)-1</f>
        <v>0.0579254187100955</v>
      </c>
      <c r="G5368" s="13" t="n">
        <f aca="false">Sens!$G$5367/Sens!$D$5367-1</f>
        <v>0.0271208040881397</v>
      </c>
      <c r="H5368" s="13" t="n">
        <f aca="false">Sens!$F$5368+(g_ps-Sens!$F$5368)*1/4</f>
        <v>0.0509440640325716</v>
      </c>
      <c r="I5368" s="13" t="n">
        <f aca="false">Sens!$F$5368+(g_ps-Sens!$F$5368)*2/4</f>
        <v>0.0439627093550477</v>
      </c>
      <c r="J5368" s="13" t="n">
        <f aca="false">Sens!$F$5368+(g_ps-Sens!$F$5368)*3/4</f>
        <v>0.0369813546775239</v>
      </c>
      <c r="K5368" s="13" t="n">
        <f aca="false">Sens!$F$5368+(g_ps-Sens!$F$5368)*4/4</f>
        <v>0.03</v>
      </c>
      <c r="L5368" s="13" t="n">
        <f aca="false">g_ps</f>
        <v>0.03</v>
      </c>
      <c r="M5368" s="13" t="n">
        <f aca="false">g_ps</f>
        <v>0.03</v>
      </c>
      <c r="P5368" s="8" t="s">
        <v>665</v>
      </c>
    </row>
    <row r="5369" customFormat="false" ht="17.15" hidden="false" customHeight="false" outlineLevel="0" collapsed="false">
      <c r="A5369" s="0" t="s">
        <v>518</v>
      </c>
      <c r="B5369" s="0" t="s">
        <v>86</v>
      </c>
      <c r="C5369" s="38" t="n">
        <f aca="false">Q!$D$12</f>
        <v>156.146</v>
      </c>
      <c r="D5369" s="38" t="n">
        <f aca="false">Q!$E$12</f>
        <v>172.162</v>
      </c>
      <c r="E5369" s="38" t="n">
        <f aca="false">Q!$P$12</f>
        <v>88.358</v>
      </c>
      <c r="F5369" s="38" t="n">
        <f aca="false">Sens!$O$5369*(1+Sens!$F$5370)*Sens!$F$5377</f>
        <v>102.004388260171</v>
      </c>
      <c r="G5369" s="38" t="n">
        <f aca="false">Sens!$E$5369+Sens!$F$5369</f>
        <v>190.362388260171</v>
      </c>
      <c r="H5369" s="38" t="n">
        <f aca="false">Sens!$G$5369*(1+Sens!$H$5370)</f>
        <v>210.343106588311</v>
      </c>
      <c r="I5369" s="38" t="n">
        <f aca="false">Sens!$H$5369*(1+Sens!$I$5370)</f>
        <v>229.969728494648</v>
      </c>
      <c r="J5369" s="38" t="n">
        <f aca="false">Sens!$I$5369*(1+Sens!$J$5370)</f>
        <v>248.747636972598</v>
      </c>
      <c r="K5369" s="38" t="n">
        <f aca="false">Sens!$J$5369*(1+Sens!$K$5370)</f>
        <v>266.15997156068</v>
      </c>
      <c r="L5369" s="38" t="n">
        <f aca="false">Sens!$K$5369*(1+Sens!$L$5370)</f>
        <v>284.791169569927</v>
      </c>
      <c r="M5369" s="38" t="n">
        <f aca="false">Sens!$L$5369*(1+Sens!$M$5370)</f>
        <v>304.726551439822</v>
      </c>
      <c r="N5369" s="38" t="n">
        <f aca="false">Q!$N$12</f>
        <v>76.86</v>
      </c>
      <c r="O5369" s="38" t="n">
        <f aca="false">Q!$O$12</f>
        <v>95.302</v>
      </c>
      <c r="P5369" s="8" t="s">
        <v>661</v>
      </c>
    </row>
    <row r="5370" customFormat="false" ht="17.15" hidden="false" customHeight="false" outlineLevel="0" collapsed="false">
      <c r="A5370" s="0" t="s">
        <v>666</v>
      </c>
      <c r="B5370" s="0" t="s">
        <v>52</v>
      </c>
      <c r="E5370" s="13" t="n">
        <f aca="false">Sens!$E$5369/Sens!$N$5369-1</f>
        <v>0.1495966692688</v>
      </c>
      <c r="F5370" s="13" t="n">
        <f aca="false">Sens!$O$5369/(Q!$F$12+Q!$G$12)-1</f>
        <v>0.11661530890813</v>
      </c>
      <c r="G5370" s="13" t="n">
        <f aca="false">Sens!$G$5369/Sens!$D$5369-1</f>
        <v>0.105716640490767</v>
      </c>
      <c r="H5370" s="13" t="n">
        <f aca="false">Sens!$F$5370+(g_sp-Sens!$F$5370)*1/4</f>
        <v>0.104961481681098</v>
      </c>
      <c r="I5370" s="13" t="n">
        <f aca="false">Sens!$F$5370+(g_sp-Sens!$F$5370)*2/4</f>
        <v>0.0933076544540651</v>
      </c>
      <c r="J5370" s="13" t="n">
        <f aca="false">Sens!$F$5370+(g_sp-Sens!$F$5370)*3/4</f>
        <v>0.0816538272270325</v>
      </c>
      <c r="K5370" s="13" t="n">
        <f aca="false">Sens!$F$5370+(g_sp-Sens!$F$5370)*4/4</f>
        <v>0.07</v>
      </c>
      <c r="L5370" s="13" t="n">
        <f aca="false">g_sp</f>
        <v>0.07</v>
      </c>
      <c r="M5370" s="13" t="n">
        <f aca="false">g_sp</f>
        <v>0.07</v>
      </c>
      <c r="P5370" s="8" t="s">
        <v>667</v>
      </c>
    </row>
    <row r="5371" customFormat="false" ht="17.15" hidden="false" customHeight="false" outlineLevel="0" collapsed="false">
      <c r="A5371" s="0" t="s">
        <v>519</v>
      </c>
      <c r="B5371" s="0" t="s">
        <v>86</v>
      </c>
      <c r="C5371" s="38" t="n">
        <f aca="false">Q!$D$13</f>
        <v>56.214</v>
      </c>
      <c r="D5371" s="38" t="n">
        <f aca="false">Q!$E$13</f>
        <v>68.635</v>
      </c>
      <c r="E5371" s="38" t="n">
        <f aca="false">Q!$P$13</f>
        <v>37.052</v>
      </c>
      <c r="F5371" s="38" t="n">
        <f aca="false">Sens!$O$5371*(1+Sens!$F$5372)*Sens!$F$5377</f>
        <v>46.1572219944148</v>
      </c>
      <c r="G5371" s="38" t="n">
        <f aca="false">Sens!$E$5371+Sens!$F$5371</f>
        <v>83.2092219944148</v>
      </c>
      <c r="H5371" s="38" t="n">
        <f aca="false">Sens!$G$5371*(1+Sens!$H$5372)</f>
        <v>99.8969223878976</v>
      </c>
      <c r="I5371" s="38" t="n">
        <f aca="false">Sens!$H$5371*(1+Sens!$I$5372)</f>
        <v>116.583111095496</v>
      </c>
      <c r="J5371" s="38" t="n">
        <f aca="false">Sens!$I$5371*(1+Sens!$J$5372)</f>
        <v>132.148941941952</v>
      </c>
      <c r="K5371" s="38" t="n">
        <f aca="false">Sens!$J$5371*(1+Sens!$K$5372)</f>
        <v>145.363836136147</v>
      </c>
      <c r="L5371" s="38" t="n">
        <f aca="false">Sens!$K$5371*(1+Sens!$L$5372)</f>
        <v>159.900219749762</v>
      </c>
      <c r="M5371" s="38" t="n">
        <f aca="false">Sens!$L$5371*(1+Sens!$M$5372)</f>
        <v>175.890241724738</v>
      </c>
      <c r="N5371" s="38" t="n">
        <f aca="false">Q!$N$13</f>
        <v>29.615</v>
      </c>
      <c r="O5371" s="38" t="n">
        <f aca="false">Q!$O$13</f>
        <v>39.02</v>
      </c>
      <c r="P5371" s="8" t="s">
        <v>661</v>
      </c>
    </row>
    <row r="5372" customFormat="false" ht="17.15" hidden="false" customHeight="false" outlineLevel="0" collapsed="false">
      <c r="A5372" s="0" t="s">
        <v>668</v>
      </c>
      <c r="B5372" s="0" t="s">
        <v>52</v>
      </c>
      <c r="E5372" s="13" t="n">
        <f aca="false">Sens!$E$5371/Sens!$N$5371-1</f>
        <v>0.25112274185379</v>
      </c>
      <c r="F5372" s="13" t="n">
        <f aca="false">Sens!$O$5371/(Q!$F$13+Q!$G$13)-1</f>
        <v>0.234068123596572</v>
      </c>
      <c r="G5372" s="13" t="n">
        <f aca="false">Sens!$G$5371/Sens!$D$5371-1</f>
        <v>0.212343876949294</v>
      </c>
      <c r="H5372" s="13" t="n">
        <f aca="false">Sens!$F$5372+(g_ad-Sens!$F$5372)*1/4</f>
        <v>0.200551092697429</v>
      </c>
      <c r="I5372" s="13" t="n">
        <f aca="false">Sens!$F$5372+(g_ad-Sens!$F$5372)*2/4</f>
        <v>0.167034061798286</v>
      </c>
      <c r="J5372" s="13" t="n">
        <f aca="false">Sens!$F$5372+(g_ad-Sens!$F$5372)*3/4</f>
        <v>0.133517030899143</v>
      </c>
      <c r="K5372" s="13" t="n">
        <f aca="false">Sens!$F$5372+(g_ad-Sens!$F$5372)*4/4</f>
        <v>0.1</v>
      </c>
      <c r="L5372" s="13" t="n">
        <f aca="false">g_ad</f>
        <v>0.1</v>
      </c>
      <c r="M5372" s="13" t="n">
        <f aca="false">g_ad</f>
        <v>0.1</v>
      </c>
      <c r="P5372" s="8" t="s">
        <v>669</v>
      </c>
    </row>
    <row r="5373" customFormat="false" ht="17.15" hidden="false" customHeight="false" outlineLevel="0" collapsed="false">
      <c r="A5373" s="0" t="s">
        <v>520</v>
      </c>
      <c r="B5373" s="0" t="s">
        <v>86</v>
      </c>
      <c r="C5373" s="38" t="n">
        <f aca="false">Q!$D$14</f>
        <v>44.374</v>
      </c>
      <c r="D5373" s="38" t="n">
        <f aca="false">Q!$E$14</f>
        <v>49.619</v>
      </c>
      <c r="E5373" s="38" t="n">
        <f aca="false">Q!$P$14</f>
        <v>27.157</v>
      </c>
      <c r="F5373" s="38" t="n">
        <f aca="false">Sens!$O$5373*(1+Sens!$F$5374)*Sens!$F$5377</f>
        <v>27.7764165988154</v>
      </c>
      <c r="G5373" s="38" t="n">
        <f aca="false">Sens!$E$5373+Sens!$F$5373</f>
        <v>54.9334165988154</v>
      </c>
      <c r="H5373" s="38" t="n">
        <f aca="false">Sens!$G$5373*(1+Sens!$H$5374)</f>
        <v>61.1564112561829</v>
      </c>
      <c r="I5373" s="38" t="n">
        <f aca="false">Sens!$H$5373*(1+Sens!$I$5374)</f>
        <v>67.2020282103945</v>
      </c>
      <c r="J5373" s="38" t="n">
        <f aca="false">Sens!$I$5373*(1+Sens!$J$5374)</f>
        <v>72.8757274028885</v>
      </c>
      <c r="K5373" s="38" t="n">
        <f aca="false">Sens!$J$5373*(1+Sens!$K$5374)</f>
        <v>77.9770283210907</v>
      </c>
      <c r="L5373" s="38" t="n">
        <f aca="false">Sens!$K$5373*(1+Sens!$L$5374)</f>
        <v>83.4354203035671</v>
      </c>
      <c r="M5373" s="38" t="n">
        <f aca="false">Sens!$L$5373*(1+Sens!$M$5374)</f>
        <v>89.2758997248168</v>
      </c>
      <c r="N5373" s="38" t="n">
        <f aca="false">Q!$N$14</f>
        <v>23.923</v>
      </c>
      <c r="O5373" s="38" t="n">
        <f aca="false">Q!$O$14</f>
        <v>25.696</v>
      </c>
      <c r="P5373" s="8" t="s">
        <v>661</v>
      </c>
    </row>
    <row r="5374" customFormat="false" ht="17.15" hidden="false" customHeight="false" outlineLevel="0" collapsed="false">
      <c r="A5374" s="0" t="s">
        <v>670</v>
      </c>
      <c r="B5374" s="0" t="s">
        <v>52</v>
      </c>
      <c r="E5374" s="13" t="n">
        <f aca="false">Sens!$E$5373/Sens!$N$5373-1</f>
        <v>0.135183714417088</v>
      </c>
      <c r="F5374" s="13" t="n">
        <f aca="false">Sens!$O$5373/(Q!$F$14+Q!$G$14)-1</f>
        <v>0.127709997366804</v>
      </c>
      <c r="G5374" s="13" t="n">
        <f aca="false">Sens!$G$5373/Sens!$D$5373-1</f>
        <v>0.107104468022641</v>
      </c>
      <c r="H5374" s="13" t="n">
        <f aca="false">Sens!$F$5374+(g_sub-Sens!$F$5374)*1/4</f>
        <v>0.113282498025103</v>
      </c>
      <c r="I5374" s="13" t="n">
        <f aca="false">Sens!$F$5374+(g_sub-Sens!$F$5374)*2/4</f>
        <v>0.0988549986834021</v>
      </c>
      <c r="J5374" s="13" t="n">
        <f aca="false">Sens!$F$5374+(g_sub-Sens!$F$5374)*3/4</f>
        <v>0.084427499341701</v>
      </c>
      <c r="K5374" s="13" t="n">
        <f aca="false">Sens!$F$5374+(g_sub-Sens!$F$5374)*4/4</f>
        <v>0.07</v>
      </c>
      <c r="L5374" s="13" t="n">
        <f aca="false">g_sub</f>
        <v>0.07</v>
      </c>
      <c r="M5374" s="13" t="n">
        <f aca="false">g_sub</f>
        <v>0.07</v>
      </c>
      <c r="P5374" s="8" t="s">
        <v>671</v>
      </c>
    </row>
    <row r="5375" customFormat="false" ht="17.15" hidden="false" customHeight="false" outlineLevel="0" collapsed="false">
      <c r="A5375" s="0" t="s">
        <v>521</v>
      </c>
      <c r="B5375" s="0" t="s">
        <v>86</v>
      </c>
      <c r="C5375" s="38" t="n">
        <f aca="false">Q!$D$15</f>
        <v>5.425</v>
      </c>
      <c r="D5375" s="38" t="n">
        <f aca="false">Q!$E$15</f>
        <v>5.935</v>
      </c>
      <c r="E5375" s="38" t="n">
        <f aca="false">Q!$P$15</f>
        <v>3.474</v>
      </c>
      <c r="F5375" s="38" t="n">
        <f aca="false">Sens!$O$5375*(1+Sens!$F$5376)*Sens!$F$5377</f>
        <v>3.22246550883619</v>
      </c>
      <c r="G5375" s="38" t="n">
        <f aca="false">Sens!$E$5375+Sens!$F$5375</f>
        <v>6.69646550883619</v>
      </c>
      <c r="H5375" s="38" t="n">
        <f aca="false">Sens!$G$5375*(1+Sens!$H$5376)</f>
        <v>7.16251344209196</v>
      </c>
      <c r="I5375" s="38" t="n">
        <f aca="false">Sens!$H$5375*(1+Sens!$I$5376)</f>
        <v>7.61421070299826</v>
      </c>
      <c r="J5375" s="38" t="n">
        <f aca="false">Sens!$I$5375*(1+Sens!$J$5376)</f>
        <v>8.04465753523932</v>
      </c>
      <c r="K5375" s="38" t="n">
        <f aca="false">Sens!$J$5375*(1+Sens!$K$5376)</f>
        <v>8.44689041200128</v>
      </c>
      <c r="L5375" s="38" t="n">
        <f aca="false">Sens!$K$5375*(1+Sens!$L$5376)</f>
        <v>8.86923493260135</v>
      </c>
      <c r="M5375" s="38" t="n">
        <f aca="false">Sens!$L$5375*(1+Sens!$M$5376)</f>
        <v>9.31269667923142</v>
      </c>
      <c r="N5375" s="38" t="n">
        <f aca="false">Q!$N$15</f>
        <v>2.811</v>
      </c>
      <c r="O5375" s="38" t="n">
        <f aca="false">Q!$O$15</f>
        <v>3.124</v>
      </c>
      <c r="P5375" s="8" t="s">
        <v>661</v>
      </c>
    </row>
    <row r="5376" customFormat="false" ht="17.15" hidden="false" customHeight="false" outlineLevel="0" collapsed="false">
      <c r="A5376" s="0" t="s">
        <v>672</v>
      </c>
      <c r="B5376" s="0" t="s">
        <v>52</v>
      </c>
      <c r="E5376" s="13" t="n">
        <f aca="false">Sens!$E$5375/Sens!$N$5375-1</f>
        <v>0.235859124866596</v>
      </c>
      <c r="F5376" s="13" t="n">
        <f aca="false">Sens!$O$5375/(Q!$F$15+Q!$G$15)-1</f>
        <v>0.0761281433000345</v>
      </c>
      <c r="G5376" s="13" t="n">
        <f aca="false">Sens!$G$5375/Sens!$D$5375-1</f>
        <v>0.128300843948811</v>
      </c>
      <c r="H5376" s="13" t="n">
        <f aca="false">Sens!$F$5376+(g_ot-Sens!$F$5376)*1/4</f>
        <v>0.0695961074750259</v>
      </c>
      <c r="I5376" s="13" t="n">
        <f aca="false">Sens!$F$5376+(g_ot-Sens!$F$5376)*2/4</f>
        <v>0.0630640716500172</v>
      </c>
      <c r="J5376" s="13" t="n">
        <f aca="false">Sens!$F$5376+(g_ot-Sens!$F$5376)*3/4</f>
        <v>0.0565320358250086</v>
      </c>
      <c r="K5376" s="13" t="n">
        <f aca="false">Sens!$F$5376+(g_ot-Sens!$F$5376)*4/4</f>
        <v>0.05</v>
      </c>
      <c r="L5376" s="13" t="n">
        <f aca="false">g_ot</f>
        <v>0.05</v>
      </c>
      <c r="M5376" s="13" t="n">
        <f aca="false">g_ot</f>
        <v>0.05</v>
      </c>
      <c r="P5376" s="8" t="s">
        <v>673</v>
      </c>
    </row>
    <row r="5377" customFormat="false" ht="17.15" hidden="false" customHeight="false" outlineLevel="0" collapsed="false">
      <c r="A5377" s="0" t="s">
        <v>674</v>
      </c>
      <c r="B5377" s="0" t="s">
        <v>57</v>
      </c>
      <c r="F5377" s="40" t="n">
        <f aca="false">(g26q3_mid*Q!$O$8/Q!$J$8-Sens!$F$5406-Sens!$F$5410)/(Sens!$O$5365*(1+Sens!$F$5366)+Sens!$O$5367*(1+Sens!$F$5368)+Sens!$O$5369*(1+Sens!$F$5370)+Sens!$O$5371*(1+Sens!$F$5372)+Sens!$O$5373*(1+Sens!$F$5374)+Sens!$O$5375*(1+Sens!$F$5376))</f>
        <v>0.958546670622329</v>
      </c>
      <c r="P5377" s="8" t="s">
        <v>675</v>
      </c>
    </row>
    <row r="5378" customFormat="false" ht="17.15" hidden="false" customHeight="false" outlineLevel="0" collapsed="false">
      <c r="A5378" s="3" t="s">
        <v>676</v>
      </c>
      <c r="B5378" s="8" t="s">
        <v>86</v>
      </c>
      <c r="C5378" s="38" t="n">
        <f aca="false">Sens!$C$5365+Sens!$C$5367+Sens!$C$5369+Sens!$C$5371+Sens!$C$5373+Sens!$C$5375</f>
        <v>530.403</v>
      </c>
      <c r="D5378" s="38" t="n">
        <f aca="false">Sens!$D$5365+Sens!$D$5367+Sens!$D$5369+Sens!$D$5371+Sens!$D$5373+Sens!$D$5375</f>
        <v>588.199</v>
      </c>
      <c r="E5378" s="38" t="n">
        <f aca="false">Sens!$E$5365+Sens!$E$5367+Sens!$E$5369+Sens!$E$5371+Sens!$E$5373+Sens!$E$5375</f>
        <v>302.306</v>
      </c>
      <c r="F5378" s="38" t="n">
        <f aca="false">Sens!$F$5365+Sens!$F$5367+Sens!$F$5369+Sens!$F$5371+Sens!$F$5373+Sens!$F$5375</f>
        <v>349.048241645537</v>
      </c>
      <c r="G5378" s="38" t="n">
        <f aca="false">Sens!$G$5365+Sens!$G$5367+Sens!$G$5369+Sens!$G$5371+Sens!$G$5373+Sens!$G$5375</f>
        <v>651.354241645537</v>
      </c>
      <c r="H5378" s="38" t="n">
        <f aca="false">Sens!$H$5365+Sens!$H$5367+Sens!$H$5369+Sens!$H$5371+Sens!$H$5373+Sens!$H$5375</f>
        <v>721.096889521386</v>
      </c>
      <c r="I5378" s="38" t="n">
        <f aca="false">Sens!$I$5365+Sens!$I$5367+Sens!$I$5369+Sens!$I$5371+Sens!$I$5373+Sens!$I$5375</f>
        <v>788.529391152531</v>
      </c>
      <c r="J5378" s="38" t="n">
        <f aca="false">Sens!$J$5365+Sens!$J$5367+Sens!$J$5369+Sens!$J$5371+Sens!$J$5373+Sens!$J$5375</f>
        <v>851.108405741443</v>
      </c>
      <c r="K5378" s="38" t="n">
        <f aca="false">Sens!$K$5365+Sens!$K$5367+Sens!$K$5369+Sens!$K$5371+Sens!$K$5373+Sens!$K$5375</f>
        <v>906.176455431088</v>
      </c>
      <c r="L5378" s="38" t="n">
        <f aca="false">Sens!$L$5365+Sens!$L$5367+Sens!$L$5369+Sens!$L$5371+Sens!$L$5373+Sens!$L$5375</f>
        <v>965.093106475589</v>
      </c>
      <c r="M5378" s="38" t="n">
        <f aca="false">Sens!$M$5365+Sens!$M$5367+Sens!$M$5369+Sens!$M$5371+Sens!$M$5373+Sens!$M$5375</f>
        <v>1028.14790794689</v>
      </c>
      <c r="N5378" s="38" t="n">
        <f aca="false">Sens!$N$5365+Sens!$N$5367+Sens!$N$5369+Sens!$N$5371+Sens!$N$5373+Sens!$N$5375</f>
        <v>263.229</v>
      </c>
      <c r="O5378" s="38" t="n">
        <f aca="false">Sens!$O$5365+Sens!$O$5367+Sens!$O$5369+Sens!$O$5371+Sens!$O$5373+Sens!$O$5375</f>
        <v>324.97</v>
      </c>
    </row>
    <row r="5379" customFormat="false" ht="17.15" hidden="false" customHeight="false" outlineLevel="0" collapsed="false">
      <c r="A5379" s="5" t="s">
        <v>677</v>
      </c>
      <c r="B5379" s="0" t="s">
        <v>52</v>
      </c>
      <c r="C5379" s="13" t="n">
        <f aca="false">Q!$D$5/(Q!$D$5+Q!$D$6)</f>
        <v>0.730570905519011</v>
      </c>
      <c r="D5379" s="13" t="n">
        <f aca="false">Q!$E$5/(Q!$E$5+Q!$E$6)</f>
        <v>0.724763217890544</v>
      </c>
      <c r="E5379" s="13" t="n">
        <f aca="false">Q!$P$5/(Q!$P$5+Q!$P$6)</f>
        <v>0.728797972914861</v>
      </c>
      <c r="F5379" s="13" t="n">
        <f aca="false">Sens!$O$5379</f>
        <v>0.718066283041511</v>
      </c>
      <c r="G5379" s="13" t="n">
        <f aca="false">Sens!$G$5380/Sens!$G$5378</f>
        <v>0.723047066202847</v>
      </c>
      <c r="H5379" s="13" t="n">
        <f aca="false">Sens!$G$5379</f>
        <v>0.723047066202847</v>
      </c>
      <c r="I5379" s="13" t="n">
        <f aca="false">Sens!$G$5379</f>
        <v>0.723047066202847</v>
      </c>
      <c r="J5379" s="13" t="n">
        <f aca="false">Sens!$G$5379</f>
        <v>0.723047066202847</v>
      </c>
      <c r="K5379" s="13" t="n">
        <f aca="false">Sens!$G$5379</f>
        <v>0.723047066202847</v>
      </c>
      <c r="L5379" s="13" t="n">
        <f aca="false">Sens!$G$5379</f>
        <v>0.723047066202847</v>
      </c>
      <c r="M5379" s="13" t="n">
        <f aca="false">Sens!$G$5379</f>
        <v>0.723047066202847</v>
      </c>
      <c r="N5379" s="13" t="n">
        <f aca="false">Q!$N$5/(Q!$N$5+Q!$N$6)</f>
        <v>0.733030935041352</v>
      </c>
      <c r="O5379" s="13" t="n">
        <f aca="false">Q!$O$5/(Q!$O$5+Q!$O$6)</f>
        <v>0.718066283041511</v>
      </c>
      <c r="P5379" s="8" t="s">
        <v>678</v>
      </c>
    </row>
    <row r="5380" customFormat="false" ht="17.15" hidden="false" customHeight="false" outlineLevel="0" collapsed="false">
      <c r="A5380" s="1" t="s">
        <v>509</v>
      </c>
      <c r="B5380" s="8" t="s">
        <v>86</v>
      </c>
      <c r="C5380" s="38" t="n">
        <f aca="false">Q!$D$5</f>
        <v>387.497</v>
      </c>
      <c r="D5380" s="38" t="n">
        <f aca="false">Q!$E$5</f>
        <v>426.305</v>
      </c>
      <c r="E5380" s="38" t="n">
        <f aca="false">Q!$P$5</f>
        <v>220.32</v>
      </c>
      <c r="F5380" s="38" t="n">
        <f aca="false">Sens!$F$5378*Sens!$F$5379</f>
        <v>250.639773480586</v>
      </c>
      <c r="G5380" s="38" t="n">
        <f aca="false">Sens!$E$5380+Sens!$F$5380</f>
        <v>470.959773480586</v>
      </c>
      <c r="H5380" s="38" t="n">
        <f aca="false">Sens!$H$5378*Sens!$H$5379</f>
        <v>521.386990416437</v>
      </c>
      <c r="I5380" s="38" t="n">
        <f aca="false">Sens!$I$5378*Sens!$I$5379</f>
        <v>570.143862887555</v>
      </c>
      <c r="J5380" s="38" t="n">
        <f aca="false">Sens!$J$5378*Sens!$J$5379</f>
        <v>615.391435791933</v>
      </c>
      <c r="K5380" s="38" t="n">
        <f aca="false">Sens!$K$5378*Sens!$K$5379</f>
        <v>655.208227561543</v>
      </c>
      <c r="L5380" s="38" t="n">
        <f aca="false">Sens!$L$5378*Sens!$L$5379</f>
        <v>697.807739249767</v>
      </c>
      <c r="M5380" s="38" t="n">
        <f aca="false">Sens!$M$5378*Sens!$M$5379</f>
        <v>743.399328463592</v>
      </c>
      <c r="N5380" s="38" t="n">
        <f aca="false">Q!$N$5</f>
        <v>192.955</v>
      </c>
      <c r="O5380" s="38" t="n">
        <f aca="false">Q!$O$5</f>
        <v>233.35</v>
      </c>
      <c r="P5380" s="5" t="s">
        <v>679</v>
      </c>
    </row>
    <row r="5381" customFormat="false" ht="17.15" hidden="false" customHeight="false" outlineLevel="0" collapsed="false">
      <c r="A5381" s="1" t="s">
        <v>512</v>
      </c>
      <c r="B5381" s="8" t="s">
        <v>86</v>
      </c>
      <c r="C5381" s="38" t="n">
        <f aca="false">Q!$D$6</f>
        <v>142.906</v>
      </c>
      <c r="D5381" s="38" t="n">
        <f aca="false">Q!$E$6</f>
        <v>161.894</v>
      </c>
      <c r="E5381" s="38" t="n">
        <f aca="false">Q!$P$6</f>
        <v>81.986</v>
      </c>
      <c r="F5381" s="38" t="n">
        <f aca="false">Sens!$F$5378*(1-Sens!$F$5379)</f>
        <v>98.408468164951</v>
      </c>
      <c r="G5381" s="38" t="n">
        <f aca="false">Sens!$E$5381+Sens!$F$5381</f>
        <v>180.394468164951</v>
      </c>
      <c r="H5381" s="38" t="n">
        <f aca="false">Sens!$H$5378*(1-Sens!$H$5379)</f>
        <v>199.709899104949</v>
      </c>
      <c r="I5381" s="38" t="n">
        <f aca="false">Sens!$I$5378*(1-Sens!$I$5379)</f>
        <v>218.385528264976</v>
      </c>
      <c r="J5381" s="38" t="n">
        <f aca="false">Sens!$J$5378*(1-Sens!$J$5379)</f>
        <v>235.71696994951</v>
      </c>
      <c r="K5381" s="38" t="n">
        <f aca="false">Sens!$K$5378*(1-Sens!$K$5379)</f>
        <v>250.968227869545</v>
      </c>
      <c r="L5381" s="38" t="n">
        <f aca="false">Sens!$L$5378*(1-Sens!$L$5379)</f>
        <v>267.285367225822</v>
      </c>
      <c r="M5381" s="38" t="n">
        <f aca="false">Sens!$M$5378*(1-Sens!$M$5379)</f>
        <v>284.748579483295</v>
      </c>
      <c r="N5381" s="38" t="n">
        <f aca="false">Q!$N$6</f>
        <v>70.274</v>
      </c>
      <c r="O5381" s="38" t="n">
        <f aca="false">Q!$O$6</f>
        <v>91.62</v>
      </c>
      <c r="P5381" s="5" t="s">
        <v>680</v>
      </c>
    </row>
    <row r="5382" customFormat="false" ht="17.15" hidden="false" customHeight="false" outlineLevel="0" collapsed="false">
      <c r="A5382" s="5" t="s">
        <v>681</v>
      </c>
      <c r="B5382" s="0" t="s">
        <v>86</v>
      </c>
      <c r="C5382" s="38" t="n">
        <f aca="false">Sens!$C$5371*Sens!$C$5379</f>
        <v>41.0683128828457</v>
      </c>
      <c r="D5382" s="38" t="n">
        <f aca="false">Sens!$D$5371*Sens!$D$5379</f>
        <v>49.7441234599175</v>
      </c>
      <c r="E5382" s="38" t="n">
        <f aca="false">Sens!$E$5371*Sens!$E$5379</f>
        <v>27.0034224924414</v>
      </c>
      <c r="F5382" s="38" t="n">
        <f aca="false">Sens!$F$5371*Sens!$F$5379</f>
        <v>33.1439448330513</v>
      </c>
      <c r="G5382" s="38" t="n">
        <f aca="false">Sens!$G$5371*Sens!$G$5379</f>
        <v>60.164183844083</v>
      </c>
      <c r="H5382" s="38" t="n">
        <f aca="false">Sens!$H$5371*Sens!$H$5379</f>
        <v>72.2301766552629</v>
      </c>
      <c r="I5382" s="38" t="n">
        <f aca="false">Sens!$I$5371*Sens!$I$5379</f>
        <v>84.2950764463991</v>
      </c>
      <c r="J5382" s="38" t="n">
        <f aca="false">Sens!$J$5371*Sens!$J$5379</f>
        <v>95.5499047729386</v>
      </c>
      <c r="K5382" s="38" t="n">
        <f aca="false">Sens!$K$5371*Sens!$K$5379</f>
        <v>105.104895250232</v>
      </c>
      <c r="L5382" s="38" t="n">
        <f aca="false">Sens!$L$5371*Sens!$L$5379</f>
        <v>115.615384775256</v>
      </c>
      <c r="M5382" s="38" t="n">
        <f aca="false">Sens!$M$5371*Sens!$M$5379</f>
        <v>127.176923252781</v>
      </c>
      <c r="N5382" s="38" t="n">
        <f aca="false">Sens!$N$5371*Sens!$N$5379</f>
        <v>21.7087111412496</v>
      </c>
      <c r="O5382" s="38" t="n">
        <f aca="false">Sens!$O$5371*Sens!$O$5379</f>
        <v>28.0189463642798</v>
      </c>
      <c r="P5382" s="5" t="s">
        <v>682</v>
      </c>
    </row>
    <row r="5383" customFormat="false" ht="15" hidden="false" customHeight="false" outlineLevel="0" collapsed="false">
      <c r="A5383" s="5" t="s">
        <v>683</v>
      </c>
      <c r="B5383" s="0" t="s">
        <v>86</v>
      </c>
      <c r="C5383" s="38" t="n">
        <f aca="false">Sens!$C$5371-Sens!$C$5382</f>
        <v>15.1456871171543</v>
      </c>
      <c r="D5383" s="38" t="n">
        <f aca="false">Sens!$D$5371-Sens!$D$5382</f>
        <v>18.8908765400825</v>
      </c>
      <c r="E5383" s="38" t="n">
        <f aca="false">Sens!$E$5371-Sens!$E$5382</f>
        <v>10.0485775075586</v>
      </c>
      <c r="F5383" s="38" t="n">
        <f aca="false">Sens!$F$5371-Sens!$F$5382</f>
        <v>13.0132771613635</v>
      </c>
      <c r="G5383" s="38" t="n">
        <f aca="false">Sens!$G$5371-Sens!$G$5382</f>
        <v>23.0450381503318</v>
      </c>
      <c r="H5383" s="38" t="n">
        <f aca="false">Sens!$H$5371-Sens!$H$5382</f>
        <v>27.6667457326347</v>
      </c>
      <c r="I5383" s="38" t="n">
        <f aca="false">Sens!$I$5371-Sens!$I$5382</f>
        <v>32.2880346490971</v>
      </c>
      <c r="J5383" s="38" t="n">
        <f aca="false">Sens!$J$5371-Sens!$J$5382</f>
        <v>36.5990371690132</v>
      </c>
      <c r="K5383" s="38" t="n">
        <f aca="false">Sens!$K$5371-Sens!$K$5382</f>
        <v>40.2589408859145</v>
      </c>
      <c r="L5383" s="38" t="n">
        <f aca="false">Sens!$L$5371-Sens!$L$5382</f>
        <v>44.2848349745059</v>
      </c>
      <c r="M5383" s="38" t="n">
        <f aca="false">Sens!$M$5371-Sens!$M$5382</f>
        <v>48.7133184719565</v>
      </c>
      <c r="N5383" s="38" t="n">
        <f aca="false">Sens!$N$5371-Sens!$N$5382</f>
        <v>7.90628885875037</v>
      </c>
      <c r="O5383" s="38" t="n">
        <f aca="false">Sens!$O$5371-Sens!$O$5382</f>
        <v>11.0010536357202</v>
      </c>
    </row>
    <row r="5384" customFormat="false" ht="19.4" hidden="false" customHeight="false" outlineLevel="0" collapsed="false">
      <c r="A5384" s="31" t="s">
        <v>1238</v>
      </c>
    </row>
    <row r="5385" customFormat="false" ht="17.15" hidden="false" customHeight="false" outlineLevel="0" collapsed="false">
      <c r="A5385" s="6" t="s">
        <v>16</v>
      </c>
      <c r="B5385" s="6" t="s">
        <v>17</v>
      </c>
      <c r="C5385" s="20" t="s">
        <v>494</v>
      </c>
      <c r="D5385" s="20" t="s">
        <v>495</v>
      </c>
      <c r="E5385" s="20" t="s">
        <v>577</v>
      </c>
      <c r="F5385" s="20" t="s">
        <v>578</v>
      </c>
      <c r="G5385" s="20" t="s">
        <v>579</v>
      </c>
      <c r="H5385" s="20" t="s">
        <v>580</v>
      </c>
      <c r="I5385" s="20" t="s">
        <v>581</v>
      </c>
      <c r="J5385" s="20" t="s">
        <v>582</v>
      </c>
      <c r="K5385" s="20" t="s">
        <v>583</v>
      </c>
      <c r="L5385" s="20" t="s">
        <v>584</v>
      </c>
      <c r="M5385" s="20" t="s">
        <v>585</v>
      </c>
      <c r="N5385" s="20" t="s">
        <v>586</v>
      </c>
      <c r="O5385" s="20" t="s">
        <v>587</v>
      </c>
      <c r="P5385" s="6" t="s">
        <v>23</v>
      </c>
      <c r="R5385" s="20" t="n">
        <v>2023</v>
      </c>
      <c r="S5385" s="20" t="n">
        <v>2024</v>
      </c>
      <c r="T5385" s="20" t="n">
        <v>2025</v>
      </c>
      <c r="U5385" s="20" t="n">
        <v>2026</v>
      </c>
      <c r="V5385" s="20" t="n">
        <v>2027</v>
      </c>
      <c r="W5385" s="20" t="n">
        <v>2028</v>
      </c>
      <c r="X5385" s="20" t="n">
        <v>2029</v>
      </c>
      <c r="Y5385" s="20" t="n">
        <v>2030</v>
      </c>
      <c r="Z5385" s="20" t="n">
        <v>2031</v>
      </c>
      <c r="AA5385" s="20" t="n">
        <v>2032</v>
      </c>
    </row>
    <row r="5386" customFormat="false" ht="17.15" hidden="false" customHeight="false" outlineLevel="0" collapsed="false">
      <c r="A5386" s="1" t="s">
        <v>588</v>
      </c>
    </row>
    <row r="5387" customFormat="false" ht="17.15" hidden="false" customHeight="false" outlineLevel="0" collapsed="false">
      <c r="A5387" s="5" t="s">
        <v>589</v>
      </c>
      <c r="B5387" s="0" t="s">
        <v>144</v>
      </c>
      <c r="H5387" s="32" t="n">
        <f aca="false">pace_B</f>
        <v>3634.3</v>
      </c>
      <c r="I5387" s="32" t="n">
        <f aca="false">pace_B</f>
        <v>3634.3</v>
      </c>
      <c r="J5387" s="32" t="n">
        <f aca="false">pace_B</f>
        <v>3634.3</v>
      </c>
      <c r="K5387" s="32" t="n">
        <f aca="false">pace_B+(Sens!$J$5388*tg_lo-pace_B)*1/3</f>
        <v>2521.53366666667</v>
      </c>
      <c r="L5387" s="32" t="n">
        <f aca="false">pace_B+(Sens!$J$5388*tg_lo-pace_B)*2/3</f>
        <v>1408.76733333333</v>
      </c>
      <c r="M5387" s="32" t="n">
        <f aca="false">pace_B+(Sens!$J$5388*tg_lo-pace_B)*3/3</f>
        <v>296.001</v>
      </c>
      <c r="P5387" s="5" t="s">
        <v>590</v>
      </c>
    </row>
    <row r="5388" customFormat="false" ht="17.15" hidden="false" customHeight="false" outlineLevel="0" collapsed="false">
      <c r="A5388" s="15" t="s">
        <v>591</v>
      </c>
      <c r="B5388" s="14" t="s">
        <v>129</v>
      </c>
      <c r="C5388" s="33" t="n">
        <f aca="false">mw_ye24</f>
        <v>360</v>
      </c>
      <c r="D5388" s="33" t="n">
        <f aca="false">mw_ye25</f>
        <v>1440</v>
      </c>
      <c r="E5388" s="33" t="n">
        <f aca="false">mw_open</f>
        <v>2080</v>
      </c>
      <c r="F5388" s="33" t="n">
        <f aca="false">Sens!$E$5388+pace_B*0.5</f>
        <v>3897.15</v>
      </c>
      <c r="G5388" s="33" t="n">
        <f aca="false">Sens!$F$5388</f>
        <v>3897.15</v>
      </c>
      <c r="H5388" s="33" t="n">
        <f aca="false">Sens!$G$5388+Sens!$H$5387</f>
        <v>7531.45</v>
      </c>
      <c r="I5388" s="33" t="n">
        <f aca="false">Sens!$H$5388+Sens!$I$5387</f>
        <v>11165.75</v>
      </c>
      <c r="J5388" s="33" t="n">
        <f aca="false">Sens!$I$5388+Sens!$J$5387</f>
        <v>14800.05</v>
      </c>
      <c r="K5388" s="33" t="n">
        <f aca="false">Sens!$J$5388+Sens!$K$5387</f>
        <v>17321.5836666667</v>
      </c>
      <c r="L5388" s="33" t="n">
        <f aca="false">Sens!$K$5388+Sens!$L$5387</f>
        <v>18730.351</v>
      </c>
      <c r="M5388" s="33" t="n">
        <f aca="false">Sens!$L$5388+Sens!$M$5387</f>
        <v>19026.352</v>
      </c>
      <c r="N5388" s="33" t="n">
        <f aca="false">(mw_ye24+mw_ye25)/2</f>
        <v>900</v>
      </c>
      <c r="O5388" s="33" t="n">
        <f aca="false">mw_ye25</f>
        <v>1440</v>
      </c>
      <c r="P5388" s="5" t="s">
        <v>592</v>
      </c>
    </row>
    <row r="5389" customFormat="false" ht="17.15" hidden="false" customHeight="false" outlineLevel="0" collapsed="false">
      <c r="A5389" s="5" t="s">
        <v>593</v>
      </c>
      <c r="B5389" s="0" t="s">
        <v>129</v>
      </c>
      <c r="C5389" s="32" t="n">
        <f aca="false">(mw_ye23+mw_ye24)/2</f>
        <v>240</v>
      </c>
      <c r="D5389" s="32" t="n">
        <f aca="false">(Sens!$C$5388+Sens!$D$5388)/2</f>
        <v>900</v>
      </c>
      <c r="E5389" s="32" t="n">
        <f aca="false">(Sens!$D$5388+Sens!$E$5388)/2</f>
        <v>1760</v>
      </c>
      <c r="F5389" s="32" t="n">
        <f aca="false">(Sens!$E$5388+Sens!$F$5388)/2</f>
        <v>2988.575</v>
      </c>
      <c r="G5389" s="32" t="n">
        <f aca="false">(Sens!$E$5389+Sens!$F$5389)/2</f>
        <v>2374.2875</v>
      </c>
      <c r="H5389" s="32" t="n">
        <f aca="false">(Sens!$G$5388+Sens!$H$5388)/2</f>
        <v>5714.3</v>
      </c>
      <c r="I5389" s="32" t="n">
        <f aca="false">(Sens!$H$5388+Sens!$I$5388)/2</f>
        <v>9348.6</v>
      </c>
      <c r="J5389" s="32" t="n">
        <f aca="false">(Sens!$I$5388+Sens!$J$5388)/2</f>
        <v>12982.9</v>
      </c>
      <c r="K5389" s="32" t="n">
        <f aca="false">(Sens!$J$5388+Sens!$K$5388)/2</f>
        <v>16060.8168333333</v>
      </c>
      <c r="L5389" s="32" t="n">
        <f aca="false">(Sens!$K$5388+Sens!$L$5388)/2</f>
        <v>18025.9673333333</v>
      </c>
      <c r="M5389" s="32" t="n">
        <f aca="false">(Sens!$L$5388+Sens!$M$5388)/2</f>
        <v>18878.3515</v>
      </c>
      <c r="N5389" s="32" t="n">
        <f aca="false">(Sens!$C$5388+Sens!$N$5388)/2</f>
        <v>630</v>
      </c>
      <c r="O5389" s="32" t="n">
        <f aca="false">(Sens!$N$5388+Sens!$O$5388)/2</f>
        <v>1170</v>
      </c>
    </row>
    <row r="5390" customFormat="false" ht="15" hidden="false" customHeight="false" outlineLevel="0" collapsed="false">
      <c r="A5390" s="5" t="s">
        <v>594</v>
      </c>
      <c r="B5390" s="5" t="s">
        <v>123</v>
      </c>
      <c r="C5390" s="34" t="n">
        <v>1</v>
      </c>
      <c r="D5390" s="34" t="n">
        <v>1</v>
      </c>
      <c r="E5390" s="34" t="n">
        <v>0.5</v>
      </c>
      <c r="F5390" s="34" t="n">
        <v>0.5</v>
      </c>
      <c r="G5390" s="34" t="n">
        <v>1</v>
      </c>
      <c r="H5390" s="34" t="n">
        <v>1</v>
      </c>
      <c r="I5390" s="34" t="n">
        <v>1</v>
      </c>
      <c r="J5390" s="34" t="n">
        <v>1</v>
      </c>
      <c r="K5390" s="34" t="n">
        <v>1</v>
      </c>
      <c r="L5390" s="34" t="n">
        <v>1</v>
      </c>
      <c r="M5390" s="34" t="n">
        <v>1</v>
      </c>
      <c r="N5390" s="34" t="n">
        <v>0.5</v>
      </c>
      <c r="O5390" s="34" t="n">
        <v>0.5</v>
      </c>
    </row>
    <row r="5391" customFormat="false" ht="17.15" hidden="false" customHeight="false" outlineLevel="0" collapsed="false">
      <c r="A5391" s="5" t="s">
        <v>595</v>
      </c>
      <c r="B5391" s="0" t="s">
        <v>129</v>
      </c>
      <c r="C5391" s="32" t="n">
        <f aca="false">Sens!$C$5388-mw_ye23</f>
        <v>240</v>
      </c>
      <c r="D5391" s="32" t="n">
        <f aca="false">Sens!$D$5388-Sens!$C$5388</f>
        <v>1080</v>
      </c>
      <c r="E5391" s="32" t="n">
        <f aca="false">Sens!$E$5388-Sens!$D$5388</f>
        <v>640</v>
      </c>
      <c r="F5391" s="32" t="n">
        <f aca="false">Sens!$F$5388-Sens!$E$5388</f>
        <v>1817.15</v>
      </c>
      <c r="G5391" s="32" t="n">
        <f aca="false">Sens!$E$5391+Sens!$F$5391</f>
        <v>2457.15</v>
      </c>
      <c r="H5391" s="32" t="n">
        <f aca="false">Sens!$H$5388-Sens!$G$5388</f>
        <v>3634.3</v>
      </c>
      <c r="I5391" s="32" t="n">
        <f aca="false">Sens!$I$5388-Sens!$H$5388</f>
        <v>3634.3</v>
      </c>
      <c r="J5391" s="32" t="n">
        <f aca="false">Sens!$J$5388-Sens!$I$5388</f>
        <v>3634.3</v>
      </c>
      <c r="K5391" s="32" t="n">
        <f aca="false">Sens!$K$5388-Sens!$J$5388</f>
        <v>2521.53366666667</v>
      </c>
      <c r="L5391" s="32" t="n">
        <f aca="false">Sens!$L$5388-Sens!$K$5388</f>
        <v>1408.76733333333</v>
      </c>
      <c r="M5391" s="32" t="n">
        <f aca="false">Sens!$M$5388-Sens!$L$5388</f>
        <v>296.001</v>
      </c>
      <c r="N5391" s="32" t="n">
        <f aca="false">Sens!$N$5388-Sens!$C$5388</f>
        <v>540</v>
      </c>
      <c r="O5391" s="32" t="n">
        <f aca="false">Sens!$O$5388-Sens!$N$5388</f>
        <v>540</v>
      </c>
    </row>
    <row r="5392" customFormat="false" ht="17.15" hidden="false" customHeight="false" outlineLevel="0" collapsed="false">
      <c r="A5392" s="5" t="s">
        <v>596</v>
      </c>
      <c r="B5392" s="0" t="s">
        <v>129</v>
      </c>
      <c r="C5392" s="32" t="n">
        <f aca="false">Sens!$C$5391/ext_sh</f>
        <v>300</v>
      </c>
      <c r="D5392" s="32" t="n">
        <f aca="false">Sens!$D$5391/ext_sh</f>
        <v>1350</v>
      </c>
      <c r="E5392" s="32" t="n">
        <f aca="false">Sens!$E$5391/ext_sh</f>
        <v>800</v>
      </c>
      <c r="F5392" s="32" t="n">
        <f aca="false">Sens!$F$5391/ext_sh</f>
        <v>2271.4375</v>
      </c>
      <c r="G5392" s="32" t="n">
        <f aca="false">Sens!$G$5391/ext_sh</f>
        <v>3071.4375</v>
      </c>
      <c r="H5392" s="32" t="n">
        <f aca="false">Sens!$H$5391/ext_sh</f>
        <v>4542.875</v>
      </c>
      <c r="I5392" s="32" t="n">
        <f aca="false">Sens!$I$5391/ext_sh</f>
        <v>4542.875</v>
      </c>
      <c r="J5392" s="32" t="n">
        <f aca="false">Sens!$J$5391/ext_sh</f>
        <v>4542.875</v>
      </c>
      <c r="K5392" s="32" t="n">
        <f aca="false">Sens!$K$5391/ext_sh</f>
        <v>3151.91708333333</v>
      </c>
      <c r="L5392" s="32" t="n">
        <f aca="false">Sens!$L$5391/ext_sh</f>
        <v>1760.95916666667</v>
      </c>
      <c r="M5392" s="32" t="n">
        <f aca="false">Sens!$M$5391/ext_sh</f>
        <v>370.00125</v>
      </c>
      <c r="N5392" s="32" t="n">
        <f aca="false">Sens!$N$5391/ext_sh</f>
        <v>675</v>
      </c>
      <c r="O5392" s="32" t="n">
        <f aca="false">Sens!$O$5391/ext_sh</f>
        <v>675</v>
      </c>
      <c r="P5392" s="8" t="s">
        <v>597</v>
      </c>
      <c r="R5392" s="32" t="n">
        <f aca="false">mw_ye23/ext_sh</f>
        <v>150</v>
      </c>
      <c r="S5392" s="32" t="n">
        <f aca="false">Sens!$C$5392</f>
        <v>300</v>
      </c>
      <c r="T5392" s="32" t="n">
        <f aca="false">Sens!$D$5392</f>
        <v>1350</v>
      </c>
      <c r="U5392" s="32" t="n">
        <f aca="false">Sens!$G$5392</f>
        <v>3071.4375</v>
      </c>
      <c r="V5392" s="32" t="n">
        <f aca="false">Sens!$H$5392</f>
        <v>4542.875</v>
      </c>
      <c r="W5392" s="32" t="n">
        <f aca="false">Sens!$I$5392</f>
        <v>4542.875</v>
      </c>
      <c r="X5392" s="32" t="n">
        <f aca="false">Sens!$J$5392</f>
        <v>4542.875</v>
      </c>
      <c r="Y5392" s="32" t="n">
        <f aca="false">Sens!$K$5392</f>
        <v>3151.91708333333</v>
      </c>
      <c r="Z5392" s="32" t="n">
        <f aca="false">Sens!$L$5392</f>
        <v>1760.95916666667</v>
      </c>
      <c r="AA5392" s="32" t="n">
        <f aca="false">Sens!$M$5392</f>
        <v>370.00125</v>
      </c>
    </row>
    <row r="5393" customFormat="false" ht="17.15" hidden="false" customHeight="false" outlineLevel="0" collapsed="false">
      <c r="A5393" s="1" t="s">
        <v>598</v>
      </c>
    </row>
    <row r="5394" customFormat="false" ht="17.15" hidden="false" customHeight="false" outlineLevel="0" collapsed="false">
      <c r="A5394" s="0" t="s">
        <v>599</v>
      </c>
      <c r="B5394" s="0" t="s">
        <v>52</v>
      </c>
      <c r="F5394" s="35" t="n">
        <f aca="false">na_vr26</f>
        <v>0</v>
      </c>
      <c r="G5394" s="35" t="n">
        <f aca="false">na_vr26</f>
        <v>0</v>
      </c>
      <c r="H5394" s="35" t="n">
        <f aca="false">na_vr27</f>
        <v>0.5</v>
      </c>
      <c r="I5394" s="35" t="n">
        <f aca="false">na_vr28</f>
        <v>1</v>
      </c>
      <c r="J5394" s="35" t="n">
        <f aca="false">na_vr28</f>
        <v>1</v>
      </c>
      <c r="K5394" s="35" t="n">
        <f aca="false">na_vr28</f>
        <v>1</v>
      </c>
      <c r="L5394" s="35" t="n">
        <f aca="false">na_vr28</f>
        <v>1</v>
      </c>
      <c r="M5394" s="35" t="n">
        <f aca="false">na_vr28</f>
        <v>1</v>
      </c>
    </row>
    <row r="5395" customFormat="false" ht="17.15" hidden="false" customHeight="false" outlineLevel="0" collapsed="false">
      <c r="A5395" s="5" t="s">
        <v>600</v>
      </c>
      <c r="B5395" s="0" t="s">
        <v>173</v>
      </c>
      <c r="F5395" s="36" t="n">
        <f aca="false">cust_sh*tk_he_gb300*cf_chip+(1-cust_sh)*((1-Sens!$F$5394)*tk_he_gb300+Sens!$F$5394*tk_he_vr200)</f>
        <v>10.8864110021101</v>
      </c>
      <c r="G5395" s="36" t="n">
        <f aca="false">cust_sh*tk_he_gb300*cf_chip+(1-cust_sh)*((1-Sens!$G$5394)*tk_he_gb300+Sens!$G$5394*tk_he_vr200)</f>
        <v>10.8864110021101</v>
      </c>
      <c r="H5395" s="36" t="n">
        <f aca="false">cust_sh*tk_he_gb300*cf_chip+(1-cust_sh)*((1-Sens!$H$5394)*tk_he_gb300+Sens!$H$5394*tk_he_vr200)</f>
        <v>11.2211760027286</v>
      </c>
      <c r="I5395" s="36" t="n">
        <f aca="false">cust_sh*tk_he_gb300*cf_chip+(1-cust_sh)*((1-Sens!$I$5394)*tk_he_gb300+Sens!$I$5394*tk_he_vr200)</f>
        <v>11.5559410033471</v>
      </c>
      <c r="J5395" s="36" t="n">
        <f aca="false">cust_sh*tk_he_gb300*cf_chip+(1-cust_sh)*((1-Sens!$J$5394)*tk_he_gb300+Sens!$J$5394*tk_he_vr200)</f>
        <v>11.5559410033471</v>
      </c>
      <c r="K5395" s="36" t="n">
        <f aca="false">cust_sh*tk_he_gb300*cf_chip+(1-cust_sh)*((1-Sens!$K$5394)*tk_he_gb300+Sens!$K$5394*tk_he_vr200)</f>
        <v>11.5559410033471</v>
      </c>
      <c r="L5395" s="36" t="n">
        <f aca="false">cust_sh*tk_he_gb300*cf_chip+(1-cust_sh)*((1-Sens!$L$5394)*tk_he_gb300+Sens!$L$5394*tk_he_vr200)</f>
        <v>11.5559410033471</v>
      </c>
      <c r="M5395" s="36" t="n">
        <f aca="false">cust_sh*tk_he_gb300*cf_chip+(1-cust_sh)*((1-Sens!$M$5394)*tk_he_gb300+Sens!$M$5394*tk_he_vr200)</f>
        <v>11.5559410033471</v>
      </c>
    </row>
    <row r="5396" customFormat="false" ht="17.15" hidden="false" customHeight="false" outlineLevel="0" collapsed="false">
      <c r="A5396" s="5" t="s">
        <v>601</v>
      </c>
      <c r="B5396" s="0" t="s">
        <v>173</v>
      </c>
      <c r="F5396" s="36" t="n">
        <f aca="false">cust_sh*tk_ox_gb300+(1-cust_sh)*((1-Sens!$F$5394)*tk_ox_gb300+Sens!$F$5394*tk_ox_vr200)</f>
        <v>1.98263481314457</v>
      </c>
      <c r="G5396" s="36" t="n">
        <f aca="false">cust_sh*tk_ox_gb300+(1-cust_sh)*((1-Sens!$G$5394)*tk_ox_gb300+Sens!$G$5394*tk_ox_vr200)</f>
        <v>1.98263481314457</v>
      </c>
      <c r="H5396" s="36" t="n">
        <f aca="false">cust_sh*tk_ox_gb300+(1-cust_sh)*((1-Sens!$H$5394)*tk_ox_gb300+Sens!$H$5394*tk_ox_vr200)</f>
        <v>2.01034999693694</v>
      </c>
      <c r="I5396" s="36" t="n">
        <f aca="false">cust_sh*tk_ox_gb300+(1-cust_sh)*((1-Sens!$I$5394)*tk_ox_gb300+Sens!$I$5394*tk_ox_vr200)</f>
        <v>2.0380651807293</v>
      </c>
      <c r="J5396" s="36" t="n">
        <f aca="false">cust_sh*tk_ox_gb300+(1-cust_sh)*((1-Sens!$J$5394)*tk_ox_gb300+Sens!$J$5394*tk_ox_vr200)</f>
        <v>2.0380651807293</v>
      </c>
      <c r="K5396" s="36" t="n">
        <f aca="false">cust_sh*tk_ox_gb300+(1-cust_sh)*((1-Sens!$K$5394)*tk_ox_gb300+Sens!$K$5394*tk_ox_vr200)</f>
        <v>2.0380651807293</v>
      </c>
      <c r="L5396" s="36" t="n">
        <f aca="false">cust_sh*tk_ox_gb300+(1-cust_sh)*((1-Sens!$L$5394)*tk_ox_gb300+Sens!$L$5394*tk_ox_vr200)</f>
        <v>2.0380651807293</v>
      </c>
      <c r="M5396" s="36" t="n">
        <f aca="false">cust_sh*tk_ox_gb300+(1-cust_sh)*((1-Sens!$M$5394)*tk_ox_gb300+Sens!$M$5394*tk_ox_vr200)</f>
        <v>2.0380651807293</v>
      </c>
    </row>
    <row r="5397" customFormat="false" ht="17.15" hidden="false" customHeight="false" outlineLevel="0" collapsed="false">
      <c r="A5397" s="5" t="s">
        <v>602</v>
      </c>
      <c r="B5397" s="0" t="s">
        <v>192</v>
      </c>
      <c r="F5397" s="36" t="n">
        <f aca="false">cust_sh*tk_cx_gb300*cf_cx+(1-cust_sh)*((1-Sens!$F$5394)*tk_cx_gb300+Sens!$F$5394*tk_cx_vr200)</f>
        <v>32.237224</v>
      </c>
      <c r="G5397" s="36" t="n">
        <f aca="false">cust_sh*tk_cx_gb300*cf_cx+(1-cust_sh)*((1-Sens!$G$5394)*tk_cx_gb300+Sens!$G$5394*tk_cx_vr200)</f>
        <v>32.237224</v>
      </c>
      <c r="H5397" s="36" t="n">
        <f aca="false">cust_sh*tk_cx_gb300*cf_cx+(1-cust_sh)*((1-Sens!$H$5394)*tk_cx_gb300+Sens!$H$5394*tk_cx_vr200)</f>
        <v>33.574506</v>
      </c>
      <c r="I5397" s="36" t="n">
        <f aca="false">cust_sh*tk_cx_gb300*cf_cx+(1-cust_sh)*((1-Sens!$I$5394)*tk_cx_gb300+Sens!$I$5394*tk_cx_vr200)</f>
        <v>34.911788</v>
      </c>
      <c r="J5397" s="36" t="n">
        <f aca="false">cust_sh*tk_cx_gb300*cf_cx+(1-cust_sh)*((1-Sens!$J$5394)*tk_cx_gb300+Sens!$J$5394*tk_cx_vr200)</f>
        <v>34.911788</v>
      </c>
      <c r="K5397" s="36" t="n">
        <f aca="false">cust_sh*tk_cx_gb300*cf_cx+(1-cust_sh)*((1-Sens!$K$5394)*tk_cx_gb300+Sens!$K$5394*tk_cx_vr200)</f>
        <v>34.911788</v>
      </c>
      <c r="L5397" s="36" t="n">
        <f aca="false">cust_sh*tk_cx_gb300*cf_cx+(1-cust_sh)*((1-Sens!$L$5394)*tk_cx_gb300+Sens!$L$5394*tk_cx_vr200)</f>
        <v>34.911788</v>
      </c>
      <c r="M5397" s="36" t="n">
        <f aca="false">cust_sh*tk_cx_gb300*cf_cx+(1-cust_sh)*((1-Sens!$M$5394)*tk_cx_gb300+Sens!$M$5394*tk_cx_vr200)</f>
        <v>34.911788</v>
      </c>
    </row>
    <row r="5398" customFormat="false" ht="17.15" hidden="false" customHeight="false" outlineLevel="0" collapsed="false">
      <c r="A5398" s="5" t="s">
        <v>603</v>
      </c>
      <c r="B5398" s="0" t="s">
        <v>129</v>
      </c>
      <c r="F5398" s="32" t="n">
        <f aca="false">Sens!$F$5388-mw_open</f>
        <v>1817.15</v>
      </c>
      <c r="G5398" s="32" t="n">
        <f aca="false">Sens!$F$5398</f>
        <v>1817.15</v>
      </c>
      <c r="H5398" s="32" t="n">
        <f aca="false">Sens!$H$5388-mw_open</f>
        <v>5451.45</v>
      </c>
      <c r="I5398" s="32" t="n">
        <f aca="false">Sens!$I$5388-mw_open</f>
        <v>9085.75</v>
      </c>
      <c r="J5398" s="32" t="n">
        <f aca="false">Sens!$J$5388-mw_open</f>
        <v>12720.05</v>
      </c>
      <c r="K5398" s="32" t="n">
        <f aca="false">Sens!$K$5388-mw_open</f>
        <v>15241.5836666667</v>
      </c>
      <c r="L5398" s="32" t="n">
        <f aca="false">Sens!$L$5388-mw_open</f>
        <v>16650.351</v>
      </c>
      <c r="M5398" s="32" t="n">
        <f aca="false">Sens!$M$5388-mw_open</f>
        <v>16946.352</v>
      </c>
    </row>
    <row r="5399" customFormat="false" ht="17.15" hidden="false" customHeight="false" outlineLevel="0" collapsed="false">
      <c r="A5399" s="0" t="s">
        <v>604</v>
      </c>
      <c r="B5399" s="0" t="s">
        <v>605</v>
      </c>
      <c r="F5399" s="32" t="n">
        <f aca="false">Sens!$F$5391*Sens!$F$5395</f>
        <v>19782.2417524844</v>
      </c>
      <c r="G5399" s="32" t="n">
        <f aca="false">Sens!$F$5399</f>
        <v>19782.2417524844</v>
      </c>
      <c r="H5399" s="32" t="n">
        <f aca="false">Sens!$G$5399+Sens!$H$5391*Sens!$H$5395</f>
        <v>60563.3616992009</v>
      </c>
      <c r="I5399" s="32" t="n">
        <f aca="false">Sens!$H$5399+Sens!$I$5391*Sens!$I$5395</f>
        <v>102561.118087665</v>
      </c>
      <c r="J5399" s="32" t="n">
        <f aca="false">Sens!$I$5399+Sens!$J$5391*Sens!$J$5395</f>
        <v>144558.87447613</v>
      </c>
      <c r="K5399" s="32" t="n">
        <f aca="false">Sens!$J$5399+Sens!$K$5391*Sens!$K$5395</f>
        <v>173697.568766083</v>
      </c>
      <c r="L5399" s="32" t="n">
        <f aca="false">Sens!$K$5399+Sens!$L$5391*Sens!$L$5395</f>
        <v>189977.200957526</v>
      </c>
      <c r="M5399" s="32" t="n">
        <f aca="false">Sens!$L$5399+Sens!$M$5391*Sens!$M$5395</f>
        <v>193397.771050458</v>
      </c>
    </row>
    <row r="5400" customFormat="false" ht="17.15" hidden="false" customHeight="false" outlineLevel="0" collapsed="false">
      <c r="A5400" s="0" t="s">
        <v>606</v>
      </c>
      <c r="B5400" s="0" t="s">
        <v>605</v>
      </c>
      <c r="F5400" s="32" t="n">
        <f aca="false">Sens!$F$5391*Sens!$F$5396</f>
        <v>3602.74485070566</v>
      </c>
      <c r="G5400" s="32" t="n">
        <f aca="false">Sens!$F$5400</f>
        <v>3602.74485070566</v>
      </c>
      <c r="H5400" s="32" t="n">
        <f aca="false">Sens!$G$5400+Sens!$H$5391*Sens!$H$5396</f>
        <v>10908.9598445736</v>
      </c>
      <c r="I5400" s="32" t="n">
        <f aca="false">Sens!$H$5400+Sens!$I$5391*Sens!$I$5396</f>
        <v>18315.9001308981</v>
      </c>
      <c r="J5400" s="32" t="n">
        <f aca="false">Sens!$I$5400+Sens!$J$5391*Sens!$J$5396</f>
        <v>25722.8404172225</v>
      </c>
      <c r="K5400" s="32" t="n">
        <f aca="false">Sens!$J$5400+Sens!$K$5391*Sens!$K$5396</f>
        <v>30861.8903852926</v>
      </c>
      <c r="L5400" s="32" t="n">
        <f aca="false">Sens!$K$5400+Sens!$L$5391*Sens!$L$5396</f>
        <v>33733.0500351081</v>
      </c>
      <c r="M5400" s="32" t="n">
        <f aca="false">Sens!$L$5400+Sens!$M$5391*Sens!$M$5396</f>
        <v>34336.3193666691</v>
      </c>
    </row>
    <row r="5401" customFormat="false" ht="17.15" hidden="false" customHeight="false" outlineLevel="0" collapsed="false">
      <c r="A5401" s="5" t="s">
        <v>607</v>
      </c>
      <c r="B5401" s="0" t="s">
        <v>173</v>
      </c>
      <c r="F5401" s="36" t="n">
        <f aca="false">IF(Sens!$F$5398&gt;0,Sens!$F$5399/Sens!$F$5398,Sens!$F$5395)</f>
        <v>10.8864110021101</v>
      </c>
      <c r="G5401" s="36" t="n">
        <f aca="false">IF(Sens!$G$5398&gt;0,Sens!$G$5399/Sens!$G$5398,Sens!$G$5395)</f>
        <v>10.8864110021101</v>
      </c>
      <c r="H5401" s="36" t="n">
        <f aca="false">IF(Sens!$H$5398&gt;0,Sens!$H$5399/Sens!$H$5398,Sens!$H$5395)</f>
        <v>11.1095876691891</v>
      </c>
      <c r="I5401" s="36" t="n">
        <f aca="false">IF(Sens!$I$5398&gt;0,Sens!$I$5399/Sens!$I$5398,Sens!$I$5395)</f>
        <v>11.2881290028523</v>
      </c>
      <c r="J5401" s="36" t="n">
        <f aca="false">IF(Sens!$J$5398&gt;0,Sens!$J$5399/Sens!$J$5398,Sens!$J$5395)</f>
        <v>11.3646467172794</v>
      </c>
      <c r="K5401" s="36" t="n">
        <f aca="false">IF(Sens!$K$5398&gt;0,Sens!$K$5399/Sens!$K$5398,Sens!$K$5395)</f>
        <v>11.3962940180527</v>
      </c>
      <c r="L5401" s="36" t="n">
        <f aca="false">IF(Sens!$L$5398&gt;0,Sens!$L$5399/Sens!$L$5398,Sens!$L$5395)</f>
        <v>11.4098015685991</v>
      </c>
      <c r="M5401" s="36" t="n">
        <f aca="false">IF(Sens!$M$5398&gt;0,Sens!$M$5399/Sens!$M$5398,Sens!$M$5395)</f>
        <v>11.4123541780825</v>
      </c>
    </row>
    <row r="5402" customFormat="false" ht="17.15" hidden="false" customHeight="false" outlineLevel="0" collapsed="false">
      <c r="A5402" s="5" t="s">
        <v>608</v>
      </c>
      <c r="B5402" s="0" t="s">
        <v>173</v>
      </c>
      <c r="F5402" s="36" t="n">
        <f aca="false">IF(Sens!$F$5398&gt;0,Sens!$F$5400/Sens!$F$5398,Sens!$F$5396)</f>
        <v>1.98263481314457</v>
      </c>
      <c r="G5402" s="36" t="n">
        <f aca="false">IF(Sens!$G$5398&gt;0,Sens!$G$5400/Sens!$G$5398,Sens!$G$5396)</f>
        <v>1.98263481314457</v>
      </c>
      <c r="H5402" s="36" t="n">
        <f aca="false">IF(Sens!$H$5398&gt;0,Sens!$H$5400/Sens!$H$5398,Sens!$H$5396)</f>
        <v>2.00111160233948</v>
      </c>
      <c r="I5402" s="36" t="n">
        <f aca="false">IF(Sens!$I$5398&gt;0,Sens!$I$5400/Sens!$I$5398,Sens!$I$5396)</f>
        <v>2.01589303369541</v>
      </c>
      <c r="J5402" s="36" t="n">
        <f aca="false">IF(Sens!$J$5398&gt;0,Sens!$J$5400/Sens!$J$5398,Sens!$J$5396)</f>
        <v>2.02222793284795</v>
      </c>
      <c r="K5402" s="36" t="n">
        <f aca="false">IF(Sens!$K$5398&gt;0,Sens!$K$5400/Sens!$K$5398,Sens!$K$5396)</f>
        <v>2.02484801187606</v>
      </c>
      <c r="L5402" s="36" t="n">
        <f aca="false">IF(Sens!$L$5398&gt;0,Sens!$L$5400/Sens!$L$5398,Sens!$L$5396)</f>
        <v>2.02596630155773</v>
      </c>
      <c r="M5402" s="36" t="n">
        <f aca="false">IF(Sens!$M$5398&gt;0,Sens!$M$5400/Sens!$M$5398,Sens!$M$5396)</f>
        <v>2.02617763201597</v>
      </c>
    </row>
    <row r="5403" customFormat="false" ht="17.15" hidden="false" customHeight="false" outlineLevel="0" collapsed="false">
      <c r="A5403" s="15" t="s">
        <v>609</v>
      </c>
      <c r="B5403" s="14" t="s">
        <v>173</v>
      </c>
      <c r="C5403" s="14"/>
      <c r="D5403" s="14"/>
      <c r="E5403" s="14"/>
      <c r="F5403" s="37" t="n">
        <f aca="false">Sens!$F$5401*k_B</f>
        <v>10.7987645808025</v>
      </c>
      <c r="G5403" s="37" t="n">
        <f aca="false">Sens!$G$5401*k_B</f>
        <v>10.7987645808025</v>
      </c>
      <c r="H5403" s="37" t="n">
        <f aca="false">Sens!$H$5401*k_B</f>
        <v>11.0201444540452</v>
      </c>
      <c r="I5403" s="37" t="n">
        <f aca="false">Sens!$I$5401*k_B</f>
        <v>11.1972483526393</v>
      </c>
      <c r="J5403" s="37" t="n">
        <f aca="false">Sens!$J$5401*k_B</f>
        <v>11.2731500234653</v>
      </c>
      <c r="K5403" s="37" t="n">
        <f aca="false">Sens!$K$5401*k_B</f>
        <v>11.3045425320343</v>
      </c>
      <c r="L5403" s="37" t="n">
        <f aca="false">Sens!$L$5401*k_B</f>
        <v>11.3179413333826</v>
      </c>
      <c r="M5403" s="37" t="n">
        <f aca="false">Sens!$M$5401*k_B</f>
        <v>11.3204733918244</v>
      </c>
      <c r="N5403" s="14"/>
      <c r="O5403" s="14"/>
      <c r="P5403" s="5" t="s">
        <v>610</v>
      </c>
    </row>
    <row r="5404" customFormat="false" ht="17.15" hidden="false" customHeight="false" outlineLevel="0" collapsed="false">
      <c r="A5404" s="5" t="s">
        <v>611</v>
      </c>
      <c r="B5404" s="0" t="s">
        <v>129</v>
      </c>
      <c r="F5404" s="32" t="n">
        <f aca="false">Sens!$F$5398/2</f>
        <v>908.575</v>
      </c>
      <c r="H5404" s="32" t="n">
        <f aca="false">(Sens!$G$5398+Sens!$H$5398)/2</f>
        <v>3634.3</v>
      </c>
      <c r="I5404" s="32" t="n">
        <f aca="false">(Sens!$H$5398+Sens!$I$5398)/2</f>
        <v>7268.6</v>
      </c>
      <c r="J5404" s="32" t="n">
        <f aca="false">(Sens!$I$5398+Sens!$J$5398)/2</f>
        <v>10902.9</v>
      </c>
      <c r="K5404" s="32" t="n">
        <f aca="false">(Sens!$J$5398+Sens!$K$5398)/2</f>
        <v>13980.8168333333</v>
      </c>
      <c r="L5404" s="32" t="n">
        <f aca="false">(Sens!$K$5398+Sens!$L$5398)/2</f>
        <v>15945.9673333333</v>
      </c>
      <c r="M5404" s="32" t="n">
        <f aca="false">(Sens!$L$5398+Sens!$M$5398)/2</f>
        <v>16798.3515</v>
      </c>
    </row>
    <row r="5405" customFormat="false" ht="17.15" hidden="false" customHeight="false" outlineLevel="0" collapsed="false">
      <c r="A5405" s="1" t="s">
        <v>612</v>
      </c>
    </row>
    <row r="5406" customFormat="false" ht="17.15" hidden="false" customHeight="false" outlineLevel="0" collapsed="false">
      <c r="A5406" s="1" t="s">
        <v>613</v>
      </c>
      <c r="B5406" s="8" t="s">
        <v>86</v>
      </c>
      <c r="C5406" s="38" t="n">
        <f aca="false">Sens!$C$5389*rpm_open*Sens!$C$5390/1000</f>
        <v>2.32100535697364</v>
      </c>
      <c r="D5406" s="38" t="n">
        <f aca="false">Sens!$D$5389*rpm_open*Sens!$D$5390/1000</f>
        <v>8.70377008865116</v>
      </c>
      <c r="E5406" s="38" t="n">
        <f aca="false">Sens!$E$5389*rpm_open*Sens!$E$5390/1000</f>
        <v>8.51035297557002</v>
      </c>
      <c r="F5406" s="38" t="n">
        <f aca="false">(mw_open*rpm_open+Sens!$F$5404*Sens!$F$5403)*Sens!$F$5390/1000</f>
        <v>14.9634336447205</v>
      </c>
      <c r="G5406" s="38" t="n">
        <f aca="false">Sens!$E$5406+Sens!$F$5406</f>
        <v>23.4737866202905</v>
      </c>
      <c r="H5406" s="38" t="n">
        <f aca="false">(mw_open*rpm_open+Sens!$H$5404*Sens!$H$5403)/1000</f>
        <v>60.1658907497746</v>
      </c>
      <c r="I5406" s="38" t="n">
        <f aca="false">(mw_open*rpm_open+Sens!$I$5404*Sens!$I$5403)/1000</f>
        <v>101.503699136432</v>
      </c>
      <c r="J5406" s="38" t="n">
        <f aca="false">(mw_open*rpm_open+Sens!$J$5404*Sens!$J$5403)/1000</f>
        <v>143.025407151278</v>
      </c>
      <c r="K5406" s="38" t="n">
        <f aca="false">(mw_open*rpm_open+Sens!$K$5404*Sens!$K$5403)/1000</f>
        <v>178.162118285436</v>
      </c>
      <c r="L5406" s="38" t="n">
        <f aca="false">(mw_open*rpm_open+Sens!$L$5404*Sens!$L$5403)/1000</f>
        <v>200.590902543141</v>
      </c>
      <c r="M5406" s="38" t="n">
        <f aca="false">(mw_open*rpm_open+Sens!$M$5404*Sens!$M$5403)/1000</f>
        <v>210.280670942702</v>
      </c>
      <c r="N5406" s="38" t="n">
        <f aca="false">Sens!$N$5389*rpm_open*Sens!$N$5390/1000</f>
        <v>3.04631953102791</v>
      </c>
      <c r="O5406" s="38" t="n">
        <f aca="false">Sens!$O$5389*rpm_open*Sens!$O$5390/1000</f>
        <v>5.65745055762326</v>
      </c>
      <c r="P5406" s="5" t="s">
        <v>614</v>
      </c>
    </row>
    <row r="5407" customFormat="false" ht="17.15" hidden="false" customHeight="false" outlineLevel="0" collapsed="false">
      <c r="A5407" s="5" t="s">
        <v>615</v>
      </c>
      <c r="B5407" s="0" t="s">
        <v>173</v>
      </c>
      <c r="C5407" s="36" t="n">
        <f aca="false">Sens!$C$5406*1000/(Sens!$C$5389*Sens!$C$5390)</f>
        <v>9.67085565405685</v>
      </c>
      <c r="D5407" s="36" t="n">
        <f aca="false">Sens!$D$5406*1000/(Sens!$D$5389*Sens!$D$5390)</f>
        <v>9.67085565405685</v>
      </c>
      <c r="E5407" s="36" t="n">
        <f aca="false">Sens!$E$5406*1000/(Sens!$E$5389*Sens!$E$5390)</f>
        <v>9.67085565405685</v>
      </c>
      <c r="F5407" s="36" t="n">
        <f aca="false">Sens!$F$5406*1000/(Sens!$F$5389*Sens!$F$5390)</f>
        <v>10.0137581588017</v>
      </c>
      <c r="G5407" s="36" t="n">
        <f aca="false">Sens!$G$5406*1000/(Sens!$G$5389*Sens!$G$5390)</f>
        <v>9.88666562928478</v>
      </c>
      <c r="H5407" s="36" t="n">
        <f aca="false">Sens!$H$5406*1000/(Sens!$H$5389*Sens!$H$5390)</f>
        <v>10.5290045586992</v>
      </c>
      <c r="I5407" s="36" t="n">
        <f aca="false">Sens!$I$5406*1000/(Sens!$I$5389*Sens!$I$5390)</f>
        <v>10.8576363451674</v>
      </c>
      <c r="J5407" s="36" t="n">
        <f aca="false">Sens!$J$5406*1000/(Sens!$J$5389*Sens!$J$5390)</f>
        <v>11.0164452588619</v>
      </c>
      <c r="K5407" s="36" t="n">
        <f aca="false">Sens!$K$5406*1000/(Sens!$K$5389*Sens!$K$5390)</f>
        <v>11.0929674458194</v>
      </c>
      <c r="L5407" s="36" t="n">
        <f aca="false">Sens!$L$5406*1000/(Sens!$L$5389*Sens!$L$5390)</f>
        <v>11.1278856126745</v>
      </c>
      <c r="M5407" s="36" t="n">
        <f aca="false">Sens!$M$5406*1000/(Sens!$M$5389*Sens!$M$5390)</f>
        <v>11.1387199747129</v>
      </c>
      <c r="N5407" s="36" t="n">
        <f aca="false">Sens!$N$5406*1000/(Sens!$N$5389*Sens!$N$5390)</f>
        <v>9.67085565405685</v>
      </c>
      <c r="O5407" s="36" t="n">
        <f aca="false">Sens!$O$5406*1000/(Sens!$O$5389*Sens!$O$5390)</f>
        <v>9.67085565405685</v>
      </c>
    </row>
    <row r="5408" customFormat="false" ht="17.15" hidden="false" customHeight="false" outlineLevel="0" collapsed="false">
      <c r="A5408" s="0" t="s">
        <v>616</v>
      </c>
      <c r="B5408" s="0" t="s">
        <v>86</v>
      </c>
      <c r="C5408" s="38" t="n">
        <f aca="false">Sens!$C$5389/ext_sh*(ox_open+rent_mw)*Sens!$C$5390/1000</f>
        <v>0.642569210675032</v>
      </c>
      <c r="D5408" s="38" t="n">
        <f aca="false">Sens!$D$5389/ext_sh*(ox_open+rent_mw)*Sens!$D$5390/1000</f>
        <v>2.40963454003137</v>
      </c>
      <c r="E5408" s="38" t="n">
        <f aca="false">Sens!$E$5389/ext_sh*(ox_open+rent_mw)*Sens!$E$5390/1000</f>
        <v>2.35608710580845</v>
      </c>
      <c r="F5408" s="38" t="n">
        <f aca="false">((mw_open*ox_open+Sens!$F$5404*Sens!$F$5402)/ext_sh+Sens!$F$5389/ext_sh*rent_mw)*Sens!$F$5390/1000</f>
        <v>4.05421991106232</v>
      </c>
      <c r="G5408" s="38" t="n">
        <f aca="false">Sens!$E$5408+Sens!$F$5408</f>
        <v>6.41030701687077</v>
      </c>
      <c r="H5408" s="38" t="n">
        <f aca="false">((mw_open*ox_open+Sens!$H$5404*Sens!$H$5402)/ext_sh+Sens!$H$5389/ext_sh*rent_mw)*Sens!$H$5390/1000</f>
        <v>15.8108975546616</v>
      </c>
      <c r="I5408" s="38" t="n">
        <f aca="false">((mw_open*ox_open+Sens!$I$5404*Sens!$I$5402)/ext_sh+Sens!$I$5389/ext_sh*rent_mw)*Sens!$I$5390/1000</f>
        <v>26.1871623400817</v>
      </c>
      <c r="J5408" s="38" t="n">
        <f aca="false">((mw_open*ox_open+Sens!$J$5404*Sens!$J$5402)/ext_sh+Sens!$J$5389/ext_sh*rent_mw)*Sens!$J$5390/1000</f>
        <v>36.5826128954935</v>
      </c>
      <c r="K5408" s="38" t="n">
        <f aca="false">((mw_open*ox_open+Sens!$K$5404*Sens!$K$5402)/ext_sh+Sens!$K$5389/ext_sh*rent_mw)*Sens!$K$5390/1000</f>
        <v>45.3836433528648</v>
      </c>
      <c r="L5408" s="38" t="n">
        <f aca="false">((mw_open*ox_open+Sens!$L$5404*Sens!$L$5402)/ext_sh+Sens!$L$5389/ext_sh*rent_mw)*Sens!$L$5390/1000</f>
        <v>51.0023088908591</v>
      </c>
      <c r="M5408" s="38" t="n">
        <f aca="false">((mw_open*ox_open+Sens!$M$5404*Sens!$M$5402)/ext_sh+Sens!$M$5389/ext_sh*rent_mw)*Sens!$M$5390/1000</f>
        <v>53.4353660768611</v>
      </c>
      <c r="N5408" s="38" t="n">
        <f aca="false">Sens!$N$5389/ext_sh*(ox_open+rent_mw)*Sens!$N$5390/1000</f>
        <v>0.84337208901098</v>
      </c>
      <c r="O5408" s="38" t="n">
        <f aca="false">Sens!$O$5389/ext_sh*(ox_open+rent_mw)*Sens!$O$5390/1000</f>
        <v>1.56626245102039</v>
      </c>
    </row>
    <row r="5409" customFormat="false" ht="17.15" hidden="false" customHeight="false" outlineLevel="0" collapsed="false">
      <c r="A5409" s="0" t="s">
        <v>617</v>
      </c>
      <c r="B5409" s="0" t="s">
        <v>86</v>
      </c>
      <c r="C5409" s="38" t="n">
        <f aca="false">Q!$D$7</f>
        <v>107.556</v>
      </c>
      <c r="D5409" s="38" t="n">
        <f aca="false">Q!$E$7</f>
        <v>128.725</v>
      </c>
      <c r="E5409" s="38" t="n">
        <f aca="false">Q!$P$7</f>
        <v>79.819</v>
      </c>
      <c r="N5409" s="38" t="n">
        <f aca="false">Q!$N$7</f>
        <v>60.14</v>
      </c>
      <c r="O5409" s="38" t="n">
        <f aca="false">Q!$O$7</f>
        <v>68.585</v>
      </c>
    </row>
    <row r="5410" customFormat="false" ht="17.15" hidden="false" customHeight="false" outlineLevel="0" collapsed="false">
      <c r="A5410" s="1" t="s">
        <v>618</v>
      </c>
      <c r="B5410" s="8" t="s">
        <v>86</v>
      </c>
      <c r="C5410" s="38" t="n">
        <f aca="false">Sens!$C$5409-Sens!$C$5406</f>
        <v>105.234994643026</v>
      </c>
      <c r="D5410" s="38" t="n">
        <f aca="false">Sens!$D$5409-Sens!$D$5406</f>
        <v>120.021229911349</v>
      </c>
      <c r="E5410" s="38" t="n">
        <f aca="false">Sens!$E$5409-Sens!$E$5406</f>
        <v>71.30864702443</v>
      </c>
      <c r="F5410" s="38" t="n">
        <f aca="false">Sens!$O$5410*(1+Sens!$F$5411)</f>
        <v>71.7692997942464</v>
      </c>
      <c r="G5410" s="38" t="n">
        <f aca="false">Sens!$E$5410+Sens!$F$5410</f>
        <v>143.077946818676</v>
      </c>
      <c r="H5410" s="38" t="n">
        <f aca="false">Sens!$G$5410*(1+Sens!$H$5411)</f>
        <v>161.017077079203</v>
      </c>
      <c r="I5410" s="38" t="n">
        <f aca="false">Sens!$H$5410*(1+Sens!$I$5411)</f>
        <v>178.769759521457</v>
      </c>
      <c r="J5410" s="38" t="n">
        <f aca="false">Sens!$I$5410*(1+Sens!$J$5411)</f>
        <v>195.775538045907</v>
      </c>
      <c r="K5410" s="38" t="n">
        <f aca="false">Sens!$J$5410*(1+Sens!$K$5411)</f>
        <v>211.43758108958</v>
      </c>
      <c r="L5410" s="38" t="n">
        <f aca="false">Sens!$K$5410*(1+Sens!$L$5411)</f>
        <v>228.352587576746</v>
      </c>
      <c r="M5410" s="38" t="n">
        <f aca="false">Sens!$L$5410*(1+Sens!$M$5411)</f>
        <v>246.620794582886</v>
      </c>
      <c r="N5410" s="38" t="n">
        <f aca="false">Sens!$N$5409-Sens!$N$5406</f>
        <v>57.0936804689721</v>
      </c>
      <c r="O5410" s="38" t="n">
        <f aca="false">Sens!$O$5409-Sens!$O$5406</f>
        <v>62.9275494423768</v>
      </c>
      <c r="P5410" s="5" t="s">
        <v>619</v>
      </c>
    </row>
    <row r="5411" customFormat="false" ht="17.15" hidden="false" customHeight="false" outlineLevel="0" collapsed="false">
      <c r="A5411" s="0" t="s">
        <v>620</v>
      </c>
      <c r="B5411" s="0" t="s">
        <v>52</v>
      </c>
      <c r="D5411" s="13" t="n">
        <f aca="false">Sens!$D$5410/Sens!$C$5410-1</f>
        <v>0.140506827776062</v>
      </c>
      <c r="E5411" s="13" t="n">
        <f aca="false">Sens!$E$5410/Sens!$N$5410-1</f>
        <v>0.248976181579029</v>
      </c>
      <c r="F5411" s="13" t="n">
        <f aca="false">Sens!$D$5411</f>
        <v>0.140506827776062</v>
      </c>
      <c r="G5411" s="13" t="n">
        <f aca="false">Sens!$G$5410/Sens!$D$5410-1</f>
        <v>0.19210532106993</v>
      </c>
      <c r="H5411" s="13" t="n">
        <f aca="false">Sens!$F$5411+(g_awso_lt-Sens!$F$5411)*1/4</f>
        <v>0.125380120832046</v>
      </c>
      <c r="I5411" s="13" t="n">
        <f aca="false">Sens!$F$5411+(g_awso_lt-Sens!$F$5411)*2/4</f>
        <v>0.110253413888031</v>
      </c>
      <c r="J5411" s="13" t="n">
        <f aca="false">Sens!$F$5411+(g_awso_lt-Sens!$F$5411)*3/4</f>
        <v>0.0951267069440154</v>
      </c>
      <c r="K5411" s="13" t="n">
        <f aca="false">Sens!$F$5411+(g_awso_lt-Sens!$F$5411)*4/4</f>
        <v>0.08</v>
      </c>
      <c r="L5411" s="13" t="n">
        <f aca="false">g_awso_lt</f>
        <v>0.08</v>
      </c>
      <c r="M5411" s="13" t="n">
        <f aca="false">g_awso_lt</f>
        <v>0.08</v>
      </c>
      <c r="P5411" s="5" t="s">
        <v>621</v>
      </c>
    </row>
    <row r="5412" customFormat="false" ht="17.15" hidden="false" customHeight="false" outlineLevel="0" collapsed="false">
      <c r="A5412" s="1" t="s">
        <v>622</v>
      </c>
    </row>
    <row r="5413" customFormat="false" ht="17.15" hidden="false" customHeight="false" outlineLevel="0" collapsed="false">
      <c r="A5413" s="0" t="s">
        <v>623</v>
      </c>
      <c r="B5413" s="0" t="s">
        <v>86</v>
      </c>
      <c r="F5413" s="38" t="n">
        <f aca="false">cx_rt*Sens!$F$5378+cx_awso*Sens!$F$5410</f>
        <v>34.9734495387866</v>
      </c>
    </row>
    <row r="5414" customFormat="false" ht="17.15" hidden="false" customHeight="false" outlineLevel="0" collapsed="false">
      <c r="A5414" s="0" t="s">
        <v>624</v>
      </c>
      <c r="B5414" s="0" t="s">
        <v>52</v>
      </c>
      <c r="C5414" s="13" t="n">
        <f aca="false">tk_cx_h100/(tk_cx_h100+tk_fac*(1-colo_sh))</f>
        <v>0.730756458006641</v>
      </c>
      <c r="D5414" s="13" t="n">
        <f aca="false">tk_cx_h100/(tk_cx_h100+tk_fac*(1-colo_sh))</f>
        <v>0.730756458006641</v>
      </c>
      <c r="E5414" s="13" t="n">
        <f aca="false">Sens!$F$5414</f>
        <v>0.760792334328868</v>
      </c>
      <c r="F5414" s="13" t="n">
        <f aca="false">Sens!$F$5397/(Sens!$F$5397+tk_fac*(1-colo_sh))</f>
        <v>0.760792334328868</v>
      </c>
      <c r="G5414" s="13" t="n">
        <f aca="false">Sens!$G$5397/(Sens!$G$5397+tk_fac*(1-colo_sh))</f>
        <v>0.760792334328868</v>
      </c>
      <c r="H5414" s="13" t="n">
        <f aca="false">Sens!$H$5397/(Sens!$H$5397+tk_fac*(1-colo_sh))</f>
        <v>0.768110668862996</v>
      </c>
      <c r="I5414" s="13" t="n">
        <f aca="false">Sens!$I$5397/(Sens!$I$5397+tk_fac*(1-colo_sh))</f>
        <v>0.77499450139483</v>
      </c>
      <c r="J5414" s="13" t="n">
        <f aca="false">Sens!$J$5397/(Sens!$J$5397+tk_fac*(1-colo_sh))</f>
        <v>0.77499450139483</v>
      </c>
      <c r="K5414" s="13" t="n">
        <f aca="false">Sens!$K$5397/(Sens!$K$5397+tk_fac*(1-colo_sh))</f>
        <v>0.77499450139483</v>
      </c>
      <c r="L5414" s="13" t="n">
        <f aca="false">Sens!$L$5397/(Sens!$L$5397+tk_fac*(1-colo_sh))</f>
        <v>0.77499450139483</v>
      </c>
      <c r="M5414" s="13" t="n">
        <f aca="false">Sens!$M$5397/(Sens!$M$5397+tk_fac*(1-colo_sh))</f>
        <v>0.77499450139483</v>
      </c>
    </row>
    <row r="5415" customFormat="false" ht="17.15" hidden="false" customHeight="false" outlineLevel="0" collapsed="false">
      <c r="A5415" s="1" t="s">
        <v>625</v>
      </c>
      <c r="B5415" s="8" t="s">
        <v>86</v>
      </c>
      <c r="C5415" s="38" t="n">
        <f aca="false">Q!$D$46-cx_rt*Q!$D$16-cx_awso*Sens!$C$5410</f>
        <v>25.2781053077374</v>
      </c>
      <c r="D5415" s="38" t="n">
        <f aca="false">Q!$E$46-cx_rt*Q!$E$16-cx_awso*Sens!$D$5410</f>
        <v>69.5686316310026</v>
      </c>
      <c r="E5415" s="38" t="n">
        <f aca="false">Q!$P$46-cx_rt*Q!$P$16-cx_awso*Sens!$E$5410</f>
        <v>64.1899206485108</v>
      </c>
      <c r="F5415" s="38" t="n">
        <f aca="false">MAX(Sens!$F$5392*(Sens!$F$5397+tk_fac*(1-colo_sh))/1000,capex_g26-Q!$P$46-Sens!$F$5413)</f>
        <v>96.2481299895</v>
      </c>
      <c r="G5415" s="38" t="n">
        <f aca="false">Sens!$E$5415+Sens!$F$5415</f>
        <v>160.438050638011</v>
      </c>
      <c r="H5415" s="38" t="n">
        <f aca="false">Sens!$H$5392*(Sens!$H$5397+tk_fac*(1-colo_sh))/1000+Sens!$H$5416</f>
        <v>198.57136494475</v>
      </c>
      <c r="I5415" s="38" t="n">
        <f aca="false">Sens!$I$5392*(Sens!$I$5397+tk_fac*(1-colo_sh))/1000+Sens!$I$5416</f>
        <v>204.6464699105</v>
      </c>
      <c r="J5415" s="38" t="n">
        <f aca="false">Sens!$J$5392*(Sens!$J$5397+tk_fac*(1-colo_sh))/1000+Sens!$J$5416</f>
        <v>209.8832381105</v>
      </c>
      <c r="K5415" s="38" t="n">
        <f aca="false">Sens!$K$5392*(Sens!$K$5397+tk_fac*(1-colo_sh))/1000+Sens!$K$5416</f>
        <v>152.460428963578</v>
      </c>
      <c r="L5415" s="38" t="n">
        <f aca="false">Sens!$L$5392*(Sens!$L$5397+tk_fac*(1-colo_sh))/1000+Sens!$L$5416</f>
        <v>126.458229016657</v>
      </c>
      <c r="M5415" s="38" t="n">
        <f aca="false">Sens!$M$5392*(Sens!$M$5397+tk_fac*(1-colo_sh))/1000+Sens!$M$5416</f>
        <v>123.897112724985</v>
      </c>
      <c r="P5415" s="5" t="s">
        <v>626</v>
      </c>
      <c r="R5415" s="38" t="n">
        <f aca="false">Q!$C$46-cx_rt*Q!$C$16-cx_awso*(Q!$C$7-mw_ye23/2*rpm_open/1000)</f>
        <v>1.50429979529945</v>
      </c>
      <c r="S5415" s="38" t="n">
        <f aca="false">Sens!$C$5415</f>
        <v>25.2781053077374</v>
      </c>
      <c r="T5415" s="38" t="n">
        <f aca="false">Sens!$D$5415</f>
        <v>69.5686316310026</v>
      </c>
      <c r="U5415" s="38" t="n">
        <f aca="false">Sens!$G$5415</f>
        <v>160.438050638011</v>
      </c>
      <c r="V5415" s="38" t="n">
        <f aca="false">Sens!$H$5415</f>
        <v>198.57136494475</v>
      </c>
      <c r="W5415" s="38" t="n">
        <f aca="false">Sens!$I$5415</f>
        <v>204.6464699105</v>
      </c>
      <c r="X5415" s="38" t="n">
        <f aca="false">Sens!$J$5415</f>
        <v>209.8832381105</v>
      </c>
      <c r="Y5415" s="38" t="n">
        <f aca="false">Sens!$K$5415</f>
        <v>152.460428963578</v>
      </c>
      <c r="Z5415" s="38" t="n">
        <f aca="false">Sens!$L$5415</f>
        <v>126.458229016657</v>
      </c>
      <c r="AA5415" s="38" t="n">
        <f aca="false">Sens!$M$5415</f>
        <v>123.897112724985</v>
      </c>
    </row>
    <row r="5416" customFormat="false" ht="17.15" hidden="false" customHeight="false" outlineLevel="0" collapsed="false">
      <c r="A5416" s="0" t="s">
        <v>627</v>
      </c>
      <c r="B5416" s="0" t="s">
        <v>86</v>
      </c>
      <c r="H5416" s="38" t="n">
        <f aca="false">SUMPRODUCT(--(Sens!$R$5385:$AA$5385=2027-tk_life),Sens!$R$5392:$AA$5392)*Sens!$H$5397/1000</f>
        <v>0</v>
      </c>
      <c r="I5416" s="38" t="n">
        <f aca="false">SUMPRODUCT(--(Sens!$R$5385:$AA$5385=2028-tk_life),Sens!$R$5392:$AA$5392)*Sens!$I$5397/1000</f>
        <v>0</v>
      </c>
      <c r="J5416" s="38" t="n">
        <f aca="false">SUMPRODUCT(--(Sens!$R$5385:$AA$5385=2029-tk_life),Sens!$R$5392:$AA$5392)*Sens!$J$5397/1000</f>
        <v>5.2367682</v>
      </c>
      <c r="K5416" s="38" t="n">
        <f aca="false">SUMPRODUCT(--(Sens!$R$5385:$AA$5385=2030-tk_life),Sens!$R$5392:$AA$5392)*Sens!$K$5397/1000</f>
        <v>10.4735364</v>
      </c>
      <c r="L5416" s="38" t="n">
        <f aca="false">SUMPRODUCT(--(Sens!$R$5385:$AA$5385=2031-tk_life),Sens!$R$5392:$AA$5392)*Sens!$L$5397/1000</f>
        <v>47.1309138</v>
      </c>
      <c r="M5416" s="38" t="n">
        <f aca="false">SUMPRODUCT(--(Sens!$R$5385:$AA$5385=2032-tk_life),Sens!$R$5392:$AA$5392)*Sens!$M$5397/1000</f>
        <v>107.22937485525</v>
      </c>
    </row>
    <row r="5417" customFormat="false" ht="17.15" hidden="false" customHeight="false" outlineLevel="0" collapsed="false">
      <c r="A5417" s="5" t="s">
        <v>628</v>
      </c>
      <c r="B5417" s="0" t="s">
        <v>86</v>
      </c>
      <c r="C5417" s="38" t="n">
        <f aca="false">Sens!$C$5415*Sens!$C$5414</f>
        <v>18.472138699801</v>
      </c>
      <c r="D5417" s="38" t="n">
        <f aca="false">Sens!$D$5415*Sens!$D$5414</f>
        <v>50.8377268390402</v>
      </c>
      <c r="E5417" s="38" t="n">
        <f aca="false">Sens!$E$5415*Sens!$E$5414</f>
        <v>48.8351995705653</v>
      </c>
      <c r="F5417" s="38" t="n">
        <f aca="false">Sens!$F$5415*Sens!$F$5414</f>
        <v>73.2248394895</v>
      </c>
      <c r="G5417" s="38" t="n">
        <f aca="false">Sens!$E$5417+Sens!$F$5417</f>
        <v>122.060039060065</v>
      </c>
      <c r="H5417" s="38" t="n">
        <f aca="false">(Sens!$H$5415-Sens!$H$5416)*Sens!$H$5414+Sens!$H$5416</f>
        <v>152.52478394475</v>
      </c>
      <c r="I5417" s="38" t="n">
        <f aca="false">(Sens!$I$5415-Sens!$I$5416)*Sens!$I$5414+Sens!$I$5416</f>
        <v>158.5998889105</v>
      </c>
      <c r="J5417" s="38" t="n">
        <f aca="false">(Sens!$J$5415-Sens!$J$5416)*Sens!$J$5414+Sens!$J$5416</f>
        <v>163.8366571105</v>
      </c>
      <c r="K5417" s="38" t="n">
        <f aca="false">(Sens!$K$5415-Sens!$K$5416)*Sens!$K$5414+Sens!$K$5416</f>
        <v>120.512597406912</v>
      </c>
      <c r="L5417" s="38" t="n">
        <f aca="false">(Sens!$L$5415-Sens!$L$5416)*Sens!$L$5414+Sens!$L$5416</f>
        <v>108.609146903323</v>
      </c>
      <c r="M5417" s="38" t="n">
        <f aca="false">(Sens!$M$5415-Sens!$M$5416)*Sens!$M$5414+Sens!$M$5416</f>
        <v>120.146780054985</v>
      </c>
      <c r="R5417" s="38" t="n">
        <f aca="false">Sens!$R$5415*Sens!$C$5414</f>
        <v>1.09927679019314</v>
      </c>
      <c r="S5417" s="38" t="n">
        <f aca="false">Sens!$C$5417</f>
        <v>18.472138699801</v>
      </c>
      <c r="T5417" s="38" t="n">
        <f aca="false">Sens!$D$5417</f>
        <v>50.8377268390402</v>
      </c>
      <c r="U5417" s="38" t="n">
        <f aca="false">Sens!$G$5417</f>
        <v>122.060039060065</v>
      </c>
      <c r="V5417" s="38" t="n">
        <f aca="false">Sens!$H$5417</f>
        <v>152.52478394475</v>
      </c>
      <c r="W5417" s="38" t="n">
        <f aca="false">Sens!$I$5417</f>
        <v>158.5998889105</v>
      </c>
      <c r="X5417" s="38" t="n">
        <f aca="false">Sens!$J$5417</f>
        <v>163.8366571105</v>
      </c>
      <c r="Y5417" s="38" t="n">
        <f aca="false">Sens!$K$5417</f>
        <v>120.512597406912</v>
      </c>
      <c r="Z5417" s="38" t="n">
        <f aca="false">Sens!$L$5417</f>
        <v>108.609146903323</v>
      </c>
      <c r="AA5417" s="38" t="n">
        <f aca="false">Sens!$M$5417</f>
        <v>120.146780054985</v>
      </c>
    </row>
    <row r="5418" customFormat="false" ht="15" hidden="false" customHeight="false" outlineLevel="0" collapsed="false">
      <c r="A5418" s="5" t="s">
        <v>629</v>
      </c>
      <c r="B5418" s="0" t="s">
        <v>86</v>
      </c>
      <c r="C5418" s="38" t="n">
        <f aca="false">Sens!$C$5415-Sens!$C$5417</f>
        <v>6.80596660793636</v>
      </c>
      <c r="D5418" s="38" t="n">
        <f aca="false">Sens!$D$5415-Sens!$D$5417</f>
        <v>18.7309047919624</v>
      </c>
      <c r="E5418" s="38" t="n">
        <f aca="false">Sens!$E$5415-Sens!$E$5417</f>
        <v>15.3547210779455</v>
      </c>
      <c r="F5418" s="38" t="n">
        <f aca="false">Sens!$F$5415-Sens!$F$5417</f>
        <v>23.0232905</v>
      </c>
      <c r="G5418" s="38" t="n">
        <f aca="false">Sens!$G$5415-Sens!$G$5417</f>
        <v>38.3780115779455</v>
      </c>
      <c r="H5418" s="38" t="n">
        <f aca="false">Sens!$H$5415-Sens!$H$5417</f>
        <v>46.046581</v>
      </c>
      <c r="I5418" s="38" t="n">
        <f aca="false">Sens!$I$5415-Sens!$I$5417</f>
        <v>46.046581</v>
      </c>
      <c r="J5418" s="38" t="n">
        <f aca="false">Sens!$J$5415-Sens!$J$5417</f>
        <v>46.046581</v>
      </c>
      <c r="K5418" s="38" t="n">
        <f aca="false">Sens!$K$5415-Sens!$K$5417</f>
        <v>31.9478315566667</v>
      </c>
      <c r="L5418" s="38" t="n">
        <f aca="false">Sens!$L$5415-Sens!$L$5417</f>
        <v>17.8490821133333</v>
      </c>
      <c r="M5418" s="38" t="n">
        <f aca="false">Sens!$M$5415-Sens!$M$5417</f>
        <v>3.75033267000001</v>
      </c>
      <c r="R5418" s="38" t="n">
        <f aca="false">Sens!$R$5415-Sens!$R$5417</f>
        <v>0.405023005106309</v>
      </c>
      <c r="S5418" s="38" t="n">
        <f aca="false">Sens!$S$5415-Sens!$S$5417</f>
        <v>6.80596660793636</v>
      </c>
      <c r="T5418" s="38" t="n">
        <f aca="false">Sens!$T$5415-Sens!$T$5417</f>
        <v>18.7309047919624</v>
      </c>
      <c r="U5418" s="38" t="n">
        <f aca="false">Sens!$U$5415-Sens!$U$5417</f>
        <v>38.3780115779455</v>
      </c>
      <c r="V5418" s="38" t="n">
        <f aca="false">Sens!$V$5415-Sens!$V$5417</f>
        <v>46.046581</v>
      </c>
      <c r="W5418" s="38" t="n">
        <f aca="false">Sens!$W$5415-Sens!$W$5417</f>
        <v>46.046581</v>
      </c>
      <c r="X5418" s="38" t="n">
        <f aca="false">Sens!$X$5415-Sens!$X$5417</f>
        <v>46.046581</v>
      </c>
      <c r="Y5418" s="38" t="n">
        <f aca="false">Sens!$Y$5415-Sens!$Y$5417</f>
        <v>31.9478315566667</v>
      </c>
      <c r="Z5418" s="38" t="n">
        <f aca="false">Sens!$Z$5415-Sens!$Z$5417</f>
        <v>17.8490821133333</v>
      </c>
      <c r="AA5418" s="38" t="n">
        <f aca="false">Sens!$AA$5415-Sens!$AA$5417</f>
        <v>3.75033267000001</v>
      </c>
    </row>
    <row r="5419" customFormat="false" ht="17.15" hidden="false" customHeight="false" outlineLevel="0" collapsed="false">
      <c r="A5419" s="0" t="s">
        <v>630</v>
      </c>
      <c r="B5419" s="0" t="s">
        <v>52</v>
      </c>
      <c r="C5419" s="13" t="n">
        <f aca="false">Sens!$C$5415/Sens!$C$5535</f>
        <v>0.325505489553393</v>
      </c>
      <c r="D5419" s="13" t="n">
        <f aca="false">Sens!$D$5415/Sens!$D$5535</f>
        <v>0.54214956071542</v>
      </c>
      <c r="E5419" s="13" t="n">
        <f aca="false">Sens!$E$5415/Sens!$E$5535</f>
        <v>0.666492790452817</v>
      </c>
      <c r="F5419" s="13" t="n">
        <f aca="false">Sens!$F$5415/Sens!$F$5535</f>
        <v>0.733477910687338</v>
      </c>
      <c r="G5419" s="13" t="n">
        <f aca="false">Sens!$G$5415/Sens!$G$5535</f>
        <v>0.705124321514523</v>
      </c>
      <c r="H5419" s="13" t="n">
        <f aca="false">Sens!$H$5415/Sens!$H$5535</f>
        <v>0.726376041178204</v>
      </c>
      <c r="I5419" s="13" t="n">
        <f aca="false">Sens!$I$5415/Sens!$I$5535</f>
        <v>0.713099092661699</v>
      </c>
      <c r="J5419" s="13" t="n">
        <f aca="false">Sens!$J$5415/Sens!$J$5535</f>
        <v>0.701208348786245</v>
      </c>
      <c r="K5419" s="13" t="n">
        <f aca="false">Sens!$K$5415/Sens!$K$5535</f>
        <v>0.614068498670476</v>
      </c>
      <c r="L5419" s="13" t="n">
        <f aca="false">Sens!$L$5415/Sens!$L$5535</f>
        <v>0.551880938289018</v>
      </c>
      <c r="M5419" s="13" t="n">
        <f aca="false">Sens!$M$5415/Sens!$M$5535</f>
        <v>0.529570283055906</v>
      </c>
    </row>
    <row r="5420" customFormat="false" ht="17.15" hidden="false" customHeight="false" outlineLevel="0" collapsed="false">
      <c r="A5420" s="0" t="s">
        <v>631</v>
      </c>
      <c r="B5420" s="0" t="s">
        <v>86</v>
      </c>
      <c r="C5420" s="38" t="n">
        <f aca="false">Sens!$S$5420</f>
        <v>0.183212798365523</v>
      </c>
      <c r="D5420" s="38" t="n">
        <f aca="false">Sens!$T$5420</f>
        <v>3.2619025816657</v>
      </c>
      <c r="E5420" s="38" t="n">
        <f aca="false">Sens!$G$5420/2</f>
        <v>5.86742852741953</v>
      </c>
      <c r="F5420" s="38" t="n">
        <f aca="false">Sens!$G$5420/2</f>
        <v>5.86742852741953</v>
      </c>
      <c r="G5420" s="38" t="n">
        <f aca="false">Sens!$U$5420</f>
        <v>11.7348570548391</v>
      </c>
      <c r="H5420" s="38" t="n">
        <f aca="false">Sens!$V$5420</f>
        <v>32.0781968981833</v>
      </c>
      <c r="I5420" s="38" t="n">
        <f aca="false">Sens!$W$5420</f>
        <v>57.4989942223083</v>
      </c>
      <c r="J5420" s="38" t="n">
        <f aca="false">Sens!$X$5420</f>
        <v>83.932309040725</v>
      </c>
      <c r="K5420" s="38" t="n">
        <f aca="false">Sens!$Y$5420</f>
        <v>111.055205760776</v>
      </c>
      <c r="L5420" s="38" t="n">
        <f aca="false">Sens!$Z$5420</f>
        <v>128.061948878628</v>
      </c>
      <c r="M5420" s="38" t="n">
        <f aca="false">Sens!$AA$5420</f>
        <v>137.690518889342</v>
      </c>
      <c r="N5420" s="38" t="n">
        <f aca="false">Sens!$D$5420/2</f>
        <v>1.63095129083285</v>
      </c>
      <c r="O5420" s="38" t="n">
        <f aca="false">Sens!$D$5420/2</f>
        <v>1.63095129083285</v>
      </c>
      <c r="R5420" s="38" t="n">
        <f aca="false">SUMPRODUCT(--(Sens!$R$5385:$AA$5385&lt;Sens!R$5385),--(Sens!$R$5385:$AA$5385&gt;=Sens!R$5385-tk_life),Sens!$R$5417:$AA$5417)/tk_life</f>
        <v>0</v>
      </c>
      <c r="S5420" s="38" t="n">
        <f aca="false">SUMPRODUCT(--(Sens!$R$5385:$AA$5385&lt;Sens!S$5385),--(Sens!$R$5385:$AA$5385&gt;=Sens!S$5385-tk_life),Sens!$R$5417:$AA$5417)/tk_life</f>
        <v>0.183212798365523</v>
      </c>
      <c r="T5420" s="38" t="n">
        <f aca="false">SUMPRODUCT(--(Sens!$R$5385:$AA$5385&lt;Sens!T$5385),--(Sens!$R$5385:$AA$5385&gt;=Sens!T$5385-tk_life),Sens!$R$5417:$AA$5417)/tk_life</f>
        <v>3.2619025816657</v>
      </c>
      <c r="U5420" s="38" t="n">
        <f aca="false">SUMPRODUCT(--(Sens!$R$5385:$AA$5385&lt;Sens!U$5385),--(Sens!$R$5385:$AA$5385&gt;=Sens!U$5385-tk_life),Sens!$R$5417:$AA$5417)/tk_life</f>
        <v>11.7348570548391</v>
      </c>
      <c r="V5420" s="38" t="n">
        <f aca="false">SUMPRODUCT(--(Sens!$R$5385:$AA$5385&lt;Sens!V$5385),--(Sens!$R$5385:$AA$5385&gt;=Sens!V$5385-tk_life),Sens!$R$5417:$AA$5417)/tk_life</f>
        <v>32.0781968981833</v>
      </c>
      <c r="W5420" s="38" t="n">
        <f aca="false">SUMPRODUCT(--(Sens!$R$5385:$AA$5385&lt;Sens!W$5385),--(Sens!$R$5385:$AA$5385&gt;=Sens!W$5385-tk_life),Sens!$R$5417:$AA$5417)/tk_life</f>
        <v>57.4989942223083</v>
      </c>
      <c r="X5420" s="38" t="n">
        <f aca="false">SUMPRODUCT(--(Sens!$R$5385:$AA$5385&lt;Sens!X$5385),--(Sens!$R$5385:$AA$5385&gt;=Sens!X$5385-tk_life),Sens!$R$5417:$AA$5417)/tk_life</f>
        <v>83.932309040725</v>
      </c>
      <c r="Y5420" s="38" t="n">
        <f aca="false">SUMPRODUCT(--(Sens!$R$5385:$AA$5385&lt;Sens!Y$5385),--(Sens!$R$5385:$AA$5385&gt;=Sens!Y$5385-tk_life),Sens!$R$5417:$AA$5417)/tk_life</f>
        <v>111.055205760776</v>
      </c>
      <c r="Z5420" s="38" t="n">
        <f aca="false">SUMPRODUCT(--(Sens!$R$5385:$AA$5385&lt;Sens!Z$5385),--(Sens!$R$5385:$AA$5385&gt;=Sens!Z$5385-tk_life),Sens!$R$5417:$AA$5417)/tk_life</f>
        <v>128.061948878628</v>
      </c>
      <c r="AA5420" s="38" t="n">
        <f aca="false">SUMPRODUCT(--(Sens!$R$5385:$AA$5385&lt;Sens!AA$5385),--(Sens!$R$5385:$AA$5385&gt;=Sens!AA$5385-tk_life),Sens!$R$5417:$AA$5417)/tk_life</f>
        <v>137.690518889342</v>
      </c>
    </row>
    <row r="5421" customFormat="false" ht="17.15" hidden="false" customHeight="false" outlineLevel="0" collapsed="false">
      <c r="A5421" s="0" t="s">
        <v>632</v>
      </c>
      <c r="B5421" s="0" t="s">
        <v>86</v>
      </c>
      <c r="C5421" s="38" t="n">
        <f aca="false">Sens!$S$5421</f>
        <v>0.0202511502553155</v>
      </c>
      <c r="D5421" s="38" t="n">
        <f aca="false">Sens!$T$5421</f>
        <v>0.360549480652134</v>
      </c>
      <c r="E5421" s="38" t="n">
        <f aca="false">Sens!$G$5421/2</f>
        <v>0.648547360125127</v>
      </c>
      <c r="F5421" s="38" t="n">
        <f aca="false">Sens!$G$5421/2</f>
        <v>0.648547360125127</v>
      </c>
      <c r="G5421" s="38" t="n">
        <f aca="false">Sens!$U$5421</f>
        <v>1.29709472025025</v>
      </c>
      <c r="H5421" s="38" t="n">
        <f aca="false">Sens!$V$5421</f>
        <v>3.21599529914753</v>
      </c>
      <c r="I5421" s="38" t="n">
        <f aca="false">Sens!$W$5421</f>
        <v>5.51832434914753</v>
      </c>
      <c r="J5421" s="38" t="n">
        <f aca="false">Sens!$X$5421</f>
        <v>7.82065339914753</v>
      </c>
      <c r="K5421" s="38" t="n">
        <f aca="false">Sens!$Y$5421</f>
        <v>10.1229824491475</v>
      </c>
      <c r="L5421" s="38" t="n">
        <f aca="false">Sens!$Z$5421</f>
        <v>11.7203740269809</v>
      </c>
      <c r="M5421" s="38" t="n">
        <f aca="false">Sens!$AA$5421</f>
        <v>12.6128281326475</v>
      </c>
      <c r="N5421" s="38" t="n">
        <f aca="false">Sens!$D$5421/2</f>
        <v>0.180274740326067</v>
      </c>
      <c r="O5421" s="38" t="n">
        <f aca="false">Sens!$D$5421/2</f>
        <v>0.180274740326067</v>
      </c>
      <c r="R5421" s="38" t="n">
        <f aca="false">SUMPRODUCT(--(Sens!$R$5385:$AA$5385&lt;Sens!R$5385),Sens!$R$5418:$AA$5418)/fac_life</f>
        <v>0</v>
      </c>
      <c r="S5421" s="38" t="n">
        <f aca="false">SUMPRODUCT(--(Sens!$R$5385:$AA$5385&lt;Sens!S$5385),Sens!$R$5418:$AA$5418)/fac_life</f>
        <v>0.0202511502553155</v>
      </c>
      <c r="T5421" s="38" t="n">
        <f aca="false">SUMPRODUCT(--(Sens!$R$5385:$AA$5385&lt;Sens!T$5385),Sens!$R$5418:$AA$5418)/fac_life</f>
        <v>0.360549480652134</v>
      </c>
      <c r="U5421" s="38" t="n">
        <f aca="false">SUMPRODUCT(--(Sens!$R$5385:$AA$5385&lt;Sens!U$5385),Sens!$R$5418:$AA$5418)/fac_life</f>
        <v>1.29709472025025</v>
      </c>
      <c r="V5421" s="38" t="n">
        <f aca="false">SUMPRODUCT(--(Sens!$R$5385:$AA$5385&lt;Sens!V$5385),Sens!$R$5418:$AA$5418)/fac_life</f>
        <v>3.21599529914753</v>
      </c>
      <c r="W5421" s="38" t="n">
        <f aca="false">SUMPRODUCT(--(Sens!$R$5385:$AA$5385&lt;Sens!W$5385),Sens!$R$5418:$AA$5418)/fac_life</f>
        <v>5.51832434914753</v>
      </c>
      <c r="X5421" s="38" t="n">
        <f aca="false">SUMPRODUCT(--(Sens!$R$5385:$AA$5385&lt;Sens!X$5385),Sens!$R$5418:$AA$5418)/fac_life</f>
        <v>7.82065339914753</v>
      </c>
      <c r="Y5421" s="38" t="n">
        <f aca="false">SUMPRODUCT(--(Sens!$R$5385:$AA$5385&lt;Sens!Y$5385),Sens!$R$5418:$AA$5418)/fac_life</f>
        <v>10.1229824491475</v>
      </c>
      <c r="Z5421" s="38" t="n">
        <f aca="false">SUMPRODUCT(--(Sens!$R$5385:$AA$5385&lt;Sens!Z$5385),Sens!$R$5418:$AA$5418)/fac_life</f>
        <v>11.7203740269809</v>
      </c>
      <c r="AA5421" s="38" t="n">
        <f aca="false">SUMPRODUCT(--(Sens!$R$5385:$AA$5385&lt;Sens!AA$5385),Sens!$R$5418:$AA$5418)/fac_life</f>
        <v>12.6128281326475</v>
      </c>
    </row>
    <row r="5422" customFormat="false" ht="17.15" hidden="false" customHeight="false" outlineLevel="0" collapsed="false">
      <c r="A5422" s="1" t="s">
        <v>633</v>
      </c>
      <c r="B5422" s="8" t="s">
        <v>86</v>
      </c>
      <c r="C5422" s="38" t="n">
        <f aca="false">Sens!$C$5420+Sens!$C$5421</f>
        <v>0.203463948620839</v>
      </c>
      <c r="D5422" s="38" t="n">
        <f aca="false">Sens!$D$5420+Sens!$D$5421</f>
        <v>3.62245206231783</v>
      </c>
      <c r="E5422" s="38" t="n">
        <f aca="false">Sens!$E$5420+Sens!$E$5421</f>
        <v>6.51597588754466</v>
      </c>
      <c r="F5422" s="38" t="n">
        <f aca="false">Sens!$F$5420+Sens!$F$5421</f>
        <v>6.51597588754466</v>
      </c>
      <c r="G5422" s="38" t="n">
        <f aca="false">Sens!$G$5420+Sens!$G$5421</f>
        <v>13.0319517750893</v>
      </c>
      <c r="H5422" s="38" t="n">
        <f aca="false">Sens!$H$5420+Sens!$H$5421</f>
        <v>35.2941921973308</v>
      </c>
      <c r="I5422" s="38" t="n">
        <f aca="false">Sens!$I$5420+Sens!$I$5421</f>
        <v>63.0173185714558</v>
      </c>
      <c r="J5422" s="38" t="n">
        <f aca="false">Sens!$J$5420+Sens!$J$5421</f>
        <v>91.7529624398725</v>
      </c>
      <c r="K5422" s="38" t="n">
        <f aca="false">Sens!$K$5420+Sens!$K$5421</f>
        <v>121.178188209924</v>
      </c>
      <c r="L5422" s="38" t="n">
        <f aca="false">Sens!$L$5420+Sens!$L$5421</f>
        <v>139.782322905609</v>
      </c>
      <c r="M5422" s="38" t="n">
        <f aca="false">Sens!$M$5420+Sens!$M$5421</f>
        <v>150.303347021989</v>
      </c>
      <c r="N5422" s="38" t="n">
        <f aca="false">Sens!$N$5420+Sens!$N$5421</f>
        <v>1.81122603115892</v>
      </c>
      <c r="O5422" s="38" t="n">
        <f aca="false">Sens!$O$5420+Sens!$O$5421</f>
        <v>1.81122603115892</v>
      </c>
      <c r="R5422" s="38" t="n">
        <f aca="false">Sens!$R$5420+Sens!$R$5421</f>
        <v>0</v>
      </c>
      <c r="S5422" s="38" t="n">
        <f aca="false">Sens!$S$5420+Sens!$S$5421</f>
        <v>0.203463948620839</v>
      </c>
      <c r="T5422" s="38" t="n">
        <f aca="false">Sens!$T$5420+Sens!$T$5421</f>
        <v>3.62245206231783</v>
      </c>
      <c r="U5422" s="38" t="n">
        <f aca="false">Sens!$U$5420+Sens!$U$5421</f>
        <v>13.0319517750893</v>
      </c>
      <c r="V5422" s="38" t="n">
        <f aca="false">Sens!$V$5420+Sens!$V$5421</f>
        <v>35.2941921973308</v>
      </c>
      <c r="W5422" s="38" t="n">
        <f aca="false">Sens!$W$5420+Sens!$W$5421</f>
        <v>63.0173185714558</v>
      </c>
      <c r="X5422" s="38" t="n">
        <f aca="false">Sens!$X$5420+Sens!$X$5421</f>
        <v>91.7529624398725</v>
      </c>
      <c r="Y5422" s="38" t="n">
        <f aca="false">Sens!$Y$5420+Sens!$Y$5421</f>
        <v>121.178188209924</v>
      </c>
      <c r="Z5422" s="38" t="n">
        <f aca="false">Sens!$Z$5420+Sens!$Z$5421</f>
        <v>139.782322905609</v>
      </c>
      <c r="AA5422" s="38" t="n">
        <f aca="false">Sens!$AA$5420+Sens!$AA$5421</f>
        <v>150.303347021989</v>
      </c>
    </row>
    <row r="5423" customFormat="false" ht="17.15" hidden="false" customHeight="false" outlineLevel="0" collapsed="false">
      <c r="A5423" s="0" t="s">
        <v>634</v>
      </c>
      <c r="B5423" s="0" t="s">
        <v>86</v>
      </c>
      <c r="C5423" s="38" t="n">
        <f aca="false">Sens!$S$5423</f>
        <v>26.578941154416</v>
      </c>
      <c r="D5423" s="38" t="n">
        <f aca="false">Sens!$T$5423</f>
        <v>92.5251207231008</v>
      </c>
      <c r="G5423" s="38" t="n">
        <f aca="false">Sens!$U$5423</f>
        <v>239.931219586022</v>
      </c>
      <c r="H5423" s="38" t="n">
        <f aca="false">Sens!$V$5423</f>
        <v>403.208392333442</v>
      </c>
      <c r="I5423" s="38" t="n">
        <f aca="false">Sens!$W$5423</f>
        <v>544.837543672486</v>
      </c>
      <c r="J5423" s="38" t="n">
        <f aca="false">Sens!$X$5423</f>
        <v>662.967819343113</v>
      </c>
      <c r="K5423" s="38" t="n">
        <f aca="false">Sens!$Y$5423</f>
        <v>694.250060096768</v>
      </c>
      <c r="L5423" s="38" t="n">
        <f aca="false">Sens!$Z$5423</f>
        <v>680.925966207816</v>
      </c>
      <c r="M5423" s="38" t="n">
        <f aca="false">Sens!$AA$5423</f>
        <v>654.519731910812</v>
      </c>
      <c r="R5423" s="38" t="n">
        <f aca="false">SUM(Sens!$R$5415:$R$5415)-SUM(Sens!$R$5422:$R$5422)</f>
        <v>1.50429979529945</v>
      </c>
      <c r="S5423" s="38" t="n">
        <f aca="false">SUM(Sens!$R$5415:$S$5415)-SUM(Sens!$R$5422:$S$5422)</f>
        <v>26.578941154416</v>
      </c>
      <c r="T5423" s="38" t="n">
        <f aca="false">SUM(Sens!$R$5415:$T$5415)-SUM(Sens!$R$5422:$T$5422)</f>
        <v>92.5251207231008</v>
      </c>
      <c r="U5423" s="38" t="n">
        <f aca="false">SUM(Sens!$R$5415:$U$5415)-SUM(Sens!$R$5422:$U$5422)</f>
        <v>239.931219586022</v>
      </c>
      <c r="V5423" s="38" t="n">
        <f aca="false">SUM(Sens!$R$5415:$V$5415)-SUM(Sens!$R$5422:$V$5422)</f>
        <v>403.208392333442</v>
      </c>
      <c r="W5423" s="38" t="n">
        <f aca="false">SUM(Sens!$R$5415:$W$5415)-SUM(Sens!$R$5422:$W$5422)</f>
        <v>544.837543672486</v>
      </c>
      <c r="X5423" s="38" t="n">
        <f aca="false">SUM(Sens!$R$5415:$X$5415)-SUM(Sens!$R$5422:$X$5422)</f>
        <v>662.967819343113</v>
      </c>
      <c r="Y5423" s="38" t="n">
        <f aca="false">SUM(Sens!$R$5415:$Y$5415)-SUM(Sens!$R$5422:$Y$5422)</f>
        <v>694.250060096768</v>
      </c>
      <c r="Z5423" s="38" t="n">
        <f aca="false">SUM(Sens!$R$5415:$Z$5415)-SUM(Sens!$R$5422:$Z$5422)</f>
        <v>680.925966207816</v>
      </c>
      <c r="AA5423" s="38" t="n">
        <f aca="false">SUM(Sens!$R$5415:$AA$5415)-SUM(Sens!$R$5422:$AA$5422)</f>
        <v>654.519731910812</v>
      </c>
    </row>
    <row r="5424" customFormat="false" ht="17.15" hidden="false" customHeight="false" outlineLevel="0" collapsed="false">
      <c r="A5424" s="1" t="s">
        <v>635</v>
      </c>
    </row>
    <row r="5425" customFormat="false" ht="17.15" hidden="false" customHeight="false" outlineLevel="0" collapsed="false">
      <c r="A5425" s="0" t="s">
        <v>636</v>
      </c>
      <c r="B5425" s="0" t="s">
        <v>86</v>
      </c>
      <c r="C5425" s="38" t="n">
        <f aca="false">Sens!$C$5406-ext_sh*Sens!$C$5408</f>
        <v>1.80694998843362</v>
      </c>
      <c r="D5425" s="38" t="n">
        <f aca="false">Sens!$D$5406-ext_sh*Sens!$D$5408</f>
        <v>6.77606245662607</v>
      </c>
      <c r="E5425" s="38" t="n">
        <f aca="false">Sens!$E$5406-ext_sh*Sens!$E$5408</f>
        <v>6.62548329092326</v>
      </c>
      <c r="F5425" s="38" t="n">
        <f aca="false">Sens!$F$5406-ext_sh*Sens!$F$5408</f>
        <v>11.7200577158706</v>
      </c>
      <c r="G5425" s="38" t="n">
        <f aca="false">Sens!$G$5406-ext_sh*Sens!$G$5408</f>
        <v>18.3455410067939</v>
      </c>
      <c r="H5425" s="38" t="n">
        <f aca="false">Sens!$H$5406-ext_sh*Sens!$H$5408</f>
        <v>47.5171727060453</v>
      </c>
      <c r="I5425" s="38" t="n">
        <f aca="false">Sens!$I$5406-ext_sh*Sens!$I$5408</f>
        <v>80.5539692643667</v>
      </c>
      <c r="J5425" s="38" t="n">
        <f aca="false">Sens!$J$5406-ext_sh*Sens!$J$5408</f>
        <v>113.759316834883</v>
      </c>
      <c r="K5425" s="38" t="n">
        <f aca="false">Sens!$K$5406-ext_sh*Sens!$K$5408</f>
        <v>141.855203603144</v>
      </c>
      <c r="L5425" s="38" t="n">
        <f aca="false">Sens!$L$5406-ext_sh*Sens!$L$5408</f>
        <v>159.789055430453</v>
      </c>
      <c r="M5425" s="38" t="n">
        <f aca="false">Sens!$M$5406-ext_sh*Sens!$M$5408</f>
        <v>167.532378081213</v>
      </c>
      <c r="N5425" s="38" t="n">
        <f aca="false">Sens!$N$5406-ext_sh*Sens!$N$5408</f>
        <v>2.37162185981912</v>
      </c>
      <c r="O5425" s="38" t="n">
        <f aca="false">Sens!$O$5406-ext_sh*Sens!$O$5408</f>
        <v>4.40444059680694</v>
      </c>
    </row>
    <row r="5426" customFormat="false" ht="17.15" hidden="false" customHeight="false" outlineLevel="0" collapsed="false">
      <c r="A5426" s="1" t="s">
        <v>637</v>
      </c>
      <c r="B5426" s="8" t="s">
        <v>86</v>
      </c>
      <c r="C5426" s="38" t="n">
        <f aca="false">Sens!$C$5425-ext_sh*Sens!$C$5422</f>
        <v>1.64417882953695</v>
      </c>
      <c r="D5426" s="38" t="n">
        <f aca="false">Sens!$D$5425-ext_sh*Sens!$D$5422</f>
        <v>3.8781008067718</v>
      </c>
      <c r="E5426" s="38" t="n">
        <f aca="false">Sens!$E$5425-ext_sh*Sens!$E$5422</f>
        <v>1.41270258088753</v>
      </c>
      <c r="F5426" s="38" t="n">
        <f aca="false">Sens!$F$5425-ext_sh*Sens!$F$5422</f>
        <v>6.50727700583486</v>
      </c>
      <c r="G5426" s="38" t="n">
        <f aca="false">Sens!$G$5425-ext_sh*Sens!$G$5422</f>
        <v>7.9199795867224</v>
      </c>
      <c r="H5426" s="38" t="n">
        <f aca="false">Sens!$H$5425-ext_sh*Sens!$H$5422</f>
        <v>19.2818189481807</v>
      </c>
      <c r="I5426" s="38" t="n">
        <f aca="false">Sens!$I$5425-ext_sh*Sens!$I$5422</f>
        <v>30.140114407202</v>
      </c>
      <c r="J5426" s="38" t="n">
        <f aca="false">Sens!$J$5425-ext_sh*Sens!$J$5422</f>
        <v>40.3569468829854</v>
      </c>
      <c r="K5426" s="38" t="n">
        <f aca="false">Sens!$K$5425-ext_sh*Sens!$K$5422</f>
        <v>44.9126530352048</v>
      </c>
      <c r="L5426" s="38" t="n">
        <f aca="false">Sens!$L$5425-ext_sh*Sens!$L$5422</f>
        <v>47.9631971059665</v>
      </c>
      <c r="M5426" s="38" t="n">
        <f aca="false">Sens!$M$5425-ext_sh*Sens!$M$5422</f>
        <v>47.2897004636212</v>
      </c>
      <c r="N5426" s="38" t="n">
        <f aca="false">Sens!$N$5425-ext_sh*Sens!$N$5422</f>
        <v>0.92264103489199</v>
      </c>
      <c r="O5426" s="38" t="n">
        <f aca="false">Sens!$O$5425-ext_sh*Sens!$O$5422</f>
        <v>2.95545977187981</v>
      </c>
    </row>
    <row r="5427" customFormat="false" ht="17.15" hidden="false" customHeight="false" outlineLevel="0" collapsed="false">
      <c r="A5427" s="0" t="s">
        <v>638</v>
      </c>
      <c r="B5427" s="0" t="s">
        <v>52</v>
      </c>
      <c r="C5427" s="13" t="n">
        <f aca="false">Sens!$C$5426/Sens!$C$5406</f>
        <v>0.708390794789371</v>
      </c>
      <c r="D5427" s="13" t="n">
        <f aca="false">Sens!$D$5426/Sens!$D$5406</f>
        <v>0.445565630441968</v>
      </c>
      <c r="E5427" s="13" t="n">
        <f aca="false">Sens!$E$5426/Sens!$E$5406</f>
        <v>0.165998118402711</v>
      </c>
      <c r="F5427" s="13" t="n">
        <f aca="false">Sens!$F$5426/Sens!$F$5406</f>
        <v>0.434878595403858</v>
      </c>
      <c r="G5427" s="13" t="n">
        <f aca="false">Sens!$G$5426/Sens!$G$5406</f>
        <v>0.3373967615381</v>
      </c>
      <c r="H5427" s="13" t="n">
        <f aca="false">Sens!$H$5426/Sens!$H$5406</f>
        <v>0.320477578041224</v>
      </c>
      <c r="I5427" s="13" t="n">
        <f aca="false">Sens!$I$5426/Sens!$I$5406</f>
        <v>0.296936118226494</v>
      </c>
      <c r="J5427" s="13" t="n">
        <f aca="false">Sens!$J$5426/Sens!$J$5406</f>
        <v>0.282166278613001</v>
      </c>
      <c r="K5427" s="13" t="n">
        <f aca="false">Sens!$K$5426/Sens!$K$5406</f>
        <v>0.252088678937066</v>
      </c>
      <c r="L5427" s="13" t="n">
        <f aca="false">Sens!$L$5426/Sens!$L$5406</f>
        <v>0.239109533373036</v>
      </c>
      <c r="M5427" s="13" t="n">
        <f aca="false">Sens!$M$5426/Sens!$M$5406</f>
        <v>0.224888480009211</v>
      </c>
      <c r="N5427" s="13" t="n">
        <f aca="false">Sens!$N$5426/Sens!$N$5406</f>
        <v>0.302870734830849</v>
      </c>
      <c r="O5427" s="13" t="n">
        <f aca="false">Sens!$O$5426/Sens!$O$5406</f>
        <v>0.52240134346334</v>
      </c>
    </row>
    <row r="5428" customFormat="false" ht="17.15" hidden="false" customHeight="false" outlineLevel="0" collapsed="false">
      <c r="A5428" s="5" t="s">
        <v>639</v>
      </c>
      <c r="B5428" s="0" t="s">
        <v>86</v>
      </c>
      <c r="C5428" s="39" t="n">
        <v>0</v>
      </c>
      <c r="D5428" s="39" t="n">
        <v>0</v>
      </c>
      <c r="E5428" s="39" t="n">
        <v>0</v>
      </c>
      <c r="F5428" s="38" t="n">
        <f aca="false">IF(internal_ai_reading=2,1,0)*(1-ext_sh)/ext_sh*(mw_open*he_open+Sens!$F$5404*Sens!$F$5401)*Sens!$F$5390/1000</f>
        <v>3.77122048175818</v>
      </c>
      <c r="G5428" s="38" t="n">
        <f aca="false">Sens!$E$5428+Sens!$F$5428</f>
        <v>3.77122048175818</v>
      </c>
      <c r="H5428" s="38" t="n">
        <f aca="false">IF(internal_ai_reading=2,1,0)*(1-ext_sh)/ext_sh*(mw_open*he_open+Sens!$H$5404*Sens!$H$5401)*Sens!$H$5390/1000</f>
        <v>15.1635543609893</v>
      </c>
      <c r="I5428" s="38" t="n">
        <f aca="false">IF(internal_ai_reading=2,1,0)*(1-ext_sh)/ext_sh*(mw_open*he_open+Sens!$I$5404*Sens!$I$5401)*Sens!$I$5390/1000</f>
        <v>25.5818843619889</v>
      </c>
      <c r="J5428" s="38" t="n">
        <f aca="false">IF(internal_ai_reading=2,1,0)*(1-ext_sh)/ext_sh*(mw_open*he_open+Sens!$J$5404*Sens!$J$5401)*Sens!$J$5390/1000</f>
        <v>36.0465624179122</v>
      </c>
      <c r="K5428" s="38" t="n">
        <f aca="false">IF(internal_ai_reading=2,1,0)*(1-ext_sh)/ext_sh*(mw_open*he_open+Sens!$K$5404*Sens!$K$5401)*Sens!$K$5390/1000</f>
        <v>44.9020355557576</v>
      </c>
      <c r="L5428" s="38" t="n">
        <f aca="false">IF(internal_ai_reading=2,1,0)*(1-ext_sh)/ext_sh*(mw_open*he_open+Sens!$L$5404*Sens!$L$5401)*Sens!$L$5390/1000</f>
        <v>50.55474151763</v>
      </c>
      <c r="M5428" s="38" t="n">
        <f aca="false">IF(internal_ai_reading=2,1,0)*(1-ext_sh)/ext_sh*(mw_open*he_open+Sens!$M$5404*Sens!$M$5401)*Sens!$M$5390/1000</f>
        <v>52.9968449759368</v>
      </c>
      <c r="N5428" s="39" t="n">
        <v>0</v>
      </c>
      <c r="O5428" s="39" t="n">
        <v>0</v>
      </c>
      <c r="P5428" s="8" t="s">
        <v>640</v>
      </c>
    </row>
    <row r="5429" customFormat="false" ht="17.15" hidden="false" customHeight="false" outlineLevel="0" collapsed="false">
      <c r="A5429" s="5" t="s">
        <v>641</v>
      </c>
      <c r="B5429" s="0" t="s">
        <v>86</v>
      </c>
      <c r="C5429" s="38" t="n">
        <f aca="false">(1-ext_sh)*(Sens!$C$5408+Sens!$C$5422)</f>
        <v>0.169206631859174</v>
      </c>
      <c r="D5429" s="38" t="n">
        <f aca="false">(1-ext_sh)*(Sens!$D$5408+Sens!$D$5422)</f>
        <v>1.20641732046984</v>
      </c>
      <c r="E5429" s="38" t="n">
        <f aca="false">(1-ext_sh)*(Sens!$E$5408+Sens!$E$5422)</f>
        <v>1.77441259867062</v>
      </c>
      <c r="F5429" s="38" t="n">
        <f aca="false">(1-ext_sh)*(Sens!$F$5408+Sens!$F$5422)</f>
        <v>2.1140391597214</v>
      </c>
      <c r="G5429" s="38" t="n">
        <f aca="false">(1-ext_sh)*(Sens!$G$5408+Sens!$G$5422)</f>
        <v>3.88845175839202</v>
      </c>
      <c r="H5429" s="38" t="n">
        <f aca="false">(1-ext_sh)*(Sens!$H$5408+Sens!$H$5422)</f>
        <v>10.2210179503985</v>
      </c>
      <c r="I5429" s="38" t="n">
        <f aca="false">(1-ext_sh)*(Sens!$I$5408+Sens!$I$5422)</f>
        <v>17.8408961823075</v>
      </c>
      <c r="J5429" s="38" t="n">
        <f aca="false">(1-ext_sh)*(Sens!$J$5408+Sens!$J$5422)</f>
        <v>25.6671150670732</v>
      </c>
      <c r="K5429" s="38" t="n">
        <f aca="false">(1-ext_sh)*(Sens!$K$5408+Sens!$K$5422)</f>
        <v>33.3123663125577</v>
      </c>
      <c r="L5429" s="38" t="n">
        <f aca="false">(1-ext_sh)*(Sens!$L$5408+Sens!$L$5422)</f>
        <v>38.1569263592936</v>
      </c>
      <c r="M5429" s="38" t="n">
        <f aca="false">(1-ext_sh)*(Sens!$M$5408+Sens!$M$5422)</f>
        <v>40.7477426197701</v>
      </c>
      <c r="N5429" s="38" t="n">
        <f aca="false">(1-ext_sh)*(Sens!$N$5408+Sens!$N$5422)</f>
        <v>0.530919624033979</v>
      </c>
      <c r="O5429" s="38" t="n">
        <f aca="false">(1-ext_sh)*(Sens!$O$5408+Sens!$O$5422)</f>
        <v>0.675497696435861</v>
      </c>
    </row>
    <row r="5430" customFormat="false" ht="17.15" hidden="false" customHeight="false" outlineLevel="0" collapsed="false">
      <c r="A5430" s="0" t="s">
        <v>642</v>
      </c>
      <c r="B5430" s="0" t="s">
        <v>86</v>
      </c>
      <c r="C5430" s="38" t="n">
        <f aca="false">Q!$D$24</f>
        <v>39.834</v>
      </c>
      <c r="D5430" s="38" t="n">
        <f aca="false">Q!$E$24</f>
        <v>45.606</v>
      </c>
      <c r="E5430" s="38" t="n">
        <f aca="false">Q!$P$24</f>
        <v>30.782</v>
      </c>
      <c r="N5430" s="38" t="n">
        <f aca="false">Q!$N$24</f>
        <v>21.707</v>
      </c>
      <c r="O5430" s="38" t="n">
        <f aca="false">Q!$O$24</f>
        <v>23.899</v>
      </c>
    </row>
    <row r="5431" customFormat="false" ht="17.15" hidden="false" customHeight="false" outlineLevel="0" collapsed="false">
      <c r="A5431" s="0" t="s">
        <v>643</v>
      </c>
      <c r="B5431" s="0" t="s">
        <v>86</v>
      </c>
      <c r="C5431" s="38" t="n">
        <f aca="false">Sens!$C$5430-Sens!$C$5426</f>
        <v>38.1898211704631</v>
      </c>
      <c r="D5431" s="38" t="n">
        <f aca="false">Sens!$D$5430-Sens!$D$5426</f>
        <v>41.7278991932282</v>
      </c>
      <c r="E5431" s="38" t="n">
        <f aca="false">Sens!$E$5430-Sens!$E$5426</f>
        <v>29.3692974191125</v>
      </c>
      <c r="F5431" s="38" t="n">
        <f aca="false">Sens!$F$5410*Sens!$F$5432</f>
        <v>26.8997276714137</v>
      </c>
      <c r="G5431" s="38" t="n">
        <f aca="false">Sens!$E$5431+Sens!$F$5431</f>
        <v>56.2690250905262</v>
      </c>
      <c r="H5431" s="38" t="n">
        <f aca="false">Sens!$H$5410*Sens!$H$5432</f>
        <v>60.3505333937343</v>
      </c>
      <c r="I5431" s="38" t="n">
        <f aca="false">Sens!$I$5410*Sens!$I$5432</f>
        <v>67.0043857303571</v>
      </c>
      <c r="J5431" s="38" t="n">
        <f aca="false">Sens!$J$5410*Sens!$J$5432</f>
        <v>73.3782922956925</v>
      </c>
      <c r="K5431" s="38" t="n">
        <f aca="false">Sens!$K$5410*Sens!$K$5432</f>
        <v>79.2485556793479</v>
      </c>
      <c r="L5431" s="38" t="n">
        <f aca="false">Sens!$L$5410*Sens!$L$5432</f>
        <v>85.5884401336958</v>
      </c>
      <c r="M5431" s="38" t="n">
        <f aca="false">Sens!$M$5410*Sens!$M$5432</f>
        <v>92.4355153443914</v>
      </c>
      <c r="N5431" s="38" t="n">
        <f aca="false">Sens!$N$5430-Sens!$N$5426</f>
        <v>20.784358965108</v>
      </c>
      <c r="O5431" s="38" t="n">
        <f aca="false">Sens!$O$5430-Sens!$O$5426</f>
        <v>20.9435402281202</v>
      </c>
      <c r="P5431" s="5" t="s">
        <v>644</v>
      </c>
    </row>
    <row r="5432" customFormat="false" ht="17.15" hidden="false" customHeight="false" outlineLevel="0" collapsed="false">
      <c r="A5432" s="0" t="s">
        <v>645</v>
      </c>
      <c r="B5432" s="0" t="s">
        <v>52</v>
      </c>
      <c r="C5432" s="13" t="n">
        <f aca="false">Sens!$C$5431/Sens!$C$5410</f>
        <v>0.362900395443635</v>
      </c>
      <c r="D5432" s="13" t="n">
        <f aca="false">Sens!$D$5431/Sens!$D$5410</f>
        <v>0.34767098474203</v>
      </c>
      <c r="E5432" s="13" t="n">
        <f aca="false">Sens!$E$5431/Sens!$E$5410</f>
        <v>0.411861655558416</v>
      </c>
      <c r="F5432" s="13" t="n">
        <f aca="false">(Sens!$O$5431+Sens!$E$5431)/(Sens!$O$5410+Sens!$E$5410)</f>
        <v>0.37480827803158</v>
      </c>
      <c r="G5432" s="13" t="n">
        <f aca="false">Sens!$G$5431/Sens!$G$5410</f>
        <v>0.393275318395757</v>
      </c>
      <c r="H5432" s="13" t="n">
        <f aca="false">Sens!$F$5432</f>
        <v>0.37480827803158</v>
      </c>
      <c r="I5432" s="13" t="n">
        <f aca="false">Sens!$F$5432</f>
        <v>0.37480827803158</v>
      </c>
      <c r="J5432" s="13" t="n">
        <f aca="false">Sens!$F$5432</f>
        <v>0.37480827803158</v>
      </c>
      <c r="K5432" s="13" t="n">
        <f aca="false">Sens!$F$5432</f>
        <v>0.37480827803158</v>
      </c>
      <c r="L5432" s="13" t="n">
        <f aca="false">Sens!$F$5432</f>
        <v>0.37480827803158</v>
      </c>
      <c r="M5432" s="13" t="n">
        <f aca="false">Sens!$F$5432</f>
        <v>0.37480827803158</v>
      </c>
      <c r="N5432" s="13" t="n">
        <f aca="false">Sens!$N$5431/Sens!$N$5410</f>
        <v>0.364039571356823</v>
      </c>
      <c r="O5432" s="13" t="n">
        <f aca="false">Sens!$O$5431/Sens!$O$5410</f>
        <v>0.332819892300086</v>
      </c>
      <c r="P5432" s="8" t="s">
        <v>646</v>
      </c>
    </row>
    <row r="5433" customFormat="false" ht="17.15" hidden="false" customHeight="false" outlineLevel="0" collapsed="false">
      <c r="A5433" s="0" t="s">
        <v>647</v>
      </c>
      <c r="B5433" s="0" t="s">
        <v>52</v>
      </c>
      <c r="D5433" s="13" t="n">
        <f aca="false">(Q!$E$31-ext_sh*Sens!$D$5422)/Sens!$D$5410</f>
        <v>0.154572973163571</v>
      </c>
    </row>
    <row r="5434" customFormat="false" ht="17.15" hidden="false" customHeight="false" outlineLevel="0" collapsed="false">
      <c r="A5434" s="0" t="s">
        <v>648</v>
      </c>
      <c r="B5434" s="0" t="s">
        <v>86</v>
      </c>
      <c r="C5434" s="38" t="n">
        <f aca="false">Q!$D$31</f>
        <v>13.32</v>
      </c>
      <c r="D5434" s="38" t="n">
        <f aca="false">Q!$E$31</f>
        <v>21.45</v>
      </c>
      <c r="E5434" s="38" t="n">
        <f aca="false">Q!$P$31</f>
        <v>15.353</v>
      </c>
      <c r="F5434" s="38" t="n">
        <f aca="false">ext_sh*Sens!$F$5422+Sens!$D$5433*Sens!$F$5410</f>
        <v>16.3063747611001</v>
      </c>
      <c r="G5434" s="38" t="n">
        <f aca="false">Sens!$E$5434+Sens!$F$5434</f>
        <v>31.6593747611001</v>
      </c>
      <c r="H5434" s="38" t="n">
        <f aca="false">ext_sh*Sens!$H$5422+Sens!$D$5433*Sens!$H$5410</f>
        <v>53.124242092105</v>
      </c>
      <c r="I5434" s="38" t="n">
        <f aca="false">ext_sh*Sens!$I$5422+Sens!$D$5433*Sens!$I$5410</f>
        <v>78.046828098133</v>
      </c>
      <c r="J5434" s="38" t="n">
        <f aca="false">ext_sh*Sens!$J$5422+Sens!$D$5433*Sens!$J$5410</f>
        <v>103.663976940352</v>
      </c>
      <c r="K5434" s="38" t="n">
        <f aca="false">ext_sh*Sens!$K$5422+Sens!$D$5433*Sens!$K$5410</f>
        <v>129.625086115469</v>
      </c>
      <c r="L5434" s="38" t="n">
        <f aca="false">ext_sh*Sens!$L$5422+Sens!$D$5433*Sens!$L$5410</f>
        <v>147.122996715819</v>
      </c>
      <c r="M5434" s="38" t="n">
        <f aca="false">ext_sh*Sens!$M$5422+Sens!$D$5433*Sens!$M$5410</f>
        <v>158.36358708023</v>
      </c>
      <c r="N5434" s="38" t="n">
        <f aca="false">Q!$N$31</f>
        <v>9.234</v>
      </c>
      <c r="O5434" s="38" t="n">
        <f aca="false">Q!$O$31</f>
        <v>12.216</v>
      </c>
    </row>
    <row r="5435" customFormat="false" ht="17.15" hidden="false" customHeight="false" outlineLevel="0" collapsed="false">
      <c r="A5435" s="1" t="s">
        <v>649</v>
      </c>
    </row>
    <row r="5436" customFormat="false" ht="17.15" hidden="false" customHeight="false" outlineLevel="0" collapsed="false">
      <c r="A5436" s="15" t="s">
        <v>650</v>
      </c>
      <c r="B5436" s="14" t="s">
        <v>52</v>
      </c>
      <c r="C5436" s="14"/>
      <c r="D5436" s="14"/>
      <c r="E5436" s="14"/>
      <c r="F5436" s="14"/>
      <c r="G5436" s="17" t="n">
        <f aca="false">Sens!$G$5426*(1-tax)/(ext_sh*(Sens!$D$5423+Sens!$G$5423)/2)</f>
        <v>0.0492184452944045</v>
      </c>
      <c r="H5436" s="17" t="n">
        <f aca="false">Sens!$H$5426*(1-tax)/(ext_sh*(Sens!$G$5423+Sens!$H$5423)/2)</f>
        <v>0.0619414246858107</v>
      </c>
      <c r="I5436" s="17" t="n">
        <f aca="false">Sens!$I$5426*(1-tax)/(ext_sh*(Sens!$H$5423+Sens!$I$5423)/2)</f>
        <v>0.0656831488051666</v>
      </c>
      <c r="J5436" s="17" t="n">
        <f aca="false">Sens!$J$5426*(1-tax)/(ext_sh*(Sens!$I$5423+Sens!$J$5423)/2)</f>
        <v>0.0690334849962116</v>
      </c>
      <c r="K5436" s="17" t="n">
        <f aca="false">Sens!$K$5426*(1-tax)/(ext_sh*(Sens!$J$5423+Sens!$K$5423)/2)</f>
        <v>0.0683687416388006</v>
      </c>
      <c r="L5436" s="17" t="n">
        <f aca="false">Sens!$L$5426*(1-tax)/(ext_sh*(Sens!$K$5423+Sens!$L$5423)/2)</f>
        <v>0.0720590082340432</v>
      </c>
      <c r="M5436" s="17" t="n">
        <f aca="false">Sens!$M$5426*(1-tax)/(ext_sh*(Sens!$L$5423+Sens!$M$5423)/2)</f>
        <v>0.0731608560528717</v>
      </c>
      <c r="N5436" s="14"/>
      <c r="O5436" s="14"/>
      <c r="P5436" s="8" t="s">
        <v>651</v>
      </c>
    </row>
    <row r="5437" customFormat="false" ht="17.15" hidden="false" customHeight="false" outlineLevel="0" collapsed="false">
      <c r="A5437" s="5" t="s">
        <v>652</v>
      </c>
      <c r="B5437" s="0" t="s">
        <v>57</v>
      </c>
      <c r="H5437" s="36" t="n">
        <f aca="false">Sens!$H$5406*1000/(mw_open*he_open+Sens!$H$5404*Sens!$H$5401)</f>
        <v>0.991949006767191</v>
      </c>
      <c r="I5437" s="36" t="n">
        <f aca="false">Sens!$I$5406*1000/(mw_open*he_open+Sens!$I$5404*Sens!$I$5401)</f>
        <v>0.991949006767191</v>
      </c>
      <c r="J5437" s="36" t="n">
        <f aca="false">Sens!$J$5406*1000/(mw_open*he_open+Sens!$J$5404*Sens!$J$5401)</f>
        <v>0.991949006767191</v>
      </c>
      <c r="K5437" s="36" t="n">
        <f aca="false">Sens!$K$5406*1000/(mw_open*he_open+Sens!$K$5404*Sens!$K$5401)</f>
        <v>0.991949006767191</v>
      </c>
      <c r="L5437" s="36" t="n">
        <f aca="false">Sens!$L$5406*1000/(mw_open*he_open+Sens!$L$5404*Sens!$L$5401)</f>
        <v>0.991949006767191</v>
      </c>
      <c r="M5437" s="36" t="n">
        <f aca="false">Sens!$M$5406*1000/(mw_open*he_open+Sens!$M$5404*Sens!$M$5401)</f>
        <v>0.991949006767191</v>
      </c>
    </row>
    <row r="5438" customFormat="false" ht="17.15" hidden="false" customHeight="false" outlineLevel="0" collapsed="false">
      <c r="A5438" s="5" t="s">
        <v>653</v>
      </c>
      <c r="B5438" s="0" t="s">
        <v>57</v>
      </c>
      <c r="H5438" s="36" t="n">
        <f aca="false">Sens!$H$5437*(Sens!$H$5406+wacc*ext_sh*(Sens!$G$5423+Sens!$H$5423)/2/(1-tax)-Sens!$H$5426)/Sens!$H$5406</f>
        <v>1.25551961623259</v>
      </c>
      <c r="I5438" s="36" t="n">
        <f aca="false">Sens!$I$5437*(Sens!$I$5406+wacc*ext_sh*(Sens!$H$5423+Sens!$I$5423)/2/(1-tax)-Sens!$I$5426)/Sens!$I$5406</f>
        <v>1.2054675393263</v>
      </c>
      <c r="J5438" s="36" t="n">
        <f aca="false">Sens!$J$5437*(Sens!$J$5406+wacc*ext_sh*(Sens!$I$5423+Sens!$J$5423)/2/(1-tax)-Sens!$J$5426)/Sens!$J$5406</f>
        <v>1.17141604927023</v>
      </c>
      <c r="K5438" s="36" t="n">
        <f aca="false">Sens!$K$5437*(Sens!$K$5406+wacc*ext_sh*(Sens!$J$5423+Sens!$K$5423)/2/(1-tax)-Sens!$K$5426)/Sens!$K$5406</f>
        <v>1.15627594865456</v>
      </c>
      <c r="L5438" s="36" t="n">
        <f aca="false">Sens!$L$5437*(Sens!$L$5406+wacc*ext_sh*(Sens!$K$5423+Sens!$L$5423)/2/(1-tax)-Sens!$L$5426)/Sens!$L$5406</f>
        <v>1.12768652938057</v>
      </c>
      <c r="M5438" s="36" t="n">
        <f aca="false">Sens!$M$5437*(Sens!$M$5406+wacc*ext_sh*(Sens!$L$5423+Sens!$M$5423)/2/(1-tax)-Sens!$M$5426)/Sens!$M$5406</f>
        <v>1.11433113405438</v>
      </c>
    </row>
    <row r="5439" customFormat="false" ht="17.15" hidden="false" customHeight="false" outlineLevel="0" collapsed="false">
      <c r="A5439" s="5" t="s">
        <v>654</v>
      </c>
      <c r="B5439" s="0" t="s">
        <v>52</v>
      </c>
      <c r="C5439" s="13" t="n">
        <f aca="false">Sens!$C$5407/tk_pq</f>
        <v>0.195316432429398</v>
      </c>
      <c r="D5439" s="13" t="n">
        <f aca="false">Sens!$D$5407/tk_pq</f>
        <v>0.195316432429398</v>
      </c>
      <c r="E5439" s="13" t="n">
        <f aca="false">Sens!$E$5407/tk_pq</f>
        <v>0.195316432429398</v>
      </c>
      <c r="F5439" s="13" t="n">
        <f aca="false">Sens!$F$5407/tk_pq</f>
        <v>0.202241827274866</v>
      </c>
      <c r="G5439" s="13" t="n">
        <f aca="false">Sens!$G$5407/tk_pq</f>
        <v>0.199675016194063</v>
      </c>
      <c r="H5439" s="13" t="n">
        <f aca="false">Sens!$H$5407/tk_pq</f>
        <v>0.212647947710325</v>
      </c>
      <c r="I5439" s="13" t="n">
        <f aca="false">Sens!$I$5407/tk_pq</f>
        <v>0.219285125475351</v>
      </c>
      <c r="J5439" s="13" t="n">
        <f aca="false">Sens!$J$5407/tk_pq</f>
        <v>0.222492493217189</v>
      </c>
      <c r="K5439" s="13" t="n">
        <f aca="false">Sens!$K$5407/tk_pq</f>
        <v>0.224037965623446</v>
      </c>
      <c r="L5439" s="13" t="n">
        <f aca="false">Sens!$L$5407/tk_pq</f>
        <v>0.224743186755999</v>
      </c>
      <c r="M5439" s="13" t="n">
        <f aca="false">Sens!$M$5407/tk_pq</f>
        <v>0.224962001824354</v>
      </c>
      <c r="N5439" s="13" t="n">
        <f aca="false">Sens!$N$5407/tk_pq</f>
        <v>0.195316432429398</v>
      </c>
      <c r="O5439" s="13" t="n">
        <f aca="false">Sens!$O$5407/tk_pq</f>
        <v>0.195316432429398</v>
      </c>
      <c r="P5439" s="5" t="s">
        <v>655</v>
      </c>
    </row>
    <row r="5442" customFormat="false" ht="17.15" hidden="false" customHeight="false" outlineLevel="0" collapsed="false">
      <c r="A5442" s="1" t="s">
        <v>684</v>
      </c>
    </row>
    <row r="5443" customFormat="false" ht="17.15" hidden="false" customHeight="false" outlineLevel="0" collapsed="false">
      <c r="A5443" s="0" t="s">
        <v>685</v>
      </c>
      <c r="B5443" s="0" t="s">
        <v>86</v>
      </c>
      <c r="C5443" s="38" t="n">
        <f aca="false">Sens!$C$5406</f>
        <v>2.32100535697364</v>
      </c>
      <c r="D5443" s="38" t="n">
        <f aca="false">Sens!$D$5406</f>
        <v>8.70377008865116</v>
      </c>
      <c r="E5443" s="38" t="n">
        <f aca="false">Sens!$E$5406</f>
        <v>8.51035297557002</v>
      </c>
      <c r="F5443" s="38" t="n">
        <f aca="false">Sens!$F$5406</f>
        <v>14.9634336447205</v>
      </c>
      <c r="G5443" s="38" t="n">
        <f aca="false">Sens!$G$5406</f>
        <v>23.4737866202905</v>
      </c>
      <c r="H5443" s="38" t="n">
        <f aca="false">Sens!$H$5406</f>
        <v>60.1658907497746</v>
      </c>
      <c r="I5443" s="38" t="n">
        <f aca="false">Sens!$I$5406</f>
        <v>101.503699136432</v>
      </c>
      <c r="J5443" s="38" t="n">
        <f aca="false">Sens!$J$5406</f>
        <v>143.025407151278</v>
      </c>
      <c r="K5443" s="38" t="n">
        <f aca="false">Sens!$K$5406</f>
        <v>178.162118285436</v>
      </c>
      <c r="L5443" s="38" t="n">
        <f aca="false">Sens!$L$5406</f>
        <v>200.590902543141</v>
      </c>
      <c r="M5443" s="38" t="n">
        <f aca="false">Sens!$M$5406</f>
        <v>210.280670942702</v>
      </c>
      <c r="N5443" s="38" t="n">
        <f aca="false">Sens!$N$5406</f>
        <v>3.04631953102791</v>
      </c>
      <c r="O5443" s="38" t="n">
        <f aca="false">Sens!$O$5406</f>
        <v>5.65745055762326</v>
      </c>
      <c r="P5443" s="8" t="s">
        <v>686</v>
      </c>
    </row>
    <row r="5444" customFormat="false" ht="17.15" hidden="false" customHeight="false" outlineLevel="0" collapsed="false">
      <c r="A5444" s="0" t="s">
        <v>687</v>
      </c>
      <c r="B5444" s="0" t="s">
        <v>86</v>
      </c>
      <c r="C5444" s="38" t="n">
        <f aca="false">Sens!$C$5410</f>
        <v>105.234994643026</v>
      </c>
      <c r="D5444" s="38" t="n">
        <f aca="false">Sens!$D$5410</f>
        <v>120.021229911349</v>
      </c>
      <c r="E5444" s="38" t="n">
        <f aca="false">Sens!$E$5410</f>
        <v>71.30864702443</v>
      </c>
      <c r="F5444" s="38" t="n">
        <f aca="false">Sens!$F$5410</f>
        <v>71.7692997942464</v>
      </c>
      <c r="G5444" s="38" t="n">
        <f aca="false">Sens!$G$5410</f>
        <v>143.077946818676</v>
      </c>
      <c r="H5444" s="38" t="n">
        <f aca="false">Sens!$H$5410</f>
        <v>161.017077079203</v>
      </c>
      <c r="I5444" s="38" t="n">
        <f aca="false">Sens!$I$5410</f>
        <v>178.769759521457</v>
      </c>
      <c r="J5444" s="38" t="n">
        <f aca="false">Sens!$J$5410</f>
        <v>195.775538045907</v>
      </c>
      <c r="K5444" s="38" t="n">
        <f aca="false">Sens!$K$5410</f>
        <v>211.43758108958</v>
      </c>
      <c r="L5444" s="38" t="n">
        <f aca="false">Sens!$L$5410</f>
        <v>228.352587576746</v>
      </c>
      <c r="M5444" s="38" t="n">
        <f aca="false">Sens!$M$5410</f>
        <v>246.620794582886</v>
      </c>
      <c r="N5444" s="38" t="n">
        <f aca="false">Sens!$N$5410</f>
        <v>57.0936804689721</v>
      </c>
      <c r="O5444" s="38" t="n">
        <f aca="false">Sens!$O$5410</f>
        <v>62.9275494423768</v>
      </c>
      <c r="P5444" s="8" t="s">
        <v>686</v>
      </c>
    </row>
    <row r="5445" customFormat="false" ht="17.15" hidden="false" customHeight="false" outlineLevel="0" collapsed="false">
      <c r="A5445" s="1" t="s">
        <v>513</v>
      </c>
      <c r="B5445" s="8" t="s">
        <v>86</v>
      </c>
      <c r="C5445" s="38" t="n">
        <f aca="false">Q!$D$7</f>
        <v>107.556</v>
      </c>
      <c r="D5445" s="38" t="n">
        <f aca="false">Q!$E$7</f>
        <v>128.725</v>
      </c>
      <c r="E5445" s="38" t="n">
        <f aca="false">Q!$P$7</f>
        <v>79.819</v>
      </c>
      <c r="F5445" s="38" t="n">
        <f aca="false">Sens!$F$5443+Sens!$F$5444</f>
        <v>86.7327334389669</v>
      </c>
      <c r="G5445" s="38" t="n">
        <f aca="false">Sens!$G$5443+Sens!$G$5444</f>
        <v>166.551733438967</v>
      </c>
      <c r="H5445" s="38" t="n">
        <f aca="false">Sens!$H$5443+Sens!$H$5444</f>
        <v>221.182967828978</v>
      </c>
      <c r="I5445" s="38" t="n">
        <f aca="false">Sens!$I$5443+Sens!$I$5444</f>
        <v>280.27345865789</v>
      </c>
      <c r="J5445" s="38" t="n">
        <f aca="false">Sens!$J$5443+Sens!$J$5444</f>
        <v>338.800945197185</v>
      </c>
      <c r="K5445" s="38" t="n">
        <f aca="false">Sens!$K$5443+Sens!$K$5444</f>
        <v>389.599699375015</v>
      </c>
      <c r="L5445" s="38" t="n">
        <f aca="false">Sens!$L$5443+Sens!$L$5444</f>
        <v>428.943490119887</v>
      </c>
      <c r="M5445" s="38" t="n">
        <f aca="false">Sens!$M$5443+Sens!$M$5444</f>
        <v>456.901465525587</v>
      </c>
      <c r="N5445" s="38" t="n">
        <f aca="false">Q!$N$7</f>
        <v>60.14</v>
      </c>
      <c r="O5445" s="38" t="n">
        <f aca="false">Q!$O$7</f>
        <v>68.585</v>
      </c>
      <c r="P5445" s="5" t="s">
        <v>688</v>
      </c>
    </row>
    <row r="5446" customFormat="false" ht="15" hidden="false" customHeight="false" outlineLevel="0" collapsed="false">
      <c r="A5446" s="3" t="s">
        <v>689</v>
      </c>
      <c r="B5446" s="8" t="s">
        <v>86</v>
      </c>
      <c r="C5446" s="38" t="n">
        <f aca="false">Q!$D$8</f>
        <v>637.959</v>
      </c>
      <c r="D5446" s="38" t="n">
        <f aca="false">Q!$E$8</f>
        <v>716.924</v>
      </c>
      <c r="E5446" s="38" t="n">
        <f aca="false">Q!$P$8</f>
        <v>382.125</v>
      </c>
      <c r="F5446" s="38" t="n">
        <f aca="false">Sens!$F$5378+Sens!$F$5445</f>
        <v>435.780975084504</v>
      </c>
      <c r="G5446" s="38" t="n">
        <f aca="false">Sens!$G$5378+Sens!$G$5445</f>
        <v>817.905975084504</v>
      </c>
      <c r="H5446" s="38" t="n">
        <f aca="false">Sens!$H$5378+Sens!$H$5445</f>
        <v>942.279857350364</v>
      </c>
      <c r="I5446" s="38" t="n">
        <f aca="false">Sens!$I$5378+Sens!$I$5445</f>
        <v>1068.80284981042</v>
      </c>
      <c r="J5446" s="38" t="n">
        <f aca="false">Sens!$J$5378+Sens!$J$5445</f>
        <v>1189.90935093863</v>
      </c>
      <c r="K5446" s="38" t="n">
        <f aca="false">Sens!$K$5378+Sens!$K$5445</f>
        <v>1295.7761548061</v>
      </c>
      <c r="L5446" s="38" t="n">
        <f aca="false">Sens!$L$5378+Sens!$L$5445</f>
        <v>1394.03659659548</v>
      </c>
      <c r="M5446" s="38" t="n">
        <f aca="false">Sens!$M$5378+Sens!$M$5445</f>
        <v>1485.04937347247</v>
      </c>
      <c r="N5446" s="38" t="n">
        <f aca="false">Q!$N$8</f>
        <v>323.369</v>
      </c>
      <c r="O5446" s="38" t="n">
        <f aca="false">Q!$O$8</f>
        <v>393.555</v>
      </c>
    </row>
    <row r="5447" customFormat="false" ht="17.15" hidden="false" customHeight="false" outlineLevel="0" collapsed="false">
      <c r="A5447" s="24" t="s">
        <v>697</v>
      </c>
      <c r="B5447" s="25" t="s">
        <v>86</v>
      </c>
      <c r="C5447" s="41" t="n">
        <f aca="false">Sens!$C$5378-(Sens!$C$5380+Sens!$C$5381)</f>
        <v>0</v>
      </c>
      <c r="D5447" s="41" t="n">
        <f aca="false">Sens!$D$5378-(Sens!$D$5380+Sens!$D$5381)</f>
        <v>0</v>
      </c>
      <c r="E5447" s="41" t="n">
        <f aca="false">Sens!$E$5378-(Sens!$E$5380+Sens!$E$5381)</f>
        <v>0</v>
      </c>
      <c r="F5447" s="41" t="n">
        <f aca="false">Sens!$F$5378-(Sens!$F$5380+Sens!$F$5381)</f>
        <v>0</v>
      </c>
      <c r="G5447" s="41" t="n">
        <f aca="false">Sens!$G$5378-(Sens!$G$5380+Sens!$G$5381)</f>
        <v>0</v>
      </c>
      <c r="H5447" s="41" t="n">
        <f aca="false">Sens!$H$5378-(Sens!$H$5380+Sens!$H$5381)</f>
        <v>0</v>
      </c>
      <c r="I5447" s="41" t="n">
        <f aca="false">Sens!$I$5378-(Sens!$I$5380+Sens!$I$5381)</f>
        <v>0</v>
      </c>
      <c r="J5447" s="41" t="n">
        <f aca="false">Sens!$J$5378-(Sens!$J$5380+Sens!$J$5381)</f>
        <v>0</v>
      </c>
      <c r="K5447" s="41" t="n">
        <f aca="false">Sens!$K$5378-(Sens!$K$5380+Sens!$K$5381)</f>
        <v>0</v>
      </c>
      <c r="L5447" s="41" t="n">
        <f aca="false">Sens!$L$5378-(Sens!$L$5380+Sens!$L$5381)</f>
        <v>0</v>
      </c>
      <c r="M5447" s="41" t="n">
        <f aca="false">Sens!$M$5378-(Sens!$M$5380+Sens!$M$5381)</f>
        <v>0</v>
      </c>
      <c r="N5447" s="41" t="n">
        <f aca="false">Sens!$N$5378-(Sens!$N$5380+Sens!$N$5381)</f>
        <v>0</v>
      </c>
      <c r="O5447" s="41" t="n">
        <f aca="false">Sens!$O$5378-(Sens!$O$5380+Sens!$O$5381)</f>
        <v>0</v>
      </c>
    </row>
    <row r="5448" customFormat="false" ht="17.15" hidden="false" customHeight="false" outlineLevel="0" collapsed="false">
      <c r="A5448" s="24" t="s">
        <v>698</v>
      </c>
      <c r="B5448" s="25" t="s">
        <v>86</v>
      </c>
      <c r="C5448" s="41" t="n">
        <f aca="false">Sens!$C$5443+Sens!$C$5444-Sens!$C$5445</f>
        <v>0</v>
      </c>
      <c r="D5448" s="41" t="n">
        <f aca="false">Sens!$D$5443+Sens!$D$5444-Sens!$D$5445</f>
        <v>0</v>
      </c>
      <c r="E5448" s="41" t="n">
        <f aca="false">Sens!$E$5443+Sens!$E$5444-Sens!$E$5445</f>
        <v>0</v>
      </c>
      <c r="F5448" s="41" t="n">
        <f aca="false">Sens!$F$5443+Sens!$F$5444-Sens!$F$5445</f>
        <v>0</v>
      </c>
      <c r="G5448" s="41" t="n">
        <f aca="false">Sens!$G$5443+Sens!$G$5444-Sens!$G$5445</f>
        <v>0</v>
      </c>
      <c r="H5448" s="41" t="n">
        <f aca="false">Sens!$H$5443+Sens!$H$5444-Sens!$H$5445</f>
        <v>0</v>
      </c>
      <c r="I5448" s="41" t="n">
        <f aca="false">Sens!$I$5443+Sens!$I$5444-Sens!$I$5445</f>
        <v>0</v>
      </c>
      <c r="J5448" s="41" t="n">
        <f aca="false">Sens!$J$5443+Sens!$J$5444-Sens!$J$5445</f>
        <v>0</v>
      </c>
      <c r="K5448" s="41" t="n">
        <f aca="false">Sens!$K$5443+Sens!$K$5444-Sens!$K$5445</f>
        <v>0</v>
      </c>
      <c r="L5448" s="41" t="n">
        <f aca="false">Sens!$L$5443+Sens!$L$5444-Sens!$L$5445</f>
        <v>0</v>
      </c>
      <c r="M5448" s="41" t="n">
        <f aca="false">Sens!$M$5443+Sens!$M$5444-Sens!$M$5445</f>
        <v>0</v>
      </c>
      <c r="N5448" s="41" t="n">
        <f aca="false">Sens!$N$5443+Sens!$N$5444-Sens!$N$5445</f>
        <v>0</v>
      </c>
      <c r="O5448" s="41" t="n">
        <f aca="false">Sens!$O$5443+Sens!$O$5444-Sens!$O$5445</f>
        <v>0</v>
      </c>
    </row>
    <row r="5449" customFormat="false" ht="17.15" hidden="false" customHeight="false" outlineLevel="0" collapsed="false">
      <c r="A5449" s="24" t="s">
        <v>699</v>
      </c>
      <c r="B5449" s="25" t="s">
        <v>86</v>
      </c>
      <c r="C5449" s="41" t="n">
        <f aca="false">Sens!$C$5380+Sens!$C$5381+Sens!$C$5445-Sens!$C$5446</f>
        <v>0</v>
      </c>
      <c r="D5449" s="41" t="n">
        <f aca="false">Sens!$D$5380+Sens!$D$5381+Sens!$D$5445-Sens!$D$5446</f>
        <v>0</v>
      </c>
      <c r="E5449" s="41" t="n">
        <f aca="false">Sens!$E$5380+Sens!$E$5381+Sens!$E$5445-Sens!$E$5446</f>
        <v>0</v>
      </c>
      <c r="F5449" s="41" t="n">
        <f aca="false">Sens!$F$5380+Sens!$F$5381+Sens!$F$5445-Sens!$F$5446</f>
        <v>0</v>
      </c>
      <c r="G5449" s="41" t="n">
        <f aca="false">Sens!$G$5380+Sens!$G$5381+Sens!$G$5445-Sens!$G$5446</f>
        <v>0</v>
      </c>
      <c r="H5449" s="41" t="n">
        <f aca="false">Sens!$H$5380+Sens!$H$5381+Sens!$H$5445-Sens!$H$5446</f>
        <v>0</v>
      </c>
      <c r="I5449" s="41" t="n">
        <f aca="false">Sens!$I$5380+Sens!$I$5381+Sens!$I$5445-Sens!$I$5446</f>
        <v>0</v>
      </c>
      <c r="J5449" s="41" t="n">
        <f aca="false">Sens!$J$5380+Sens!$J$5381+Sens!$J$5445-Sens!$J$5446</f>
        <v>0</v>
      </c>
      <c r="K5449" s="41" t="n">
        <f aca="false">Sens!$K$5380+Sens!$K$5381+Sens!$K$5445-Sens!$K$5446</f>
        <v>0</v>
      </c>
      <c r="L5449" s="41" t="n">
        <f aca="false">Sens!$L$5380+Sens!$L$5381+Sens!$L$5445-Sens!$L$5446</f>
        <v>0</v>
      </c>
      <c r="M5449" s="41" t="n">
        <f aca="false">Sens!$M$5380+Sens!$M$5381+Sens!$M$5445-Sens!$M$5446</f>
        <v>0</v>
      </c>
      <c r="N5449" s="41" t="n">
        <f aca="false">Sens!$N$5380+Sens!$N$5381+Sens!$N$5445-Sens!$N$5446</f>
        <v>0</v>
      </c>
      <c r="O5449" s="41" t="n">
        <f aca="false">Sens!$O$5380+Sens!$O$5381+Sens!$O$5445-Sens!$O$5446</f>
        <v>0</v>
      </c>
    </row>
    <row r="5450" customFormat="false" ht="15" hidden="false" customHeight="false" outlineLevel="0" collapsed="false">
      <c r="A5450" s="5" t="s">
        <v>693</v>
      </c>
      <c r="B5450" s="0" t="s">
        <v>52</v>
      </c>
      <c r="G5450" s="13" t="n">
        <f aca="false">Sens!$G$5446/Sens!$D$5446-1</f>
        <v>0.140854504918937</v>
      </c>
      <c r="H5450" s="13" t="n">
        <f aca="false">Sens!$H$5446/Sens!$G$5446-1</f>
        <v>0.152063789793209</v>
      </c>
      <c r="I5450" s="13" t="n">
        <f aca="false">Sens!$I$5446/Sens!$H$5446-1</f>
        <v>0.134273264437417</v>
      </c>
      <c r="J5450" s="13" t="n">
        <f aca="false">Sens!$J$5446/Sens!$I$5446-1</f>
        <v>0.113310421234083</v>
      </c>
      <c r="K5450" s="13" t="n">
        <f aca="false">Sens!$K$5446/Sens!$J$5446-1</f>
        <v>0.0889704781158034</v>
      </c>
      <c r="L5450" s="13" t="n">
        <f aca="false">Sens!$L$5446/Sens!$K$5446-1</f>
        <v>0.0758313397147494</v>
      </c>
      <c r="M5450" s="13" t="n">
        <f aca="false">Sens!$M$5446/Sens!$L$5446-1</f>
        <v>0.0652872220853238</v>
      </c>
    </row>
    <row r="5451" customFormat="false" ht="17.15" hidden="false" customHeight="false" outlineLevel="0" collapsed="false">
      <c r="A5451" s="0" t="s">
        <v>694</v>
      </c>
      <c r="B5451" s="0" t="s">
        <v>52</v>
      </c>
      <c r="C5451" s="13" t="n">
        <f aca="false">Sens!$C$5445/Sens!$C$5446</f>
        <v>0.168593906504964</v>
      </c>
      <c r="D5451" s="13" t="n">
        <f aca="false">Sens!$D$5445/Sens!$D$5446</f>
        <v>0.179551807444025</v>
      </c>
      <c r="E5451" s="13" t="n">
        <f aca="false">Sens!$E$5445/Sens!$E$5446</f>
        <v>0.208881910369643</v>
      </c>
      <c r="F5451" s="13" t="n">
        <f aca="false">Sens!$F$5445/Sens!$F$5446</f>
        <v>0.199028269699356</v>
      </c>
      <c r="G5451" s="13" t="n">
        <f aca="false">Sens!$G$5445/Sens!$G$5446</f>
        <v>0.203631882529968</v>
      </c>
      <c r="H5451" s="13" t="n">
        <f aca="false">Sens!$H$5445/Sens!$H$5446</f>
        <v>0.234731715958496</v>
      </c>
      <c r="I5451" s="13" t="n">
        <f aca="false">Sens!$I$5445/Sens!$I$5446</f>
        <v>0.262231204480418</v>
      </c>
      <c r="J5451" s="13" t="n">
        <f aca="false">Sens!$J$5445/Sens!$J$5446</f>
        <v>0.284728366013706</v>
      </c>
      <c r="K5451" s="13" t="n">
        <f aca="false">Sens!$K$5445/Sens!$K$5446</f>
        <v>0.300668983550877</v>
      </c>
      <c r="L5451" s="13" t="n">
        <f aca="false">Sens!$L$5445/Sens!$L$5446</f>
        <v>0.307698873306092</v>
      </c>
      <c r="M5451" s="13" t="n">
        <f aca="false">Sens!$M$5445/Sens!$M$5446</f>
        <v>0.30766752519293</v>
      </c>
      <c r="N5451" s="13" t="n">
        <f aca="false">Sens!$N$5445/Sens!$N$5446</f>
        <v>0.185979484737251</v>
      </c>
      <c r="O5451" s="13" t="n">
        <f aca="false">Sens!$O$5445/Sens!$O$5446</f>
        <v>0.174270432341096</v>
      </c>
    </row>
    <row r="5452" customFormat="false" ht="17.15" hidden="false" customHeight="false" outlineLevel="0" collapsed="false">
      <c r="A5452" s="0" t="s">
        <v>695</v>
      </c>
      <c r="B5452" s="0" t="s">
        <v>52</v>
      </c>
      <c r="C5452" s="13" t="n">
        <f aca="false">Sens!$C$5443/Sens!$C$5445</f>
        <v>0.0215795060896058</v>
      </c>
      <c r="D5452" s="13" t="n">
        <f aca="false">Sens!$D$5443/Sens!$D$5445</f>
        <v>0.0676152269462122</v>
      </c>
      <c r="E5452" s="13" t="n">
        <f aca="false">Sens!$E$5443/Sens!$E$5445</f>
        <v>0.106620641395783</v>
      </c>
      <c r="F5452" s="13" t="n">
        <f aca="false">Sens!$F$5443/Sens!$F$5445</f>
        <v>0.172523487401099</v>
      </c>
      <c r="G5452" s="13" t="n">
        <f aca="false">Sens!$G$5443/Sens!$G$5445</f>
        <v>0.140939911795589</v>
      </c>
      <c r="H5452" s="13" t="n">
        <f aca="false">Sens!$H$5443/Sens!$H$5445</f>
        <v>0.272018642937714</v>
      </c>
      <c r="I5452" s="13" t="n">
        <f aca="false">Sens!$I$5443/Sens!$I$5445</f>
        <v>0.362159512436497</v>
      </c>
      <c r="J5452" s="13" t="n">
        <f aca="false">Sens!$J$5443/Sens!$J$5445</f>
        <v>0.422151735934609</v>
      </c>
      <c r="K5452" s="13" t="n">
        <f aca="false">Sens!$K$5443/Sens!$K$5445</f>
        <v>0.45729531765871</v>
      </c>
      <c r="L5452" s="13" t="n">
        <f aca="false">Sens!$L$5443/Sens!$L$5445</f>
        <v>0.467639461055993</v>
      </c>
      <c r="M5452" s="13" t="n">
        <f aca="false">Sens!$M$5443/Sens!$M$5445</f>
        <v>0.460231990503268</v>
      </c>
      <c r="N5452" s="13" t="n">
        <f aca="false">Sens!$N$5443/Sens!$N$5445</f>
        <v>0.0506537999838362</v>
      </c>
      <c r="O5452" s="13" t="n">
        <f aca="false">Sens!$O$5443/Sens!$O$5445</f>
        <v>0.0824881615167056</v>
      </c>
    </row>
    <row r="5455" customFormat="false" ht="19.4" hidden="false" customHeight="false" outlineLevel="0" collapsed="false">
      <c r="A5455" s="31" t="s">
        <v>1239</v>
      </c>
    </row>
    <row r="5456" customFormat="false" ht="17.15" hidden="false" customHeight="false" outlineLevel="0" collapsed="false">
      <c r="A5456" s="6" t="s">
        <v>16</v>
      </c>
      <c r="B5456" s="6" t="s">
        <v>17</v>
      </c>
      <c r="C5456" s="20" t="s">
        <v>494</v>
      </c>
      <c r="D5456" s="20" t="s">
        <v>495</v>
      </c>
      <c r="E5456" s="20" t="s">
        <v>577</v>
      </c>
      <c r="F5456" s="20" t="s">
        <v>578</v>
      </c>
      <c r="G5456" s="20" t="s">
        <v>579</v>
      </c>
      <c r="H5456" s="20" t="s">
        <v>580</v>
      </c>
      <c r="I5456" s="20" t="s">
        <v>581</v>
      </c>
      <c r="J5456" s="20" t="s">
        <v>582</v>
      </c>
      <c r="K5456" s="20" t="s">
        <v>583</v>
      </c>
      <c r="L5456" s="20" t="s">
        <v>584</v>
      </c>
      <c r="M5456" s="20" t="s">
        <v>585</v>
      </c>
      <c r="N5456" s="20" t="s">
        <v>586</v>
      </c>
      <c r="O5456" s="20" t="s">
        <v>587</v>
      </c>
      <c r="P5456" s="6" t="s">
        <v>23</v>
      </c>
      <c r="R5456" s="20" t="n">
        <v>2023</v>
      </c>
      <c r="S5456" s="20" t="n">
        <v>2024</v>
      </c>
      <c r="T5456" s="20" t="n">
        <v>2025</v>
      </c>
      <c r="U5456" s="20" t="n">
        <v>2026</v>
      </c>
      <c r="V5456" s="20" t="n">
        <v>2027</v>
      </c>
      <c r="W5456" s="20" t="n">
        <v>2028</v>
      </c>
      <c r="X5456" s="20" t="n">
        <v>2029</v>
      </c>
      <c r="Y5456" s="20" t="n">
        <v>2030</v>
      </c>
      <c r="Z5456" s="20" t="n">
        <v>2031</v>
      </c>
      <c r="AA5456" s="20" t="n">
        <v>2032</v>
      </c>
    </row>
    <row r="5457" customFormat="false" ht="17.15" hidden="false" customHeight="false" outlineLevel="0" collapsed="false">
      <c r="A5457" s="1" t="s">
        <v>710</v>
      </c>
    </row>
    <row r="5458" customFormat="false" ht="15" hidden="false" customHeight="false" outlineLevel="0" collapsed="false">
      <c r="A5458" s="0" t="s">
        <v>516</v>
      </c>
      <c r="B5458" s="0" t="s">
        <v>86</v>
      </c>
      <c r="C5458" s="38" t="n">
        <f aca="false">Sens!$C$5365</f>
        <v>247.029</v>
      </c>
      <c r="D5458" s="38" t="n">
        <f aca="false">Sens!$D$5365</f>
        <v>269.287</v>
      </c>
      <c r="E5458" s="38" t="n">
        <f aca="false">Sens!$E$5365</f>
        <v>134.686</v>
      </c>
      <c r="F5458" s="38" t="n">
        <f aca="false">Sens!$F$5365</f>
        <v>158.293876822267</v>
      </c>
      <c r="G5458" s="38" t="n">
        <f aca="false">Sens!$G$5365</f>
        <v>292.979876822267</v>
      </c>
      <c r="H5458" s="38" t="n">
        <f aca="false">Sens!$H$5365</f>
        <v>318.184543087396</v>
      </c>
      <c r="I5458" s="38" t="n">
        <f aca="false">Sens!$I$5365</f>
        <v>341.736278761793</v>
      </c>
      <c r="J5458" s="38" t="n">
        <f aca="false">Sens!$J$5365</f>
        <v>362.927192787048</v>
      </c>
      <c r="K5458" s="38" t="n">
        <f aca="false">Sens!$K$5365</f>
        <v>381.0735524264</v>
      </c>
      <c r="L5458" s="38" t="n">
        <f aca="false">Sens!$L$5365</f>
        <v>400.12723004772</v>
      </c>
      <c r="M5458" s="38" t="n">
        <f aca="false">Sens!$M$5365</f>
        <v>420.133591550106</v>
      </c>
      <c r="N5458" s="38" t="n">
        <f aca="false">Sens!$N$5365</f>
        <v>118.892</v>
      </c>
      <c r="O5458" s="38" t="n">
        <f aca="false">Sens!$O$5365</f>
        <v>150.395</v>
      </c>
    </row>
    <row r="5459" customFormat="false" ht="15" hidden="false" customHeight="false" outlineLevel="0" collapsed="false">
      <c r="A5459" s="0" t="s">
        <v>517</v>
      </c>
      <c r="B5459" s="0" t="s">
        <v>86</v>
      </c>
      <c r="C5459" s="38" t="n">
        <f aca="false">Sens!$C$5367</f>
        <v>21.215</v>
      </c>
      <c r="D5459" s="38" t="n">
        <f aca="false">Sens!$D$5367</f>
        <v>22.561</v>
      </c>
      <c r="E5459" s="38" t="n">
        <f aca="false">Sens!$E$5367</f>
        <v>11.579</v>
      </c>
      <c r="F5459" s="38" t="n">
        <f aca="false">Sens!$F$5367</f>
        <v>11.5938724610325</v>
      </c>
      <c r="G5459" s="38" t="n">
        <f aca="false">Sens!$G$5367</f>
        <v>23.1728724610325</v>
      </c>
      <c r="H5459" s="38" t="n">
        <f aca="false">Sens!$H$5367</f>
        <v>24.353392759506</v>
      </c>
      <c r="I5459" s="38" t="n">
        <f aca="false">Sens!$I$5367</f>
        <v>25.4240338872015</v>
      </c>
      <c r="J5459" s="38" t="n">
        <f aca="false">Sens!$J$5367</f>
        <v>26.3642491017174</v>
      </c>
      <c r="K5459" s="38" t="n">
        <f aca="false">Sens!$K$5367</f>
        <v>27.155176574769</v>
      </c>
      <c r="L5459" s="38" t="n">
        <f aca="false">Sens!$L$5367</f>
        <v>27.969831872012</v>
      </c>
      <c r="M5459" s="38" t="n">
        <f aca="false">Sens!$M$5367</f>
        <v>28.8089268281724</v>
      </c>
      <c r="N5459" s="38" t="n">
        <f aca="false">Sens!$N$5367</f>
        <v>11.128</v>
      </c>
      <c r="O5459" s="38" t="n">
        <f aca="false">Sens!$O$5367</f>
        <v>11.433</v>
      </c>
    </row>
    <row r="5460" customFormat="false" ht="15" hidden="false" customHeight="false" outlineLevel="0" collapsed="false">
      <c r="A5460" s="0" t="s">
        <v>518</v>
      </c>
      <c r="B5460" s="0" t="s">
        <v>86</v>
      </c>
      <c r="C5460" s="38" t="n">
        <f aca="false">Sens!$C$5369</f>
        <v>156.146</v>
      </c>
      <c r="D5460" s="38" t="n">
        <f aca="false">Sens!$D$5369</f>
        <v>172.162</v>
      </c>
      <c r="E5460" s="38" t="n">
        <f aca="false">Sens!$E$5369</f>
        <v>88.358</v>
      </c>
      <c r="F5460" s="38" t="n">
        <f aca="false">Sens!$F$5369</f>
        <v>102.004388260171</v>
      </c>
      <c r="G5460" s="38" t="n">
        <f aca="false">Sens!$G$5369</f>
        <v>190.362388260171</v>
      </c>
      <c r="H5460" s="38" t="n">
        <f aca="false">Sens!$H$5369</f>
        <v>210.343106588311</v>
      </c>
      <c r="I5460" s="38" t="n">
        <f aca="false">Sens!$I$5369</f>
        <v>229.969728494648</v>
      </c>
      <c r="J5460" s="38" t="n">
        <f aca="false">Sens!$J$5369</f>
        <v>248.747636972598</v>
      </c>
      <c r="K5460" s="38" t="n">
        <f aca="false">Sens!$K$5369</f>
        <v>266.15997156068</v>
      </c>
      <c r="L5460" s="38" t="n">
        <f aca="false">Sens!$L$5369</f>
        <v>284.791169569927</v>
      </c>
      <c r="M5460" s="38" t="n">
        <f aca="false">Sens!$M$5369</f>
        <v>304.726551439822</v>
      </c>
      <c r="N5460" s="38" t="n">
        <f aca="false">Sens!$N$5369</f>
        <v>76.86</v>
      </c>
      <c r="O5460" s="38" t="n">
        <f aca="false">Sens!$O$5369</f>
        <v>95.302</v>
      </c>
    </row>
    <row r="5461" customFormat="false" ht="15" hidden="false" customHeight="false" outlineLevel="0" collapsed="false">
      <c r="A5461" s="0" t="s">
        <v>519</v>
      </c>
      <c r="B5461" s="0" t="s">
        <v>86</v>
      </c>
      <c r="C5461" s="38" t="n">
        <f aca="false">Sens!$C$5371</f>
        <v>56.214</v>
      </c>
      <c r="D5461" s="38" t="n">
        <f aca="false">Sens!$D$5371</f>
        <v>68.635</v>
      </c>
      <c r="E5461" s="38" t="n">
        <f aca="false">Sens!$E$5371</f>
        <v>37.052</v>
      </c>
      <c r="F5461" s="38" t="n">
        <f aca="false">Sens!$F$5371</f>
        <v>46.1572219944148</v>
      </c>
      <c r="G5461" s="38" t="n">
        <f aca="false">Sens!$G$5371</f>
        <v>83.2092219944148</v>
      </c>
      <c r="H5461" s="38" t="n">
        <f aca="false">Sens!$H$5371</f>
        <v>99.8969223878976</v>
      </c>
      <c r="I5461" s="38" t="n">
        <f aca="false">Sens!$I$5371</f>
        <v>116.583111095496</v>
      </c>
      <c r="J5461" s="38" t="n">
        <f aca="false">Sens!$J$5371</f>
        <v>132.148941941952</v>
      </c>
      <c r="K5461" s="38" t="n">
        <f aca="false">Sens!$K$5371</f>
        <v>145.363836136147</v>
      </c>
      <c r="L5461" s="38" t="n">
        <f aca="false">Sens!$L$5371</f>
        <v>159.900219749762</v>
      </c>
      <c r="M5461" s="38" t="n">
        <f aca="false">Sens!$M$5371</f>
        <v>175.890241724738</v>
      </c>
      <c r="N5461" s="38" t="n">
        <f aca="false">Sens!$N$5371</f>
        <v>29.615</v>
      </c>
      <c r="O5461" s="38" t="n">
        <f aca="false">Sens!$O$5371</f>
        <v>39.02</v>
      </c>
    </row>
    <row r="5462" customFormat="false" ht="15" hidden="false" customHeight="false" outlineLevel="0" collapsed="false">
      <c r="A5462" s="0" t="s">
        <v>520</v>
      </c>
      <c r="B5462" s="0" t="s">
        <v>86</v>
      </c>
      <c r="C5462" s="38" t="n">
        <f aca="false">Sens!$C$5373</f>
        <v>44.374</v>
      </c>
      <c r="D5462" s="38" t="n">
        <f aca="false">Sens!$D$5373</f>
        <v>49.619</v>
      </c>
      <c r="E5462" s="38" t="n">
        <f aca="false">Sens!$E$5373</f>
        <v>27.157</v>
      </c>
      <c r="F5462" s="38" t="n">
        <f aca="false">Sens!$F$5373</f>
        <v>27.7764165988154</v>
      </c>
      <c r="G5462" s="38" t="n">
        <f aca="false">Sens!$G$5373</f>
        <v>54.9334165988154</v>
      </c>
      <c r="H5462" s="38" t="n">
        <f aca="false">Sens!$H$5373</f>
        <v>61.1564112561829</v>
      </c>
      <c r="I5462" s="38" t="n">
        <f aca="false">Sens!$I$5373</f>
        <v>67.2020282103945</v>
      </c>
      <c r="J5462" s="38" t="n">
        <f aca="false">Sens!$J$5373</f>
        <v>72.8757274028885</v>
      </c>
      <c r="K5462" s="38" t="n">
        <f aca="false">Sens!$K$5373</f>
        <v>77.9770283210907</v>
      </c>
      <c r="L5462" s="38" t="n">
        <f aca="false">Sens!$L$5373</f>
        <v>83.4354203035671</v>
      </c>
      <c r="M5462" s="38" t="n">
        <f aca="false">Sens!$M$5373</f>
        <v>89.2758997248168</v>
      </c>
      <c r="N5462" s="38" t="n">
        <f aca="false">Sens!$N$5373</f>
        <v>23.923</v>
      </c>
      <c r="O5462" s="38" t="n">
        <f aca="false">Sens!$O$5373</f>
        <v>25.696</v>
      </c>
    </row>
    <row r="5463" customFormat="false" ht="15" hidden="false" customHeight="false" outlineLevel="0" collapsed="false">
      <c r="A5463" s="0" t="s">
        <v>521</v>
      </c>
      <c r="B5463" s="0" t="s">
        <v>86</v>
      </c>
      <c r="C5463" s="38" t="n">
        <f aca="false">Sens!$C$5375</f>
        <v>5.425</v>
      </c>
      <c r="D5463" s="38" t="n">
        <f aca="false">Sens!$D$5375</f>
        <v>5.935</v>
      </c>
      <c r="E5463" s="38" t="n">
        <f aca="false">Sens!$E$5375</f>
        <v>3.474</v>
      </c>
      <c r="F5463" s="38" t="n">
        <f aca="false">Sens!$F$5375</f>
        <v>3.22246550883619</v>
      </c>
      <c r="G5463" s="38" t="n">
        <f aca="false">Sens!$G$5375</f>
        <v>6.69646550883619</v>
      </c>
      <c r="H5463" s="38" t="n">
        <f aca="false">Sens!$H$5375</f>
        <v>7.16251344209196</v>
      </c>
      <c r="I5463" s="38" t="n">
        <f aca="false">Sens!$I$5375</f>
        <v>7.61421070299826</v>
      </c>
      <c r="J5463" s="38" t="n">
        <f aca="false">Sens!$J$5375</f>
        <v>8.04465753523932</v>
      </c>
      <c r="K5463" s="38" t="n">
        <f aca="false">Sens!$K$5375</f>
        <v>8.44689041200128</v>
      </c>
      <c r="L5463" s="38" t="n">
        <f aca="false">Sens!$L$5375</f>
        <v>8.86923493260135</v>
      </c>
      <c r="M5463" s="38" t="n">
        <f aca="false">Sens!$M$5375</f>
        <v>9.31269667923142</v>
      </c>
      <c r="N5463" s="38" t="n">
        <f aca="false">Sens!$N$5375</f>
        <v>2.811</v>
      </c>
      <c r="O5463" s="38" t="n">
        <f aca="false">Sens!$O$5375</f>
        <v>3.124</v>
      </c>
    </row>
    <row r="5464" customFormat="false" ht="17.15" hidden="false" customHeight="false" outlineLevel="0" collapsed="false">
      <c r="A5464" s="0" t="s">
        <v>711</v>
      </c>
      <c r="B5464" s="0" t="s">
        <v>86</v>
      </c>
      <c r="C5464" s="38" t="n">
        <f aca="false">Sens!$C$5445</f>
        <v>107.556</v>
      </c>
      <c r="D5464" s="38" t="n">
        <f aca="false">Sens!$D$5445</f>
        <v>128.725</v>
      </c>
      <c r="E5464" s="38" t="n">
        <f aca="false">Sens!$E$5445</f>
        <v>79.819</v>
      </c>
      <c r="F5464" s="38" t="n">
        <f aca="false">Sens!$F$5445</f>
        <v>86.7327334389669</v>
      </c>
      <c r="G5464" s="38" t="n">
        <f aca="false">Sens!$G$5445</f>
        <v>166.551733438967</v>
      </c>
      <c r="H5464" s="38" t="n">
        <f aca="false">Sens!$H$5445</f>
        <v>221.182967828978</v>
      </c>
      <c r="I5464" s="38" t="n">
        <f aca="false">Sens!$I$5445</f>
        <v>280.27345865789</v>
      </c>
      <c r="J5464" s="38" t="n">
        <f aca="false">Sens!$J$5445</f>
        <v>338.800945197185</v>
      </c>
      <c r="K5464" s="38" t="n">
        <f aca="false">Sens!$K$5445</f>
        <v>389.599699375015</v>
      </c>
      <c r="L5464" s="38" t="n">
        <f aca="false">Sens!$L$5445</f>
        <v>428.943490119887</v>
      </c>
      <c r="M5464" s="38" t="n">
        <f aca="false">Sens!$M$5445</f>
        <v>456.901465525587</v>
      </c>
      <c r="N5464" s="38" t="n">
        <f aca="false">Sens!$N$5445</f>
        <v>60.14</v>
      </c>
      <c r="O5464" s="38" t="n">
        <f aca="false">Sens!$O$5445</f>
        <v>68.585</v>
      </c>
    </row>
    <row r="5465" customFormat="false" ht="15" hidden="false" customHeight="false" outlineLevel="0" collapsed="false">
      <c r="A5465" s="1" t="s">
        <v>509</v>
      </c>
      <c r="B5465" s="8" t="s">
        <v>86</v>
      </c>
      <c r="C5465" s="38" t="n">
        <f aca="false">Sens!$C$5380</f>
        <v>387.497</v>
      </c>
      <c r="D5465" s="38" t="n">
        <f aca="false">Sens!$D$5380</f>
        <v>426.305</v>
      </c>
      <c r="E5465" s="38" t="n">
        <f aca="false">Sens!$E$5380</f>
        <v>220.32</v>
      </c>
      <c r="F5465" s="38" t="n">
        <f aca="false">Sens!$F$5380</f>
        <v>250.639773480586</v>
      </c>
      <c r="G5465" s="38" t="n">
        <f aca="false">Sens!$G$5380</f>
        <v>470.959773480586</v>
      </c>
      <c r="H5465" s="38" t="n">
        <f aca="false">Sens!$H$5380</f>
        <v>521.386990416437</v>
      </c>
      <c r="I5465" s="38" t="n">
        <f aca="false">Sens!$I$5380</f>
        <v>570.143862887555</v>
      </c>
      <c r="J5465" s="38" t="n">
        <f aca="false">Sens!$J$5380</f>
        <v>615.391435791933</v>
      </c>
      <c r="K5465" s="38" t="n">
        <f aca="false">Sens!$K$5380</f>
        <v>655.208227561543</v>
      </c>
      <c r="L5465" s="38" t="n">
        <f aca="false">Sens!$L$5380</f>
        <v>697.807739249767</v>
      </c>
      <c r="M5465" s="38" t="n">
        <f aca="false">Sens!$M$5380</f>
        <v>743.399328463592</v>
      </c>
      <c r="N5465" s="38" t="n">
        <f aca="false">Sens!$N$5380</f>
        <v>192.955</v>
      </c>
      <c r="O5465" s="38" t="n">
        <f aca="false">Sens!$O$5380</f>
        <v>233.35</v>
      </c>
    </row>
    <row r="5466" customFormat="false" ht="15" hidden="false" customHeight="false" outlineLevel="0" collapsed="false">
      <c r="A5466" s="1" t="s">
        <v>512</v>
      </c>
      <c r="B5466" s="8" t="s">
        <v>86</v>
      </c>
      <c r="C5466" s="38" t="n">
        <f aca="false">Sens!$C$5381</f>
        <v>142.906</v>
      </c>
      <c r="D5466" s="38" t="n">
        <f aca="false">Sens!$D$5381</f>
        <v>161.894</v>
      </c>
      <c r="E5466" s="38" t="n">
        <f aca="false">Sens!$E$5381</f>
        <v>81.986</v>
      </c>
      <c r="F5466" s="38" t="n">
        <f aca="false">Sens!$F$5381</f>
        <v>98.408468164951</v>
      </c>
      <c r="G5466" s="38" t="n">
        <f aca="false">Sens!$G$5381</f>
        <v>180.394468164951</v>
      </c>
      <c r="H5466" s="38" t="n">
        <f aca="false">Sens!$H$5381</f>
        <v>199.709899104949</v>
      </c>
      <c r="I5466" s="38" t="n">
        <f aca="false">Sens!$I$5381</f>
        <v>218.385528264976</v>
      </c>
      <c r="J5466" s="38" t="n">
        <f aca="false">Sens!$J$5381</f>
        <v>235.71696994951</v>
      </c>
      <c r="K5466" s="38" t="n">
        <f aca="false">Sens!$K$5381</f>
        <v>250.968227869545</v>
      </c>
      <c r="L5466" s="38" t="n">
        <f aca="false">Sens!$L$5381</f>
        <v>267.285367225822</v>
      </c>
      <c r="M5466" s="38" t="n">
        <f aca="false">Sens!$M$5381</f>
        <v>284.748579483295</v>
      </c>
      <c r="N5466" s="38" t="n">
        <f aca="false">Sens!$N$5381</f>
        <v>70.274</v>
      </c>
      <c r="O5466" s="38" t="n">
        <f aca="false">Sens!$O$5381</f>
        <v>91.62</v>
      </c>
    </row>
    <row r="5467" customFormat="false" ht="15" hidden="false" customHeight="false" outlineLevel="0" collapsed="false">
      <c r="A5467" s="1" t="s">
        <v>513</v>
      </c>
      <c r="B5467" s="8" t="s">
        <v>86</v>
      </c>
      <c r="C5467" s="38" t="n">
        <f aca="false">Sens!$C$5445</f>
        <v>107.556</v>
      </c>
      <c r="D5467" s="38" t="n">
        <f aca="false">Sens!$D$5445</f>
        <v>128.725</v>
      </c>
      <c r="E5467" s="38" t="n">
        <f aca="false">Sens!$E$5445</f>
        <v>79.819</v>
      </c>
      <c r="F5467" s="38" t="n">
        <f aca="false">Sens!$F$5445</f>
        <v>86.7327334389669</v>
      </c>
      <c r="G5467" s="38" t="n">
        <f aca="false">Sens!$G$5445</f>
        <v>166.551733438967</v>
      </c>
      <c r="H5467" s="38" t="n">
        <f aca="false">Sens!$H$5445</f>
        <v>221.182967828978</v>
      </c>
      <c r="I5467" s="38" t="n">
        <f aca="false">Sens!$I$5445</f>
        <v>280.27345865789</v>
      </c>
      <c r="J5467" s="38" t="n">
        <f aca="false">Sens!$J$5445</f>
        <v>338.800945197185</v>
      </c>
      <c r="K5467" s="38" t="n">
        <f aca="false">Sens!$K$5445</f>
        <v>389.599699375015</v>
      </c>
      <c r="L5467" s="38" t="n">
        <f aca="false">Sens!$L$5445</f>
        <v>428.943490119887</v>
      </c>
      <c r="M5467" s="38" t="n">
        <f aca="false">Sens!$M$5445</f>
        <v>456.901465525587</v>
      </c>
      <c r="N5467" s="38" t="n">
        <f aca="false">Sens!$N$5445</f>
        <v>60.14</v>
      </c>
      <c r="O5467" s="38" t="n">
        <f aca="false">Sens!$O$5445</f>
        <v>68.585</v>
      </c>
    </row>
    <row r="5468" customFormat="false" ht="17.15" hidden="false" customHeight="false" outlineLevel="0" collapsed="false">
      <c r="A5468" s="0" t="s">
        <v>685</v>
      </c>
      <c r="B5468" s="0" t="s">
        <v>86</v>
      </c>
      <c r="C5468" s="38" t="n">
        <f aca="false">Sens!$C$5443</f>
        <v>2.32100535697364</v>
      </c>
      <c r="D5468" s="38" t="n">
        <f aca="false">Sens!$D$5443</f>
        <v>8.70377008865116</v>
      </c>
      <c r="E5468" s="38" t="n">
        <f aca="false">Sens!$E$5443</f>
        <v>8.51035297557002</v>
      </c>
      <c r="F5468" s="38" t="n">
        <f aca="false">Sens!$F$5443</f>
        <v>14.9634336447205</v>
      </c>
      <c r="G5468" s="38" t="n">
        <f aca="false">Sens!$G$5443</f>
        <v>23.4737866202905</v>
      </c>
      <c r="H5468" s="38" t="n">
        <f aca="false">Sens!$H$5443</f>
        <v>60.1658907497746</v>
      </c>
      <c r="I5468" s="38" t="n">
        <f aca="false">Sens!$I$5443</f>
        <v>101.503699136432</v>
      </c>
      <c r="J5468" s="38" t="n">
        <f aca="false">Sens!$J$5443</f>
        <v>143.025407151278</v>
      </c>
      <c r="K5468" s="38" t="n">
        <f aca="false">Sens!$K$5443</f>
        <v>178.162118285436</v>
      </c>
      <c r="L5468" s="38" t="n">
        <f aca="false">Sens!$L$5443</f>
        <v>200.590902543141</v>
      </c>
      <c r="M5468" s="38" t="n">
        <f aca="false">Sens!$M$5443</f>
        <v>210.280670942702</v>
      </c>
      <c r="N5468" s="38" t="n">
        <f aca="false">Sens!$N$5443</f>
        <v>3.04631953102791</v>
      </c>
      <c r="O5468" s="38" t="n">
        <f aca="false">Sens!$O$5443</f>
        <v>5.65745055762326</v>
      </c>
    </row>
    <row r="5469" customFormat="false" ht="17.15" hidden="false" customHeight="false" outlineLevel="0" collapsed="false">
      <c r="A5469" s="0" t="s">
        <v>687</v>
      </c>
      <c r="B5469" s="0" t="s">
        <v>86</v>
      </c>
      <c r="C5469" s="38" t="n">
        <f aca="false">Sens!$C$5444</f>
        <v>105.234994643026</v>
      </c>
      <c r="D5469" s="38" t="n">
        <f aca="false">Sens!$D$5444</f>
        <v>120.021229911349</v>
      </c>
      <c r="E5469" s="38" t="n">
        <f aca="false">Sens!$E$5444</f>
        <v>71.30864702443</v>
      </c>
      <c r="F5469" s="38" t="n">
        <f aca="false">Sens!$F$5444</f>
        <v>71.7692997942464</v>
      </c>
      <c r="G5469" s="38" t="n">
        <f aca="false">Sens!$G$5444</f>
        <v>143.077946818676</v>
      </c>
      <c r="H5469" s="38" t="n">
        <f aca="false">Sens!$H$5444</f>
        <v>161.017077079203</v>
      </c>
      <c r="I5469" s="38" t="n">
        <f aca="false">Sens!$I$5444</f>
        <v>178.769759521457</v>
      </c>
      <c r="J5469" s="38" t="n">
        <f aca="false">Sens!$J$5444</f>
        <v>195.775538045907</v>
      </c>
      <c r="K5469" s="38" t="n">
        <f aca="false">Sens!$K$5444</f>
        <v>211.43758108958</v>
      </c>
      <c r="L5469" s="38" t="n">
        <f aca="false">Sens!$L$5444</f>
        <v>228.352587576746</v>
      </c>
      <c r="M5469" s="38" t="n">
        <f aca="false">Sens!$M$5444</f>
        <v>246.620794582886</v>
      </c>
      <c r="N5469" s="38" t="n">
        <f aca="false">Sens!$N$5444</f>
        <v>57.0936804689721</v>
      </c>
      <c r="O5469" s="38" t="n">
        <f aca="false">Sens!$O$5444</f>
        <v>62.9275494423768</v>
      </c>
    </row>
    <row r="5470" customFormat="false" ht="15" hidden="false" customHeight="false" outlineLevel="0" collapsed="false">
      <c r="A5470" s="3" t="s">
        <v>514</v>
      </c>
      <c r="B5470" s="8" t="s">
        <v>86</v>
      </c>
      <c r="C5470" s="38" t="n">
        <f aca="false">Sens!$C$5446</f>
        <v>637.959</v>
      </c>
      <c r="D5470" s="38" t="n">
        <f aca="false">Sens!$D$5446</f>
        <v>716.924</v>
      </c>
      <c r="E5470" s="38" t="n">
        <f aca="false">Sens!$E$5446</f>
        <v>382.125</v>
      </c>
      <c r="F5470" s="38" t="n">
        <f aca="false">Sens!$F$5446</f>
        <v>435.780975084504</v>
      </c>
      <c r="G5470" s="38" t="n">
        <f aca="false">Sens!$G$5446</f>
        <v>817.905975084504</v>
      </c>
      <c r="H5470" s="38" t="n">
        <f aca="false">Sens!$H$5446</f>
        <v>942.279857350364</v>
      </c>
      <c r="I5470" s="38" t="n">
        <f aca="false">Sens!$I$5446</f>
        <v>1068.80284981042</v>
      </c>
      <c r="J5470" s="38" t="n">
        <f aca="false">Sens!$J$5446</f>
        <v>1189.90935093863</v>
      </c>
      <c r="K5470" s="38" t="n">
        <f aca="false">Sens!$K$5446</f>
        <v>1295.7761548061</v>
      </c>
      <c r="L5470" s="38" t="n">
        <f aca="false">Sens!$L$5446</f>
        <v>1394.03659659548</v>
      </c>
      <c r="M5470" s="38" t="n">
        <f aca="false">Sens!$M$5446</f>
        <v>1485.04937347247</v>
      </c>
      <c r="N5470" s="38" t="n">
        <f aca="false">Sens!$N$5446</f>
        <v>323.369</v>
      </c>
      <c r="O5470" s="38" t="n">
        <f aca="false">Sens!$O$5446</f>
        <v>393.555</v>
      </c>
    </row>
    <row r="5471" customFormat="false" ht="17.15" hidden="false" customHeight="false" outlineLevel="0" collapsed="false">
      <c r="A5471" s="24" t="s">
        <v>697</v>
      </c>
      <c r="B5471" s="25" t="s">
        <v>86</v>
      </c>
      <c r="C5471" s="41" t="n">
        <f aca="false">Sens!$C$5458+Sens!$C$5459+Sens!$C$5460+Sens!$C$5461+Sens!$C$5462+Sens!$C$5463-(Sens!$C$5465+Sens!$C$5466)</f>
        <v>0</v>
      </c>
      <c r="D5471" s="41" t="n">
        <f aca="false">Sens!$D$5458+Sens!$D$5459+Sens!$D$5460+Sens!$D$5461+Sens!$D$5462+Sens!$D$5463-(Sens!$D$5465+Sens!$D$5466)</f>
        <v>0</v>
      </c>
      <c r="E5471" s="41" t="n">
        <f aca="false">Sens!$E$5458+Sens!$E$5459+Sens!$E$5460+Sens!$E$5461+Sens!$E$5462+Sens!$E$5463-(Sens!$E$5465+Sens!$E$5466)</f>
        <v>0</v>
      </c>
      <c r="F5471" s="41" t="n">
        <f aca="false">Sens!$F$5458+Sens!$F$5459+Sens!$F$5460+Sens!$F$5461+Sens!$F$5462+Sens!$F$5463-(Sens!$F$5465+Sens!$F$5466)</f>
        <v>0</v>
      </c>
      <c r="G5471" s="41" t="n">
        <f aca="false">Sens!$G$5458+Sens!$G$5459+Sens!$G$5460+Sens!$G$5461+Sens!$G$5462+Sens!$G$5463-(Sens!$G$5465+Sens!$G$5466)</f>
        <v>0</v>
      </c>
      <c r="H5471" s="41" t="n">
        <f aca="false">Sens!$H$5458+Sens!$H$5459+Sens!$H$5460+Sens!$H$5461+Sens!$H$5462+Sens!$H$5463-(Sens!$H$5465+Sens!$H$5466)</f>
        <v>0</v>
      </c>
      <c r="I5471" s="41" t="n">
        <f aca="false">Sens!$I$5458+Sens!$I$5459+Sens!$I$5460+Sens!$I$5461+Sens!$I$5462+Sens!$I$5463-(Sens!$I$5465+Sens!$I$5466)</f>
        <v>0</v>
      </c>
      <c r="J5471" s="41" t="n">
        <f aca="false">Sens!$J$5458+Sens!$J$5459+Sens!$J$5460+Sens!$J$5461+Sens!$J$5462+Sens!$J$5463-(Sens!$J$5465+Sens!$J$5466)</f>
        <v>0</v>
      </c>
      <c r="K5471" s="41" t="n">
        <f aca="false">Sens!$K$5458+Sens!$K$5459+Sens!$K$5460+Sens!$K$5461+Sens!$K$5462+Sens!$K$5463-(Sens!$K$5465+Sens!$K$5466)</f>
        <v>0</v>
      </c>
      <c r="L5471" s="41" t="n">
        <f aca="false">Sens!$L$5458+Sens!$L$5459+Sens!$L$5460+Sens!$L$5461+Sens!$L$5462+Sens!$L$5463-(Sens!$L$5465+Sens!$L$5466)</f>
        <v>0</v>
      </c>
      <c r="M5471" s="41" t="n">
        <f aca="false">Sens!$M$5458+Sens!$M$5459+Sens!$M$5460+Sens!$M$5461+Sens!$M$5462+Sens!$M$5463-(Sens!$M$5465+Sens!$M$5466)</f>
        <v>0</v>
      </c>
      <c r="N5471" s="41" t="n">
        <f aca="false">Sens!$N$5458+Sens!$N$5459+Sens!$N$5460+Sens!$N$5461+Sens!$N$5462+Sens!$N$5463-(Sens!$N$5465+Sens!$N$5466)</f>
        <v>0</v>
      </c>
      <c r="O5471" s="41" t="n">
        <f aca="false">Sens!$O$5458+Sens!$O$5459+Sens!$O$5460+Sens!$O$5461+Sens!$O$5462+Sens!$O$5463-(Sens!$O$5465+Sens!$O$5466)</f>
        <v>0</v>
      </c>
    </row>
    <row r="5472" customFormat="false" ht="17.15" hidden="false" customHeight="false" outlineLevel="0" collapsed="false">
      <c r="A5472" s="24" t="s">
        <v>698</v>
      </c>
      <c r="B5472" s="25" t="s">
        <v>86</v>
      </c>
      <c r="C5472" s="41" t="n">
        <f aca="false">Sens!$C$5468+Sens!$C$5469-Sens!$C$5467</f>
        <v>0</v>
      </c>
      <c r="D5472" s="41" t="n">
        <f aca="false">Sens!$D$5468+Sens!$D$5469-Sens!$D$5467</f>
        <v>0</v>
      </c>
      <c r="E5472" s="41" t="n">
        <f aca="false">Sens!$E$5468+Sens!$E$5469-Sens!$E$5467</f>
        <v>0</v>
      </c>
      <c r="F5472" s="41" t="n">
        <f aca="false">Sens!$F$5468+Sens!$F$5469-Sens!$F$5467</f>
        <v>0</v>
      </c>
      <c r="G5472" s="41" t="n">
        <f aca="false">Sens!$G$5468+Sens!$G$5469-Sens!$G$5467</f>
        <v>0</v>
      </c>
      <c r="H5472" s="41" t="n">
        <f aca="false">Sens!$H$5468+Sens!$H$5469-Sens!$H$5467</f>
        <v>0</v>
      </c>
      <c r="I5472" s="41" t="n">
        <f aca="false">Sens!$I$5468+Sens!$I$5469-Sens!$I$5467</f>
        <v>0</v>
      </c>
      <c r="J5472" s="41" t="n">
        <f aca="false">Sens!$J$5468+Sens!$J$5469-Sens!$J$5467</f>
        <v>0</v>
      </c>
      <c r="K5472" s="41" t="n">
        <f aca="false">Sens!$K$5468+Sens!$K$5469-Sens!$K$5467</f>
        <v>0</v>
      </c>
      <c r="L5472" s="41" t="n">
        <f aca="false">Sens!$L$5468+Sens!$L$5469-Sens!$L$5467</f>
        <v>0</v>
      </c>
      <c r="M5472" s="41" t="n">
        <f aca="false">Sens!$M$5468+Sens!$M$5469-Sens!$M$5467</f>
        <v>0</v>
      </c>
      <c r="N5472" s="41" t="n">
        <f aca="false">Sens!$N$5468+Sens!$N$5469-Sens!$N$5467</f>
        <v>0</v>
      </c>
      <c r="O5472" s="41" t="n">
        <f aca="false">Sens!$O$5468+Sens!$O$5469-Sens!$O$5467</f>
        <v>0</v>
      </c>
    </row>
    <row r="5473" customFormat="false" ht="17.15" hidden="false" customHeight="false" outlineLevel="0" collapsed="false">
      <c r="A5473" s="24" t="s">
        <v>757</v>
      </c>
      <c r="B5473" s="25" t="s">
        <v>86</v>
      </c>
      <c r="C5473" s="41" t="n">
        <f aca="false">Sens!$C$5458+Sens!$C$5459+Sens!$C$5460+Sens!$C$5461+Sens!$C$5462+Sens!$C$5463+Sens!$C$5464-Sens!$C$5470</f>
        <v>0</v>
      </c>
      <c r="D5473" s="41" t="n">
        <f aca="false">Sens!$D$5458+Sens!$D$5459+Sens!$D$5460+Sens!$D$5461+Sens!$D$5462+Sens!$D$5463+Sens!$D$5464-Sens!$D$5470</f>
        <v>0</v>
      </c>
      <c r="E5473" s="41" t="n">
        <f aca="false">Sens!$E$5458+Sens!$E$5459+Sens!$E$5460+Sens!$E$5461+Sens!$E$5462+Sens!$E$5463+Sens!$E$5464-Sens!$E$5470</f>
        <v>0</v>
      </c>
      <c r="F5473" s="41" t="n">
        <f aca="false">Sens!$F$5458+Sens!$F$5459+Sens!$F$5460+Sens!$F$5461+Sens!$F$5462+Sens!$F$5463+Sens!$F$5464-Sens!$F$5470</f>
        <v>0</v>
      </c>
      <c r="G5473" s="41" t="n">
        <f aca="false">Sens!$G$5458+Sens!$G$5459+Sens!$G$5460+Sens!$G$5461+Sens!$G$5462+Sens!$G$5463+Sens!$G$5464-Sens!$G$5470</f>
        <v>0</v>
      </c>
      <c r="H5473" s="41" t="n">
        <f aca="false">Sens!$H$5458+Sens!$H$5459+Sens!$H$5460+Sens!$H$5461+Sens!$H$5462+Sens!$H$5463+Sens!$H$5464-Sens!$H$5470</f>
        <v>0</v>
      </c>
      <c r="I5473" s="41" t="n">
        <f aca="false">Sens!$I$5458+Sens!$I$5459+Sens!$I$5460+Sens!$I$5461+Sens!$I$5462+Sens!$I$5463+Sens!$I$5464-Sens!$I$5470</f>
        <v>0</v>
      </c>
      <c r="J5473" s="41" t="n">
        <f aca="false">Sens!$J$5458+Sens!$J$5459+Sens!$J$5460+Sens!$J$5461+Sens!$J$5462+Sens!$J$5463+Sens!$J$5464-Sens!$J$5470</f>
        <v>0</v>
      </c>
      <c r="K5473" s="41" t="n">
        <f aca="false">Sens!$K$5458+Sens!$K$5459+Sens!$K$5460+Sens!$K$5461+Sens!$K$5462+Sens!$K$5463+Sens!$K$5464-Sens!$K$5470</f>
        <v>0</v>
      </c>
      <c r="L5473" s="41" t="n">
        <f aca="false">Sens!$L$5458+Sens!$L$5459+Sens!$L$5460+Sens!$L$5461+Sens!$L$5462+Sens!$L$5463+Sens!$L$5464-Sens!$L$5470</f>
        <v>0</v>
      </c>
      <c r="M5473" s="41" t="n">
        <f aca="false">Sens!$M$5458+Sens!$M$5459+Sens!$M$5460+Sens!$M$5461+Sens!$M$5462+Sens!$M$5463+Sens!$M$5464-Sens!$M$5470</f>
        <v>0</v>
      </c>
      <c r="N5473" s="41" t="n">
        <f aca="false">Sens!$N$5458+Sens!$N$5459+Sens!$N$5460+Sens!$N$5461+Sens!$N$5462+Sens!$N$5463+Sens!$N$5464-Sens!$N$5470</f>
        <v>0</v>
      </c>
      <c r="O5473" s="41" t="n">
        <f aca="false">Sens!$O$5458+Sens!$O$5459+Sens!$O$5460+Sens!$O$5461+Sens!$O$5462+Sens!$O$5463+Sens!$O$5464-Sens!$O$5470</f>
        <v>0</v>
      </c>
    </row>
    <row r="5474" customFormat="false" ht="17.15" hidden="false" customHeight="false" outlineLevel="0" collapsed="false">
      <c r="A5474" s="24" t="s">
        <v>699</v>
      </c>
      <c r="B5474" s="25" t="s">
        <v>86</v>
      </c>
      <c r="C5474" s="41" t="n">
        <f aca="false">Sens!$C$5465+Sens!$C$5466+Sens!$C$5467-Sens!$C$5470</f>
        <v>0</v>
      </c>
      <c r="D5474" s="41" t="n">
        <f aca="false">Sens!$D$5465+Sens!$D$5466+Sens!$D$5467-Sens!$D$5470</f>
        <v>0</v>
      </c>
      <c r="E5474" s="41" t="n">
        <f aca="false">Sens!$E$5465+Sens!$E$5466+Sens!$E$5467-Sens!$E$5470</f>
        <v>0</v>
      </c>
      <c r="F5474" s="41" t="n">
        <f aca="false">Sens!$F$5465+Sens!$F$5466+Sens!$F$5467-Sens!$F$5470</f>
        <v>0</v>
      </c>
      <c r="G5474" s="41" t="n">
        <f aca="false">Sens!$G$5465+Sens!$G$5466+Sens!$G$5467-Sens!$G$5470</f>
        <v>0</v>
      </c>
      <c r="H5474" s="41" t="n">
        <f aca="false">Sens!$H$5465+Sens!$H$5466+Sens!$H$5467-Sens!$H$5470</f>
        <v>0</v>
      </c>
      <c r="I5474" s="41" t="n">
        <f aca="false">Sens!$I$5465+Sens!$I$5466+Sens!$I$5467-Sens!$I$5470</f>
        <v>0</v>
      </c>
      <c r="J5474" s="41" t="n">
        <f aca="false">Sens!$J$5465+Sens!$J$5466+Sens!$J$5467-Sens!$J$5470</f>
        <v>0</v>
      </c>
      <c r="K5474" s="41" t="n">
        <f aca="false">Sens!$K$5465+Sens!$K$5466+Sens!$K$5467-Sens!$K$5470</f>
        <v>0</v>
      </c>
      <c r="L5474" s="41" t="n">
        <f aca="false">Sens!$L$5465+Sens!$L$5466+Sens!$L$5467-Sens!$L$5470</f>
        <v>0</v>
      </c>
      <c r="M5474" s="41" t="n">
        <f aca="false">Sens!$M$5465+Sens!$M$5466+Sens!$M$5467-Sens!$M$5470</f>
        <v>0</v>
      </c>
      <c r="N5474" s="41" t="n">
        <f aca="false">Sens!$N$5465+Sens!$N$5466+Sens!$N$5467-Sens!$N$5470</f>
        <v>0</v>
      </c>
      <c r="O5474" s="41" t="n">
        <f aca="false">Sens!$O$5465+Sens!$O$5466+Sens!$O$5467-Sens!$O$5470</f>
        <v>0</v>
      </c>
    </row>
    <row r="5475" customFormat="false" ht="17.15" hidden="false" customHeight="false" outlineLevel="0" collapsed="false">
      <c r="A5475" s="1" t="s">
        <v>713</v>
      </c>
    </row>
    <row r="5476" customFormat="false" ht="17.15" hidden="false" customHeight="false" outlineLevel="0" collapsed="false">
      <c r="A5476" s="0" t="s">
        <v>714</v>
      </c>
      <c r="B5476" s="0" t="s">
        <v>86</v>
      </c>
      <c r="C5476" s="38" t="n">
        <f aca="false">Sens!$C$5382*m_ad</f>
        <v>20.5341564414228</v>
      </c>
      <c r="D5476" s="38" t="n">
        <f aca="false">Sens!$D$5382*m_ad</f>
        <v>24.8720617299587</v>
      </c>
      <c r="E5476" s="38" t="n">
        <f aca="false">Sens!$E$5382*m_ad</f>
        <v>13.5017112462207</v>
      </c>
      <c r="F5476" s="38" t="n">
        <f aca="false">Sens!$F$5382*m_ad</f>
        <v>16.5719724165257</v>
      </c>
      <c r="G5476" s="38" t="n">
        <f aca="false">Sens!$G$5382*m_ad</f>
        <v>30.0820919220415</v>
      </c>
      <c r="H5476" s="38" t="n">
        <f aca="false">Sens!$H$5382*m_ad</f>
        <v>36.1150883276314</v>
      </c>
      <c r="I5476" s="38" t="n">
        <f aca="false">Sens!$I$5382*m_ad</f>
        <v>42.1475382231996</v>
      </c>
      <c r="J5476" s="38" t="n">
        <f aca="false">Sens!$J$5382*m_ad</f>
        <v>47.7749523864693</v>
      </c>
      <c r="K5476" s="38" t="n">
        <f aca="false">Sens!$K$5382*m_ad</f>
        <v>52.5524476251162</v>
      </c>
      <c r="L5476" s="38" t="n">
        <f aca="false">Sens!$L$5382*m_ad</f>
        <v>57.8076923876279</v>
      </c>
      <c r="M5476" s="38" t="n">
        <f aca="false">Sens!$M$5382*m_ad</f>
        <v>63.5884616263907</v>
      </c>
      <c r="N5476" s="38" t="n">
        <f aca="false">Sens!$N$5382*m_ad</f>
        <v>10.8543555706248</v>
      </c>
      <c r="O5476" s="38" t="n">
        <f aca="false">Sens!$O$5382*m_ad</f>
        <v>14.0094731821399</v>
      </c>
    </row>
    <row r="5477" customFormat="false" ht="17.15" hidden="false" customHeight="false" outlineLevel="0" collapsed="false">
      <c r="A5477" s="0" t="s">
        <v>715</v>
      </c>
      <c r="B5477" s="0" t="s">
        <v>86</v>
      </c>
      <c r="C5477" s="38" t="n">
        <f aca="false">Sens!$C$5380-Sens!$C$5382</f>
        <v>346.428687117154</v>
      </c>
      <c r="D5477" s="38" t="n">
        <f aca="false">Sens!$D$5380-Sens!$D$5382</f>
        <v>376.560876540083</v>
      </c>
      <c r="E5477" s="38" t="n">
        <f aca="false">Sens!$E$5380-Sens!$E$5382</f>
        <v>193.316577507559</v>
      </c>
      <c r="F5477" s="38" t="n">
        <f aca="false">Sens!$F$5380-Sens!$F$5382</f>
        <v>217.495828647535</v>
      </c>
      <c r="G5477" s="38" t="n">
        <f aca="false">Sens!$G$5380-Sens!$G$5382</f>
        <v>410.795589636503</v>
      </c>
      <c r="H5477" s="38" t="n">
        <f aca="false">Sens!$H$5380-Sens!$H$5382</f>
        <v>449.156813761174</v>
      </c>
      <c r="I5477" s="38" t="n">
        <f aca="false">Sens!$I$5380-Sens!$I$5382</f>
        <v>485.848786441156</v>
      </c>
      <c r="J5477" s="38" t="n">
        <f aca="false">Sens!$J$5380-Sens!$J$5382</f>
        <v>519.841531018994</v>
      </c>
      <c r="K5477" s="38" t="n">
        <f aca="false">Sens!$K$5380-Sens!$K$5382</f>
        <v>550.103332311311</v>
      </c>
      <c r="L5477" s="38" t="n">
        <f aca="false">Sens!$L$5380-Sens!$L$5382</f>
        <v>582.192354474511</v>
      </c>
      <c r="M5477" s="38" t="n">
        <f aca="false">Sens!$M$5380-Sens!$M$5382</f>
        <v>616.22240521081</v>
      </c>
      <c r="N5477" s="38" t="n">
        <f aca="false">Sens!$N$5380-Sens!$N$5382</f>
        <v>171.24628885875</v>
      </c>
      <c r="O5477" s="38" t="n">
        <f aca="false">Sens!$O$5380-Sens!$O$5382</f>
        <v>205.33105363572</v>
      </c>
    </row>
    <row r="5478" customFormat="false" ht="17.15" hidden="false" customHeight="false" outlineLevel="0" collapsed="false">
      <c r="A5478" s="0" t="s">
        <v>716</v>
      </c>
      <c r="B5478" s="0" t="s">
        <v>86</v>
      </c>
      <c r="C5478" s="38" t="n">
        <f aca="false">Sens!$C$5429*Sens!$C$5379</f>
        <v>0.123617442257179</v>
      </c>
      <c r="D5478" s="38" t="n">
        <f aca="false">Sens!$D$5429*Sens!$D$5379</f>
        <v>0.874366899302609</v>
      </c>
      <c r="E5478" s="38" t="n">
        <f aca="false">Sens!$E$5429*Sens!$E$5379</f>
        <v>1.29318830502574</v>
      </c>
      <c r="F5478" s="38" t="n">
        <f aca="false">Sens!$F$5429*Sens!$F$5379</f>
        <v>1.51802024162534</v>
      </c>
      <c r="G5478" s="38" t="n">
        <f aca="false">Sens!$G$5429*Sens!$G$5379</f>
        <v>2.81153363597665</v>
      </c>
      <c r="H5478" s="38" t="n">
        <f aca="false">Sens!$H$5429*Sens!$H$5379</f>
        <v>7.39027704264226</v>
      </c>
      <c r="I5478" s="38" t="n">
        <f aca="false">Sens!$I$5429*Sens!$I$5379</f>
        <v>12.899807643047</v>
      </c>
      <c r="J5478" s="38" t="n">
        <f aca="false">Sens!$J$5429*Sens!$J$5379</f>
        <v>18.5585322471382</v>
      </c>
      <c r="K5478" s="38" t="n">
        <f aca="false">Sens!$K$5429*Sens!$K$5379</f>
        <v>24.0864087305694</v>
      </c>
      <c r="L5478" s="38" t="n">
        <f aca="false">Sens!$L$5429*Sens!$L$5379</f>
        <v>27.5892536594053</v>
      </c>
      <c r="M5478" s="38" t="n">
        <f aca="false">Sens!$M$5429*Sens!$M$5379</f>
        <v>29.4625357556135</v>
      </c>
      <c r="N5478" s="38" t="n">
        <f aca="false">Sens!$N$5429*Sens!$N$5379</f>
        <v>0.389180508437431</v>
      </c>
      <c r="O5478" s="38" t="n">
        <f aca="false">Sens!$O$5429*Sens!$O$5379</f>
        <v>0.485052120082802</v>
      </c>
    </row>
    <row r="5479" customFormat="false" ht="17.15" hidden="false" customHeight="false" outlineLevel="0" collapsed="false">
      <c r="A5479" s="0" t="s">
        <v>717</v>
      </c>
      <c r="B5479" s="0" t="s">
        <v>52</v>
      </c>
      <c r="C5479" s="28" t="n">
        <f aca="false">(Sens!$C$5480-Sens!$C$5476+Sens!$C$5478)/Sens!$C$5477</f>
        <v>0.0131526665379575</v>
      </c>
      <c r="D5479" s="28" t="n">
        <f aca="false">(Sens!$D$5480-Sens!$D$5476+Sens!$D$5478)/Sens!$D$5477</f>
        <v>0.0149280116962589</v>
      </c>
      <c r="E5479" s="28" t="n">
        <f aca="false">(Sens!$E$5480-Sens!$E$5476+Sens!$E$5478)/Sens!$E$5477</f>
        <v>0.0268030663774938</v>
      </c>
      <c r="F5479" s="28" t="n">
        <f aca="false">Sens!$O$5479+(Sens!$E$5479-Sens!$N$5479)</f>
        <v>0.0232379346966962</v>
      </c>
      <c r="G5479" s="28" t="n">
        <f aca="false">(Sens!$G$5480-Sens!$G$5476+Sens!$G$5478)/Sens!$G$5477</f>
        <v>0.0248969268652583</v>
      </c>
      <c r="H5479" s="28" t="n">
        <f aca="false">Sens!$G$5479+step_na</f>
        <v>0.0278969268652583</v>
      </c>
      <c r="I5479" s="28" t="n">
        <f aca="false">Sens!$H$5479+step_na</f>
        <v>0.0308969268652583</v>
      </c>
      <c r="J5479" s="28" t="n">
        <f aca="false">Sens!$I$5479+step_na</f>
        <v>0.0338969268652583</v>
      </c>
      <c r="K5479" s="28" t="n">
        <f aca="false">Sens!$J$5479+step_na</f>
        <v>0.0368969268652584</v>
      </c>
      <c r="L5479" s="28" t="n">
        <f aca="false">Sens!$K$5479</f>
        <v>0.0368969268652584</v>
      </c>
      <c r="M5479" s="28" t="n">
        <f aca="false">Sens!$L$5479</f>
        <v>0.0368969268652584</v>
      </c>
      <c r="N5479" s="28" t="n">
        <f aca="false">(Sens!$N$5480-Sens!$N$5476+Sens!$N$5478)/Sens!$N$5477</f>
        <v>0.0168927744775755</v>
      </c>
      <c r="O5479" s="28" t="n">
        <f aca="false">(Sens!$O$5480-Sens!$O$5476+Sens!$O$5478)/Sens!$O$5477</f>
        <v>0.0133276427967779</v>
      </c>
      <c r="P5479" s="8" t="s">
        <v>718</v>
      </c>
    </row>
    <row r="5480" customFormat="false" ht="17.15" hidden="false" customHeight="false" outlineLevel="0" collapsed="false">
      <c r="A5480" s="1" t="s">
        <v>719</v>
      </c>
      <c r="B5480" s="8" t="s">
        <v>86</v>
      </c>
      <c r="C5480" s="38" t="n">
        <f aca="false">Q!$D$22</f>
        <v>24.967</v>
      </c>
      <c r="D5480" s="38" t="n">
        <f aca="false">Q!$E$22</f>
        <v>29.619</v>
      </c>
      <c r="E5480" s="38" t="n">
        <f aca="false">Q!$P$22</f>
        <v>17.39</v>
      </c>
      <c r="F5480" s="38" t="n">
        <f aca="false">Sens!$F$5476+Sens!$F$5477*Sens!$F$5479-Sens!$F$5478</f>
        <v>20.1081060378156</v>
      </c>
      <c r="G5480" s="38" t="n">
        <f aca="false">Sens!$E$5480+Sens!$F$5480</f>
        <v>37.4981060378156</v>
      </c>
      <c r="H5480" s="38" t="n">
        <f aca="false">Sens!$H$5476+Sens!$H$5477*Sens!$H$5479-Sens!$H$5478</f>
        <v>41.2549060695171</v>
      </c>
      <c r="I5480" s="38" t="n">
        <f aca="false">Sens!$I$5476+Sens!$I$5477*Sens!$I$5479-Sens!$I$5478</f>
        <v>44.2589650023995</v>
      </c>
      <c r="J5480" s="38" t="n">
        <f aca="false">Sens!$J$5476+Sens!$J$5477*Sens!$J$5479-Sens!$J$5478</f>
        <v>46.8374504978059</v>
      </c>
      <c r="K5480" s="38" t="n">
        <f aca="false">Sens!$K$5476+Sens!$K$5477*Sens!$K$5479-Sens!$K$5478</f>
        <v>48.7631613151722</v>
      </c>
      <c r="L5480" s="38" t="n">
        <f aca="false">Sens!$L$5476+Sens!$L$5477*Sens!$L$5479-Sens!$L$5478</f>
        <v>51.6995474527812</v>
      </c>
      <c r="M5480" s="38" t="n">
        <f aca="false">Sens!$M$5476+Sens!$M$5477*Sens!$M$5479-Sens!$M$5478</f>
        <v>56.8626388885741</v>
      </c>
      <c r="N5480" s="38" t="n">
        <f aca="false">Q!$N$22</f>
        <v>13.358</v>
      </c>
      <c r="O5480" s="38" t="n">
        <f aca="false">Q!$O$22</f>
        <v>16.261</v>
      </c>
    </row>
    <row r="5481" customFormat="false" ht="17.15" hidden="false" customHeight="false" outlineLevel="0" collapsed="false">
      <c r="A5481" s="0" t="s">
        <v>720</v>
      </c>
      <c r="B5481" s="0" t="s">
        <v>86</v>
      </c>
      <c r="C5481" s="38" t="n">
        <f aca="false">Sens!$C$5383*m_ad</f>
        <v>7.57284355857716</v>
      </c>
      <c r="D5481" s="38" t="n">
        <f aca="false">Sens!$D$5383*m_ad</f>
        <v>9.44543827004127</v>
      </c>
      <c r="E5481" s="38" t="n">
        <f aca="false">Sens!$E$5383*m_ad</f>
        <v>5.02428875377928</v>
      </c>
      <c r="F5481" s="38" t="n">
        <f aca="false">Sens!$F$5383*m_ad</f>
        <v>6.50663858068173</v>
      </c>
      <c r="G5481" s="38" t="n">
        <f aca="false">Sens!$G$5383*m_ad</f>
        <v>11.5225190751659</v>
      </c>
      <c r="H5481" s="38" t="n">
        <f aca="false">Sens!$H$5383*m_ad</f>
        <v>13.8333728663174</v>
      </c>
      <c r="I5481" s="38" t="n">
        <f aca="false">Sens!$I$5383*m_ad</f>
        <v>16.1440173245485</v>
      </c>
      <c r="J5481" s="38" t="n">
        <f aca="false">Sens!$J$5383*m_ad</f>
        <v>18.2995185845066</v>
      </c>
      <c r="K5481" s="38" t="n">
        <f aca="false">Sens!$K$5383*m_ad</f>
        <v>20.1294704429572</v>
      </c>
      <c r="L5481" s="38" t="n">
        <f aca="false">Sens!$L$5383*m_ad</f>
        <v>22.142417487253</v>
      </c>
      <c r="M5481" s="38" t="n">
        <f aca="false">Sens!$M$5383*m_ad</f>
        <v>24.3566592359783</v>
      </c>
      <c r="N5481" s="38" t="n">
        <f aca="false">Sens!$N$5383*m_ad</f>
        <v>3.95314442937518</v>
      </c>
      <c r="O5481" s="38" t="n">
        <f aca="false">Sens!$O$5383*m_ad</f>
        <v>5.50052681786011</v>
      </c>
    </row>
    <row r="5482" customFormat="false" ht="17.15" hidden="false" customHeight="false" outlineLevel="0" collapsed="false">
      <c r="A5482" s="0" t="s">
        <v>721</v>
      </c>
      <c r="B5482" s="0" t="s">
        <v>86</v>
      </c>
      <c r="C5482" s="38" t="n">
        <f aca="false">Sens!$C$5381-Sens!$C$5383</f>
        <v>127.760312882846</v>
      </c>
      <c r="D5482" s="38" t="n">
        <f aca="false">Sens!$D$5381-Sens!$D$5383</f>
        <v>143.003123459917</v>
      </c>
      <c r="E5482" s="38" t="n">
        <f aca="false">Sens!$E$5381-Sens!$E$5383</f>
        <v>71.9374224924414</v>
      </c>
      <c r="F5482" s="38" t="n">
        <f aca="false">Sens!$F$5381-Sens!$F$5383</f>
        <v>85.3951910035875</v>
      </c>
      <c r="G5482" s="38" t="n">
        <f aca="false">Sens!$G$5381-Sens!$G$5383</f>
        <v>157.349430014619</v>
      </c>
      <c r="H5482" s="38" t="n">
        <f aca="false">Sens!$H$5381-Sens!$H$5383</f>
        <v>172.043153372315</v>
      </c>
      <c r="I5482" s="38" t="n">
        <f aca="false">Sens!$I$5381-Sens!$I$5383</f>
        <v>186.097493615879</v>
      </c>
      <c r="J5482" s="38" t="n">
        <f aca="false">Sens!$J$5381-Sens!$J$5383</f>
        <v>199.117932780497</v>
      </c>
      <c r="K5482" s="38" t="n">
        <f aca="false">Sens!$K$5381-Sens!$K$5383</f>
        <v>210.70928698363</v>
      </c>
      <c r="L5482" s="38" t="n">
        <f aca="false">Sens!$L$5381-Sens!$L$5383</f>
        <v>223.000532251316</v>
      </c>
      <c r="M5482" s="38" t="n">
        <f aca="false">Sens!$M$5381-Sens!$M$5383</f>
        <v>236.035261011339</v>
      </c>
      <c r="N5482" s="38" t="n">
        <f aca="false">Sens!$N$5381-Sens!$N$5383</f>
        <v>62.3677111412496</v>
      </c>
      <c r="O5482" s="38" t="n">
        <f aca="false">Sens!$O$5381-Sens!$O$5383</f>
        <v>80.6189463642798</v>
      </c>
    </row>
    <row r="5483" customFormat="false" ht="17.15" hidden="false" customHeight="false" outlineLevel="0" collapsed="false">
      <c r="A5483" s="0" t="s">
        <v>722</v>
      </c>
      <c r="B5483" s="0" t="s">
        <v>86</v>
      </c>
      <c r="C5483" s="38" t="n">
        <f aca="false">Sens!$C$5429*(1-Sens!$C$5379)</f>
        <v>0.0455891896019953</v>
      </c>
      <c r="D5483" s="38" t="n">
        <f aca="false">Sens!$D$5429*(1-Sens!$D$5379)</f>
        <v>0.332050421167231</v>
      </c>
      <c r="E5483" s="38" t="n">
        <f aca="false">Sens!$E$5429*(1-Sens!$E$5379)</f>
        <v>0.481224293644882</v>
      </c>
      <c r="F5483" s="38" t="n">
        <f aca="false">Sens!$F$5429*(1-Sens!$F$5379)</f>
        <v>0.596018918096053</v>
      </c>
      <c r="G5483" s="38" t="n">
        <f aca="false">Sens!$G$5429*(1-Sens!$G$5379)</f>
        <v>1.07691812241537</v>
      </c>
      <c r="H5483" s="38" t="n">
        <f aca="false">Sens!$H$5429*(1-Sens!$H$5379)</f>
        <v>2.83074090775622</v>
      </c>
      <c r="I5483" s="38" t="n">
        <f aca="false">Sens!$I$5429*(1-Sens!$I$5379)</f>
        <v>4.94108853926048</v>
      </c>
      <c r="J5483" s="38" t="n">
        <f aca="false">Sens!$J$5429*(1-Sens!$J$5379)</f>
        <v>7.10858281993502</v>
      </c>
      <c r="K5483" s="38" t="n">
        <f aca="false">Sens!$K$5429*(1-Sens!$K$5379)</f>
        <v>9.22595758198829</v>
      </c>
      <c r="L5483" s="38" t="n">
        <f aca="false">Sens!$L$5429*(1-Sens!$L$5379)</f>
        <v>10.5676726998883</v>
      </c>
      <c r="M5483" s="38" t="n">
        <f aca="false">Sens!$M$5429*(1-Sens!$M$5379)</f>
        <v>11.2852068641566</v>
      </c>
      <c r="N5483" s="38" t="n">
        <f aca="false">Sens!$N$5429*(1-Sens!$N$5379)</f>
        <v>0.141739115596548</v>
      </c>
      <c r="O5483" s="38" t="n">
        <f aca="false">Sens!$O$5429*(1-Sens!$O$5379)</f>
        <v>0.190445576353059</v>
      </c>
    </row>
    <row r="5484" customFormat="false" ht="17.15" hidden="false" customHeight="false" outlineLevel="0" collapsed="false">
      <c r="A5484" s="0" t="s">
        <v>723</v>
      </c>
      <c r="B5484" s="0" t="s">
        <v>52</v>
      </c>
      <c r="C5484" s="28" t="n">
        <f aca="false">(Sens!$C$5485-Sens!$C$5481+Sens!$C$5483)/Sens!$C$5482</f>
        <v>-0.0292364215826579</v>
      </c>
      <c r="D5484" s="28" t="n">
        <f aca="false">(Sens!$D$5485-Sens!$D$5481+Sens!$D$5483)/Sens!$D$5482</f>
        <v>-0.0305125352740778</v>
      </c>
      <c r="E5484" s="28" t="n">
        <f aca="false">(Sens!$E$5485-Sens!$E$5481+Sens!$E$5483)/Sens!$E$5482</f>
        <v>-0.019490056934994</v>
      </c>
      <c r="F5484" s="28" t="n">
        <f aca="false">Sens!$O$5484+(Sens!$E$5484-Sens!$N$5484)</f>
        <v>-0.0367332293992226</v>
      </c>
      <c r="G5484" s="28" t="n">
        <f aca="false">(Sens!$G$5485-Sens!$G$5481+Sens!$G$5483)/Sens!$G$5482</f>
        <v>-0.0287946542321067</v>
      </c>
      <c r="H5484" s="28" t="n">
        <f aca="false">Sens!$G$5484+step_in</f>
        <v>-0.0287946542321067</v>
      </c>
      <c r="I5484" s="28" t="n">
        <f aca="false">Sens!$H$5484+step_in</f>
        <v>-0.0287946542321067</v>
      </c>
      <c r="J5484" s="28" t="n">
        <f aca="false">Sens!$I$5484+step_in</f>
        <v>-0.0287946542321067</v>
      </c>
      <c r="K5484" s="28" t="n">
        <f aca="false">Sens!$J$5484+step_in</f>
        <v>-0.0287946542321067</v>
      </c>
      <c r="L5484" s="28" t="n">
        <f aca="false">Sens!$K$5484</f>
        <v>-0.0287946542321067</v>
      </c>
      <c r="M5484" s="28" t="n">
        <f aca="false">Sens!$L$5484</f>
        <v>-0.0287946542321067</v>
      </c>
      <c r="N5484" s="28" t="n">
        <f aca="false">(Sens!$N$5485-Sens!$N$5481+Sens!$N$5483)/Sens!$N$5482</f>
        <v>-0.02085061789158</v>
      </c>
      <c r="O5484" s="28" t="n">
        <f aca="false">(Sens!$O$5485-Sens!$O$5481+Sens!$O$5483)/Sens!$O$5482</f>
        <v>-0.0380937903558086</v>
      </c>
      <c r="P5484" s="8" t="s">
        <v>718</v>
      </c>
    </row>
    <row r="5485" customFormat="false" ht="17.15" hidden="false" customHeight="false" outlineLevel="0" collapsed="false">
      <c r="A5485" s="1" t="s">
        <v>724</v>
      </c>
      <c r="B5485" s="8" t="s">
        <v>86</v>
      </c>
      <c r="C5485" s="38" t="n">
        <f aca="false">Q!$D$23</f>
        <v>3.792</v>
      </c>
      <c r="D5485" s="38" t="n">
        <f aca="false">Q!$E$23</f>
        <v>4.75</v>
      </c>
      <c r="E5485" s="38" t="n">
        <f aca="false">Q!$P$23</f>
        <v>3.141</v>
      </c>
      <c r="F5485" s="38" t="n">
        <f aca="false">Sens!$F$5481+Sens!$F$5482*Sens!$F$5484-Sens!$F$5483</f>
        <v>2.77377852186047</v>
      </c>
      <c r="G5485" s="38" t="n">
        <f aca="false">Sens!$E$5485+Sens!$F$5485</f>
        <v>5.91477852186047</v>
      </c>
      <c r="H5485" s="38" t="n">
        <f aca="false">Sens!$H$5481+Sens!$H$5482*Sens!$H$5484-Sens!$H$5483</f>
        <v>6.04870884420403</v>
      </c>
      <c r="I5485" s="38" t="n">
        <f aca="false">Sens!$I$5481+Sens!$I$5482*Sens!$I$5484-Sens!$I$5483</f>
        <v>5.84431580315713</v>
      </c>
      <c r="J5485" s="38" t="n">
        <f aca="false">Sens!$J$5481+Sens!$J$5482*Sens!$J$5484-Sens!$J$5483</f>
        <v>5.45740373874528</v>
      </c>
      <c r="K5485" s="38" t="n">
        <f aca="false">Sens!$K$5481+Sens!$K$5482*Sens!$K$5484-Sens!$K$5483</f>
        <v>4.83621179878157</v>
      </c>
      <c r="L5485" s="38" t="n">
        <f aca="false">Sens!$L$5481+Sens!$L$5482*Sens!$L$5484-Sens!$L$5483</f>
        <v>5.15352156761228</v>
      </c>
      <c r="M5485" s="38" t="n">
        <f aca="false">Sens!$M$5481+Sens!$M$5482*Sens!$M$5484-Sens!$M$5483</f>
        <v>6.2748986444151</v>
      </c>
      <c r="N5485" s="38" t="n">
        <f aca="false">Q!$N$23</f>
        <v>2.511</v>
      </c>
      <c r="O5485" s="38" t="n">
        <f aca="false">Q!$O$23</f>
        <v>2.239</v>
      </c>
    </row>
    <row r="5486" customFormat="false" ht="17.15" hidden="false" customHeight="false" outlineLevel="0" collapsed="false">
      <c r="A5486" s="0" t="s">
        <v>725</v>
      </c>
      <c r="B5486" s="0" t="s">
        <v>86</v>
      </c>
      <c r="C5486" s="38" t="n">
        <f aca="false">Sens!$C$5426</f>
        <v>1.64417882953695</v>
      </c>
      <c r="D5486" s="38" t="n">
        <f aca="false">Sens!$D$5426</f>
        <v>3.8781008067718</v>
      </c>
      <c r="E5486" s="38" t="n">
        <f aca="false">Sens!$E$5426</f>
        <v>1.41270258088753</v>
      </c>
      <c r="F5486" s="38" t="n">
        <f aca="false">Sens!$F$5426</f>
        <v>6.50727700583486</v>
      </c>
      <c r="G5486" s="38" t="n">
        <f aca="false">Sens!$G$5426</f>
        <v>7.9199795867224</v>
      </c>
      <c r="H5486" s="38" t="n">
        <f aca="false">Sens!$H$5426</f>
        <v>19.2818189481807</v>
      </c>
      <c r="I5486" s="38" t="n">
        <f aca="false">Sens!$I$5426</f>
        <v>30.140114407202</v>
      </c>
      <c r="J5486" s="38" t="n">
        <f aca="false">Sens!$J$5426</f>
        <v>40.3569468829854</v>
      </c>
      <c r="K5486" s="38" t="n">
        <f aca="false">Sens!$K$5426</f>
        <v>44.9126530352048</v>
      </c>
      <c r="L5486" s="38" t="n">
        <f aca="false">Sens!$L$5426</f>
        <v>47.9631971059665</v>
      </c>
      <c r="M5486" s="38" t="n">
        <f aca="false">Sens!$M$5426</f>
        <v>47.2897004636212</v>
      </c>
      <c r="N5486" s="38" t="n">
        <f aca="false">Sens!$N$5426</f>
        <v>0.92264103489199</v>
      </c>
      <c r="O5486" s="38" t="n">
        <f aca="false">Sens!$O$5426</f>
        <v>2.95545977187981</v>
      </c>
    </row>
    <row r="5487" customFormat="false" ht="17.15" hidden="false" customHeight="false" outlineLevel="0" collapsed="false">
      <c r="A5487" s="0" t="s">
        <v>643</v>
      </c>
      <c r="B5487" s="0" t="s">
        <v>86</v>
      </c>
      <c r="C5487" s="38" t="n">
        <f aca="false">Sens!$C$5431</f>
        <v>38.1898211704631</v>
      </c>
      <c r="D5487" s="38" t="n">
        <f aca="false">Sens!$D$5431</f>
        <v>41.7278991932282</v>
      </c>
      <c r="E5487" s="38" t="n">
        <f aca="false">Sens!$E$5431</f>
        <v>29.3692974191125</v>
      </c>
      <c r="F5487" s="38" t="n">
        <f aca="false">Sens!$F$5431</f>
        <v>26.8997276714137</v>
      </c>
      <c r="G5487" s="38" t="n">
        <f aca="false">Sens!$G$5431</f>
        <v>56.2690250905262</v>
      </c>
      <c r="H5487" s="38" t="n">
        <f aca="false">Sens!$H$5431</f>
        <v>60.3505333937343</v>
      </c>
      <c r="I5487" s="38" t="n">
        <f aca="false">Sens!$I$5431</f>
        <v>67.0043857303571</v>
      </c>
      <c r="J5487" s="38" t="n">
        <f aca="false">Sens!$J$5431</f>
        <v>73.3782922956925</v>
      </c>
      <c r="K5487" s="38" t="n">
        <f aca="false">Sens!$K$5431</f>
        <v>79.2485556793479</v>
      </c>
      <c r="L5487" s="38" t="n">
        <f aca="false">Sens!$L$5431</f>
        <v>85.5884401336958</v>
      </c>
      <c r="M5487" s="38" t="n">
        <f aca="false">Sens!$M$5431</f>
        <v>92.4355153443914</v>
      </c>
      <c r="N5487" s="38" t="n">
        <f aca="false">Sens!$N$5431</f>
        <v>20.784358965108</v>
      </c>
      <c r="O5487" s="38" t="n">
        <f aca="false">Sens!$O$5431</f>
        <v>20.9435402281202</v>
      </c>
    </row>
    <row r="5488" customFormat="false" ht="17.15" hidden="false" customHeight="false" outlineLevel="0" collapsed="false">
      <c r="A5488" s="1" t="s">
        <v>726</v>
      </c>
      <c r="B5488" s="8" t="s">
        <v>86</v>
      </c>
      <c r="C5488" s="38" t="n">
        <f aca="false">Q!$D$24</f>
        <v>39.834</v>
      </c>
      <c r="D5488" s="38" t="n">
        <f aca="false">Q!$E$24</f>
        <v>45.606</v>
      </c>
      <c r="E5488" s="38" t="n">
        <f aca="false">Q!$P$24</f>
        <v>30.782</v>
      </c>
      <c r="F5488" s="38" t="n">
        <f aca="false">Sens!$F$5486+Sens!$F$5487</f>
        <v>33.4070046772486</v>
      </c>
      <c r="G5488" s="38" t="n">
        <f aca="false">Sens!$G$5486+Sens!$G$5487</f>
        <v>64.1890046772486</v>
      </c>
      <c r="H5488" s="38" t="n">
        <f aca="false">Sens!$H$5486+Sens!$H$5487</f>
        <v>79.6323523419149</v>
      </c>
      <c r="I5488" s="38" t="n">
        <f aca="false">Sens!$I$5486+Sens!$I$5487</f>
        <v>97.1445001375591</v>
      </c>
      <c r="J5488" s="38" t="n">
        <f aca="false">Sens!$J$5486+Sens!$J$5487</f>
        <v>113.735239178678</v>
      </c>
      <c r="K5488" s="38" t="n">
        <f aca="false">Sens!$K$5486+Sens!$K$5487</f>
        <v>124.161208714553</v>
      </c>
      <c r="L5488" s="38" t="n">
        <f aca="false">Sens!$L$5486+Sens!$L$5487</f>
        <v>133.551637239662</v>
      </c>
      <c r="M5488" s="38" t="n">
        <f aca="false">Sens!$M$5486+Sens!$M$5487</f>
        <v>139.725215808013</v>
      </c>
      <c r="N5488" s="38" t="n">
        <f aca="false">Q!$N$24</f>
        <v>21.707</v>
      </c>
      <c r="O5488" s="38" t="n">
        <f aca="false">Q!$O$24</f>
        <v>23.899</v>
      </c>
    </row>
    <row r="5489" customFormat="false" ht="17.15" hidden="false" customHeight="false" outlineLevel="0" collapsed="false">
      <c r="A5489" s="5" t="s">
        <v>727</v>
      </c>
      <c r="B5489" s="0" t="s">
        <v>86</v>
      </c>
      <c r="C5489" s="38" t="n">
        <f aca="false">Q!$D$26</f>
        <v>0</v>
      </c>
      <c r="D5489" s="38" t="n">
        <f aca="false">Q!$E$26</f>
        <v>0</v>
      </c>
      <c r="E5489" s="38" t="n">
        <f aca="false">Q!$P$26</f>
        <v>0</v>
      </c>
      <c r="F5489" s="39" t="n">
        <v>0</v>
      </c>
      <c r="G5489" s="38" t="n">
        <f aca="false">Sens!$E$5489+Sens!$F$5489</f>
        <v>0</v>
      </c>
      <c r="H5489" s="39" t="n">
        <v>0</v>
      </c>
      <c r="I5489" s="39" t="n">
        <v>0</v>
      </c>
      <c r="J5489" s="39" t="n">
        <v>0</v>
      </c>
      <c r="K5489" s="39" t="n">
        <v>0</v>
      </c>
      <c r="L5489" s="39" t="n">
        <v>0</v>
      </c>
      <c r="M5489" s="39" t="n">
        <v>0</v>
      </c>
      <c r="N5489" s="38" t="n">
        <f aca="false">Q!$N$26</f>
        <v>0</v>
      </c>
      <c r="O5489" s="38" t="n">
        <f aca="false">Q!$O$26</f>
        <v>0</v>
      </c>
    </row>
    <row r="5490" customFormat="false" ht="15" hidden="false" customHeight="false" outlineLevel="0" collapsed="false">
      <c r="A5490" s="3" t="s">
        <v>531</v>
      </c>
      <c r="B5490" s="8" t="s">
        <v>86</v>
      </c>
      <c r="C5490" s="38" t="n">
        <f aca="false">Q!$D$25</f>
        <v>68.593</v>
      </c>
      <c r="D5490" s="38" t="n">
        <f aca="false">Q!$E$25</f>
        <v>79.975</v>
      </c>
      <c r="E5490" s="38" t="n">
        <f aca="false">Q!$P$25</f>
        <v>51.313</v>
      </c>
      <c r="F5490" s="38" t="n">
        <f aca="false">Sens!$F$5480+Sens!$F$5485+Sens!$F$5488+Sens!$F$5489</f>
        <v>56.2888892369246</v>
      </c>
      <c r="G5490" s="38" t="n">
        <f aca="false">Sens!$G$5480+Sens!$G$5485+Sens!$G$5488+Sens!$G$5489</f>
        <v>107.601889236925</v>
      </c>
      <c r="H5490" s="38" t="n">
        <f aca="false">Sens!$H$5480+Sens!$H$5485+Sens!$H$5488+Sens!$H$5489</f>
        <v>126.935967255636</v>
      </c>
      <c r="I5490" s="38" t="n">
        <f aca="false">Sens!$I$5480+Sens!$I$5485+Sens!$I$5488+Sens!$I$5489</f>
        <v>147.247780943116</v>
      </c>
      <c r="J5490" s="38" t="n">
        <f aca="false">Sens!$J$5480+Sens!$J$5485+Sens!$J$5488+Sens!$J$5489</f>
        <v>166.030093415229</v>
      </c>
      <c r="K5490" s="38" t="n">
        <f aca="false">Sens!$K$5480+Sens!$K$5485+Sens!$K$5488+Sens!$K$5489</f>
        <v>177.760581828506</v>
      </c>
      <c r="L5490" s="38" t="n">
        <f aca="false">Sens!$L$5480+Sens!$L$5485+Sens!$L$5488+Sens!$L$5489</f>
        <v>190.404706260056</v>
      </c>
      <c r="M5490" s="38" t="n">
        <f aca="false">Sens!$M$5480+Sens!$M$5485+Sens!$M$5488+Sens!$M$5489</f>
        <v>202.862753341002</v>
      </c>
      <c r="N5490" s="38" t="n">
        <f aca="false">Q!$N$25</f>
        <v>37.576</v>
      </c>
      <c r="O5490" s="38" t="n">
        <f aca="false">Q!$O$25</f>
        <v>42.399</v>
      </c>
    </row>
    <row r="5491" customFormat="false" ht="17.15" hidden="false" customHeight="false" outlineLevel="0" collapsed="false">
      <c r="A5491" s="24" t="s">
        <v>758</v>
      </c>
      <c r="B5491" s="25" t="s">
        <v>86</v>
      </c>
      <c r="C5491" s="41" t="n">
        <f aca="false">Sens!$C$5480+Sens!$C$5485+Sens!$C$5488+Sens!$C$5489-Sens!$C$5490</f>
        <v>0</v>
      </c>
      <c r="D5491" s="41" t="n">
        <f aca="false">Sens!$D$5480+Sens!$D$5485+Sens!$D$5488+Sens!$D$5489-Sens!$D$5490</f>
        <v>0</v>
      </c>
      <c r="E5491" s="41" t="n">
        <f aca="false">Sens!$E$5480+Sens!$E$5485+Sens!$E$5488+Sens!$E$5489-Sens!$E$5490</f>
        <v>0</v>
      </c>
      <c r="F5491" s="41" t="n">
        <f aca="false">Sens!$F$5480+Sens!$F$5485+Sens!$F$5488+Sens!$F$5489-Sens!$F$5490</f>
        <v>0</v>
      </c>
      <c r="G5491" s="41" t="n">
        <f aca="false">Sens!$G$5480+Sens!$G$5485+Sens!$G$5488+Sens!$G$5489-Sens!$G$5490</f>
        <v>0</v>
      </c>
      <c r="H5491" s="41" t="n">
        <f aca="false">Sens!$H$5480+Sens!$H$5485+Sens!$H$5488+Sens!$H$5489-Sens!$H$5490</f>
        <v>0</v>
      </c>
      <c r="I5491" s="41" t="n">
        <f aca="false">Sens!$I$5480+Sens!$I$5485+Sens!$I$5488+Sens!$I$5489-Sens!$I$5490</f>
        <v>0</v>
      </c>
      <c r="J5491" s="41" t="n">
        <f aca="false">Sens!$J$5480+Sens!$J$5485+Sens!$J$5488+Sens!$J$5489-Sens!$J$5490</f>
        <v>0</v>
      </c>
      <c r="K5491" s="41" t="n">
        <f aca="false">Sens!$K$5480+Sens!$K$5485+Sens!$K$5488+Sens!$K$5489-Sens!$K$5490</f>
        <v>0</v>
      </c>
      <c r="L5491" s="41" t="n">
        <f aca="false">Sens!$L$5480+Sens!$L$5485+Sens!$L$5488+Sens!$L$5489-Sens!$L$5490</f>
        <v>0</v>
      </c>
      <c r="M5491" s="41" t="n">
        <f aca="false">Sens!$M$5480+Sens!$M$5485+Sens!$M$5488+Sens!$M$5489-Sens!$M$5490</f>
        <v>0</v>
      </c>
      <c r="N5491" s="41" t="n">
        <f aca="false">Sens!$N$5480+Sens!$N$5485+Sens!$N$5488+Sens!$N$5489-Sens!$N$5490</f>
        <v>0</v>
      </c>
      <c r="O5491" s="41" t="n">
        <f aca="false">Sens!$O$5480+Sens!$O$5485+Sens!$O$5488+Sens!$O$5489-Sens!$O$5490</f>
        <v>0</v>
      </c>
    </row>
    <row r="5492" customFormat="false" ht="17.15" hidden="false" customHeight="false" outlineLevel="0" collapsed="false">
      <c r="A5492" s="5" t="s">
        <v>729</v>
      </c>
      <c r="B5492" s="0" t="s">
        <v>86</v>
      </c>
      <c r="C5492" s="38" t="n">
        <f aca="false">Sens!$C$5428</f>
        <v>0</v>
      </c>
      <c r="D5492" s="38" t="n">
        <f aca="false">Sens!$D$5428</f>
        <v>0</v>
      </c>
      <c r="E5492" s="38" t="n">
        <f aca="false">Sens!$E$5428</f>
        <v>0</v>
      </c>
      <c r="F5492" s="38" t="n">
        <f aca="false">Sens!$F$5428</f>
        <v>3.77122048175818</v>
      </c>
      <c r="G5492" s="38" t="n">
        <f aca="false">Sens!$G$5428</f>
        <v>3.77122048175818</v>
      </c>
      <c r="H5492" s="38" t="n">
        <f aca="false">Sens!$H$5428</f>
        <v>15.1635543609893</v>
      </c>
      <c r="I5492" s="38" t="n">
        <f aca="false">Sens!$I$5428</f>
        <v>25.5818843619889</v>
      </c>
      <c r="J5492" s="38" t="n">
        <f aca="false">Sens!$J$5428</f>
        <v>36.0465624179122</v>
      </c>
      <c r="K5492" s="38" t="n">
        <f aca="false">Sens!$K$5428</f>
        <v>44.9020355557576</v>
      </c>
      <c r="L5492" s="38" t="n">
        <f aca="false">Sens!$L$5428</f>
        <v>50.55474151763</v>
      </c>
      <c r="M5492" s="38" t="n">
        <f aca="false">Sens!$M$5428</f>
        <v>52.9968449759368</v>
      </c>
      <c r="N5492" s="38" t="n">
        <f aca="false">Sens!$N$5428</f>
        <v>0</v>
      </c>
      <c r="O5492" s="38" t="n">
        <f aca="false">Sens!$O$5428</f>
        <v>0</v>
      </c>
      <c r="P5492" s="5" t="s">
        <v>730</v>
      </c>
    </row>
    <row r="5493" customFormat="false" ht="17.15" hidden="false" customHeight="false" outlineLevel="0" collapsed="false">
      <c r="A5493" s="5" t="s">
        <v>731</v>
      </c>
      <c r="B5493" s="0" t="s">
        <v>86</v>
      </c>
      <c r="C5493" s="38" t="n">
        <f aca="false">Sens!$C$5490+Sens!$C$5492</f>
        <v>68.593</v>
      </c>
      <c r="D5493" s="38" t="n">
        <f aca="false">Sens!$D$5490+Sens!$D$5492</f>
        <v>79.975</v>
      </c>
      <c r="E5493" s="38" t="n">
        <f aca="false">Sens!$E$5490+Sens!$E$5492</f>
        <v>51.313</v>
      </c>
      <c r="F5493" s="38" t="n">
        <f aca="false">Sens!$F$5490+Sens!$F$5492</f>
        <v>60.0601097186828</v>
      </c>
      <c r="G5493" s="38" t="n">
        <f aca="false">Sens!$G$5490+Sens!$G$5492</f>
        <v>111.373109718683</v>
      </c>
      <c r="H5493" s="38" t="n">
        <f aca="false">Sens!$H$5490+Sens!$H$5492</f>
        <v>142.099521616625</v>
      </c>
      <c r="I5493" s="38" t="n">
        <f aca="false">Sens!$I$5490+Sens!$I$5492</f>
        <v>172.829665305105</v>
      </c>
      <c r="J5493" s="38" t="n">
        <f aca="false">Sens!$J$5490+Sens!$J$5492</f>
        <v>202.076655833141</v>
      </c>
      <c r="K5493" s="38" t="n">
        <f aca="false">Sens!$K$5490+Sens!$K$5492</f>
        <v>222.662617384264</v>
      </c>
      <c r="L5493" s="38" t="n">
        <f aca="false">Sens!$L$5490+Sens!$L$5492</f>
        <v>240.959447777686</v>
      </c>
      <c r="M5493" s="38" t="n">
        <f aca="false">Sens!$M$5490+Sens!$M$5492</f>
        <v>255.859598316939</v>
      </c>
      <c r="N5493" s="38" t="n">
        <f aca="false">Sens!$N$5490+Sens!$N$5492</f>
        <v>37.576</v>
      </c>
      <c r="O5493" s="38" t="n">
        <f aca="false">Sens!$O$5490+Sens!$O$5492</f>
        <v>42.399</v>
      </c>
    </row>
    <row r="5494" customFormat="false" ht="17.15" hidden="false" customHeight="false" outlineLevel="0" collapsed="false">
      <c r="A5494" s="0" t="s">
        <v>732</v>
      </c>
      <c r="B5494" s="0" t="s">
        <v>52</v>
      </c>
      <c r="C5494" s="13" t="n">
        <f aca="false">Sens!$C$5480/Sens!$C$5465</f>
        <v>0.0644314665661928</v>
      </c>
      <c r="D5494" s="13" t="n">
        <f aca="false">Sens!$D$5480/Sens!$D$5465</f>
        <v>0.0694784250712518</v>
      </c>
      <c r="E5494" s="13" t="n">
        <f aca="false">Sens!$E$5480/Sens!$E$5465</f>
        <v>0.0789306463326071</v>
      </c>
      <c r="F5494" s="13" t="n">
        <f aca="false">Sens!$F$5480/Sens!$F$5465</f>
        <v>0.0802271154277638</v>
      </c>
      <c r="G5494" s="13" t="n">
        <f aca="false">Sens!$G$5480/Sens!$G$5465</f>
        <v>0.0796206133714758</v>
      </c>
      <c r="H5494" s="13" t="n">
        <f aca="false">Sens!$H$5480/Sens!$H$5465</f>
        <v>0.0791253077422711</v>
      </c>
      <c r="I5494" s="13" t="n">
        <f aca="false">Sens!$I$5480/Sens!$I$5465</f>
        <v>0.0776277144828766</v>
      </c>
      <c r="J5494" s="13" t="n">
        <f aca="false">Sens!$J$5480/Sens!$J$5465</f>
        <v>0.0761100135193333</v>
      </c>
      <c r="K5494" s="13" t="n">
        <f aca="false">Sens!$K$5480/Sens!$K$5465</f>
        <v>0.0744239148165946</v>
      </c>
      <c r="L5494" s="13" t="n">
        <f aca="false">Sens!$L$5480/Sens!$L$5465</f>
        <v>0.0740885268890323</v>
      </c>
      <c r="M5494" s="13" t="n">
        <f aca="false">Sens!$M$5480/Sens!$M$5465</f>
        <v>0.0764900326263329</v>
      </c>
      <c r="N5494" s="13" t="n">
        <f aca="false">Sens!$N$5480/Sens!$N$5465</f>
        <v>0.069228576611127</v>
      </c>
      <c r="O5494" s="13" t="n">
        <f aca="false">Sens!$O$5480/Sens!$O$5465</f>
        <v>0.069685022498393</v>
      </c>
    </row>
    <row r="5495" customFormat="false" ht="17.15" hidden="false" customHeight="false" outlineLevel="0" collapsed="false">
      <c r="A5495" s="0" t="s">
        <v>733</v>
      </c>
      <c r="B5495" s="0" t="s">
        <v>52</v>
      </c>
      <c r="C5495" s="13" t="n">
        <f aca="false">Sens!$C$5485/Sens!$C$5466</f>
        <v>0.026534925055631</v>
      </c>
      <c r="D5495" s="13" t="n">
        <f aca="false">Sens!$D$5485/Sens!$D$5466</f>
        <v>0.0293401855535103</v>
      </c>
      <c r="E5495" s="13" t="n">
        <f aca="false">Sens!$E$5485/Sens!$E$5466</f>
        <v>0.03831141902276</v>
      </c>
      <c r="F5495" s="13" t="n">
        <f aca="false">Sens!$F$5485/Sens!$F$5466</f>
        <v>0.028186380436398</v>
      </c>
      <c r="G5495" s="13" t="n">
        <f aca="false">Sens!$G$5485/Sens!$G$5466</f>
        <v>0.0327880260521739</v>
      </c>
      <c r="H5495" s="13" t="n">
        <f aca="false">Sens!$H$5485/Sens!$H$5466</f>
        <v>0.0302874763409969</v>
      </c>
      <c r="I5495" s="13" t="n">
        <f aca="false">Sens!$I$5485/Sens!$I$5466</f>
        <v>0.0267614610253202</v>
      </c>
      <c r="J5495" s="13" t="n">
        <f aca="false">Sens!$J$5485/Sens!$J$5466</f>
        <v>0.0231523582706593</v>
      </c>
      <c r="K5495" s="13" t="n">
        <f aca="false">Sens!$K$5485/Sens!$K$5466</f>
        <v>0.0192702153568836</v>
      </c>
      <c r="L5495" s="13" t="n">
        <f aca="false">Sens!$L$5485/Sens!$L$5466</f>
        <v>0.019280971573944</v>
      </c>
      <c r="M5495" s="13" t="n">
        <f aca="false">Sens!$M$5485/Sens!$M$5466</f>
        <v>0.022036628438328</v>
      </c>
      <c r="N5495" s="13" t="n">
        <f aca="false">Sens!$N$5485/Sens!$N$5466</f>
        <v>0.0357315650169337</v>
      </c>
      <c r="O5495" s="13" t="n">
        <f aca="false">Sens!$O$5485/Sens!$O$5466</f>
        <v>0.0244378956559703</v>
      </c>
    </row>
    <row r="5496" customFormat="false" ht="17.15" hidden="false" customHeight="false" outlineLevel="0" collapsed="false">
      <c r="A5496" s="14" t="s">
        <v>734</v>
      </c>
      <c r="B5496" s="14" t="s">
        <v>52</v>
      </c>
      <c r="C5496" s="17" t="n">
        <f aca="false">Sens!$C$5488/Sens!$C$5467</f>
        <v>0.370355907620217</v>
      </c>
      <c r="D5496" s="17" t="n">
        <f aca="false">Sens!$D$5488/Sens!$D$5467</f>
        <v>0.35429015342785</v>
      </c>
      <c r="E5496" s="17" t="n">
        <f aca="false">Sens!$E$5488/Sens!$E$5467</f>
        <v>0.385647527531039</v>
      </c>
      <c r="F5496" s="17" t="n">
        <f aca="false">Sens!$F$5488/Sens!$F$5467</f>
        <v>0.385171818673936</v>
      </c>
      <c r="G5496" s="17" t="n">
        <f aca="false">Sens!$G$5488/Sens!$G$5467</f>
        <v>0.385399799520974</v>
      </c>
      <c r="H5496" s="17" t="n">
        <f aca="false">Sens!$H$5488/Sens!$H$5467</f>
        <v>0.360029314750347</v>
      </c>
      <c r="I5496" s="17" t="n">
        <f aca="false">Sens!$I$5488/Sens!$I$5467</f>
        <v>0.346606134604193</v>
      </c>
      <c r="J5496" s="17" t="n">
        <f aca="false">Sens!$J$5488/Sens!$J$5467</f>
        <v>0.335699297156574</v>
      </c>
      <c r="K5496" s="17" t="n">
        <f aca="false">Sens!$K$5488/Sens!$K$5467</f>
        <v>0.318689179980705</v>
      </c>
      <c r="L5496" s="17" t="n">
        <f aca="false">Sens!$L$5488/Sens!$L$5467</f>
        <v>0.311350190213483</v>
      </c>
      <c r="M5496" s="17" t="n">
        <f aca="false">Sens!$M$5488/Sens!$M$5467</f>
        <v>0.305810390971897</v>
      </c>
      <c r="N5496" s="17" t="n">
        <f aca="false">Sens!$N$5488/Sens!$N$5467</f>
        <v>0.360941137346192</v>
      </c>
      <c r="O5496" s="17" t="n">
        <f aca="false">Sens!$O$5488/Sens!$O$5467</f>
        <v>0.348458117664212</v>
      </c>
    </row>
    <row r="5497" customFormat="false" ht="17.15" hidden="false" customHeight="false" outlineLevel="0" collapsed="false">
      <c r="A5497" s="0" t="s">
        <v>735</v>
      </c>
      <c r="B5497" s="0" t="s">
        <v>52</v>
      </c>
      <c r="C5497" s="13" t="n">
        <f aca="false">Sens!$C$5486/Sens!$C$5468</f>
        <v>0.708390794789371</v>
      </c>
      <c r="D5497" s="13" t="n">
        <f aca="false">Sens!$D$5486/Sens!$D$5468</f>
        <v>0.445565630441968</v>
      </c>
      <c r="E5497" s="13" t="n">
        <f aca="false">Sens!$E$5486/Sens!$E$5468</f>
        <v>0.165998118402711</v>
      </c>
      <c r="F5497" s="13" t="n">
        <f aca="false">Sens!$F$5486/Sens!$F$5468</f>
        <v>0.434878595403858</v>
      </c>
      <c r="G5497" s="13" t="n">
        <f aca="false">Sens!$G$5486/Sens!$G$5468</f>
        <v>0.3373967615381</v>
      </c>
      <c r="H5497" s="13" t="n">
        <f aca="false">Sens!$H$5486/Sens!$H$5468</f>
        <v>0.320477578041224</v>
      </c>
      <c r="I5497" s="13" t="n">
        <f aca="false">Sens!$I$5486/Sens!$I$5468</f>
        <v>0.296936118226494</v>
      </c>
      <c r="J5497" s="13" t="n">
        <f aca="false">Sens!$J$5486/Sens!$J$5468</f>
        <v>0.282166278613001</v>
      </c>
      <c r="K5497" s="13" t="n">
        <f aca="false">Sens!$K$5486/Sens!$K$5468</f>
        <v>0.252088678937066</v>
      </c>
      <c r="L5497" s="13" t="n">
        <f aca="false">Sens!$L$5486/Sens!$L$5468</f>
        <v>0.239109533373036</v>
      </c>
      <c r="M5497" s="13" t="n">
        <f aca="false">Sens!$M$5486/Sens!$M$5468</f>
        <v>0.224888480009211</v>
      </c>
      <c r="N5497" s="13" t="n">
        <f aca="false">Sens!$N$5486/Sens!$N$5468</f>
        <v>0.302870734830849</v>
      </c>
      <c r="O5497" s="13" t="n">
        <f aca="false">Sens!$O$5486/Sens!$O$5468</f>
        <v>0.52240134346334</v>
      </c>
    </row>
    <row r="5498" customFormat="false" ht="15" hidden="false" customHeight="false" outlineLevel="0" collapsed="false">
      <c r="A5498" s="5" t="s">
        <v>736</v>
      </c>
      <c r="B5498" s="0" t="s">
        <v>52</v>
      </c>
      <c r="C5498" s="13" t="n">
        <f aca="false">Sens!$C$5490/Sens!$C$5470</f>
        <v>0.107519448742004</v>
      </c>
      <c r="D5498" s="13" t="n">
        <f aca="false">Sens!$D$5490/Sens!$D$5470</f>
        <v>0.111552967957552</v>
      </c>
      <c r="E5498" s="13" t="n">
        <f aca="false">Sens!$E$5490/Sens!$E$5470</f>
        <v>0.13428328426562</v>
      </c>
      <c r="F5498" s="13" t="n">
        <f aca="false">Sens!$F$5490/Sens!$F$5470</f>
        <v>0.129167844525589</v>
      </c>
      <c r="G5498" s="13" t="n">
        <f aca="false">Sens!$G$5490/Sens!$G$5470</f>
        <v>0.131557773771988</v>
      </c>
      <c r="H5498" s="13" t="n">
        <f aca="false">Sens!$H$5490/Sens!$H$5470</f>
        <v>0.134711536350329</v>
      </c>
      <c r="I5498" s="13" t="n">
        <f aca="false">Sens!$I$5490/Sens!$I$5470</f>
        <v>0.137768888779847</v>
      </c>
      <c r="J5498" s="13" t="n">
        <f aca="false">Sens!$J$5490/Sens!$J$5470</f>
        <v>0.139531715827143</v>
      </c>
      <c r="K5498" s="13" t="n">
        <f aca="false">Sens!$K$5490/Sens!$K$5470</f>
        <v>0.137184637307287</v>
      </c>
      <c r="L5498" s="13" t="n">
        <f aca="false">Sens!$L$5490/Sens!$L$5470</f>
        <v>0.136585156175285</v>
      </c>
      <c r="M5498" s="13" t="n">
        <f aca="false">Sens!$M$5490/Sens!$M$5470</f>
        <v>0.136603372901098</v>
      </c>
      <c r="N5498" s="13" t="n">
        <f aca="false">Sens!$N$5490/Sens!$N$5470</f>
        <v>0.116201614873411</v>
      </c>
      <c r="O5498" s="13" t="n">
        <f aca="false">Sens!$O$5490/Sens!$O$5470</f>
        <v>0.107733353660861</v>
      </c>
    </row>
    <row r="5499" customFormat="false" ht="17.15" hidden="false" customHeight="false" outlineLevel="0" collapsed="false">
      <c r="A5499" s="1" t="s">
        <v>737</v>
      </c>
    </row>
    <row r="5500" customFormat="false" ht="17.15" hidden="false" customHeight="false" outlineLevel="0" collapsed="false">
      <c r="A5500" s="5" t="s">
        <v>738</v>
      </c>
      <c r="B5500" s="0" t="s">
        <v>52</v>
      </c>
      <c r="D5500" s="28" t="n">
        <f aca="false">(Q!$E$29+Q!$E$30-(1-ext_sh)*Sens!$D$5422)/Sens!$D$5378</f>
        <v>0.0334674312393194</v>
      </c>
    </row>
    <row r="5501" customFormat="false" ht="17.15" hidden="false" customHeight="false" outlineLevel="0" collapsed="false">
      <c r="A5501" s="0" t="s">
        <v>535</v>
      </c>
      <c r="B5501" s="0" t="s">
        <v>86</v>
      </c>
      <c r="C5501" s="38" t="n">
        <f aca="false">Q!$D$29</f>
        <v>14.285</v>
      </c>
      <c r="D5501" s="38" t="n">
        <f aca="false">Q!$E$29</f>
        <v>15.503</v>
      </c>
      <c r="E5501" s="38" t="n">
        <f aca="false">Q!$P$29</f>
        <v>8.78</v>
      </c>
      <c r="F5501" s="38" t="n">
        <f aca="false">(Sens!$D$5500*Sens!$F$5378+(1-ext_sh)*Sens!$F$5422)*Sens!$F$5379</f>
        <v>9.32404990199157</v>
      </c>
      <c r="G5501" s="38" t="n">
        <f aca="false">Sens!$E$5501+Sens!$F$5501</f>
        <v>18.1040499019916</v>
      </c>
      <c r="H5501" s="38" t="n">
        <f aca="false">(Sens!$D$5500*Sens!$H$5378+(1-ext_sh)*Sens!$H$5422)*Sens!$H$5379</f>
        <v>22.5533556752937</v>
      </c>
      <c r="I5501" s="38" t="n">
        <f aca="false">(Sens!$D$5500*Sens!$I$5378+(1-ext_sh)*Sens!$I$5422)*Sens!$I$5379</f>
        <v>28.1941479903215</v>
      </c>
      <c r="J5501" s="38" t="n">
        <f aca="false">(Sens!$D$5500*Sens!$J$5378+(1-ext_sh)*Sens!$J$5422)*Sens!$J$5379</f>
        <v>33.8639126241465</v>
      </c>
      <c r="K5501" s="38" t="n">
        <f aca="false">(Sens!$D$5500*Sens!$K$5378+(1-ext_sh)*Sens!$K$5422)*Sens!$K$5379</f>
        <v>39.4516429979446</v>
      </c>
      <c r="L5501" s="38" t="n">
        <f aca="false">(Sens!$D$5500*Sens!$L$5378+(1-ext_sh)*Sens!$L$5422)*Sens!$L$5379</f>
        <v>43.5676722283904</v>
      </c>
      <c r="M5501" s="38" t="n">
        <f aca="false">(Sens!$D$5500*Sens!$M$5378+(1-ext_sh)*Sens!$M$5422)*Sens!$M$5379</f>
        <v>46.614944729655</v>
      </c>
      <c r="N5501" s="38" t="n">
        <f aca="false">Q!$N$29</f>
        <v>7.272</v>
      </c>
      <c r="O5501" s="38" t="n">
        <f aca="false">Q!$O$29</f>
        <v>8.231</v>
      </c>
    </row>
    <row r="5502" customFormat="false" ht="17.15" hidden="false" customHeight="false" outlineLevel="0" collapsed="false">
      <c r="A5502" s="0" t="s">
        <v>537</v>
      </c>
      <c r="B5502" s="0" t="s">
        <v>86</v>
      </c>
      <c r="C5502" s="38" t="n">
        <f aca="false">Q!$D$30</f>
        <v>4.462</v>
      </c>
      <c r="D5502" s="38" t="n">
        <f aca="false">Q!$E$30</f>
        <v>4.907</v>
      </c>
      <c r="E5502" s="38" t="n">
        <f aca="false">Q!$P$30</f>
        <v>2.57</v>
      </c>
      <c r="F5502" s="38" t="n">
        <f aca="false">(Sens!$D$5500*Sens!$F$5378+(1-ext_sh)*Sens!$F$5422)*(1-Sens!$F$5379)</f>
        <v>3.66089330199472</v>
      </c>
      <c r="G5502" s="38" t="n">
        <f aca="false">Sens!$E$5502+Sens!$F$5502</f>
        <v>6.23089330199472</v>
      </c>
      <c r="H5502" s="38" t="n">
        <f aca="false">(Sens!$D$5500*Sens!$H$5378+(1-ext_sh)*Sens!$H$5422)*(1-Sens!$H$5379)</f>
        <v>8.63874333111657</v>
      </c>
      <c r="I5502" s="38" t="n">
        <f aca="false">(Sens!$D$5500*Sens!$I$5378+(1-ext_sh)*Sens!$I$5422)*(1-Sens!$I$5379)</f>
        <v>10.7993689025494</v>
      </c>
      <c r="J5502" s="38" t="n">
        <f aca="false">(Sens!$D$5500*Sens!$J$5378+(1-ext_sh)*Sens!$J$5422)*(1-Sens!$J$5379)</f>
        <v>12.9710919101865</v>
      </c>
      <c r="K5502" s="38" t="n">
        <f aca="false">(Sens!$D$5500*Sens!$K$5378+(1-ext_sh)*Sens!$K$5422)*(1-Sens!$K$5379)</f>
        <v>15.1113928568702</v>
      </c>
      <c r="L5502" s="38" t="n">
        <f aca="false">(Sens!$D$5500*Sens!$L$5378+(1-ext_sh)*Sens!$L$5422)*(1-Sens!$L$5379)</f>
        <v>16.6879795332443</v>
      </c>
      <c r="M5502" s="38" t="n">
        <f aca="false">(Sens!$D$5500*Sens!$M$5378+(1-ext_sh)*Sens!$M$5422)*(1-Sens!$M$5379)</f>
        <v>17.8551940878054</v>
      </c>
      <c r="N5502" s="38" t="n">
        <f aca="false">Q!$N$30</f>
        <v>2.316</v>
      </c>
      <c r="O5502" s="38" t="n">
        <f aca="false">Q!$O$30</f>
        <v>2.591</v>
      </c>
    </row>
    <row r="5503" customFormat="false" ht="17.15" hidden="false" customHeight="false" outlineLevel="0" collapsed="false">
      <c r="A5503" s="0" t="s">
        <v>538</v>
      </c>
      <c r="B5503" s="0" t="s">
        <v>86</v>
      </c>
      <c r="C5503" s="38" t="n">
        <f aca="false">Sens!$C$5434</f>
        <v>13.32</v>
      </c>
      <c r="D5503" s="38" t="n">
        <f aca="false">Sens!$D$5434</f>
        <v>21.45</v>
      </c>
      <c r="E5503" s="38" t="n">
        <f aca="false">Sens!$E$5434</f>
        <v>15.353</v>
      </c>
      <c r="F5503" s="38" t="n">
        <f aca="false">Sens!$F$5434</f>
        <v>16.3063747611001</v>
      </c>
      <c r="G5503" s="38" t="n">
        <f aca="false">Sens!$G$5434</f>
        <v>31.6593747611001</v>
      </c>
      <c r="H5503" s="38" t="n">
        <f aca="false">Sens!$H$5434</f>
        <v>53.124242092105</v>
      </c>
      <c r="I5503" s="38" t="n">
        <f aca="false">Sens!$I$5434</f>
        <v>78.046828098133</v>
      </c>
      <c r="J5503" s="38" t="n">
        <f aca="false">Sens!$J$5434</f>
        <v>103.663976940352</v>
      </c>
      <c r="K5503" s="38" t="n">
        <f aca="false">Sens!$K$5434</f>
        <v>129.625086115469</v>
      </c>
      <c r="L5503" s="38" t="n">
        <f aca="false">Sens!$L$5434</f>
        <v>147.122996715819</v>
      </c>
      <c r="M5503" s="38" t="n">
        <f aca="false">Sens!$M$5434</f>
        <v>158.36358708023</v>
      </c>
      <c r="N5503" s="38" t="n">
        <f aca="false">Sens!$N$5434</f>
        <v>9.234</v>
      </c>
      <c r="O5503" s="38" t="n">
        <f aca="false">Sens!$O$5434</f>
        <v>12.216</v>
      </c>
    </row>
    <row r="5504" customFormat="false" ht="17.15" hidden="false" customHeight="false" outlineLevel="0" collapsed="false">
      <c r="A5504" s="5" t="s">
        <v>739</v>
      </c>
      <c r="B5504" s="0" t="s">
        <v>86</v>
      </c>
      <c r="C5504" s="38" t="n">
        <f aca="false">Sens!$C$5501+Sens!$C$5502+Sens!$C$5503</f>
        <v>32.067</v>
      </c>
      <c r="D5504" s="38" t="n">
        <f aca="false">Sens!$D$5501+Sens!$D$5502+Sens!$D$5503</f>
        <v>41.86</v>
      </c>
      <c r="E5504" s="38" t="n">
        <f aca="false">Sens!$E$5501+Sens!$E$5502+Sens!$E$5503</f>
        <v>26.703</v>
      </c>
      <c r="F5504" s="38" t="n">
        <f aca="false">Sens!$F$5501+Sens!$F$5502+Sens!$F$5503</f>
        <v>29.2913179650864</v>
      </c>
      <c r="G5504" s="38" t="n">
        <f aca="false">Sens!$G$5501+Sens!$G$5502+Sens!$G$5503</f>
        <v>55.9943179650864</v>
      </c>
      <c r="H5504" s="38" t="n">
        <f aca="false">Sens!$H$5501+Sens!$H$5502+Sens!$H$5503</f>
        <v>84.3163410985152</v>
      </c>
      <c r="I5504" s="38" t="n">
        <f aca="false">Sens!$I$5501+Sens!$I$5502+Sens!$I$5503</f>
        <v>117.040344991004</v>
      </c>
      <c r="J5504" s="38" t="n">
        <f aca="false">Sens!$J$5501+Sens!$J$5502+Sens!$J$5503</f>
        <v>150.498981474685</v>
      </c>
      <c r="K5504" s="38" t="n">
        <f aca="false">Sens!$K$5501+Sens!$K$5502+Sens!$K$5503</f>
        <v>184.188121970284</v>
      </c>
      <c r="L5504" s="38" t="n">
        <f aca="false">Sens!$L$5501+Sens!$L$5502+Sens!$L$5503</f>
        <v>207.378648477454</v>
      </c>
      <c r="M5504" s="38" t="n">
        <f aca="false">Sens!$M$5501+Sens!$M$5502+Sens!$M$5503</f>
        <v>222.833725897691</v>
      </c>
      <c r="N5504" s="38" t="n">
        <f aca="false">Sens!$N$5501+Sens!$N$5502+Sens!$N$5503</f>
        <v>18.822</v>
      </c>
      <c r="O5504" s="38" t="n">
        <f aca="false">Sens!$O$5501+Sens!$O$5502+Sens!$O$5503</f>
        <v>23.038</v>
      </c>
    </row>
    <row r="5505" customFormat="false" ht="17.15" hidden="false" customHeight="false" outlineLevel="0" collapsed="false">
      <c r="A5505" s="0" t="s">
        <v>740</v>
      </c>
      <c r="B5505" s="0" t="s">
        <v>86</v>
      </c>
      <c r="C5505" s="38" t="n">
        <f aca="false">Sens!$C$5476+Sens!$C$5481</f>
        <v>28.107</v>
      </c>
      <c r="D5505" s="38" t="n">
        <f aca="false">Sens!$D$5476+Sens!$D$5481</f>
        <v>34.3175</v>
      </c>
      <c r="E5505" s="38" t="n">
        <f aca="false">Sens!$E$5476+Sens!$E$5481</f>
        <v>18.526</v>
      </c>
      <c r="F5505" s="38" t="n">
        <f aca="false">Sens!$F$5476+Sens!$F$5481</f>
        <v>23.0786109972074</v>
      </c>
      <c r="G5505" s="38" t="n">
        <f aca="false">Sens!$G$5476+Sens!$G$5481</f>
        <v>41.6046109972074</v>
      </c>
      <c r="H5505" s="38" t="n">
        <f aca="false">Sens!$H$5476+Sens!$H$5481</f>
        <v>49.9484611939488</v>
      </c>
      <c r="I5505" s="38" t="n">
        <f aca="false">Sens!$I$5476+Sens!$I$5481</f>
        <v>58.2915555477481</v>
      </c>
      <c r="J5505" s="38" t="n">
        <f aca="false">Sens!$J$5476+Sens!$J$5481</f>
        <v>66.0744709709759</v>
      </c>
      <c r="K5505" s="38" t="n">
        <f aca="false">Sens!$K$5476+Sens!$K$5481</f>
        <v>72.6819180680735</v>
      </c>
      <c r="L5505" s="38" t="n">
        <f aca="false">Sens!$L$5476+Sens!$L$5481</f>
        <v>79.9501098748808</v>
      </c>
      <c r="M5505" s="38" t="n">
        <f aca="false">Sens!$M$5476+Sens!$M$5481</f>
        <v>87.9451208623689</v>
      </c>
      <c r="N5505" s="38" t="n">
        <f aca="false">Sens!$N$5476+Sens!$N$5481</f>
        <v>14.8075</v>
      </c>
      <c r="O5505" s="38" t="n">
        <f aca="false">Sens!$O$5476+Sens!$O$5481</f>
        <v>19.51</v>
      </c>
    </row>
    <row r="5506" customFormat="false" ht="17.15" hidden="false" customHeight="false" outlineLevel="0" collapsed="false">
      <c r="A5506" s="0" t="s">
        <v>741</v>
      </c>
      <c r="B5506" s="0" t="s">
        <v>86</v>
      </c>
      <c r="C5506" s="38" t="n">
        <f aca="false">Sens!$C$5480+Sens!$C$5485+Sens!$C$5501+Sens!$C$5502-Sens!$C$5505</f>
        <v>19.399</v>
      </c>
      <c r="D5506" s="38" t="n">
        <f aca="false">Sens!$D$5480+Sens!$D$5485+Sens!$D$5501+Sens!$D$5502-Sens!$D$5505</f>
        <v>20.4615</v>
      </c>
      <c r="E5506" s="38" t="n">
        <f aca="false">Sens!$E$5480+Sens!$E$5485+Sens!$E$5501+Sens!$E$5502-Sens!$E$5505</f>
        <v>13.355</v>
      </c>
      <c r="F5506" s="38" t="n">
        <f aca="false">Sens!$F$5480+Sens!$F$5485+Sens!$F$5501+Sens!$F$5502-Sens!$F$5505</f>
        <v>12.7882167664549</v>
      </c>
      <c r="G5506" s="38" t="n">
        <f aca="false">Sens!$G$5480+Sens!$G$5485+Sens!$G$5501+Sens!$G$5502-Sens!$G$5505</f>
        <v>26.1432167664549</v>
      </c>
      <c r="H5506" s="38" t="n">
        <f aca="false">Sens!$H$5480+Sens!$H$5485+Sens!$H$5501+Sens!$H$5502-Sens!$H$5505</f>
        <v>28.5472527261826</v>
      </c>
      <c r="I5506" s="38" t="n">
        <f aca="false">Sens!$I$5480+Sens!$I$5485+Sens!$I$5501+Sens!$I$5502-Sens!$I$5505</f>
        <v>30.8052421506794</v>
      </c>
      <c r="J5506" s="38" t="n">
        <f aca="false">Sens!$J$5480+Sens!$J$5485+Sens!$J$5501+Sens!$J$5502-Sens!$J$5505</f>
        <v>33.0553877999083</v>
      </c>
      <c r="K5506" s="38" t="n">
        <f aca="false">Sens!$K$5480+Sens!$K$5485+Sens!$K$5501+Sens!$K$5502-Sens!$K$5505</f>
        <v>35.4804909006951</v>
      </c>
      <c r="L5506" s="38" t="n">
        <f aca="false">Sens!$L$5480+Sens!$L$5485+Sens!$L$5501+Sens!$L$5502-Sens!$L$5505</f>
        <v>37.1586109071473</v>
      </c>
      <c r="M5506" s="38" t="n">
        <f aca="false">Sens!$M$5480+Sens!$M$5485+Sens!$M$5501+Sens!$M$5502-Sens!$M$5505</f>
        <v>39.6625554880806</v>
      </c>
      <c r="N5506" s="38" t="n">
        <f aca="false">Sens!$N$5480+Sens!$N$5485+Sens!$N$5501+Sens!$N$5502-Sens!$N$5505</f>
        <v>10.6495</v>
      </c>
      <c r="O5506" s="38" t="n">
        <f aca="false">Sens!$O$5480+Sens!$O$5485+Sens!$O$5501+Sens!$O$5502-Sens!$O$5505</f>
        <v>9.81200000000001</v>
      </c>
    </row>
    <row r="5507" customFormat="false" ht="17.15" hidden="false" customHeight="false" outlineLevel="0" collapsed="false">
      <c r="A5507" s="0" t="s">
        <v>742</v>
      </c>
      <c r="B5507" s="0" t="s">
        <v>86</v>
      </c>
      <c r="C5507" s="38" t="n">
        <f aca="false">Sens!$C$5487+Sens!$C$5503-ext_sh*Sens!$C$5422</f>
        <v>51.3470500115664</v>
      </c>
      <c r="D5507" s="38" t="n">
        <f aca="false">Sens!$D$5487+Sens!$D$5503-ext_sh*Sens!$D$5422</f>
        <v>60.2799375433739</v>
      </c>
      <c r="E5507" s="38" t="n">
        <f aca="false">Sens!$E$5487+Sens!$E$5503-ext_sh*Sens!$E$5422</f>
        <v>39.5095167090767</v>
      </c>
      <c r="F5507" s="38" t="n">
        <f aca="false">Sens!$F$5487+Sens!$F$5503-ext_sh*Sens!$F$5422</f>
        <v>37.993321722478</v>
      </c>
      <c r="G5507" s="38" t="n">
        <f aca="false">Sens!$G$5487+Sens!$G$5503-ext_sh*Sens!$G$5422</f>
        <v>77.5028384315548</v>
      </c>
      <c r="H5507" s="38" t="n">
        <f aca="false">Sens!$H$5487+Sens!$H$5503-ext_sh*Sens!$H$5422</f>
        <v>85.2394217279746</v>
      </c>
      <c r="I5507" s="38" t="n">
        <f aca="false">Sens!$I$5487+Sens!$I$5503-ext_sh*Sens!$I$5422</f>
        <v>94.6373589713254</v>
      </c>
      <c r="J5507" s="38" t="n">
        <f aca="false">Sens!$J$5487+Sens!$J$5503-ext_sh*Sens!$J$5422</f>
        <v>103.639899284146</v>
      </c>
      <c r="K5507" s="38" t="n">
        <f aca="false">Sens!$K$5487+Sens!$K$5503-ext_sh*Sens!$K$5422</f>
        <v>111.931091226878</v>
      </c>
      <c r="L5507" s="38" t="n">
        <f aca="false">Sens!$L$5487+Sens!$L$5503-ext_sh*Sens!$L$5422</f>
        <v>120.885578525028</v>
      </c>
      <c r="M5507" s="38" t="n">
        <f aca="false">Sens!$M$5487+Sens!$M$5503-ext_sh*Sens!$M$5422</f>
        <v>130.55642480703</v>
      </c>
      <c r="N5507" s="38" t="n">
        <f aca="false">Sens!$N$5487+Sens!$N$5503-ext_sh*Sens!$N$5422</f>
        <v>28.5693781401809</v>
      </c>
      <c r="O5507" s="38" t="n">
        <f aca="false">Sens!$O$5487+Sens!$O$5503-ext_sh*Sens!$O$5422</f>
        <v>31.7105594031931</v>
      </c>
    </row>
    <row r="5508" customFormat="false" ht="17.15" hidden="false" customHeight="false" outlineLevel="0" collapsed="false">
      <c r="A5508" s="0" t="s">
        <v>743</v>
      </c>
      <c r="B5508" s="0" t="s">
        <v>86</v>
      </c>
      <c r="C5508" s="38" t="n">
        <f aca="false">Sens!$C$5425</f>
        <v>1.80694998843362</v>
      </c>
      <c r="D5508" s="38" t="n">
        <f aca="false">Sens!$D$5425</f>
        <v>6.77606245662607</v>
      </c>
      <c r="E5508" s="38" t="n">
        <f aca="false">Sens!$E$5425</f>
        <v>6.62548329092326</v>
      </c>
      <c r="F5508" s="38" t="n">
        <f aca="false">Sens!$F$5425</f>
        <v>11.7200577158706</v>
      </c>
      <c r="G5508" s="38" t="n">
        <f aca="false">Sens!$G$5425</f>
        <v>18.3455410067939</v>
      </c>
      <c r="H5508" s="38" t="n">
        <f aca="false">Sens!$H$5425</f>
        <v>47.5171727060453</v>
      </c>
      <c r="I5508" s="38" t="n">
        <f aca="false">Sens!$I$5425</f>
        <v>80.5539692643667</v>
      </c>
      <c r="J5508" s="38" t="n">
        <f aca="false">Sens!$J$5425</f>
        <v>113.759316834883</v>
      </c>
      <c r="K5508" s="38" t="n">
        <f aca="false">Sens!$K$5425</f>
        <v>141.855203603144</v>
      </c>
      <c r="L5508" s="38" t="n">
        <f aca="false">Sens!$L$5425</f>
        <v>159.789055430453</v>
      </c>
      <c r="M5508" s="38" t="n">
        <f aca="false">Sens!$M$5425</f>
        <v>167.532378081213</v>
      </c>
      <c r="N5508" s="38" t="n">
        <f aca="false">Sens!$N$5425</f>
        <v>2.37162185981912</v>
      </c>
      <c r="O5508" s="38" t="n">
        <f aca="false">Sens!$O$5425</f>
        <v>4.40444059680694</v>
      </c>
    </row>
    <row r="5509" customFormat="false" ht="17.15" hidden="false" customHeight="false" outlineLevel="0" collapsed="false">
      <c r="A5509" s="0" t="s">
        <v>744</v>
      </c>
      <c r="B5509" s="0" t="s">
        <v>86</v>
      </c>
      <c r="C5509" s="38" t="n">
        <f aca="false">Sens!$C$5490+Sens!$C$5504</f>
        <v>100.66</v>
      </c>
      <c r="D5509" s="38" t="n">
        <f aca="false">Sens!$D$5490+Sens!$D$5504</f>
        <v>121.835</v>
      </c>
      <c r="E5509" s="38" t="n">
        <f aca="false">Sens!$E$5490+Sens!$E$5504</f>
        <v>78.016</v>
      </c>
      <c r="F5509" s="38" t="n">
        <f aca="false">Sens!$F$5490+Sens!$F$5504</f>
        <v>85.580207202011</v>
      </c>
      <c r="G5509" s="38" t="n">
        <f aca="false">Sens!$G$5490+Sens!$G$5504</f>
        <v>163.596207202011</v>
      </c>
      <c r="H5509" s="38" t="n">
        <f aca="false">Sens!$H$5490+Sens!$H$5504</f>
        <v>211.252308354151</v>
      </c>
      <c r="I5509" s="38" t="n">
        <f aca="false">Sens!$I$5490+Sens!$I$5504</f>
        <v>264.28812593412</v>
      </c>
      <c r="J5509" s="38" t="n">
        <f aca="false">Sens!$J$5490+Sens!$J$5504</f>
        <v>316.529074889914</v>
      </c>
      <c r="K5509" s="38" t="n">
        <f aca="false">Sens!$K$5490+Sens!$K$5504</f>
        <v>361.94870379879</v>
      </c>
      <c r="L5509" s="38" t="n">
        <f aca="false">Sens!$L$5490+Sens!$L$5504</f>
        <v>397.78335473751</v>
      </c>
      <c r="M5509" s="38" t="n">
        <f aca="false">Sens!$M$5490+Sens!$M$5504</f>
        <v>425.696479238693</v>
      </c>
      <c r="N5509" s="38" t="n">
        <f aca="false">Sens!$N$5490+Sens!$N$5504</f>
        <v>56.398</v>
      </c>
      <c r="O5509" s="38" t="n">
        <f aca="false">Sens!$O$5490+Sens!$O$5504</f>
        <v>65.437</v>
      </c>
    </row>
    <row r="5510" customFormat="false" ht="17.15" hidden="false" customHeight="false" outlineLevel="0" collapsed="false">
      <c r="A5510" s="1" t="s">
        <v>745</v>
      </c>
    </row>
    <row r="5511" customFormat="false" ht="15" hidden="false" customHeight="false" outlineLevel="0" collapsed="false">
      <c r="A5511" s="5" t="s">
        <v>541</v>
      </c>
      <c r="B5511" s="0" t="s">
        <v>86</v>
      </c>
      <c r="C5511" s="38" t="n">
        <f aca="false">Q!$D$34</f>
        <v>2.406</v>
      </c>
      <c r="D5511" s="38" t="n">
        <f aca="false">Q!$E$34</f>
        <v>2.274</v>
      </c>
      <c r="E5511" s="38" t="n">
        <f aca="false">Q!$P$34</f>
        <v>2.114</v>
      </c>
      <c r="F5511" s="38" t="n">
        <f aca="false">Sens!$F$5549</f>
        <v>3.24888962733561</v>
      </c>
      <c r="G5511" s="38" t="n">
        <f aca="false">Sens!$E$5511+Sens!$F$5511</f>
        <v>5.36288962733561</v>
      </c>
      <c r="H5511" s="38" t="n">
        <f aca="false">Sens!$H$5549</f>
        <v>7.42354172302123</v>
      </c>
      <c r="I5511" s="38" t="n">
        <f aca="false">Sens!$I$5549</f>
        <v>8.2931747618896</v>
      </c>
      <c r="J5511" s="38" t="n">
        <f aca="false">Sens!$J$5549</f>
        <v>9.27718179522602</v>
      </c>
      <c r="K5511" s="38" t="n">
        <f aca="false">Sens!$K$5549</f>
        <v>9.27718179522602</v>
      </c>
      <c r="L5511" s="38" t="n">
        <f aca="false">Sens!$L$5549</f>
        <v>9.27718179522602</v>
      </c>
      <c r="M5511" s="38" t="n">
        <f aca="false">Sens!$M$5549</f>
        <v>9.27718179522602</v>
      </c>
      <c r="N5511" s="38" t="n">
        <f aca="false">Q!$N$34</f>
        <v>1.057</v>
      </c>
      <c r="O5511" s="38" t="n">
        <f aca="false">Q!$O$34</f>
        <v>1.217</v>
      </c>
    </row>
    <row r="5512" customFormat="false" ht="15" hidden="false" customHeight="false" outlineLevel="0" collapsed="false">
      <c r="A5512" s="5" t="s">
        <v>746</v>
      </c>
      <c r="B5512" s="0" t="s">
        <v>86</v>
      </c>
      <c r="F5512" s="38" t="n">
        <f aca="false">Sens!$F$5550</f>
        <v>2.59</v>
      </c>
      <c r="H5512" s="38" t="n">
        <f aca="false">Sens!$H$5550</f>
        <v>3.80133635330174</v>
      </c>
      <c r="I5512" s="38" t="n">
        <f aca="false">Sens!$I$5550</f>
        <v>2.10589651022864</v>
      </c>
      <c r="J5512" s="38" t="n">
        <f aca="false">Sens!$J$5550</f>
        <v>2.10589651022864</v>
      </c>
      <c r="K5512" s="38" t="n">
        <f aca="false">Sens!$K$5550</f>
        <v>3.14850442073996</v>
      </c>
      <c r="L5512" s="38" t="n">
        <f aca="false">Sens!$L$5550</f>
        <v>8.36866949261808</v>
      </c>
      <c r="M5512" s="38" t="n">
        <f aca="false">Sens!$M$5550</f>
        <v>16.1461031736674</v>
      </c>
    </row>
    <row r="5513" customFormat="false" ht="17.15" hidden="false" customHeight="false" outlineLevel="0" collapsed="false">
      <c r="A5513" s="5" t="s">
        <v>747</v>
      </c>
      <c r="B5513" s="0" t="s">
        <v>86</v>
      </c>
      <c r="C5513" s="38" t="n">
        <f aca="false">Q!$D$39</f>
        <v>2.427</v>
      </c>
      <c r="D5513" s="38" t="n">
        <f aca="false">Q!$E$39</f>
        <v>19.61</v>
      </c>
      <c r="E5513" s="38" t="n">
        <f aca="false">Q!$P$39</f>
        <v>71.492</v>
      </c>
      <c r="F5513" s="39" t="n">
        <v>0</v>
      </c>
      <c r="G5513" s="38" t="n">
        <f aca="false">Sens!$E$5513+Sens!$F$5513</f>
        <v>71.492</v>
      </c>
      <c r="H5513" s="39" t="n">
        <v>0</v>
      </c>
      <c r="I5513" s="39" t="n">
        <v>0</v>
      </c>
      <c r="J5513" s="39" t="n">
        <v>0</v>
      </c>
      <c r="K5513" s="39" t="n">
        <v>0</v>
      </c>
      <c r="L5513" s="39" t="n">
        <v>0</v>
      </c>
      <c r="M5513" s="39" t="n">
        <v>0</v>
      </c>
      <c r="N5513" s="38" t="n">
        <f aca="false">Q!$N$39</f>
        <v>6.017</v>
      </c>
      <c r="O5513" s="38" t="n">
        <f aca="false">Q!$O$39</f>
        <v>13.593</v>
      </c>
      <c r="P5513" s="5" t="s">
        <v>748</v>
      </c>
    </row>
    <row r="5514" customFormat="false" ht="15" hidden="false" customHeight="false" outlineLevel="0" collapsed="false">
      <c r="A5514" s="5" t="s">
        <v>544</v>
      </c>
      <c r="B5514" s="0" t="s">
        <v>86</v>
      </c>
      <c r="C5514" s="38" t="n">
        <f aca="false">Q!$D$36</f>
        <v>68.614</v>
      </c>
      <c r="D5514" s="38" t="n">
        <f aca="false">Q!$E$36</f>
        <v>97.311</v>
      </c>
      <c r="E5514" s="38" t="n">
        <f aca="false">Q!$P$36</f>
        <v>120.691</v>
      </c>
      <c r="F5514" s="38" t="n">
        <f aca="false">Sens!$F$5490-Sens!$F$5511+Sens!$F$5512+Sens!$F$5513</f>
        <v>55.629999609589</v>
      </c>
      <c r="G5514" s="38" t="n">
        <f aca="false">Sens!$E$5514+Sens!$F$5514</f>
        <v>176.320999609589</v>
      </c>
      <c r="H5514" s="38" t="n">
        <f aca="false">Sens!$H$5490-Sens!$H$5511+Sens!$H$5512+Sens!$H$5513</f>
        <v>123.313761885917</v>
      </c>
      <c r="I5514" s="38" t="n">
        <f aca="false">Sens!$I$5490-Sens!$I$5511+Sens!$I$5512+Sens!$I$5513</f>
        <v>141.060502691455</v>
      </c>
      <c r="J5514" s="38" t="n">
        <f aca="false">Sens!$J$5490-Sens!$J$5511+Sens!$J$5512+Sens!$J$5513</f>
        <v>158.858808130232</v>
      </c>
      <c r="K5514" s="38" t="n">
        <f aca="false">Sens!$K$5490-Sens!$K$5511+Sens!$K$5512+Sens!$K$5513</f>
        <v>171.63190445402</v>
      </c>
      <c r="L5514" s="38" t="n">
        <f aca="false">Sens!$L$5490-Sens!$L$5511+Sens!$L$5512+Sens!$L$5513</f>
        <v>189.496193957448</v>
      </c>
      <c r="M5514" s="38" t="n">
        <f aca="false">Sens!$M$5490-Sens!$M$5511+Sens!$M$5512+Sens!$M$5513</f>
        <v>209.731674719443</v>
      </c>
      <c r="N5514" s="38" t="n">
        <f aca="false">Q!$N$36</f>
        <v>42.536</v>
      </c>
      <c r="O5514" s="38" t="n">
        <f aca="false">Q!$O$36</f>
        <v>54.775</v>
      </c>
    </row>
    <row r="5515" customFormat="false" ht="15" hidden="false" customHeight="false" outlineLevel="0" collapsed="false">
      <c r="A5515" s="5" t="s">
        <v>545</v>
      </c>
      <c r="B5515" s="0" t="s">
        <v>86</v>
      </c>
      <c r="C5515" s="38" t="n">
        <f aca="false">Q!$D$37</f>
        <v>9.265</v>
      </c>
      <c r="D5515" s="38" t="n">
        <f aca="false">Q!$E$37</f>
        <v>19.087</v>
      </c>
      <c r="E5515" s="38" t="n">
        <f aca="false">Q!$P$37</f>
        <v>27.759</v>
      </c>
      <c r="F5515" s="38" t="n">
        <f aca="false">Sens!$F$5514*tax</f>
        <v>9.65650714815835</v>
      </c>
      <c r="G5515" s="38" t="n">
        <f aca="false">Sens!$E$5515+Sens!$F$5515</f>
        <v>37.4155071481584</v>
      </c>
      <c r="H5515" s="38" t="n">
        <f aca="false">Sens!$H$5514*tax</f>
        <v>21.4053609828247</v>
      </c>
      <c r="I5515" s="38" t="n">
        <f aca="false">Sens!$I$5514*tax</f>
        <v>24.4859205846201</v>
      </c>
      <c r="J5515" s="38" t="n">
        <f aca="false">Sens!$J$5514*tax</f>
        <v>27.5754310088666</v>
      </c>
      <c r="K5515" s="38" t="n">
        <f aca="false">Sens!$K$5514*tax</f>
        <v>29.7926428877163</v>
      </c>
      <c r="L5515" s="38" t="n">
        <f aca="false">Sens!$L$5514*tax</f>
        <v>32.8936071245897</v>
      </c>
      <c r="M5515" s="38" t="n">
        <f aca="false">Sens!$M$5514*tax</f>
        <v>36.4061734736095</v>
      </c>
      <c r="N5515" s="38" t="n">
        <f aca="false">Q!$N$37</f>
        <v>7.231</v>
      </c>
      <c r="O5515" s="38" t="n">
        <f aca="false">Q!$O$37</f>
        <v>11.856</v>
      </c>
    </row>
    <row r="5516" customFormat="false" ht="15" hidden="false" customHeight="false" outlineLevel="0" collapsed="false">
      <c r="A5516" s="3" t="s">
        <v>546</v>
      </c>
      <c r="B5516" s="8" t="s">
        <v>86</v>
      </c>
      <c r="C5516" s="38" t="n">
        <f aca="false">Q!$D$38</f>
        <v>59.248</v>
      </c>
      <c r="D5516" s="38" t="n">
        <f aca="false">Q!$E$38</f>
        <v>77.67</v>
      </c>
      <c r="E5516" s="38" t="n">
        <f aca="false">Q!$P$38</f>
        <v>92.902</v>
      </c>
      <c r="F5516" s="38" t="n">
        <f aca="false">Sens!$F$5514-Sens!$F$5515</f>
        <v>45.9734924614306</v>
      </c>
      <c r="G5516" s="38" t="n">
        <f aca="false">Sens!$E$5516+Sens!$F$5516</f>
        <v>138.875492461431</v>
      </c>
      <c r="H5516" s="38" t="n">
        <f aca="false">Sens!$H$5514-Sens!$H$5515</f>
        <v>101.908400903092</v>
      </c>
      <c r="I5516" s="38" t="n">
        <f aca="false">Sens!$I$5514-Sens!$I$5515</f>
        <v>116.574582106835</v>
      </c>
      <c r="J5516" s="38" t="n">
        <f aca="false">Sens!$J$5514-Sens!$J$5515</f>
        <v>131.283377121365</v>
      </c>
      <c r="K5516" s="38" t="n">
        <f aca="false">Sens!$K$5514-Sens!$K$5515</f>
        <v>141.839261566304</v>
      </c>
      <c r="L5516" s="38" t="n">
        <f aca="false">Sens!$L$5514-Sens!$L$5515</f>
        <v>156.602586832858</v>
      </c>
      <c r="M5516" s="38" t="n">
        <f aca="false">Sens!$M$5514-Sens!$M$5515</f>
        <v>173.325501245834</v>
      </c>
      <c r="N5516" s="38" t="n">
        <f aca="false">Q!$N$38</f>
        <v>35.291</v>
      </c>
      <c r="O5516" s="38" t="n">
        <f aca="false">Q!$O$38</f>
        <v>42.379</v>
      </c>
    </row>
    <row r="5517" customFormat="false" ht="17.15" hidden="false" customHeight="false" outlineLevel="0" collapsed="false">
      <c r="A5517" s="5" t="s">
        <v>549</v>
      </c>
      <c r="B5517" s="5" t="s">
        <v>33</v>
      </c>
      <c r="C5517" s="22" t="n">
        <f aca="false">Q!$D$41</f>
        <v>10.721</v>
      </c>
      <c r="D5517" s="22" t="n">
        <f aca="false">Q!$E$41</f>
        <v>10.827</v>
      </c>
      <c r="E5517" s="22" t="n">
        <f aca="false">(Q!$L$41+Q!$M$41)/2</f>
        <v>10.8885</v>
      </c>
      <c r="F5517" s="22" t="n">
        <f aca="false">Sens!$G$5517</f>
        <v>10.924806</v>
      </c>
      <c r="G5517" s="22" t="n">
        <f aca="false">Q!$M$41*(1+sh_g*0.25)</f>
        <v>10.924806</v>
      </c>
      <c r="H5517" s="22" t="n">
        <f aca="false">Sens!$G$5517*(1+sh_g)</f>
        <v>11.012204448</v>
      </c>
      <c r="I5517" s="22" t="n">
        <f aca="false">Sens!$H$5517*(1+sh_g)</f>
        <v>11.100302083584</v>
      </c>
      <c r="J5517" s="22" t="n">
        <f aca="false">Sens!$I$5517*(1+sh_g)</f>
        <v>11.1891045002527</v>
      </c>
      <c r="K5517" s="22" t="n">
        <f aca="false">Sens!$J$5517*(1+sh_g)</f>
        <v>11.2786173362547</v>
      </c>
      <c r="L5517" s="22" t="n">
        <f aca="false">Sens!$K$5517*(1+sh_g)</f>
        <v>11.3688462749447</v>
      </c>
      <c r="M5517" s="22" t="n">
        <f aca="false">Sens!$L$5517*(1+sh_g)</f>
        <v>11.4597970451443</v>
      </c>
      <c r="P5517" s="5" t="s">
        <v>749</v>
      </c>
    </row>
    <row r="5518" customFormat="false" ht="17.15" hidden="false" customHeight="false" outlineLevel="0" collapsed="false">
      <c r="A5518" s="5" t="s">
        <v>750</v>
      </c>
      <c r="B5518" s="0" t="s">
        <v>86</v>
      </c>
      <c r="C5518" s="38" t="n">
        <f aca="false">Sens!$C$5516+Sens!$C$5492*(1-tax)</f>
        <v>59.248</v>
      </c>
      <c r="D5518" s="38" t="n">
        <f aca="false">Sens!$D$5516+Sens!$D$5492*(1-tax)</f>
        <v>77.67</v>
      </c>
      <c r="E5518" s="38" t="n">
        <f aca="false">Sens!$E$5516+Sens!$E$5492*(1-tax)</f>
        <v>92.902</v>
      </c>
      <c r="F5518" s="38" t="n">
        <f aca="false">Sens!$F$5516+Sens!$F$5492*(1-tax)</f>
        <v>49.0900874210793</v>
      </c>
      <c r="G5518" s="38" t="n">
        <f aca="false">Sens!$G$5516+Sens!$G$5492*(1-tax)</f>
        <v>141.992087421079</v>
      </c>
      <c r="H5518" s="38" t="n">
        <f aca="false">Sens!$H$5516+Sens!$H$5492*(1-tax)</f>
        <v>114.439796858437</v>
      </c>
      <c r="I5518" s="38" t="n">
        <f aca="false">Sens!$I$5516+Sens!$I$5492*(1-tax)</f>
        <v>137.715847181774</v>
      </c>
      <c r="J5518" s="38" t="n">
        <f aca="false">Sens!$J$5516+Sens!$J$5492*(1-tax)</f>
        <v>161.072814065649</v>
      </c>
      <c r="K5518" s="38" t="n">
        <f aca="false">Sens!$K$5516+Sens!$K$5492*(1-tax)</f>
        <v>178.946998535795</v>
      </c>
      <c r="L5518" s="38" t="n">
        <f aca="false">Sens!$L$5516+Sens!$L$5492*(1-tax)</f>
        <v>198.381807475702</v>
      </c>
      <c r="M5518" s="38" t="n">
        <f aca="false">Sens!$M$5516+Sens!$M$5492*(1-tax)</f>
        <v>217.122913974215</v>
      </c>
      <c r="N5518" s="38" t="n">
        <f aca="false">Sens!$N$5516+Sens!$N$5492*(1-tax)</f>
        <v>35.291</v>
      </c>
      <c r="O5518" s="38" t="n">
        <f aca="false">Sens!$O$5516+Sens!$O$5492*(1-tax)</f>
        <v>42.379</v>
      </c>
    </row>
    <row r="5519" customFormat="false" ht="17.15" hidden="false" customHeight="false" outlineLevel="0" collapsed="false">
      <c r="A5519" s="43" t="s">
        <v>751</v>
      </c>
      <c r="B5519" s="14" t="s">
        <v>27</v>
      </c>
      <c r="C5519" s="44" t="n">
        <f aca="false">Sens!$C$5518/Sens!$C$5517</f>
        <v>5.52635015390355</v>
      </c>
      <c r="D5519" s="44" t="n">
        <f aca="false">Sens!$D$5518/Sens!$D$5517</f>
        <v>7.1737323358271</v>
      </c>
      <c r="E5519" s="44" t="n">
        <f aca="false">Sens!$E$5518/Sens!$E$5517</f>
        <v>8.53212104513937</v>
      </c>
      <c r="F5519" s="14"/>
      <c r="G5519" s="44" t="n">
        <f aca="false">Sens!$G$5518/Sens!$G$5517</f>
        <v>12.9972182042481</v>
      </c>
      <c r="H5519" s="44" t="n">
        <f aca="false">Sens!$H$5518/Sens!$H$5517</f>
        <v>10.3920879237963</v>
      </c>
      <c r="I5519" s="44" t="n">
        <f aca="false">Sens!$I$5518/Sens!$I$5517</f>
        <v>12.4064954399249</v>
      </c>
      <c r="J5519" s="44" t="n">
        <f aca="false">Sens!$J$5518/Sens!$J$5517</f>
        <v>14.3955053831172</v>
      </c>
      <c r="K5519" s="44" t="n">
        <f aca="false">Sens!$K$5518/Sens!$K$5517</f>
        <v>15.8660404197398</v>
      </c>
      <c r="L5519" s="44" t="n">
        <f aca="false">Sens!$L$5518/Sens!$L$5517</f>
        <v>17.4495989019489</v>
      </c>
      <c r="M5519" s="44" t="n">
        <f aca="false">Sens!$M$5518/Sens!$M$5517</f>
        <v>18.9464885912804</v>
      </c>
      <c r="N5519" s="14"/>
      <c r="O5519" s="14"/>
    </row>
    <row r="5520" customFormat="false" ht="17.15" hidden="false" customHeight="false" outlineLevel="0" collapsed="false">
      <c r="A5520" s="0" t="s">
        <v>752</v>
      </c>
      <c r="B5520" s="0" t="s">
        <v>27</v>
      </c>
      <c r="C5520" s="30" t="n">
        <f aca="false">Sens!$C$5516/Sens!$C$5517</f>
        <v>5.52635015390355</v>
      </c>
      <c r="D5520" s="30" t="n">
        <f aca="false">Sens!$D$5516/Sens!$D$5517</f>
        <v>7.1737323358271</v>
      </c>
      <c r="E5520" s="30" t="n">
        <f aca="false">Sens!$E$5516/Sens!$E$5517</f>
        <v>8.53212104513937</v>
      </c>
      <c r="G5520" s="30" t="n">
        <f aca="false">Sens!$G$5516/Sens!$G$5517</f>
        <v>12.7119412886078</v>
      </c>
      <c r="H5520" s="30" t="n">
        <f aca="false">Sens!$H$5516/Sens!$H$5517</f>
        <v>9.25413266565353</v>
      </c>
      <c r="I5520" s="30" t="n">
        <f aca="false">Sens!$I$5516/Sens!$I$5517</f>
        <v>10.501928796986</v>
      </c>
      <c r="J5520" s="30" t="n">
        <f aca="false">Sens!$J$5516/Sens!$J$5517</f>
        <v>11.7331442492472</v>
      </c>
      <c r="K5520" s="30" t="n">
        <f aca="false">Sens!$K$5516/Sens!$K$5517</f>
        <v>12.5759441372629</v>
      </c>
      <c r="L5520" s="30" t="n">
        <f aca="false">Sens!$L$5516/Sens!$L$5517</f>
        <v>13.7747123186974</v>
      </c>
      <c r="M5520" s="30" t="n">
        <f aca="false">Sens!$M$5516/Sens!$M$5517</f>
        <v>15.1246571438431</v>
      </c>
    </row>
    <row r="5521" customFormat="false" ht="17.15" hidden="false" customHeight="false" outlineLevel="0" collapsed="false">
      <c r="A5521" s="0" t="s">
        <v>753</v>
      </c>
      <c r="B5521" s="0" t="s">
        <v>27</v>
      </c>
      <c r="C5521" s="30" t="n">
        <f aca="false">(Sens!$C$5516-Sens!$C$5513*(1-tax))/Sens!$C$5517</f>
        <v>5.33926775917445</v>
      </c>
      <c r="D5521" s="30" t="n">
        <f aca="false">(Sens!$D$5516-Sens!$D$5513*(1-tax))/Sens!$D$5517</f>
        <v>5.67691812755503</v>
      </c>
      <c r="E5521" s="30" t="n">
        <f aca="false">(Sens!$E$5516-Sens!$E$5513*(1-tax))/Sens!$E$5517</f>
        <v>3.10602057006846</v>
      </c>
      <c r="G5521" s="30" t="n">
        <f aca="false">(Sens!$G$5516-Sens!$G$5513*(1-tax))/Sens!$G$5517</f>
        <v>7.30387317071086</v>
      </c>
      <c r="H5521" s="30" t="n">
        <f aca="false">(Sens!$H$5516-Sens!$H$5513*(1-tax))/Sens!$H$5517</f>
        <v>9.25413266565353</v>
      </c>
      <c r="I5521" s="30" t="n">
        <f aca="false">(Sens!$I$5516-Sens!$I$5513*(1-tax))/Sens!$I$5517</f>
        <v>10.501928796986</v>
      </c>
      <c r="J5521" s="30" t="n">
        <f aca="false">(Sens!$J$5516-Sens!$J$5513*(1-tax))/Sens!$J$5517</f>
        <v>11.7331442492472</v>
      </c>
      <c r="K5521" s="30" t="n">
        <f aca="false">(Sens!$K$5516-Sens!$K$5513*(1-tax))/Sens!$K$5517</f>
        <v>12.5759441372629</v>
      </c>
      <c r="L5521" s="30" t="n">
        <f aca="false">(Sens!$L$5516-Sens!$L$5513*(1-tax))/Sens!$L$5517</f>
        <v>13.7747123186974</v>
      </c>
      <c r="M5521" s="30" t="n">
        <f aca="false">(Sens!$M$5516-Sens!$M$5513*(1-tax))/Sens!$M$5517</f>
        <v>15.1246571438431</v>
      </c>
      <c r="P5521" s="5" t="s">
        <v>754</v>
      </c>
    </row>
    <row r="5522" customFormat="false" ht="17.15" hidden="false" customHeight="false" outlineLevel="0" collapsed="false">
      <c r="A5522" s="0" t="s">
        <v>755</v>
      </c>
      <c r="B5522" s="0" t="s">
        <v>52</v>
      </c>
      <c r="H5522" s="13" t="n">
        <f aca="false">Sens!$H$5519/Sens!$G$5519-1</f>
        <v>-0.200437527439553</v>
      </c>
      <c r="I5522" s="13" t="n">
        <f aca="false">Sens!$I$5519/Sens!$H$5519-1</f>
        <v>0.193840499705158</v>
      </c>
      <c r="J5522" s="13" t="n">
        <f aca="false">Sens!$J$5519/Sens!$I$5519-1</f>
        <v>0.160320047899391</v>
      </c>
      <c r="K5522" s="13" t="n">
        <f aca="false">Sens!$K$5519/Sens!$J$5519-1</f>
        <v>0.102152373083559</v>
      </c>
      <c r="L5522" s="13" t="n">
        <f aca="false">Sens!$L$5519/Sens!$K$5519-1</f>
        <v>0.0998080453796744</v>
      </c>
      <c r="M5522" s="13" t="n">
        <f aca="false">Sens!$M$5519/Sens!$L$5519-1</f>
        <v>0.0857836158723522</v>
      </c>
    </row>
    <row r="5525" customFormat="false" ht="19.4" hidden="false" customHeight="false" outlineLevel="0" collapsed="false">
      <c r="A5525" s="31" t="s">
        <v>1240</v>
      </c>
    </row>
    <row r="5526" customFormat="false" ht="17.15" hidden="false" customHeight="false" outlineLevel="0" collapsed="false">
      <c r="A5526" s="6" t="s">
        <v>16</v>
      </c>
      <c r="B5526" s="6" t="s">
        <v>17</v>
      </c>
      <c r="C5526" s="20" t="s">
        <v>494</v>
      </c>
      <c r="D5526" s="20" t="s">
        <v>495</v>
      </c>
      <c r="E5526" s="20" t="s">
        <v>577</v>
      </c>
      <c r="F5526" s="20" t="s">
        <v>578</v>
      </c>
      <c r="G5526" s="20" t="s">
        <v>579</v>
      </c>
      <c r="H5526" s="20" t="s">
        <v>580</v>
      </c>
      <c r="I5526" s="20" t="s">
        <v>581</v>
      </c>
      <c r="J5526" s="20" t="s">
        <v>582</v>
      </c>
      <c r="K5526" s="20" t="s">
        <v>583</v>
      </c>
      <c r="L5526" s="20" t="s">
        <v>584</v>
      </c>
      <c r="M5526" s="20" t="s">
        <v>585</v>
      </c>
      <c r="N5526" s="20" t="s">
        <v>586</v>
      </c>
      <c r="O5526" s="20" t="s">
        <v>587</v>
      </c>
      <c r="P5526" s="6" t="s">
        <v>23</v>
      </c>
      <c r="R5526" s="20" t="n">
        <v>2023</v>
      </c>
      <c r="S5526" s="20" t="n">
        <v>2024</v>
      </c>
      <c r="T5526" s="20" t="n">
        <v>2025</v>
      </c>
      <c r="U5526" s="20" t="n">
        <v>2026</v>
      </c>
      <c r="V5526" s="20" t="n">
        <v>2027</v>
      </c>
      <c r="W5526" s="20" t="n">
        <v>2028</v>
      </c>
      <c r="X5526" s="20" t="n">
        <v>2029</v>
      </c>
      <c r="Y5526" s="20" t="n">
        <v>2030</v>
      </c>
      <c r="Z5526" s="20" t="n">
        <v>2031</v>
      </c>
      <c r="AA5526" s="20" t="n">
        <v>2032</v>
      </c>
    </row>
    <row r="5527" customFormat="false" ht="15" hidden="false" customHeight="false" outlineLevel="0" collapsed="false">
      <c r="A5527" s="5" t="s">
        <v>546</v>
      </c>
      <c r="B5527" s="0" t="s">
        <v>86</v>
      </c>
      <c r="C5527" s="38" t="n">
        <f aca="false">Sens!$C$5516</f>
        <v>59.248</v>
      </c>
      <c r="D5527" s="38" t="n">
        <f aca="false">Sens!$D$5516</f>
        <v>77.67</v>
      </c>
      <c r="E5527" s="38" t="n">
        <f aca="false">Sens!$E$5516</f>
        <v>92.902</v>
      </c>
      <c r="F5527" s="38" t="n">
        <f aca="false">Sens!$F$5516</f>
        <v>45.9734924614306</v>
      </c>
      <c r="G5527" s="38" t="n">
        <f aca="false">Sens!$G$5516</f>
        <v>138.875492461431</v>
      </c>
      <c r="H5527" s="38" t="n">
        <f aca="false">Sens!$H$5516</f>
        <v>101.908400903092</v>
      </c>
      <c r="I5527" s="38" t="n">
        <f aca="false">Sens!$I$5516</f>
        <v>116.574582106835</v>
      </c>
      <c r="J5527" s="38" t="n">
        <f aca="false">Sens!$J$5516</f>
        <v>131.283377121365</v>
      </c>
      <c r="K5527" s="38" t="n">
        <f aca="false">Sens!$K$5516</f>
        <v>141.839261566304</v>
      </c>
      <c r="L5527" s="38" t="n">
        <f aca="false">Sens!$L$5516</f>
        <v>156.602586832858</v>
      </c>
      <c r="M5527" s="38" t="n">
        <f aca="false">Sens!$M$5516</f>
        <v>173.325501245834</v>
      </c>
    </row>
    <row r="5528" customFormat="false" ht="17.15" hidden="false" customHeight="false" outlineLevel="0" collapsed="false">
      <c r="A5528" s="5" t="s">
        <v>778</v>
      </c>
      <c r="B5528" s="0" t="s">
        <v>86</v>
      </c>
      <c r="C5528" s="38" t="n">
        <f aca="false">Sens!$C$5504</f>
        <v>32.067</v>
      </c>
      <c r="D5528" s="38" t="n">
        <f aca="false">Sens!$D$5504</f>
        <v>41.86</v>
      </c>
      <c r="E5528" s="38" t="n">
        <f aca="false">Sens!$E$5504</f>
        <v>26.703</v>
      </c>
      <c r="F5528" s="38" t="n">
        <f aca="false">Sens!$F$5504</f>
        <v>29.2913179650864</v>
      </c>
      <c r="G5528" s="38" t="n">
        <f aca="false">Sens!$G$5504</f>
        <v>55.9943179650864</v>
      </c>
      <c r="H5528" s="38" t="n">
        <f aca="false">Sens!$H$5504</f>
        <v>84.3163410985152</v>
      </c>
      <c r="I5528" s="38" t="n">
        <f aca="false">Sens!$I$5504</f>
        <v>117.040344991004</v>
      </c>
      <c r="J5528" s="38" t="n">
        <f aca="false">Sens!$J$5504</f>
        <v>150.498981474685</v>
      </c>
      <c r="K5528" s="38" t="n">
        <f aca="false">Sens!$K$5504</f>
        <v>184.188121970284</v>
      </c>
      <c r="L5528" s="38" t="n">
        <f aca="false">Sens!$L$5504</f>
        <v>207.378648477454</v>
      </c>
      <c r="M5528" s="38" t="n">
        <f aca="false">Sens!$M$5504</f>
        <v>222.833725897691</v>
      </c>
    </row>
    <row r="5529" customFormat="false" ht="15" hidden="false" customHeight="false" outlineLevel="0" collapsed="false">
      <c r="A5529" s="5" t="s">
        <v>779</v>
      </c>
      <c r="B5529" s="0" t="s">
        <v>86</v>
      </c>
      <c r="C5529" s="38" t="n">
        <f aca="false">Q!$D$48</f>
        <v>22.011</v>
      </c>
      <c r="D5529" s="38" t="n">
        <f aca="false">Q!$E$48</f>
        <v>19.467</v>
      </c>
      <c r="E5529" s="38" t="n">
        <f aca="false">Q!$P$48</f>
        <v>10.07</v>
      </c>
      <c r="F5529" s="38" t="n">
        <f aca="false">sbc_r*Sens!$F$5446</f>
        <v>10.8507035798037</v>
      </c>
      <c r="G5529" s="38" t="n">
        <f aca="false">Sens!$E$5529+Sens!$F$5529</f>
        <v>20.9207035798037</v>
      </c>
      <c r="H5529" s="38" t="n">
        <f aca="false">sbc_r*Sens!$H$5446</f>
        <v>23.46224366345</v>
      </c>
      <c r="I5529" s="38" t="n">
        <f aca="false">sbc_r*Sens!$I$5446</f>
        <v>26.6125957111676</v>
      </c>
      <c r="J5529" s="38" t="n">
        <f aca="false">sbc_r*Sens!$J$5446</f>
        <v>29.6280801413323</v>
      </c>
      <c r="K5529" s="38" t="n">
        <f aca="false">sbc_r*Sens!$K$5446</f>
        <v>32.26410459716</v>
      </c>
      <c r="L5529" s="38" t="n">
        <f aca="false">sbc_r*Sens!$L$5446</f>
        <v>34.7107348734595</v>
      </c>
      <c r="M5529" s="38" t="n">
        <f aca="false">sbc_r*Sens!$M$5446</f>
        <v>36.9769023298878</v>
      </c>
    </row>
    <row r="5530" customFormat="false" ht="17.15" hidden="false" customHeight="false" outlineLevel="0" collapsed="false">
      <c r="A5530" s="5" t="s">
        <v>780</v>
      </c>
      <c r="B5530" s="0" t="s">
        <v>86</v>
      </c>
      <c r="C5530" s="38" t="n">
        <f aca="false">Q!$D$44-Sens!$C$5527-Sens!$C$5528-Sens!$C$5529</f>
        <v>2.551</v>
      </c>
      <c r="D5530" s="38" t="n">
        <f aca="false">Q!$E$44-Sens!$D$5527-Sens!$D$5528-Sens!$D$5529</f>
        <v>0.51700000000001</v>
      </c>
      <c r="E5530" s="38" t="n">
        <f aca="false">Q!$P$44-Sens!$E$5527-Sens!$E$5528-Sens!$E$5529</f>
        <v>-58.256</v>
      </c>
      <c r="F5530" s="38" t="n">
        <f aca="false">oth_r*Sens!$F$5446</f>
        <v>5.22265251035878</v>
      </c>
      <c r="G5530" s="38" t="n">
        <f aca="false">Sens!$E$5530+Sens!$F$5530</f>
        <v>-53.0333474896412</v>
      </c>
      <c r="H5530" s="38" t="n">
        <f aca="false">oth_r*Sens!$H$5446</f>
        <v>11.2928295263397</v>
      </c>
      <c r="I5530" s="38" t="n">
        <f aca="false">oth_r*Sens!$I$5446</f>
        <v>12.8091546115766</v>
      </c>
      <c r="J5530" s="38" t="n">
        <f aca="false">oth_r*Sens!$J$5446</f>
        <v>14.2605653162668</v>
      </c>
      <c r="K5530" s="38" t="n">
        <f aca="false">oth_r*Sens!$K$5446</f>
        <v>15.5293346306567</v>
      </c>
      <c r="L5530" s="38" t="n">
        <f aca="false">oth_r*Sens!$L$5446</f>
        <v>16.7069448805781</v>
      </c>
      <c r="M5530" s="38" t="n">
        <f aca="false">oth_r*Sens!$M$5446</f>
        <v>17.7976949013636</v>
      </c>
      <c r="P5530" s="8" t="s">
        <v>781</v>
      </c>
    </row>
    <row r="5531" customFormat="false" ht="15" hidden="false" customHeight="false" outlineLevel="0" collapsed="false">
      <c r="A5531" s="3" t="s">
        <v>552</v>
      </c>
      <c r="B5531" s="8" t="s">
        <v>86</v>
      </c>
      <c r="C5531" s="38" t="n">
        <f aca="false">Q!$D$44</f>
        <v>115.877</v>
      </c>
      <c r="D5531" s="38" t="n">
        <f aca="false">Q!$E$44</f>
        <v>139.514</v>
      </c>
      <c r="E5531" s="38" t="n">
        <f aca="false">Q!$P$44</f>
        <v>71.419</v>
      </c>
      <c r="F5531" s="38" t="n">
        <f aca="false">Sens!$F$5527+Sens!$F$5528+Sens!$F$5529+Sens!$F$5530</f>
        <v>91.3381665166794</v>
      </c>
      <c r="G5531" s="38" t="n">
        <f aca="false">Sens!$E$5531+Sens!$F$5531</f>
        <v>162.757166516679</v>
      </c>
      <c r="H5531" s="38" t="n">
        <f aca="false">Sens!$H$5527+Sens!$H$5528+Sens!$H$5529+Sens!$H$5530</f>
        <v>220.979815191397</v>
      </c>
      <c r="I5531" s="38" t="n">
        <f aca="false">Sens!$I$5527+Sens!$I$5528+Sens!$I$5529+Sens!$I$5530</f>
        <v>273.036677420583</v>
      </c>
      <c r="J5531" s="38" t="n">
        <f aca="false">Sens!$J$5527+Sens!$J$5528+Sens!$J$5529+Sens!$J$5530</f>
        <v>325.671004053649</v>
      </c>
      <c r="K5531" s="38" t="n">
        <f aca="false">Sens!$K$5527+Sens!$K$5528+Sens!$K$5529+Sens!$K$5530</f>
        <v>373.820822764405</v>
      </c>
      <c r="L5531" s="38" t="n">
        <f aca="false">Sens!$L$5527+Sens!$L$5528+Sens!$L$5529+Sens!$L$5530</f>
        <v>415.39891506435</v>
      </c>
      <c r="M5531" s="38" t="n">
        <f aca="false">Sens!$M$5527+Sens!$M$5528+Sens!$M$5529+Sens!$M$5530</f>
        <v>450.933824374776</v>
      </c>
    </row>
    <row r="5532" customFormat="false" ht="17.15" hidden="false" customHeight="false" outlineLevel="0" collapsed="false">
      <c r="A5532" s="5" t="s">
        <v>782</v>
      </c>
      <c r="B5532" s="0" t="s">
        <v>86</v>
      </c>
      <c r="C5532" s="38" t="n">
        <f aca="false">Sens!$C$5415</f>
        <v>25.2781053077374</v>
      </c>
      <c r="D5532" s="38" t="n">
        <f aca="false">Sens!$D$5415</f>
        <v>69.5686316310026</v>
      </c>
      <c r="E5532" s="38" t="n">
        <f aca="false">Sens!$E$5415</f>
        <v>64.1899206485108</v>
      </c>
      <c r="F5532" s="38" t="n">
        <f aca="false">Sens!$F$5415</f>
        <v>96.2481299895</v>
      </c>
      <c r="G5532" s="38" t="n">
        <f aca="false">Sens!$G$5415</f>
        <v>160.438050638011</v>
      </c>
      <c r="H5532" s="38" t="n">
        <f aca="false">Sens!$H$5415</f>
        <v>198.57136494475</v>
      </c>
      <c r="I5532" s="38" t="n">
        <f aca="false">Sens!$I$5415</f>
        <v>204.6464699105</v>
      </c>
      <c r="J5532" s="38" t="n">
        <f aca="false">Sens!$J$5415</f>
        <v>209.8832381105</v>
      </c>
      <c r="K5532" s="38" t="n">
        <f aca="false">Sens!$K$5415</f>
        <v>152.460428963578</v>
      </c>
      <c r="L5532" s="38" t="n">
        <f aca="false">Sens!$L$5415</f>
        <v>126.458229016657</v>
      </c>
      <c r="M5532" s="38" t="n">
        <f aca="false">Sens!$M$5415</f>
        <v>123.897112724985</v>
      </c>
    </row>
    <row r="5533" customFormat="false" ht="17.15" hidden="false" customHeight="false" outlineLevel="0" collapsed="false">
      <c r="A5533" s="5" t="s">
        <v>783</v>
      </c>
      <c r="B5533" s="0" t="s">
        <v>86</v>
      </c>
      <c r="C5533" s="38" t="n">
        <f aca="false">cx_awso*Sens!$C$5444</f>
        <v>21.0469989286053</v>
      </c>
      <c r="D5533" s="38" t="n">
        <f aca="false">cx_awso*Sens!$D$5444</f>
        <v>24.0042459822698</v>
      </c>
      <c r="E5533" s="38" t="n">
        <f aca="false">cx_awso*Sens!$E$5444</f>
        <v>14.261729404886</v>
      </c>
      <c r="F5533" s="38" t="n">
        <f aca="false">cx_awso*Sens!$F$5444</f>
        <v>14.3538599588493</v>
      </c>
      <c r="G5533" s="38" t="n">
        <f aca="false">Sens!$E$5533+Sens!$F$5533</f>
        <v>28.6155893637353</v>
      </c>
      <c r="H5533" s="38" t="n">
        <f aca="false">cx_awso*Sens!$H$5444</f>
        <v>32.2034154158406</v>
      </c>
      <c r="I5533" s="38" t="n">
        <f aca="false">cx_awso*Sens!$I$5444</f>
        <v>35.7539519042915</v>
      </c>
      <c r="J5533" s="38" t="n">
        <f aca="false">cx_awso*Sens!$J$5444</f>
        <v>39.1551076091815</v>
      </c>
      <c r="K5533" s="38" t="n">
        <f aca="false">cx_awso*Sens!$K$5444</f>
        <v>42.287516217916</v>
      </c>
      <c r="L5533" s="38" t="n">
        <f aca="false">cx_awso*Sens!$L$5444</f>
        <v>45.6705175153492</v>
      </c>
      <c r="M5533" s="38" t="n">
        <f aca="false">cx_awso*Sens!$M$5444</f>
        <v>49.3241589165772</v>
      </c>
    </row>
    <row r="5534" customFormat="false" ht="17.15" hidden="false" customHeight="false" outlineLevel="0" collapsed="false">
      <c r="A5534" s="5" t="s">
        <v>784</v>
      </c>
      <c r="B5534" s="0" t="s">
        <v>86</v>
      </c>
      <c r="C5534" s="38" t="n">
        <f aca="false">Q!$D$46-Sens!$C$5532-Sens!$C$5533</f>
        <v>31.3328957636573</v>
      </c>
      <c r="D5534" s="38" t="n">
        <f aca="false">Q!$E$46-Sens!$D$5532-Sens!$D$5533</f>
        <v>34.7471223867276</v>
      </c>
      <c r="E5534" s="38" t="n">
        <f aca="false">Q!$P$46-Sens!$E$5532-Sens!$E$5533</f>
        <v>17.8583499466032</v>
      </c>
      <c r="F5534" s="38" t="n">
        <f aca="false">cx_rt*Sens!$F$5378</f>
        <v>20.6195895799373</v>
      </c>
      <c r="G5534" s="38" t="n">
        <f aca="false">Sens!$E$5534+Sens!$F$5534</f>
        <v>38.4779395265405</v>
      </c>
      <c r="H5534" s="38" t="n">
        <f aca="false">cx_rt*Sens!$H$5378</f>
        <v>42.5978994743075</v>
      </c>
      <c r="I5534" s="38" t="n">
        <f aca="false">cx_rt*Sens!$I$5378</f>
        <v>46.5813904136335</v>
      </c>
      <c r="J5534" s="38" t="n">
        <f aca="false">cx_rt*Sens!$J$5378</f>
        <v>50.2781676586844</v>
      </c>
      <c r="K5534" s="38" t="n">
        <f aca="false">cx_rt*Sens!$K$5378</f>
        <v>53.5312440191755</v>
      </c>
      <c r="L5534" s="38" t="n">
        <f aca="false">cx_rt*Sens!$L$5378</f>
        <v>57.0116717051447</v>
      </c>
      <c r="M5534" s="38" t="n">
        <f aca="false">cx_rt*Sens!$M$5378</f>
        <v>60.7365554669226</v>
      </c>
    </row>
    <row r="5535" customFormat="false" ht="15" hidden="false" customHeight="false" outlineLevel="0" collapsed="false">
      <c r="A5535" s="3" t="s">
        <v>785</v>
      </c>
      <c r="B5535" s="8" t="s">
        <v>86</v>
      </c>
      <c r="C5535" s="38" t="n">
        <f aca="false">Q!$D$46</f>
        <v>77.658</v>
      </c>
      <c r="D5535" s="38" t="n">
        <f aca="false">Q!$E$46</f>
        <v>128.32</v>
      </c>
      <c r="E5535" s="38" t="n">
        <f aca="false">Q!$P$46</f>
        <v>96.31</v>
      </c>
      <c r="F5535" s="38" t="n">
        <f aca="false">Sens!$F$5532+Sens!$F$5533+Sens!$F$5534</f>
        <v>131.221579528287</v>
      </c>
      <c r="G5535" s="38" t="n">
        <f aca="false">Sens!$E$5535+Sens!$F$5535</f>
        <v>227.531579528287</v>
      </c>
      <c r="H5535" s="38" t="n">
        <f aca="false">Sens!$H$5532+Sens!$H$5533+Sens!$H$5534</f>
        <v>273.372679834898</v>
      </c>
      <c r="I5535" s="38" t="n">
        <f aca="false">Sens!$I$5532+Sens!$I$5533+Sens!$I$5534</f>
        <v>286.981812228425</v>
      </c>
      <c r="J5535" s="38" t="n">
        <f aca="false">Sens!$J$5532+Sens!$J$5533+Sens!$J$5534</f>
        <v>299.316513378366</v>
      </c>
      <c r="K5535" s="38" t="n">
        <f aca="false">Sens!$K$5532+Sens!$K$5533+Sens!$K$5534</f>
        <v>248.27918920067</v>
      </c>
      <c r="L5535" s="38" t="n">
        <f aca="false">Sens!$L$5532+Sens!$L$5533+Sens!$L$5534</f>
        <v>229.140418237151</v>
      </c>
      <c r="M5535" s="38" t="n">
        <f aca="false">Sens!$M$5532+Sens!$M$5533+Sens!$M$5534</f>
        <v>233.957827108485</v>
      </c>
    </row>
    <row r="5536" customFormat="false" ht="17.15" hidden="false" customHeight="false" outlineLevel="0" collapsed="false">
      <c r="A5536" s="5" t="s">
        <v>560</v>
      </c>
      <c r="B5536" s="0" t="s">
        <v>86</v>
      </c>
      <c r="C5536" s="38" t="n">
        <f aca="false">Q!$D$50</f>
        <v>2.043</v>
      </c>
      <c r="D5536" s="38" t="n">
        <f aca="false">Q!$E$50</f>
        <v>1.557</v>
      </c>
      <c r="E5536" s="38" t="n">
        <f aca="false">lease_pr/2</f>
        <v>0.8</v>
      </c>
      <c r="F5536" s="38" t="n">
        <f aca="false">lease_pr/2</f>
        <v>0.8</v>
      </c>
      <c r="G5536" s="38" t="n">
        <f aca="false">Sens!$E$5536+Sens!$F$5536</f>
        <v>1.6</v>
      </c>
      <c r="H5536" s="38" t="n">
        <f aca="false">lease_pr</f>
        <v>1.6</v>
      </c>
      <c r="I5536" s="38" t="n">
        <f aca="false">lease_pr</f>
        <v>1.6</v>
      </c>
      <c r="J5536" s="38" t="n">
        <f aca="false">lease_pr</f>
        <v>1.6</v>
      </c>
      <c r="K5536" s="38" t="n">
        <f aca="false">lease_pr</f>
        <v>1.6</v>
      </c>
      <c r="L5536" s="38" t="n">
        <f aca="false">lease_pr</f>
        <v>1.6</v>
      </c>
      <c r="M5536" s="38" t="n">
        <f aca="false">lease_pr</f>
        <v>1.6</v>
      </c>
      <c r="P5536" s="8" t="s">
        <v>786</v>
      </c>
    </row>
    <row r="5537" customFormat="false" ht="15" hidden="false" customHeight="false" outlineLevel="0" collapsed="false">
      <c r="A5537" s="47" t="s">
        <v>787</v>
      </c>
      <c r="B5537" s="14" t="s">
        <v>86</v>
      </c>
      <c r="C5537" s="48" t="n">
        <f aca="false">Sens!$C$5531-Sens!$C$5535-Sens!$C$5536</f>
        <v>36.176</v>
      </c>
      <c r="D5537" s="48" t="n">
        <f aca="false">Sens!$D$5531-Sens!$D$5535-Sens!$D$5536</f>
        <v>9.63700000000002</v>
      </c>
      <c r="E5537" s="48" t="n">
        <f aca="false">Sens!$E$5531-Sens!$E$5535-Sens!$E$5536</f>
        <v>-25.691</v>
      </c>
      <c r="F5537" s="48" t="n">
        <f aca="false">Sens!$F$5531-Sens!$F$5535-Sens!$F$5536</f>
        <v>-40.6834130116072</v>
      </c>
      <c r="G5537" s="48" t="n">
        <f aca="false">Sens!$G$5531-Sens!$G$5535-Sens!$G$5536</f>
        <v>-66.3744130116072</v>
      </c>
      <c r="H5537" s="48" t="n">
        <f aca="false">Sens!$H$5531-Sens!$H$5535-Sens!$H$5536</f>
        <v>-53.9928646435014</v>
      </c>
      <c r="I5537" s="48" t="n">
        <f aca="false">Sens!$I$5531-Sens!$I$5535-Sens!$I$5536</f>
        <v>-15.5451348078424</v>
      </c>
      <c r="J5537" s="48" t="n">
        <f aca="false">Sens!$J$5531-Sens!$J$5535-Sens!$J$5536</f>
        <v>24.754490675283</v>
      </c>
      <c r="K5537" s="48" t="n">
        <f aca="false">Sens!$K$5531-Sens!$K$5535-Sens!$K$5536</f>
        <v>123.941633563735</v>
      </c>
      <c r="L5537" s="48" t="n">
        <f aca="false">Sens!$L$5531-Sens!$L$5535-Sens!$L$5536</f>
        <v>184.658496827199</v>
      </c>
      <c r="M5537" s="48" t="n">
        <f aca="false">Sens!$M$5531-Sens!$M$5535-Sens!$M$5536</f>
        <v>215.375997266291</v>
      </c>
      <c r="N5537" s="14"/>
      <c r="O5537" s="14"/>
    </row>
    <row r="5538" customFormat="false" ht="17.15" hidden="false" customHeight="false" outlineLevel="0" collapsed="false">
      <c r="A5538" s="5" t="s">
        <v>788</v>
      </c>
      <c r="B5538" s="0" t="s">
        <v>86</v>
      </c>
      <c r="C5538" s="38" t="n">
        <f aca="false">dps*Sens!$C$5517</f>
        <v>0</v>
      </c>
      <c r="D5538" s="38" t="n">
        <f aca="false">dps*Sens!$D$5517</f>
        <v>0</v>
      </c>
      <c r="E5538" s="38" t="n">
        <f aca="false">dps*Sens!$E$5517</f>
        <v>0</v>
      </c>
      <c r="F5538" s="38" t="n">
        <f aca="false">0</f>
        <v>0</v>
      </c>
      <c r="G5538" s="38" t="n">
        <f aca="false">dps*Sens!$G$5517</f>
        <v>0</v>
      </c>
      <c r="H5538" s="38" t="n">
        <f aca="false">dps*Sens!$H$5517</f>
        <v>0</v>
      </c>
      <c r="I5538" s="38" t="n">
        <f aca="false">dps*Sens!$I$5517</f>
        <v>0</v>
      </c>
      <c r="J5538" s="38" t="n">
        <f aca="false">dps*Sens!$J$5517</f>
        <v>0</v>
      </c>
      <c r="K5538" s="38" t="n">
        <f aca="false">dps*Sens!$K$5517</f>
        <v>0</v>
      </c>
      <c r="L5538" s="38" t="n">
        <f aca="false">dps*Sens!$L$5517</f>
        <v>0</v>
      </c>
      <c r="M5538" s="38" t="n">
        <f aca="false">dps*Sens!$M$5517</f>
        <v>0</v>
      </c>
      <c r="P5538" s="8" t="s">
        <v>789</v>
      </c>
    </row>
    <row r="5539" customFormat="false" ht="17.15" hidden="false" customHeight="false" outlineLevel="0" collapsed="false">
      <c r="A5539" s="5" t="s">
        <v>790</v>
      </c>
      <c r="B5539" s="0" t="s">
        <v>86</v>
      </c>
      <c r="C5539" s="38" t="n">
        <f aca="false">0</f>
        <v>0</v>
      </c>
      <c r="D5539" s="38" t="n">
        <f aca="false">0</f>
        <v>0</v>
      </c>
      <c r="E5539" s="38" t="n">
        <f aca="false">0</f>
        <v>0</v>
      </c>
      <c r="F5539" s="38" t="n">
        <f aca="false">0</f>
        <v>0</v>
      </c>
      <c r="G5539" s="38" t="n">
        <f aca="false">0</f>
        <v>0</v>
      </c>
      <c r="H5539" s="38" t="n">
        <f aca="false">0</f>
        <v>0</v>
      </c>
      <c r="I5539" s="38" t="n">
        <f aca="false">0</f>
        <v>0</v>
      </c>
      <c r="J5539" s="38" t="n">
        <f aca="false">0</f>
        <v>0</v>
      </c>
      <c r="K5539" s="38" t="n">
        <f aca="false">0</f>
        <v>0</v>
      </c>
      <c r="L5539" s="38" t="n">
        <f aca="false">0</f>
        <v>0</v>
      </c>
      <c r="M5539" s="38" t="n">
        <f aca="false">0</f>
        <v>0</v>
      </c>
      <c r="P5539" s="8" t="s">
        <v>791</v>
      </c>
    </row>
    <row r="5540" customFormat="false" ht="15" hidden="false" customHeight="false" outlineLevel="0" collapsed="false">
      <c r="A5540" s="3" t="s">
        <v>792</v>
      </c>
      <c r="B5540" s="8" t="s">
        <v>86</v>
      </c>
      <c r="C5540" s="38" t="n">
        <f aca="false">Sens!$C$5537-Sens!$C$5538</f>
        <v>36.176</v>
      </c>
      <c r="D5540" s="38" t="n">
        <f aca="false">Sens!$D$5537-Sens!$D$5538</f>
        <v>9.63700000000002</v>
      </c>
      <c r="E5540" s="38" t="n">
        <f aca="false">Sens!$E$5537-Sens!$E$5538</f>
        <v>-25.691</v>
      </c>
      <c r="F5540" s="38" t="n">
        <f aca="false">Sens!$F$5537-Sens!$F$5538</f>
        <v>-40.6834130116072</v>
      </c>
      <c r="G5540" s="38" t="n">
        <f aca="false">Sens!$G$5537-Sens!$G$5538</f>
        <v>-66.3744130116072</v>
      </c>
      <c r="H5540" s="38" t="n">
        <f aca="false">Sens!$H$5537-Sens!$H$5538</f>
        <v>-53.9928646435014</v>
      </c>
      <c r="I5540" s="38" t="n">
        <f aca="false">Sens!$I$5537-Sens!$I$5538</f>
        <v>-15.5451348078424</v>
      </c>
      <c r="J5540" s="38" t="n">
        <f aca="false">Sens!$J$5537-Sens!$J$5538</f>
        <v>24.754490675283</v>
      </c>
      <c r="K5540" s="38" t="n">
        <f aca="false">Sens!$K$5537-Sens!$K$5538</f>
        <v>123.941633563735</v>
      </c>
      <c r="L5540" s="38" t="n">
        <f aca="false">Sens!$L$5537-Sens!$L$5538</f>
        <v>184.658496827199</v>
      </c>
      <c r="M5540" s="38" t="n">
        <f aca="false">Sens!$M$5537-Sens!$M$5538</f>
        <v>215.375997266291</v>
      </c>
    </row>
    <row r="5541" customFormat="false" ht="17.15" hidden="false" customHeight="false" outlineLevel="0" collapsed="false">
      <c r="A5541" s="5" t="s">
        <v>793</v>
      </c>
      <c r="B5541" s="0" t="s">
        <v>86</v>
      </c>
      <c r="E5541" s="38" t="n">
        <f aca="false">Q!$P$53</f>
        <v>39.767</v>
      </c>
      <c r="F5541" s="38" t="n">
        <f aca="false">inv_2h26</f>
        <v>21.3</v>
      </c>
      <c r="G5541" s="38" t="n">
        <f aca="false">Sens!$E$5541+Sens!$F$5541</f>
        <v>61.067</v>
      </c>
      <c r="H5541" s="39" t="n">
        <v>0</v>
      </c>
      <c r="I5541" s="39" t="n">
        <v>0</v>
      </c>
      <c r="J5541" s="39" t="n">
        <v>0</v>
      </c>
      <c r="K5541" s="39" t="n">
        <v>0</v>
      </c>
      <c r="L5541" s="39" t="n">
        <v>0</v>
      </c>
      <c r="M5541" s="39" t="n">
        <v>0</v>
      </c>
    </row>
    <row r="5542" customFormat="false" ht="17.15" hidden="false" customHeight="false" outlineLevel="0" collapsed="false">
      <c r="A5542" s="5" t="s">
        <v>794</v>
      </c>
      <c r="B5542" s="0" t="s">
        <v>86</v>
      </c>
      <c r="F5542" s="38" t="n">
        <f aca="false">iss_2h26</f>
        <v>29.249999</v>
      </c>
      <c r="G5542" s="38" t="n">
        <f aca="false">Sens!$F$5542</f>
        <v>29.249999</v>
      </c>
      <c r="H5542" s="39" t="n">
        <v>0</v>
      </c>
      <c r="I5542" s="39" t="n">
        <v>0</v>
      </c>
      <c r="J5542" s="39" t="n">
        <v>0</v>
      </c>
      <c r="K5542" s="39" t="n">
        <v>0</v>
      </c>
      <c r="L5542" s="39" t="n">
        <v>0</v>
      </c>
      <c r="M5542" s="39" t="n">
        <v>0</v>
      </c>
    </row>
    <row r="5543" customFormat="false" ht="17.15" hidden="false" customHeight="false" outlineLevel="0" collapsed="false">
      <c r="A5543" s="5" t="s">
        <v>795</v>
      </c>
      <c r="B5543" s="0" t="s">
        <v>86</v>
      </c>
      <c r="F5543" s="38" t="n">
        <f aca="false">cash_q2</f>
        <v>122.988</v>
      </c>
      <c r="G5543" s="38" t="n">
        <f aca="false">cash_q2</f>
        <v>122.988</v>
      </c>
      <c r="H5543" s="38" t="n">
        <f aca="false">Sens!$G$5546</f>
        <v>90.2545859883928</v>
      </c>
      <c r="I5543" s="38" t="n">
        <f aca="false">Sens!$H$5546</f>
        <v>50</v>
      </c>
      <c r="J5543" s="38" t="n">
        <f aca="false">Sens!$I$5546</f>
        <v>50</v>
      </c>
      <c r="K5543" s="38" t="n">
        <f aca="false">Sens!$J$5546</f>
        <v>74.7544906752831</v>
      </c>
      <c r="L5543" s="38" t="n">
        <f aca="false">Sens!$K$5546</f>
        <v>198.696124239018</v>
      </c>
      <c r="M5543" s="38" t="n">
        <f aca="false">Sens!$L$5546</f>
        <v>383.354621066217</v>
      </c>
    </row>
    <row r="5544" customFormat="false" ht="15" hidden="false" customHeight="false" outlineLevel="0" collapsed="false">
      <c r="A5544" s="5" t="s">
        <v>796</v>
      </c>
      <c r="B5544" s="0" t="s">
        <v>86</v>
      </c>
      <c r="F5544" s="38" t="n">
        <f aca="false">Sens!$F$5543+Sens!$F$5540-Sens!$F$5539-Sens!$F$5541+Sens!$F$5542</f>
        <v>90.2545859883928</v>
      </c>
      <c r="H5544" s="38" t="n">
        <f aca="false">Sens!$H$5543+Sens!$H$5540-Sens!$H$5539-Sens!$H$5541+Sens!$H$5542</f>
        <v>36.2617213448915</v>
      </c>
      <c r="I5544" s="38" t="n">
        <f aca="false">Sens!$I$5543+Sens!$I$5540-Sens!$I$5539-Sens!$I$5541+Sens!$I$5542</f>
        <v>34.4548651921577</v>
      </c>
      <c r="J5544" s="38" t="n">
        <f aca="false">Sens!$J$5543+Sens!$J$5540-Sens!$J$5539-Sens!$J$5541+Sens!$J$5542</f>
        <v>74.7544906752831</v>
      </c>
      <c r="K5544" s="38" t="n">
        <f aca="false">Sens!$K$5543+Sens!$K$5540-Sens!$K$5539-Sens!$K$5541+Sens!$K$5542</f>
        <v>198.696124239018</v>
      </c>
      <c r="L5544" s="38" t="n">
        <f aca="false">Sens!$L$5543+Sens!$L$5540-Sens!$L$5539-Sens!$L$5541+Sens!$L$5542</f>
        <v>383.354621066217</v>
      </c>
      <c r="M5544" s="38" t="n">
        <f aca="false">Sens!$M$5543+Sens!$M$5540-Sens!$M$5539-Sens!$M$5541+Sens!$M$5542</f>
        <v>598.730618332508</v>
      </c>
    </row>
    <row r="5545" customFormat="false" ht="17.15" hidden="false" customHeight="false" outlineLevel="0" collapsed="false">
      <c r="A5545" s="5" t="s">
        <v>797</v>
      </c>
      <c r="B5545" s="0" t="s">
        <v>86</v>
      </c>
      <c r="F5545" s="38" t="n">
        <f aca="false">MAX(0,min_cash-Sens!$F$5544)</f>
        <v>0</v>
      </c>
      <c r="G5545" s="38" t="n">
        <f aca="false">Sens!$F$5545</f>
        <v>0</v>
      </c>
      <c r="H5545" s="38" t="n">
        <f aca="false">MAX(0,min_cash-Sens!$H$5544)</f>
        <v>13.7382786551085</v>
      </c>
      <c r="I5545" s="38" t="n">
        <f aca="false">MAX(0,min_cash-Sens!$I$5544)</f>
        <v>15.5451348078424</v>
      </c>
      <c r="J5545" s="38" t="n">
        <f aca="false">MAX(0,min_cash-Sens!$J$5544)</f>
        <v>0</v>
      </c>
      <c r="K5545" s="38" t="n">
        <f aca="false">MAX(0,min_cash-Sens!$K$5544)</f>
        <v>0</v>
      </c>
      <c r="L5545" s="38" t="n">
        <f aca="false">MAX(0,min_cash-Sens!$L$5544)</f>
        <v>0</v>
      </c>
      <c r="M5545" s="38" t="n">
        <f aca="false">MAX(0,min_cash-Sens!$M$5544)</f>
        <v>0</v>
      </c>
      <c r="P5545" s="5" t="s">
        <v>798</v>
      </c>
    </row>
    <row r="5546" customFormat="false" ht="15" hidden="false" customHeight="false" outlineLevel="0" collapsed="false">
      <c r="A5546" s="5" t="s">
        <v>799</v>
      </c>
      <c r="B5546" s="0" t="s">
        <v>86</v>
      </c>
      <c r="D5546" s="38" t="n">
        <f aca="false">Q!$E$61</f>
        <v>123.029</v>
      </c>
      <c r="E5546" s="38" t="n">
        <f aca="false">Q!$M$61</f>
        <v>122.988</v>
      </c>
      <c r="F5546" s="38" t="n">
        <f aca="false">Sens!$F$5544+Sens!$F$5545</f>
        <v>90.2545859883928</v>
      </c>
      <c r="G5546" s="38" t="n">
        <f aca="false">Sens!$F$5546</f>
        <v>90.2545859883928</v>
      </c>
      <c r="H5546" s="38" t="n">
        <f aca="false">Sens!$H$5544+Sens!$H$5545</f>
        <v>50</v>
      </c>
      <c r="I5546" s="38" t="n">
        <f aca="false">Sens!$I$5544+Sens!$I$5545</f>
        <v>50</v>
      </c>
      <c r="J5546" s="38" t="n">
        <f aca="false">Sens!$J$5544+Sens!$J$5545</f>
        <v>74.7544906752831</v>
      </c>
      <c r="K5546" s="38" t="n">
        <f aca="false">Sens!$K$5544+Sens!$K$5545</f>
        <v>198.696124239018</v>
      </c>
      <c r="L5546" s="38" t="n">
        <f aca="false">Sens!$L$5544+Sens!$L$5545</f>
        <v>383.354621066217</v>
      </c>
      <c r="M5546" s="38" t="n">
        <f aca="false">Sens!$M$5544+Sens!$M$5545</f>
        <v>598.730618332508</v>
      </c>
    </row>
    <row r="5547" customFormat="false" ht="15" hidden="false" customHeight="false" outlineLevel="0" collapsed="false">
      <c r="A5547" s="5" t="s">
        <v>800</v>
      </c>
      <c r="B5547" s="0" t="s">
        <v>86</v>
      </c>
      <c r="D5547" s="38" t="n">
        <f aca="false">Q!$E$62</f>
        <v>68.836</v>
      </c>
      <c r="E5547" s="38" t="n">
        <f aca="false">Q!$M$62</f>
        <v>132.995</v>
      </c>
      <c r="F5547" s="38" t="n">
        <f aca="false">debt_q2+Sens!$F$5542+Sens!$F$5545</f>
        <v>162.244999</v>
      </c>
      <c r="G5547" s="38" t="n">
        <f aca="false">Sens!$F$5547</f>
        <v>162.244999</v>
      </c>
      <c r="H5547" s="38" t="n">
        <f aca="false">Sens!$G$5547+Sens!$H$5545</f>
        <v>175.983277655109</v>
      </c>
      <c r="I5547" s="38" t="n">
        <f aca="false">Sens!$H$5547+Sens!$I$5545</f>
        <v>191.528412462951</v>
      </c>
      <c r="J5547" s="38" t="n">
        <f aca="false">Sens!$I$5547+Sens!$J$5545</f>
        <v>191.528412462951</v>
      </c>
      <c r="K5547" s="38" t="n">
        <f aca="false">Sens!$J$5547+Sens!$K$5545</f>
        <v>191.528412462951</v>
      </c>
      <c r="L5547" s="38" t="n">
        <f aca="false">Sens!$K$5547+Sens!$L$5545</f>
        <v>191.528412462951</v>
      </c>
      <c r="M5547" s="38" t="n">
        <f aca="false">Sens!$L$5547+Sens!$M$5545</f>
        <v>191.528412462951</v>
      </c>
    </row>
    <row r="5548" customFormat="false" ht="15" hidden="false" customHeight="false" outlineLevel="0" collapsed="false">
      <c r="A5548" s="5" t="s">
        <v>801</v>
      </c>
      <c r="B5548" s="0" t="s">
        <v>86</v>
      </c>
      <c r="D5548" s="38" t="n">
        <f aca="false">Sens!$D$5547-Sens!$D$5546</f>
        <v>-54.193</v>
      </c>
      <c r="E5548" s="38" t="n">
        <f aca="false">Sens!$E$5547-Sens!$E$5546</f>
        <v>10.007</v>
      </c>
      <c r="F5548" s="38" t="n">
        <f aca="false">Sens!$F$5547-Sens!$F$5546</f>
        <v>71.9904130116072</v>
      </c>
      <c r="G5548" s="38" t="n">
        <f aca="false">Sens!$G$5547-Sens!$G$5546</f>
        <v>71.9904130116072</v>
      </c>
      <c r="H5548" s="38" t="n">
        <f aca="false">Sens!$H$5547-Sens!$H$5546</f>
        <v>125.983277655109</v>
      </c>
      <c r="I5548" s="38" t="n">
        <f aca="false">Sens!$I$5547-Sens!$I$5546</f>
        <v>141.528412462951</v>
      </c>
      <c r="J5548" s="38" t="n">
        <f aca="false">Sens!$J$5547-Sens!$J$5546</f>
        <v>116.773921787668</v>
      </c>
      <c r="K5548" s="38" t="n">
        <f aca="false">Sens!$K$5547-Sens!$K$5546</f>
        <v>-7.16771177606697</v>
      </c>
      <c r="L5548" s="38" t="n">
        <f aca="false">Sens!$L$5547-Sens!$L$5546</f>
        <v>-191.826208603266</v>
      </c>
      <c r="M5548" s="38" t="n">
        <f aca="false">Sens!$M$5547-Sens!$M$5546</f>
        <v>-407.202205869557</v>
      </c>
    </row>
    <row r="5549" customFormat="false" ht="17.15" hidden="false" customHeight="false" outlineLevel="0" collapsed="false">
      <c r="A5549" s="5" t="s">
        <v>802</v>
      </c>
      <c r="B5549" s="0" t="s">
        <v>86</v>
      </c>
      <c r="F5549" s="38" t="n">
        <f aca="false">debt_q2*kd_book*0.5+iss_2h26*kd_new*iss_t</f>
        <v>3.24888962733561</v>
      </c>
      <c r="H5549" s="38" t="n">
        <f aca="false">debt_q2*kd_book+(Sens!$G$5547-debt_q2)*kd_new</f>
        <v>7.42354172302123</v>
      </c>
      <c r="I5549" s="38" t="n">
        <f aca="false">debt_q2*kd_book+(Sens!$H$5547-debt_q2)*kd_new</f>
        <v>8.2931747618896</v>
      </c>
      <c r="J5549" s="38" t="n">
        <f aca="false">debt_q2*kd_book+(Sens!$I$5547-debt_q2)*kd_new</f>
        <v>9.27718179522602</v>
      </c>
      <c r="K5549" s="38" t="n">
        <f aca="false">debt_q2*kd_book+(Sens!$J$5547-debt_q2)*kd_new</f>
        <v>9.27718179522602</v>
      </c>
      <c r="L5549" s="38" t="n">
        <f aca="false">debt_q2*kd_book+(Sens!$K$5547-debt_q2)*kd_new</f>
        <v>9.27718179522602</v>
      </c>
      <c r="M5549" s="38" t="n">
        <f aca="false">debt_q2*kd_book+(Sens!$L$5547-debt_q2)*kd_new</f>
        <v>9.27718179522602</v>
      </c>
    </row>
    <row r="5550" customFormat="false" ht="17.15" hidden="false" customHeight="false" outlineLevel="0" collapsed="false">
      <c r="A5550" s="5" t="s">
        <v>803</v>
      </c>
      <c r="B5550" s="0" t="s">
        <v>86</v>
      </c>
      <c r="F5550" s="38" t="n">
        <f aca="false">cash_q2*y_cash*0.5</f>
        <v>2.59</v>
      </c>
      <c r="H5550" s="38" t="n">
        <f aca="false">Sens!$G$5546*y_cash</f>
        <v>3.80133635330174</v>
      </c>
      <c r="I5550" s="38" t="n">
        <f aca="false">Sens!$H$5546*y_cash</f>
        <v>2.10589651022864</v>
      </c>
      <c r="J5550" s="38" t="n">
        <f aca="false">Sens!$I$5546*y_cash</f>
        <v>2.10589651022864</v>
      </c>
      <c r="K5550" s="38" t="n">
        <f aca="false">Sens!$J$5546*y_cash</f>
        <v>3.14850442073996</v>
      </c>
      <c r="L5550" s="38" t="n">
        <f aca="false">Sens!$K$5546*y_cash</f>
        <v>8.36866949261808</v>
      </c>
      <c r="M5550" s="38" t="n">
        <f aca="false">Sens!$L$5546*y_cash</f>
        <v>16.1461031736674</v>
      </c>
    </row>
    <row r="5551" customFormat="false" ht="17.15" hidden="false" customHeight="false" outlineLevel="0" collapsed="false">
      <c r="A5551" s="47" t="s">
        <v>804</v>
      </c>
      <c r="B5551" s="14" t="s">
        <v>86</v>
      </c>
      <c r="C5551" s="14"/>
      <c r="D5551" s="14"/>
      <c r="E5551" s="14"/>
      <c r="F5551" s="14"/>
      <c r="G5551" s="48" t="n">
        <f aca="false">SUM(Sens!$G$5540:$K$5540)</f>
        <v>12.783711776067</v>
      </c>
      <c r="H5551" s="14"/>
      <c r="I5551" s="14"/>
      <c r="J5551" s="14"/>
      <c r="K5551" s="14"/>
      <c r="L5551" s="14"/>
      <c r="M5551" s="14"/>
      <c r="N5551" s="14"/>
      <c r="O5551" s="14"/>
    </row>
    <row r="5552" customFormat="false" ht="17.15" hidden="false" customHeight="false" outlineLevel="0" collapsed="false">
      <c r="A5552" s="0" t="s">
        <v>770</v>
      </c>
      <c r="B5552" s="0" t="s">
        <v>86</v>
      </c>
      <c r="G5552" s="38" t="n">
        <f aca="false">SUM(Sens!$G$5545:$K$5545)</f>
        <v>29.2834134629509</v>
      </c>
    </row>
    <row r="5553" customFormat="false" ht="17.15" hidden="false" customHeight="false" outlineLevel="0" collapsed="false">
      <c r="A5553" s="24" t="s">
        <v>807</v>
      </c>
      <c r="B5553" s="25" t="s">
        <v>86</v>
      </c>
      <c r="C5553" s="25"/>
      <c r="D5553" s="25"/>
      <c r="E5553" s="25"/>
      <c r="F5553" s="25"/>
      <c r="G5553" s="41" t="n">
        <f aca="false">Sens!$G$5551-(Sens!$G$5540+Sens!$H$5540+Sens!$I$5540+Sens!$J$5540+Sens!$K$5540)</f>
        <v>0</v>
      </c>
      <c r="H5553" s="25"/>
      <c r="I5553" s="25"/>
      <c r="J5553" s="25"/>
      <c r="K5553" s="25"/>
      <c r="L5553" s="25"/>
      <c r="M5553" s="25"/>
      <c r="N5553" s="25"/>
      <c r="O5553" s="25"/>
    </row>
    <row r="5556" customFormat="false" ht="19.4" hidden="false" customHeight="false" outlineLevel="0" collapsed="false">
      <c r="A5556" s="31" t="s">
        <v>1241</v>
      </c>
    </row>
    <row r="5557" customFormat="false" ht="17.15" hidden="false" customHeight="false" outlineLevel="0" collapsed="false">
      <c r="A5557" s="6" t="s">
        <v>16</v>
      </c>
      <c r="B5557" s="6" t="s">
        <v>17</v>
      </c>
      <c r="C5557" s="20" t="s">
        <v>494</v>
      </c>
      <c r="D5557" s="20" t="s">
        <v>495</v>
      </c>
      <c r="E5557" s="20" t="s">
        <v>577</v>
      </c>
      <c r="F5557" s="20" t="s">
        <v>578</v>
      </c>
      <c r="G5557" s="20" t="s">
        <v>579</v>
      </c>
      <c r="H5557" s="20" t="s">
        <v>580</v>
      </c>
      <c r="I5557" s="20" t="s">
        <v>581</v>
      </c>
      <c r="J5557" s="20" t="s">
        <v>582</v>
      </c>
      <c r="K5557" s="20" t="s">
        <v>583</v>
      </c>
      <c r="L5557" s="20" t="s">
        <v>584</v>
      </c>
      <c r="M5557" s="20" t="s">
        <v>585</v>
      </c>
      <c r="N5557" s="20" t="s">
        <v>586</v>
      </c>
      <c r="O5557" s="20" t="s">
        <v>587</v>
      </c>
      <c r="P5557" s="6" t="s">
        <v>23</v>
      </c>
      <c r="R5557" s="20" t="n">
        <v>2023</v>
      </c>
      <c r="S5557" s="20" t="n">
        <v>2024</v>
      </c>
      <c r="T5557" s="20" t="n">
        <v>2025</v>
      </c>
      <c r="U5557" s="20" t="n">
        <v>2026</v>
      </c>
      <c r="V5557" s="20" t="n">
        <v>2027</v>
      </c>
      <c r="W5557" s="20" t="n">
        <v>2028</v>
      </c>
      <c r="X5557" s="20" t="n">
        <v>2029</v>
      </c>
      <c r="Y5557" s="20" t="n">
        <v>2030</v>
      </c>
      <c r="Z5557" s="20" t="n">
        <v>2031</v>
      </c>
      <c r="AA5557" s="20" t="n">
        <v>2032</v>
      </c>
    </row>
    <row r="5558" customFormat="false" ht="17.15" hidden="false" customHeight="false" outlineLevel="0" collapsed="false">
      <c r="A5558" s="1" t="s">
        <v>909</v>
      </c>
    </row>
    <row r="5559" customFormat="false" ht="17.15" hidden="false" customHeight="false" outlineLevel="0" collapsed="false">
      <c r="A5559" s="0" t="s">
        <v>910</v>
      </c>
      <c r="B5559" s="0" t="s">
        <v>86</v>
      </c>
      <c r="H5559" s="38" t="n">
        <f aca="false">Sens!$H$5493*(1-tax)</f>
        <v>117.433243423729</v>
      </c>
      <c r="I5559" s="38" t="n">
        <f aca="false">Sens!$I$5493*(1-tax)</f>
        <v>142.829109667048</v>
      </c>
      <c r="J5559" s="38" t="n">
        <f aca="false">Sens!$J$5493*(1-tax)</f>
        <v>166.999275189185</v>
      </c>
      <c r="K5559" s="38" t="n">
        <f aca="false">Sens!$K$5493*(1-tax)</f>
        <v>184.011832349418</v>
      </c>
      <c r="L5559" s="38" t="n">
        <f aca="false">Sens!$L$5493*(1-tax)</f>
        <v>199.132616100332</v>
      </c>
      <c r="M5559" s="38" t="n">
        <f aca="false">Sens!$M$5493*(1-tax)</f>
        <v>211.446331061647</v>
      </c>
    </row>
    <row r="5560" customFormat="false" ht="15" hidden="false" customHeight="false" outlineLevel="0" collapsed="false">
      <c r="A5560" s="5" t="s">
        <v>911</v>
      </c>
      <c r="B5560" s="0" t="s">
        <v>86</v>
      </c>
      <c r="H5560" s="38" t="n">
        <f aca="false">Sens!$H$5504</f>
        <v>84.3163410985152</v>
      </c>
      <c r="I5560" s="38" t="n">
        <f aca="false">Sens!$I$5504</f>
        <v>117.040344991004</v>
      </c>
      <c r="J5560" s="38" t="n">
        <f aca="false">Sens!$J$5504</f>
        <v>150.498981474685</v>
      </c>
      <c r="K5560" s="38" t="n">
        <f aca="false">Sens!$K$5504</f>
        <v>184.188121970284</v>
      </c>
      <c r="L5560" s="38" t="n">
        <f aca="false">Sens!$L$5504</f>
        <v>207.378648477454</v>
      </c>
      <c r="M5560" s="38" t="n">
        <f aca="false">Sens!$M$5504</f>
        <v>222.833725897691</v>
      </c>
    </row>
    <row r="5561" customFormat="false" ht="15" hidden="false" customHeight="false" outlineLevel="0" collapsed="false">
      <c r="A5561" s="5" t="s">
        <v>912</v>
      </c>
      <c r="B5561" s="0" t="s">
        <v>86</v>
      </c>
      <c r="H5561" s="38" t="n">
        <f aca="false">Sens!$H$5535</f>
        <v>273.372679834898</v>
      </c>
      <c r="I5561" s="38" t="n">
        <f aca="false">Sens!$I$5535</f>
        <v>286.981812228425</v>
      </c>
      <c r="J5561" s="38" t="n">
        <f aca="false">Sens!$J$5535</f>
        <v>299.316513378366</v>
      </c>
      <c r="K5561" s="38" t="n">
        <f aca="false">Sens!$K$5535</f>
        <v>248.27918920067</v>
      </c>
      <c r="L5561" s="38" t="n">
        <f aca="false">Sens!$L$5535</f>
        <v>229.140418237151</v>
      </c>
      <c r="M5561" s="38" t="n">
        <f aca="false">Sens!$M$5535</f>
        <v>233.957827108485</v>
      </c>
    </row>
    <row r="5562" customFormat="false" ht="15" hidden="false" customHeight="false" outlineLevel="0" collapsed="false">
      <c r="A5562" s="5" t="s">
        <v>913</v>
      </c>
      <c r="B5562" s="0" t="s">
        <v>86</v>
      </c>
      <c r="H5562" s="38" t="n">
        <f aca="false">Sens!$H$5536</f>
        <v>1.6</v>
      </c>
      <c r="I5562" s="38" t="n">
        <f aca="false">Sens!$I$5536</f>
        <v>1.6</v>
      </c>
      <c r="J5562" s="38" t="n">
        <f aca="false">Sens!$J$5536</f>
        <v>1.6</v>
      </c>
      <c r="K5562" s="38" t="n">
        <f aca="false">Sens!$K$5536</f>
        <v>1.6</v>
      </c>
      <c r="L5562" s="38" t="n">
        <f aca="false">Sens!$L$5536</f>
        <v>1.6</v>
      </c>
      <c r="M5562" s="38" t="n">
        <f aca="false">Sens!$M$5536</f>
        <v>1.6</v>
      </c>
    </row>
    <row r="5563" customFormat="false" ht="15" hidden="false" customHeight="false" outlineLevel="0" collapsed="false">
      <c r="A5563" s="5" t="s">
        <v>914</v>
      </c>
      <c r="B5563" s="0" t="s">
        <v>86</v>
      </c>
      <c r="H5563" s="38" t="n">
        <f aca="false">Sens!$H$5530</f>
        <v>11.2928295263397</v>
      </c>
      <c r="I5563" s="38" t="n">
        <f aca="false">Sens!$I$5530</f>
        <v>12.8091546115766</v>
      </c>
      <c r="J5563" s="38" t="n">
        <f aca="false">Sens!$J$5530</f>
        <v>14.2605653162668</v>
      </c>
      <c r="K5563" s="38" t="n">
        <f aca="false">Sens!$K$5530</f>
        <v>15.5293346306567</v>
      </c>
      <c r="L5563" s="38" t="n">
        <f aca="false">Sens!$L$5530</f>
        <v>16.7069448805781</v>
      </c>
      <c r="M5563" s="38" t="n">
        <f aca="false">Sens!$M$5530</f>
        <v>17.7976949013636</v>
      </c>
    </row>
    <row r="5564" customFormat="false" ht="17.15" hidden="false" customHeight="false" outlineLevel="0" collapsed="false">
      <c r="A5564" s="1" t="s">
        <v>915</v>
      </c>
      <c r="B5564" s="8" t="s">
        <v>86</v>
      </c>
      <c r="H5564" s="38" t="n">
        <f aca="false">Sens!$H$5559+Sens!$H$5560-Sens!$H$5561-Sens!$H$5562+Sens!$H$5563</f>
        <v>-61.930265786314</v>
      </c>
      <c r="I5564" s="38" t="n">
        <f aca="false">Sens!$I$5559+Sens!$I$5560-Sens!$I$5561-Sens!$I$5562+Sens!$I$5563</f>
        <v>-15.9032029587969</v>
      </c>
      <c r="J5564" s="38" t="n">
        <f aca="false">Sens!$J$5559+Sens!$J$5560-Sens!$J$5561-Sens!$J$5562+Sens!$J$5563</f>
        <v>30.8423086017711</v>
      </c>
      <c r="K5564" s="38" t="n">
        <f aca="false">Sens!$K$5559+Sens!$K$5560-Sens!$K$5561-Sens!$K$5562+Sens!$K$5563</f>
        <v>133.850099749689</v>
      </c>
      <c r="L5564" s="38" t="n">
        <f aca="false">Sens!$L$5559+Sens!$L$5560-Sens!$L$5561-Sens!$L$5562+Sens!$L$5563</f>
        <v>192.477791221214</v>
      </c>
      <c r="M5564" s="38" t="n">
        <f aca="false">Sens!$M$5559+Sens!$M$5560-Sens!$M$5561-Sens!$M$5562+Sens!$M$5563</f>
        <v>216.519924752217</v>
      </c>
    </row>
    <row r="5565" customFormat="false" ht="15" hidden="false" customHeight="false" outlineLevel="0" collapsed="false">
      <c r="A5565" s="5" t="s">
        <v>916</v>
      </c>
      <c r="B5565" s="0" t="s">
        <v>57</v>
      </c>
      <c r="H5565" s="40" t="n">
        <f aca="false">1/(1+wacc)^(2027-2026-0.5)</f>
        <v>0.947751320380232</v>
      </c>
      <c r="I5565" s="40" t="n">
        <f aca="false">1/(1+wacc)^(2028-2026-0.5)</f>
        <v>0.851301099754987</v>
      </c>
      <c r="J5565" s="40" t="n">
        <f aca="false">1/(1+wacc)^(2029-2026-0.5)</f>
        <v>0.764666370660713</v>
      </c>
      <c r="K5565" s="40" t="n">
        <f aca="false">1/(1+wacc)^(2030-2026-0.5)</f>
        <v>0.686848235703811</v>
      </c>
      <c r="L5565" s="40" t="n">
        <f aca="false">1/(1+wacc)^(2031-2026-0.5)</f>
        <v>0.616949452715975</v>
      </c>
      <c r="M5565" s="40" t="n">
        <f aca="false">1/(1+wacc)^(2032-2026-0.5)</f>
        <v>0.554164089562688</v>
      </c>
    </row>
    <row r="5566" customFormat="false" ht="15" hidden="false" customHeight="false" outlineLevel="0" collapsed="false">
      <c r="A5566" s="5" t="s">
        <v>917</v>
      </c>
      <c r="B5566" s="0" t="s">
        <v>86</v>
      </c>
      <c r="H5566" s="38" t="n">
        <f aca="false">Sens!$H$5564*Sens!$H$5565</f>
        <v>-58.6944911704778</v>
      </c>
      <c r="I5566" s="38" t="n">
        <f aca="false">Sens!$I$5564*Sens!$I$5565</f>
        <v>-13.5384141684505</v>
      </c>
      <c r="J5566" s="38" t="n">
        <f aca="false">Sens!$J$5564*Sens!$J$5565</f>
        <v>23.584076181314</v>
      </c>
      <c r="K5566" s="38" t="n">
        <f aca="false">Sens!$K$5564*Sens!$K$5565</f>
        <v>91.9347048618528</v>
      </c>
      <c r="L5566" s="38" t="n">
        <f aca="false">Sens!$L$5564*Sens!$L$5565</f>
        <v>118.749067953908</v>
      </c>
      <c r="M5566" s="38" t="n">
        <f aca="false">Sens!$M$5564*Sens!$M$5565</f>
        <v>119.987566972494</v>
      </c>
    </row>
    <row r="5567" customFormat="false" ht="15" hidden="false" customHeight="false" outlineLevel="0" collapsed="false">
      <c r="A5567" s="5" t="s">
        <v>918</v>
      </c>
      <c r="B5567" s="0" t="s">
        <v>86</v>
      </c>
      <c r="C5567" s="38" t="n">
        <f aca="false">SUM(Sens!$H$5566:$M$5566)</f>
        <v>282.02251063064</v>
      </c>
    </row>
    <row r="5568" customFormat="false" ht="17.15" hidden="false" customHeight="false" outlineLevel="0" collapsed="false">
      <c r="A5568" s="5" t="s">
        <v>919</v>
      </c>
      <c r="B5568" s="0" t="s">
        <v>86</v>
      </c>
      <c r="C5568" s="38" t="n">
        <f aca="false">Sens!$M$5559*(1+tg_lo)*(1-tg_lo/ronic)/(wacc-tg_lo)</f>
        <v>1903.62015623341</v>
      </c>
    </row>
    <row r="5569" customFormat="false" ht="15" hidden="false" customHeight="false" outlineLevel="0" collapsed="false">
      <c r="A5569" s="5" t="s">
        <v>920</v>
      </c>
      <c r="B5569" s="0" t="s">
        <v>86</v>
      </c>
      <c r="C5569" s="38" t="n">
        <f aca="false">Sens!$C$5568/(1+wacc)^6</f>
        <v>999.799861763248</v>
      </c>
    </row>
    <row r="5570" customFormat="false" ht="17.15" hidden="false" customHeight="false" outlineLevel="0" collapsed="false">
      <c r="A5570" s="5" t="s">
        <v>921</v>
      </c>
      <c r="B5570" s="0" t="s">
        <v>86</v>
      </c>
      <c r="C5570" s="38" t="n">
        <f aca="false">Sens!$C$5567+Sens!$C$5569</f>
        <v>1281.82237239389</v>
      </c>
    </row>
    <row r="5571" customFormat="false" ht="17.15" hidden="false" customHeight="false" outlineLevel="0" collapsed="false">
      <c r="A5571" s="5" t="s">
        <v>922</v>
      </c>
      <c r="B5571" s="0" t="s">
        <v>52</v>
      </c>
      <c r="C5571" s="13" t="n">
        <f aca="false">Sens!$C$5569/Sens!$C$5570</f>
        <v>0.779983157803726</v>
      </c>
    </row>
    <row r="5572" customFormat="false" ht="17.15" hidden="false" customHeight="false" outlineLevel="0" collapsed="false">
      <c r="A5572" s="5" t="s">
        <v>923</v>
      </c>
      <c r="B5572" s="0" t="s">
        <v>86</v>
      </c>
      <c r="C5572" s="38" t="n">
        <f aca="false">Sens!$G$5548+fin_debt</f>
        <v>96.5114130116072</v>
      </c>
    </row>
    <row r="5573" customFormat="false" ht="17.15" hidden="false" customHeight="false" outlineLevel="0" collapsed="false">
      <c r="A5573" s="5" t="s">
        <v>924</v>
      </c>
      <c r="B5573" s="0" t="s">
        <v>86</v>
      </c>
      <c r="C5573" s="38" t="n">
        <f aca="false">(ant_val*ant_sh+oai_val*oai_sh)*(1-liq_disc)</f>
        <v>178.944</v>
      </c>
    </row>
    <row r="5574" customFormat="false" ht="15" hidden="false" customHeight="false" outlineLevel="0" collapsed="false">
      <c r="A5574" s="5" t="s">
        <v>925</v>
      </c>
      <c r="B5574" s="0" t="s">
        <v>86</v>
      </c>
      <c r="C5574" s="38" t="n">
        <f aca="false">Sens!$C$5570-Sens!$C$5572+Sens!$C$5573</f>
        <v>1364.25495938228</v>
      </c>
    </row>
    <row r="5575" customFormat="false" ht="17.15" hidden="false" customHeight="false" outlineLevel="0" collapsed="false">
      <c r="A5575" s="5" t="s">
        <v>926</v>
      </c>
      <c r="B5575" s="0" t="s">
        <v>27</v>
      </c>
      <c r="C5575" s="30" t="n">
        <f aca="false">Sens!$C$5574/sh_out</f>
        <v>126.480182143991</v>
      </c>
    </row>
    <row r="5576" customFormat="false" ht="17.15" hidden="false" customHeight="false" outlineLevel="0" collapsed="false">
      <c r="A5576" s="1" t="s">
        <v>927</v>
      </c>
      <c r="B5576" s="8" t="s">
        <v>27</v>
      </c>
      <c r="C5576" s="30" t="n">
        <f aca="false">Sens!$C$5575*(1+ke)^tp_yf-dps*tp_yf</f>
        <v>138.542451216965</v>
      </c>
    </row>
    <row r="5577" customFormat="false" ht="17.15" hidden="false" customHeight="false" outlineLevel="0" collapsed="false">
      <c r="A5577" s="3" t="s">
        <v>928</v>
      </c>
    </row>
    <row r="5578" customFormat="false" ht="17.15" hidden="false" customHeight="false" outlineLevel="0" collapsed="false">
      <c r="A5578" s="5" t="s">
        <v>929</v>
      </c>
      <c r="B5578" s="0" t="s">
        <v>86</v>
      </c>
      <c r="C5578" s="38" t="n">
        <f aca="false">(1-tp_yf)*(Sens!$H$5505+Sens!$H$5529*Sens!$H$5371/Sens!$H$5446)+tp_yf*(Sens!$I$5505+Sens!$I$5529*Sens!$I$5371/Sens!$I$5446)</f>
        <v>59.634664536349</v>
      </c>
    </row>
    <row r="5579" customFormat="false" ht="15" hidden="false" customHeight="false" outlineLevel="0" collapsed="false">
      <c r="A5579" s="5" t="s">
        <v>930</v>
      </c>
      <c r="B5579" s="0" t="s">
        <v>57</v>
      </c>
      <c r="C5579" s="30" t="n">
        <f aca="false">m_ads*m_x</f>
        <v>9.11</v>
      </c>
    </row>
    <row r="5580" customFormat="false" ht="17.15" hidden="false" customHeight="false" outlineLevel="0" collapsed="false">
      <c r="A5580" s="5" t="s">
        <v>931</v>
      </c>
      <c r="B5580" s="0" t="s">
        <v>86</v>
      </c>
      <c r="C5580" s="38" t="n">
        <f aca="false">Sens!$C$5578*Sens!$C$5579</f>
        <v>543.271793926139</v>
      </c>
    </row>
    <row r="5581" customFormat="false" ht="17.15" hidden="false" customHeight="false" outlineLevel="0" collapsed="false">
      <c r="A5581" s="5" t="s">
        <v>932</v>
      </c>
      <c r="B5581" s="0" t="s">
        <v>86</v>
      </c>
      <c r="C5581" s="38" t="n">
        <f aca="false">(1-tp_yf)*(Sens!$H$5506+Sens!$H$5529*(Sens!$H$5378-Sens!$H$5371)/Sens!$H$5446+IF(internal_ai_reading=2,1,0)*(1-ext_sh)*Sens!$H$5408)+tp_yf*(Sens!$I$5506+Sens!$I$5529*(Sens!$I$5378-Sens!$I$5371)/Sens!$I$5446+IF(internal_ai_reading=2,1,0)*(1-ext_sh)*Sens!$I$5408)</f>
        <v>51.7770728324773</v>
      </c>
    </row>
    <row r="5582" customFormat="false" ht="17.15" hidden="false" customHeight="false" outlineLevel="0" collapsed="false">
      <c r="A5582" s="5" t="s">
        <v>933</v>
      </c>
      <c r="B5582" s="0" t="s">
        <v>57</v>
      </c>
      <c r="C5582" s="30" t="n">
        <f aca="false">m_retail*m_x</f>
        <v>17.72</v>
      </c>
    </row>
    <row r="5583" customFormat="false" ht="17.15" hidden="false" customHeight="false" outlineLevel="0" collapsed="false">
      <c r="A5583" s="5" t="s">
        <v>934</v>
      </c>
      <c r="B5583" s="0" t="s">
        <v>86</v>
      </c>
      <c r="C5583" s="38" t="n">
        <f aca="false">Sens!$C$5581*Sens!$C$5582</f>
        <v>917.489730591498</v>
      </c>
    </row>
    <row r="5584" customFormat="false" ht="17.15" hidden="false" customHeight="false" outlineLevel="0" collapsed="false">
      <c r="A5584" s="0" t="s">
        <v>935</v>
      </c>
      <c r="B5584" s="0" t="s">
        <v>86</v>
      </c>
      <c r="C5584" s="38" t="n">
        <f aca="false">(1-tp_yf)*(Sens!$H$5507+Sens!$H$5529*Sens!$H$5444/Sens!$H$5446)+tp_yf*(Sens!$I$5507+Sens!$I$5529*Sens!$I$5444/Sens!$I$5446)</f>
        <v>97.3363031479074</v>
      </c>
    </row>
    <row r="5585" customFormat="false" ht="17.15" hidden="false" customHeight="false" outlineLevel="0" collapsed="false">
      <c r="A5585" s="0" t="s">
        <v>936</v>
      </c>
      <c r="B5585" s="0" t="s">
        <v>57</v>
      </c>
      <c r="C5585" s="30" t="n">
        <f aca="false">m_cloud*m_x</f>
        <v>13.82</v>
      </c>
    </row>
    <row r="5586" customFormat="false" ht="17.15" hidden="false" customHeight="false" outlineLevel="0" collapsed="false">
      <c r="A5586" s="0" t="s">
        <v>937</v>
      </c>
      <c r="B5586" s="0" t="s">
        <v>86</v>
      </c>
      <c r="C5586" s="38" t="n">
        <f aca="false">Sens!$C$5584*Sens!$C$5585</f>
        <v>1345.18770950408</v>
      </c>
    </row>
    <row r="5587" customFormat="false" ht="17.15" hidden="false" customHeight="false" outlineLevel="0" collapsed="false">
      <c r="A5587" s="0" t="s">
        <v>938</v>
      </c>
      <c r="B5587" s="0" t="s">
        <v>86</v>
      </c>
      <c r="H5587" s="38" t="n">
        <f aca="false">Sens!$H$5425-tax*Sens!$H$5426-ext_sh*Sens!$H$5415</f>
        <v>-114.686944664267</v>
      </c>
      <c r="I5587" s="38" t="n">
        <f aca="false">Sens!$I$5425-tax*Sens!$I$5426-ext_sh*Sens!$I$5415</f>
        <v>-88.3950641557111</v>
      </c>
      <c r="J5587" s="38" t="n">
        <f aca="false">Sens!$J$5425-tax*Sens!$J$5426-ext_sh*Sens!$J$5415</f>
        <v>-61.1526151740695</v>
      </c>
      <c r="K5587" s="38" t="n">
        <f aca="false">Sens!$K$5425-tax*Sens!$K$5426-ext_sh*Sens!$K$5415</f>
        <v>12.0907188158706</v>
      </c>
      <c r="L5587" s="38" t="n">
        <f aca="false">Sens!$L$5425-tax*Sens!$L$5426-ext_sh*Sens!$L$5415</f>
        <v>50.296803352258</v>
      </c>
      <c r="M5587" s="38" t="n">
        <f aca="false">Sens!$M$5425-tax*Sens!$M$5426-ext_sh*Sens!$M$5415</f>
        <v>60.2059276321968</v>
      </c>
    </row>
    <row r="5588" customFormat="false" ht="17.15" hidden="false" customHeight="false" outlineLevel="0" collapsed="false">
      <c r="A5588" s="5" t="s">
        <v>939</v>
      </c>
      <c r="B5588" s="0" t="s">
        <v>86</v>
      </c>
      <c r="H5588" s="38" t="n">
        <f aca="false">Sens!$H$5587*Sens!$H$5565</f>
        <v>-108.694703235934</v>
      </c>
      <c r="I5588" s="38" t="n">
        <f aca="false">Sens!$I$5587*Sens!$I$5565</f>
        <v>-75.2508153286695</v>
      </c>
      <c r="J5588" s="38" t="n">
        <f aca="false">Sens!$J$5587*Sens!$J$5565</f>
        <v>-46.761348301567</v>
      </c>
      <c r="K5588" s="38" t="n">
        <f aca="false">Sens!$K$5587*Sens!$K$5565</f>
        <v>8.30448888707161</v>
      </c>
      <c r="L5588" s="38" t="n">
        <f aca="false">Sens!$L$5587*Sens!$L$5565</f>
        <v>31.0305853015386</v>
      </c>
      <c r="M5588" s="38" t="n">
        <f aca="false">Sens!$M$5587*Sens!$M$5565</f>
        <v>33.3639630725735</v>
      </c>
    </row>
    <row r="5589" customFormat="false" ht="17.15" hidden="false" customHeight="false" outlineLevel="0" collapsed="false">
      <c r="A5589" s="5" t="s">
        <v>940</v>
      </c>
      <c r="B5589" s="0" t="s">
        <v>86</v>
      </c>
      <c r="C5589" s="38" t="n">
        <f aca="false">Sens!$M$5426*(1-tax)*(1+tg_lo)*(1-tg_lo/ronic)/(wacc-tg_lo)</f>
        <v>351.839944942297</v>
      </c>
    </row>
    <row r="5590" customFormat="false" ht="17.15" hidden="false" customHeight="false" outlineLevel="0" collapsed="false">
      <c r="A5590" s="0" t="s">
        <v>941</v>
      </c>
      <c r="B5590" s="0" t="s">
        <v>86</v>
      </c>
      <c r="C5590" s="38" t="n">
        <f aca="false">(SUM(Sens!$H$5588:$M$5588)+Sens!$C$5589/(1+wacc)^6)*(1+wacc)^tp_yf</f>
        <v>29.2518000441473</v>
      </c>
    </row>
    <row r="5591" customFormat="false" ht="17.15" hidden="false" customHeight="false" outlineLevel="0" collapsed="false">
      <c r="A5591" s="5" t="s">
        <v>942</v>
      </c>
      <c r="B5591" s="0" t="s">
        <v>86</v>
      </c>
      <c r="C5591" s="38" t="n">
        <f aca="false">(1-tp_yf)*(Sens!$H$5508)+tp_yf*(Sens!$I$5508)</f>
        <v>74.6707041238437</v>
      </c>
    </row>
    <row r="5592" customFormat="false" ht="17.15" hidden="false" customHeight="false" outlineLevel="0" collapsed="false">
      <c r="A5592" s="5" t="s">
        <v>943</v>
      </c>
      <c r="B5592" s="0" t="s">
        <v>86</v>
      </c>
      <c r="C5592" s="38" t="n">
        <f aca="false">Sens!$C$5591*m_ai</f>
        <v>448.024224743062</v>
      </c>
    </row>
    <row r="5593" customFormat="false" ht="17.15" hidden="false" customHeight="false" outlineLevel="0" collapsed="false">
      <c r="A5593" s="0" t="s">
        <v>944</v>
      </c>
      <c r="B5593" s="0" t="s">
        <v>86</v>
      </c>
      <c r="C5593" s="38" t="n">
        <f aca="false">IF(ai_leg=1,Sens!$C$5590,Sens!$C$5592)</f>
        <v>29.2518000441473</v>
      </c>
    </row>
    <row r="5594" customFormat="false" ht="17.15" hidden="false" customHeight="false" outlineLevel="0" collapsed="false">
      <c r="A5594" s="5" t="s">
        <v>945</v>
      </c>
      <c r="B5594" s="0" t="s">
        <v>86</v>
      </c>
      <c r="C5594" s="38" t="n">
        <f aca="false">Sens!$C$5580+Sens!$C$5583+Sens!$C$5586+Sens!$C$5593</f>
        <v>2835.20103406587</v>
      </c>
    </row>
    <row r="5595" customFormat="false" ht="17.15" hidden="false" customHeight="false" outlineLevel="0" collapsed="false">
      <c r="A5595" s="5" t="s">
        <v>946</v>
      </c>
      <c r="B5595" s="0" t="s">
        <v>86</v>
      </c>
      <c r="C5595" s="38" t="n">
        <f aca="false">Sens!$H$5548+fin_debt</f>
        <v>150.504277655109</v>
      </c>
    </row>
    <row r="5596" customFormat="false" ht="15" hidden="false" customHeight="false" outlineLevel="0" collapsed="false">
      <c r="A5596" s="5" t="s">
        <v>947</v>
      </c>
      <c r="B5596" s="0" t="s">
        <v>86</v>
      </c>
      <c r="C5596" s="38" t="n">
        <f aca="false">Sens!$C$5594-Sens!$C$5595+Sens!$C$5573</f>
        <v>2863.64075641076</v>
      </c>
    </row>
    <row r="5597" customFormat="false" ht="15" hidden="false" customHeight="false" outlineLevel="0" collapsed="false">
      <c r="A5597" s="3" t="s">
        <v>948</v>
      </c>
      <c r="B5597" s="8" t="s">
        <v>27</v>
      </c>
      <c r="C5597" s="30" t="n">
        <f aca="false">Sens!$C$5596/sh_val</f>
        <v>259.615524672349</v>
      </c>
    </row>
    <row r="5598" customFormat="false" ht="17.15" hidden="false" customHeight="false" outlineLevel="0" collapsed="false">
      <c r="A5598" s="47" t="s">
        <v>949</v>
      </c>
      <c r="B5598" s="14" t="s">
        <v>27</v>
      </c>
      <c r="C5598" s="44" t="n">
        <f aca="false">w_dcf*Sens!$C$5576+(1-w_dcf)*Sens!$C$5597</f>
        <v>199.078987944657</v>
      </c>
      <c r="D5598" s="14"/>
      <c r="E5598" s="14"/>
      <c r="F5598" s="14"/>
      <c r="G5598" s="14"/>
      <c r="H5598" s="14"/>
      <c r="I5598" s="14"/>
      <c r="J5598" s="14"/>
      <c r="K5598" s="14"/>
      <c r="L5598" s="14"/>
      <c r="M5598" s="14"/>
      <c r="N5598" s="14"/>
      <c r="O5598" s="14"/>
    </row>
    <row r="5599" customFormat="false" ht="17.15" hidden="false" customHeight="false" outlineLevel="0" collapsed="false">
      <c r="A5599" s="5" t="s">
        <v>950</v>
      </c>
      <c r="B5599" s="0" t="s">
        <v>27</v>
      </c>
      <c r="C5599" s="30" t="n">
        <f aca="false">v022_wdcf*Sens!$C$5576+(1-v022_wdcf)*Sens!$C$5597</f>
        <v>205.132641617426</v>
      </c>
    </row>
    <row r="5600" customFormat="false" ht="17.15" hidden="false" customHeight="false" outlineLevel="0" collapsed="false">
      <c r="A5600" s="5" t="s">
        <v>951</v>
      </c>
      <c r="B5600" s="0" t="s">
        <v>27</v>
      </c>
      <c r="C5600" s="30" t="n">
        <f aca="false">(Sens!$C$5596-Sens!$C$5593+Sens!$C$5592)/sh_val</f>
        <v>297.581118824874</v>
      </c>
    </row>
    <row r="5603" customFormat="false" ht="19.4" hidden="false" customHeight="false" outlineLevel="0" collapsed="false">
      <c r="A5603" s="31" t="s">
        <v>1242</v>
      </c>
    </row>
    <row r="5604" customFormat="false" ht="17.15" hidden="false" customHeight="false" outlineLevel="0" collapsed="false">
      <c r="A5604" s="6" t="s">
        <v>16</v>
      </c>
      <c r="B5604" s="6" t="s">
        <v>17</v>
      </c>
      <c r="C5604" s="20" t="s">
        <v>494</v>
      </c>
      <c r="D5604" s="20" t="s">
        <v>495</v>
      </c>
      <c r="E5604" s="20" t="s">
        <v>577</v>
      </c>
      <c r="F5604" s="20" t="s">
        <v>578</v>
      </c>
      <c r="G5604" s="20" t="s">
        <v>579</v>
      </c>
      <c r="H5604" s="20" t="s">
        <v>580</v>
      </c>
      <c r="I5604" s="20" t="s">
        <v>581</v>
      </c>
      <c r="J5604" s="20" t="s">
        <v>582</v>
      </c>
      <c r="K5604" s="20" t="s">
        <v>583</v>
      </c>
      <c r="L5604" s="20" t="s">
        <v>584</v>
      </c>
      <c r="M5604" s="20" t="s">
        <v>585</v>
      </c>
      <c r="N5604" s="20" t="s">
        <v>586</v>
      </c>
      <c r="O5604" s="20" t="s">
        <v>587</v>
      </c>
      <c r="P5604" s="6" t="s">
        <v>23</v>
      </c>
      <c r="R5604" s="20" t="n">
        <v>2023</v>
      </c>
      <c r="S5604" s="20" t="n">
        <v>2024</v>
      </c>
      <c r="T5604" s="20" t="n">
        <v>2025</v>
      </c>
      <c r="U5604" s="20" t="n">
        <v>2026</v>
      </c>
      <c r="V5604" s="20" t="n">
        <v>2027</v>
      </c>
      <c r="W5604" s="20" t="n">
        <v>2028</v>
      </c>
      <c r="X5604" s="20" t="n">
        <v>2029</v>
      </c>
      <c r="Y5604" s="20" t="n">
        <v>2030</v>
      </c>
      <c r="Z5604" s="20" t="n">
        <v>2031</v>
      </c>
      <c r="AA5604" s="20" t="n">
        <v>2032</v>
      </c>
    </row>
    <row r="5605" customFormat="false" ht="17.15" hidden="false" customHeight="false" outlineLevel="0" collapsed="false">
      <c r="A5605" s="1" t="s">
        <v>660</v>
      </c>
    </row>
    <row r="5606" customFormat="false" ht="17.15" hidden="false" customHeight="false" outlineLevel="0" collapsed="false">
      <c r="A5606" s="0" t="s">
        <v>516</v>
      </c>
      <c r="B5606" s="0" t="s">
        <v>86</v>
      </c>
      <c r="C5606" s="38" t="n">
        <f aca="false">Q!$D$10</f>
        <v>247.029</v>
      </c>
      <c r="D5606" s="38" t="n">
        <f aca="false">Q!$E$10</f>
        <v>269.287</v>
      </c>
      <c r="E5606" s="38" t="n">
        <f aca="false">Q!$P$10</f>
        <v>134.686</v>
      </c>
      <c r="F5606" s="38" t="n">
        <f aca="false">Sens!$O$5606*(1+Sens!$F$5607)*Sens!$F$5618</f>
        <v>158.293876822267</v>
      </c>
      <c r="G5606" s="38" t="n">
        <f aca="false">Sens!$E$5606+Sens!$F$5606</f>
        <v>292.979876822267</v>
      </c>
      <c r="H5606" s="38" t="n">
        <f aca="false">Sens!$G$5606*(1+Sens!$H$5607)</f>
        <v>318.184543087396</v>
      </c>
      <c r="I5606" s="38" t="n">
        <f aca="false">Sens!$H$5606*(1+Sens!$I$5607)</f>
        <v>341.736278761793</v>
      </c>
      <c r="J5606" s="38" t="n">
        <f aca="false">Sens!$I$5606*(1+Sens!$J$5607)</f>
        <v>362.927192787048</v>
      </c>
      <c r="K5606" s="38" t="n">
        <f aca="false">Sens!$J$5606*(1+Sens!$K$5607)</f>
        <v>381.0735524264</v>
      </c>
      <c r="L5606" s="38" t="n">
        <f aca="false">Sens!$K$5606*(1+Sens!$L$5607)</f>
        <v>400.12723004772</v>
      </c>
      <c r="M5606" s="38" t="n">
        <f aca="false">Sens!$L$5606*(1+Sens!$M$5607)</f>
        <v>420.133591550106</v>
      </c>
      <c r="N5606" s="38" t="n">
        <f aca="false">Q!$N$10</f>
        <v>118.892</v>
      </c>
      <c r="O5606" s="38" t="n">
        <f aca="false">Q!$O$10</f>
        <v>150.395</v>
      </c>
      <c r="P5606" s="8" t="s">
        <v>661</v>
      </c>
    </row>
    <row r="5607" customFormat="false" ht="17.15" hidden="false" customHeight="false" outlineLevel="0" collapsed="false">
      <c r="A5607" s="0" t="s">
        <v>662</v>
      </c>
      <c r="B5607" s="0" t="s">
        <v>52</v>
      </c>
      <c r="E5607" s="13" t="n">
        <f aca="false">Sens!$E$5606/Sens!$N$5606-1</f>
        <v>0.132843252699929</v>
      </c>
      <c r="F5607" s="13" t="n">
        <f aca="false">Sens!$O$5606/(Q!$F$10+Q!$G$10)-1</f>
        <v>0.0980382135842941</v>
      </c>
      <c r="G5607" s="13" t="n">
        <f aca="false">Sens!$G$5606/Sens!$D$5606-1</f>
        <v>0.0879837378791657</v>
      </c>
      <c r="H5607" s="13" t="n">
        <f aca="false">Sens!$F$5607+(g_os-Sens!$F$5607)*1/4</f>
        <v>0.0860286601882206</v>
      </c>
      <c r="I5607" s="13" t="n">
        <f aca="false">Sens!$F$5607+(g_os-Sens!$F$5607)*2/4</f>
        <v>0.074019106792147</v>
      </c>
      <c r="J5607" s="13" t="n">
        <f aca="false">Sens!$F$5607+(g_os-Sens!$F$5607)*3/4</f>
        <v>0.0620095533960735</v>
      </c>
      <c r="K5607" s="13" t="n">
        <f aca="false">Sens!$F$5607+(g_os-Sens!$F$5607)*4/4</f>
        <v>0.05</v>
      </c>
      <c r="L5607" s="13" t="n">
        <f aca="false">g_os</f>
        <v>0.05</v>
      </c>
      <c r="M5607" s="13" t="n">
        <f aca="false">g_os</f>
        <v>0.05</v>
      </c>
      <c r="P5607" s="8" t="s">
        <v>663</v>
      </c>
    </row>
    <row r="5608" customFormat="false" ht="17.15" hidden="false" customHeight="false" outlineLevel="0" collapsed="false">
      <c r="A5608" s="0" t="s">
        <v>517</v>
      </c>
      <c r="B5608" s="0" t="s">
        <v>86</v>
      </c>
      <c r="C5608" s="38" t="n">
        <f aca="false">Q!$D$11</f>
        <v>21.215</v>
      </c>
      <c r="D5608" s="38" t="n">
        <f aca="false">Q!$E$11</f>
        <v>22.561</v>
      </c>
      <c r="E5608" s="38" t="n">
        <f aca="false">Q!$P$11</f>
        <v>11.579</v>
      </c>
      <c r="F5608" s="38" t="n">
        <f aca="false">Sens!$O$5608*(1+Sens!$F$5609)*Sens!$F$5618</f>
        <v>11.5938724610325</v>
      </c>
      <c r="G5608" s="38" t="n">
        <f aca="false">Sens!$E$5608+Sens!$F$5608</f>
        <v>23.1728724610325</v>
      </c>
      <c r="H5608" s="38" t="n">
        <f aca="false">Sens!$G$5608*(1+Sens!$H$5609)</f>
        <v>24.353392759506</v>
      </c>
      <c r="I5608" s="38" t="n">
        <f aca="false">Sens!$H$5608*(1+Sens!$I$5609)</f>
        <v>25.4240338872015</v>
      </c>
      <c r="J5608" s="38" t="n">
        <f aca="false">Sens!$I$5608*(1+Sens!$J$5609)</f>
        <v>26.3642491017174</v>
      </c>
      <c r="K5608" s="38" t="n">
        <f aca="false">Sens!$J$5608*(1+Sens!$K$5609)</f>
        <v>27.155176574769</v>
      </c>
      <c r="L5608" s="38" t="n">
        <f aca="false">Sens!$K$5608*(1+Sens!$L$5609)</f>
        <v>27.969831872012</v>
      </c>
      <c r="M5608" s="38" t="n">
        <f aca="false">Sens!$L$5608*(1+Sens!$M$5609)</f>
        <v>28.8089268281724</v>
      </c>
      <c r="N5608" s="38" t="n">
        <f aca="false">Q!$N$11</f>
        <v>11.128</v>
      </c>
      <c r="O5608" s="38" t="n">
        <f aca="false">Q!$O$11</f>
        <v>11.433</v>
      </c>
      <c r="P5608" s="8" t="s">
        <v>661</v>
      </c>
    </row>
    <row r="5609" customFormat="false" ht="17.15" hidden="false" customHeight="false" outlineLevel="0" collapsed="false">
      <c r="A5609" s="0" t="s">
        <v>664</v>
      </c>
      <c r="B5609" s="0" t="s">
        <v>52</v>
      </c>
      <c r="E5609" s="13" t="n">
        <f aca="false">Sens!$E$5608/Sens!$N$5608-1</f>
        <v>0.0405283968368082</v>
      </c>
      <c r="F5609" s="13" t="n">
        <f aca="false">Sens!$O$5608/(Q!$F$11+Q!$G$11)-1</f>
        <v>0.0579254187100955</v>
      </c>
      <c r="G5609" s="13" t="n">
        <f aca="false">Sens!$G$5608/Sens!$D$5608-1</f>
        <v>0.0271208040881397</v>
      </c>
      <c r="H5609" s="13" t="n">
        <f aca="false">Sens!$F$5609+(g_ps-Sens!$F$5609)*1/4</f>
        <v>0.0509440640325716</v>
      </c>
      <c r="I5609" s="13" t="n">
        <f aca="false">Sens!$F$5609+(g_ps-Sens!$F$5609)*2/4</f>
        <v>0.0439627093550477</v>
      </c>
      <c r="J5609" s="13" t="n">
        <f aca="false">Sens!$F$5609+(g_ps-Sens!$F$5609)*3/4</f>
        <v>0.0369813546775239</v>
      </c>
      <c r="K5609" s="13" t="n">
        <f aca="false">Sens!$F$5609+(g_ps-Sens!$F$5609)*4/4</f>
        <v>0.03</v>
      </c>
      <c r="L5609" s="13" t="n">
        <f aca="false">g_ps</f>
        <v>0.03</v>
      </c>
      <c r="M5609" s="13" t="n">
        <f aca="false">g_ps</f>
        <v>0.03</v>
      </c>
      <c r="P5609" s="8" t="s">
        <v>665</v>
      </c>
    </row>
    <row r="5610" customFormat="false" ht="17.15" hidden="false" customHeight="false" outlineLevel="0" collapsed="false">
      <c r="A5610" s="0" t="s">
        <v>518</v>
      </c>
      <c r="B5610" s="0" t="s">
        <v>86</v>
      </c>
      <c r="C5610" s="38" t="n">
        <f aca="false">Q!$D$12</f>
        <v>156.146</v>
      </c>
      <c r="D5610" s="38" t="n">
        <f aca="false">Q!$E$12</f>
        <v>172.162</v>
      </c>
      <c r="E5610" s="38" t="n">
        <f aca="false">Q!$P$12</f>
        <v>88.358</v>
      </c>
      <c r="F5610" s="38" t="n">
        <f aca="false">Sens!$O$5610*(1+Sens!$F$5611)*Sens!$F$5618</f>
        <v>102.004388260171</v>
      </c>
      <c r="G5610" s="38" t="n">
        <f aca="false">Sens!$E$5610+Sens!$F$5610</f>
        <v>190.362388260171</v>
      </c>
      <c r="H5610" s="38" t="n">
        <f aca="false">Sens!$G$5610*(1+Sens!$H$5611)</f>
        <v>210.343106588311</v>
      </c>
      <c r="I5610" s="38" t="n">
        <f aca="false">Sens!$H$5610*(1+Sens!$I$5611)</f>
        <v>229.969728494648</v>
      </c>
      <c r="J5610" s="38" t="n">
        <f aca="false">Sens!$I$5610*(1+Sens!$J$5611)</f>
        <v>248.747636972598</v>
      </c>
      <c r="K5610" s="38" t="n">
        <f aca="false">Sens!$J$5610*(1+Sens!$K$5611)</f>
        <v>266.15997156068</v>
      </c>
      <c r="L5610" s="38" t="n">
        <f aca="false">Sens!$K$5610*(1+Sens!$L$5611)</f>
        <v>284.791169569927</v>
      </c>
      <c r="M5610" s="38" t="n">
        <f aca="false">Sens!$L$5610*(1+Sens!$M$5611)</f>
        <v>304.726551439822</v>
      </c>
      <c r="N5610" s="38" t="n">
        <f aca="false">Q!$N$12</f>
        <v>76.86</v>
      </c>
      <c r="O5610" s="38" t="n">
        <f aca="false">Q!$O$12</f>
        <v>95.302</v>
      </c>
      <c r="P5610" s="8" t="s">
        <v>661</v>
      </c>
    </row>
    <row r="5611" customFormat="false" ht="17.15" hidden="false" customHeight="false" outlineLevel="0" collapsed="false">
      <c r="A5611" s="0" t="s">
        <v>666</v>
      </c>
      <c r="B5611" s="0" t="s">
        <v>52</v>
      </c>
      <c r="E5611" s="13" t="n">
        <f aca="false">Sens!$E$5610/Sens!$N$5610-1</f>
        <v>0.1495966692688</v>
      </c>
      <c r="F5611" s="13" t="n">
        <f aca="false">Sens!$O$5610/(Q!$F$12+Q!$G$12)-1</f>
        <v>0.11661530890813</v>
      </c>
      <c r="G5611" s="13" t="n">
        <f aca="false">Sens!$G$5610/Sens!$D$5610-1</f>
        <v>0.105716640490767</v>
      </c>
      <c r="H5611" s="13" t="n">
        <f aca="false">Sens!$F$5611+(g_sp-Sens!$F$5611)*1/4</f>
        <v>0.104961481681098</v>
      </c>
      <c r="I5611" s="13" t="n">
        <f aca="false">Sens!$F$5611+(g_sp-Sens!$F$5611)*2/4</f>
        <v>0.0933076544540651</v>
      </c>
      <c r="J5611" s="13" t="n">
        <f aca="false">Sens!$F$5611+(g_sp-Sens!$F$5611)*3/4</f>
        <v>0.0816538272270325</v>
      </c>
      <c r="K5611" s="13" t="n">
        <f aca="false">Sens!$F$5611+(g_sp-Sens!$F$5611)*4/4</f>
        <v>0.07</v>
      </c>
      <c r="L5611" s="13" t="n">
        <f aca="false">g_sp</f>
        <v>0.07</v>
      </c>
      <c r="M5611" s="13" t="n">
        <f aca="false">g_sp</f>
        <v>0.07</v>
      </c>
      <c r="P5611" s="8" t="s">
        <v>667</v>
      </c>
    </row>
    <row r="5612" customFormat="false" ht="17.15" hidden="false" customHeight="false" outlineLevel="0" collapsed="false">
      <c r="A5612" s="0" t="s">
        <v>519</v>
      </c>
      <c r="B5612" s="0" t="s">
        <v>86</v>
      </c>
      <c r="C5612" s="38" t="n">
        <f aca="false">Q!$D$13</f>
        <v>56.214</v>
      </c>
      <c r="D5612" s="38" t="n">
        <f aca="false">Q!$E$13</f>
        <v>68.635</v>
      </c>
      <c r="E5612" s="38" t="n">
        <f aca="false">Q!$P$13</f>
        <v>37.052</v>
      </c>
      <c r="F5612" s="38" t="n">
        <f aca="false">Sens!$O$5612*(1+Sens!$F$5613)*Sens!$F$5618</f>
        <v>46.1572219944148</v>
      </c>
      <c r="G5612" s="38" t="n">
        <f aca="false">Sens!$E$5612+Sens!$F$5612</f>
        <v>83.2092219944148</v>
      </c>
      <c r="H5612" s="38" t="n">
        <f aca="false">Sens!$G$5612*(1+Sens!$H$5613)</f>
        <v>99.8969223878976</v>
      </c>
      <c r="I5612" s="38" t="n">
        <f aca="false">Sens!$H$5612*(1+Sens!$I$5613)</f>
        <v>116.583111095496</v>
      </c>
      <c r="J5612" s="38" t="n">
        <f aca="false">Sens!$I$5612*(1+Sens!$J$5613)</f>
        <v>132.148941941952</v>
      </c>
      <c r="K5612" s="38" t="n">
        <f aca="false">Sens!$J$5612*(1+Sens!$K$5613)</f>
        <v>145.363836136147</v>
      </c>
      <c r="L5612" s="38" t="n">
        <f aca="false">Sens!$K$5612*(1+Sens!$L$5613)</f>
        <v>159.900219749762</v>
      </c>
      <c r="M5612" s="38" t="n">
        <f aca="false">Sens!$L$5612*(1+Sens!$M$5613)</f>
        <v>175.890241724738</v>
      </c>
      <c r="N5612" s="38" t="n">
        <f aca="false">Q!$N$13</f>
        <v>29.615</v>
      </c>
      <c r="O5612" s="38" t="n">
        <f aca="false">Q!$O$13</f>
        <v>39.02</v>
      </c>
      <c r="P5612" s="8" t="s">
        <v>661</v>
      </c>
    </row>
    <row r="5613" customFormat="false" ht="17.15" hidden="false" customHeight="false" outlineLevel="0" collapsed="false">
      <c r="A5613" s="0" t="s">
        <v>668</v>
      </c>
      <c r="B5613" s="0" t="s">
        <v>52</v>
      </c>
      <c r="E5613" s="13" t="n">
        <f aca="false">Sens!$E$5612/Sens!$N$5612-1</f>
        <v>0.25112274185379</v>
      </c>
      <c r="F5613" s="13" t="n">
        <f aca="false">Sens!$O$5612/(Q!$F$13+Q!$G$13)-1</f>
        <v>0.234068123596572</v>
      </c>
      <c r="G5613" s="13" t="n">
        <f aca="false">Sens!$G$5612/Sens!$D$5612-1</f>
        <v>0.212343876949294</v>
      </c>
      <c r="H5613" s="13" t="n">
        <f aca="false">Sens!$F$5613+(g_ad-Sens!$F$5613)*1/4</f>
        <v>0.200551092697429</v>
      </c>
      <c r="I5613" s="13" t="n">
        <f aca="false">Sens!$F$5613+(g_ad-Sens!$F$5613)*2/4</f>
        <v>0.167034061798286</v>
      </c>
      <c r="J5613" s="13" t="n">
        <f aca="false">Sens!$F$5613+(g_ad-Sens!$F$5613)*3/4</f>
        <v>0.133517030899143</v>
      </c>
      <c r="K5613" s="13" t="n">
        <f aca="false">Sens!$F$5613+(g_ad-Sens!$F$5613)*4/4</f>
        <v>0.1</v>
      </c>
      <c r="L5613" s="13" t="n">
        <f aca="false">g_ad</f>
        <v>0.1</v>
      </c>
      <c r="M5613" s="13" t="n">
        <f aca="false">g_ad</f>
        <v>0.1</v>
      </c>
      <c r="P5613" s="8" t="s">
        <v>669</v>
      </c>
    </row>
    <row r="5614" customFormat="false" ht="17.15" hidden="false" customHeight="false" outlineLevel="0" collapsed="false">
      <c r="A5614" s="0" t="s">
        <v>520</v>
      </c>
      <c r="B5614" s="0" t="s">
        <v>86</v>
      </c>
      <c r="C5614" s="38" t="n">
        <f aca="false">Q!$D$14</f>
        <v>44.374</v>
      </c>
      <c r="D5614" s="38" t="n">
        <f aca="false">Q!$E$14</f>
        <v>49.619</v>
      </c>
      <c r="E5614" s="38" t="n">
        <f aca="false">Q!$P$14</f>
        <v>27.157</v>
      </c>
      <c r="F5614" s="38" t="n">
        <f aca="false">Sens!$O$5614*(1+Sens!$F$5615)*Sens!$F$5618</f>
        <v>27.7764165988154</v>
      </c>
      <c r="G5614" s="38" t="n">
        <f aca="false">Sens!$E$5614+Sens!$F$5614</f>
        <v>54.9334165988154</v>
      </c>
      <c r="H5614" s="38" t="n">
        <f aca="false">Sens!$G$5614*(1+Sens!$H$5615)</f>
        <v>61.1564112561829</v>
      </c>
      <c r="I5614" s="38" t="n">
        <f aca="false">Sens!$H$5614*(1+Sens!$I$5615)</f>
        <v>67.2020282103945</v>
      </c>
      <c r="J5614" s="38" t="n">
        <f aca="false">Sens!$I$5614*(1+Sens!$J$5615)</f>
        <v>72.8757274028885</v>
      </c>
      <c r="K5614" s="38" t="n">
        <f aca="false">Sens!$J$5614*(1+Sens!$K$5615)</f>
        <v>77.9770283210907</v>
      </c>
      <c r="L5614" s="38" t="n">
        <f aca="false">Sens!$K$5614*(1+Sens!$L$5615)</f>
        <v>83.4354203035671</v>
      </c>
      <c r="M5614" s="38" t="n">
        <f aca="false">Sens!$L$5614*(1+Sens!$M$5615)</f>
        <v>89.2758997248168</v>
      </c>
      <c r="N5614" s="38" t="n">
        <f aca="false">Q!$N$14</f>
        <v>23.923</v>
      </c>
      <c r="O5614" s="38" t="n">
        <f aca="false">Q!$O$14</f>
        <v>25.696</v>
      </c>
      <c r="P5614" s="8" t="s">
        <v>661</v>
      </c>
    </row>
    <row r="5615" customFormat="false" ht="17.15" hidden="false" customHeight="false" outlineLevel="0" collapsed="false">
      <c r="A5615" s="0" t="s">
        <v>670</v>
      </c>
      <c r="B5615" s="0" t="s">
        <v>52</v>
      </c>
      <c r="E5615" s="13" t="n">
        <f aca="false">Sens!$E$5614/Sens!$N$5614-1</f>
        <v>0.135183714417088</v>
      </c>
      <c r="F5615" s="13" t="n">
        <f aca="false">Sens!$O$5614/(Q!$F$14+Q!$G$14)-1</f>
        <v>0.127709997366804</v>
      </c>
      <c r="G5615" s="13" t="n">
        <f aca="false">Sens!$G$5614/Sens!$D$5614-1</f>
        <v>0.107104468022641</v>
      </c>
      <c r="H5615" s="13" t="n">
        <f aca="false">Sens!$F$5615+(g_sub-Sens!$F$5615)*1/4</f>
        <v>0.113282498025103</v>
      </c>
      <c r="I5615" s="13" t="n">
        <f aca="false">Sens!$F$5615+(g_sub-Sens!$F$5615)*2/4</f>
        <v>0.0988549986834021</v>
      </c>
      <c r="J5615" s="13" t="n">
        <f aca="false">Sens!$F$5615+(g_sub-Sens!$F$5615)*3/4</f>
        <v>0.084427499341701</v>
      </c>
      <c r="K5615" s="13" t="n">
        <f aca="false">Sens!$F$5615+(g_sub-Sens!$F$5615)*4/4</f>
        <v>0.07</v>
      </c>
      <c r="L5615" s="13" t="n">
        <f aca="false">g_sub</f>
        <v>0.07</v>
      </c>
      <c r="M5615" s="13" t="n">
        <f aca="false">g_sub</f>
        <v>0.07</v>
      </c>
      <c r="P5615" s="8" t="s">
        <v>671</v>
      </c>
    </row>
    <row r="5616" customFormat="false" ht="17.15" hidden="false" customHeight="false" outlineLevel="0" collapsed="false">
      <c r="A5616" s="0" t="s">
        <v>521</v>
      </c>
      <c r="B5616" s="0" t="s">
        <v>86</v>
      </c>
      <c r="C5616" s="38" t="n">
        <f aca="false">Q!$D$15</f>
        <v>5.425</v>
      </c>
      <c r="D5616" s="38" t="n">
        <f aca="false">Q!$E$15</f>
        <v>5.935</v>
      </c>
      <c r="E5616" s="38" t="n">
        <f aca="false">Q!$P$15</f>
        <v>3.474</v>
      </c>
      <c r="F5616" s="38" t="n">
        <f aca="false">Sens!$O$5616*(1+Sens!$F$5617)*Sens!$F$5618</f>
        <v>3.22246550883619</v>
      </c>
      <c r="G5616" s="38" t="n">
        <f aca="false">Sens!$E$5616+Sens!$F$5616</f>
        <v>6.69646550883619</v>
      </c>
      <c r="H5616" s="38" t="n">
        <f aca="false">Sens!$G$5616*(1+Sens!$H$5617)</f>
        <v>7.16251344209196</v>
      </c>
      <c r="I5616" s="38" t="n">
        <f aca="false">Sens!$H$5616*(1+Sens!$I$5617)</f>
        <v>7.61421070299826</v>
      </c>
      <c r="J5616" s="38" t="n">
        <f aca="false">Sens!$I$5616*(1+Sens!$J$5617)</f>
        <v>8.04465753523932</v>
      </c>
      <c r="K5616" s="38" t="n">
        <f aca="false">Sens!$J$5616*(1+Sens!$K$5617)</f>
        <v>8.44689041200128</v>
      </c>
      <c r="L5616" s="38" t="n">
        <f aca="false">Sens!$K$5616*(1+Sens!$L$5617)</f>
        <v>8.86923493260135</v>
      </c>
      <c r="M5616" s="38" t="n">
        <f aca="false">Sens!$L$5616*(1+Sens!$M$5617)</f>
        <v>9.31269667923142</v>
      </c>
      <c r="N5616" s="38" t="n">
        <f aca="false">Q!$N$15</f>
        <v>2.811</v>
      </c>
      <c r="O5616" s="38" t="n">
        <f aca="false">Q!$O$15</f>
        <v>3.124</v>
      </c>
      <c r="P5616" s="8" t="s">
        <v>661</v>
      </c>
    </row>
    <row r="5617" customFormat="false" ht="17.15" hidden="false" customHeight="false" outlineLevel="0" collapsed="false">
      <c r="A5617" s="0" t="s">
        <v>672</v>
      </c>
      <c r="B5617" s="0" t="s">
        <v>52</v>
      </c>
      <c r="E5617" s="13" t="n">
        <f aca="false">Sens!$E$5616/Sens!$N$5616-1</f>
        <v>0.235859124866596</v>
      </c>
      <c r="F5617" s="13" t="n">
        <f aca="false">Sens!$O$5616/(Q!$F$15+Q!$G$15)-1</f>
        <v>0.0761281433000345</v>
      </c>
      <c r="G5617" s="13" t="n">
        <f aca="false">Sens!$G$5616/Sens!$D$5616-1</f>
        <v>0.128300843948811</v>
      </c>
      <c r="H5617" s="13" t="n">
        <f aca="false">Sens!$F$5617+(g_ot-Sens!$F$5617)*1/4</f>
        <v>0.0695961074750259</v>
      </c>
      <c r="I5617" s="13" t="n">
        <f aca="false">Sens!$F$5617+(g_ot-Sens!$F$5617)*2/4</f>
        <v>0.0630640716500172</v>
      </c>
      <c r="J5617" s="13" t="n">
        <f aca="false">Sens!$F$5617+(g_ot-Sens!$F$5617)*3/4</f>
        <v>0.0565320358250086</v>
      </c>
      <c r="K5617" s="13" t="n">
        <f aca="false">Sens!$F$5617+(g_ot-Sens!$F$5617)*4/4</f>
        <v>0.05</v>
      </c>
      <c r="L5617" s="13" t="n">
        <f aca="false">g_ot</f>
        <v>0.05</v>
      </c>
      <c r="M5617" s="13" t="n">
        <f aca="false">g_ot</f>
        <v>0.05</v>
      </c>
      <c r="P5617" s="8" t="s">
        <v>673</v>
      </c>
    </row>
    <row r="5618" customFormat="false" ht="17.15" hidden="false" customHeight="false" outlineLevel="0" collapsed="false">
      <c r="A5618" s="0" t="s">
        <v>674</v>
      </c>
      <c r="B5618" s="0" t="s">
        <v>57</v>
      </c>
      <c r="F5618" s="40" t="n">
        <f aca="false">(g26q3_mid*Q!$O$8/Q!$J$8-Sens!$F$5647-Sens!$F$5651)/(Sens!$O$5606*(1+Sens!$F$5607)+Sens!$O$5608*(1+Sens!$F$5609)+Sens!$O$5610*(1+Sens!$F$5611)+Sens!$O$5612*(1+Sens!$F$5613)+Sens!$O$5614*(1+Sens!$F$5615)+Sens!$O$5616*(1+Sens!$F$5617))</f>
        <v>0.958546670622329</v>
      </c>
      <c r="P5618" s="8" t="s">
        <v>675</v>
      </c>
    </row>
    <row r="5619" customFormat="false" ht="17.15" hidden="false" customHeight="false" outlineLevel="0" collapsed="false">
      <c r="A5619" s="3" t="s">
        <v>676</v>
      </c>
      <c r="B5619" s="8" t="s">
        <v>86</v>
      </c>
      <c r="C5619" s="38" t="n">
        <f aca="false">Sens!$C$5606+Sens!$C$5608+Sens!$C$5610+Sens!$C$5612+Sens!$C$5614+Sens!$C$5616</f>
        <v>530.403</v>
      </c>
      <c r="D5619" s="38" t="n">
        <f aca="false">Sens!$D$5606+Sens!$D$5608+Sens!$D$5610+Sens!$D$5612+Sens!$D$5614+Sens!$D$5616</f>
        <v>588.199</v>
      </c>
      <c r="E5619" s="38" t="n">
        <f aca="false">Sens!$E$5606+Sens!$E$5608+Sens!$E$5610+Sens!$E$5612+Sens!$E$5614+Sens!$E$5616</f>
        <v>302.306</v>
      </c>
      <c r="F5619" s="38" t="n">
        <f aca="false">Sens!$F$5606+Sens!$F$5608+Sens!$F$5610+Sens!$F$5612+Sens!$F$5614+Sens!$F$5616</f>
        <v>349.048241645537</v>
      </c>
      <c r="G5619" s="38" t="n">
        <f aca="false">Sens!$G$5606+Sens!$G$5608+Sens!$G$5610+Sens!$G$5612+Sens!$G$5614+Sens!$G$5616</f>
        <v>651.354241645537</v>
      </c>
      <c r="H5619" s="38" t="n">
        <f aca="false">Sens!$H$5606+Sens!$H$5608+Sens!$H$5610+Sens!$H$5612+Sens!$H$5614+Sens!$H$5616</f>
        <v>721.096889521386</v>
      </c>
      <c r="I5619" s="38" t="n">
        <f aca="false">Sens!$I$5606+Sens!$I$5608+Sens!$I$5610+Sens!$I$5612+Sens!$I$5614+Sens!$I$5616</f>
        <v>788.529391152531</v>
      </c>
      <c r="J5619" s="38" t="n">
        <f aca="false">Sens!$J$5606+Sens!$J$5608+Sens!$J$5610+Sens!$J$5612+Sens!$J$5614+Sens!$J$5616</f>
        <v>851.108405741443</v>
      </c>
      <c r="K5619" s="38" t="n">
        <f aca="false">Sens!$K$5606+Sens!$K$5608+Sens!$K$5610+Sens!$K$5612+Sens!$K$5614+Sens!$K$5616</f>
        <v>906.176455431088</v>
      </c>
      <c r="L5619" s="38" t="n">
        <f aca="false">Sens!$L$5606+Sens!$L$5608+Sens!$L$5610+Sens!$L$5612+Sens!$L$5614+Sens!$L$5616</f>
        <v>965.093106475589</v>
      </c>
      <c r="M5619" s="38" t="n">
        <f aca="false">Sens!$M$5606+Sens!$M$5608+Sens!$M$5610+Sens!$M$5612+Sens!$M$5614+Sens!$M$5616</f>
        <v>1028.14790794689</v>
      </c>
      <c r="N5619" s="38" t="n">
        <f aca="false">Sens!$N$5606+Sens!$N$5608+Sens!$N$5610+Sens!$N$5612+Sens!$N$5614+Sens!$N$5616</f>
        <v>263.229</v>
      </c>
      <c r="O5619" s="38" t="n">
        <f aca="false">Sens!$O$5606+Sens!$O$5608+Sens!$O$5610+Sens!$O$5612+Sens!$O$5614+Sens!$O$5616</f>
        <v>324.97</v>
      </c>
    </row>
    <row r="5620" customFormat="false" ht="17.15" hidden="false" customHeight="false" outlineLevel="0" collapsed="false">
      <c r="A5620" s="5" t="s">
        <v>677</v>
      </c>
      <c r="B5620" s="0" t="s">
        <v>52</v>
      </c>
      <c r="C5620" s="13" t="n">
        <f aca="false">Q!$D$5/(Q!$D$5+Q!$D$6)</f>
        <v>0.730570905519011</v>
      </c>
      <c r="D5620" s="13" t="n">
        <f aca="false">Q!$E$5/(Q!$E$5+Q!$E$6)</f>
        <v>0.724763217890544</v>
      </c>
      <c r="E5620" s="13" t="n">
        <f aca="false">Q!$P$5/(Q!$P$5+Q!$P$6)</f>
        <v>0.728797972914861</v>
      </c>
      <c r="F5620" s="13" t="n">
        <f aca="false">Sens!$O$5620</f>
        <v>0.718066283041511</v>
      </c>
      <c r="G5620" s="13" t="n">
        <f aca="false">Sens!$G$5621/Sens!$G$5619</f>
        <v>0.723047066202847</v>
      </c>
      <c r="H5620" s="13" t="n">
        <f aca="false">Sens!$G$5620</f>
        <v>0.723047066202847</v>
      </c>
      <c r="I5620" s="13" t="n">
        <f aca="false">Sens!$G$5620</f>
        <v>0.723047066202847</v>
      </c>
      <c r="J5620" s="13" t="n">
        <f aca="false">Sens!$G$5620</f>
        <v>0.723047066202847</v>
      </c>
      <c r="K5620" s="13" t="n">
        <f aca="false">Sens!$G$5620</f>
        <v>0.723047066202847</v>
      </c>
      <c r="L5620" s="13" t="n">
        <f aca="false">Sens!$G$5620</f>
        <v>0.723047066202847</v>
      </c>
      <c r="M5620" s="13" t="n">
        <f aca="false">Sens!$G$5620</f>
        <v>0.723047066202847</v>
      </c>
      <c r="N5620" s="13" t="n">
        <f aca="false">Q!$N$5/(Q!$N$5+Q!$N$6)</f>
        <v>0.733030935041352</v>
      </c>
      <c r="O5620" s="13" t="n">
        <f aca="false">Q!$O$5/(Q!$O$5+Q!$O$6)</f>
        <v>0.718066283041511</v>
      </c>
      <c r="P5620" s="8" t="s">
        <v>678</v>
      </c>
    </row>
    <row r="5621" customFormat="false" ht="17.15" hidden="false" customHeight="false" outlineLevel="0" collapsed="false">
      <c r="A5621" s="1" t="s">
        <v>509</v>
      </c>
      <c r="B5621" s="8" t="s">
        <v>86</v>
      </c>
      <c r="C5621" s="38" t="n">
        <f aca="false">Q!$D$5</f>
        <v>387.497</v>
      </c>
      <c r="D5621" s="38" t="n">
        <f aca="false">Q!$E$5</f>
        <v>426.305</v>
      </c>
      <c r="E5621" s="38" t="n">
        <f aca="false">Q!$P$5</f>
        <v>220.32</v>
      </c>
      <c r="F5621" s="38" t="n">
        <f aca="false">Sens!$F$5619*Sens!$F$5620</f>
        <v>250.639773480586</v>
      </c>
      <c r="G5621" s="38" t="n">
        <f aca="false">Sens!$E$5621+Sens!$F$5621</f>
        <v>470.959773480586</v>
      </c>
      <c r="H5621" s="38" t="n">
        <f aca="false">Sens!$H$5619*Sens!$H$5620</f>
        <v>521.386990416437</v>
      </c>
      <c r="I5621" s="38" t="n">
        <f aca="false">Sens!$I$5619*Sens!$I$5620</f>
        <v>570.143862887555</v>
      </c>
      <c r="J5621" s="38" t="n">
        <f aca="false">Sens!$J$5619*Sens!$J$5620</f>
        <v>615.391435791933</v>
      </c>
      <c r="K5621" s="38" t="n">
        <f aca="false">Sens!$K$5619*Sens!$K$5620</f>
        <v>655.208227561543</v>
      </c>
      <c r="L5621" s="38" t="n">
        <f aca="false">Sens!$L$5619*Sens!$L$5620</f>
        <v>697.807739249767</v>
      </c>
      <c r="M5621" s="38" t="n">
        <f aca="false">Sens!$M$5619*Sens!$M$5620</f>
        <v>743.399328463592</v>
      </c>
      <c r="N5621" s="38" t="n">
        <f aca="false">Q!$N$5</f>
        <v>192.955</v>
      </c>
      <c r="O5621" s="38" t="n">
        <f aca="false">Q!$O$5</f>
        <v>233.35</v>
      </c>
      <c r="P5621" s="5" t="s">
        <v>679</v>
      </c>
    </row>
    <row r="5622" customFormat="false" ht="17.15" hidden="false" customHeight="false" outlineLevel="0" collapsed="false">
      <c r="A5622" s="1" t="s">
        <v>512</v>
      </c>
      <c r="B5622" s="8" t="s">
        <v>86</v>
      </c>
      <c r="C5622" s="38" t="n">
        <f aca="false">Q!$D$6</f>
        <v>142.906</v>
      </c>
      <c r="D5622" s="38" t="n">
        <f aca="false">Q!$E$6</f>
        <v>161.894</v>
      </c>
      <c r="E5622" s="38" t="n">
        <f aca="false">Q!$P$6</f>
        <v>81.986</v>
      </c>
      <c r="F5622" s="38" t="n">
        <f aca="false">Sens!$F$5619*(1-Sens!$F$5620)</f>
        <v>98.408468164951</v>
      </c>
      <c r="G5622" s="38" t="n">
        <f aca="false">Sens!$E$5622+Sens!$F$5622</f>
        <v>180.394468164951</v>
      </c>
      <c r="H5622" s="38" t="n">
        <f aca="false">Sens!$H$5619*(1-Sens!$H$5620)</f>
        <v>199.709899104949</v>
      </c>
      <c r="I5622" s="38" t="n">
        <f aca="false">Sens!$I$5619*(1-Sens!$I$5620)</f>
        <v>218.385528264976</v>
      </c>
      <c r="J5622" s="38" t="n">
        <f aca="false">Sens!$J$5619*(1-Sens!$J$5620)</f>
        <v>235.71696994951</v>
      </c>
      <c r="K5622" s="38" t="n">
        <f aca="false">Sens!$K$5619*(1-Sens!$K$5620)</f>
        <v>250.968227869545</v>
      </c>
      <c r="L5622" s="38" t="n">
        <f aca="false">Sens!$L$5619*(1-Sens!$L$5620)</f>
        <v>267.285367225822</v>
      </c>
      <c r="M5622" s="38" t="n">
        <f aca="false">Sens!$M$5619*(1-Sens!$M$5620)</f>
        <v>284.748579483295</v>
      </c>
      <c r="N5622" s="38" t="n">
        <f aca="false">Q!$N$6</f>
        <v>70.274</v>
      </c>
      <c r="O5622" s="38" t="n">
        <f aca="false">Q!$O$6</f>
        <v>91.62</v>
      </c>
      <c r="P5622" s="5" t="s">
        <v>680</v>
      </c>
    </row>
    <row r="5623" customFormat="false" ht="17.15" hidden="false" customHeight="false" outlineLevel="0" collapsed="false">
      <c r="A5623" s="5" t="s">
        <v>681</v>
      </c>
      <c r="B5623" s="0" t="s">
        <v>86</v>
      </c>
      <c r="C5623" s="38" t="n">
        <f aca="false">Sens!$C$5612*Sens!$C$5620</f>
        <v>41.0683128828457</v>
      </c>
      <c r="D5623" s="38" t="n">
        <f aca="false">Sens!$D$5612*Sens!$D$5620</f>
        <v>49.7441234599175</v>
      </c>
      <c r="E5623" s="38" t="n">
        <f aca="false">Sens!$E$5612*Sens!$E$5620</f>
        <v>27.0034224924414</v>
      </c>
      <c r="F5623" s="38" t="n">
        <f aca="false">Sens!$F$5612*Sens!$F$5620</f>
        <v>33.1439448330513</v>
      </c>
      <c r="G5623" s="38" t="n">
        <f aca="false">Sens!$G$5612*Sens!$G$5620</f>
        <v>60.164183844083</v>
      </c>
      <c r="H5623" s="38" t="n">
        <f aca="false">Sens!$H$5612*Sens!$H$5620</f>
        <v>72.2301766552629</v>
      </c>
      <c r="I5623" s="38" t="n">
        <f aca="false">Sens!$I$5612*Sens!$I$5620</f>
        <v>84.2950764463991</v>
      </c>
      <c r="J5623" s="38" t="n">
        <f aca="false">Sens!$J$5612*Sens!$J$5620</f>
        <v>95.5499047729386</v>
      </c>
      <c r="K5623" s="38" t="n">
        <f aca="false">Sens!$K$5612*Sens!$K$5620</f>
        <v>105.104895250232</v>
      </c>
      <c r="L5623" s="38" t="n">
        <f aca="false">Sens!$L$5612*Sens!$L$5620</f>
        <v>115.615384775256</v>
      </c>
      <c r="M5623" s="38" t="n">
        <f aca="false">Sens!$M$5612*Sens!$M$5620</f>
        <v>127.176923252781</v>
      </c>
      <c r="N5623" s="38" t="n">
        <f aca="false">Sens!$N$5612*Sens!$N$5620</f>
        <v>21.7087111412496</v>
      </c>
      <c r="O5623" s="38" t="n">
        <f aca="false">Sens!$O$5612*Sens!$O$5620</f>
        <v>28.0189463642798</v>
      </c>
      <c r="P5623" s="5" t="s">
        <v>682</v>
      </c>
    </row>
    <row r="5624" customFormat="false" ht="15" hidden="false" customHeight="false" outlineLevel="0" collapsed="false">
      <c r="A5624" s="5" t="s">
        <v>683</v>
      </c>
      <c r="B5624" s="0" t="s">
        <v>86</v>
      </c>
      <c r="C5624" s="38" t="n">
        <f aca="false">Sens!$C$5612-Sens!$C$5623</f>
        <v>15.1456871171543</v>
      </c>
      <c r="D5624" s="38" t="n">
        <f aca="false">Sens!$D$5612-Sens!$D$5623</f>
        <v>18.8908765400825</v>
      </c>
      <c r="E5624" s="38" t="n">
        <f aca="false">Sens!$E$5612-Sens!$E$5623</f>
        <v>10.0485775075586</v>
      </c>
      <c r="F5624" s="38" t="n">
        <f aca="false">Sens!$F$5612-Sens!$F$5623</f>
        <v>13.0132771613635</v>
      </c>
      <c r="G5624" s="38" t="n">
        <f aca="false">Sens!$G$5612-Sens!$G$5623</f>
        <v>23.0450381503318</v>
      </c>
      <c r="H5624" s="38" t="n">
        <f aca="false">Sens!$H$5612-Sens!$H$5623</f>
        <v>27.6667457326347</v>
      </c>
      <c r="I5624" s="38" t="n">
        <f aca="false">Sens!$I$5612-Sens!$I$5623</f>
        <v>32.2880346490971</v>
      </c>
      <c r="J5624" s="38" t="n">
        <f aca="false">Sens!$J$5612-Sens!$J$5623</f>
        <v>36.5990371690132</v>
      </c>
      <c r="K5624" s="38" t="n">
        <f aca="false">Sens!$K$5612-Sens!$K$5623</f>
        <v>40.2589408859145</v>
      </c>
      <c r="L5624" s="38" t="n">
        <f aca="false">Sens!$L$5612-Sens!$L$5623</f>
        <v>44.2848349745059</v>
      </c>
      <c r="M5624" s="38" t="n">
        <f aca="false">Sens!$M$5612-Sens!$M$5623</f>
        <v>48.7133184719565</v>
      </c>
      <c r="N5624" s="38" t="n">
        <f aca="false">Sens!$N$5612-Sens!$N$5623</f>
        <v>7.90628885875037</v>
      </c>
      <c r="O5624" s="38" t="n">
        <f aca="false">Sens!$O$5612-Sens!$O$5623</f>
        <v>11.0010536357202</v>
      </c>
    </row>
    <row r="5625" customFormat="false" ht="19.4" hidden="false" customHeight="false" outlineLevel="0" collapsed="false">
      <c r="A5625" s="31" t="s">
        <v>1243</v>
      </c>
    </row>
    <row r="5626" customFormat="false" ht="17.15" hidden="false" customHeight="false" outlineLevel="0" collapsed="false">
      <c r="A5626" s="6" t="s">
        <v>16</v>
      </c>
      <c r="B5626" s="6" t="s">
        <v>17</v>
      </c>
      <c r="C5626" s="20" t="s">
        <v>494</v>
      </c>
      <c r="D5626" s="20" t="s">
        <v>495</v>
      </c>
      <c r="E5626" s="20" t="s">
        <v>577</v>
      </c>
      <c r="F5626" s="20" t="s">
        <v>578</v>
      </c>
      <c r="G5626" s="20" t="s">
        <v>579</v>
      </c>
      <c r="H5626" s="20" t="s">
        <v>580</v>
      </c>
      <c r="I5626" s="20" t="s">
        <v>581</v>
      </c>
      <c r="J5626" s="20" t="s">
        <v>582</v>
      </c>
      <c r="K5626" s="20" t="s">
        <v>583</v>
      </c>
      <c r="L5626" s="20" t="s">
        <v>584</v>
      </c>
      <c r="M5626" s="20" t="s">
        <v>585</v>
      </c>
      <c r="N5626" s="20" t="s">
        <v>586</v>
      </c>
      <c r="O5626" s="20" t="s">
        <v>587</v>
      </c>
      <c r="P5626" s="6" t="s">
        <v>23</v>
      </c>
      <c r="R5626" s="20" t="n">
        <v>2023</v>
      </c>
      <c r="S5626" s="20" t="n">
        <v>2024</v>
      </c>
      <c r="T5626" s="20" t="n">
        <v>2025</v>
      </c>
      <c r="U5626" s="20" t="n">
        <v>2026</v>
      </c>
      <c r="V5626" s="20" t="n">
        <v>2027</v>
      </c>
      <c r="W5626" s="20" t="n">
        <v>2028</v>
      </c>
      <c r="X5626" s="20" t="n">
        <v>2029</v>
      </c>
      <c r="Y5626" s="20" t="n">
        <v>2030</v>
      </c>
      <c r="Z5626" s="20" t="n">
        <v>2031</v>
      </c>
      <c r="AA5626" s="20" t="n">
        <v>2032</v>
      </c>
    </row>
    <row r="5627" customFormat="false" ht="17.15" hidden="false" customHeight="false" outlineLevel="0" collapsed="false">
      <c r="A5627" s="1" t="s">
        <v>588</v>
      </c>
    </row>
    <row r="5628" customFormat="false" ht="17.15" hidden="false" customHeight="false" outlineLevel="0" collapsed="false">
      <c r="A5628" s="5" t="s">
        <v>589</v>
      </c>
      <c r="B5628" s="0" t="s">
        <v>144</v>
      </c>
      <c r="H5628" s="32" t="n">
        <f aca="false">pace_B</f>
        <v>3634.3</v>
      </c>
      <c r="I5628" s="32" t="n">
        <f aca="false">pace_B</f>
        <v>3634.3</v>
      </c>
      <c r="J5628" s="32" t="n">
        <f aca="false">pace_B</f>
        <v>3634.3</v>
      </c>
      <c r="K5628" s="32" t="n">
        <f aca="false">pace_B+(Sens!$J$5629*tg_hi-pace_B)*1/3</f>
        <v>2620.20066666667</v>
      </c>
      <c r="L5628" s="32" t="n">
        <f aca="false">pace_B+(Sens!$J$5629*tg_hi-pace_B)*2/3</f>
        <v>1606.10133333333</v>
      </c>
      <c r="M5628" s="32" t="n">
        <f aca="false">pace_B+(Sens!$J$5629*tg_hi-pace_B)*3/3</f>
        <v>592.002</v>
      </c>
      <c r="P5628" s="5" t="s">
        <v>590</v>
      </c>
    </row>
    <row r="5629" customFormat="false" ht="17.15" hidden="false" customHeight="false" outlineLevel="0" collapsed="false">
      <c r="A5629" s="15" t="s">
        <v>591</v>
      </c>
      <c r="B5629" s="14" t="s">
        <v>129</v>
      </c>
      <c r="C5629" s="33" t="n">
        <f aca="false">mw_ye24</f>
        <v>360</v>
      </c>
      <c r="D5629" s="33" t="n">
        <f aca="false">mw_ye25</f>
        <v>1440</v>
      </c>
      <c r="E5629" s="33" t="n">
        <f aca="false">mw_open</f>
        <v>2080</v>
      </c>
      <c r="F5629" s="33" t="n">
        <f aca="false">Sens!$E$5629+pace_B*0.5</f>
        <v>3897.15</v>
      </c>
      <c r="G5629" s="33" t="n">
        <f aca="false">Sens!$F$5629</f>
        <v>3897.15</v>
      </c>
      <c r="H5629" s="33" t="n">
        <f aca="false">Sens!$G$5629+Sens!$H$5628</f>
        <v>7531.45</v>
      </c>
      <c r="I5629" s="33" t="n">
        <f aca="false">Sens!$H$5629+Sens!$I$5628</f>
        <v>11165.75</v>
      </c>
      <c r="J5629" s="33" t="n">
        <f aca="false">Sens!$I$5629+Sens!$J$5628</f>
        <v>14800.05</v>
      </c>
      <c r="K5629" s="33" t="n">
        <f aca="false">Sens!$J$5629+Sens!$K$5628</f>
        <v>17420.2506666667</v>
      </c>
      <c r="L5629" s="33" t="n">
        <f aca="false">Sens!$K$5629+Sens!$L$5628</f>
        <v>19026.352</v>
      </c>
      <c r="M5629" s="33" t="n">
        <f aca="false">Sens!$L$5629+Sens!$M$5628</f>
        <v>19618.354</v>
      </c>
      <c r="N5629" s="33" t="n">
        <f aca="false">(mw_ye24+mw_ye25)/2</f>
        <v>900</v>
      </c>
      <c r="O5629" s="33" t="n">
        <f aca="false">mw_ye25</f>
        <v>1440</v>
      </c>
      <c r="P5629" s="5" t="s">
        <v>592</v>
      </c>
    </row>
    <row r="5630" customFormat="false" ht="17.15" hidden="false" customHeight="false" outlineLevel="0" collapsed="false">
      <c r="A5630" s="5" t="s">
        <v>593</v>
      </c>
      <c r="B5630" s="0" t="s">
        <v>129</v>
      </c>
      <c r="C5630" s="32" t="n">
        <f aca="false">(mw_ye23+mw_ye24)/2</f>
        <v>240</v>
      </c>
      <c r="D5630" s="32" t="n">
        <f aca="false">(Sens!$C$5629+Sens!$D$5629)/2</f>
        <v>900</v>
      </c>
      <c r="E5630" s="32" t="n">
        <f aca="false">(Sens!$D$5629+Sens!$E$5629)/2</f>
        <v>1760</v>
      </c>
      <c r="F5630" s="32" t="n">
        <f aca="false">(Sens!$E$5629+Sens!$F$5629)/2</f>
        <v>2988.575</v>
      </c>
      <c r="G5630" s="32" t="n">
        <f aca="false">(Sens!$E$5630+Sens!$F$5630)/2</f>
        <v>2374.2875</v>
      </c>
      <c r="H5630" s="32" t="n">
        <f aca="false">(Sens!$G$5629+Sens!$H$5629)/2</f>
        <v>5714.3</v>
      </c>
      <c r="I5630" s="32" t="n">
        <f aca="false">(Sens!$H$5629+Sens!$I$5629)/2</f>
        <v>9348.6</v>
      </c>
      <c r="J5630" s="32" t="n">
        <f aca="false">(Sens!$I$5629+Sens!$J$5629)/2</f>
        <v>12982.9</v>
      </c>
      <c r="K5630" s="32" t="n">
        <f aca="false">(Sens!$J$5629+Sens!$K$5629)/2</f>
        <v>16110.1503333333</v>
      </c>
      <c r="L5630" s="32" t="n">
        <f aca="false">(Sens!$K$5629+Sens!$L$5629)/2</f>
        <v>18223.3013333333</v>
      </c>
      <c r="M5630" s="32" t="n">
        <f aca="false">(Sens!$L$5629+Sens!$M$5629)/2</f>
        <v>19322.353</v>
      </c>
      <c r="N5630" s="32" t="n">
        <f aca="false">(Sens!$C$5629+Sens!$N$5629)/2</f>
        <v>630</v>
      </c>
      <c r="O5630" s="32" t="n">
        <f aca="false">(Sens!$N$5629+Sens!$O$5629)/2</f>
        <v>1170</v>
      </c>
    </row>
    <row r="5631" customFormat="false" ht="15" hidden="false" customHeight="false" outlineLevel="0" collapsed="false">
      <c r="A5631" s="5" t="s">
        <v>594</v>
      </c>
      <c r="B5631" s="5" t="s">
        <v>123</v>
      </c>
      <c r="C5631" s="34" t="n">
        <v>1</v>
      </c>
      <c r="D5631" s="34" t="n">
        <v>1</v>
      </c>
      <c r="E5631" s="34" t="n">
        <v>0.5</v>
      </c>
      <c r="F5631" s="34" t="n">
        <v>0.5</v>
      </c>
      <c r="G5631" s="34" t="n">
        <v>1</v>
      </c>
      <c r="H5631" s="34" t="n">
        <v>1</v>
      </c>
      <c r="I5631" s="34" t="n">
        <v>1</v>
      </c>
      <c r="J5631" s="34" t="n">
        <v>1</v>
      </c>
      <c r="K5631" s="34" t="n">
        <v>1</v>
      </c>
      <c r="L5631" s="34" t="n">
        <v>1</v>
      </c>
      <c r="M5631" s="34" t="n">
        <v>1</v>
      </c>
      <c r="N5631" s="34" t="n">
        <v>0.5</v>
      </c>
      <c r="O5631" s="34" t="n">
        <v>0.5</v>
      </c>
    </row>
    <row r="5632" customFormat="false" ht="17.15" hidden="false" customHeight="false" outlineLevel="0" collapsed="false">
      <c r="A5632" s="5" t="s">
        <v>595</v>
      </c>
      <c r="B5632" s="0" t="s">
        <v>129</v>
      </c>
      <c r="C5632" s="32" t="n">
        <f aca="false">Sens!$C$5629-mw_ye23</f>
        <v>240</v>
      </c>
      <c r="D5632" s="32" t="n">
        <f aca="false">Sens!$D$5629-Sens!$C$5629</f>
        <v>1080</v>
      </c>
      <c r="E5632" s="32" t="n">
        <f aca="false">Sens!$E$5629-Sens!$D$5629</f>
        <v>640</v>
      </c>
      <c r="F5632" s="32" t="n">
        <f aca="false">Sens!$F$5629-Sens!$E$5629</f>
        <v>1817.15</v>
      </c>
      <c r="G5632" s="32" t="n">
        <f aca="false">Sens!$E$5632+Sens!$F$5632</f>
        <v>2457.15</v>
      </c>
      <c r="H5632" s="32" t="n">
        <f aca="false">Sens!$H$5629-Sens!$G$5629</f>
        <v>3634.3</v>
      </c>
      <c r="I5632" s="32" t="n">
        <f aca="false">Sens!$I$5629-Sens!$H$5629</f>
        <v>3634.3</v>
      </c>
      <c r="J5632" s="32" t="n">
        <f aca="false">Sens!$J$5629-Sens!$I$5629</f>
        <v>3634.3</v>
      </c>
      <c r="K5632" s="32" t="n">
        <f aca="false">Sens!$K$5629-Sens!$J$5629</f>
        <v>2620.20066666667</v>
      </c>
      <c r="L5632" s="32" t="n">
        <f aca="false">Sens!$L$5629-Sens!$K$5629</f>
        <v>1606.10133333333</v>
      </c>
      <c r="M5632" s="32" t="n">
        <f aca="false">Sens!$M$5629-Sens!$L$5629</f>
        <v>592.002</v>
      </c>
      <c r="N5632" s="32" t="n">
        <f aca="false">Sens!$N$5629-Sens!$C$5629</f>
        <v>540</v>
      </c>
      <c r="O5632" s="32" t="n">
        <f aca="false">Sens!$O$5629-Sens!$N$5629</f>
        <v>540</v>
      </c>
    </row>
    <row r="5633" customFormat="false" ht="17.15" hidden="false" customHeight="false" outlineLevel="0" collapsed="false">
      <c r="A5633" s="5" t="s">
        <v>596</v>
      </c>
      <c r="B5633" s="0" t="s">
        <v>129</v>
      </c>
      <c r="C5633" s="32" t="n">
        <f aca="false">Sens!$C$5632/ext_sh</f>
        <v>300</v>
      </c>
      <c r="D5633" s="32" t="n">
        <f aca="false">Sens!$D$5632/ext_sh</f>
        <v>1350</v>
      </c>
      <c r="E5633" s="32" t="n">
        <f aca="false">Sens!$E$5632/ext_sh</f>
        <v>800</v>
      </c>
      <c r="F5633" s="32" t="n">
        <f aca="false">Sens!$F$5632/ext_sh</f>
        <v>2271.4375</v>
      </c>
      <c r="G5633" s="32" t="n">
        <f aca="false">Sens!$G$5632/ext_sh</f>
        <v>3071.4375</v>
      </c>
      <c r="H5633" s="32" t="n">
        <f aca="false">Sens!$H$5632/ext_sh</f>
        <v>4542.875</v>
      </c>
      <c r="I5633" s="32" t="n">
        <f aca="false">Sens!$I$5632/ext_sh</f>
        <v>4542.875</v>
      </c>
      <c r="J5633" s="32" t="n">
        <f aca="false">Sens!$J$5632/ext_sh</f>
        <v>4542.875</v>
      </c>
      <c r="K5633" s="32" t="n">
        <f aca="false">Sens!$K$5632/ext_sh</f>
        <v>3275.25083333333</v>
      </c>
      <c r="L5633" s="32" t="n">
        <f aca="false">Sens!$L$5632/ext_sh</f>
        <v>2007.62666666667</v>
      </c>
      <c r="M5633" s="32" t="n">
        <f aca="false">Sens!$M$5632/ext_sh</f>
        <v>740.002500000001</v>
      </c>
      <c r="N5633" s="32" t="n">
        <f aca="false">Sens!$N$5632/ext_sh</f>
        <v>675</v>
      </c>
      <c r="O5633" s="32" t="n">
        <f aca="false">Sens!$O$5632/ext_sh</f>
        <v>675</v>
      </c>
      <c r="P5633" s="8" t="s">
        <v>597</v>
      </c>
      <c r="R5633" s="32" t="n">
        <f aca="false">mw_ye23/ext_sh</f>
        <v>150</v>
      </c>
      <c r="S5633" s="32" t="n">
        <f aca="false">Sens!$C$5633</f>
        <v>300</v>
      </c>
      <c r="T5633" s="32" t="n">
        <f aca="false">Sens!$D$5633</f>
        <v>1350</v>
      </c>
      <c r="U5633" s="32" t="n">
        <f aca="false">Sens!$G$5633</f>
        <v>3071.4375</v>
      </c>
      <c r="V5633" s="32" t="n">
        <f aca="false">Sens!$H$5633</f>
        <v>4542.875</v>
      </c>
      <c r="W5633" s="32" t="n">
        <f aca="false">Sens!$I$5633</f>
        <v>4542.875</v>
      </c>
      <c r="X5633" s="32" t="n">
        <f aca="false">Sens!$J$5633</f>
        <v>4542.875</v>
      </c>
      <c r="Y5633" s="32" t="n">
        <f aca="false">Sens!$K$5633</f>
        <v>3275.25083333333</v>
      </c>
      <c r="Z5633" s="32" t="n">
        <f aca="false">Sens!$L$5633</f>
        <v>2007.62666666667</v>
      </c>
      <c r="AA5633" s="32" t="n">
        <f aca="false">Sens!$M$5633</f>
        <v>740.002500000001</v>
      </c>
    </row>
    <row r="5634" customFormat="false" ht="17.15" hidden="false" customHeight="false" outlineLevel="0" collapsed="false">
      <c r="A5634" s="1" t="s">
        <v>598</v>
      </c>
    </row>
    <row r="5635" customFormat="false" ht="17.15" hidden="false" customHeight="false" outlineLevel="0" collapsed="false">
      <c r="A5635" s="0" t="s">
        <v>599</v>
      </c>
      <c r="B5635" s="0" t="s">
        <v>52</v>
      </c>
      <c r="F5635" s="35" t="n">
        <f aca="false">na_vr26</f>
        <v>0</v>
      </c>
      <c r="G5635" s="35" t="n">
        <f aca="false">na_vr26</f>
        <v>0</v>
      </c>
      <c r="H5635" s="35" t="n">
        <f aca="false">na_vr27</f>
        <v>0.5</v>
      </c>
      <c r="I5635" s="35" t="n">
        <f aca="false">na_vr28</f>
        <v>1</v>
      </c>
      <c r="J5635" s="35" t="n">
        <f aca="false">na_vr28</f>
        <v>1</v>
      </c>
      <c r="K5635" s="35" t="n">
        <f aca="false">na_vr28</f>
        <v>1</v>
      </c>
      <c r="L5635" s="35" t="n">
        <f aca="false">na_vr28</f>
        <v>1</v>
      </c>
      <c r="M5635" s="35" t="n">
        <f aca="false">na_vr28</f>
        <v>1</v>
      </c>
    </row>
    <row r="5636" customFormat="false" ht="17.15" hidden="false" customHeight="false" outlineLevel="0" collapsed="false">
      <c r="A5636" s="5" t="s">
        <v>600</v>
      </c>
      <c r="B5636" s="0" t="s">
        <v>173</v>
      </c>
      <c r="F5636" s="36" t="n">
        <f aca="false">cust_sh*tk_he_gb300*cf_chip+(1-cust_sh)*((1-Sens!$F$5635)*tk_he_gb300+Sens!$F$5635*tk_he_vr200)</f>
        <v>10.8864110021101</v>
      </c>
      <c r="G5636" s="36" t="n">
        <f aca="false">cust_sh*tk_he_gb300*cf_chip+(1-cust_sh)*((1-Sens!$G$5635)*tk_he_gb300+Sens!$G$5635*tk_he_vr200)</f>
        <v>10.8864110021101</v>
      </c>
      <c r="H5636" s="36" t="n">
        <f aca="false">cust_sh*tk_he_gb300*cf_chip+(1-cust_sh)*((1-Sens!$H$5635)*tk_he_gb300+Sens!$H$5635*tk_he_vr200)</f>
        <v>11.2211760027286</v>
      </c>
      <c r="I5636" s="36" t="n">
        <f aca="false">cust_sh*tk_he_gb300*cf_chip+(1-cust_sh)*((1-Sens!$I$5635)*tk_he_gb300+Sens!$I$5635*tk_he_vr200)</f>
        <v>11.5559410033471</v>
      </c>
      <c r="J5636" s="36" t="n">
        <f aca="false">cust_sh*tk_he_gb300*cf_chip+(1-cust_sh)*((1-Sens!$J$5635)*tk_he_gb300+Sens!$J$5635*tk_he_vr200)</f>
        <v>11.5559410033471</v>
      </c>
      <c r="K5636" s="36" t="n">
        <f aca="false">cust_sh*tk_he_gb300*cf_chip+(1-cust_sh)*((1-Sens!$K$5635)*tk_he_gb300+Sens!$K$5635*tk_he_vr200)</f>
        <v>11.5559410033471</v>
      </c>
      <c r="L5636" s="36" t="n">
        <f aca="false">cust_sh*tk_he_gb300*cf_chip+(1-cust_sh)*((1-Sens!$L$5635)*tk_he_gb300+Sens!$L$5635*tk_he_vr200)</f>
        <v>11.5559410033471</v>
      </c>
      <c r="M5636" s="36" t="n">
        <f aca="false">cust_sh*tk_he_gb300*cf_chip+(1-cust_sh)*((1-Sens!$M$5635)*tk_he_gb300+Sens!$M$5635*tk_he_vr200)</f>
        <v>11.5559410033471</v>
      </c>
    </row>
    <row r="5637" customFormat="false" ht="17.15" hidden="false" customHeight="false" outlineLevel="0" collapsed="false">
      <c r="A5637" s="5" t="s">
        <v>601</v>
      </c>
      <c r="B5637" s="0" t="s">
        <v>173</v>
      </c>
      <c r="F5637" s="36" t="n">
        <f aca="false">cust_sh*tk_ox_gb300+(1-cust_sh)*((1-Sens!$F$5635)*tk_ox_gb300+Sens!$F$5635*tk_ox_vr200)</f>
        <v>1.98263481314457</v>
      </c>
      <c r="G5637" s="36" t="n">
        <f aca="false">cust_sh*tk_ox_gb300+(1-cust_sh)*((1-Sens!$G$5635)*tk_ox_gb300+Sens!$G$5635*tk_ox_vr200)</f>
        <v>1.98263481314457</v>
      </c>
      <c r="H5637" s="36" t="n">
        <f aca="false">cust_sh*tk_ox_gb300+(1-cust_sh)*((1-Sens!$H$5635)*tk_ox_gb300+Sens!$H$5635*tk_ox_vr200)</f>
        <v>2.01034999693694</v>
      </c>
      <c r="I5637" s="36" t="n">
        <f aca="false">cust_sh*tk_ox_gb300+(1-cust_sh)*((1-Sens!$I$5635)*tk_ox_gb300+Sens!$I$5635*tk_ox_vr200)</f>
        <v>2.0380651807293</v>
      </c>
      <c r="J5637" s="36" t="n">
        <f aca="false">cust_sh*tk_ox_gb300+(1-cust_sh)*((1-Sens!$J$5635)*tk_ox_gb300+Sens!$J$5635*tk_ox_vr200)</f>
        <v>2.0380651807293</v>
      </c>
      <c r="K5637" s="36" t="n">
        <f aca="false">cust_sh*tk_ox_gb300+(1-cust_sh)*((1-Sens!$K$5635)*tk_ox_gb300+Sens!$K$5635*tk_ox_vr200)</f>
        <v>2.0380651807293</v>
      </c>
      <c r="L5637" s="36" t="n">
        <f aca="false">cust_sh*tk_ox_gb300+(1-cust_sh)*((1-Sens!$L$5635)*tk_ox_gb300+Sens!$L$5635*tk_ox_vr200)</f>
        <v>2.0380651807293</v>
      </c>
      <c r="M5637" s="36" t="n">
        <f aca="false">cust_sh*tk_ox_gb300+(1-cust_sh)*((1-Sens!$M$5635)*tk_ox_gb300+Sens!$M$5635*tk_ox_vr200)</f>
        <v>2.0380651807293</v>
      </c>
    </row>
    <row r="5638" customFormat="false" ht="17.15" hidden="false" customHeight="false" outlineLevel="0" collapsed="false">
      <c r="A5638" s="5" t="s">
        <v>602</v>
      </c>
      <c r="B5638" s="0" t="s">
        <v>192</v>
      </c>
      <c r="F5638" s="36" t="n">
        <f aca="false">cust_sh*tk_cx_gb300*cf_cx+(1-cust_sh)*((1-Sens!$F$5635)*tk_cx_gb300+Sens!$F$5635*tk_cx_vr200)</f>
        <v>32.237224</v>
      </c>
      <c r="G5638" s="36" t="n">
        <f aca="false">cust_sh*tk_cx_gb300*cf_cx+(1-cust_sh)*((1-Sens!$G$5635)*tk_cx_gb300+Sens!$G$5635*tk_cx_vr200)</f>
        <v>32.237224</v>
      </c>
      <c r="H5638" s="36" t="n">
        <f aca="false">cust_sh*tk_cx_gb300*cf_cx+(1-cust_sh)*((1-Sens!$H$5635)*tk_cx_gb300+Sens!$H$5635*tk_cx_vr200)</f>
        <v>33.574506</v>
      </c>
      <c r="I5638" s="36" t="n">
        <f aca="false">cust_sh*tk_cx_gb300*cf_cx+(1-cust_sh)*((1-Sens!$I$5635)*tk_cx_gb300+Sens!$I$5635*tk_cx_vr200)</f>
        <v>34.911788</v>
      </c>
      <c r="J5638" s="36" t="n">
        <f aca="false">cust_sh*tk_cx_gb300*cf_cx+(1-cust_sh)*((1-Sens!$J$5635)*tk_cx_gb300+Sens!$J$5635*tk_cx_vr200)</f>
        <v>34.911788</v>
      </c>
      <c r="K5638" s="36" t="n">
        <f aca="false">cust_sh*tk_cx_gb300*cf_cx+(1-cust_sh)*((1-Sens!$K$5635)*tk_cx_gb300+Sens!$K$5635*tk_cx_vr200)</f>
        <v>34.911788</v>
      </c>
      <c r="L5638" s="36" t="n">
        <f aca="false">cust_sh*tk_cx_gb300*cf_cx+(1-cust_sh)*((1-Sens!$L$5635)*tk_cx_gb300+Sens!$L$5635*tk_cx_vr200)</f>
        <v>34.911788</v>
      </c>
      <c r="M5638" s="36" t="n">
        <f aca="false">cust_sh*tk_cx_gb300*cf_cx+(1-cust_sh)*((1-Sens!$M$5635)*tk_cx_gb300+Sens!$M$5635*tk_cx_vr200)</f>
        <v>34.911788</v>
      </c>
    </row>
    <row r="5639" customFormat="false" ht="17.15" hidden="false" customHeight="false" outlineLevel="0" collapsed="false">
      <c r="A5639" s="5" t="s">
        <v>603</v>
      </c>
      <c r="B5639" s="0" t="s">
        <v>129</v>
      </c>
      <c r="F5639" s="32" t="n">
        <f aca="false">Sens!$F$5629-mw_open</f>
        <v>1817.15</v>
      </c>
      <c r="G5639" s="32" t="n">
        <f aca="false">Sens!$F$5639</f>
        <v>1817.15</v>
      </c>
      <c r="H5639" s="32" t="n">
        <f aca="false">Sens!$H$5629-mw_open</f>
        <v>5451.45</v>
      </c>
      <c r="I5639" s="32" t="n">
        <f aca="false">Sens!$I$5629-mw_open</f>
        <v>9085.75</v>
      </c>
      <c r="J5639" s="32" t="n">
        <f aca="false">Sens!$J$5629-mw_open</f>
        <v>12720.05</v>
      </c>
      <c r="K5639" s="32" t="n">
        <f aca="false">Sens!$K$5629-mw_open</f>
        <v>15340.2506666667</v>
      </c>
      <c r="L5639" s="32" t="n">
        <f aca="false">Sens!$L$5629-mw_open</f>
        <v>16946.352</v>
      </c>
      <c r="M5639" s="32" t="n">
        <f aca="false">Sens!$M$5629-mw_open</f>
        <v>17538.354</v>
      </c>
    </row>
    <row r="5640" customFormat="false" ht="17.15" hidden="false" customHeight="false" outlineLevel="0" collapsed="false">
      <c r="A5640" s="0" t="s">
        <v>604</v>
      </c>
      <c r="B5640" s="0" t="s">
        <v>605</v>
      </c>
      <c r="F5640" s="32" t="n">
        <f aca="false">Sens!$F$5632*Sens!$F$5636</f>
        <v>19782.2417524844</v>
      </c>
      <c r="G5640" s="32" t="n">
        <f aca="false">Sens!$F$5640</f>
        <v>19782.2417524844</v>
      </c>
      <c r="H5640" s="32" t="n">
        <f aca="false">Sens!$G$5640+Sens!$H$5632*Sens!$H$5636</f>
        <v>60563.3616992009</v>
      </c>
      <c r="I5640" s="32" t="n">
        <f aca="false">Sens!$H$5640+Sens!$I$5632*Sens!$I$5636</f>
        <v>102561.118087665</v>
      </c>
      <c r="J5640" s="32" t="n">
        <f aca="false">Sens!$I$5640+Sens!$J$5632*Sens!$J$5636</f>
        <v>144558.87447613</v>
      </c>
      <c r="K5640" s="32" t="n">
        <f aca="false">Sens!$J$5640+Sens!$K$5632*Sens!$K$5636</f>
        <v>174837.75879706</v>
      </c>
      <c r="L5640" s="32" t="n">
        <f aca="false">Sens!$K$5640+Sens!$L$5632*Sens!$L$5636</f>
        <v>193397.771050458</v>
      </c>
      <c r="M5640" s="32" t="n">
        <f aca="false">Sens!$L$5640+Sens!$M$5632*Sens!$M$5636</f>
        <v>200238.911236321</v>
      </c>
    </row>
    <row r="5641" customFormat="false" ht="17.15" hidden="false" customHeight="false" outlineLevel="0" collapsed="false">
      <c r="A5641" s="0" t="s">
        <v>606</v>
      </c>
      <c r="B5641" s="0" t="s">
        <v>605</v>
      </c>
      <c r="F5641" s="32" t="n">
        <f aca="false">Sens!$F$5632*Sens!$F$5637</f>
        <v>3602.74485070566</v>
      </c>
      <c r="G5641" s="32" t="n">
        <f aca="false">Sens!$F$5641</f>
        <v>3602.74485070566</v>
      </c>
      <c r="H5641" s="32" t="n">
        <f aca="false">Sens!$G$5641+Sens!$H$5632*Sens!$H$5637</f>
        <v>10908.9598445736</v>
      </c>
      <c r="I5641" s="32" t="n">
        <f aca="false">Sens!$H$5641+Sens!$I$5632*Sens!$I$5637</f>
        <v>18315.9001308981</v>
      </c>
      <c r="J5641" s="32" t="n">
        <f aca="false">Sens!$I$5641+Sens!$J$5632*Sens!$J$5637</f>
        <v>25722.8404172225</v>
      </c>
      <c r="K5641" s="32" t="n">
        <f aca="false">Sens!$J$5641+Sens!$K$5632*Sens!$K$5637</f>
        <v>31062.9801624796</v>
      </c>
      <c r="L5641" s="32" t="n">
        <f aca="false">Sens!$K$5641+Sens!$L$5632*Sens!$L$5637</f>
        <v>34336.3193666691</v>
      </c>
      <c r="M5641" s="32" t="n">
        <f aca="false">Sens!$L$5641+Sens!$M$5632*Sens!$M$5637</f>
        <v>35542.8580297913</v>
      </c>
    </row>
    <row r="5642" customFormat="false" ht="17.15" hidden="false" customHeight="false" outlineLevel="0" collapsed="false">
      <c r="A5642" s="5" t="s">
        <v>607</v>
      </c>
      <c r="B5642" s="0" t="s">
        <v>173</v>
      </c>
      <c r="F5642" s="36" t="n">
        <f aca="false">IF(Sens!$F$5639&gt;0,Sens!$F$5640/Sens!$F$5639,Sens!$F$5636)</f>
        <v>10.8864110021101</v>
      </c>
      <c r="G5642" s="36" t="n">
        <f aca="false">IF(Sens!$G$5639&gt;0,Sens!$G$5640/Sens!$G$5639,Sens!$G$5636)</f>
        <v>10.8864110021101</v>
      </c>
      <c r="H5642" s="36" t="n">
        <f aca="false">IF(Sens!$H$5639&gt;0,Sens!$H$5640/Sens!$H$5639,Sens!$H$5636)</f>
        <v>11.1095876691891</v>
      </c>
      <c r="I5642" s="36" t="n">
        <f aca="false">IF(Sens!$I$5639&gt;0,Sens!$I$5640/Sens!$I$5639,Sens!$I$5636)</f>
        <v>11.2881290028523</v>
      </c>
      <c r="J5642" s="36" t="n">
        <f aca="false">IF(Sens!$J$5639&gt;0,Sens!$J$5640/Sens!$J$5639,Sens!$J$5636)</f>
        <v>11.3646467172794</v>
      </c>
      <c r="K5642" s="36" t="n">
        <f aca="false">IF(Sens!$K$5639&gt;0,Sens!$K$5640/Sens!$K$5639,Sens!$K$5636)</f>
        <v>11.3973208519318</v>
      </c>
      <c r="L5642" s="36" t="n">
        <f aca="false">IF(Sens!$L$5639&gt;0,Sens!$L$5640/Sens!$L$5639,Sens!$L$5636)</f>
        <v>11.4123541780825</v>
      </c>
      <c r="M5642" s="36" t="n">
        <f aca="false">IF(Sens!$M$5639&gt;0,Sens!$M$5640/Sens!$M$5639,Sens!$M$5636)</f>
        <v>11.4172009092941</v>
      </c>
    </row>
    <row r="5643" customFormat="false" ht="17.15" hidden="false" customHeight="false" outlineLevel="0" collapsed="false">
      <c r="A5643" s="5" t="s">
        <v>608</v>
      </c>
      <c r="B5643" s="0" t="s">
        <v>173</v>
      </c>
      <c r="F5643" s="36" t="n">
        <f aca="false">IF(Sens!$F$5639&gt;0,Sens!$F$5641/Sens!$F$5639,Sens!$F$5637)</f>
        <v>1.98263481314457</v>
      </c>
      <c r="G5643" s="36" t="n">
        <f aca="false">IF(Sens!$G$5639&gt;0,Sens!$G$5641/Sens!$G$5639,Sens!$G$5637)</f>
        <v>1.98263481314457</v>
      </c>
      <c r="H5643" s="36" t="n">
        <f aca="false">IF(Sens!$H$5639&gt;0,Sens!$H$5641/Sens!$H$5639,Sens!$H$5637)</f>
        <v>2.00111160233948</v>
      </c>
      <c r="I5643" s="36" t="n">
        <f aca="false">IF(Sens!$I$5639&gt;0,Sens!$I$5641/Sens!$I$5639,Sens!$I$5637)</f>
        <v>2.01589303369541</v>
      </c>
      <c r="J5643" s="36" t="n">
        <f aca="false">IF(Sens!$J$5639&gt;0,Sens!$J$5641/Sens!$J$5639,Sens!$J$5637)</f>
        <v>2.02222793284795</v>
      </c>
      <c r="K5643" s="36" t="n">
        <f aca="false">IF(Sens!$K$5639&gt;0,Sens!$K$5641/Sens!$K$5639,Sens!$K$5637)</f>
        <v>2.02493302342036</v>
      </c>
      <c r="L5643" s="36" t="n">
        <f aca="false">IF(Sens!$L$5639&gt;0,Sens!$L$5641/Sens!$L$5639,Sens!$L$5637)</f>
        <v>2.02617763201597</v>
      </c>
      <c r="M5643" s="36" t="n">
        <f aca="false">IF(Sens!$M$5639&gt;0,Sens!$M$5641/Sens!$M$5639,Sens!$M$5637)</f>
        <v>2.02657889273938</v>
      </c>
    </row>
    <row r="5644" customFormat="false" ht="17.15" hidden="false" customHeight="false" outlineLevel="0" collapsed="false">
      <c r="A5644" s="15" t="s">
        <v>609</v>
      </c>
      <c r="B5644" s="14" t="s">
        <v>173</v>
      </c>
      <c r="C5644" s="14"/>
      <c r="D5644" s="14"/>
      <c r="E5644" s="14"/>
      <c r="F5644" s="37" t="n">
        <f aca="false">Sens!$F$5642*k_B</f>
        <v>10.7987645808025</v>
      </c>
      <c r="G5644" s="37" t="n">
        <f aca="false">Sens!$G$5642*k_B</f>
        <v>10.7987645808025</v>
      </c>
      <c r="H5644" s="37" t="n">
        <f aca="false">Sens!$H$5642*k_B</f>
        <v>11.0201444540452</v>
      </c>
      <c r="I5644" s="37" t="n">
        <f aca="false">Sens!$I$5642*k_B</f>
        <v>11.1972483526393</v>
      </c>
      <c r="J5644" s="37" t="n">
        <f aca="false">Sens!$J$5642*k_B</f>
        <v>11.2731500234653</v>
      </c>
      <c r="K5644" s="37" t="n">
        <f aca="false">Sens!$K$5642*k_B</f>
        <v>11.3055610988807</v>
      </c>
      <c r="L5644" s="37" t="n">
        <f aca="false">Sens!$L$5642*k_B</f>
        <v>11.3204733918244</v>
      </c>
      <c r="M5644" s="37" t="n">
        <f aca="false">Sens!$M$5642*k_B</f>
        <v>11.3252811020357</v>
      </c>
      <c r="N5644" s="14"/>
      <c r="O5644" s="14"/>
      <c r="P5644" s="5" t="s">
        <v>610</v>
      </c>
    </row>
    <row r="5645" customFormat="false" ht="17.15" hidden="false" customHeight="false" outlineLevel="0" collapsed="false">
      <c r="A5645" s="5" t="s">
        <v>611</v>
      </c>
      <c r="B5645" s="0" t="s">
        <v>129</v>
      </c>
      <c r="F5645" s="32" t="n">
        <f aca="false">Sens!$F$5639/2</f>
        <v>908.575</v>
      </c>
      <c r="H5645" s="32" t="n">
        <f aca="false">(Sens!$G$5639+Sens!$H$5639)/2</f>
        <v>3634.3</v>
      </c>
      <c r="I5645" s="32" t="n">
        <f aca="false">(Sens!$H$5639+Sens!$I$5639)/2</f>
        <v>7268.6</v>
      </c>
      <c r="J5645" s="32" t="n">
        <f aca="false">(Sens!$I$5639+Sens!$J$5639)/2</f>
        <v>10902.9</v>
      </c>
      <c r="K5645" s="32" t="n">
        <f aca="false">(Sens!$J$5639+Sens!$K$5639)/2</f>
        <v>14030.1503333333</v>
      </c>
      <c r="L5645" s="32" t="n">
        <f aca="false">(Sens!$K$5639+Sens!$L$5639)/2</f>
        <v>16143.3013333333</v>
      </c>
      <c r="M5645" s="32" t="n">
        <f aca="false">(Sens!$L$5639+Sens!$M$5639)/2</f>
        <v>17242.353</v>
      </c>
    </row>
    <row r="5646" customFormat="false" ht="17.15" hidden="false" customHeight="false" outlineLevel="0" collapsed="false">
      <c r="A5646" s="1" t="s">
        <v>612</v>
      </c>
    </row>
    <row r="5647" customFormat="false" ht="17.15" hidden="false" customHeight="false" outlineLevel="0" collapsed="false">
      <c r="A5647" s="1" t="s">
        <v>613</v>
      </c>
      <c r="B5647" s="8" t="s">
        <v>86</v>
      </c>
      <c r="C5647" s="38" t="n">
        <f aca="false">Sens!$C$5630*rpm_open*Sens!$C$5631/1000</f>
        <v>2.32100535697364</v>
      </c>
      <c r="D5647" s="38" t="n">
        <f aca="false">Sens!$D$5630*rpm_open*Sens!$D$5631/1000</f>
        <v>8.70377008865116</v>
      </c>
      <c r="E5647" s="38" t="n">
        <f aca="false">Sens!$E$5630*rpm_open*Sens!$E$5631/1000</f>
        <v>8.51035297557002</v>
      </c>
      <c r="F5647" s="38" t="n">
        <f aca="false">(mw_open*rpm_open+Sens!$F$5645*Sens!$F$5644)*Sens!$F$5631/1000</f>
        <v>14.9634336447205</v>
      </c>
      <c r="G5647" s="38" t="n">
        <f aca="false">Sens!$E$5647+Sens!$F$5647</f>
        <v>23.4737866202905</v>
      </c>
      <c r="H5647" s="38" t="n">
        <f aca="false">(mw_open*rpm_open+Sens!$H$5645*Sens!$H$5644)/1000</f>
        <v>60.1658907497746</v>
      </c>
      <c r="I5647" s="38" t="n">
        <f aca="false">(mw_open*rpm_open+Sens!$I$5645*Sens!$I$5644)/1000</f>
        <v>101.503699136432</v>
      </c>
      <c r="J5647" s="38" t="n">
        <f aca="false">(mw_open*rpm_open+Sens!$J$5645*Sens!$J$5644)/1000</f>
        <v>143.025407151278</v>
      </c>
      <c r="K5647" s="38" t="n">
        <f aca="false">(mw_open*rpm_open+Sens!$K$5645*Sens!$K$5644)/1000</f>
        <v>178.73410158042</v>
      </c>
      <c r="L5647" s="38" t="n">
        <f aca="false">(mw_open*rpm_open+Sens!$L$5645*Sens!$L$5644)/1000</f>
        <v>202.865192960641</v>
      </c>
      <c r="M5647" s="38" t="n">
        <f aca="false">(mw_open*rpm_open+Sens!$M$5645*Sens!$M$5644)/1000</f>
        <v>215.389874345967</v>
      </c>
      <c r="N5647" s="38" t="n">
        <f aca="false">Sens!$N$5630*rpm_open*Sens!$N$5631/1000</f>
        <v>3.04631953102791</v>
      </c>
      <c r="O5647" s="38" t="n">
        <f aca="false">Sens!$O$5630*rpm_open*Sens!$O$5631/1000</f>
        <v>5.65745055762326</v>
      </c>
      <c r="P5647" s="5" t="s">
        <v>614</v>
      </c>
    </row>
    <row r="5648" customFormat="false" ht="17.15" hidden="false" customHeight="false" outlineLevel="0" collapsed="false">
      <c r="A5648" s="5" t="s">
        <v>615</v>
      </c>
      <c r="B5648" s="0" t="s">
        <v>173</v>
      </c>
      <c r="C5648" s="36" t="n">
        <f aca="false">Sens!$C$5647*1000/(Sens!$C$5630*Sens!$C$5631)</f>
        <v>9.67085565405685</v>
      </c>
      <c r="D5648" s="36" t="n">
        <f aca="false">Sens!$D$5647*1000/(Sens!$D$5630*Sens!$D$5631)</f>
        <v>9.67085565405685</v>
      </c>
      <c r="E5648" s="36" t="n">
        <f aca="false">Sens!$E$5647*1000/(Sens!$E$5630*Sens!$E$5631)</f>
        <v>9.67085565405685</v>
      </c>
      <c r="F5648" s="36" t="n">
        <f aca="false">Sens!$F$5647*1000/(Sens!$F$5630*Sens!$F$5631)</f>
        <v>10.0137581588017</v>
      </c>
      <c r="G5648" s="36" t="n">
        <f aca="false">Sens!$G$5647*1000/(Sens!$G$5630*Sens!$G$5631)</f>
        <v>9.88666562928478</v>
      </c>
      <c r="H5648" s="36" t="n">
        <f aca="false">Sens!$H$5647*1000/(Sens!$H$5630*Sens!$H$5631)</f>
        <v>10.5290045586992</v>
      </c>
      <c r="I5648" s="36" t="n">
        <f aca="false">Sens!$I$5647*1000/(Sens!$I$5630*Sens!$I$5631)</f>
        <v>10.8576363451674</v>
      </c>
      <c r="J5648" s="36" t="n">
        <f aca="false">Sens!$J$5647*1000/(Sens!$J$5630*Sens!$J$5631)</f>
        <v>11.0164452588619</v>
      </c>
      <c r="K5648" s="36" t="n">
        <f aca="false">Sens!$K$5647*1000/(Sens!$K$5630*Sens!$K$5631)</f>
        <v>11.0945024026625</v>
      </c>
      <c r="L5648" s="36" t="n">
        <f aca="false">Sens!$L$5647*1000/(Sens!$L$5630*Sens!$L$5631)</f>
        <v>11.1321867124904</v>
      </c>
      <c r="M5648" s="36" t="n">
        <f aca="false">Sens!$M$5647*1000/(Sens!$M$5630*Sens!$M$5631)</f>
        <v>11.1471865950263</v>
      </c>
      <c r="N5648" s="36" t="n">
        <f aca="false">Sens!$N$5647*1000/(Sens!$N$5630*Sens!$N$5631)</f>
        <v>9.67085565405685</v>
      </c>
      <c r="O5648" s="36" t="n">
        <f aca="false">Sens!$O$5647*1000/(Sens!$O$5630*Sens!$O$5631)</f>
        <v>9.67085565405685</v>
      </c>
    </row>
    <row r="5649" customFormat="false" ht="17.15" hidden="false" customHeight="false" outlineLevel="0" collapsed="false">
      <c r="A5649" s="0" t="s">
        <v>616</v>
      </c>
      <c r="B5649" s="0" t="s">
        <v>86</v>
      </c>
      <c r="C5649" s="38" t="n">
        <f aca="false">Sens!$C$5630/ext_sh*(ox_open+rent_mw)*Sens!$C$5631/1000</f>
        <v>0.642569210675032</v>
      </c>
      <c r="D5649" s="38" t="n">
        <f aca="false">Sens!$D$5630/ext_sh*(ox_open+rent_mw)*Sens!$D$5631/1000</f>
        <v>2.40963454003137</v>
      </c>
      <c r="E5649" s="38" t="n">
        <f aca="false">Sens!$E$5630/ext_sh*(ox_open+rent_mw)*Sens!$E$5631/1000</f>
        <v>2.35608710580845</v>
      </c>
      <c r="F5649" s="38" t="n">
        <f aca="false">((mw_open*ox_open+Sens!$F$5645*Sens!$F$5643)/ext_sh+Sens!$F$5630/ext_sh*rent_mw)*Sens!$F$5631/1000</f>
        <v>4.05421991106232</v>
      </c>
      <c r="G5649" s="38" t="n">
        <f aca="false">Sens!$E$5649+Sens!$F$5649</f>
        <v>6.41030701687077</v>
      </c>
      <c r="H5649" s="38" t="n">
        <f aca="false">((mw_open*ox_open+Sens!$H$5645*Sens!$H$5643)/ext_sh+Sens!$H$5630/ext_sh*rent_mw)*Sens!$H$5631/1000</f>
        <v>15.8108975546616</v>
      </c>
      <c r="I5649" s="38" t="n">
        <f aca="false">((mw_open*ox_open+Sens!$I$5645*Sens!$I$5643)/ext_sh+Sens!$I$5630/ext_sh*rent_mw)*Sens!$I$5631/1000</f>
        <v>26.1871623400817</v>
      </c>
      <c r="J5649" s="38" t="n">
        <f aca="false">((mw_open*ox_open+Sens!$J$5645*Sens!$J$5643)/ext_sh+Sens!$J$5630/ext_sh*rent_mw)*Sens!$J$5631/1000</f>
        <v>36.5826128954935</v>
      </c>
      <c r="K5649" s="38" t="n">
        <f aca="false">((mw_open*ox_open+Sens!$K$5645*Sens!$K$5643)/ext_sh+Sens!$K$5630/ext_sh*rent_mw)*Sens!$K$5631/1000</f>
        <v>45.5256266941655</v>
      </c>
      <c r="L5649" s="38" t="n">
        <f aca="false">((mw_open*ox_open+Sens!$L$5645*Sens!$L$5643)/ext_sh+Sens!$L$5630/ext_sh*rent_mw)*Sens!$L$5631/1000</f>
        <v>51.568818942134</v>
      </c>
      <c r="M5649" s="38" t="n">
        <f aca="false">((mw_open*ox_open+Sens!$M$5645*Sens!$M$5643)/ext_sh+Sens!$M$5630/ext_sh*rent_mw)*Sens!$M$5631/1000</f>
        <v>54.7091842856355</v>
      </c>
      <c r="N5649" s="38" t="n">
        <f aca="false">Sens!$N$5630/ext_sh*(ox_open+rent_mw)*Sens!$N$5631/1000</f>
        <v>0.84337208901098</v>
      </c>
      <c r="O5649" s="38" t="n">
        <f aca="false">Sens!$O$5630/ext_sh*(ox_open+rent_mw)*Sens!$O$5631/1000</f>
        <v>1.56626245102039</v>
      </c>
    </row>
    <row r="5650" customFormat="false" ht="17.15" hidden="false" customHeight="false" outlineLevel="0" collapsed="false">
      <c r="A5650" s="0" t="s">
        <v>617</v>
      </c>
      <c r="B5650" s="0" t="s">
        <v>86</v>
      </c>
      <c r="C5650" s="38" t="n">
        <f aca="false">Q!$D$7</f>
        <v>107.556</v>
      </c>
      <c r="D5650" s="38" t="n">
        <f aca="false">Q!$E$7</f>
        <v>128.725</v>
      </c>
      <c r="E5650" s="38" t="n">
        <f aca="false">Q!$P$7</f>
        <v>79.819</v>
      </c>
      <c r="N5650" s="38" t="n">
        <f aca="false">Q!$N$7</f>
        <v>60.14</v>
      </c>
      <c r="O5650" s="38" t="n">
        <f aca="false">Q!$O$7</f>
        <v>68.585</v>
      </c>
    </row>
    <row r="5651" customFormat="false" ht="17.15" hidden="false" customHeight="false" outlineLevel="0" collapsed="false">
      <c r="A5651" s="1" t="s">
        <v>618</v>
      </c>
      <c r="B5651" s="8" t="s">
        <v>86</v>
      </c>
      <c r="C5651" s="38" t="n">
        <f aca="false">Sens!$C$5650-Sens!$C$5647</f>
        <v>105.234994643026</v>
      </c>
      <c r="D5651" s="38" t="n">
        <f aca="false">Sens!$D$5650-Sens!$D$5647</f>
        <v>120.021229911349</v>
      </c>
      <c r="E5651" s="38" t="n">
        <f aca="false">Sens!$E$5650-Sens!$E$5647</f>
        <v>71.30864702443</v>
      </c>
      <c r="F5651" s="38" t="n">
        <f aca="false">Sens!$O$5651*(1+Sens!$F$5652)</f>
        <v>71.7692997942464</v>
      </c>
      <c r="G5651" s="38" t="n">
        <f aca="false">Sens!$E$5651+Sens!$F$5651</f>
        <v>143.077946818676</v>
      </c>
      <c r="H5651" s="38" t="n">
        <f aca="false">Sens!$G$5651*(1+Sens!$H$5652)</f>
        <v>161.017077079203</v>
      </c>
      <c r="I5651" s="38" t="n">
        <f aca="false">Sens!$H$5651*(1+Sens!$I$5652)</f>
        <v>178.769759521457</v>
      </c>
      <c r="J5651" s="38" t="n">
        <f aca="false">Sens!$I$5651*(1+Sens!$J$5652)</f>
        <v>195.775538045907</v>
      </c>
      <c r="K5651" s="38" t="n">
        <f aca="false">Sens!$J$5651*(1+Sens!$K$5652)</f>
        <v>211.43758108958</v>
      </c>
      <c r="L5651" s="38" t="n">
        <f aca="false">Sens!$K$5651*(1+Sens!$L$5652)</f>
        <v>228.352587576746</v>
      </c>
      <c r="M5651" s="38" t="n">
        <f aca="false">Sens!$L$5651*(1+Sens!$M$5652)</f>
        <v>246.620794582886</v>
      </c>
      <c r="N5651" s="38" t="n">
        <f aca="false">Sens!$N$5650-Sens!$N$5647</f>
        <v>57.0936804689721</v>
      </c>
      <c r="O5651" s="38" t="n">
        <f aca="false">Sens!$O$5650-Sens!$O$5647</f>
        <v>62.9275494423768</v>
      </c>
      <c r="P5651" s="5" t="s">
        <v>619</v>
      </c>
    </row>
    <row r="5652" customFormat="false" ht="17.15" hidden="false" customHeight="false" outlineLevel="0" collapsed="false">
      <c r="A5652" s="0" t="s">
        <v>620</v>
      </c>
      <c r="B5652" s="0" t="s">
        <v>52</v>
      </c>
      <c r="D5652" s="13" t="n">
        <f aca="false">Sens!$D$5651/Sens!$C$5651-1</f>
        <v>0.140506827776062</v>
      </c>
      <c r="E5652" s="13" t="n">
        <f aca="false">Sens!$E$5651/Sens!$N$5651-1</f>
        <v>0.248976181579029</v>
      </c>
      <c r="F5652" s="13" t="n">
        <f aca="false">Sens!$D$5652</f>
        <v>0.140506827776062</v>
      </c>
      <c r="G5652" s="13" t="n">
        <f aca="false">Sens!$G$5651/Sens!$D$5651-1</f>
        <v>0.19210532106993</v>
      </c>
      <c r="H5652" s="13" t="n">
        <f aca="false">Sens!$F$5652+(g_awso_lt-Sens!$F$5652)*1/4</f>
        <v>0.125380120832046</v>
      </c>
      <c r="I5652" s="13" t="n">
        <f aca="false">Sens!$F$5652+(g_awso_lt-Sens!$F$5652)*2/4</f>
        <v>0.110253413888031</v>
      </c>
      <c r="J5652" s="13" t="n">
        <f aca="false">Sens!$F$5652+(g_awso_lt-Sens!$F$5652)*3/4</f>
        <v>0.0951267069440154</v>
      </c>
      <c r="K5652" s="13" t="n">
        <f aca="false">Sens!$F$5652+(g_awso_lt-Sens!$F$5652)*4/4</f>
        <v>0.08</v>
      </c>
      <c r="L5652" s="13" t="n">
        <f aca="false">g_awso_lt</f>
        <v>0.08</v>
      </c>
      <c r="M5652" s="13" t="n">
        <f aca="false">g_awso_lt</f>
        <v>0.08</v>
      </c>
      <c r="P5652" s="5" t="s">
        <v>621</v>
      </c>
    </row>
    <row r="5653" customFormat="false" ht="17.15" hidden="false" customHeight="false" outlineLevel="0" collapsed="false">
      <c r="A5653" s="1" t="s">
        <v>622</v>
      </c>
    </row>
    <row r="5654" customFormat="false" ht="17.15" hidden="false" customHeight="false" outlineLevel="0" collapsed="false">
      <c r="A5654" s="0" t="s">
        <v>623</v>
      </c>
      <c r="B5654" s="0" t="s">
        <v>86</v>
      </c>
      <c r="F5654" s="38" t="n">
        <f aca="false">cx_rt*Sens!$F$5619+cx_awso*Sens!$F$5651</f>
        <v>34.9734495387866</v>
      </c>
    </row>
    <row r="5655" customFormat="false" ht="17.15" hidden="false" customHeight="false" outlineLevel="0" collapsed="false">
      <c r="A5655" s="0" t="s">
        <v>624</v>
      </c>
      <c r="B5655" s="0" t="s">
        <v>52</v>
      </c>
      <c r="C5655" s="13" t="n">
        <f aca="false">tk_cx_h100/(tk_cx_h100+tk_fac*(1-colo_sh))</f>
        <v>0.730756458006641</v>
      </c>
      <c r="D5655" s="13" t="n">
        <f aca="false">tk_cx_h100/(tk_cx_h100+tk_fac*(1-colo_sh))</f>
        <v>0.730756458006641</v>
      </c>
      <c r="E5655" s="13" t="n">
        <f aca="false">Sens!$F$5655</f>
        <v>0.760792334328868</v>
      </c>
      <c r="F5655" s="13" t="n">
        <f aca="false">Sens!$F$5638/(Sens!$F$5638+tk_fac*(1-colo_sh))</f>
        <v>0.760792334328868</v>
      </c>
      <c r="G5655" s="13" t="n">
        <f aca="false">Sens!$G$5638/(Sens!$G$5638+tk_fac*(1-colo_sh))</f>
        <v>0.760792334328868</v>
      </c>
      <c r="H5655" s="13" t="n">
        <f aca="false">Sens!$H$5638/(Sens!$H$5638+tk_fac*(1-colo_sh))</f>
        <v>0.768110668862996</v>
      </c>
      <c r="I5655" s="13" t="n">
        <f aca="false">Sens!$I$5638/(Sens!$I$5638+tk_fac*(1-colo_sh))</f>
        <v>0.77499450139483</v>
      </c>
      <c r="J5655" s="13" t="n">
        <f aca="false">Sens!$J$5638/(Sens!$J$5638+tk_fac*(1-colo_sh))</f>
        <v>0.77499450139483</v>
      </c>
      <c r="K5655" s="13" t="n">
        <f aca="false">Sens!$K$5638/(Sens!$K$5638+tk_fac*(1-colo_sh))</f>
        <v>0.77499450139483</v>
      </c>
      <c r="L5655" s="13" t="n">
        <f aca="false">Sens!$L$5638/(Sens!$L$5638+tk_fac*(1-colo_sh))</f>
        <v>0.77499450139483</v>
      </c>
      <c r="M5655" s="13" t="n">
        <f aca="false">Sens!$M$5638/(Sens!$M$5638+tk_fac*(1-colo_sh))</f>
        <v>0.77499450139483</v>
      </c>
    </row>
    <row r="5656" customFormat="false" ht="17.15" hidden="false" customHeight="false" outlineLevel="0" collapsed="false">
      <c r="A5656" s="1" t="s">
        <v>625</v>
      </c>
      <c r="B5656" s="8" t="s">
        <v>86</v>
      </c>
      <c r="C5656" s="38" t="n">
        <f aca="false">Q!$D$46-cx_rt*Q!$D$16-cx_awso*Sens!$C$5651</f>
        <v>25.2781053077374</v>
      </c>
      <c r="D5656" s="38" t="n">
        <f aca="false">Q!$E$46-cx_rt*Q!$E$16-cx_awso*Sens!$D$5651</f>
        <v>69.5686316310026</v>
      </c>
      <c r="E5656" s="38" t="n">
        <f aca="false">Q!$P$46-cx_rt*Q!$P$16-cx_awso*Sens!$E$5651</f>
        <v>64.1899206485108</v>
      </c>
      <c r="F5656" s="38" t="n">
        <f aca="false">MAX(Sens!$F$5633*(Sens!$F$5638+tk_fac*(1-colo_sh))/1000,capex_g26-Q!$P$46-Sens!$F$5654)</f>
        <v>96.2481299895</v>
      </c>
      <c r="G5656" s="38" t="n">
        <f aca="false">Sens!$E$5656+Sens!$F$5656</f>
        <v>160.438050638011</v>
      </c>
      <c r="H5656" s="38" t="n">
        <f aca="false">Sens!$H$5633*(Sens!$H$5638+tk_fac*(1-colo_sh))/1000+Sens!$H$5657</f>
        <v>198.57136494475</v>
      </c>
      <c r="I5656" s="38" t="n">
        <f aca="false">Sens!$I$5633*(Sens!$I$5638+tk_fac*(1-colo_sh))/1000+Sens!$I$5657</f>
        <v>204.6464699105</v>
      </c>
      <c r="J5656" s="38" t="n">
        <f aca="false">Sens!$J$5633*(Sens!$J$5638+tk_fac*(1-colo_sh))/1000+Sens!$J$5657</f>
        <v>209.8832381105</v>
      </c>
      <c r="K5656" s="38" t="n">
        <f aca="false">Sens!$K$5633*(Sens!$K$5638+tk_fac*(1-colo_sh))/1000+Sens!$K$5657</f>
        <v>158.016341586823</v>
      </c>
      <c r="L5656" s="38" t="n">
        <f aca="false">Sens!$L$5633*(Sens!$L$5638+tk_fac*(1-colo_sh))/1000+Sens!$L$5657</f>
        <v>137.570054263147</v>
      </c>
      <c r="M5656" s="38" t="n">
        <f aca="false">Sens!$M$5633*(Sens!$M$5638+tk_fac*(1-colo_sh))/1000+Sens!$M$5657</f>
        <v>140.56485059472</v>
      </c>
      <c r="P5656" s="5" t="s">
        <v>626</v>
      </c>
      <c r="R5656" s="38" t="n">
        <f aca="false">Q!$C$46-cx_rt*Q!$C$16-cx_awso*(Q!$C$7-mw_ye23/2*rpm_open/1000)</f>
        <v>1.50429979529945</v>
      </c>
      <c r="S5656" s="38" t="n">
        <f aca="false">Sens!$C$5656</f>
        <v>25.2781053077374</v>
      </c>
      <c r="T5656" s="38" t="n">
        <f aca="false">Sens!$D$5656</f>
        <v>69.5686316310026</v>
      </c>
      <c r="U5656" s="38" t="n">
        <f aca="false">Sens!$G$5656</f>
        <v>160.438050638011</v>
      </c>
      <c r="V5656" s="38" t="n">
        <f aca="false">Sens!$H$5656</f>
        <v>198.57136494475</v>
      </c>
      <c r="W5656" s="38" t="n">
        <f aca="false">Sens!$I$5656</f>
        <v>204.6464699105</v>
      </c>
      <c r="X5656" s="38" t="n">
        <f aca="false">Sens!$J$5656</f>
        <v>209.8832381105</v>
      </c>
      <c r="Y5656" s="38" t="n">
        <f aca="false">Sens!$K$5656</f>
        <v>158.016341586823</v>
      </c>
      <c r="Z5656" s="38" t="n">
        <f aca="false">Sens!$L$5656</f>
        <v>137.570054263147</v>
      </c>
      <c r="AA5656" s="38" t="n">
        <f aca="false">Sens!$M$5656</f>
        <v>140.56485059472</v>
      </c>
    </row>
    <row r="5657" customFormat="false" ht="17.15" hidden="false" customHeight="false" outlineLevel="0" collapsed="false">
      <c r="A5657" s="0" t="s">
        <v>627</v>
      </c>
      <c r="B5657" s="0" t="s">
        <v>86</v>
      </c>
      <c r="H5657" s="38" t="n">
        <f aca="false">SUMPRODUCT(--(Sens!$R$5626:$AA$5626=2027-tk_life),Sens!$R$5633:$AA$5633)*Sens!$H$5638/1000</f>
        <v>0</v>
      </c>
      <c r="I5657" s="38" t="n">
        <f aca="false">SUMPRODUCT(--(Sens!$R$5626:$AA$5626=2028-tk_life),Sens!$R$5633:$AA$5633)*Sens!$I$5638/1000</f>
        <v>0</v>
      </c>
      <c r="J5657" s="38" t="n">
        <f aca="false">SUMPRODUCT(--(Sens!$R$5626:$AA$5626=2029-tk_life),Sens!$R$5633:$AA$5633)*Sens!$J$5638/1000</f>
        <v>5.2367682</v>
      </c>
      <c r="K5657" s="38" t="n">
        <f aca="false">SUMPRODUCT(--(Sens!$R$5626:$AA$5626=2030-tk_life),Sens!$R$5633:$AA$5633)*Sens!$K$5638/1000</f>
        <v>10.4735364</v>
      </c>
      <c r="L5657" s="38" t="n">
        <f aca="false">SUMPRODUCT(--(Sens!$R$5626:$AA$5626=2031-tk_life),Sens!$R$5633:$AA$5633)*Sens!$L$5638/1000</f>
        <v>47.1309138</v>
      </c>
      <c r="M5657" s="38" t="n">
        <f aca="false">SUMPRODUCT(--(Sens!$R$5626:$AA$5626=2032-tk_life),Sens!$R$5633:$AA$5633)*Sens!$M$5638/1000</f>
        <v>107.22937485525</v>
      </c>
    </row>
    <row r="5658" customFormat="false" ht="17.15" hidden="false" customHeight="false" outlineLevel="0" collapsed="false">
      <c r="A5658" s="5" t="s">
        <v>628</v>
      </c>
      <c r="B5658" s="0" t="s">
        <v>86</v>
      </c>
      <c r="C5658" s="38" t="n">
        <f aca="false">Sens!$C$5656*Sens!$C$5655</f>
        <v>18.472138699801</v>
      </c>
      <c r="D5658" s="38" t="n">
        <f aca="false">Sens!$D$5656*Sens!$D$5655</f>
        <v>50.8377268390402</v>
      </c>
      <c r="E5658" s="38" t="n">
        <f aca="false">Sens!$E$5656*Sens!$E$5655</f>
        <v>48.8351995705653</v>
      </c>
      <c r="F5658" s="38" t="n">
        <f aca="false">Sens!$F$5656*Sens!$F$5655</f>
        <v>73.2248394895</v>
      </c>
      <c r="G5658" s="38" t="n">
        <f aca="false">Sens!$E$5658+Sens!$F$5658</f>
        <v>122.060039060065</v>
      </c>
      <c r="H5658" s="38" t="n">
        <f aca="false">(Sens!$H$5656-Sens!$H$5657)*Sens!$H$5655+Sens!$H$5657</f>
        <v>152.52478394475</v>
      </c>
      <c r="I5658" s="38" t="n">
        <f aca="false">(Sens!$I$5656-Sens!$I$5657)*Sens!$I$5655+Sens!$I$5657</f>
        <v>158.5998889105</v>
      </c>
      <c r="J5658" s="38" t="n">
        <f aca="false">(Sens!$J$5656-Sens!$J$5657)*Sens!$J$5655+Sens!$J$5657</f>
        <v>163.8366571105</v>
      </c>
      <c r="K5658" s="38" t="n">
        <f aca="false">(Sens!$K$5656-Sens!$K$5657)*Sens!$K$5655+Sens!$K$5657</f>
        <v>124.818399140157</v>
      </c>
      <c r="L5658" s="38" t="n">
        <f aca="false">(Sens!$L$5656-Sens!$L$5657)*Sens!$L$5655+Sens!$L$5657</f>
        <v>117.220750369813</v>
      </c>
      <c r="M5658" s="38" t="n">
        <f aca="false">(Sens!$M$5656-Sens!$M$5657)*Sens!$M$5655+Sens!$M$5657</f>
        <v>133.06418525472</v>
      </c>
      <c r="R5658" s="38" t="n">
        <f aca="false">Sens!$R$5656*Sens!$C$5655</f>
        <v>1.09927679019314</v>
      </c>
      <c r="S5658" s="38" t="n">
        <f aca="false">Sens!$C$5658</f>
        <v>18.472138699801</v>
      </c>
      <c r="T5658" s="38" t="n">
        <f aca="false">Sens!$D$5658</f>
        <v>50.8377268390402</v>
      </c>
      <c r="U5658" s="38" t="n">
        <f aca="false">Sens!$G$5658</f>
        <v>122.060039060065</v>
      </c>
      <c r="V5658" s="38" t="n">
        <f aca="false">Sens!$H$5658</f>
        <v>152.52478394475</v>
      </c>
      <c r="W5658" s="38" t="n">
        <f aca="false">Sens!$I$5658</f>
        <v>158.5998889105</v>
      </c>
      <c r="X5658" s="38" t="n">
        <f aca="false">Sens!$J$5658</f>
        <v>163.8366571105</v>
      </c>
      <c r="Y5658" s="38" t="n">
        <f aca="false">Sens!$K$5658</f>
        <v>124.818399140157</v>
      </c>
      <c r="Z5658" s="38" t="n">
        <f aca="false">Sens!$L$5658</f>
        <v>117.220750369813</v>
      </c>
      <c r="AA5658" s="38" t="n">
        <f aca="false">Sens!$M$5658</f>
        <v>133.06418525472</v>
      </c>
    </row>
    <row r="5659" customFormat="false" ht="15" hidden="false" customHeight="false" outlineLevel="0" collapsed="false">
      <c r="A5659" s="5" t="s">
        <v>629</v>
      </c>
      <c r="B5659" s="0" t="s">
        <v>86</v>
      </c>
      <c r="C5659" s="38" t="n">
        <f aca="false">Sens!$C$5656-Sens!$C$5658</f>
        <v>6.80596660793636</v>
      </c>
      <c r="D5659" s="38" t="n">
        <f aca="false">Sens!$D$5656-Sens!$D$5658</f>
        <v>18.7309047919624</v>
      </c>
      <c r="E5659" s="38" t="n">
        <f aca="false">Sens!$E$5656-Sens!$E$5658</f>
        <v>15.3547210779455</v>
      </c>
      <c r="F5659" s="38" t="n">
        <f aca="false">Sens!$F$5656-Sens!$F$5658</f>
        <v>23.0232905</v>
      </c>
      <c r="G5659" s="38" t="n">
        <f aca="false">Sens!$G$5656-Sens!$G$5658</f>
        <v>38.3780115779455</v>
      </c>
      <c r="H5659" s="38" t="n">
        <f aca="false">Sens!$H$5656-Sens!$H$5658</f>
        <v>46.046581</v>
      </c>
      <c r="I5659" s="38" t="n">
        <f aca="false">Sens!$I$5656-Sens!$I$5658</f>
        <v>46.046581</v>
      </c>
      <c r="J5659" s="38" t="n">
        <f aca="false">Sens!$J$5656-Sens!$J$5658</f>
        <v>46.046581</v>
      </c>
      <c r="K5659" s="38" t="n">
        <f aca="false">Sens!$K$5656-Sens!$K$5658</f>
        <v>33.1979424466667</v>
      </c>
      <c r="L5659" s="38" t="n">
        <f aca="false">Sens!$L$5656-Sens!$L$5658</f>
        <v>20.3493038933333</v>
      </c>
      <c r="M5659" s="38" t="n">
        <f aca="false">Sens!$M$5656-Sens!$M$5658</f>
        <v>7.50066534000001</v>
      </c>
      <c r="R5659" s="38" t="n">
        <f aca="false">Sens!$R$5656-Sens!$R$5658</f>
        <v>0.405023005106309</v>
      </c>
      <c r="S5659" s="38" t="n">
        <f aca="false">Sens!$S$5656-Sens!$S$5658</f>
        <v>6.80596660793636</v>
      </c>
      <c r="T5659" s="38" t="n">
        <f aca="false">Sens!$T$5656-Sens!$T$5658</f>
        <v>18.7309047919624</v>
      </c>
      <c r="U5659" s="38" t="n">
        <f aca="false">Sens!$U$5656-Sens!$U$5658</f>
        <v>38.3780115779455</v>
      </c>
      <c r="V5659" s="38" t="n">
        <f aca="false">Sens!$V$5656-Sens!$V$5658</f>
        <v>46.046581</v>
      </c>
      <c r="W5659" s="38" t="n">
        <f aca="false">Sens!$W$5656-Sens!$W$5658</f>
        <v>46.046581</v>
      </c>
      <c r="X5659" s="38" t="n">
        <f aca="false">Sens!$X$5656-Sens!$X$5658</f>
        <v>46.046581</v>
      </c>
      <c r="Y5659" s="38" t="n">
        <f aca="false">Sens!$Y$5656-Sens!$Y$5658</f>
        <v>33.1979424466667</v>
      </c>
      <c r="Z5659" s="38" t="n">
        <f aca="false">Sens!$Z$5656-Sens!$Z$5658</f>
        <v>20.3493038933333</v>
      </c>
      <c r="AA5659" s="38" t="n">
        <f aca="false">Sens!$AA$5656-Sens!$AA$5658</f>
        <v>7.50066534000001</v>
      </c>
    </row>
    <row r="5660" customFormat="false" ht="17.15" hidden="false" customHeight="false" outlineLevel="0" collapsed="false">
      <c r="A5660" s="0" t="s">
        <v>630</v>
      </c>
      <c r="B5660" s="0" t="s">
        <v>52</v>
      </c>
      <c r="C5660" s="13" t="n">
        <f aca="false">Sens!$C$5656/Sens!$C$5776</f>
        <v>0.325505489553393</v>
      </c>
      <c r="D5660" s="13" t="n">
        <f aca="false">Sens!$D$5656/Sens!$D$5776</f>
        <v>0.54214956071542</v>
      </c>
      <c r="E5660" s="13" t="n">
        <f aca="false">Sens!$E$5656/Sens!$E$5776</f>
        <v>0.666492790452817</v>
      </c>
      <c r="F5660" s="13" t="n">
        <f aca="false">Sens!$F$5656/Sens!$F$5776</f>
        <v>0.733477910687338</v>
      </c>
      <c r="G5660" s="13" t="n">
        <f aca="false">Sens!$G$5656/Sens!$G$5776</f>
        <v>0.705124321514523</v>
      </c>
      <c r="H5660" s="13" t="n">
        <f aca="false">Sens!$H$5656/Sens!$H$5776</f>
        <v>0.726376041178204</v>
      </c>
      <c r="I5660" s="13" t="n">
        <f aca="false">Sens!$I$5656/Sens!$I$5776</f>
        <v>0.713099092661699</v>
      </c>
      <c r="J5660" s="13" t="n">
        <f aca="false">Sens!$J$5656/Sens!$J$5776</f>
        <v>0.701208348786245</v>
      </c>
      <c r="K5660" s="13" t="n">
        <f aca="false">Sens!$K$5656/Sens!$K$5776</f>
        <v>0.622515721629545</v>
      </c>
      <c r="L5660" s="13" t="n">
        <f aca="false">Sens!$L$5656/Sens!$L$5776</f>
        <v>0.572606741433048</v>
      </c>
      <c r="M5660" s="13" t="n">
        <f aca="false">Sens!$M$5656/Sens!$M$5776</f>
        <v>0.560855994905929</v>
      </c>
    </row>
    <row r="5661" customFormat="false" ht="17.15" hidden="false" customHeight="false" outlineLevel="0" collapsed="false">
      <c r="A5661" s="0" t="s">
        <v>631</v>
      </c>
      <c r="B5661" s="0" t="s">
        <v>86</v>
      </c>
      <c r="C5661" s="38" t="n">
        <f aca="false">Sens!$S$5661</f>
        <v>0.183212798365523</v>
      </c>
      <c r="D5661" s="38" t="n">
        <f aca="false">Sens!$T$5661</f>
        <v>3.2619025816657</v>
      </c>
      <c r="E5661" s="38" t="n">
        <f aca="false">Sens!$G$5661/2</f>
        <v>5.86742852741953</v>
      </c>
      <c r="F5661" s="38" t="n">
        <f aca="false">Sens!$G$5661/2</f>
        <v>5.86742852741953</v>
      </c>
      <c r="G5661" s="38" t="n">
        <f aca="false">Sens!$U$5661</f>
        <v>11.7348570548391</v>
      </c>
      <c r="H5661" s="38" t="n">
        <f aca="false">Sens!$V$5661</f>
        <v>32.0781968981833</v>
      </c>
      <c r="I5661" s="38" t="n">
        <f aca="false">Sens!$W$5661</f>
        <v>57.4989942223083</v>
      </c>
      <c r="J5661" s="38" t="n">
        <f aca="false">Sens!$X$5661</f>
        <v>83.932309040725</v>
      </c>
      <c r="K5661" s="38" t="n">
        <f aca="false">Sens!$Y$5661</f>
        <v>111.055205760776</v>
      </c>
      <c r="L5661" s="38" t="n">
        <f aca="false">Sens!$Z$5661</f>
        <v>128.779582500835</v>
      </c>
      <c r="M5661" s="38" t="n">
        <f aca="false">Sens!$AA$5661</f>
        <v>139.843419755964</v>
      </c>
      <c r="N5661" s="38" t="n">
        <f aca="false">Sens!$D$5661/2</f>
        <v>1.63095129083285</v>
      </c>
      <c r="O5661" s="38" t="n">
        <f aca="false">Sens!$D$5661/2</f>
        <v>1.63095129083285</v>
      </c>
      <c r="R5661" s="38" t="n">
        <f aca="false">SUMPRODUCT(--(Sens!$R$5626:$AA$5626&lt;Sens!R$5626),--(Sens!$R$5626:$AA$5626&gt;=Sens!R$5626-tk_life),Sens!$R$5658:$AA$5658)/tk_life</f>
        <v>0</v>
      </c>
      <c r="S5661" s="38" t="n">
        <f aca="false">SUMPRODUCT(--(Sens!$R$5626:$AA$5626&lt;Sens!S$5626),--(Sens!$R$5626:$AA$5626&gt;=Sens!S$5626-tk_life),Sens!$R$5658:$AA$5658)/tk_life</f>
        <v>0.183212798365523</v>
      </c>
      <c r="T5661" s="38" t="n">
        <f aca="false">SUMPRODUCT(--(Sens!$R$5626:$AA$5626&lt;Sens!T$5626),--(Sens!$R$5626:$AA$5626&gt;=Sens!T$5626-tk_life),Sens!$R$5658:$AA$5658)/tk_life</f>
        <v>3.2619025816657</v>
      </c>
      <c r="U5661" s="38" t="n">
        <f aca="false">SUMPRODUCT(--(Sens!$R$5626:$AA$5626&lt;Sens!U$5626),--(Sens!$R$5626:$AA$5626&gt;=Sens!U$5626-tk_life),Sens!$R$5658:$AA$5658)/tk_life</f>
        <v>11.7348570548391</v>
      </c>
      <c r="V5661" s="38" t="n">
        <f aca="false">SUMPRODUCT(--(Sens!$R$5626:$AA$5626&lt;Sens!V$5626),--(Sens!$R$5626:$AA$5626&gt;=Sens!V$5626-tk_life),Sens!$R$5658:$AA$5658)/tk_life</f>
        <v>32.0781968981833</v>
      </c>
      <c r="W5661" s="38" t="n">
        <f aca="false">SUMPRODUCT(--(Sens!$R$5626:$AA$5626&lt;Sens!W$5626),--(Sens!$R$5626:$AA$5626&gt;=Sens!W$5626-tk_life),Sens!$R$5658:$AA$5658)/tk_life</f>
        <v>57.4989942223083</v>
      </c>
      <c r="X5661" s="38" t="n">
        <f aca="false">SUMPRODUCT(--(Sens!$R$5626:$AA$5626&lt;Sens!X$5626),--(Sens!$R$5626:$AA$5626&gt;=Sens!X$5626-tk_life),Sens!$R$5658:$AA$5658)/tk_life</f>
        <v>83.932309040725</v>
      </c>
      <c r="Y5661" s="38" t="n">
        <f aca="false">SUMPRODUCT(--(Sens!$R$5626:$AA$5626&lt;Sens!Y$5626),--(Sens!$R$5626:$AA$5626&gt;=Sens!Y$5626-tk_life),Sens!$R$5658:$AA$5658)/tk_life</f>
        <v>111.055205760776</v>
      </c>
      <c r="Z5661" s="38" t="n">
        <f aca="false">SUMPRODUCT(--(Sens!$R$5626:$AA$5626&lt;Sens!Z$5626),--(Sens!$R$5626:$AA$5626&gt;=Sens!Z$5626-tk_life),Sens!$R$5658:$AA$5658)/tk_life</f>
        <v>128.779582500835</v>
      </c>
      <c r="AA5661" s="38" t="n">
        <f aca="false">SUMPRODUCT(--(Sens!$R$5626:$AA$5626&lt;Sens!AA$5626),--(Sens!$R$5626:$AA$5626&gt;=Sens!AA$5626-tk_life),Sens!$R$5658:$AA$5658)/tk_life</f>
        <v>139.843419755964</v>
      </c>
    </row>
    <row r="5662" customFormat="false" ht="17.15" hidden="false" customHeight="false" outlineLevel="0" collapsed="false">
      <c r="A5662" s="0" t="s">
        <v>632</v>
      </c>
      <c r="B5662" s="0" t="s">
        <v>86</v>
      </c>
      <c r="C5662" s="38" t="n">
        <f aca="false">Sens!$S$5662</f>
        <v>0.0202511502553155</v>
      </c>
      <c r="D5662" s="38" t="n">
        <f aca="false">Sens!$T$5662</f>
        <v>0.360549480652134</v>
      </c>
      <c r="E5662" s="38" t="n">
        <f aca="false">Sens!$G$5662/2</f>
        <v>0.648547360125127</v>
      </c>
      <c r="F5662" s="38" t="n">
        <f aca="false">Sens!$G$5662/2</f>
        <v>0.648547360125127</v>
      </c>
      <c r="G5662" s="38" t="n">
        <f aca="false">Sens!$U$5662</f>
        <v>1.29709472025025</v>
      </c>
      <c r="H5662" s="38" t="n">
        <f aca="false">Sens!$V$5662</f>
        <v>3.21599529914753</v>
      </c>
      <c r="I5662" s="38" t="n">
        <f aca="false">Sens!$W$5662</f>
        <v>5.51832434914753</v>
      </c>
      <c r="J5662" s="38" t="n">
        <f aca="false">Sens!$X$5662</f>
        <v>7.82065339914753</v>
      </c>
      <c r="K5662" s="38" t="n">
        <f aca="false">Sens!$Y$5662</f>
        <v>10.1229824491475</v>
      </c>
      <c r="L5662" s="38" t="n">
        <f aca="false">Sens!$Z$5662</f>
        <v>11.7828795714809</v>
      </c>
      <c r="M5662" s="38" t="n">
        <f aca="false">Sens!$AA$5662</f>
        <v>12.8003447661475</v>
      </c>
      <c r="N5662" s="38" t="n">
        <f aca="false">Sens!$D$5662/2</f>
        <v>0.180274740326067</v>
      </c>
      <c r="O5662" s="38" t="n">
        <f aca="false">Sens!$D$5662/2</f>
        <v>0.180274740326067</v>
      </c>
      <c r="R5662" s="38" t="n">
        <f aca="false">SUMPRODUCT(--(Sens!$R$5626:$AA$5626&lt;Sens!R$5626),Sens!$R$5659:$AA$5659)/fac_life</f>
        <v>0</v>
      </c>
      <c r="S5662" s="38" t="n">
        <f aca="false">SUMPRODUCT(--(Sens!$R$5626:$AA$5626&lt;Sens!S$5626),Sens!$R$5659:$AA$5659)/fac_life</f>
        <v>0.0202511502553155</v>
      </c>
      <c r="T5662" s="38" t="n">
        <f aca="false">SUMPRODUCT(--(Sens!$R$5626:$AA$5626&lt;Sens!T$5626),Sens!$R$5659:$AA$5659)/fac_life</f>
        <v>0.360549480652134</v>
      </c>
      <c r="U5662" s="38" t="n">
        <f aca="false">SUMPRODUCT(--(Sens!$R$5626:$AA$5626&lt;Sens!U$5626),Sens!$R$5659:$AA$5659)/fac_life</f>
        <v>1.29709472025025</v>
      </c>
      <c r="V5662" s="38" t="n">
        <f aca="false">SUMPRODUCT(--(Sens!$R$5626:$AA$5626&lt;Sens!V$5626),Sens!$R$5659:$AA$5659)/fac_life</f>
        <v>3.21599529914753</v>
      </c>
      <c r="W5662" s="38" t="n">
        <f aca="false">SUMPRODUCT(--(Sens!$R$5626:$AA$5626&lt;Sens!W$5626),Sens!$R$5659:$AA$5659)/fac_life</f>
        <v>5.51832434914753</v>
      </c>
      <c r="X5662" s="38" t="n">
        <f aca="false">SUMPRODUCT(--(Sens!$R$5626:$AA$5626&lt;Sens!X$5626),Sens!$R$5659:$AA$5659)/fac_life</f>
        <v>7.82065339914753</v>
      </c>
      <c r="Y5662" s="38" t="n">
        <f aca="false">SUMPRODUCT(--(Sens!$R$5626:$AA$5626&lt;Sens!Y$5626),Sens!$R$5659:$AA$5659)/fac_life</f>
        <v>10.1229824491475</v>
      </c>
      <c r="Z5662" s="38" t="n">
        <f aca="false">SUMPRODUCT(--(Sens!$R$5626:$AA$5626&lt;Sens!Z$5626),Sens!$R$5659:$AA$5659)/fac_life</f>
        <v>11.7828795714809</v>
      </c>
      <c r="AA5662" s="38" t="n">
        <f aca="false">SUMPRODUCT(--(Sens!$R$5626:$AA$5626&lt;Sens!AA$5626),Sens!$R$5659:$AA$5659)/fac_life</f>
        <v>12.8003447661475</v>
      </c>
    </row>
    <row r="5663" customFormat="false" ht="17.15" hidden="false" customHeight="false" outlineLevel="0" collapsed="false">
      <c r="A5663" s="1" t="s">
        <v>633</v>
      </c>
      <c r="B5663" s="8" t="s">
        <v>86</v>
      </c>
      <c r="C5663" s="38" t="n">
        <f aca="false">Sens!$C$5661+Sens!$C$5662</f>
        <v>0.203463948620839</v>
      </c>
      <c r="D5663" s="38" t="n">
        <f aca="false">Sens!$D$5661+Sens!$D$5662</f>
        <v>3.62245206231783</v>
      </c>
      <c r="E5663" s="38" t="n">
        <f aca="false">Sens!$E$5661+Sens!$E$5662</f>
        <v>6.51597588754466</v>
      </c>
      <c r="F5663" s="38" t="n">
        <f aca="false">Sens!$F$5661+Sens!$F$5662</f>
        <v>6.51597588754466</v>
      </c>
      <c r="G5663" s="38" t="n">
        <f aca="false">Sens!$G$5661+Sens!$G$5662</f>
        <v>13.0319517750893</v>
      </c>
      <c r="H5663" s="38" t="n">
        <f aca="false">Sens!$H$5661+Sens!$H$5662</f>
        <v>35.2941921973308</v>
      </c>
      <c r="I5663" s="38" t="n">
        <f aca="false">Sens!$I$5661+Sens!$I$5662</f>
        <v>63.0173185714558</v>
      </c>
      <c r="J5663" s="38" t="n">
        <f aca="false">Sens!$J$5661+Sens!$J$5662</f>
        <v>91.7529624398725</v>
      </c>
      <c r="K5663" s="38" t="n">
        <f aca="false">Sens!$K$5661+Sens!$K$5662</f>
        <v>121.178188209924</v>
      </c>
      <c r="L5663" s="38" t="n">
        <f aca="false">Sens!$L$5661+Sens!$L$5662</f>
        <v>140.562462072316</v>
      </c>
      <c r="M5663" s="38" t="n">
        <f aca="false">Sens!$M$5661+Sens!$M$5662</f>
        <v>152.643764522112</v>
      </c>
      <c r="N5663" s="38" t="n">
        <f aca="false">Sens!$N$5661+Sens!$N$5662</f>
        <v>1.81122603115892</v>
      </c>
      <c r="O5663" s="38" t="n">
        <f aca="false">Sens!$O$5661+Sens!$O$5662</f>
        <v>1.81122603115892</v>
      </c>
      <c r="R5663" s="38" t="n">
        <f aca="false">Sens!$R$5661+Sens!$R$5662</f>
        <v>0</v>
      </c>
      <c r="S5663" s="38" t="n">
        <f aca="false">Sens!$S$5661+Sens!$S$5662</f>
        <v>0.203463948620839</v>
      </c>
      <c r="T5663" s="38" t="n">
        <f aca="false">Sens!$T$5661+Sens!$T$5662</f>
        <v>3.62245206231783</v>
      </c>
      <c r="U5663" s="38" t="n">
        <f aca="false">Sens!$U$5661+Sens!$U$5662</f>
        <v>13.0319517750893</v>
      </c>
      <c r="V5663" s="38" t="n">
        <f aca="false">Sens!$V$5661+Sens!$V$5662</f>
        <v>35.2941921973308</v>
      </c>
      <c r="W5663" s="38" t="n">
        <f aca="false">Sens!$W$5661+Sens!$W$5662</f>
        <v>63.0173185714558</v>
      </c>
      <c r="X5663" s="38" t="n">
        <f aca="false">Sens!$X$5661+Sens!$X$5662</f>
        <v>91.7529624398725</v>
      </c>
      <c r="Y5663" s="38" t="n">
        <f aca="false">Sens!$Y$5661+Sens!$Y$5662</f>
        <v>121.178188209924</v>
      </c>
      <c r="Z5663" s="38" t="n">
        <f aca="false">Sens!$Z$5661+Sens!$Z$5662</f>
        <v>140.562462072316</v>
      </c>
      <c r="AA5663" s="38" t="n">
        <f aca="false">Sens!$AA$5661+Sens!$AA$5662</f>
        <v>152.643764522112</v>
      </c>
    </row>
    <row r="5664" customFormat="false" ht="17.15" hidden="false" customHeight="false" outlineLevel="0" collapsed="false">
      <c r="A5664" s="0" t="s">
        <v>634</v>
      </c>
      <c r="B5664" s="0" t="s">
        <v>86</v>
      </c>
      <c r="C5664" s="38" t="n">
        <f aca="false">Sens!$S$5664</f>
        <v>26.578941154416</v>
      </c>
      <c r="D5664" s="38" t="n">
        <f aca="false">Sens!$T$5664</f>
        <v>92.5251207231008</v>
      </c>
      <c r="G5664" s="38" t="n">
        <f aca="false">Sens!$U$5664</f>
        <v>239.931219586022</v>
      </c>
      <c r="H5664" s="38" t="n">
        <f aca="false">Sens!$V$5664</f>
        <v>403.208392333442</v>
      </c>
      <c r="I5664" s="38" t="n">
        <f aca="false">Sens!$W$5664</f>
        <v>544.837543672486</v>
      </c>
      <c r="J5664" s="38" t="n">
        <f aca="false">Sens!$X$5664</f>
        <v>662.967819343113</v>
      </c>
      <c r="K5664" s="38" t="n">
        <f aca="false">Sens!$Y$5664</f>
        <v>699.805972720013</v>
      </c>
      <c r="L5664" s="38" t="n">
        <f aca="false">Sens!$Z$5664</f>
        <v>696.813564910843</v>
      </c>
      <c r="M5664" s="38" t="n">
        <f aca="false">Sens!$AA$5664</f>
        <v>684.734650983452</v>
      </c>
      <c r="R5664" s="38" t="n">
        <f aca="false">SUM(Sens!$R$5656:$R$5656)-SUM(Sens!$R$5663:$R$5663)</f>
        <v>1.50429979529945</v>
      </c>
      <c r="S5664" s="38" t="n">
        <f aca="false">SUM(Sens!$R$5656:$S$5656)-SUM(Sens!$R$5663:$S$5663)</f>
        <v>26.578941154416</v>
      </c>
      <c r="T5664" s="38" t="n">
        <f aca="false">SUM(Sens!$R$5656:$T$5656)-SUM(Sens!$R$5663:$T$5663)</f>
        <v>92.5251207231008</v>
      </c>
      <c r="U5664" s="38" t="n">
        <f aca="false">SUM(Sens!$R$5656:$U$5656)-SUM(Sens!$R$5663:$U$5663)</f>
        <v>239.931219586022</v>
      </c>
      <c r="V5664" s="38" t="n">
        <f aca="false">SUM(Sens!$R$5656:$V$5656)-SUM(Sens!$R$5663:$V$5663)</f>
        <v>403.208392333442</v>
      </c>
      <c r="W5664" s="38" t="n">
        <f aca="false">SUM(Sens!$R$5656:$W$5656)-SUM(Sens!$R$5663:$W$5663)</f>
        <v>544.837543672486</v>
      </c>
      <c r="X5664" s="38" t="n">
        <f aca="false">SUM(Sens!$R$5656:$X$5656)-SUM(Sens!$R$5663:$X$5663)</f>
        <v>662.967819343113</v>
      </c>
      <c r="Y5664" s="38" t="n">
        <f aca="false">SUM(Sens!$R$5656:$Y$5656)-SUM(Sens!$R$5663:$Y$5663)</f>
        <v>699.805972720013</v>
      </c>
      <c r="Z5664" s="38" t="n">
        <f aca="false">SUM(Sens!$R$5656:$Z$5656)-SUM(Sens!$R$5663:$Z$5663)</f>
        <v>696.813564910843</v>
      </c>
      <c r="AA5664" s="38" t="n">
        <f aca="false">SUM(Sens!$R$5656:$AA$5656)-SUM(Sens!$R$5663:$AA$5663)</f>
        <v>684.734650983452</v>
      </c>
    </row>
    <row r="5665" customFormat="false" ht="17.15" hidden="false" customHeight="false" outlineLevel="0" collapsed="false">
      <c r="A5665" s="1" t="s">
        <v>635</v>
      </c>
    </row>
    <row r="5666" customFormat="false" ht="17.15" hidden="false" customHeight="false" outlineLevel="0" collapsed="false">
      <c r="A5666" s="0" t="s">
        <v>636</v>
      </c>
      <c r="B5666" s="0" t="s">
        <v>86</v>
      </c>
      <c r="C5666" s="38" t="n">
        <f aca="false">Sens!$C$5647-ext_sh*Sens!$C$5649</f>
        <v>1.80694998843362</v>
      </c>
      <c r="D5666" s="38" t="n">
        <f aca="false">Sens!$D$5647-ext_sh*Sens!$D$5649</f>
        <v>6.77606245662607</v>
      </c>
      <c r="E5666" s="38" t="n">
        <f aca="false">Sens!$E$5647-ext_sh*Sens!$E$5649</f>
        <v>6.62548329092326</v>
      </c>
      <c r="F5666" s="38" t="n">
        <f aca="false">Sens!$F$5647-ext_sh*Sens!$F$5649</f>
        <v>11.7200577158706</v>
      </c>
      <c r="G5666" s="38" t="n">
        <f aca="false">Sens!$G$5647-ext_sh*Sens!$G$5649</f>
        <v>18.3455410067939</v>
      </c>
      <c r="H5666" s="38" t="n">
        <f aca="false">Sens!$H$5647-ext_sh*Sens!$H$5649</f>
        <v>47.5171727060453</v>
      </c>
      <c r="I5666" s="38" t="n">
        <f aca="false">Sens!$I$5647-ext_sh*Sens!$I$5649</f>
        <v>80.5539692643667</v>
      </c>
      <c r="J5666" s="38" t="n">
        <f aca="false">Sens!$J$5647-ext_sh*Sens!$J$5649</f>
        <v>113.759316834883</v>
      </c>
      <c r="K5666" s="38" t="n">
        <f aca="false">Sens!$K$5647-ext_sh*Sens!$K$5649</f>
        <v>142.313600225088</v>
      </c>
      <c r="L5666" s="38" t="n">
        <f aca="false">Sens!$L$5647-ext_sh*Sens!$L$5649</f>
        <v>161.610137806934</v>
      </c>
      <c r="M5666" s="38" t="n">
        <f aca="false">Sens!$M$5647-ext_sh*Sens!$M$5649</f>
        <v>171.622526917459</v>
      </c>
      <c r="N5666" s="38" t="n">
        <f aca="false">Sens!$N$5647-ext_sh*Sens!$N$5649</f>
        <v>2.37162185981912</v>
      </c>
      <c r="O5666" s="38" t="n">
        <f aca="false">Sens!$O$5647-ext_sh*Sens!$O$5649</f>
        <v>4.40444059680694</v>
      </c>
    </row>
    <row r="5667" customFormat="false" ht="17.15" hidden="false" customHeight="false" outlineLevel="0" collapsed="false">
      <c r="A5667" s="1" t="s">
        <v>637</v>
      </c>
      <c r="B5667" s="8" t="s">
        <v>86</v>
      </c>
      <c r="C5667" s="38" t="n">
        <f aca="false">Sens!$C$5666-ext_sh*Sens!$C$5663</f>
        <v>1.64417882953695</v>
      </c>
      <c r="D5667" s="38" t="n">
        <f aca="false">Sens!$D$5666-ext_sh*Sens!$D$5663</f>
        <v>3.8781008067718</v>
      </c>
      <c r="E5667" s="38" t="n">
        <f aca="false">Sens!$E$5666-ext_sh*Sens!$E$5663</f>
        <v>1.41270258088753</v>
      </c>
      <c r="F5667" s="38" t="n">
        <f aca="false">Sens!$F$5666-ext_sh*Sens!$F$5663</f>
        <v>6.50727700583486</v>
      </c>
      <c r="G5667" s="38" t="n">
        <f aca="false">Sens!$G$5666-ext_sh*Sens!$G$5663</f>
        <v>7.9199795867224</v>
      </c>
      <c r="H5667" s="38" t="n">
        <f aca="false">Sens!$H$5666-ext_sh*Sens!$H$5663</f>
        <v>19.2818189481807</v>
      </c>
      <c r="I5667" s="38" t="n">
        <f aca="false">Sens!$I$5666-ext_sh*Sens!$I$5663</f>
        <v>30.140114407202</v>
      </c>
      <c r="J5667" s="38" t="n">
        <f aca="false">Sens!$J$5666-ext_sh*Sens!$J$5663</f>
        <v>40.3569468829854</v>
      </c>
      <c r="K5667" s="38" t="n">
        <f aca="false">Sens!$K$5666-ext_sh*Sens!$K$5663</f>
        <v>45.3710496571487</v>
      </c>
      <c r="L5667" s="38" t="n">
        <f aca="false">Sens!$L$5666-ext_sh*Sens!$L$5663</f>
        <v>49.1601681490812</v>
      </c>
      <c r="M5667" s="38" t="n">
        <f aca="false">Sens!$M$5666-ext_sh*Sens!$M$5663</f>
        <v>49.5075152997692</v>
      </c>
      <c r="N5667" s="38" t="n">
        <f aca="false">Sens!$N$5666-ext_sh*Sens!$N$5663</f>
        <v>0.92264103489199</v>
      </c>
      <c r="O5667" s="38" t="n">
        <f aca="false">Sens!$O$5666-ext_sh*Sens!$O$5663</f>
        <v>2.95545977187981</v>
      </c>
    </row>
    <row r="5668" customFormat="false" ht="17.15" hidden="false" customHeight="false" outlineLevel="0" collapsed="false">
      <c r="A5668" s="0" t="s">
        <v>638</v>
      </c>
      <c r="B5668" s="0" t="s">
        <v>52</v>
      </c>
      <c r="C5668" s="13" t="n">
        <f aca="false">Sens!$C$5667/Sens!$C$5647</f>
        <v>0.708390794789371</v>
      </c>
      <c r="D5668" s="13" t="n">
        <f aca="false">Sens!$D$5667/Sens!$D$5647</f>
        <v>0.445565630441968</v>
      </c>
      <c r="E5668" s="13" t="n">
        <f aca="false">Sens!$E$5667/Sens!$E$5647</f>
        <v>0.165998118402711</v>
      </c>
      <c r="F5668" s="13" t="n">
        <f aca="false">Sens!$F$5667/Sens!$F$5647</f>
        <v>0.434878595403858</v>
      </c>
      <c r="G5668" s="13" t="n">
        <f aca="false">Sens!$G$5667/Sens!$G$5647</f>
        <v>0.3373967615381</v>
      </c>
      <c r="H5668" s="13" t="n">
        <f aca="false">Sens!$H$5667/Sens!$H$5647</f>
        <v>0.320477578041224</v>
      </c>
      <c r="I5668" s="13" t="n">
        <f aca="false">Sens!$I$5667/Sens!$I$5647</f>
        <v>0.296936118226494</v>
      </c>
      <c r="J5668" s="13" t="n">
        <f aca="false">Sens!$J$5667/Sens!$J$5647</f>
        <v>0.282166278613001</v>
      </c>
      <c r="K5668" s="13" t="n">
        <f aca="false">Sens!$K$5667/Sens!$K$5647</f>
        <v>0.253846631705782</v>
      </c>
      <c r="L5668" s="13" t="n">
        <f aca="false">Sens!$L$5667/Sens!$L$5647</f>
        <v>0.242329240574153</v>
      </c>
      <c r="M5668" s="13" t="n">
        <f aca="false">Sens!$M$5667/Sens!$M$5647</f>
        <v>0.229850708860382</v>
      </c>
      <c r="N5668" s="13" t="n">
        <f aca="false">Sens!$N$5667/Sens!$N$5647</f>
        <v>0.302870734830849</v>
      </c>
      <c r="O5668" s="13" t="n">
        <f aca="false">Sens!$O$5667/Sens!$O$5647</f>
        <v>0.52240134346334</v>
      </c>
    </row>
    <row r="5669" customFormat="false" ht="17.15" hidden="false" customHeight="false" outlineLevel="0" collapsed="false">
      <c r="A5669" s="5" t="s">
        <v>639</v>
      </c>
      <c r="B5669" s="0" t="s">
        <v>86</v>
      </c>
      <c r="C5669" s="39" t="n">
        <v>0</v>
      </c>
      <c r="D5669" s="39" t="n">
        <v>0</v>
      </c>
      <c r="E5669" s="39" t="n">
        <v>0</v>
      </c>
      <c r="F5669" s="38" t="n">
        <f aca="false">IF(internal_ai_reading=2,1,0)*(1-ext_sh)/ext_sh*(mw_open*he_open+Sens!$F$5645*Sens!$F$5642)*Sens!$F$5631/1000</f>
        <v>3.77122048175818</v>
      </c>
      <c r="G5669" s="38" t="n">
        <f aca="false">Sens!$E$5669+Sens!$F$5669</f>
        <v>3.77122048175818</v>
      </c>
      <c r="H5669" s="38" t="n">
        <f aca="false">IF(internal_ai_reading=2,1,0)*(1-ext_sh)/ext_sh*(mw_open*he_open+Sens!$H$5645*Sens!$H$5642)*Sens!$H$5631/1000</f>
        <v>15.1635543609893</v>
      </c>
      <c r="I5669" s="38" t="n">
        <f aca="false">IF(internal_ai_reading=2,1,0)*(1-ext_sh)/ext_sh*(mw_open*he_open+Sens!$I$5645*Sens!$I$5642)*Sens!$I$5631/1000</f>
        <v>25.5818843619889</v>
      </c>
      <c r="J5669" s="38" t="n">
        <f aca="false">IF(internal_ai_reading=2,1,0)*(1-ext_sh)/ext_sh*(mw_open*he_open+Sens!$J$5645*Sens!$J$5642)*Sens!$J$5631/1000</f>
        <v>36.0465624179122</v>
      </c>
      <c r="K5669" s="38" t="n">
        <f aca="false">IF(internal_ai_reading=2,1,0)*(1-ext_sh)/ext_sh*(mw_open*he_open+Sens!$K$5645*Sens!$K$5642)*Sens!$K$5631/1000</f>
        <v>45.0461919819152</v>
      </c>
      <c r="L5669" s="38" t="n">
        <f aca="false">IF(internal_ai_reading=2,1,0)*(1-ext_sh)/ext_sh*(mw_open*he_open+Sens!$L$5645*Sens!$L$5642)*Sens!$L$5631/1000</f>
        <v>51.1279288493339</v>
      </c>
      <c r="M5669" s="38" t="n">
        <f aca="false">IF(internal_ai_reading=2,1,0)*(1-ext_sh)/ext_sh*(mw_open*he_open+Sens!$M$5645*Sens!$M$5642)*Sens!$M$5631/1000</f>
        <v>54.2845128319481</v>
      </c>
      <c r="N5669" s="39" t="n">
        <v>0</v>
      </c>
      <c r="O5669" s="39" t="n">
        <v>0</v>
      </c>
      <c r="P5669" s="8" t="s">
        <v>640</v>
      </c>
    </row>
    <row r="5670" customFormat="false" ht="17.15" hidden="false" customHeight="false" outlineLevel="0" collapsed="false">
      <c r="A5670" s="5" t="s">
        <v>641</v>
      </c>
      <c r="B5670" s="0" t="s">
        <v>86</v>
      </c>
      <c r="C5670" s="38" t="n">
        <f aca="false">(1-ext_sh)*(Sens!$C$5649+Sens!$C$5663)</f>
        <v>0.169206631859174</v>
      </c>
      <c r="D5670" s="38" t="n">
        <f aca="false">(1-ext_sh)*(Sens!$D$5649+Sens!$D$5663)</f>
        <v>1.20641732046984</v>
      </c>
      <c r="E5670" s="38" t="n">
        <f aca="false">(1-ext_sh)*(Sens!$E$5649+Sens!$E$5663)</f>
        <v>1.77441259867062</v>
      </c>
      <c r="F5670" s="38" t="n">
        <f aca="false">(1-ext_sh)*(Sens!$F$5649+Sens!$F$5663)</f>
        <v>2.1140391597214</v>
      </c>
      <c r="G5670" s="38" t="n">
        <f aca="false">(1-ext_sh)*(Sens!$G$5649+Sens!$G$5663)</f>
        <v>3.88845175839202</v>
      </c>
      <c r="H5670" s="38" t="n">
        <f aca="false">(1-ext_sh)*(Sens!$H$5649+Sens!$H$5663)</f>
        <v>10.2210179503985</v>
      </c>
      <c r="I5670" s="38" t="n">
        <f aca="false">(1-ext_sh)*(Sens!$I$5649+Sens!$I$5663)</f>
        <v>17.8408961823075</v>
      </c>
      <c r="J5670" s="38" t="n">
        <f aca="false">(1-ext_sh)*(Sens!$J$5649+Sens!$J$5663)</f>
        <v>25.6671150670732</v>
      </c>
      <c r="K5670" s="38" t="n">
        <f aca="false">(1-ext_sh)*(Sens!$K$5649+Sens!$K$5663)</f>
        <v>33.3407629808178</v>
      </c>
      <c r="L5670" s="38" t="n">
        <f aca="false">(1-ext_sh)*(Sens!$L$5649+Sens!$L$5663)</f>
        <v>38.42625620289</v>
      </c>
      <c r="M5670" s="38" t="n">
        <f aca="false">(1-ext_sh)*(Sens!$M$5649+Sens!$M$5663)</f>
        <v>41.4705897615494</v>
      </c>
      <c r="N5670" s="38" t="n">
        <f aca="false">(1-ext_sh)*(Sens!$N$5649+Sens!$N$5663)</f>
        <v>0.530919624033979</v>
      </c>
      <c r="O5670" s="38" t="n">
        <f aca="false">(1-ext_sh)*(Sens!$O$5649+Sens!$O$5663)</f>
        <v>0.675497696435861</v>
      </c>
    </row>
    <row r="5671" customFormat="false" ht="17.15" hidden="false" customHeight="false" outlineLevel="0" collapsed="false">
      <c r="A5671" s="0" t="s">
        <v>642</v>
      </c>
      <c r="B5671" s="0" t="s">
        <v>86</v>
      </c>
      <c r="C5671" s="38" t="n">
        <f aca="false">Q!$D$24</f>
        <v>39.834</v>
      </c>
      <c r="D5671" s="38" t="n">
        <f aca="false">Q!$E$24</f>
        <v>45.606</v>
      </c>
      <c r="E5671" s="38" t="n">
        <f aca="false">Q!$P$24</f>
        <v>30.782</v>
      </c>
      <c r="N5671" s="38" t="n">
        <f aca="false">Q!$N$24</f>
        <v>21.707</v>
      </c>
      <c r="O5671" s="38" t="n">
        <f aca="false">Q!$O$24</f>
        <v>23.899</v>
      </c>
    </row>
    <row r="5672" customFormat="false" ht="17.15" hidden="false" customHeight="false" outlineLevel="0" collapsed="false">
      <c r="A5672" s="0" t="s">
        <v>643</v>
      </c>
      <c r="B5672" s="0" t="s">
        <v>86</v>
      </c>
      <c r="C5672" s="38" t="n">
        <f aca="false">Sens!$C$5671-Sens!$C$5667</f>
        <v>38.1898211704631</v>
      </c>
      <c r="D5672" s="38" t="n">
        <f aca="false">Sens!$D$5671-Sens!$D$5667</f>
        <v>41.7278991932282</v>
      </c>
      <c r="E5672" s="38" t="n">
        <f aca="false">Sens!$E$5671-Sens!$E$5667</f>
        <v>29.3692974191125</v>
      </c>
      <c r="F5672" s="38" t="n">
        <f aca="false">Sens!$F$5651*Sens!$F$5673</f>
        <v>26.8997276714137</v>
      </c>
      <c r="G5672" s="38" t="n">
        <f aca="false">Sens!$E$5672+Sens!$F$5672</f>
        <v>56.2690250905262</v>
      </c>
      <c r="H5672" s="38" t="n">
        <f aca="false">Sens!$H$5651*Sens!$H$5673</f>
        <v>60.3505333937343</v>
      </c>
      <c r="I5672" s="38" t="n">
        <f aca="false">Sens!$I$5651*Sens!$I$5673</f>
        <v>67.0043857303571</v>
      </c>
      <c r="J5672" s="38" t="n">
        <f aca="false">Sens!$J$5651*Sens!$J$5673</f>
        <v>73.3782922956925</v>
      </c>
      <c r="K5672" s="38" t="n">
        <f aca="false">Sens!$K$5651*Sens!$K$5673</f>
        <v>79.2485556793479</v>
      </c>
      <c r="L5672" s="38" t="n">
        <f aca="false">Sens!$L$5651*Sens!$L$5673</f>
        <v>85.5884401336958</v>
      </c>
      <c r="M5672" s="38" t="n">
        <f aca="false">Sens!$M$5651*Sens!$M$5673</f>
        <v>92.4355153443914</v>
      </c>
      <c r="N5672" s="38" t="n">
        <f aca="false">Sens!$N$5671-Sens!$N$5667</f>
        <v>20.784358965108</v>
      </c>
      <c r="O5672" s="38" t="n">
        <f aca="false">Sens!$O$5671-Sens!$O$5667</f>
        <v>20.9435402281202</v>
      </c>
      <c r="P5672" s="5" t="s">
        <v>644</v>
      </c>
    </row>
    <row r="5673" customFormat="false" ht="17.15" hidden="false" customHeight="false" outlineLevel="0" collapsed="false">
      <c r="A5673" s="0" t="s">
        <v>645</v>
      </c>
      <c r="B5673" s="0" t="s">
        <v>52</v>
      </c>
      <c r="C5673" s="13" t="n">
        <f aca="false">Sens!$C$5672/Sens!$C$5651</f>
        <v>0.362900395443635</v>
      </c>
      <c r="D5673" s="13" t="n">
        <f aca="false">Sens!$D$5672/Sens!$D$5651</f>
        <v>0.34767098474203</v>
      </c>
      <c r="E5673" s="13" t="n">
        <f aca="false">Sens!$E$5672/Sens!$E$5651</f>
        <v>0.411861655558416</v>
      </c>
      <c r="F5673" s="13" t="n">
        <f aca="false">(Sens!$O$5672+Sens!$E$5672)/(Sens!$O$5651+Sens!$E$5651)</f>
        <v>0.37480827803158</v>
      </c>
      <c r="G5673" s="13" t="n">
        <f aca="false">Sens!$G$5672/Sens!$G$5651</f>
        <v>0.393275318395757</v>
      </c>
      <c r="H5673" s="13" t="n">
        <f aca="false">Sens!$F$5673</f>
        <v>0.37480827803158</v>
      </c>
      <c r="I5673" s="13" t="n">
        <f aca="false">Sens!$F$5673</f>
        <v>0.37480827803158</v>
      </c>
      <c r="J5673" s="13" t="n">
        <f aca="false">Sens!$F$5673</f>
        <v>0.37480827803158</v>
      </c>
      <c r="K5673" s="13" t="n">
        <f aca="false">Sens!$F$5673</f>
        <v>0.37480827803158</v>
      </c>
      <c r="L5673" s="13" t="n">
        <f aca="false">Sens!$F$5673</f>
        <v>0.37480827803158</v>
      </c>
      <c r="M5673" s="13" t="n">
        <f aca="false">Sens!$F$5673</f>
        <v>0.37480827803158</v>
      </c>
      <c r="N5673" s="13" t="n">
        <f aca="false">Sens!$N$5672/Sens!$N$5651</f>
        <v>0.364039571356823</v>
      </c>
      <c r="O5673" s="13" t="n">
        <f aca="false">Sens!$O$5672/Sens!$O$5651</f>
        <v>0.332819892300086</v>
      </c>
      <c r="P5673" s="8" t="s">
        <v>646</v>
      </c>
    </row>
    <row r="5674" customFormat="false" ht="17.15" hidden="false" customHeight="false" outlineLevel="0" collapsed="false">
      <c r="A5674" s="0" t="s">
        <v>647</v>
      </c>
      <c r="B5674" s="0" t="s">
        <v>52</v>
      </c>
      <c r="D5674" s="13" t="n">
        <f aca="false">(Q!$E$31-ext_sh*Sens!$D$5663)/Sens!$D$5651</f>
        <v>0.154572973163571</v>
      </c>
    </row>
    <row r="5675" customFormat="false" ht="17.15" hidden="false" customHeight="false" outlineLevel="0" collapsed="false">
      <c r="A5675" s="0" t="s">
        <v>648</v>
      </c>
      <c r="B5675" s="0" t="s">
        <v>86</v>
      </c>
      <c r="C5675" s="38" t="n">
        <f aca="false">Q!$D$31</f>
        <v>13.32</v>
      </c>
      <c r="D5675" s="38" t="n">
        <f aca="false">Q!$E$31</f>
        <v>21.45</v>
      </c>
      <c r="E5675" s="38" t="n">
        <f aca="false">Q!$P$31</f>
        <v>15.353</v>
      </c>
      <c r="F5675" s="38" t="n">
        <f aca="false">ext_sh*Sens!$F$5663+Sens!$D$5674*Sens!$F$5651</f>
        <v>16.3063747611001</v>
      </c>
      <c r="G5675" s="38" t="n">
        <f aca="false">Sens!$E$5675+Sens!$F$5675</f>
        <v>31.6593747611001</v>
      </c>
      <c r="H5675" s="38" t="n">
        <f aca="false">ext_sh*Sens!$H$5663+Sens!$D$5674*Sens!$H$5651</f>
        <v>53.124242092105</v>
      </c>
      <c r="I5675" s="38" t="n">
        <f aca="false">ext_sh*Sens!$I$5663+Sens!$D$5674*Sens!$I$5651</f>
        <v>78.046828098133</v>
      </c>
      <c r="J5675" s="38" t="n">
        <f aca="false">ext_sh*Sens!$J$5663+Sens!$D$5674*Sens!$J$5651</f>
        <v>103.663976940352</v>
      </c>
      <c r="K5675" s="38" t="n">
        <f aca="false">ext_sh*Sens!$K$5663+Sens!$D$5674*Sens!$K$5651</f>
        <v>129.625086115469</v>
      </c>
      <c r="L5675" s="38" t="n">
        <f aca="false">ext_sh*Sens!$L$5663+Sens!$D$5674*Sens!$L$5651</f>
        <v>147.747108049185</v>
      </c>
      <c r="M5675" s="38" t="n">
        <f aca="false">ext_sh*Sens!$M$5663+Sens!$D$5674*Sens!$M$5651</f>
        <v>160.235921080328</v>
      </c>
      <c r="N5675" s="38" t="n">
        <f aca="false">Q!$N$31</f>
        <v>9.234</v>
      </c>
      <c r="O5675" s="38" t="n">
        <f aca="false">Q!$O$31</f>
        <v>12.216</v>
      </c>
    </row>
    <row r="5676" customFormat="false" ht="17.15" hidden="false" customHeight="false" outlineLevel="0" collapsed="false">
      <c r="A5676" s="1" t="s">
        <v>649</v>
      </c>
    </row>
    <row r="5677" customFormat="false" ht="17.15" hidden="false" customHeight="false" outlineLevel="0" collapsed="false">
      <c r="A5677" s="15" t="s">
        <v>650</v>
      </c>
      <c r="B5677" s="14" t="s">
        <v>52</v>
      </c>
      <c r="C5677" s="14"/>
      <c r="D5677" s="14"/>
      <c r="E5677" s="14"/>
      <c r="F5677" s="14"/>
      <c r="G5677" s="17" t="n">
        <f aca="false">Sens!$G$5667*(1-tax)/(ext_sh*(Sens!$D$5664+Sens!$G$5664)/2)</f>
        <v>0.0492184452944045</v>
      </c>
      <c r="H5677" s="17" t="n">
        <f aca="false">Sens!$H$5667*(1-tax)/(ext_sh*(Sens!$G$5664+Sens!$H$5664)/2)</f>
        <v>0.0619414246858107</v>
      </c>
      <c r="I5677" s="17" t="n">
        <f aca="false">Sens!$I$5667*(1-tax)/(ext_sh*(Sens!$H$5664+Sens!$I$5664)/2)</f>
        <v>0.0656831488051666</v>
      </c>
      <c r="J5677" s="17" t="n">
        <f aca="false">Sens!$J$5667*(1-tax)/(ext_sh*(Sens!$I$5664+Sens!$J$5664)/2)</f>
        <v>0.0690334849962116</v>
      </c>
      <c r="K5677" s="17" t="n">
        <f aca="false">Sens!$K$5667*(1-tax)/(ext_sh*(Sens!$J$5664+Sens!$K$5664)/2)</f>
        <v>0.068784962145751</v>
      </c>
      <c r="L5677" s="17" t="n">
        <f aca="false">Sens!$L$5667*(1-tax)/(ext_sh*(Sens!$K$5664+Sens!$L$5664)/2)</f>
        <v>0.0727233196616126</v>
      </c>
      <c r="M5677" s="17" t="n">
        <f aca="false">Sens!$M$5667*(1-tax)/(ext_sh*(Sens!$L$5664+Sens!$M$5664)/2)</f>
        <v>0.0740360999014999</v>
      </c>
      <c r="N5677" s="14"/>
      <c r="O5677" s="14"/>
      <c r="P5677" s="8" t="s">
        <v>651</v>
      </c>
    </row>
    <row r="5678" customFormat="false" ht="17.15" hidden="false" customHeight="false" outlineLevel="0" collapsed="false">
      <c r="A5678" s="5" t="s">
        <v>652</v>
      </c>
      <c r="B5678" s="0" t="s">
        <v>57</v>
      </c>
      <c r="H5678" s="36" t="n">
        <f aca="false">Sens!$H$5647*1000/(mw_open*he_open+Sens!$H$5645*Sens!$H$5642)</f>
        <v>0.991949006767191</v>
      </c>
      <c r="I5678" s="36" t="n">
        <f aca="false">Sens!$I$5647*1000/(mw_open*he_open+Sens!$I$5645*Sens!$I$5642)</f>
        <v>0.991949006767191</v>
      </c>
      <c r="J5678" s="36" t="n">
        <f aca="false">Sens!$J$5647*1000/(mw_open*he_open+Sens!$J$5645*Sens!$J$5642)</f>
        <v>0.991949006767191</v>
      </c>
      <c r="K5678" s="36" t="n">
        <f aca="false">Sens!$K$5647*1000/(mw_open*he_open+Sens!$K$5645*Sens!$K$5642)</f>
        <v>0.991949006767191</v>
      </c>
      <c r="L5678" s="36" t="n">
        <f aca="false">Sens!$L$5647*1000/(mw_open*he_open+Sens!$L$5645*Sens!$L$5642)</f>
        <v>0.991949006767191</v>
      </c>
      <c r="M5678" s="36" t="n">
        <f aca="false">Sens!$M$5647*1000/(mw_open*he_open+Sens!$M$5645*Sens!$M$5642)</f>
        <v>0.991949006767191</v>
      </c>
    </row>
    <row r="5679" customFormat="false" ht="17.15" hidden="false" customHeight="false" outlineLevel="0" collapsed="false">
      <c r="A5679" s="5" t="s">
        <v>653</v>
      </c>
      <c r="B5679" s="0" t="s">
        <v>57</v>
      </c>
      <c r="H5679" s="36" t="n">
        <f aca="false">Sens!$H$5678*(Sens!$H$5647+wacc*ext_sh*(Sens!$G$5664+Sens!$H$5664)/2/(1-tax)-Sens!$H$5667)/Sens!$H$5647</f>
        <v>1.25551961623259</v>
      </c>
      <c r="I5679" s="36" t="n">
        <f aca="false">Sens!$I$5678*(Sens!$I$5647+wacc*ext_sh*(Sens!$H$5664+Sens!$I$5664)/2/(1-tax)-Sens!$I$5667)/Sens!$I$5647</f>
        <v>1.2054675393263</v>
      </c>
      <c r="J5679" s="36" t="n">
        <f aca="false">Sens!$J$5678*(Sens!$J$5647+wacc*ext_sh*(Sens!$I$5664+Sens!$J$5664)/2/(1-tax)-Sens!$J$5667)/Sens!$J$5647</f>
        <v>1.17141604927023</v>
      </c>
      <c r="K5679" s="36" t="n">
        <f aca="false">Sens!$K$5678*(Sens!$K$5647+wacc*ext_sh*(Sens!$J$5664+Sens!$K$5664)/2/(1-tax)-Sens!$K$5667)/Sens!$K$5647</f>
        <v>1.15489693840538</v>
      </c>
      <c r="L5679" s="36" t="n">
        <f aca="false">Sens!$L$5678*(Sens!$L$5647+wacc*ext_sh*(Sens!$K$5664+Sens!$L$5664)/2/(1-tax)-Sens!$L$5667)/Sens!$L$5647</f>
        <v>1.12606185986126</v>
      </c>
      <c r="M5679" s="36" t="n">
        <f aca="false">Sens!$M$5678*(Sens!$M$5647+wacc*ext_sh*(Sens!$L$5664+Sens!$M$5664)/2/(1-tax)-Sens!$M$5667)/Sens!$M$5647</f>
        <v>1.11285743915892</v>
      </c>
    </row>
    <row r="5680" customFormat="false" ht="17.15" hidden="false" customHeight="false" outlineLevel="0" collapsed="false">
      <c r="A5680" s="5" t="s">
        <v>654</v>
      </c>
      <c r="B5680" s="0" t="s">
        <v>52</v>
      </c>
      <c r="C5680" s="13" t="n">
        <f aca="false">Sens!$C$5648/tk_pq</f>
        <v>0.195316432429398</v>
      </c>
      <c r="D5680" s="13" t="n">
        <f aca="false">Sens!$D$5648/tk_pq</f>
        <v>0.195316432429398</v>
      </c>
      <c r="E5680" s="13" t="n">
        <f aca="false">Sens!$E$5648/tk_pq</f>
        <v>0.195316432429398</v>
      </c>
      <c r="F5680" s="13" t="n">
        <f aca="false">Sens!$F$5648/tk_pq</f>
        <v>0.202241827274866</v>
      </c>
      <c r="G5680" s="13" t="n">
        <f aca="false">Sens!$G$5648/tk_pq</f>
        <v>0.199675016194063</v>
      </c>
      <c r="H5680" s="13" t="n">
        <f aca="false">Sens!$H$5648/tk_pq</f>
        <v>0.212647947710325</v>
      </c>
      <c r="I5680" s="13" t="n">
        <f aca="false">Sens!$I$5648/tk_pq</f>
        <v>0.219285125475351</v>
      </c>
      <c r="J5680" s="13" t="n">
        <f aca="false">Sens!$J$5648/tk_pq</f>
        <v>0.222492493217189</v>
      </c>
      <c r="K5680" s="13" t="n">
        <f aca="false">Sens!$K$5648/tk_pq</f>
        <v>0.224068966220005</v>
      </c>
      <c r="L5680" s="13" t="n">
        <f aca="false">Sens!$L$5648/tk_pq</f>
        <v>0.224830053471997</v>
      </c>
      <c r="M5680" s="13" t="n">
        <f aca="false">Sens!$M$5648/tk_pq</f>
        <v>0.22513299704272</v>
      </c>
      <c r="N5680" s="13" t="n">
        <f aca="false">Sens!$N$5648/tk_pq</f>
        <v>0.195316432429398</v>
      </c>
      <c r="O5680" s="13" t="n">
        <f aca="false">Sens!$O$5648/tk_pq</f>
        <v>0.195316432429398</v>
      </c>
      <c r="P5680" s="5" t="s">
        <v>655</v>
      </c>
    </row>
    <row r="5683" customFormat="false" ht="17.15" hidden="false" customHeight="false" outlineLevel="0" collapsed="false">
      <c r="A5683" s="1" t="s">
        <v>684</v>
      </c>
    </row>
    <row r="5684" customFormat="false" ht="17.15" hidden="false" customHeight="false" outlineLevel="0" collapsed="false">
      <c r="A5684" s="0" t="s">
        <v>685</v>
      </c>
      <c r="B5684" s="0" t="s">
        <v>86</v>
      </c>
      <c r="C5684" s="38" t="n">
        <f aca="false">Sens!$C$5647</f>
        <v>2.32100535697364</v>
      </c>
      <c r="D5684" s="38" t="n">
        <f aca="false">Sens!$D$5647</f>
        <v>8.70377008865116</v>
      </c>
      <c r="E5684" s="38" t="n">
        <f aca="false">Sens!$E$5647</f>
        <v>8.51035297557002</v>
      </c>
      <c r="F5684" s="38" t="n">
        <f aca="false">Sens!$F$5647</f>
        <v>14.9634336447205</v>
      </c>
      <c r="G5684" s="38" t="n">
        <f aca="false">Sens!$G$5647</f>
        <v>23.4737866202905</v>
      </c>
      <c r="H5684" s="38" t="n">
        <f aca="false">Sens!$H$5647</f>
        <v>60.1658907497746</v>
      </c>
      <c r="I5684" s="38" t="n">
        <f aca="false">Sens!$I$5647</f>
        <v>101.503699136432</v>
      </c>
      <c r="J5684" s="38" t="n">
        <f aca="false">Sens!$J$5647</f>
        <v>143.025407151278</v>
      </c>
      <c r="K5684" s="38" t="n">
        <f aca="false">Sens!$K$5647</f>
        <v>178.73410158042</v>
      </c>
      <c r="L5684" s="38" t="n">
        <f aca="false">Sens!$L$5647</f>
        <v>202.865192960641</v>
      </c>
      <c r="M5684" s="38" t="n">
        <f aca="false">Sens!$M$5647</f>
        <v>215.389874345967</v>
      </c>
      <c r="N5684" s="38" t="n">
        <f aca="false">Sens!$N$5647</f>
        <v>3.04631953102791</v>
      </c>
      <c r="O5684" s="38" t="n">
        <f aca="false">Sens!$O$5647</f>
        <v>5.65745055762326</v>
      </c>
      <c r="P5684" s="8" t="s">
        <v>686</v>
      </c>
    </row>
    <row r="5685" customFormat="false" ht="17.15" hidden="false" customHeight="false" outlineLevel="0" collapsed="false">
      <c r="A5685" s="0" t="s">
        <v>687</v>
      </c>
      <c r="B5685" s="0" t="s">
        <v>86</v>
      </c>
      <c r="C5685" s="38" t="n">
        <f aca="false">Sens!$C$5651</f>
        <v>105.234994643026</v>
      </c>
      <c r="D5685" s="38" t="n">
        <f aca="false">Sens!$D$5651</f>
        <v>120.021229911349</v>
      </c>
      <c r="E5685" s="38" t="n">
        <f aca="false">Sens!$E$5651</f>
        <v>71.30864702443</v>
      </c>
      <c r="F5685" s="38" t="n">
        <f aca="false">Sens!$F$5651</f>
        <v>71.7692997942464</v>
      </c>
      <c r="G5685" s="38" t="n">
        <f aca="false">Sens!$G$5651</f>
        <v>143.077946818676</v>
      </c>
      <c r="H5685" s="38" t="n">
        <f aca="false">Sens!$H$5651</f>
        <v>161.017077079203</v>
      </c>
      <c r="I5685" s="38" t="n">
        <f aca="false">Sens!$I$5651</f>
        <v>178.769759521457</v>
      </c>
      <c r="J5685" s="38" t="n">
        <f aca="false">Sens!$J$5651</f>
        <v>195.775538045907</v>
      </c>
      <c r="K5685" s="38" t="n">
        <f aca="false">Sens!$K$5651</f>
        <v>211.43758108958</v>
      </c>
      <c r="L5685" s="38" t="n">
        <f aca="false">Sens!$L$5651</f>
        <v>228.352587576746</v>
      </c>
      <c r="M5685" s="38" t="n">
        <f aca="false">Sens!$M$5651</f>
        <v>246.620794582886</v>
      </c>
      <c r="N5685" s="38" t="n">
        <f aca="false">Sens!$N$5651</f>
        <v>57.0936804689721</v>
      </c>
      <c r="O5685" s="38" t="n">
        <f aca="false">Sens!$O$5651</f>
        <v>62.9275494423768</v>
      </c>
      <c r="P5685" s="8" t="s">
        <v>686</v>
      </c>
    </row>
    <row r="5686" customFormat="false" ht="17.15" hidden="false" customHeight="false" outlineLevel="0" collapsed="false">
      <c r="A5686" s="1" t="s">
        <v>513</v>
      </c>
      <c r="B5686" s="8" t="s">
        <v>86</v>
      </c>
      <c r="C5686" s="38" t="n">
        <f aca="false">Q!$D$7</f>
        <v>107.556</v>
      </c>
      <c r="D5686" s="38" t="n">
        <f aca="false">Q!$E$7</f>
        <v>128.725</v>
      </c>
      <c r="E5686" s="38" t="n">
        <f aca="false">Q!$P$7</f>
        <v>79.819</v>
      </c>
      <c r="F5686" s="38" t="n">
        <f aca="false">Sens!$F$5684+Sens!$F$5685</f>
        <v>86.7327334389669</v>
      </c>
      <c r="G5686" s="38" t="n">
        <f aca="false">Sens!$G$5684+Sens!$G$5685</f>
        <v>166.551733438967</v>
      </c>
      <c r="H5686" s="38" t="n">
        <f aca="false">Sens!$H$5684+Sens!$H$5685</f>
        <v>221.182967828978</v>
      </c>
      <c r="I5686" s="38" t="n">
        <f aca="false">Sens!$I$5684+Sens!$I$5685</f>
        <v>280.27345865789</v>
      </c>
      <c r="J5686" s="38" t="n">
        <f aca="false">Sens!$J$5684+Sens!$J$5685</f>
        <v>338.800945197185</v>
      </c>
      <c r="K5686" s="38" t="n">
        <f aca="false">Sens!$K$5684+Sens!$K$5685</f>
        <v>390.17168267</v>
      </c>
      <c r="L5686" s="38" t="n">
        <f aca="false">Sens!$L$5684+Sens!$L$5685</f>
        <v>431.217780537388</v>
      </c>
      <c r="M5686" s="38" t="n">
        <f aca="false">Sens!$M$5684+Sens!$M$5685</f>
        <v>462.010668928853</v>
      </c>
      <c r="N5686" s="38" t="n">
        <f aca="false">Q!$N$7</f>
        <v>60.14</v>
      </c>
      <c r="O5686" s="38" t="n">
        <f aca="false">Q!$O$7</f>
        <v>68.585</v>
      </c>
      <c r="P5686" s="5" t="s">
        <v>688</v>
      </c>
    </row>
    <row r="5687" customFormat="false" ht="15" hidden="false" customHeight="false" outlineLevel="0" collapsed="false">
      <c r="A5687" s="3" t="s">
        <v>689</v>
      </c>
      <c r="B5687" s="8" t="s">
        <v>86</v>
      </c>
      <c r="C5687" s="38" t="n">
        <f aca="false">Q!$D$8</f>
        <v>637.959</v>
      </c>
      <c r="D5687" s="38" t="n">
        <f aca="false">Q!$E$8</f>
        <v>716.924</v>
      </c>
      <c r="E5687" s="38" t="n">
        <f aca="false">Q!$P$8</f>
        <v>382.125</v>
      </c>
      <c r="F5687" s="38" t="n">
        <f aca="false">Sens!$F$5619+Sens!$F$5686</f>
        <v>435.780975084504</v>
      </c>
      <c r="G5687" s="38" t="n">
        <f aca="false">Sens!$G$5619+Sens!$G$5686</f>
        <v>817.905975084504</v>
      </c>
      <c r="H5687" s="38" t="n">
        <f aca="false">Sens!$H$5619+Sens!$H$5686</f>
        <v>942.279857350364</v>
      </c>
      <c r="I5687" s="38" t="n">
        <f aca="false">Sens!$I$5619+Sens!$I$5686</f>
        <v>1068.80284981042</v>
      </c>
      <c r="J5687" s="38" t="n">
        <f aca="false">Sens!$J$5619+Sens!$J$5686</f>
        <v>1189.90935093863</v>
      </c>
      <c r="K5687" s="38" t="n">
        <f aca="false">Sens!$K$5619+Sens!$K$5686</f>
        <v>1296.34813810109</v>
      </c>
      <c r="L5687" s="38" t="n">
        <f aca="false">Sens!$L$5619+Sens!$L$5686</f>
        <v>1396.31088701298</v>
      </c>
      <c r="M5687" s="38" t="n">
        <f aca="false">Sens!$M$5619+Sens!$M$5686</f>
        <v>1490.15857687574</v>
      </c>
      <c r="N5687" s="38" t="n">
        <f aca="false">Q!$N$8</f>
        <v>323.369</v>
      </c>
      <c r="O5687" s="38" t="n">
        <f aca="false">Q!$O$8</f>
        <v>393.555</v>
      </c>
    </row>
    <row r="5688" customFormat="false" ht="17.15" hidden="false" customHeight="false" outlineLevel="0" collapsed="false">
      <c r="A5688" s="24" t="s">
        <v>697</v>
      </c>
      <c r="B5688" s="25" t="s">
        <v>86</v>
      </c>
      <c r="C5688" s="41" t="n">
        <f aca="false">Sens!$C$5619-(Sens!$C$5621+Sens!$C$5622)</f>
        <v>0</v>
      </c>
      <c r="D5688" s="41" t="n">
        <f aca="false">Sens!$D$5619-(Sens!$D$5621+Sens!$D$5622)</f>
        <v>0</v>
      </c>
      <c r="E5688" s="41" t="n">
        <f aca="false">Sens!$E$5619-(Sens!$E$5621+Sens!$E$5622)</f>
        <v>0</v>
      </c>
      <c r="F5688" s="41" t="n">
        <f aca="false">Sens!$F$5619-(Sens!$F$5621+Sens!$F$5622)</f>
        <v>0</v>
      </c>
      <c r="G5688" s="41" t="n">
        <f aca="false">Sens!$G$5619-(Sens!$G$5621+Sens!$G$5622)</f>
        <v>0</v>
      </c>
      <c r="H5688" s="41" t="n">
        <f aca="false">Sens!$H$5619-(Sens!$H$5621+Sens!$H$5622)</f>
        <v>0</v>
      </c>
      <c r="I5688" s="41" t="n">
        <f aca="false">Sens!$I$5619-(Sens!$I$5621+Sens!$I$5622)</f>
        <v>0</v>
      </c>
      <c r="J5688" s="41" t="n">
        <f aca="false">Sens!$J$5619-(Sens!$J$5621+Sens!$J$5622)</f>
        <v>0</v>
      </c>
      <c r="K5688" s="41" t="n">
        <f aca="false">Sens!$K$5619-(Sens!$K$5621+Sens!$K$5622)</f>
        <v>0</v>
      </c>
      <c r="L5688" s="41" t="n">
        <f aca="false">Sens!$L$5619-(Sens!$L$5621+Sens!$L$5622)</f>
        <v>0</v>
      </c>
      <c r="M5688" s="41" t="n">
        <f aca="false">Sens!$M$5619-(Sens!$M$5621+Sens!$M$5622)</f>
        <v>0</v>
      </c>
      <c r="N5688" s="41" t="n">
        <f aca="false">Sens!$N$5619-(Sens!$N$5621+Sens!$N$5622)</f>
        <v>0</v>
      </c>
      <c r="O5688" s="41" t="n">
        <f aca="false">Sens!$O$5619-(Sens!$O$5621+Sens!$O$5622)</f>
        <v>0</v>
      </c>
    </row>
    <row r="5689" customFormat="false" ht="17.15" hidden="false" customHeight="false" outlineLevel="0" collapsed="false">
      <c r="A5689" s="24" t="s">
        <v>698</v>
      </c>
      <c r="B5689" s="25" t="s">
        <v>86</v>
      </c>
      <c r="C5689" s="41" t="n">
        <f aca="false">Sens!$C$5684+Sens!$C$5685-Sens!$C$5686</f>
        <v>0</v>
      </c>
      <c r="D5689" s="41" t="n">
        <f aca="false">Sens!$D$5684+Sens!$D$5685-Sens!$D$5686</f>
        <v>0</v>
      </c>
      <c r="E5689" s="41" t="n">
        <f aca="false">Sens!$E$5684+Sens!$E$5685-Sens!$E$5686</f>
        <v>0</v>
      </c>
      <c r="F5689" s="41" t="n">
        <f aca="false">Sens!$F$5684+Sens!$F$5685-Sens!$F$5686</f>
        <v>0</v>
      </c>
      <c r="G5689" s="41" t="n">
        <f aca="false">Sens!$G$5684+Sens!$G$5685-Sens!$G$5686</f>
        <v>0</v>
      </c>
      <c r="H5689" s="41" t="n">
        <f aca="false">Sens!$H$5684+Sens!$H$5685-Sens!$H$5686</f>
        <v>0</v>
      </c>
      <c r="I5689" s="41" t="n">
        <f aca="false">Sens!$I$5684+Sens!$I$5685-Sens!$I$5686</f>
        <v>0</v>
      </c>
      <c r="J5689" s="41" t="n">
        <f aca="false">Sens!$J$5684+Sens!$J$5685-Sens!$J$5686</f>
        <v>0</v>
      </c>
      <c r="K5689" s="41" t="n">
        <f aca="false">Sens!$K$5684+Sens!$K$5685-Sens!$K$5686</f>
        <v>0</v>
      </c>
      <c r="L5689" s="41" t="n">
        <f aca="false">Sens!$L$5684+Sens!$L$5685-Sens!$L$5686</f>
        <v>0</v>
      </c>
      <c r="M5689" s="41" t="n">
        <f aca="false">Sens!$M$5684+Sens!$M$5685-Sens!$M$5686</f>
        <v>0</v>
      </c>
      <c r="N5689" s="41" t="n">
        <f aca="false">Sens!$N$5684+Sens!$N$5685-Sens!$N$5686</f>
        <v>0</v>
      </c>
      <c r="O5689" s="41" t="n">
        <f aca="false">Sens!$O$5684+Sens!$O$5685-Sens!$O$5686</f>
        <v>0</v>
      </c>
    </row>
    <row r="5690" customFormat="false" ht="17.15" hidden="false" customHeight="false" outlineLevel="0" collapsed="false">
      <c r="A5690" s="24" t="s">
        <v>699</v>
      </c>
      <c r="B5690" s="25" t="s">
        <v>86</v>
      </c>
      <c r="C5690" s="41" t="n">
        <f aca="false">Sens!$C$5621+Sens!$C$5622+Sens!$C$5686-Sens!$C$5687</f>
        <v>0</v>
      </c>
      <c r="D5690" s="41" t="n">
        <f aca="false">Sens!$D$5621+Sens!$D$5622+Sens!$D$5686-Sens!$D$5687</f>
        <v>0</v>
      </c>
      <c r="E5690" s="41" t="n">
        <f aca="false">Sens!$E$5621+Sens!$E$5622+Sens!$E$5686-Sens!$E$5687</f>
        <v>0</v>
      </c>
      <c r="F5690" s="41" t="n">
        <f aca="false">Sens!$F$5621+Sens!$F$5622+Sens!$F$5686-Sens!$F$5687</f>
        <v>0</v>
      </c>
      <c r="G5690" s="41" t="n">
        <f aca="false">Sens!$G$5621+Sens!$G$5622+Sens!$G$5686-Sens!$G$5687</f>
        <v>0</v>
      </c>
      <c r="H5690" s="41" t="n">
        <f aca="false">Sens!$H$5621+Sens!$H$5622+Sens!$H$5686-Sens!$H$5687</f>
        <v>0</v>
      </c>
      <c r="I5690" s="41" t="n">
        <f aca="false">Sens!$I$5621+Sens!$I$5622+Sens!$I$5686-Sens!$I$5687</f>
        <v>0</v>
      </c>
      <c r="J5690" s="41" t="n">
        <f aca="false">Sens!$J$5621+Sens!$J$5622+Sens!$J$5686-Sens!$J$5687</f>
        <v>0</v>
      </c>
      <c r="K5690" s="41" t="n">
        <f aca="false">Sens!$K$5621+Sens!$K$5622+Sens!$K$5686-Sens!$K$5687</f>
        <v>0</v>
      </c>
      <c r="L5690" s="41" t="n">
        <f aca="false">Sens!$L$5621+Sens!$L$5622+Sens!$L$5686-Sens!$L$5687</f>
        <v>0</v>
      </c>
      <c r="M5690" s="41" t="n">
        <f aca="false">Sens!$M$5621+Sens!$M$5622+Sens!$M$5686-Sens!$M$5687</f>
        <v>0</v>
      </c>
      <c r="N5690" s="41" t="n">
        <f aca="false">Sens!$N$5621+Sens!$N$5622+Sens!$N$5686-Sens!$N$5687</f>
        <v>0</v>
      </c>
      <c r="O5690" s="41" t="n">
        <f aca="false">Sens!$O$5621+Sens!$O$5622+Sens!$O$5686-Sens!$O$5687</f>
        <v>0</v>
      </c>
    </row>
    <row r="5691" customFormat="false" ht="15" hidden="false" customHeight="false" outlineLevel="0" collapsed="false">
      <c r="A5691" s="5" t="s">
        <v>693</v>
      </c>
      <c r="B5691" s="0" t="s">
        <v>52</v>
      </c>
      <c r="G5691" s="13" t="n">
        <f aca="false">Sens!$G$5687/Sens!$D$5687-1</f>
        <v>0.140854504918937</v>
      </c>
      <c r="H5691" s="13" t="n">
        <f aca="false">Sens!$H$5687/Sens!$G$5687-1</f>
        <v>0.152063789793209</v>
      </c>
      <c r="I5691" s="13" t="n">
        <f aca="false">Sens!$I$5687/Sens!$H$5687-1</f>
        <v>0.134273264437417</v>
      </c>
      <c r="J5691" s="13" t="n">
        <f aca="false">Sens!$J$5687/Sens!$I$5687-1</f>
        <v>0.113310421234083</v>
      </c>
      <c r="K5691" s="13" t="n">
        <f aca="false">Sens!$K$5687/Sens!$J$5687-1</f>
        <v>0.0894511729641407</v>
      </c>
      <c r="L5691" s="13" t="n">
        <f aca="false">Sens!$L$5687/Sens!$K$5687-1</f>
        <v>0.077111036745358</v>
      </c>
      <c r="M5691" s="13" t="n">
        <f aca="false">Sens!$M$5687/Sens!$L$5687-1</f>
        <v>0.067211171047677</v>
      </c>
    </row>
    <row r="5692" customFormat="false" ht="17.15" hidden="false" customHeight="false" outlineLevel="0" collapsed="false">
      <c r="A5692" s="0" t="s">
        <v>694</v>
      </c>
      <c r="B5692" s="0" t="s">
        <v>52</v>
      </c>
      <c r="C5692" s="13" t="n">
        <f aca="false">Sens!$C$5686/Sens!$C$5687</f>
        <v>0.168593906504964</v>
      </c>
      <c r="D5692" s="13" t="n">
        <f aca="false">Sens!$D$5686/Sens!$D$5687</f>
        <v>0.179551807444025</v>
      </c>
      <c r="E5692" s="13" t="n">
        <f aca="false">Sens!$E$5686/Sens!$E$5687</f>
        <v>0.208881910369643</v>
      </c>
      <c r="F5692" s="13" t="n">
        <f aca="false">Sens!$F$5686/Sens!$F$5687</f>
        <v>0.199028269699356</v>
      </c>
      <c r="G5692" s="13" t="n">
        <f aca="false">Sens!$G$5686/Sens!$G$5687</f>
        <v>0.203631882529968</v>
      </c>
      <c r="H5692" s="13" t="n">
        <f aca="false">Sens!$H$5686/Sens!$H$5687</f>
        <v>0.234731715958496</v>
      </c>
      <c r="I5692" s="13" t="n">
        <f aca="false">Sens!$I$5686/Sens!$I$5687</f>
        <v>0.262231204480418</v>
      </c>
      <c r="J5692" s="13" t="n">
        <f aca="false">Sens!$J$5686/Sens!$J$5687</f>
        <v>0.284728366013706</v>
      </c>
      <c r="K5692" s="13" t="n">
        <f aca="false">Sens!$K$5686/Sens!$K$5687</f>
        <v>0.300977547004873</v>
      </c>
      <c r="L5692" s="13" t="n">
        <f aca="false">Sens!$L$5686/Sens!$L$5687</f>
        <v>0.308826483090639</v>
      </c>
      <c r="M5692" s="13" t="n">
        <f aca="false">Sens!$M$5686/Sens!$M$5687</f>
        <v>0.310041277551482</v>
      </c>
      <c r="N5692" s="13" t="n">
        <f aca="false">Sens!$N$5686/Sens!$N$5687</f>
        <v>0.185979484737251</v>
      </c>
      <c r="O5692" s="13" t="n">
        <f aca="false">Sens!$O$5686/Sens!$O$5687</f>
        <v>0.174270432341096</v>
      </c>
    </row>
    <row r="5693" customFormat="false" ht="17.15" hidden="false" customHeight="false" outlineLevel="0" collapsed="false">
      <c r="A5693" s="0" t="s">
        <v>695</v>
      </c>
      <c r="B5693" s="0" t="s">
        <v>52</v>
      </c>
      <c r="C5693" s="13" t="n">
        <f aca="false">Sens!$C$5684/Sens!$C$5686</f>
        <v>0.0215795060896058</v>
      </c>
      <c r="D5693" s="13" t="n">
        <f aca="false">Sens!$D$5684/Sens!$D$5686</f>
        <v>0.0676152269462122</v>
      </c>
      <c r="E5693" s="13" t="n">
        <f aca="false">Sens!$E$5684/Sens!$E$5686</f>
        <v>0.106620641395783</v>
      </c>
      <c r="F5693" s="13" t="n">
        <f aca="false">Sens!$F$5684/Sens!$F$5686</f>
        <v>0.172523487401099</v>
      </c>
      <c r="G5693" s="13" t="n">
        <f aca="false">Sens!$G$5684/Sens!$G$5686</f>
        <v>0.140939911795589</v>
      </c>
      <c r="H5693" s="13" t="n">
        <f aca="false">Sens!$H$5684/Sens!$H$5686</f>
        <v>0.272018642937714</v>
      </c>
      <c r="I5693" s="13" t="n">
        <f aca="false">Sens!$I$5684/Sens!$I$5686</f>
        <v>0.362159512436497</v>
      </c>
      <c r="J5693" s="13" t="n">
        <f aca="false">Sens!$J$5684/Sens!$J$5686</f>
        <v>0.422151735934609</v>
      </c>
      <c r="K5693" s="13" t="n">
        <f aca="false">Sens!$K$5684/Sens!$K$5686</f>
        <v>0.458090911050534</v>
      </c>
      <c r="L5693" s="13" t="n">
        <f aca="false">Sens!$L$5684/Sens!$L$5686</f>
        <v>0.470447189602963</v>
      </c>
      <c r="M5693" s="13" t="n">
        <f aca="false">Sens!$M$5684/Sens!$M$5686</f>
        <v>0.466201083289563</v>
      </c>
      <c r="N5693" s="13" t="n">
        <f aca="false">Sens!$N$5684/Sens!$N$5686</f>
        <v>0.0506537999838362</v>
      </c>
      <c r="O5693" s="13" t="n">
        <f aca="false">Sens!$O$5684/Sens!$O$5686</f>
        <v>0.0824881615167056</v>
      </c>
    </row>
    <row r="5696" customFormat="false" ht="19.4" hidden="false" customHeight="false" outlineLevel="0" collapsed="false">
      <c r="A5696" s="31" t="s">
        <v>1244</v>
      </c>
    </row>
    <row r="5697" customFormat="false" ht="17.15" hidden="false" customHeight="false" outlineLevel="0" collapsed="false">
      <c r="A5697" s="6" t="s">
        <v>16</v>
      </c>
      <c r="B5697" s="6" t="s">
        <v>17</v>
      </c>
      <c r="C5697" s="20" t="s">
        <v>494</v>
      </c>
      <c r="D5697" s="20" t="s">
        <v>495</v>
      </c>
      <c r="E5697" s="20" t="s">
        <v>577</v>
      </c>
      <c r="F5697" s="20" t="s">
        <v>578</v>
      </c>
      <c r="G5697" s="20" t="s">
        <v>579</v>
      </c>
      <c r="H5697" s="20" t="s">
        <v>580</v>
      </c>
      <c r="I5697" s="20" t="s">
        <v>581</v>
      </c>
      <c r="J5697" s="20" t="s">
        <v>582</v>
      </c>
      <c r="K5697" s="20" t="s">
        <v>583</v>
      </c>
      <c r="L5697" s="20" t="s">
        <v>584</v>
      </c>
      <c r="M5697" s="20" t="s">
        <v>585</v>
      </c>
      <c r="N5697" s="20" t="s">
        <v>586</v>
      </c>
      <c r="O5697" s="20" t="s">
        <v>587</v>
      </c>
      <c r="P5697" s="6" t="s">
        <v>23</v>
      </c>
      <c r="R5697" s="20" t="n">
        <v>2023</v>
      </c>
      <c r="S5697" s="20" t="n">
        <v>2024</v>
      </c>
      <c r="T5697" s="20" t="n">
        <v>2025</v>
      </c>
      <c r="U5697" s="20" t="n">
        <v>2026</v>
      </c>
      <c r="V5697" s="20" t="n">
        <v>2027</v>
      </c>
      <c r="W5697" s="20" t="n">
        <v>2028</v>
      </c>
      <c r="X5697" s="20" t="n">
        <v>2029</v>
      </c>
      <c r="Y5697" s="20" t="n">
        <v>2030</v>
      </c>
      <c r="Z5697" s="20" t="n">
        <v>2031</v>
      </c>
      <c r="AA5697" s="20" t="n">
        <v>2032</v>
      </c>
    </row>
    <row r="5698" customFormat="false" ht="17.15" hidden="false" customHeight="false" outlineLevel="0" collapsed="false">
      <c r="A5698" s="1" t="s">
        <v>710</v>
      </c>
    </row>
    <row r="5699" customFormat="false" ht="15" hidden="false" customHeight="false" outlineLevel="0" collapsed="false">
      <c r="A5699" s="0" t="s">
        <v>516</v>
      </c>
      <c r="B5699" s="0" t="s">
        <v>86</v>
      </c>
      <c r="C5699" s="38" t="n">
        <f aca="false">Sens!$C$5606</f>
        <v>247.029</v>
      </c>
      <c r="D5699" s="38" t="n">
        <f aca="false">Sens!$D$5606</f>
        <v>269.287</v>
      </c>
      <c r="E5699" s="38" t="n">
        <f aca="false">Sens!$E$5606</f>
        <v>134.686</v>
      </c>
      <c r="F5699" s="38" t="n">
        <f aca="false">Sens!$F$5606</f>
        <v>158.293876822267</v>
      </c>
      <c r="G5699" s="38" t="n">
        <f aca="false">Sens!$G$5606</f>
        <v>292.979876822267</v>
      </c>
      <c r="H5699" s="38" t="n">
        <f aca="false">Sens!$H$5606</f>
        <v>318.184543087396</v>
      </c>
      <c r="I5699" s="38" t="n">
        <f aca="false">Sens!$I$5606</f>
        <v>341.736278761793</v>
      </c>
      <c r="J5699" s="38" t="n">
        <f aca="false">Sens!$J$5606</f>
        <v>362.927192787048</v>
      </c>
      <c r="K5699" s="38" t="n">
        <f aca="false">Sens!$K$5606</f>
        <v>381.0735524264</v>
      </c>
      <c r="L5699" s="38" t="n">
        <f aca="false">Sens!$L$5606</f>
        <v>400.12723004772</v>
      </c>
      <c r="M5699" s="38" t="n">
        <f aca="false">Sens!$M$5606</f>
        <v>420.133591550106</v>
      </c>
      <c r="N5699" s="38" t="n">
        <f aca="false">Sens!$N$5606</f>
        <v>118.892</v>
      </c>
      <c r="O5699" s="38" t="n">
        <f aca="false">Sens!$O$5606</f>
        <v>150.395</v>
      </c>
    </row>
    <row r="5700" customFormat="false" ht="15" hidden="false" customHeight="false" outlineLevel="0" collapsed="false">
      <c r="A5700" s="0" t="s">
        <v>517</v>
      </c>
      <c r="B5700" s="0" t="s">
        <v>86</v>
      </c>
      <c r="C5700" s="38" t="n">
        <f aca="false">Sens!$C$5608</f>
        <v>21.215</v>
      </c>
      <c r="D5700" s="38" t="n">
        <f aca="false">Sens!$D$5608</f>
        <v>22.561</v>
      </c>
      <c r="E5700" s="38" t="n">
        <f aca="false">Sens!$E$5608</f>
        <v>11.579</v>
      </c>
      <c r="F5700" s="38" t="n">
        <f aca="false">Sens!$F$5608</f>
        <v>11.5938724610325</v>
      </c>
      <c r="G5700" s="38" t="n">
        <f aca="false">Sens!$G$5608</f>
        <v>23.1728724610325</v>
      </c>
      <c r="H5700" s="38" t="n">
        <f aca="false">Sens!$H$5608</f>
        <v>24.353392759506</v>
      </c>
      <c r="I5700" s="38" t="n">
        <f aca="false">Sens!$I$5608</f>
        <v>25.4240338872015</v>
      </c>
      <c r="J5700" s="38" t="n">
        <f aca="false">Sens!$J$5608</f>
        <v>26.3642491017174</v>
      </c>
      <c r="K5700" s="38" t="n">
        <f aca="false">Sens!$K$5608</f>
        <v>27.155176574769</v>
      </c>
      <c r="L5700" s="38" t="n">
        <f aca="false">Sens!$L$5608</f>
        <v>27.969831872012</v>
      </c>
      <c r="M5700" s="38" t="n">
        <f aca="false">Sens!$M$5608</f>
        <v>28.8089268281724</v>
      </c>
      <c r="N5700" s="38" t="n">
        <f aca="false">Sens!$N$5608</f>
        <v>11.128</v>
      </c>
      <c r="O5700" s="38" t="n">
        <f aca="false">Sens!$O$5608</f>
        <v>11.433</v>
      </c>
    </row>
    <row r="5701" customFormat="false" ht="15" hidden="false" customHeight="false" outlineLevel="0" collapsed="false">
      <c r="A5701" s="0" t="s">
        <v>518</v>
      </c>
      <c r="B5701" s="0" t="s">
        <v>86</v>
      </c>
      <c r="C5701" s="38" t="n">
        <f aca="false">Sens!$C$5610</f>
        <v>156.146</v>
      </c>
      <c r="D5701" s="38" t="n">
        <f aca="false">Sens!$D$5610</f>
        <v>172.162</v>
      </c>
      <c r="E5701" s="38" t="n">
        <f aca="false">Sens!$E$5610</f>
        <v>88.358</v>
      </c>
      <c r="F5701" s="38" t="n">
        <f aca="false">Sens!$F$5610</f>
        <v>102.004388260171</v>
      </c>
      <c r="G5701" s="38" t="n">
        <f aca="false">Sens!$G$5610</f>
        <v>190.362388260171</v>
      </c>
      <c r="H5701" s="38" t="n">
        <f aca="false">Sens!$H$5610</f>
        <v>210.343106588311</v>
      </c>
      <c r="I5701" s="38" t="n">
        <f aca="false">Sens!$I$5610</f>
        <v>229.969728494648</v>
      </c>
      <c r="J5701" s="38" t="n">
        <f aca="false">Sens!$J$5610</f>
        <v>248.747636972598</v>
      </c>
      <c r="K5701" s="38" t="n">
        <f aca="false">Sens!$K$5610</f>
        <v>266.15997156068</v>
      </c>
      <c r="L5701" s="38" t="n">
        <f aca="false">Sens!$L$5610</f>
        <v>284.791169569927</v>
      </c>
      <c r="M5701" s="38" t="n">
        <f aca="false">Sens!$M$5610</f>
        <v>304.726551439822</v>
      </c>
      <c r="N5701" s="38" t="n">
        <f aca="false">Sens!$N$5610</f>
        <v>76.86</v>
      </c>
      <c r="O5701" s="38" t="n">
        <f aca="false">Sens!$O$5610</f>
        <v>95.302</v>
      </c>
    </row>
    <row r="5702" customFormat="false" ht="15" hidden="false" customHeight="false" outlineLevel="0" collapsed="false">
      <c r="A5702" s="0" t="s">
        <v>519</v>
      </c>
      <c r="B5702" s="0" t="s">
        <v>86</v>
      </c>
      <c r="C5702" s="38" t="n">
        <f aca="false">Sens!$C$5612</f>
        <v>56.214</v>
      </c>
      <c r="D5702" s="38" t="n">
        <f aca="false">Sens!$D$5612</f>
        <v>68.635</v>
      </c>
      <c r="E5702" s="38" t="n">
        <f aca="false">Sens!$E$5612</f>
        <v>37.052</v>
      </c>
      <c r="F5702" s="38" t="n">
        <f aca="false">Sens!$F$5612</f>
        <v>46.1572219944148</v>
      </c>
      <c r="G5702" s="38" t="n">
        <f aca="false">Sens!$G$5612</f>
        <v>83.2092219944148</v>
      </c>
      <c r="H5702" s="38" t="n">
        <f aca="false">Sens!$H$5612</f>
        <v>99.8969223878976</v>
      </c>
      <c r="I5702" s="38" t="n">
        <f aca="false">Sens!$I$5612</f>
        <v>116.583111095496</v>
      </c>
      <c r="J5702" s="38" t="n">
        <f aca="false">Sens!$J$5612</f>
        <v>132.148941941952</v>
      </c>
      <c r="K5702" s="38" t="n">
        <f aca="false">Sens!$K$5612</f>
        <v>145.363836136147</v>
      </c>
      <c r="L5702" s="38" t="n">
        <f aca="false">Sens!$L$5612</f>
        <v>159.900219749762</v>
      </c>
      <c r="M5702" s="38" t="n">
        <f aca="false">Sens!$M$5612</f>
        <v>175.890241724738</v>
      </c>
      <c r="N5702" s="38" t="n">
        <f aca="false">Sens!$N$5612</f>
        <v>29.615</v>
      </c>
      <c r="O5702" s="38" t="n">
        <f aca="false">Sens!$O$5612</f>
        <v>39.02</v>
      </c>
    </row>
    <row r="5703" customFormat="false" ht="15" hidden="false" customHeight="false" outlineLevel="0" collapsed="false">
      <c r="A5703" s="0" t="s">
        <v>520</v>
      </c>
      <c r="B5703" s="0" t="s">
        <v>86</v>
      </c>
      <c r="C5703" s="38" t="n">
        <f aca="false">Sens!$C$5614</f>
        <v>44.374</v>
      </c>
      <c r="D5703" s="38" t="n">
        <f aca="false">Sens!$D$5614</f>
        <v>49.619</v>
      </c>
      <c r="E5703" s="38" t="n">
        <f aca="false">Sens!$E$5614</f>
        <v>27.157</v>
      </c>
      <c r="F5703" s="38" t="n">
        <f aca="false">Sens!$F$5614</f>
        <v>27.7764165988154</v>
      </c>
      <c r="G5703" s="38" t="n">
        <f aca="false">Sens!$G$5614</f>
        <v>54.9334165988154</v>
      </c>
      <c r="H5703" s="38" t="n">
        <f aca="false">Sens!$H$5614</f>
        <v>61.1564112561829</v>
      </c>
      <c r="I5703" s="38" t="n">
        <f aca="false">Sens!$I$5614</f>
        <v>67.2020282103945</v>
      </c>
      <c r="J5703" s="38" t="n">
        <f aca="false">Sens!$J$5614</f>
        <v>72.8757274028885</v>
      </c>
      <c r="K5703" s="38" t="n">
        <f aca="false">Sens!$K$5614</f>
        <v>77.9770283210907</v>
      </c>
      <c r="L5703" s="38" t="n">
        <f aca="false">Sens!$L$5614</f>
        <v>83.4354203035671</v>
      </c>
      <c r="M5703" s="38" t="n">
        <f aca="false">Sens!$M$5614</f>
        <v>89.2758997248168</v>
      </c>
      <c r="N5703" s="38" t="n">
        <f aca="false">Sens!$N$5614</f>
        <v>23.923</v>
      </c>
      <c r="O5703" s="38" t="n">
        <f aca="false">Sens!$O$5614</f>
        <v>25.696</v>
      </c>
    </row>
    <row r="5704" customFormat="false" ht="15" hidden="false" customHeight="false" outlineLevel="0" collapsed="false">
      <c r="A5704" s="0" t="s">
        <v>521</v>
      </c>
      <c r="B5704" s="0" t="s">
        <v>86</v>
      </c>
      <c r="C5704" s="38" t="n">
        <f aca="false">Sens!$C$5616</f>
        <v>5.425</v>
      </c>
      <c r="D5704" s="38" t="n">
        <f aca="false">Sens!$D$5616</f>
        <v>5.935</v>
      </c>
      <c r="E5704" s="38" t="n">
        <f aca="false">Sens!$E$5616</f>
        <v>3.474</v>
      </c>
      <c r="F5704" s="38" t="n">
        <f aca="false">Sens!$F$5616</f>
        <v>3.22246550883619</v>
      </c>
      <c r="G5704" s="38" t="n">
        <f aca="false">Sens!$G$5616</f>
        <v>6.69646550883619</v>
      </c>
      <c r="H5704" s="38" t="n">
        <f aca="false">Sens!$H$5616</f>
        <v>7.16251344209196</v>
      </c>
      <c r="I5704" s="38" t="n">
        <f aca="false">Sens!$I$5616</f>
        <v>7.61421070299826</v>
      </c>
      <c r="J5704" s="38" t="n">
        <f aca="false">Sens!$J$5616</f>
        <v>8.04465753523932</v>
      </c>
      <c r="K5704" s="38" t="n">
        <f aca="false">Sens!$K$5616</f>
        <v>8.44689041200128</v>
      </c>
      <c r="L5704" s="38" t="n">
        <f aca="false">Sens!$L$5616</f>
        <v>8.86923493260135</v>
      </c>
      <c r="M5704" s="38" t="n">
        <f aca="false">Sens!$M$5616</f>
        <v>9.31269667923142</v>
      </c>
      <c r="N5704" s="38" t="n">
        <f aca="false">Sens!$N$5616</f>
        <v>2.811</v>
      </c>
      <c r="O5704" s="38" t="n">
        <f aca="false">Sens!$O$5616</f>
        <v>3.124</v>
      </c>
    </row>
    <row r="5705" customFormat="false" ht="17.15" hidden="false" customHeight="false" outlineLevel="0" collapsed="false">
      <c r="A5705" s="0" t="s">
        <v>711</v>
      </c>
      <c r="B5705" s="0" t="s">
        <v>86</v>
      </c>
      <c r="C5705" s="38" t="n">
        <f aca="false">Sens!$C$5686</f>
        <v>107.556</v>
      </c>
      <c r="D5705" s="38" t="n">
        <f aca="false">Sens!$D$5686</f>
        <v>128.725</v>
      </c>
      <c r="E5705" s="38" t="n">
        <f aca="false">Sens!$E$5686</f>
        <v>79.819</v>
      </c>
      <c r="F5705" s="38" t="n">
        <f aca="false">Sens!$F$5686</f>
        <v>86.7327334389669</v>
      </c>
      <c r="G5705" s="38" t="n">
        <f aca="false">Sens!$G$5686</f>
        <v>166.551733438967</v>
      </c>
      <c r="H5705" s="38" t="n">
        <f aca="false">Sens!$H$5686</f>
        <v>221.182967828978</v>
      </c>
      <c r="I5705" s="38" t="n">
        <f aca="false">Sens!$I$5686</f>
        <v>280.27345865789</v>
      </c>
      <c r="J5705" s="38" t="n">
        <f aca="false">Sens!$J$5686</f>
        <v>338.800945197185</v>
      </c>
      <c r="K5705" s="38" t="n">
        <f aca="false">Sens!$K$5686</f>
        <v>390.17168267</v>
      </c>
      <c r="L5705" s="38" t="n">
        <f aca="false">Sens!$L$5686</f>
        <v>431.217780537388</v>
      </c>
      <c r="M5705" s="38" t="n">
        <f aca="false">Sens!$M$5686</f>
        <v>462.010668928853</v>
      </c>
      <c r="N5705" s="38" t="n">
        <f aca="false">Sens!$N$5686</f>
        <v>60.14</v>
      </c>
      <c r="O5705" s="38" t="n">
        <f aca="false">Sens!$O$5686</f>
        <v>68.585</v>
      </c>
    </row>
    <row r="5706" customFormat="false" ht="15" hidden="false" customHeight="false" outlineLevel="0" collapsed="false">
      <c r="A5706" s="1" t="s">
        <v>509</v>
      </c>
      <c r="B5706" s="8" t="s">
        <v>86</v>
      </c>
      <c r="C5706" s="38" t="n">
        <f aca="false">Sens!$C$5621</f>
        <v>387.497</v>
      </c>
      <c r="D5706" s="38" t="n">
        <f aca="false">Sens!$D$5621</f>
        <v>426.305</v>
      </c>
      <c r="E5706" s="38" t="n">
        <f aca="false">Sens!$E$5621</f>
        <v>220.32</v>
      </c>
      <c r="F5706" s="38" t="n">
        <f aca="false">Sens!$F$5621</f>
        <v>250.639773480586</v>
      </c>
      <c r="G5706" s="38" t="n">
        <f aca="false">Sens!$G$5621</f>
        <v>470.959773480586</v>
      </c>
      <c r="H5706" s="38" t="n">
        <f aca="false">Sens!$H$5621</f>
        <v>521.386990416437</v>
      </c>
      <c r="I5706" s="38" t="n">
        <f aca="false">Sens!$I$5621</f>
        <v>570.143862887555</v>
      </c>
      <c r="J5706" s="38" t="n">
        <f aca="false">Sens!$J$5621</f>
        <v>615.391435791933</v>
      </c>
      <c r="K5706" s="38" t="n">
        <f aca="false">Sens!$K$5621</f>
        <v>655.208227561543</v>
      </c>
      <c r="L5706" s="38" t="n">
        <f aca="false">Sens!$L$5621</f>
        <v>697.807739249767</v>
      </c>
      <c r="M5706" s="38" t="n">
        <f aca="false">Sens!$M$5621</f>
        <v>743.399328463592</v>
      </c>
      <c r="N5706" s="38" t="n">
        <f aca="false">Sens!$N$5621</f>
        <v>192.955</v>
      </c>
      <c r="O5706" s="38" t="n">
        <f aca="false">Sens!$O$5621</f>
        <v>233.35</v>
      </c>
    </row>
    <row r="5707" customFormat="false" ht="15" hidden="false" customHeight="false" outlineLevel="0" collapsed="false">
      <c r="A5707" s="1" t="s">
        <v>512</v>
      </c>
      <c r="B5707" s="8" t="s">
        <v>86</v>
      </c>
      <c r="C5707" s="38" t="n">
        <f aca="false">Sens!$C$5622</f>
        <v>142.906</v>
      </c>
      <c r="D5707" s="38" t="n">
        <f aca="false">Sens!$D$5622</f>
        <v>161.894</v>
      </c>
      <c r="E5707" s="38" t="n">
        <f aca="false">Sens!$E$5622</f>
        <v>81.986</v>
      </c>
      <c r="F5707" s="38" t="n">
        <f aca="false">Sens!$F$5622</f>
        <v>98.408468164951</v>
      </c>
      <c r="G5707" s="38" t="n">
        <f aca="false">Sens!$G$5622</f>
        <v>180.394468164951</v>
      </c>
      <c r="H5707" s="38" t="n">
        <f aca="false">Sens!$H$5622</f>
        <v>199.709899104949</v>
      </c>
      <c r="I5707" s="38" t="n">
        <f aca="false">Sens!$I$5622</f>
        <v>218.385528264976</v>
      </c>
      <c r="J5707" s="38" t="n">
        <f aca="false">Sens!$J$5622</f>
        <v>235.71696994951</v>
      </c>
      <c r="K5707" s="38" t="n">
        <f aca="false">Sens!$K$5622</f>
        <v>250.968227869545</v>
      </c>
      <c r="L5707" s="38" t="n">
        <f aca="false">Sens!$L$5622</f>
        <v>267.285367225822</v>
      </c>
      <c r="M5707" s="38" t="n">
        <f aca="false">Sens!$M$5622</f>
        <v>284.748579483295</v>
      </c>
      <c r="N5707" s="38" t="n">
        <f aca="false">Sens!$N$5622</f>
        <v>70.274</v>
      </c>
      <c r="O5707" s="38" t="n">
        <f aca="false">Sens!$O$5622</f>
        <v>91.62</v>
      </c>
    </row>
    <row r="5708" customFormat="false" ht="15" hidden="false" customHeight="false" outlineLevel="0" collapsed="false">
      <c r="A5708" s="1" t="s">
        <v>513</v>
      </c>
      <c r="B5708" s="8" t="s">
        <v>86</v>
      </c>
      <c r="C5708" s="38" t="n">
        <f aca="false">Sens!$C$5686</f>
        <v>107.556</v>
      </c>
      <c r="D5708" s="38" t="n">
        <f aca="false">Sens!$D$5686</f>
        <v>128.725</v>
      </c>
      <c r="E5708" s="38" t="n">
        <f aca="false">Sens!$E$5686</f>
        <v>79.819</v>
      </c>
      <c r="F5708" s="38" t="n">
        <f aca="false">Sens!$F$5686</f>
        <v>86.7327334389669</v>
      </c>
      <c r="G5708" s="38" t="n">
        <f aca="false">Sens!$G$5686</f>
        <v>166.551733438967</v>
      </c>
      <c r="H5708" s="38" t="n">
        <f aca="false">Sens!$H$5686</f>
        <v>221.182967828978</v>
      </c>
      <c r="I5708" s="38" t="n">
        <f aca="false">Sens!$I$5686</f>
        <v>280.27345865789</v>
      </c>
      <c r="J5708" s="38" t="n">
        <f aca="false">Sens!$J$5686</f>
        <v>338.800945197185</v>
      </c>
      <c r="K5708" s="38" t="n">
        <f aca="false">Sens!$K$5686</f>
        <v>390.17168267</v>
      </c>
      <c r="L5708" s="38" t="n">
        <f aca="false">Sens!$L$5686</f>
        <v>431.217780537388</v>
      </c>
      <c r="M5708" s="38" t="n">
        <f aca="false">Sens!$M$5686</f>
        <v>462.010668928853</v>
      </c>
      <c r="N5708" s="38" t="n">
        <f aca="false">Sens!$N$5686</f>
        <v>60.14</v>
      </c>
      <c r="O5708" s="38" t="n">
        <f aca="false">Sens!$O$5686</f>
        <v>68.585</v>
      </c>
    </row>
    <row r="5709" customFormat="false" ht="17.15" hidden="false" customHeight="false" outlineLevel="0" collapsed="false">
      <c r="A5709" s="0" t="s">
        <v>685</v>
      </c>
      <c r="B5709" s="0" t="s">
        <v>86</v>
      </c>
      <c r="C5709" s="38" t="n">
        <f aca="false">Sens!$C$5684</f>
        <v>2.32100535697364</v>
      </c>
      <c r="D5709" s="38" t="n">
        <f aca="false">Sens!$D$5684</f>
        <v>8.70377008865116</v>
      </c>
      <c r="E5709" s="38" t="n">
        <f aca="false">Sens!$E$5684</f>
        <v>8.51035297557002</v>
      </c>
      <c r="F5709" s="38" t="n">
        <f aca="false">Sens!$F$5684</f>
        <v>14.9634336447205</v>
      </c>
      <c r="G5709" s="38" t="n">
        <f aca="false">Sens!$G$5684</f>
        <v>23.4737866202905</v>
      </c>
      <c r="H5709" s="38" t="n">
        <f aca="false">Sens!$H$5684</f>
        <v>60.1658907497746</v>
      </c>
      <c r="I5709" s="38" t="n">
        <f aca="false">Sens!$I$5684</f>
        <v>101.503699136432</v>
      </c>
      <c r="J5709" s="38" t="n">
        <f aca="false">Sens!$J$5684</f>
        <v>143.025407151278</v>
      </c>
      <c r="K5709" s="38" t="n">
        <f aca="false">Sens!$K$5684</f>
        <v>178.73410158042</v>
      </c>
      <c r="L5709" s="38" t="n">
        <f aca="false">Sens!$L$5684</f>
        <v>202.865192960641</v>
      </c>
      <c r="M5709" s="38" t="n">
        <f aca="false">Sens!$M$5684</f>
        <v>215.389874345967</v>
      </c>
      <c r="N5709" s="38" t="n">
        <f aca="false">Sens!$N$5684</f>
        <v>3.04631953102791</v>
      </c>
      <c r="O5709" s="38" t="n">
        <f aca="false">Sens!$O$5684</f>
        <v>5.65745055762326</v>
      </c>
    </row>
    <row r="5710" customFormat="false" ht="17.15" hidden="false" customHeight="false" outlineLevel="0" collapsed="false">
      <c r="A5710" s="0" t="s">
        <v>687</v>
      </c>
      <c r="B5710" s="0" t="s">
        <v>86</v>
      </c>
      <c r="C5710" s="38" t="n">
        <f aca="false">Sens!$C$5685</f>
        <v>105.234994643026</v>
      </c>
      <c r="D5710" s="38" t="n">
        <f aca="false">Sens!$D$5685</f>
        <v>120.021229911349</v>
      </c>
      <c r="E5710" s="38" t="n">
        <f aca="false">Sens!$E$5685</f>
        <v>71.30864702443</v>
      </c>
      <c r="F5710" s="38" t="n">
        <f aca="false">Sens!$F$5685</f>
        <v>71.7692997942464</v>
      </c>
      <c r="G5710" s="38" t="n">
        <f aca="false">Sens!$G$5685</f>
        <v>143.077946818676</v>
      </c>
      <c r="H5710" s="38" t="n">
        <f aca="false">Sens!$H$5685</f>
        <v>161.017077079203</v>
      </c>
      <c r="I5710" s="38" t="n">
        <f aca="false">Sens!$I$5685</f>
        <v>178.769759521457</v>
      </c>
      <c r="J5710" s="38" t="n">
        <f aca="false">Sens!$J$5685</f>
        <v>195.775538045907</v>
      </c>
      <c r="K5710" s="38" t="n">
        <f aca="false">Sens!$K$5685</f>
        <v>211.43758108958</v>
      </c>
      <c r="L5710" s="38" t="n">
        <f aca="false">Sens!$L$5685</f>
        <v>228.352587576746</v>
      </c>
      <c r="M5710" s="38" t="n">
        <f aca="false">Sens!$M$5685</f>
        <v>246.620794582886</v>
      </c>
      <c r="N5710" s="38" t="n">
        <f aca="false">Sens!$N$5685</f>
        <v>57.0936804689721</v>
      </c>
      <c r="O5710" s="38" t="n">
        <f aca="false">Sens!$O$5685</f>
        <v>62.9275494423768</v>
      </c>
    </row>
    <row r="5711" customFormat="false" ht="15" hidden="false" customHeight="false" outlineLevel="0" collapsed="false">
      <c r="A5711" s="3" t="s">
        <v>514</v>
      </c>
      <c r="B5711" s="8" t="s">
        <v>86</v>
      </c>
      <c r="C5711" s="38" t="n">
        <f aca="false">Sens!$C$5687</f>
        <v>637.959</v>
      </c>
      <c r="D5711" s="38" t="n">
        <f aca="false">Sens!$D$5687</f>
        <v>716.924</v>
      </c>
      <c r="E5711" s="38" t="n">
        <f aca="false">Sens!$E$5687</f>
        <v>382.125</v>
      </c>
      <c r="F5711" s="38" t="n">
        <f aca="false">Sens!$F$5687</f>
        <v>435.780975084504</v>
      </c>
      <c r="G5711" s="38" t="n">
        <f aca="false">Sens!$G$5687</f>
        <v>817.905975084504</v>
      </c>
      <c r="H5711" s="38" t="n">
        <f aca="false">Sens!$H$5687</f>
        <v>942.279857350364</v>
      </c>
      <c r="I5711" s="38" t="n">
        <f aca="false">Sens!$I$5687</f>
        <v>1068.80284981042</v>
      </c>
      <c r="J5711" s="38" t="n">
        <f aca="false">Sens!$J$5687</f>
        <v>1189.90935093863</v>
      </c>
      <c r="K5711" s="38" t="n">
        <f aca="false">Sens!$K$5687</f>
        <v>1296.34813810109</v>
      </c>
      <c r="L5711" s="38" t="n">
        <f aca="false">Sens!$L$5687</f>
        <v>1396.31088701298</v>
      </c>
      <c r="M5711" s="38" t="n">
        <f aca="false">Sens!$M$5687</f>
        <v>1490.15857687574</v>
      </c>
      <c r="N5711" s="38" t="n">
        <f aca="false">Sens!$N$5687</f>
        <v>323.369</v>
      </c>
      <c r="O5711" s="38" t="n">
        <f aca="false">Sens!$O$5687</f>
        <v>393.555</v>
      </c>
    </row>
    <row r="5712" customFormat="false" ht="17.15" hidden="false" customHeight="false" outlineLevel="0" collapsed="false">
      <c r="A5712" s="24" t="s">
        <v>697</v>
      </c>
      <c r="B5712" s="25" t="s">
        <v>86</v>
      </c>
      <c r="C5712" s="41" t="n">
        <f aca="false">Sens!$C$5699+Sens!$C$5700+Sens!$C$5701+Sens!$C$5702+Sens!$C$5703+Sens!$C$5704-(Sens!$C$5706+Sens!$C$5707)</f>
        <v>0</v>
      </c>
      <c r="D5712" s="41" t="n">
        <f aca="false">Sens!$D$5699+Sens!$D$5700+Sens!$D$5701+Sens!$D$5702+Sens!$D$5703+Sens!$D$5704-(Sens!$D$5706+Sens!$D$5707)</f>
        <v>0</v>
      </c>
      <c r="E5712" s="41" t="n">
        <f aca="false">Sens!$E$5699+Sens!$E$5700+Sens!$E$5701+Sens!$E$5702+Sens!$E$5703+Sens!$E$5704-(Sens!$E$5706+Sens!$E$5707)</f>
        <v>0</v>
      </c>
      <c r="F5712" s="41" t="n">
        <f aca="false">Sens!$F$5699+Sens!$F$5700+Sens!$F$5701+Sens!$F$5702+Sens!$F$5703+Sens!$F$5704-(Sens!$F$5706+Sens!$F$5707)</f>
        <v>0</v>
      </c>
      <c r="G5712" s="41" t="n">
        <f aca="false">Sens!$G$5699+Sens!$G$5700+Sens!$G$5701+Sens!$G$5702+Sens!$G$5703+Sens!$G$5704-(Sens!$G$5706+Sens!$G$5707)</f>
        <v>0</v>
      </c>
      <c r="H5712" s="41" t="n">
        <f aca="false">Sens!$H$5699+Sens!$H$5700+Sens!$H$5701+Sens!$H$5702+Sens!$H$5703+Sens!$H$5704-(Sens!$H$5706+Sens!$H$5707)</f>
        <v>0</v>
      </c>
      <c r="I5712" s="41" t="n">
        <f aca="false">Sens!$I$5699+Sens!$I$5700+Sens!$I$5701+Sens!$I$5702+Sens!$I$5703+Sens!$I$5704-(Sens!$I$5706+Sens!$I$5707)</f>
        <v>0</v>
      </c>
      <c r="J5712" s="41" t="n">
        <f aca="false">Sens!$J$5699+Sens!$J$5700+Sens!$J$5701+Sens!$J$5702+Sens!$J$5703+Sens!$J$5704-(Sens!$J$5706+Sens!$J$5707)</f>
        <v>0</v>
      </c>
      <c r="K5712" s="41" t="n">
        <f aca="false">Sens!$K$5699+Sens!$K$5700+Sens!$K$5701+Sens!$K$5702+Sens!$K$5703+Sens!$K$5704-(Sens!$K$5706+Sens!$K$5707)</f>
        <v>0</v>
      </c>
      <c r="L5712" s="41" t="n">
        <f aca="false">Sens!$L$5699+Sens!$L$5700+Sens!$L$5701+Sens!$L$5702+Sens!$L$5703+Sens!$L$5704-(Sens!$L$5706+Sens!$L$5707)</f>
        <v>0</v>
      </c>
      <c r="M5712" s="41" t="n">
        <f aca="false">Sens!$M$5699+Sens!$M$5700+Sens!$M$5701+Sens!$M$5702+Sens!$M$5703+Sens!$M$5704-(Sens!$M$5706+Sens!$M$5707)</f>
        <v>0</v>
      </c>
      <c r="N5712" s="41" t="n">
        <f aca="false">Sens!$N$5699+Sens!$N$5700+Sens!$N$5701+Sens!$N$5702+Sens!$N$5703+Sens!$N$5704-(Sens!$N$5706+Sens!$N$5707)</f>
        <v>0</v>
      </c>
      <c r="O5712" s="41" t="n">
        <f aca="false">Sens!$O$5699+Sens!$O$5700+Sens!$O$5701+Sens!$O$5702+Sens!$O$5703+Sens!$O$5704-(Sens!$O$5706+Sens!$O$5707)</f>
        <v>0</v>
      </c>
    </row>
    <row r="5713" customFormat="false" ht="17.15" hidden="false" customHeight="false" outlineLevel="0" collapsed="false">
      <c r="A5713" s="24" t="s">
        <v>698</v>
      </c>
      <c r="B5713" s="25" t="s">
        <v>86</v>
      </c>
      <c r="C5713" s="41" t="n">
        <f aca="false">Sens!$C$5709+Sens!$C$5710-Sens!$C$5708</f>
        <v>0</v>
      </c>
      <c r="D5713" s="41" t="n">
        <f aca="false">Sens!$D$5709+Sens!$D$5710-Sens!$D$5708</f>
        <v>0</v>
      </c>
      <c r="E5713" s="41" t="n">
        <f aca="false">Sens!$E$5709+Sens!$E$5710-Sens!$E$5708</f>
        <v>0</v>
      </c>
      <c r="F5713" s="41" t="n">
        <f aca="false">Sens!$F$5709+Sens!$F$5710-Sens!$F$5708</f>
        <v>0</v>
      </c>
      <c r="G5713" s="41" t="n">
        <f aca="false">Sens!$G$5709+Sens!$G$5710-Sens!$G$5708</f>
        <v>0</v>
      </c>
      <c r="H5713" s="41" t="n">
        <f aca="false">Sens!$H$5709+Sens!$H$5710-Sens!$H$5708</f>
        <v>0</v>
      </c>
      <c r="I5713" s="41" t="n">
        <f aca="false">Sens!$I$5709+Sens!$I$5710-Sens!$I$5708</f>
        <v>0</v>
      </c>
      <c r="J5713" s="41" t="n">
        <f aca="false">Sens!$J$5709+Sens!$J$5710-Sens!$J$5708</f>
        <v>0</v>
      </c>
      <c r="K5713" s="41" t="n">
        <f aca="false">Sens!$K$5709+Sens!$K$5710-Sens!$K$5708</f>
        <v>0</v>
      </c>
      <c r="L5713" s="41" t="n">
        <f aca="false">Sens!$L$5709+Sens!$L$5710-Sens!$L$5708</f>
        <v>0</v>
      </c>
      <c r="M5713" s="41" t="n">
        <f aca="false">Sens!$M$5709+Sens!$M$5710-Sens!$M$5708</f>
        <v>0</v>
      </c>
      <c r="N5713" s="41" t="n">
        <f aca="false">Sens!$N$5709+Sens!$N$5710-Sens!$N$5708</f>
        <v>0</v>
      </c>
      <c r="O5713" s="41" t="n">
        <f aca="false">Sens!$O$5709+Sens!$O$5710-Sens!$O$5708</f>
        <v>0</v>
      </c>
    </row>
    <row r="5714" customFormat="false" ht="17.15" hidden="false" customHeight="false" outlineLevel="0" collapsed="false">
      <c r="A5714" s="24" t="s">
        <v>757</v>
      </c>
      <c r="B5714" s="25" t="s">
        <v>86</v>
      </c>
      <c r="C5714" s="41" t="n">
        <f aca="false">Sens!$C$5699+Sens!$C$5700+Sens!$C$5701+Sens!$C$5702+Sens!$C$5703+Sens!$C$5704+Sens!$C$5705-Sens!$C$5711</f>
        <v>0</v>
      </c>
      <c r="D5714" s="41" t="n">
        <f aca="false">Sens!$D$5699+Sens!$D$5700+Sens!$D$5701+Sens!$D$5702+Sens!$D$5703+Sens!$D$5704+Sens!$D$5705-Sens!$D$5711</f>
        <v>0</v>
      </c>
      <c r="E5714" s="41" t="n">
        <f aca="false">Sens!$E$5699+Sens!$E$5700+Sens!$E$5701+Sens!$E$5702+Sens!$E$5703+Sens!$E$5704+Sens!$E$5705-Sens!$E$5711</f>
        <v>0</v>
      </c>
      <c r="F5714" s="41" t="n">
        <f aca="false">Sens!$F$5699+Sens!$F$5700+Sens!$F$5701+Sens!$F$5702+Sens!$F$5703+Sens!$F$5704+Sens!$F$5705-Sens!$F$5711</f>
        <v>0</v>
      </c>
      <c r="G5714" s="41" t="n">
        <f aca="false">Sens!$G$5699+Sens!$G$5700+Sens!$G$5701+Sens!$G$5702+Sens!$G$5703+Sens!$G$5704+Sens!$G$5705-Sens!$G$5711</f>
        <v>0</v>
      </c>
      <c r="H5714" s="41" t="n">
        <f aca="false">Sens!$H$5699+Sens!$H$5700+Sens!$H$5701+Sens!$H$5702+Sens!$H$5703+Sens!$H$5704+Sens!$H$5705-Sens!$H$5711</f>
        <v>0</v>
      </c>
      <c r="I5714" s="41" t="n">
        <f aca="false">Sens!$I$5699+Sens!$I$5700+Sens!$I$5701+Sens!$I$5702+Sens!$I$5703+Sens!$I$5704+Sens!$I$5705-Sens!$I$5711</f>
        <v>0</v>
      </c>
      <c r="J5714" s="41" t="n">
        <f aca="false">Sens!$J$5699+Sens!$J$5700+Sens!$J$5701+Sens!$J$5702+Sens!$J$5703+Sens!$J$5704+Sens!$J$5705-Sens!$J$5711</f>
        <v>0</v>
      </c>
      <c r="K5714" s="41" t="n">
        <f aca="false">Sens!$K$5699+Sens!$K$5700+Sens!$K$5701+Sens!$K$5702+Sens!$K$5703+Sens!$K$5704+Sens!$K$5705-Sens!$K$5711</f>
        <v>0</v>
      </c>
      <c r="L5714" s="41" t="n">
        <f aca="false">Sens!$L$5699+Sens!$L$5700+Sens!$L$5701+Sens!$L$5702+Sens!$L$5703+Sens!$L$5704+Sens!$L$5705-Sens!$L$5711</f>
        <v>0</v>
      </c>
      <c r="M5714" s="41" t="n">
        <f aca="false">Sens!$M$5699+Sens!$M$5700+Sens!$M$5701+Sens!$M$5702+Sens!$M$5703+Sens!$M$5704+Sens!$M$5705-Sens!$M$5711</f>
        <v>0</v>
      </c>
      <c r="N5714" s="41" t="n">
        <f aca="false">Sens!$N$5699+Sens!$N$5700+Sens!$N$5701+Sens!$N$5702+Sens!$N$5703+Sens!$N$5704+Sens!$N$5705-Sens!$N$5711</f>
        <v>0</v>
      </c>
      <c r="O5714" s="41" t="n">
        <f aca="false">Sens!$O$5699+Sens!$O$5700+Sens!$O$5701+Sens!$O$5702+Sens!$O$5703+Sens!$O$5704+Sens!$O$5705-Sens!$O$5711</f>
        <v>0</v>
      </c>
    </row>
    <row r="5715" customFormat="false" ht="17.15" hidden="false" customHeight="false" outlineLevel="0" collapsed="false">
      <c r="A5715" s="24" t="s">
        <v>699</v>
      </c>
      <c r="B5715" s="25" t="s">
        <v>86</v>
      </c>
      <c r="C5715" s="41" t="n">
        <f aca="false">Sens!$C$5706+Sens!$C$5707+Sens!$C$5708-Sens!$C$5711</f>
        <v>0</v>
      </c>
      <c r="D5715" s="41" t="n">
        <f aca="false">Sens!$D$5706+Sens!$D$5707+Sens!$D$5708-Sens!$D$5711</f>
        <v>0</v>
      </c>
      <c r="E5715" s="41" t="n">
        <f aca="false">Sens!$E$5706+Sens!$E$5707+Sens!$E$5708-Sens!$E$5711</f>
        <v>0</v>
      </c>
      <c r="F5715" s="41" t="n">
        <f aca="false">Sens!$F$5706+Sens!$F$5707+Sens!$F$5708-Sens!$F$5711</f>
        <v>0</v>
      </c>
      <c r="G5715" s="41" t="n">
        <f aca="false">Sens!$G$5706+Sens!$G$5707+Sens!$G$5708-Sens!$G$5711</f>
        <v>0</v>
      </c>
      <c r="H5715" s="41" t="n">
        <f aca="false">Sens!$H$5706+Sens!$H$5707+Sens!$H$5708-Sens!$H$5711</f>
        <v>0</v>
      </c>
      <c r="I5715" s="41" t="n">
        <f aca="false">Sens!$I$5706+Sens!$I$5707+Sens!$I$5708-Sens!$I$5711</f>
        <v>0</v>
      </c>
      <c r="J5715" s="41" t="n">
        <f aca="false">Sens!$J$5706+Sens!$J$5707+Sens!$J$5708-Sens!$J$5711</f>
        <v>0</v>
      </c>
      <c r="K5715" s="41" t="n">
        <f aca="false">Sens!$K$5706+Sens!$K$5707+Sens!$K$5708-Sens!$K$5711</f>
        <v>0</v>
      </c>
      <c r="L5715" s="41" t="n">
        <f aca="false">Sens!$L$5706+Sens!$L$5707+Sens!$L$5708-Sens!$L$5711</f>
        <v>0</v>
      </c>
      <c r="M5715" s="41" t="n">
        <f aca="false">Sens!$M$5706+Sens!$M$5707+Sens!$M$5708-Sens!$M$5711</f>
        <v>0</v>
      </c>
      <c r="N5715" s="41" t="n">
        <f aca="false">Sens!$N$5706+Sens!$N$5707+Sens!$N$5708-Sens!$N$5711</f>
        <v>0</v>
      </c>
      <c r="O5715" s="41" t="n">
        <f aca="false">Sens!$O$5706+Sens!$O$5707+Sens!$O$5708-Sens!$O$5711</f>
        <v>0</v>
      </c>
    </row>
    <row r="5716" customFormat="false" ht="17.15" hidden="false" customHeight="false" outlineLevel="0" collapsed="false">
      <c r="A5716" s="1" t="s">
        <v>713</v>
      </c>
    </row>
    <row r="5717" customFormat="false" ht="17.15" hidden="false" customHeight="false" outlineLevel="0" collapsed="false">
      <c r="A5717" s="0" t="s">
        <v>714</v>
      </c>
      <c r="B5717" s="0" t="s">
        <v>86</v>
      </c>
      <c r="C5717" s="38" t="n">
        <f aca="false">Sens!$C$5623*m_ad</f>
        <v>20.5341564414228</v>
      </c>
      <c r="D5717" s="38" t="n">
        <f aca="false">Sens!$D$5623*m_ad</f>
        <v>24.8720617299587</v>
      </c>
      <c r="E5717" s="38" t="n">
        <f aca="false">Sens!$E$5623*m_ad</f>
        <v>13.5017112462207</v>
      </c>
      <c r="F5717" s="38" t="n">
        <f aca="false">Sens!$F$5623*m_ad</f>
        <v>16.5719724165257</v>
      </c>
      <c r="G5717" s="38" t="n">
        <f aca="false">Sens!$G$5623*m_ad</f>
        <v>30.0820919220415</v>
      </c>
      <c r="H5717" s="38" t="n">
        <f aca="false">Sens!$H$5623*m_ad</f>
        <v>36.1150883276314</v>
      </c>
      <c r="I5717" s="38" t="n">
        <f aca="false">Sens!$I$5623*m_ad</f>
        <v>42.1475382231996</v>
      </c>
      <c r="J5717" s="38" t="n">
        <f aca="false">Sens!$J$5623*m_ad</f>
        <v>47.7749523864693</v>
      </c>
      <c r="K5717" s="38" t="n">
        <f aca="false">Sens!$K$5623*m_ad</f>
        <v>52.5524476251162</v>
      </c>
      <c r="L5717" s="38" t="n">
        <f aca="false">Sens!$L$5623*m_ad</f>
        <v>57.8076923876279</v>
      </c>
      <c r="M5717" s="38" t="n">
        <f aca="false">Sens!$M$5623*m_ad</f>
        <v>63.5884616263907</v>
      </c>
      <c r="N5717" s="38" t="n">
        <f aca="false">Sens!$N$5623*m_ad</f>
        <v>10.8543555706248</v>
      </c>
      <c r="O5717" s="38" t="n">
        <f aca="false">Sens!$O$5623*m_ad</f>
        <v>14.0094731821399</v>
      </c>
    </row>
    <row r="5718" customFormat="false" ht="17.15" hidden="false" customHeight="false" outlineLevel="0" collapsed="false">
      <c r="A5718" s="0" t="s">
        <v>715</v>
      </c>
      <c r="B5718" s="0" t="s">
        <v>86</v>
      </c>
      <c r="C5718" s="38" t="n">
        <f aca="false">Sens!$C$5621-Sens!$C$5623</f>
        <v>346.428687117154</v>
      </c>
      <c r="D5718" s="38" t="n">
        <f aca="false">Sens!$D$5621-Sens!$D$5623</f>
        <v>376.560876540083</v>
      </c>
      <c r="E5718" s="38" t="n">
        <f aca="false">Sens!$E$5621-Sens!$E$5623</f>
        <v>193.316577507559</v>
      </c>
      <c r="F5718" s="38" t="n">
        <f aca="false">Sens!$F$5621-Sens!$F$5623</f>
        <v>217.495828647535</v>
      </c>
      <c r="G5718" s="38" t="n">
        <f aca="false">Sens!$G$5621-Sens!$G$5623</f>
        <v>410.795589636503</v>
      </c>
      <c r="H5718" s="38" t="n">
        <f aca="false">Sens!$H$5621-Sens!$H$5623</f>
        <v>449.156813761174</v>
      </c>
      <c r="I5718" s="38" t="n">
        <f aca="false">Sens!$I$5621-Sens!$I$5623</f>
        <v>485.848786441156</v>
      </c>
      <c r="J5718" s="38" t="n">
        <f aca="false">Sens!$J$5621-Sens!$J$5623</f>
        <v>519.841531018994</v>
      </c>
      <c r="K5718" s="38" t="n">
        <f aca="false">Sens!$K$5621-Sens!$K$5623</f>
        <v>550.103332311311</v>
      </c>
      <c r="L5718" s="38" t="n">
        <f aca="false">Sens!$L$5621-Sens!$L$5623</f>
        <v>582.192354474511</v>
      </c>
      <c r="M5718" s="38" t="n">
        <f aca="false">Sens!$M$5621-Sens!$M$5623</f>
        <v>616.22240521081</v>
      </c>
      <c r="N5718" s="38" t="n">
        <f aca="false">Sens!$N$5621-Sens!$N$5623</f>
        <v>171.24628885875</v>
      </c>
      <c r="O5718" s="38" t="n">
        <f aca="false">Sens!$O$5621-Sens!$O$5623</f>
        <v>205.33105363572</v>
      </c>
    </row>
    <row r="5719" customFormat="false" ht="17.15" hidden="false" customHeight="false" outlineLevel="0" collapsed="false">
      <c r="A5719" s="0" t="s">
        <v>716</v>
      </c>
      <c r="B5719" s="0" t="s">
        <v>86</v>
      </c>
      <c r="C5719" s="38" t="n">
        <f aca="false">Sens!$C$5670*Sens!$C$5620</f>
        <v>0.123617442257179</v>
      </c>
      <c r="D5719" s="38" t="n">
        <f aca="false">Sens!$D$5670*Sens!$D$5620</f>
        <v>0.874366899302609</v>
      </c>
      <c r="E5719" s="38" t="n">
        <f aca="false">Sens!$E$5670*Sens!$E$5620</f>
        <v>1.29318830502574</v>
      </c>
      <c r="F5719" s="38" t="n">
        <f aca="false">Sens!$F$5670*Sens!$F$5620</f>
        <v>1.51802024162534</v>
      </c>
      <c r="G5719" s="38" t="n">
        <f aca="false">Sens!$G$5670*Sens!$G$5620</f>
        <v>2.81153363597665</v>
      </c>
      <c r="H5719" s="38" t="n">
        <f aca="false">Sens!$H$5670*Sens!$H$5620</f>
        <v>7.39027704264226</v>
      </c>
      <c r="I5719" s="38" t="n">
        <f aca="false">Sens!$I$5670*Sens!$I$5620</f>
        <v>12.899807643047</v>
      </c>
      <c r="J5719" s="38" t="n">
        <f aca="false">Sens!$J$5670*Sens!$J$5620</f>
        <v>18.5585322471382</v>
      </c>
      <c r="K5719" s="38" t="n">
        <f aca="false">Sens!$K$5670*Sens!$K$5620</f>
        <v>24.1069408582448</v>
      </c>
      <c r="L5719" s="38" t="n">
        <f aca="false">Sens!$L$5670*Sens!$L$5620</f>
        <v>27.7839918126586</v>
      </c>
      <c r="M5719" s="38" t="n">
        <f aca="false">Sens!$M$5670*Sens!$M$5620</f>
        <v>29.9851882607902</v>
      </c>
      <c r="N5719" s="38" t="n">
        <f aca="false">Sens!$N$5670*Sens!$N$5620</f>
        <v>0.389180508437431</v>
      </c>
      <c r="O5719" s="38" t="n">
        <f aca="false">Sens!$O$5670*Sens!$O$5620</f>
        <v>0.485052120082802</v>
      </c>
    </row>
    <row r="5720" customFormat="false" ht="17.15" hidden="false" customHeight="false" outlineLevel="0" collapsed="false">
      <c r="A5720" s="0" t="s">
        <v>717</v>
      </c>
      <c r="B5720" s="0" t="s">
        <v>52</v>
      </c>
      <c r="C5720" s="28" t="n">
        <f aca="false">(Sens!$C$5721-Sens!$C$5717+Sens!$C$5719)/Sens!$C$5718</f>
        <v>0.0131526665379575</v>
      </c>
      <c r="D5720" s="28" t="n">
        <f aca="false">(Sens!$D$5721-Sens!$D$5717+Sens!$D$5719)/Sens!$D$5718</f>
        <v>0.0149280116962589</v>
      </c>
      <c r="E5720" s="28" t="n">
        <f aca="false">(Sens!$E$5721-Sens!$E$5717+Sens!$E$5719)/Sens!$E$5718</f>
        <v>0.0268030663774938</v>
      </c>
      <c r="F5720" s="28" t="n">
        <f aca="false">Sens!$O$5720+(Sens!$E$5720-Sens!$N$5720)</f>
        <v>0.0232379346966962</v>
      </c>
      <c r="G5720" s="28" t="n">
        <f aca="false">(Sens!$G$5721-Sens!$G$5717+Sens!$G$5719)/Sens!$G$5718</f>
        <v>0.0248969268652583</v>
      </c>
      <c r="H5720" s="28" t="n">
        <f aca="false">Sens!$G$5720+step_na</f>
        <v>0.0278969268652583</v>
      </c>
      <c r="I5720" s="28" t="n">
        <f aca="false">Sens!$H$5720+step_na</f>
        <v>0.0308969268652583</v>
      </c>
      <c r="J5720" s="28" t="n">
        <f aca="false">Sens!$I$5720+step_na</f>
        <v>0.0338969268652583</v>
      </c>
      <c r="K5720" s="28" t="n">
        <f aca="false">Sens!$J$5720+step_na</f>
        <v>0.0368969268652584</v>
      </c>
      <c r="L5720" s="28" t="n">
        <f aca="false">Sens!$K$5720</f>
        <v>0.0368969268652584</v>
      </c>
      <c r="M5720" s="28" t="n">
        <f aca="false">Sens!$L$5720</f>
        <v>0.0368969268652584</v>
      </c>
      <c r="N5720" s="28" t="n">
        <f aca="false">(Sens!$N$5721-Sens!$N$5717+Sens!$N$5719)/Sens!$N$5718</f>
        <v>0.0168927744775755</v>
      </c>
      <c r="O5720" s="28" t="n">
        <f aca="false">(Sens!$O$5721-Sens!$O$5717+Sens!$O$5719)/Sens!$O$5718</f>
        <v>0.0133276427967779</v>
      </c>
      <c r="P5720" s="8" t="s">
        <v>718</v>
      </c>
    </row>
    <row r="5721" customFormat="false" ht="17.15" hidden="false" customHeight="false" outlineLevel="0" collapsed="false">
      <c r="A5721" s="1" t="s">
        <v>719</v>
      </c>
      <c r="B5721" s="8" t="s">
        <v>86</v>
      </c>
      <c r="C5721" s="38" t="n">
        <f aca="false">Q!$D$22</f>
        <v>24.967</v>
      </c>
      <c r="D5721" s="38" t="n">
        <f aca="false">Q!$E$22</f>
        <v>29.619</v>
      </c>
      <c r="E5721" s="38" t="n">
        <f aca="false">Q!$P$22</f>
        <v>17.39</v>
      </c>
      <c r="F5721" s="38" t="n">
        <f aca="false">Sens!$F$5717+Sens!$F$5718*Sens!$F$5720-Sens!$F$5719</f>
        <v>20.1081060378156</v>
      </c>
      <c r="G5721" s="38" t="n">
        <f aca="false">Sens!$E$5721+Sens!$F$5721</f>
        <v>37.4981060378156</v>
      </c>
      <c r="H5721" s="38" t="n">
        <f aca="false">Sens!$H$5717+Sens!$H$5718*Sens!$H$5720-Sens!$H$5719</f>
        <v>41.2549060695171</v>
      </c>
      <c r="I5721" s="38" t="n">
        <f aca="false">Sens!$I$5717+Sens!$I$5718*Sens!$I$5720-Sens!$I$5719</f>
        <v>44.2589650023995</v>
      </c>
      <c r="J5721" s="38" t="n">
        <f aca="false">Sens!$J$5717+Sens!$J$5718*Sens!$J$5720-Sens!$J$5719</f>
        <v>46.8374504978059</v>
      </c>
      <c r="K5721" s="38" t="n">
        <f aca="false">Sens!$K$5717+Sens!$K$5718*Sens!$K$5720-Sens!$K$5719</f>
        <v>48.7426291874968</v>
      </c>
      <c r="L5721" s="38" t="n">
        <f aca="false">Sens!$L$5717+Sens!$L$5718*Sens!$L$5720-Sens!$L$5719</f>
        <v>51.5048092995279</v>
      </c>
      <c r="M5721" s="38" t="n">
        <f aca="false">Sens!$M$5717+Sens!$M$5718*Sens!$M$5720-Sens!$M$5719</f>
        <v>56.3399863833974</v>
      </c>
      <c r="N5721" s="38" t="n">
        <f aca="false">Q!$N$22</f>
        <v>13.358</v>
      </c>
      <c r="O5721" s="38" t="n">
        <f aca="false">Q!$O$22</f>
        <v>16.261</v>
      </c>
    </row>
    <row r="5722" customFormat="false" ht="17.15" hidden="false" customHeight="false" outlineLevel="0" collapsed="false">
      <c r="A5722" s="0" t="s">
        <v>720</v>
      </c>
      <c r="B5722" s="0" t="s">
        <v>86</v>
      </c>
      <c r="C5722" s="38" t="n">
        <f aca="false">Sens!$C$5624*m_ad</f>
        <v>7.57284355857716</v>
      </c>
      <c r="D5722" s="38" t="n">
        <f aca="false">Sens!$D$5624*m_ad</f>
        <v>9.44543827004127</v>
      </c>
      <c r="E5722" s="38" t="n">
        <f aca="false">Sens!$E$5624*m_ad</f>
        <v>5.02428875377928</v>
      </c>
      <c r="F5722" s="38" t="n">
        <f aca="false">Sens!$F$5624*m_ad</f>
        <v>6.50663858068173</v>
      </c>
      <c r="G5722" s="38" t="n">
        <f aca="false">Sens!$G$5624*m_ad</f>
        <v>11.5225190751659</v>
      </c>
      <c r="H5722" s="38" t="n">
        <f aca="false">Sens!$H$5624*m_ad</f>
        <v>13.8333728663174</v>
      </c>
      <c r="I5722" s="38" t="n">
        <f aca="false">Sens!$I$5624*m_ad</f>
        <v>16.1440173245485</v>
      </c>
      <c r="J5722" s="38" t="n">
        <f aca="false">Sens!$J$5624*m_ad</f>
        <v>18.2995185845066</v>
      </c>
      <c r="K5722" s="38" t="n">
        <f aca="false">Sens!$K$5624*m_ad</f>
        <v>20.1294704429572</v>
      </c>
      <c r="L5722" s="38" t="n">
        <f aca="false">Sens!$L$5624*m_ad</f>
        <v>22.142417487253</v>
      </c>
      <c r="M5722" s="38" t="n">
        <f aca="false">Sens!$M$5624*m_ad</f>
        <v>24.3566592359783</v>
      </c>
      <c r="N5722" s="38" t="n">
        <f aca="false">Sens!$N$5624*m_ad</f>
        <v>3.95314442937518</v>
      </c>
      <c r="O5722" s="38" t="n">
        <f aca="false">Sens!$O$5624*m_ad</f>
        <v>5.50052681786011</v>
      </c>
    </row>
    <row r="5723" customFormat="false" ht="17.15" hidden="false" customHeight="false" outlineLevel="0" collapsed="false">
      <c r="A5723" s="0" t="s">
        <v>721</v>
      </c>
      <c r="B5723" s="0" t="s">
        <v>86</v>
      </c>
      <c r="C5723" s="38" t="n">
        <f aca="false">Sens!$C$5622-Sens!$C$5624</f>
        <v>127.760312882846</v>
      </c>
      <c r="D5723" s="38" t="n">
        <f aca="false">Sens!$D$5622-Sens!$D$5624</f>
        <v>143.003123459917</v>
      </c>
      <c r="E5723" s="38" t="n">
        <f aca="false">Sens!$E$5622-Sens!$E$5624</f>
        <v>71.9374224924414</v>
      </c>
      <c r="F5723" s="38" t="n">
        <f aca="false">Sens!$F$5622-Sens!$F$5624</f>
        <v>85.3951910035875</v>
      </c>
      <c r="G5723" s="38" t="n">
        <f aca="false">Sens!$G$5622-Sens!$G$5624</f>
        <v>157.349430014619</v>
      </c>
      <c r="H5723" s="38" t="n">
        <f aca="false">Sens!$H$5622-Sens!$H$5624</f>
        <v>172.043153372315</v>
      </c>
      <c r="I5723" s="38" t="n">
        <f aca="false">Sens!$I$5622-Sens!$I$5624</f>
        <v>186.097493615879</v>
      </c>
      <c r="J5723" s="38" t="n">
        <f aca="false">Sens!$J$5622-Sens!$J$5624</f>
        <v>199.117932780497</v>
      </c>
      <c r="K5723" s="38" t="n">
        <f aca="false">Sens!$K$5622-Sens!$K$5624</f>
        <v>210.70928698363</v>
      </c>
      <c r="L5723" s="38" t="n">
        <f aca="false">Sens!$L$5622-Sens!$L$5624</f>
        <v>223.000532251316</v>
      </c>
      <c r="M5723" s="38" t="n">
        <f aca="false">Sens!$M$5622-Sens!$M$5624</f>
        <v>236.035261011339</v>
      </c>
      <c r="N5723" s="38" t="n">
        <f aca="false">Sens!$N$5622-Sens!$N$5624</f>
        <v>62.3677111412496</v>
      </c>
      <c r="O5723" s="38" t="n">
        <f aca="false">Sens!$O$5622-Sens!$O$5624</f>
        <v>80.6189463642798</v>
      </c>
    </row>
    <row r="5724" customFormat="false" ht="17.15" hidden="false" customHeight="false" outlineLevel="0" collapsed="false">
      <c r="A5724" s="0" t="s">
        <v>722</v>
      </c>
      <c r="B5724" s="0" t="s">
        <v>86</v>
      </c>
      <c r="C5724" s="38" t="n">
        <f aca="false">Sens!$C$5670*(1-Sens!$C$5620)</f>
        <v>0.0455891896019953</v>
      </c>
      <c r="D5724" s="38" t="n">
        <f aca="false">Sens!$D$5670*(1-Sens!$D$5620)</f>
        <v>0.332050421167231</v>
      </c>
      <c r="E5724" s="38" t="n">
        <f aca="false">Sens!$E$5670*(1-Sens!$E$5620)</f>
        <v>0.481224293644882</v>
      </c>
      <c r="F5724" s="38" t="n">
        <f aca="false">Sens!$F$5670*(1-Sens!$F$5620)</f>
        <v>0.596018918096053</v>
      </c>
      <c r="G5724" s="38" t="n">
        <f aca="false">Sens!$G$5670*(1-Sens!$G$5620)</f>
        <v>1.07691812241537</v>
      </c>
      <c r="H5724" s="38" t="n">
        <f aca="false">Sens!$H$5670*(1-Sens!$H$5620)</f>
        <v>2.83074090775622</v>
      </c>
      <c r="I5724" s="38" t="n">
        <f aca="false">Sens!$I$5670*(1-Sens!$I$5620)</f>
        <v>4.94108853926048</v>
      </c>
      <c r="J5724" s="38" t="n">
        <f aca="false">Sens!$J$5670*(1-Sens!$J$5620)</f>
        <v>7.10858281993502</v>
      </c>
      <c r="K5724" s="38" t="n">
        <f aca="false">Sens!$K$5670*(1-Sens!$K$5620)</f>
        <v>9.233822122573</v>
      </c>
      <c r="L5724" s="38" t="n">
        <f aca="false">Sens!$L$5670*(1-Sens!$L$5620)</f>
        <v>10.6422643902314</v>
      </c>
      <c r="M5724" s="38" t="n">
        <f aca="false">Sens!$M$5670*(1-Sens!$M$5620)</f>
        <v>11.4854015007593</v>
      </c>
      <c r="N5724" s="38" t="n">
        <f aca="false">Sens!$N$5670*(1-Sens!$N$5620)</f>
        <v>0.141739115596548</v>
      </c>
      <c r="O5724" s="38" t="n">
        <f aca="false">Sens!$O$5670*(1-Sens!$O$5620)</f>
        <v>0.190445576353059</v>
      </c>
    </row>
    <row r="5725" customFormat="false" ht="17.15" hidden="false" customHeight="false" outlineLevel="0" collapsed="false">
      <c r="A5725" s="0" t="s">
        <v>723</v>
      </c>
      <c r="B5725" s="0" t="s">
        <v>52</v>
      </c>
      <c r="C5725" s="28" t="n">
        <f aca="false">(Sens!$C$5726-Sens!$C$5722+Sens!$C$5724)/Sens!$C$5723</f>
        <v>-0.0292364215826579</v>
      </c>
      <c r="D5725" s="28" t="n">
        <f aca="false">(Sens!$D$5726-Sens!$D$5722+Sens!$D$5724)/Sens!$D$5723</f>
        <v>-0.0305125352740778</v>
      </c>
      <c r="E5725" s="28" t="n">
        <f aca="false">(Sens!$E$5726-Sens!$E$5722+Sens!$E$5724)/Sens!$E$5723</f>
        <v>-0.019490056934994</v>
      </c>
      <c r="F5725" s="28" t="n">
        <f aca="false">Sens!$O$5725+(Sens!$E$5725-Sens!$N$5725)</f>
        <v>-0.0367332293992226</v>
      </c>
      <c r="G5725" s="28" t="n">
        <f aca="false">(Sens!$G$5726-Sens!$G$5722+Sens!$G$5724)/Sens!$G$5723</f>
        <v>-0.0287946542321067</v>
      </c>
      <c r="H5725" s="28" t="n">
        <f aca="false">Sens!$G$5725+step_in</f>
        <v>-0.0287946542321067</v>
      </c>
      <c r="I5725" s="28" t="n">
        <f aca="false">Sens!$H$5725+step_in</f>
        <v>-0.0287946542321067</v>
      </c>
      <c r="J5725" s="28" t="n">
        <f aca="false">Sens!$I$5725+step_in</f>
        <v>-0.0287946542321067</v>
      </c>
      <c r="K5725" s="28" t="n">
        <f aca="false">Sens!$J$5725+step_in</f>
        <v>-0.0287946542321067</v>
      </c>
      <c r="L5725" s="28" t="n">
        <f aca="false">Sens!$K$5725</f>
        <v>-0.0287946542321067</v>
      </c>
      <c r="M5725" s="28" t="n">
        <f aca="false">Sens!$L$5725</f>
        <v>-0.0287946542321067</v>
      </c>
      <c r="N5725" s="28" t="n">
        <f aca="false">(Sens!$N$5726-Sens!$N$5722+Sens!$N$5724)/Sens!$N$5723</f>
        <v>-0.02085061789158</v>
      </c>
      <c r="O5725" s="28" t="n">
        <f aca="false">(Sens!$O$5726-Sens!$O$5722+Sens!$O$5724)/Sens!$O$5723</f>
        <v>-0.0380937903558086</v>
      </c>
      <c r="P5725" s="8" t="s">
        <v>718</v>
      </c>
    </row>
    <row r="5726" customFormat="false" ht="17.15" hidden="false" customHeight="false" outlineLevel="0" collapsed="false">
      <c r="A5726" s="1" t="s">
        <v>724</v>
      </c>
      <c r="B5726" s="8" t="s">
        <v>86</v>
      </c>
      <c r="C5726" s="38" t="n">
        <f aca="false">Q!$D$23</f>
        <v>3.792</v>
      </c>
      <c r="D5726" s="38" t="n">
        <f aca="false">Q!$E$23</f>
        <v>4.75</v>
      </c>
      <c r="E5726" s="38" t="n">
        <f aca="false">Q!$P$23</f>
        <v>3.141</v>
      </c>
      <c r="F5726" s="38" t="n">
        <f aca="false">Sens!$F$5722+Sens!$F$5723*Sens!$F$5725-Sens!$F$5724</f>
        <v>2.77377852186047</v>
      </c>
      <c r="G5726" s="38" t="n">
        <f aca="false">Sens!$E$5726+Sens!$F$5726</f>
        <v>5.91477852186047</v>
      </c>
      <c r="H5726" s="38" t="n">
        <f aca="false">Sens!$H$5722+Sens!$H$5723*Sens!$H$5725-Sens!$H$5724</f>
        <v>6.04870884420403</v>
      </c>
      <c r="I5726" s="38" t="n">
        <f aca="false">Sens!$I$5722+Sens!$I$5723*Sens!$I$5725-Sens!$I$5724</f>
        <v>5.84431580315713</v>
      </c>
      <c r="J5726" s="38" t="n">
        <f aca="false">Sens!$J$5722+Sens!$J$5723*Sens!$J$5725-Sens!$J$5724</f>
        <v>5.45740373874528</v>
      </c>
      <c r="K5726" s="38" t="n">
        <f aca="false">Sens!$K$5722+Sens!$K$5723*Sens!$K$5725-Sens!$K$5724</f>
        <v>4.82834725819686</v>
      </c>
      <c r="L5726" s="38" t="n">
        <f aca="false">Sens!$L$5722+Sens!$L$5723*Sens!$L$5725-Sens!$L$5724</f>
        <v>5.0789298772691</v>
      </c>
      <c r="M5726" s="38" t="n">
        <f aca="false">Sens!$M$5722+Sens!$M$5723*Sens!$M$5725-Sens!$M$5724</f>
        <v>6.07470400781241</v>
      </c>
      <c r="N5726" s="38" t="n">
        <f aca="false">Q!$N$23</f>
        <v>2.511</v>
      </c>
      <c r="O5726" s="38" t="n">
        <f aca="false">Q!$O$23</f>
        <v>2.239</v>
      </c>
    </row>
    <row r="5727" customFormat="false" ht="17.15" hidden="false" customHeight="false" outlineLevel="0" collapsed="false">
      <c r="A5727" s="0" t="s">
        <v>725</v>
      </c>
      <c r="B5727" s="0" t="s">
        <v>86</v>
      </c>
      <c r="C5727" s="38" t="n">
        <f aca="false">Sens!$C$5667</f>
        <v>1.64417882953695</v>
      </c>
      <c r="D5727" s="38" t="n">
        <f aca="false">Sens!$D$5667</f>
        <v>3.8781008067718</v>
      </c>
      <c r="E5727" s="38" t="n">
        <f aca="false">Sens!$E$5667</f>
        <v>1.41270258088753</v>
      </c>
      <c r="F5727" s="38" t="n">
        <f aca="false">Sens!$F$5667</f>
        <v>6.50727700583486</v>
      </c>
      <c r="G5727" s="38" t="n">
        <f aca="false">Sens!$G$5667</f>
        <v>7.9199795867224</v>
      </c>
      <c r="H5727" s="38" t="n">
        <f aca="false">Sens!$H$5667</f>
        <v>19.2818189481807</v>
      </c>
      <c r="I5727" s="38" t="n">
        <f aca="false">Sens!$I$5667</f>
        <v>30.140114407202</v>
      </c>
      <c r="J5727" s="38" t="n">
        <f aca="false">Sens!$J$5667</f>
        <v>40.3569468829854</v>
      </c>
      <c r="K5727" s="38" t="n">
        <f aca="false">Sens!$K$5667</f>
        <v>45.3710496571487</v>
      </c>
      <c r="L5727" s="38" t="n">
        <f aca="false">Sens!$L$5667</f>
        <v>49.1601681490812</v>
      </c>
      <c r="M5727" s="38" t="n">
        <f aca="false">Sens!$M$5667</f>
        <v>49.5075152997692</v>
      </c>
      <c r="N5727" s="38" t="n">
        <f aca="false">Sens!$N$5667</f>
        <v>0.92264103489199</v>
      </c>
      <c r="O5727" s="38" t="n">
        <f aca="false">Sens!$O$5667</f>
        <v>2.95545977187981</v>
      </c>
    </row>
    <row r="5728" customFormat="false" ht="17.15" hidden="false" customHeight="false" outlineLevel="0" collapsed="false">
      <c r="A5728" s="0" t="s">
        <v>643</v>
      </c>
      <c r="B5728" s="0" t="s">
        <v>86</v>
      </c>
      <c r="C5728" s="38" t="n">
        <f aca="false">Sens!$C$5672</f>
        <v>38.1898211704631</v>
      </c>
      <c r="D5728" s="38" t="n">
        <f aca="false">Sens!$D$5672</f>
        <v>41.7278991932282</v>
      </c>
      <c r="E5728" s="38" t="n">
        <f aca="false">Sens!$E$5672</f>
        <v>29.3692974191125</v>
      </c>
      <c r="F5728" s="38" t="n">
        <f aca="false">Sens!$F$5672</f>
        <v>26.8997276714137</v>
      </c>
      <c r="G5728" s="38" t="n">
        <f aca="false">Sens!$G$5672</f>
        <v>56.2690250905262</v>
      </c>
      <c r="H5728" s="38" t="n">
        <f aca="false">Sens!$H$5672</f>
        <v>60.3505333937343</v>
      </c>
      <c r="I5728" s="38" t="n">
        <f aca="false">Sens!$I$5672</f>
        <v>67.0043857303571</v>
      </c>
      <c r="J5728" s="38" t="n">
        <f aca="false">Sens!$J$5672</f>
        <v>73.3782922956925</v>
      </c>
      <c r="K5728" s="38" t="n">
        <f aca="false">Sens!$K$5672</f>
        <v>79.2485556793479</v>
      </c>
      <c r="L5728" s="38" t="n">
        <f aca="false">Sens!$L$5672</f>
        <v>85.5884401336958</v>
      </c>
      <c r="M5728" s="38" t="n">
        <f aca="false">Sens!$M$5672</f>
        <v>92.4355153443914</v>
      </c>
      <c r="N5728" s="38" t="n">
        <f aca="false">Sens!$N$5672</f>
        <v>20.784358965108</v>
      </c>
      <c r="O5728" s="38" t="n">
        <f aca="false">Sens!$O$5672</f>
        <v>20.9435402281202</v>
      </c>
    </row>
    <row r="5729" customFormat="false" ht="17.15" hidden="false" customHeight="false" outlineLevel="0" collapsed="false">
      <c r="A5729" s="1" t="s">
        <v>726</v>
      </c>
      <c r="B5729" s="8" t="s">
        <v>86</v>
      </c>
      <c r="C5729" s="38" t="n">
        <f aca="false">Q!$D$24</f>
        <v>39.834</v>
      </c>
      <c r="D5729" s="38" t="n">
        <f aca="false">Q!$E$24</f>
        <v>45.606</v>
      </c>
      <c r="E5729" s="38" t="n">
        <f aca="false">Q!$P$24</f>
        <v>30.782</v>
      </c>
      <c r="F5729" s="38" t="n">
        <f aca="false">Sens!$F$5727+Sens!$F$5728</f>
        <v>33.4070046772486</v>
      </c>
      <c r="G5729" s="38" t="n">
        <f aca="false">Sens!$G$5727+Sens!$G$5728</f>
        <v>64.1890046772486</v>
      </c>
      <c r="H5729" s="38" t="n">
        <f aca="false">Sens!$H$5727+Sens!$H$5728</f>
        <v>79.6323523419149</v>
      </c>
      <c r="I5729" s="38" t="n">
        <f aca="false">Sens!$I$5727+Sens!$I$5728</f>
        <v>97.1445001375591</v>
      </c>
      <c r="J5729" s="38" t="n">
        <f aca="false">Sens!$J$5727+Sens!$J$5728</f>
        <v>113.735239178678</v>
      </c>
      <c r="K5729" s="38" t="n">
        <f aca="false">Sens!$K$5727+Sens!$K$5728</f>
        <v>124.619605336497</v>
      </c>
      <c r="L5729" s="38" t="n">
        <f aca="false">Sens!$L$5727+Sens!$L$5728</f>
        <v>134.748608282777</v>
      </c>
      <c r="M5729" s="38" t="n">
        <f aca="false">Sens!$M$5727+Sens!$M$5728</f>
        <v>141.943030644161</v>
      </c>
      <c r="N5729" s="38" t="n">
        <f aca="false">Q!$N$24</f>
        <v>21.707</v>
      </c>
      <c r="O5729" s="38" t="n">
        <f aca="false">Q!$O$24</f>
        <v>23.899</v>
      </c>
    </row>
    <row r="5730" customFormat="false" ht="17.15" hidden="false" customHeight="false" outlineLevel="0" collapsed="false">
      <c r="A5730" s="5" t="s">
        <v>727</v>
      </c>
      <c r="B5730" s="0" t="s">
        <v>86</v>
      </c>
      <c r="C5730" s="38" t="n">
        <f aca="false">Q!$D$26</f>
        <v>0</v>
      </c>
      <c r="D5730" s="38" t="n">
        <f aca="false">Q!$E$26</f>
        <v>0</v>
      </c>
      <c r="E5730" s="38" t="n">
        <f aca="false">Q!$P$26</f>
        <v>0</v>
      </c>
      <c r="F5730" s="39" t="n">
        <v>0</v>
      </c>
      <c r="G5730" s="38" t="n">
        <f aca="false">Sens!$E$5730+Sens!$F$5730</f>
        <v>0</v>
      </c>
      <c r="H5730" s="39" t="n">
        <v>0</v>
      </c>
      <c r="I5730" s="39" t="n">
        <v>0</v>
      </c>
      <c r="J5730" s="39" t="n">
        <v>0</v>
      </c>
      <c r="K5730" s="39" t="n">
        <v>0</v>
      </c>
      <c r="L5730" s="39" t="n">
        <v>0</v>
      </c>
      <c r="M5730" s="39" t="n">
        <v>0</v>
      </c>
      <c r="N5730" s="38" t="n">
        <f aca="false">Q!$N$26</f>
        <v>0</v>
      </c>
      <c r="O5730" s="38" t="n">
        <f aca="false">Q!$O$26</f>
        <v>0</v>
      </c>
    </row>
    <row r="5731" customFormat="false" ht="15" hidden="false" customHeight="false" outlineLevel="0" collapsed="false">
      <c r="A5731" s="3" t="s">
        <v>531</v>
      </c>
      <c r="B5731" s="8" t="s">
        <v>86</v>
      </c>
      <c r="C5731" s="38" t="n">
        <f aca="false">Q!$D$25</f>
        <v>68.593</v>
      </c>
      <c r="D5731" s="38" t="n">
        <f aca="false">Q!$E$25</f>
        <v>79.975</v>
      </c>
      <c r="E5731" s="38" t="n">
        <f aca="false">Q!$P$25</f>
        <v>51.313</v>
      </c>
      <c r="F5731" s="38" t="n">
        <f aca="false">Sens!$F$5721+Sens!$F$5726+Sens!$F$5729+Sens!$F$5730</f>
        <v>56.2888892369246</v>
      </c>
      <c r="G5731" s="38" t="n">
        <f aca="false">Sens!$G$5721+Sens!$G$5726+Sens!$G$5729+Sens!$G$5730</f>
        <v>107.601889236925</v>
      </c>
      <c r="H5731" s="38" t="n">
        <f aca="false">Sens!$H$5721+Sens!$H$5726+Sens!$H$5729+Sens!$H$5730</f>
        <v>126.935967255636</v>
      </c>
      <c r="I5731" s="38" t="n">
        <f aca="false">Sens!$I$5721+Sens!$I$5726+Sens!$I$5729+Sens!$I$5730</f>
        <v>147.247780943116</v>
      </c>
      <c r="J5731" s="38" t="n">
        <f aca="false">Sens!$J$5721+Sens!$J$5726+Sens!$J$5729+Sens!$J$5730</f>
        <v>166.030093415229</v>
      </c>
      <c r="K5731" s="38" t="n">
        <f aca="false">Sens!$K$5721+Sens!$K$5726+Sens!$K$5729+Sens!$K$5730</f>
        <v>178.19058178219</v>
      </c>
      <c r="L5731" s="38" t="n">
        <f aca="false">Sens!$L$5721+Sens!$L$5726+Sens!$L$5729+Sens!$L$5730</f>
        <v>191.332347459574</v>
      </c>
      <c r="M5731" s="38" t="n">
        <f aca="false">Sens!$M$5721+Sens!$M$5726+Sens!$M$5729+Sens!$M$5730</f>
        <v>204.35772103537</v>
      </c>
      <c r="N5731" s="38" t="n">
        <f aca="false">Q!$N$25</f>
        <v>37.576</v>
      </c>
      <c r="O5731" s="38" t="n">
        <f aca="false">Q!$O$25</f>
        <v>42.399</v>
      </c>
    </row>
    <row r="5732" customFormat="false" ht="17.15" hidden="false" customHeight="false" outlineLevel="0" collapsed="false">
      <c r="A5732" s="24" t="s">
        <v>758</v>
      </c>
      <c r="B5732" s="25" t="s">
        <v>86</v>
      </c>
      <c r="C5732" s="41" t="n">
        <f aca="false">Sens!$C$5721+Sens!$C$5726+Sens!$C$5729+Sens!$C$5730-Sens!$C$5731</f>
        <v>0</v>
      </c>
      <c r="D5732" s="41" t="n">
        <f aca="false">Sens!$D$5721+Sens!$D$5726+Sens!$D$5729+Sens!$D$5730-Sens!$D$5731</f>
        <v>0</v>
      </c>
      <c r="E5732" s="41" t="n">
        <f aca="false">Sens!$E$5721+Sens!$E$5726+Sens!$E$5729+Sens!$E$5730-Sens!$E$5731</f>
        <v>0</v>
      </c>
      <c r="F5732" s="41" t="n">
        <f aca="false">Sens!$F$5721+Sens!$F$5726+Sens!$F$5729+Sens!$F$5730-Sens!$F$5731</f>
        <v>0</v>
      </c>
      <c r="G5732" s="41" t="n">
        <f aca="false">Sens!$G$5721+Sens!$G$5726+Sens!$G$5729+Sens!$G$5730-Sens!$G$5731</f>
        <v>0</v>
      </c>
      <c r="H5732" s="41" t="n">
        <f aca="false">Sens!$H$5721+Sens!$H$5726+Sens!$H$5729+Sens!$H$5730-Sens!$H$5731</f>
        <v>0</v>
      </c>
      <c r="I5732" s="41" t="n">
        <f aca="false">Sens!$I$5721+Sens!$I$5726+Sens!$I$5729+Sens!$I$5730-Sens!$I$5731</f>
        <v>0</v>
      </c>
      <c r="J5732" s="41" t="n">
        <f aca="false">Sens!$J$5721+Sens!$J$5726+Sens!$J$5729+Sens!$J$5730-Sens!$J$5731</f>
        <v>0</v>
      </c>
      <c r="K5732" s="41" t="n">
        <f aca="false">Sens!$K$5721+Sens!$K$5726+Sens!$K$5729+Sens!$K$5730-Sens!$K$5731</f>
        <v>0</v>
      </c>
      <c r="L5732" s="41" t="n">
        <f aca="false">Sens!$L$5721+Sens!$L$5726+Sens!$L$5729+Sens!$L$5730-Sens!$L$5731</f>
        <v>0</v>
      </c>
      <c r="M5732" s="41" t="n">
        <f aca="false">Sens!$M$5721+Sens!$M$5726+Sens!$M$5729+Sens!$M$5730-Sens!$M$5731</f>
        <v>0</v>
      </c>
      <c r="N5732" s="41" t="n">
        <f aca="false">Sens!$N$5721+Sens!$N$5726+Sens!$N$5729+Sens!$N$5730-Sens!$N$5731</f>
        <v>0</v>
      </c>
      <c r="O5732" s="41" t="n">
        <f aca="false">Sens!$O$5721+Sens!$O$5726+Sens!$O$5729+Sens!$O$5730-Sens!$O$5731</f>
        <v>0</v>
      </c>
    </row>
    <row r="5733" customFormat="false" ht="17.15" hidden="false" customHeight="false" outlineLevel="0" collapsed="false">
      <c r="A5733" s="5" t="s">
        <v>729</v>
      </c>
      <c r="B5733" s="0" t="s">
        <v>86</v>
      </c>
      <c r="C5733" s="38" t="n">
        <f aca="false">Sens!$C$5669</f>
        <v>0</v>
      </c>
      <c r="D5733" s="38" t="n">
        <f aca="false">Sens!$D$5669</f>
        <v>0</v>
      </c>
      <c r="E5733" s="38" t="n">
        <f aca="false">Sens!$E$5669</f>
        <v>0</v>
      </c>
      <c r="F5733" s="38" t="n">
        <f aca="false">Sens!$F$5669</f>
        <v>3.77122048175818</v>
      </c>
      <c r="G5733" s="38" t="n">
        <f aca="false">Sens!$G$5669</f>
        <v>3.77122048175818</v>
      </c>
      <c r="H5733" s="38" t="n">
        <f aca="false">Sens!$H$5669</f>
        <v>15.1635543609893</v>
      </c>
      <c r="I5733" s="38" t="n">
        <f aca="false">Sens!$I$5669</f>
        <v>25.5818843619889</v>
      </c>
      <c r="J5733" s="38" t="n">
        <f aca="false">Sens!$J$5669</f>
        <v>36.0465624179122</v>
      </c>
      <c r="K5733" s="38" t="n">
        <f aca="false">Sens!$K$5669</f>
        <v>45.0461919819152</v>
      </c>
      <c r="L5733" s="38" t="n">
        <f aca="false">Sens!$L$5669</f>
        <v>51.1279288493339</v>
      </c>
      <c r="M5733" s="38" t="n">
        <f aca="false">Sens!$M$5669</f>
        <v>54.2845128319481</v>
      </c>
      <c r="N5733" s="38" t="n">
        <f aca="false">Sens!$N$5669</f>
        <v>0</v>
      </c>
      <c r="O5733" s="38" t="n">
        <f aca="false">Sens!$O$5669</f>
        <v>0</v>
      </c>
      <c r="P5733" s="5" t="s">
        <v>730</v>
      </c>
    </row>
    <row r="5734" customFormat="false" ht="17.15" hidden="false" customHeight="false" outlineLevel="0" collapsed="false">
      <c r="A5734" s="5" t="s">
        <v>731</v>
      </c>
      <c r="B5734" s="0" t="s">
        <v>86</v>
      </c>
      <c r="C5734" s="38" t="n">
        <f aca="false">Sens!$C$5731+Sens!$C$5733</f>
        <v>68.593</v>
      </c>
      <c r="D5734" s="38" t="n">
        <f aca="false">Sens!$D$5731+Sens!$D$5733</f>
        <v>79.975</v>
      </c>
      <c r="E5734" s="38" t="n">
        <f aca="false">Sens!$E$5731+Sens!$E$5733</f>
        <v>51.313</v>
      </c>
      <c r="F5734" s="38" t="n">
        <f aca="false">Sens!$F$5731+Sens!$F$5733</f>
        <v>60.0601097186828</v>
      </c>
      <c r="G5734" s="38" t="n">
        <f aca="false">Sens!$G$5731+Sens!$G$5733</f>
        <v>111.373109718683</v>
      </c>
      <c r="H5734" s="38" t="n">
        <f aca="false">Sens!$H$5731+Sens!$H$5733</f>
        <v>142.099521616625</v>
      </c>
      <c r="I5734" s="38" t="n">
        <f aca="false">Sens!$I$5731+Sens!$I$5733</f>
        <v>172.829665305105</v>
      </c>
      <c r="J5734" s="38" t="n">
        <f aca="false">Sens!$J$5731+Sens!$J$5733</f>
        <v>202.076655833141</v>
      </c>
      <c r="K5734" s="38" t="n">
        <f aca="false">Sens!$K$5731+Sens!$K$5733</f>
        <v>223.236773764105</v>
      </c>
      <c r="L5734" s="38" t="n">
        <f aca="false">Sens!$L$5731+Sens!$L$5733</f>
        <v>242.460276308908</v>
      </c>
      <c r="M5734" s="38" t="n">
        <f aca="false">Sens!$M$5731+Sens!$M$5733</f>
        <v>258.642233867319</v>
      </c>
      <c r="N5734" s="38" t="n">
        <f aca="false">Sens!$N$5731+Sens!$N$5733</f>
        <v>37.576</v>
      </c>
      <c r="O5734" s="38" t="n">
        <f aca="false">Sens!$O$5731+Sens!$O$5733</f>
        <v>42.399</v>
      </c>
    </row>
    <row r="5735" customFormat="false" ht="17.15" hidden="false" customHeight="false" outlineLevel="0" collapsed="false">
      <c r="A5735" s="0" t="s">
        <v>732</v>
      </c>
      <c r="B5735" s="0" t="s">
        <v>52</v>
      </c>
      <c r="C5735" s="13" t="n">
        <f aca="false">Sens!$C$5721/Sens!$C$5706</f>
        <v>0.0644314665661928</v>
      </c>
      <c r="D5735" s="13" t="n">
        <f aca="false">Sens!$D$5721/Sens!$D$5706</f>
        <v>0.0694784250712518</v>
      </c>
      <c r="E5735" s="13" t="n">
        <f aca="false">Sens!$E$5721/Sens!$E$5706</f>
        <v>0.0789306463326071</v>
      </c>
      <c r="F5735" s="13" t="n">
        <f aca="false">Sens!$F$5721/Sens!$F$5706</f>
        <v>0.0802271154277638</v>
      </c>
      <c r="G5735" s="13" t="n">
        <f aca="false">Sens!$G$5721/Sens!$G$5706</f>
        <v>0.0796206133714758</v>
      </c>
      <c r="H5735" s="13" t="n">
        <f aca="false">Sens!$H$5721/Sens!$H$5706</f>
        <v>0.0791253077422711</v>
      </c>
      <c r="I5735" s="13" t="n">
        <f aca="false">Sens!$I$5721/Sens!$I$5706</f>
        <v>0.0776277144828766</v>
      </c>
      <c r="J5735" s="13" t="n">
        <f aca="false">Sens!$J$5721/Sens!$J$5706</f>
        <v>0.0761100135193333</v>
      </c>
      <c r="K5735" s="13" t="n">
        <f aca="false">Sens!$K$5721/Sens!$K$5706</f>
        <v>0.0743925780188992</v>
      </c>
      <c r="L5735" s="13" t="n">
        <f aca="false">Sens!$L$5721/Sens!$L$5706</f>
        <v>0.0738094555312645</v>
      </c>
      <c r="M5735" s="13" t="n">
        <f aca="false">Sens!$M$5721/Sens!$M$5706</f>
        <v>0.0757869750835491</v>
      </c>
      <c r="N5735" s="13" t="n">
        <f aca="false">Sens!$N$5721/Sens!$N$5706</f>
        <v>0.069228576611127</v>
      </c>
      <c r="O5735" s="13" t="n">
        <f aca="false">Sens!$O$5721/Sens!$O$5706</f>
        <v>0.069685022498393</v>
      </c>
    </row>
    <row r="5736" customFormat="false" ht="17.15" hidden="false" customHeight="false" outlineLevel="0" collapsed="false">
      <c r="A5736" s="0" t="s">
        <v>733</v>
      </c>
      <c r="B5736" s="0" t="s">
        <v>52</v>
      </c>
      <c r="C5736" s="13" t="n">
        <f aca="false">Sens!$C$5726/Sens!$C$5707</f>
        <v>0.026534925055631</v>
      </c>
      <c r="D5736" s="13" t="n">
        <f aca="false">Sens!$D$5726/Sens!$D$5707</f>
        <v>0.0293401855535103</v>
      </c>
      <c r="E5736" s="13" t="n">
        <f aca="false">Sens!$E$5726/Sens!$E$5707</f>
        <v>0.03831141902276</v>
      </c>
      <c r="F5736" s="13" t="n">
        <f aca="false">Sens!$F$5726/Sens!$F$5707</f>
        <v>0.028186380436398</v>
      </c>
      <c r="G5736" s="13" t="n">
        <f aca="false">Sens!$G$5726/Sens!$G$5707</f>
        <v>0.0327880260521739</v>
      </c>
      <c r="H5736" s="13" t="n">
        <f aca="false">Sens!$H$5726/Sens!$H$5707</f>
        <v>0.0302874763409969</v>
      </c>
      <c r="I5736" s="13" t="n">
        <f aca="false">Sens!$I$5726/Sens!$I$5707</f>
        <v>0.0267614610253202</v>
      </c>
      <c r="J5736" s="13" t="n">
        <f aca="false">Sens!$J$5726/Sens!$J$5707</f>
        <v>0.0231523582706593</v>
      </c>
      <c r="K5736" s="13" t="n">
        <f aca="false">Sens!$K$5726/Sens!$K$5707</f>
        <v>0.0192388785591883</v>
      </c>
      <c r="L5736" s="13" t="n">
        <f aca="false">Sens!$L$5726/Sens!$L$5707</f>
        <v>0.0190019002161762</v>
      </c>
      <c r="M5736" s="13" t="n">
        <f aca="false">Sens!$M$5726/Sens!$M$5707</f>
        <v>0.0213335708955443</v>
      </c>
      <c r="N5736" s="13" t="n">
        <f aca="false">Sens!$N$5726/Sens!$N$5707</f>
        <v>0.0357315650169337</v>
      </c>
      <c r="O5736" s="13" t="n">
        <f aca="false">Sens!$O$5726/Sens!$O$5707</f>
        <v>0.0244378956559703</v>
      </c>
    </row>
    <row r="5737" customFormat="false" ht="17.15" hidden="false" customHeight="false" outlineLevel="0" collapsed="false">
      <c r="A5737" s="14" t="s">
        <v>734</v>
      </c>
      <c r="B5737" s="14" t="s">
        <v>52</v>
      </c>
      <c r="C5737" s="17" t="n">
        <f aca="false">Sens!$C$5729/Sens!$C$5708</f>
        <v>0.370355907620217</v>
      </c>
      <c r="D5737" s="17" t="n">
        <f aca="false">Sens!$D$5729/Sens!$D$5708</f>
        <v>0.35429015342785</v>
      </c>
      <c r="E5737" s="17" t="n">
        <f aca="false">Sens!$E$5729/Sens!$E$5708</f>
        <v>0.385647527531039</v>
      </c>
      <c r="F5737" s="17" t="n">
        <f aca="false">Sens!$F$5729/Sens!$F$5708</f>
        <v>0.385171818673936</v>
      </c>
      <c r="G5737" s="17" t="n">
        <f aca="false">Sens!$G$5729/Sens!$G$5708</f>
        <v>0.385399799520974</v>
      </c>
      <c r="H5737" s="17" t="n">
        <f aca="false">Sens!$H$5729/Sens!$H$5708</f>
        <v>0.360029314750347</v>
      </c>
      <c r="I5737" s="17" t="n">
        <f aca="false">Sens!$I$5729/Sens!$I$5708</f>
        <v>0.346606134604193</v>
      </c>
      <c r="J5737" s="17" t="n">
        <f aca="false">Sens!$J$5729/Sens!$J$5708</f>
        <v>0.335699297156574</v>
      </c>
      <c r="K5737" s="17" t="n">
        <f aca="false">Sens!$K$5729/Sens!$K$5708</f>
        <v>0.319396847264023</v>
      </c>
      <c r="L5737" s="17" t="n">
        <f aca="false">Sens!$L$5729/Sens!$L$5708</f>
        <v>0.312483887178428</v>
      </c>
      <c r="M5737" s="17" t="n">
        <f aca="false">Sens!$M$5729/Sens!$M$5708</f>
        <v>0.307228902252946</v>
      </c>
      <c r="N5737" s="17" t="n">
        <f aca="false">Sens!$N$5729/Sens!$N$5708</f>
        <v>0.360941137346192</v>
      </c>
      <c r="O5737" s="17" t="n">
        <f aca="false">Sens!$O$5729/Sens!$O$5708</f>
        <v>0.348458117664212</v>
      </c>
    </row>
    <row r="5738" customFormat="false" ht="17.15" hidden="false" customHeight="false" outlineLevel="0" collapsed="false">
      <c r="A5738" s="0" t="s">
        <v>735</v>
      </c>
      <c r="B5738" s="0" t="s">
        <v>52</v>
      </c>
      <c r="C5738" s="13" t="n">
        <f aca="false">Sens!$C$5727/Sens!$C$5709</f>
        <v>0.708390794789371</v>
      </c>
      <c r="D5738" s="13" t="n">
        <f aca="false">Sens!$D$5727/Sens!$D$5709</f>
        <v>0.445565630441968</v>
      </c>
      <c r="E5738" s="13" t="n">
        <f aca="false">Sens!$E$5727/Sens!$E$5709</f>
        <v>0.165998118402711</v>
      </c>
      <c r="F5738" s="13" t="n">
        <f aca="false">Sens!$F$5727/Sens!$F$5709</f>
        <v>0.434878595403858</v>
      </c>
      <c r="G5738" s="13" t="n">
        <f aca="false">Sens!$G$5727/Sens!$G$5709</f>
        <v>0.3373967615381</v>
      </c>
      <c r="H5738" s="13" t="n">
        <f aca="false">Sens!$H$5727/Sens!$H$5709</f>
        <v>0.320477578041224</v>
      </c>
      <c r="I5738" s="13" t="n">
        <f aca="false">Sens!$I$5727/Sens!$I$5709</f>
        <v>0.296936118226494</v>
      </c>
      <c r="J5738" s="13" t="n">
        <f aca="false">Sens!$J$5727/Sens!$J$5709</f>
        <v>0.282166278613001</v>
      </c>
      <c r="K5738" s="13" t="n">
        <f aca="false">Sens!$K$5727/Sens!$K$5709</f>
        <v>0.253846631705782</v>
      </c>
      <c r="L5738" s="13" t="n">
        <f aca="false">Sens!$L$5727/Sens!$L$5709</f>
        <v>0.242329240574153</v>
      </c>
      <c r="M5738" s="13" t="n">
        <f aca="false">Sens!$M$5727/Sens!$M$5709</f>
        <v>0.229850708860382</v>
      </c>
      <c r="N5738" s="13" t="n">
        <f aca="false">Sens!$N$5727/Sens!$N$5709</f>
        <v>0.302870734830849</v>
      </c>
      <c r="O5738" s="13" t="n">
        <f aca="false">Sens!$O$5727/Sens!$O$5709</f>
        <v>0.52240134346334</v>
      </c>
    </row>
    <row r="5739" customFormat="false" ht="15" hidden="false" customHeight="false" outlineLevel="0" collapsed="false">
      <c r="A5739" s="5" t="s">
        <v>736</v>
      </c>
      <c r="B5739" s="0" t="s">
        <v>52</v>
      </c>
      <c r="C5739" s="13" t="n">
        <f aca="false">Sens!$C$5731/Sens!$C$5711</f>
        <v>0.107519448742004</v>
      </c>
      <c r="D5739" s="13" t="n">
        <f aca="false">Sens!$D$5731/Sens!$D$5711</f>
        <v>0.111552967957552</v>
      </c>
      <c r="E5739" s="13" t="n">
        <f aca="false">Sens!$E$5731/Sens!$E$5711</f>
        <v>0.13428328426562</v>
      </c>
      <c r="F5739" s="13" t="n">
        <f aca="false">Sens!$F$5731/Sens!$F$5711</f>
        <v>0.129167844525589</v>
      </c>
      <c r="G5739" s="13" t="n">
        <f aca="false">Sens!$G$5731/Sens!$G$5711</f>
        <v>0.131557773771988</v>
      </c>
      <c r="H5739" s="13" t="n">
        <f aca="false">Sens!$H$5731/Sens!$H$5711</f>
        <v>0.134711536350329</v>
      </c>
      <c r="I5739" s="13" t="n">
        <f aca="false">Sens!$I$5731/Sens!$I$5711</f>
        <v>0.137768888779847</v>
      </c>
      <c r="J5739" s="13" t="n">
        <f aca="false">Sens!$J$5731/Sens!$J$5711</f>
        <v>0.139531715827143</v>
      </c>
      <c r="K5739" s="13" t="n">
        <f aca="false">Sens!$K$5731/Sens!$K$5711</f>
        <v>0.137455808779273</v>
      </c>
      <c r="L5739" s="13" t="n">
        <f aca="false">Sens!$L$5731/Sens!$L$5711</f>
        <v>0.137027039779713</v>
      </c>
      <c r="M5739" s="13" t="n">
        <f aca="false">Sens!$M$5731/Sens!$M$5711</f>
        <v>0.137138237638994</v>
      </c>
      <c r="N5739" s="13" t="n">
        <f aca="false">Sens!$N$5731/Sens!$N$5711</f>
        <v>0.116201614873411</v>
      </c>
      <c r="O5739" s="13" t="n">
        <f aca="false">Sens!$O$5731/Sens!$O$5711</f>
        <v>0.107733353660861</v>
      </c>
    </row>
    <row r="5740" customFormat="false" ht="17.15" hidden="false" customHeight="false" outlineLevel="0" collapsed="false">
      <c r="A5740" s="1" t="s">
        <v>737</v>
      </c>
    </row>
    <row r="5741" customFormat="false" ht="17.15" hidden="false" customHeight="false" outlineLevel="0" collapsed="false">
      <c r="A5741" s="5" t="s">
        <v>738</v>
      </c>
      <c r="B5741" s="0" t="s">
        <v>52</v>
      </c>
      <c r="D5741" s="28" t="n">
        <f aca="false">(Q!$E$29+Q!$E$30-(1-ext_sh)*Sens!$D$5663)/Sens!$D$5619</f>
        <v>0.0334674312393194</v>
      </c>
    </row>
    <row r="5742" customFormat="false" ht="17.15" hidden="false" customHeight="false" outlineLevel="0" collapsed="false">
      <c r="A5742" s="0" t="s">
        <v>535</v>
      </c>
      <c r="B5742" s="0" t="s">
        <v>86</v>
      </c>
      <c r="C5742" s="38" t="n">
        <f aca="false">Q!$D$29</f>
        <v>14.285</v>
      </c>
      <c r="D5742" s="38" t="n">
        <f aca="false">Q!$E$29</f>
        <v>15.503</v>
      </c>
      <c r="E5742" s="38" t="n">
        <f aca="false">Q!$P$29</f>
        <v>8.78</v>
      </c>
      <c r="F5742" s="38" t="n">
        <f aca="false">(Sens!$D$5741*Sens!$F$5619+(1-ext_sh)*Sens!$F$5663)*Sens!$F$5620</f>
        <v>9.32404990199157</v>
      </c>
      <c r="G5742" s="38" t="n">
        <f aca="false">Sens!$E$5742+Sens!$F$5742</f>
        <v>18.1040499019916</v>
      </c>
      <c r="H5742" s="38" t="n">
        <f aca="false">(Sens!$D$5741*Sens!$H$5619+(1-ext_sh)*Sens!$H$5663)*Sens!$H$5620</f>
        <v>22.5533556752937</v>
      </c>
      <c r="I5742" s="38" t="n">
        <f aca="false">(Sens!$D$5741*Sens!$I$5619+(1-ext_sh)*Sens!$I$5663)*Sens!$I$5620</f>
        <v>28.1941479903215</v>
      </c>
      <c r="J5742" s="38" t="n">
        <f aca="false">(Sens!$D$5741*Sens!$J$5619+(1-ext_sh)*Sens!$J$5663)*Sens!$J$5620</f>
        <v>33.8639126241465</v>
      </c>
      <c r="K5742" s="38" t="n">
        <f aca="false">(Sens!$D$5741*Sens!$K$5619+(1-ext_sh)*Sens!$K$5663)*Sens!$K$5620</f>
        <v>39.4516429979446</v>
      </c>
      <c r="L5742" s="38" t="n">
        <f aca="false">(Sens!$D$5741*Sens!$L$5619+(1-ext_sh)*Sens!$L$5663)*Sens!$L$5620</f>
        <v>43.6804876955339</v>
      </c>
      <c r="M5742" s="38" t="n">
        <f aca="false">(Sens!$D$5741*Sens!$M$5619+(1-ext_sh)*Sens!$M$5663)*Sens!$M$5620</f>
        <v>46.9533911310857</v>
      </c>
      <c r="N5742" s="38" t="n">
        <f aca="false">Q!$N$29</f>
        <v>7.272</v>
      </c>
      <c r="O5742" s="38" t="n">
        <f aca="false">Q!$O$29</f>
        <v>8.231</v>
      </c>
    </row>
    <row r="5743" customFormat="false" ht="17.15" hidden="false" customHeight="false" outlineLevel="0" collapsed="false">
      <c r="A5743" s="0" t="s">
        <v>537</v>
      </c>
      <c r="B5743" s="0" t="s">
        <v>86</v>
      </c>
      <c r="C5743" s="38" t="n">
        <f aca="false">Q!$D$30</f>
        <v>4.462</v>
      </c>
      <c r="D5743" s="38" t="n">
        <f aca="false">Q!$E$30</f>
        <v>4.907</v>
      </c>
      <c r="E5743" s="38" t="n">
        <f aca="false">Q!$P$30</f>
        <v>2.57</v>
      </c>
      <c r="F5743" s="38" t="n">
        <f aca="false">(Sens!$D$5741*Sens!$F$5619+(1-ext_sh)*Sens!$F$5663)*(1-Sens!$F$5620)</f>
        <v>3.66089330199472</v>
      </c>
      <c r="G5743" s="38" t="n">
        <f aca="false">Sens!$E$5743+Sens!$F$5743</f>
        <v>6.23089330199472</v>
      </c>
      <c r="H5743" s="38" t="n">
        <f aca="false">(Sens!$D$5741*Sens!$H$5619+(1-ext_sh)*Sens!$H$5663)*(1-Sens!$H$5620)</f>
        <v>8.63874333111657</v>
      </c>
      <c r="I5743" s="38" t="n">
        <f aca="false">(Sens!$D$5741*Sens!$I$5619+(1-ext_sh)*Sens!$I$5663)*(1-Sens!$I$5620)</f>
        <v>10.7993689025494</v>
      </c>
      <c r="J5743" s="38" t="n">
        <f aca="false">(Sens!$D$5741*Sens!$J$5619+(1-ext_sh)*Sens!$J$5663)*(1-Sens!$J$5620)</f>
        <v>12.9710919101865</v>
      </c>
      <c r="K5743" s="38" t="n">
        <f aca="false">(Sens!$D$5741*Sens!$K$5619+(1-ext_sh)*Sens!$K$5663)*(1-Sens!$K$5620)</f>
        <v>15.1113928568702</v>
      </c>
      <c r="L5743" s="38" t="n">
        <f aca="false">(Sens!$D$5741*Sens!$L$5619+(1-ext_sh)*Sens!$L$5663)*(1-Sens!$L$5620)</f>
        <v>16.7311918994422</v>
      </c>
      <c r="M5743" s="38" t="n">
        <f aca="false">(Sens!$D$5741*Sens!$M$5619+(1-ext_sh)*Sens!$M$5663)*(1-Sens!$M$5620)</f>
        <v>17.9848311863992</v>
      </c>
      <c r="N5743" s="38" t="n">
        <f aca="false">Q!$N$30</f>
        <v>2.316</v>
      </c>
      <c r="O5743" s="38" t="n">
        <f aca="false">Q!$O$30</f>
        <v>2.591</v>
      </c>
    </row>
    <row r="5744" customFormat="false" ht="17.15" hidden="false" customHeight="false" outlineLevel="0" collapsed="false">
      <c r="A5744" s="0" t="s">
        <v>538</v>
      </c>
      <c r="B5744" s="0" t="s">
        <v>86</v>
      </c>
      <c r="C5744" s="38" t="n">
        <f aca="false">Sens!$C$5675</f>
        <v>13.32</v>
      </c>
      <c r="D5744" s="38" t="n">
        <f aca="false">Sens!$D$5675</f>
        <v>21.45</v>
      </c>
      <c r="E5744" s="38" t="n">
        <f aca="false">Sens!$E$5675</f>
        <v>15.353</v>
      </c>
      <c r="F5744" s="38" t="n">
        <f aca="false">Sens!$F$5675</f>
        <v>16.3063747611001</v>
      </c>
      <c r="G5744" s="38" t="n">
        <f aca="false">Sens!$G$5675</f>
        <v>31.6593747611001</v>
      </c>
      <c r="H5744" s="38" t="n">
        <f aca="false">Sens!$H$5675</f>
        <v>53.124242092105</v>
      </c>
      <c r="I5744" s="38" t="n">
        <f aca="false">Sens!$I$5675</f>
        <v>78.046828098133</v>
      </c>
      <c r="J5744" s="38" t="n">
        <f aca="false">Sens!$J$5675</f>
        <v>103.663976940352</v>
      </c>
      <c r="K5744" s="38" t="n">
        <f aca="false">Sens!$K$5675</f>
        <v>129.625086115469</v>
      </c>
      <c r="L5744" s="38" t="n">
        <f aca="false">Sens!$L$5675</f>
        <v>147.747108049185</v>
      </c>
      <c r="M5744" s="38" t="n">
        <f aca="false">Sens!$M$5675</f>
        <v>160.235921080328</v>
      </c>
      <c r="N5744" s="38" t="n">
        <f aca="false">Sens!$N$5675</f>
        <v>9.234</v>
      </c>
      <c r="O5744" s="38" t="n">
        <f aca="false">Sens!$O$5675</f>
        <v>12.216</v>
      </c>
    </row>
    <row r="5745" customFormat="false" ht="17.15" hidden="false" customHeight="false" outlineLevel="0" collapsed="false">
      <c r="A5745" s="5" t="s">
        <v>739</v>
      </c>
      <c r="B5745" s="0" t="s">
        <v>86</v>
      </c>
      <c r="C5745" s="38" t="n">
        <f aca="false">Sens!$C$5742+Sens!$C$5743+Sens!$C$5744</f>
        <v>32.067</v>
      </c>
      <c r="D5745" s="38" t="n">
        <f aca="false">Sens!$D$5742+Sens!$D$5743+Sens!$D$5744</f>
        <v>41.86</v>
      </c>
      <c r="E5745" s="38" t="n">
        <f aca="false">Sens!$E$5742+Sens!$E$5743+Sens!$E$5744</f>
        <v>26.703</v>
      </c>
      <c r="F5745" s="38" t="n">
        <f aca="false">Sens!$F$5742+Sens!$F$5743+Sens!$F$5744</f>
        <v>29.2913179650864</v>
      </c>
      <c r="G5745" s="38" t="n">
        <f aca="false">Sens!$G$5742+Sens!$G$5743+Sens!$G$5744</f>
        <v>55.9943179650864</v>
      </c>
      <c r="H5745" s="38" t="n">
        <f aca="false">Sens!$H$5742+Sens!$H$5743+Sens!$H$5744</f>
        <v>84.3163410985152</v>
      </c>
      <c r="I5745" s="38" t="n">
        <f aca="false">Sens!$I$5742+Sens!$I$5743+Sens!$I$5744</f>
        <v>117.040344991004</v>
      </c>
      <c r="J5745" s="38" t="n">
        <f aca="false">Sens!$J$5742+Sens!$J$5743+Sens!$J$5744</f>
        <v>150.498981474685</v>
      </c>
      <c r="K5745" s="38" t="n">
        <f aca="false">Sens!$K$5742+Sens!$K$5743+Sens!$K$5744</f>
        <v>184.188121970284</v>
      </c>
      <c r="L5745" s="38" t="n">
        <f aca="false">Sens!$L$5742+Sens!$L$5743+Sens!$L$5744</f>
        <v>208.158787644162</v>
      </c>
      <c r="M5745" s="38" t="n">
        <f aca="false">Sens!$M$5742+Sens!$M$5743+Sens!$M$5744</f>
        <v>225.174143397813</v>
      </c>
      <c r="N5745" s="38" t="n">
        <f aca="false">Sens!$N$5742+Sens!$N$5743+Sens!$N$5744</f>
        <v>18.822</v>
      </c>
      <c r="O5745" s="38" t="n">
        <f aca="false">Sens!$O$5742+Sens!$O$5743+Sens!$O$5744</f>
        <v>23.038</v>
      </c>
    </row>
    <row r="5746" customFormat="false" ht="17.15" hidden="false" customHeight="false" outlineLevel="0" collapsed="false">
      <c r="A5746" s="0" t="s">
        <v>740</v>
      </c>
      <c r="B5746" s="0" t="s">
        <v>86</v>
      </c>
      <c r="C5746" s="38" t="n">
        <f aca="false">Sens!$C$5717+Sens!$C$5722</f>
        <v>28.107</v>
      </c>
      <c r="D5746" s="38" t="n">
        <f aca="false">Sens!$D$5717+Sens!$D$5722</f>
        <v>34.3175</v>
      </c>
      <c r="E5746" s="38" t="n">
        <f aca="false">Sens!$E$5717+Sens!$E$5722</f>
        <v>18.526</v>
      </c>
      <c r="F5746" s="38" t="n">
        <f aca="false">Sens!$F$5717+Sens!$F$5722</f>
        <v>23.0786109972074</v>
      </c>
      <c r="G5746" s="38" t="n">
        <f aca="false">Sens!$G$5717+Sens!$G$5722</f>
        <v>41.6046109972074</v>
      </c>
      <c r="H5746" s="38" t="n">
        <f aca="false">Sens!$H$5717+Sens!$H$5722</f>
        <v>49.9484611939488</v>
      </c>
      <c r="I5746" s="38" t="n">
        <f aca="false">Sens!$I$5717+Sens!$I$5722</f>
        <v>58.2915555477481</v>
      </c>
      <c r="J5746" s="38" t="n">
        <f aca="false">Sens!$J$5717+Sens!$J$5722</f>
        <v>66.0744709709759</v>
      </c>
      <c r="K5746" s="38" t="n">
        <f aca="false">Sens!$K$5717+Sens!$K$5722</f>
        <v>72.6819180680735</v>
      </c>
      <c r="L5746" s="38" t="n">
        <f aca="false">Sens!$L$5717+Sens!$L$5722</f>
        <v>79.9501098748808</v>
      </c>
      <c r="M5746" s="38" t="n">
        <f aca="false">Sens!$M$5717+Sens!$M$5722</f>
        <v>87.9451208623689</v>
      </c>
      <c r="N5746" s="38" t="n">
        <f aca="false">Sens!$N$5717+Sens!$N$5722</f>
        <v>14.8075</v>
      </c>
      <c r="O5746" s="38" t="n">
        <f aca="false">Sens!$O$5717+Sens!$O$5722</f>
        <v>19.51</v>
      </c>
    </row>
    <row r="5747" customFormat="false" ht="17.15" hidden="false" customHeight="false" outlineLevel="0" collapsed="false">
      <c r="A5747" s="0" t="s">
        <v>741</v>
      </c>
      <c r="B5747" s="0" t="s">
        <v>86</v>
      </c>
      <c r="C5747" s="38" t="n">
        <f aca="false">Sens!$C$5721+Sens!$C$5726+Sens!$C$5742+Sens!$C$5743-Sens!$C$5746</f>
        <v>19.399</v>
      </c>
      <c r="D5747" s="38" t="n">
        <f aca="false">Sens!$D$5721+Sens!$D$5726+Sens!$D$5742+Sens!$D$5743-Sens!$D$5746</f>
        <v>20.4615</v>
      </c>
      <c r="E5747" s="38" t="n">
        <f aca="false">Sens!$E$5721+Sens!$E$5726+Sens!$E$5742+Sens!$E$5743-Sens!$E$5746</f>
        <v>13.355</v>
      </c>
      <c r="F5747" s="38" t="n">
        <f aca="false">Sens!$F$5721+Sens!$F$5726+Sens!$F$5742+Sens!$F$5743-Sens!$F$5746</f>
        <v>12.7882167664549</v>
      </c>
      <c r="G5747" s="38" t="n">
        <f aca="false">Sens!$G$5721+Sens!$G$5726+Sens!$G$5742+Sens!$G$5743-Sens!$G$5746</f>
        <v>26.1432167664549</v>
      </c>
      <c r="H5747" s="38" t="n">
        <f aca="false">Sens!$H$5721+Sens!$H$5726+Sens!$H$5742+Sens!$H$5743-Sens!$H$5746</f>
        <v>28.5472527261826</v>
      </c>
      <c r="I5747" s="38" t="n">
        <f aca="false">Sens!$I$5721+Sens!$I$5726+Sens!$I$5742+Sens!$I$5743-Sens!$I$5746</f>
        <v>30.8052421506794</v>
      </c>
      <c r="J5747" s="38" t="n">
        <f aca="false">Sens!$J$5721+Sens!$J$5726+Sens!$J$5742+Sens!$J$5743-Sens!$J$5746</f>
        <v>33.0553877999083</v>
      </c>
      <c r="K5747" s="38" t="n">
        <f aca="false">Sens!$K$5721+Sens!$K$5726+Sens!$K$5742+Sens!$K$5743-Sens!$K$5746</f>
        <v>35.452094232435</v>
      </c>
      <c r="L5747" s="38" t="n">
        <f aca="false">Sens!$L$5721+Sens!$L$5726+Sens!$L$5742+Sens!$L$5743-Sens!$L$5746</f>
        <v>37.0453088968923</v>
      </c>
      <c r="M5747" s="38" t="n">
        <f aca="false">Sens!$M$5721+Sens!$M$5726+Sens!$M$5742+Sens!$M$5743-Sens!$M$5746</f>
        <v>39.4077918463257</v>
      </c>
      <c r="N5747" s="38" t="n">
        <f aca="false">Sens!$N$5721+Sens!$N$5726+Sens!$N$5742+Sens!$N$5743-Sens!$N$5746</f>
        <v>10.6495</v>
      </c>
      <c r="O5747" s="38" t="n">
        <f aca="false">Sens!$O$5721+Sens!$O$5726+Sens!$O$5742+Sens!$O$5743-Sens!$O$5746</f>
        <v>9.81200000000001</v>
      </c>
    </row>
    <row r="5748" customFormat="false" ht="17.15" hidden="false" customHeight="false" outlineLevel="0" collapsed="false">
      <c r="A5748" s="0" t="s">
        <v>742</v>
      </c>
      <c r="B5748" s="0" t="s">
        <v>86</v>
      </c>
      <c r="C5748" s="38" t="n">
        <f aca="false">Sens!$C$5728+Sens!$C$5744-ext_sh*Sens!$C$5663</f>
        <v>51.3470500115664</v>
      </c>
      <c r="D5748" s="38" t="n">
        <f aca="false">Sens!$D$5728+Sens!$D$5744-ext_sh*Sens!$D$5663</f>
        <v>60.2799375433739</v>
      </c>
      <c r="E5748" s="38" t="n">
        <f aca="false">Sens!$E$5728+Sens!$E$5744-ext_sh*Sens!$E$5663</f>
        <v>39.5095167090767</v>
      </c>
      <c r="F5748" s="38" t="n">
        <f aca="false">Sens!$F$5728+Sens!$F$5744-ext_sh*Sens!$F$5663</f>
        <v>37.993321722478</v>
      </c>
      <c r="G5748" s="38" t="n">
        <f aca="false">Sens!$G$5728+Sens!$G$5744-ext_sh*Sens!$G$5663</f>
        <v>77.5028384315548</v>
      </c>
      <c r="H5748" s="38" t="n">
        <f aca="false">Sens!$H$5728+Sens!$H$5744-ext_sh*Sens!$H$5663</f>
        <v>85.2394217279746</v>
      </c>
      <c r="I5748" s="38" t="n">
        <f aca="false">Sens!$I$5728+Sens!$I$5744-ext_sh*Sens!$I$5663</f>
        <v>94.6373589713254</v>
      </c>
      <c r="J5748" s="38" t="n">
        <f aca="false">Sens!$J$5728+Sens!$J$5744-ext_sh*Sens!$J$5663</f>
        <v>103.639899284146</v>
      </c>
      <c r="K5748" s="38" t="n">
        <f aca="false">Sens!$K$5728+Sens!$K$5744-ext_sh*Sens!$K$5663</f>
        <v>111.931091226878</v>
      </c>
      <c r="L5748" s="38" t="n">
        <f aca="false">Sens!$L$5728+Sens!$L$5744-ext_sh*Sens!$L$5663</f>
        <v>120.885578525028</v>
      </c>
      <c r="M5748" s="38" t="n">
        <f aca="false">Sens!$M$5728+Sens!$M$5744-ext_sh*Sens!$M$5663</f>
        <v>130.55642480703</v>
      </c>
      <c r="N5748" s="38" t="n">
        <f aca="false">Sens!$N$5728+Sens!$N$5744-ext_sh*Sens!$N$5663</f>
        <v>28.5693781401809</v>
      </c>
      <c r="O5748" s="38" t="n">
        <f aca="false">Sens!$O$5728+Sens!$O$5744-ext_sh*Sens!$O$5663</f>
        <v>31.7105594031931</v>
      </c>
    </row>
    <row r="5749" customFormat="false" ht="17.15" hidden="false" customHeight="false" outlineLevel="0" collapsed="false">
      <c r="A5749" s="0" t="s">
        <v>743</v>
      </c>
      <c r="B5749" s="0" t="s">
        <v>86</v>
      </c>
      <c r="C5749" s="38" t="n">
        <f aca="false">Sens!$C$5666</f>
        <v>1.80694998843362</v>
      </c>
      <c r="D5749" s="38" t="n">
        <f aca="false">Sens!$D$5666</f>
        <v>6.77606245662607</v>
      </c>
      <c r="E5749" s="38" t="n">
        <f aca="false">Sens!$E$5666</f>
        <v>6.62548329092326</v>
      </c>
      <c r="F5749" s="38" t="n">
        <f aca="false">Sens!$F$5666</f>
        <v>11.7200577158706</v>
      </c>
      <c r="G5749" s="38" t="n">
        <f aca="false">Sens!$G$5666</f>
        <v>18.3455410067939</v>
      </c>
      <c r="H5749" s="38" t="n">
        <f aca="false">Sens!$H$5666</f>
        <v>47.5171727060453</v>
      </c>
      <c r="I5749" s="38" t="n">
        <f aca="false">Sens!$I$5666</f>
        <v>80.5539692643667</v>
      </c>
      <c r="J5749" s="38" t="n">
        <f aca="false">Sens!$J$5666</f>
        <v>113.759316834883</v>
      </c>
      <c r="K5749" s="38" t="n">
        <f aca="false">Sens!$K$5666</f>
        <v>142.313600225088</v>
      </c>
      <c r="L5749" s="38" t="n">
        <f aca="false">Sens!$L$5666</f>
        <v>161.610137806934</v>
      </c>
      <c r="M5749" s="38" t="n">
        <f aca="false">Sens!$M$5666</f>
        <v>171.622526917459</v>
      </c>
      <c r="N5749" s="38" t="n">
        <f aca="false">Sens!$N$5666</f>
        <v>2.37162185981912</v>
      </c>
      <c r="O5749" s="38" t="n">
        <f aca="false">Sens!$O$5666</f>
        <v>4.40444059680694</v>
      </c>
    </row>
    <row r="5750" customFormat="false" ht="17.15" hidden="false" customHeight="false" outlineLevel="0" collapsed="false">
      <c r="A5750" s="0" t="s">
        <v>744</v>
      </c>
      <c r="B5750" s="0" t="s">
        <v>86</v>
      </c>
      <c r="C5750" s="38" t="n">
        <f aca="false">Sens!$C$5731+Sens!$C$5745</f>
        <v>100.66</v>
      </c>
      <c r="D5750" s="38" t="n">
        <f aca="false">Sens!$D$5731+Sens!$D$5745</f>
        <v>121.835</v>
      </c>
      <c r="E5750" s="38" t="n">
        <f aca="false">Sens!$E$5731+Sens!$E$5745</f>
        <v>78.016</v>
      </c>
      <c r="F5750" s="38" t="n">
        <f aca="false">Sens!$F$5731+Sens!$F$5745</f>
        <v>85.580207202011</v>
      </c>
      <c r="G5750" s="38" t="n">
        <f aca="false">Sens!$G$5731+Sens!$G$5745</f>
        <v>163.596207202011</v>
      </c>
      <c r="H5750" s="38" t="n">
        <f aca="false">Sens!$H$5731+Sens!$H$5745</f>
        <v>211.252308354151</v>
      </c>
      <c r="I5750" s="38" t="n">
        <f aca="false">Sens!$I$5731+Sens!$I$5745</f>
        <v>264.28812593412</v>
      </c>
      <c r="J5750" s="38" t="n">
        <f aca="false">Sens!$J$5731+Sens!$J$5745</f>
        <v>316.529074889914</v>
      </c>
      <c r="K5750" s="38" t="n">
        <f aca="false">Sens!$K$5731+Sens!$K$5745</f>
        <v>362.378703752474</v>
      </c>
      <c r="L5750" s="38" t="n">
        <f aca="false">Sens!$L$5731+Sens!$L$5745</f>
        <v>399.491135103736</v>
      </c>
      <c r="M5750" s="38" t="n">
        <f aca="false">Sens!$M$5731+Sens!$M$5745</f>
        <v>429.531864433184</v>
      </c>
      <c r="N5750" s="38" t="n">
        <f aca="false">Sens!$N$5731+Sens!$N$5745</f>
        <v>56.398</v>
      </c>
      <c r="O5750" s="38" t="n">
        <f aca="false">Sens!$O$5731+Sens!$O$5745</f>
        <v>65.437</v>
      </c>
    </row>
    <row r="5751" customFormat="false" ht="17.15" hidden="false" customHeight="false" outlineLevel="0" collapsed="false">
      <c r="A5751" s="1" t="s">
        <v>745</v>
      </c>
    </row>
    <row r="5752" customFormat="false" ht="15" hidden="false" customHeight="false" outlineLevel="0" collapsed="false">
      <c r="A5752" s="5" t="s">
        <v>541</v>
      </c>
      <c r="B5752" s="0" t="s">
        <v>86</v>
      </c>
      <c r="C5752" s="38" t="n">
        <f aca="false">Q!$D$34</f>
        <v>2.406</v>
      </c>
      <c r="D5752" s="38" t="n">
        <f aca="false">Q!$E$34</f>
        <v>2.274</v>
      </c>
      <c r="E5752" s="38" t="n">
        <f aca="false">Q!$P$34</f>
        <v>2.114</v>
      </c>
      <c r="F5752" s="38" t="n">
        <f aca="false">Sens!$F$5790</f>
        <v>3.24888962733561</v>
      </c>
      <c r="G5752" s="38" t="n">
        <f aca="false">Sens!$E$5752+Sens!$F$5752</f>
        <v>5.36288962733561</v>
      </c>
      <c r="H5752" s="38" t="n">
        <f aca="false">Sens!$H$5790</f>
        <v>7.42354172302123</v>
      </c>
      <c r="I5752" s="38" t="n">
        <f aca="false">Sens!$I$5790</f>
        <v>8.2931747618896</v>
      </c>
      <c r="J5752" s="38" t="n">
        <f aca="false">Sens!$J$5790</f>
        <v>9.27718179522602</v>
      </c>
      <c r="K5752" s="38" t="n">
        <f aca="false">Sens!$K$5790</f>
        <v>9.27718179522602</v>
      </c>
      <c r="L5752" s="38" t="n">
        <f aca="false">Sens!$L$5790</f>
        <v>9.27718179522602</v>
      </c>
      <c r="M5752" s="38" t="n">
        <f aca="false">Sens!$M$5790</f>
        <v>9.27718179522602</v>
      </c>
      <c r="N5752" s="38" t="n">
        <f aca="false">Q!$N$34</f>
        <v>1.057</v>
      </c>
      <c r="O5752" s="38" t="n">
        <f aca="false">Q!$O$34</f>
        <v>1.217</v>
      </c>
    </row>
    <row r="5753" customFormat="false" ht="15" hidden="false" customHeight="false" outlineLevel="0" collapsed="false">
      <c r="A5753" s="5" t="s">
        <v>746</v>
      </c>
      <c r="B5753" s="0" t="s">
        <v>86</v>
      </c>
      <c r="F5753" s="38" t="n">
        <f aca="false">Sens!$F$5791</f>
        <v>2.59</v>
      </c>
      <c r="H5753" s="38" t="n">
        <f aca="false">Sens!$H$5791</f>
        <v>3.80133635330174</v>
      </c>
      <c r="I5753" s="38" t="n">
        <f aca="false">Sens!$I$5791</f>
        <v>2.10589651022864</v>
      </c>
      <c r="J5753" s="38" t="n">
        <f aca="false">Sens!$J$5791</f>
        <v>2.10589651022864</v>
      </c>
      <c r="K5753" s="38" t="n">
        <f aca="false">Sens!$K$5791</f>
        <v>3.14850442073996</v>
      </c>
      <c r="L5753" s="38" t="n">
        <f aca="false">Sens!$L$5791</f>
        <v>8.1505214857867</v>
      </c>
      <c r="M5753" s="38" t="n">
        <f aca="false">Sens!$M$5791</f>
        <v>15.5210342606514</v>
      </c>
    </row>
    <row r="5754" customFormat="false" ht="17.15" hidden="false" customHeight="false" outlineLevel="0" collapsed="false">
      <c r="A5754" s="5" t="s">
        <v>747</v>
      </c>
      <c r="B5754" s="0" t="s">
        <v>86</v>
      </c>
      <c r="C5754" s="38" t="n">
        <f aca="false">Q!$D$39</f>
        <v>2.427</v>
      </c>
      <c r="D5754" s="38" t="n">
        <f aca="false">Q!$E$39</f>
        <v>19.61</v>
      </c>
      <c r="E5754" s="38" t="n">
        <f aca="false">Q!$P$39</f>
        <v>71.492</v>
      </c>
      <c r="F5754" s="39" t="n">
        <v>0</v>
      </c>
      <c r="G5754" s="38" t="n">
        <f aca="false">Sens!$E$5754+Sens!$F$5754</f>
        <v>71.492</v>
      </c>
      <c r="H5754" s="39" t="n">
        <v>0</v>
      </c>
      <c r="I5754" s="39" t="n">
        <v>0</v>
      </c>
      <c r="J5754" s="39" t="n">
        <v>0</v>
      </c>
      <c r="K5754" s="39" t="n">
        <v>0</v>
      </c>
      <c r="L5754" s="39" t="n">
        <v>0</v>
      </c>
      <c r="M5754" s="39" t="n">
        <v>0</v>
      </c>
      <c r="N5754" s="38" t="n">
        <f aca="false">Q!$N$39</f>
        <v>6.017</v>
      </c>
      <c r="O5754" s="38" t="n">
        <f aca="false">Q!$O$39</f>
        <v>13.593</v>
      </c>
      <c r="P5754" s="5" t="s">
        <v>748</v>
      </c>
    </row>
    <row r="5755" customFormat="false" ht="15" hidden="false" customHeight="false" outlineLevel="0" collapsed="false">
      <c r="A5755" s="5" t="s">
        <v>544</v>
      </c>
      <c r="B5755" s="0" t="s">
        <v>86</v>
      </c>
      <c r="C5755" s="38" t="n">
        <f aca="false">Q!$D$36</f>
        <v>68.614</v>
      </c>
      <c r="D5755" s="38" t="n">
        <f aca="false">Q!$E$36</f>
        <v>97.311</v>
      </c>
      <c r="E5755" s="38" t="n">
        <f aca="false">Q!$P$36</f>
        <v>120.691</v>
      </c>
      <c r="F5755" s="38" t="n">
        <f aca="false">Sens!$F$5731-Sens!$F$5752+Sens!$F$5753+Sens!$F$5754</f>
        <v>55.629999609589</v>
      </c>
      <c r="G5755" s="38" t="n">
        <f aca="false">Sens!$E$5755+Sens!$F$5755</f>
        <v>176.320999609589</v>
      </c>
      <c r="H5755" s="38" t="n">
        <f aca="false">Sens!$H$5731-Sens!$H$5752+Sens!$H$5753+Sens!$H$5754</f>
        <v>123.313761885917</v>
      </c>
      <c r="I5755" s="38" t="n">
        <f aca="false">Sens!$I$5731-Sens!$I$5752+Sens!$I$5753+Sens!$I$5754</f>
        <v>141.060502691455</v>
      </c>
      <c r="J5755" s="38" t="n">
        <f aca="false">Sens!$J$5731-Sens!$J$5752+Sens!$J$5753+Sens!$J$5754</f>
        <v>158.858808130232</v>
      </c>
      <c r="K5755" s="38" t="n">
        <f aca="false">Sens!$K$5731-Sens!$K$5752+Sens!$K$5753+Sens!$K$5754</f>
        <v>172.061904407704</v>
      </c>
      <c r="L5755" s="38" t="n">
        <f aca="false">Sens!$L$5731-Sens!$L$5752+Sens!$L$5753+Sens!$L$5754</f>
        <v>190.205687150135</v>
      </c>
      <c r="M5755" s="38" t="n">
        <f aca="false">Sens!$M$5731-Sens!$M$5752+Sens!$M$5753+Sens!$M$5754</f>
        <v>210.601573500796</v>
      </c>
      <c r="N5755" s="38" t="n">
        <f aca="false">Q!$N$36</f>
        <v>42.536</v>
      </c>
      <c r="O5755" s="38" t="n">
        <f aca="false">Q!$O$36</f>
        <v>54.775</v>
      </c>
    </row>
    <row r="5756" customFormat="false" ht="15" hidden="false" customHeight="false" outlineLevel="0" collapsed="false">
      <c r="A5756" s="5" t="s">
        <v>545</v>
      </c>
      <c r="B5756" s="0" t="s">
        <v>86</v>
      </c>
      <c r="C5756" s="38" t="n">
        <f aca="false">Q!$D$37</f>
        <v>9.265</v>
      </c>
      <c r="D5756" s="38" t="n">
        <f aca="false">Q!$E$37</f>
        <v>19.087</v>
      </c>
      <c r="E5756" s="38" t="n">
        <f aca="false">Q!$P$37</f>
        <v>27.759</v>
      </c>
      <c r="F5756" s="38" t="n">
        <f aca="false">Sens!$F$5755*tax</f>
        <v>9.65650714815835</v>
      </c>
      <c r="G5756" s="38" t="n">
        <f aca="false">Sens!$E$5756+Sens!$F$5756</f>
        <v>37.4155071481584</v>
      </c>
      <c r="H5756" s="38" t="n">
        <f aca="false">Sens!$H$5755*tax</f>
        <v>21.4053609828247</v>
      </c>
      <c r="I5756" s="38" t="n">
        <f aca="false">Sens!$I$5755*tax</f>
        <v>24.4859205846201</v>
      </c>
      <c r="J5756" s="38" t="n">
        <f aca="false">Sens!$J$5755*tax</f>
        <v>27.5754310088666</v>
      </c>
      <c r="K5756" s="38" t="n">
        <f aca="false">Sens!$K$5755*tax</f>
        <v>29.8672842261235</v>
      </c>
      <c r="L5756" s="38" t="n">
        <f aca="false">Sens!$L$5755*tax</f>
        <v>33.0167641645831</v>
      </c>
      <c r="M5756" s="38" t="n">
        <f aca="false">Sens!$M$5755*tax</f>
        <v>36.5571744417788</v>
      </c>
      <c r="N5756" s="38" t="n">
        <f aca="false">Q!$N$37</f>
        <v>7.231</v>
      </c>
      <c r="O5756" s="38" t="n">
        <f aca="false">Q!$O$37</f>
        <v>11.856</v>
      </c>
    </row>
    <row r="5757" customFormat="false" ht="15" hidden="false" customHeight="false" outlineLevel="0" collapsed="false">
      <c r="A5757" s="3" t="s">
        <v>546</v>
      </c>
      <c r="B5757" s="8" t="s">
        <v>86</v>
      </c>
      <c r="C5757" s="38" t="n">
        <f aca="false">Q!$D$38</f>
        <v>59.248</v>
      </c>
      <c r="D5757" s="38" t="n">
        <f aca="false">Q!$E$38</f>
        <v>77.67</v>
      </c>
      <c r="E5757" s="38" t="n">
        <f aca="false">Q!$P$38</f>
        <v>92.902</v>
      </c>
      <c r="F5757" s="38" t="n">
        <f aca="false">Sens!$F$5755-Sens!$F$5756</f>
        <v>45.9734924614306</v>
      </c>
      <c r="G5757" s="38" t="n">
        <f aca="false">Sens!$E$5757+Sens!$F$5757</f>
        <v>138.875492461431</v>
      </c>
      <c r="H5757" s="38" t="n">
        <f aca="false">Sens!$H$5755-Sens!$H$5756</f>
        <v>101.908400903092</v>
      </c>
      <c r="I5757" s="38" t="n">
        <f aca="false">Sens!$I$5755-Sens!$I$5756</f>
        <v>116.574582106835</v>
      </c>
      <c r="J5757" s="38" t="n">
        <f aca="false">Sens!$J$5755-Sens!$J$5756</f>
        <v>131.283377121365</v>
      </c>
      <c r="K5757" s="38" t="n">
        <f aca="false">Sens!$K$5755-Sens!$K$5756</f>
        <v>142.194620181581</v>
      </c>
      <c r="L5757" s="38" t="n">
        <f aca="false">Sens!$L$5755-Sens!$L$5756</f>
        <v>157.188922985552</v>
      </c>
      <c r="M5757" s="38" t="n">
        <f aca="false">Sens!$M$5755-Sens!$M$5756</f>
        <v>174.044399059017</v>
      </c>
      <c r="N5757" s="38" t="n">
        <f aca="false">Q!$N$38</f>
        <v>35.291</v>
      </c>
      <c r="O5757" s="38" t="n">
        <f aca="false">Q!$O$38</f>
        <v>42.379</v>
      </c>
    </row>
    <row r="5758" customFormat="false" ht="17.15" hidden="false" customHeight="false" outlineLevel="0" collapsed="false">
      <c r="A5758" s="5" t="s">
        <v>549</v>
      </c>
      <c r="B5758" s="5" t="s">
        <v>33</v>
      </c>
      <c r="C5758" s="22" t="n">
        <f aca="false">Q!$D$41</f>
        <v>10.721</v>
      </c>
      <c r="D5758" s="22" t="n">
        <f aca="false">Q!$E$41</f>
        <v>10.827</v>
      </c>
      <c r="E5758" s="22" t="n">
        <f aca="false">(Q!$L$41+Q!$M$41)/2</f>
        <v>10.8885</v>
      </c>
      <c r="F5758" s="22" t="n">
        <f aca="false">Sens!$G$5758</f>
        <v>10.924806</v>
      </c>
      <c r="G5758" s="22" t="n">
        <f aca="false">Q!$M$41*(1+sh_g*0.25)</f>
        <v>10.924806</v>
      </c>
      <c r="H5758" s="22" t="n">
        <f aca="false">Sens!$G$5758*(1+sh_g)</f>
        <v>11.012204448</v>
      </c>
      <c r="I5758" s="22" t="n">
        <f aca="false">Sens!$H$5758*(1+sh_g)</f>
        <v>11.100302083584</v>
      </c>
      <c r="J5758" s="22" t="n">
        <f aca="false">Sens!$I$5758*(1+sh_g)</f>
        <v>11.1891045002527</v>
      </c>
      <c r="K5758" s="22" t="n">
        <f aca="false">Sens!$J$5758*(1+sh_g)</f>
        <v>11.2786173362547</v>
      </c>
      <c r="L5758" s="22" t="n">
        <f aca="false">Sens!$K$5758*(1+sh_g)</f>
        <v>11.3688462749447</v>
      </c>
      <c r="M5758" s="22" t="n">
        <f aca="false">Sens!$L$5758*(1+sh_g)</f>
        <v>11.4597970451443</v>
      </c>
      <c r="P5758" s="5" t="s">
        <v>749</v>
      </c>
    </row>
    <row r="5759" customFormat="false" ht="17.15" hidden="false" customHeight="false" outlineLevel="0" collapsed="false">
      <c r="A5759" s="5" t="s">
        <v>750</v>
      </c>
      <c r="B5759" s="0" t="s">
        <v>86</v>
      </c>
      <c r="C5759" s="38" t="n">
        <f aca="false">Sens!$C$5757+Sens!$C$5733*(1-tax)</f>
        <v>59.248</v>
      </c>
      <c r="D5759" s="38" t="n">
        <f aca="false">Sens!$D$5757+Sens!$D$5733*(1-tax)</f>
        <v>77.67</v>
      </c>
      <c r="E5759" s="38" t="n">
        <f aca="false">Sens!$E$5757+Sens!$E$5733*(1-tax)</f>
        <v>92.902</v>
      </c>
      <c r="F5759" s="38" t="n">
        <f aca="false">Sens!$F$5757+Sens!$F$5733*(1-tax)</f>
        <v>49.0900874210793</v>
      </c>
      <c r="G5759" s="38" t="n">
        <f aca="false">Sens!$G$5757+Sens!$G$5733*(1-tax)</f>
        <v>141.992087421079</v>
      </c>
      <c r="H5759" s="38" t="n">
        <f aca="false">Sens!$H$5757+Sens!$H$5733*(1-tax)</f>
        <v>114.439796858437</v>
      </c>
      <c r="I5759" s="38" t="n">
        <f aca="false">Sens!$I$5757+Sens!$I$5733*(1-tax)</f>
        <v>137.715847181774</v>
      </c>
      <c r="J5759" s="38" t="n">
        <f aca="false">Sens!$J$5757+Sens!$J$5733*(1-tax)</f>
        <v>161.072814065649</v>
      </c>
      <c r="K5759" s="38" t="n">
        <f aca="false">Sens!$K$5757+Sens!$K$5733*(1-tax)</f>
        <v>179.421490252235</v>
      </c>
      <c r="L5759" s="38" t="n">
        <f aca="false">Sens!$L$5757+Sens!$L$5733*(1-tax)</f>
        <v>199.44183450846</v>
      </c>
      <c r="M5759" s="38" t="n">
        <f aca="false">Sens!$M$5757+Sens!$M$5733*(1-tax)</f>
        <v>218.905960428178</v>
      </c>
      <c r="N5759" s="38" t="n">
        <f aca="false">Sens!$N$5757+Sens!$N$5733*(1-tax)</f>
        <v>35.291</v>
      </c>
      <c r="O5759" s="38" t="n">
        <f aca="false">Sens!$O$5757+Sens!$O$5733*(1-tax)</f>
        <v>42.379</v>
      </c>
    </row>
    <row r="5760" customFormat="false" ht="17.15" hidden="false" customHeight="false" outlineLevel="0" collapsed="false">
      <c r="A5760" s="43" t="s">
        <v>751</v>
      </c>
      <c r="B5760" s="14" t="s">
        <v>27</v>
      </c>
      <c r="C5760" s="44" t="n">
        <f aca="false">Sens!$C$5759/Sens!$C$5758</f>
        <v>5.52635015390355</v>
      </c>
      <c r="D5760" s="44" t="n">
        <f aca="false">Sens!$D$5759/Sens!$D$5758</f>
        <v>7.1737323358271</v>
      </c>
      <c r="E5760" s="44" t="n">
        <f aca="false">Sens!$E$5759/Sens!$E$5758</f>
        <v>8.53212104513937</v>
      </c>
      <c r="F5760" s="14"/>
      <c r="G5760" s="44" t="n">
        <f aca="false">Sens!$G$5759/Sens!$G$5758</f>
        <v>12.9972182042481</v>
      </c>
      <c r="H5760" s="44" t="n">
        <f aca="false">Sens!$H$5759/Sens!$H$5758</f>
        <v>10.3920879237963</v>
      </c>
      <c r="I5760" s="44" t="n">
        <f aca="false">Sens!$I$5759/Sens!$I$5758</f>
        <v>12.4064954399249</v>
      </c>
      <c r="J5760" s="44" t="n">
        <f aca="false">Sens!$J$5759/Sens!$J$5758</f>
        <v>14.3955053831172</v>
      </c>
      <c r="K5760" s="44" t="n">
        <f aca="false">Sens!$K$5759/Sens!$K$5758</f>
        <v>15.9081104450181</v>
      </c>
      <c r="L5760" s="44" t="n">
        <f aca="false">Sens!$L$5759/Sens!$L$5758</f>
        <v>17.5428385330533</v>
      </c>
      <c r="M5760" s="44" t="n">
        <f aca="false">Sens!$M$5759/Sens!$M$5758</f>
        <v>19.1020800425896</v>
      </c>
      <c r="N5760" s="14"/>
      <c r="O5760" s="14"/>
    </row>
    <row r="5761" customFormat="false" ht="17.15" hidden="false" customHeight="false" outlineLevel="0" collapsed="false">
      <c r="A5761" s="0" t="s">
        <v>752</v>
      </c>
      <c r="B5761" s="0" t="s">
        <v>27</v>
      </c>
      <c r="C5761" s="30" t="n">
        <f aca="false">Sens!$C$5757/Sens!$C$5758</f>
        <v>5.52635015390355</v>
      </c>
      <c r="D5761" s="30" t="n">
        <f aca="false">Sens!$D$5757/Sens!$D$5758</f>
        <v>7.1737323358271</v>
      </c>
      <c r="E5761" s="30" t="n">
        <f aca="false">Sens!$E$5757/Sens!$E$5758</f>
        <v>8.53212104513937</v>
      </c>
      <c r="G5761" s="30" t="n">
        <f aca="false">Sens!$G$5757/Sens!$G$5758</f>
        <v>12.7119412886078</v>
      </c>
      <c r="H5761" s="30" t="n">
        <f aca="false">Sens!$H$5757/Sens!$H$5758</f>
        <v>9.25413266565353</v>
      </c>
      <c r="I5761" s="30" t="n">
        <f aca="false">Sens!$I$5757/Sens!$I$5758</f>
        <v>10.501928796986</v>
      </c>
      <c r="J5761" s="30" t="n">
        <f aca="false">Sens!$J$5757/Sens!$J$5758</f>
        <v>11.7331442492472</v>
      </c>
      <c r="K5761" s="30" t="n">
        <f aca="false">Sens!$K$5757/Sens!$K$5758</f>
        <v>12.6074514226581</v>
      </c>
      <c r="L5761" s="30" t="n">
        <f aca="false">Sens!$L$5757/Sens!$L$5758</f>
        <v>13.8262862549187</v>
      </c>
      <c r="M5761" s="30" t="n">
        <f aca="false">Sens!$M$5757/Sens!$M$5758</f>
        <v>15.1873893030909</v>
      </c>
    </row>
    <row r="5762" customFormat="false" ht="17.15" hidden="false" customHeight="false" outlineLevel="0" collapsed="false">
      <c r="A5762" s="0" t="s">
        <v>753</v>
      </c>
      <c r="B5762" s="0" t="s">
        <v>27</v>
      </c>
      <c r="C5762" s="30" t="n">
        <f aca="false">(Sens!$C$5757-Sens!$C$5754*(1-tax))/Sens!$C$5758</f>
        <v>5.33926775917445</v>
      </c>
      <c r="D5762" s="30" t="n">
        <f aca="false">(Sens!$D$5757-Sens!$D$5754*(1-tax))/Sens!$D$5758</f>
        <v>5.67691812755503</v>
      </c>
      <c r="E5762" s="30" t="n">
        <f aca="false">(Sens!$E$5757-Sens!$E$5754*(1-tax))/Sens!$E$5758</f>
        <v>3.10602057006846</v>
      </c>
      <c r="G5762" s="30" t="n">
        <f aca="false">(Sens!$G$5757-Sens!$G$5754*(1-tax))/Sens!$G$5758</f>
        <v>7.30387317071086</v>
      </c>
      <c r="H5762" s="30" t="n">
        <f aca="false">(Sens!$H$5757-Sens!$H$5754*(1-tax))/Sens!$H$5758</f>
        <v>9.25413266565353</v>
      </c>
      <c r="I5762" s="30" t="n">
        <f aca="false">(Sens!$I$5757-Sens!$I$5754*(1-tax))/Sens!$I$5758</f>
        <v>10.501928796986</v>
      </c>
      <c r="J5762" s="30" t="n">
        <f aca="false">(Sens!$J$5757-Sens!$J$5754*(1-tax))/Sens!$J$5758</f>
        <v>11.7331442492472</v>
      </c>
      <c r="K5762" s="30" t="n">
        <f aca="false">(Sens!$K$5757-Sens!$K$5754*(1-tax))/Sens!$K$5758</f>
        <v>12.6074514226581</v>
      </c>
      <c r="L5762" s="30" t="n">
        <f aca="false">(Sens!$L$5757-Sens!$L$5754*(1-tax))/Sens!$L$5758</f>
        <v>13.8262862549187</v>
      </c>
      <c r="M5762" s="30" t="n">
        <f aca="false">(Sens!$M$5757-Sens!$M$5754*(1-tax))/Sens!$M$5758</f>
        <v>15.1873893030909</v>
      </c>
      <c r="P5762" s="5" t="s">
        <v>754</v>
      </c>
    </row>
    <row r="5763" customFormat="false" ht="17.15" hidden="false" customHeight="false" outlineLevel="0" collapsed="false">
      <c r="A5763" s="0" t="s">
        <v>755</v>
      </c>
      <c r="B5763" s="0" t="s">
        <v>52</v>
      </c>
      <c r="H5763" s="13" t="n">
        <f aca="false">Sens!$H$5760/Sens!$G$5760-1</f>
        <v>-0.200437527439553</v>
      </c>
      <c r="I5763" s="13" t="n">
        <f aca="false">Sens!$I$5760/Sens!$H$5760-1</f>
        <v>0.193840499705158</v>
      </c>
      <c r="J5763" s="13" t="n">
        <f aca="false">Sens!$J$5760/Sens!$I$5760-1</f>
        <v>0.160320047899391</v>
      </c>
      <c r="K5763" s="13" t="n">
        <f aca="false">Sens!$K$5760/Sens!$J$5760-1</f>
        <v>0.105074814787315</v>
      </c>
      <c r="L5763" s="13" t="n">
        <f aca="false">Sens!$L$5760/Sens!$K$5760-1</f>
        <v>0.102760670017048</v>
      </c>
      <c r="M5763" s="13" t="n">
        <f aca="false">Sens!$M$5760/Sens!$L$5760-1</f>
        <v>0.0888819392938289</v>
      </c>
    </row>
    <row r="5766" customFormat="false" ht="19.4" hidden="false" customHeight="false" outlineLevel="0" collapsed="false">
      <c r="A5766" s="31" t="s">
        <v>1245</v>
      </c>
    </row>
    <row r="5767" customFormat="false" ht="17.15" hidden="false" customHeight="false" outlineLevel="0" collapsed="false">
      <c r="A5767" s="6" t="s">
        <v>16</v>
      </c>
      <c r="B5767" s="6" t="s">
        <v>17</v>
      </c>
      <c r="C5767" s="20" t="s">
        <v>494</v>
      </c>
      <c r="D5767" s="20" t="s">
        <v>495</v>
      </c>
      <c r="E5767" s="20" t="s">
        <v>577</v>
      </c>
      <c r="F5767" s="20" t="s">
        <v>578</v>
      </c>
      <c r="G5767" s="20" t="s">
        <v>579</v>
      </c>
      <c r="H5767" s="20" t="s">
        <v>580</v>
      </c>
      <c r="I5767" s="20" t="s">
        <v>581</v>
      </c>
      <c r="J5767" s="20" t="s">
        <v>582</v>
      </c>
      <c r="K5767" s="20" t="s">
        <v>583</v>
      </c>
      <c r="L5767" s="20" t="s">
        <v>584</v>
      </c>
      <c r="M5767" s="20" t="s">
        <v>585</v>
      </c>
      <c r="N5767" s="20" t="s">
        <v>586</v>
      </c>
      <c r="O5767" s="20" t="s">
        <v>587</v>
      </c>
      <c r="P5767" s="6" t="s">
        <v>23</v>
      </c>
      <c r="R5767" s="20" t="n">
        <v>2023</v>
      </c>
      <c r="S5767" s="20" t="n">
        <v>2024</v>
      </c>
      <c r="T5767" s="20" t="n">
        <v>2025</v>
      </c>
      <c r="U5767" s="20" t="n">
        <v>2026</v>
      </c>
      <c r="V5767" s="20" t="n">
        <v>2027</v>
      </c>
      <c r="W5767" s="20" t="n">
        <v>2028</v>
      </c>
      <c r="X5767" s="20" t="n">
        <v>2029</v>
      </c>
      <c r="Y5767" s="20" t="n">
        <v>2030</v>
      </c>
      <c r="Z5767" s="20" t="n">
        <v>2031</v>
      </c>
      <c r="AA5767" s="20" t="n">
        <v>2032</v>
      </c>
    </row>
    <row r="5768" customFormat="false" ht="15" hidden="false" customHeight="false" outlineLevel="0" collapsed="false">
      <c r="A5768" s="5" t="s">
        <v>546</v>
      </c>
      <c r="B5768" s="0" t="s">
        <v>86</v>
      </c>
      <c r="C5768" s="38" t="n">
        <f aca="false">Sens!$C$5757</f>
        <v>59.248</v>
      </c>
      <c r="D5768" s="38" t="n">
        <f aca="false">Sens!$D$5757</f>
        <v>77.67</v>
      </c>
      <c r="E5768" s="38" t="n">
        <f aca="false">Sens!$E$5757</f>
        <v>92.902</v>
      </c>
      <c r="F5768" s="38" t="n">
        <f aca="false">Sens!$F$5757</f>
        <v>45.9734924614306</v>
      </c>
      <c r="G5768" s="38" t="n">
        <f aca="false">Sens!$G$5757</f>
        <v>138.875492461431</v>
      </c>
      <c r="H5768" s="38" t="n">
        <f aca="false">Sens!$H$5757</f>
        <v>101.908400903092</v>
      </c>
      <c r="I5768" s="38" t="n">
        <f aca="false">Sens!$I$5757</f>
        <v>116.574582106835</v>
      </c>
      <c r="J5768" s="38" t="n">
        <f aca="false">Sens!$J$5757</f>
        <v>131.283377121365</v>
      </c>
      <c r="K5768" s="38" t="n">
        <f aca="false">Sens!$K$5757</f>
        <v>142.194620181581</v>
      </c>
      <c r="L5768" s="38" t="n">
        <f aca="false">Sens!$L$5757</f>
        <v>157.188922985552</v>
      </c>
      <c r="M5768" s="38" t="n">
        <f aca="false">Sens!$M$5757</f>
        <v>174.044399059017</v>
      </c>
    </row>
    <row r="5769" customFormat="false" ht="17.15" hidden="false" customHeight="false" outlineLevel="0" collapsed="false">
      <c r="A5769" s="5" t="s">
        <v>778</v>
      </c>
      <c r="B5769" s="0" t="s">
        <v>86</v>
      </c>
      <c r="C5769" s="38" t="n">
        <f aca="false">Sens!$C$5745</f>
        <v>32.067</v>
      </c>
      <c r="D5769" s="38" t="n">
        <f aca="false">Sens!$D$5745</f>
        <v>41.86</v>
      </c>
      <c r="E5769" s="38" t="n">
        <f aca="false">Sens!$E$5745</f>
        <v>26.703</v>
      </c>
      <c r="F5769" s="38" t="n">
        <f aca="false">Sens!$F$5745</f>
        <v>29.2913179650864</v>
      </c>
      <c r="G5769" s="38" t="n">
        <f aca="false">Sens!$G$5745</f>
        <v>55.9943179650864</v>
      </c>
      <c r="H5769" s="38" t="n">
        <f aca="false">Sens!$H$5745</f>
        <v>84.3163410985152</v>
      </c>
      <c r="I5769" s="38" t="n">
        <f aca="false">Sens!$I$5745</f>
        <v>117.040344991004</v>
      </c>
      <c r="J5769" s="38" t="n">
        <f aca="false">Sens!$J$5745</f>
        <v>150.498981474685</v>
      </c>
      <c r="K5769" s="38" t="n">
        <f aca="false">Sens!$K$5745</f>
        <v>184.188121970284</v>
      </c>
      <c r="L5769" s="38" t="n">
        <f aca="false">Sens!$L$5745</f>
        <v>208.158787644162</v>
      </c>
      <c r="M5769" s="38" t="n">
        <f aca="false">Sens!$M$5745</f>
        <v>225.174143397813</v>
      </c>
    </row>
    <row r="5770" customFormat="false" ht="15" hidden="false" customHeight="false" outlineLevel="0" collapsed="false">
      <c r="A5770" s="5" t="s">
        <v>779</v>
      </c>
      <c r="B5770" s="0" t="s">
        <v>86</v>
      </c>
      <c r="C5770" s="38" t="n">
        <f aca="false">Q!$D$48</f>
        <v>22.011</v>
      </c>
      <c r="D5770" s="38" t="n">
        <f aca="false">Q!$E$48</f>
        <v>19.467</v>
      </c>
      <c r="E5770" s="38" t="n">
        <f aca="false">Q!$P$48</f>
        <v>10.07</v>
      </c>
      <c r="F5770" s="38" t="n">
        <f aca="false">sbc_r*Sens!$F$5687</f>
        <v>10.8507035798037</v>
      </c>
      <c r="G5770" s="38" t="n">
        <f aca="false">Sens!$E$5770+Sens!$F$5770</f>
        <v>20.9207035798037</v>
      </c>
      <c r="H5770" s="38" t="n">
        <f aca="false">sbc_r*Sens!$H$5687</f>
        <v>23.46224366345</v>
      </c>
      <c r="I5770" s="38" t="n">
        <f aca="false">sbc_r*Sens!$I$5687</f>
        <v>26.6125957111676</v>
      </c>
      <c r="J5770" s="38" t="n">
        <f aca="false">sbc_r*Sens!$J$5687</f>
        <v>29.6280801413323</v>
      </c>
      <c r="K5770" s="38" t="n">
        <f aca="false">sbc_r*Sens!$K$5687</f>
        <v>32.2783466626501</v>
      </c>
      <c r="L5770" s="38" t="n">
        <f aca="false">sbc_r*Sens!$L$5687</f>
        <v>34.7673634382331</v>
      </c>
      <c r="M5770" s="38" t="n">
        <f aca="false">sbc_r*Sens!$M$5687</f>
        <v>37.1041186491569</v>
      </c>
    </row>
    <row r="5771" customFormat="false" ht="17.15" hidden="false" customHeight="false" outlineLevel="0" collapsed="false">
      <c r="A5771" s="5" t="s">
        <v>780</v>
      </c>
      <c r="B5771" s="0" t="s">
        <v>86</v>
      </c>
      <c r="C5771" s="38" t="n">
        <f aca="false">Q!$D$44-Sens!$C$5768-Sens!$C$5769-Sens!$C$5770</f>
        <v>2.551</v>
      </c>
      <c r="D5771" s="38" t="n">
        <f aca="false">Q!$E$44-Sens!$D$5768-Sens!$D$5769-Sens!$D$5770</f>
        <v>0.51700000000001</v>
      </c>
      <c r="E5771" s="38" t="n">
        <f aca="false">Q!$P$44-Sens!$E$5768-Sens!$E$5769-Sens!$E$5770</f>
        <v>-58.256</v>
      </c>
      <c r="F5771" s="38" t="n">
        <f aca="false">oth_r*Sens!$F$5687</f>
        <v>5.22265251035878</v>
      </c>
      <c r="G5771" s="38" t="n">
        <f aca="false">Sens!$E$5771+Sens!$F$5771</f>
        <v>-53.0333474896412</v>
      </c>
      <c r="H5771" s="38" t="n">
        <f aca="false">oth_r*Sens!$H$5687</f>
        <v>11.2928295263397</v>
      </c>
      <c r="I5771" s="38" t="n">
        <f aca="false">oth_r*Sens!$I$5687</f>
        <v>12.8091546115766</v>
      </c>
      <c r="J5771" s="38" t="n">
        <f aca="false">oth_r*Sens!$J$5687</f>
        <v>14.2605653162668</v>
      </c>
      <c r="K5771" s="38" t="n">
        <f aca="false">oth_r*Sens!$K$5687</f>
        <v>15.5361896109386</v>
      </c>
      <c r="L5771" s="38" t="n">
        <f aca="false">oth_r*Sens!$L$5687</f>
        <v>16.7342012989106</v>
      </c>
      <c r="M5771" s="38" t="n">
        <f aca="false">oth_r*Sens!$M$5687</f>
        <v>17.8589265647579</v>
      </c>
      <c r="P5771" s="8" t="s">
        <v>781</v>
      </c>
    </row>
    <row r="5772" customFormat="false" ht="15" hidden="false" customHeight="false" outlineLevel="0" collapsed="false">
      <c r="A5772" s="3" t="s">
        <v>552</v>
      </c>
      <c r="B5772" s="8" t="s">
        <v>86</v>
      </c>
      <c r="C5772" s="38" t="n">
        <f aca="false">Q!$D$44</f>
        <v>115.877</v>
      </c>
      <c r="D5772" s="38" t="n">
        <f aca="false">Q!$E$44</f>
        <v>139.514</v>
      </c>
      <c r="E5772" s="38" t="n">
        <f aca="false">Q!$P$44</f>
        <v>71.419</v>
      </c>
      <c r="F5772" s="38" t="n">
        <f aca="false">Sens!$F$5768+Sens!$F$5769+Sens!$F$5770+Sens!$F$5771</f>
        <v>91.3381665166794</v>
      </c>
      <c r="G5772" s="38" t="n">
        <f aca="false">Sens!$E$5772+Sens!$F$5772</f>
        <v>162.757166516679</v>
      </c>
      <c r="H5772" s="38" t="n">
        <f aca="false">Sens!$H$5768+Sens!$H$5769+Sens!$H$5770+Sens!$H$5771</f>
        <v>220.979815191397</v>
      </c>
      <c r="I5772" s="38" t="n">
        <f aca="false">Sens!$I$5768+Sens!$I$5769+Sens!$I$5770+Sens!$I$5771</f>
        <v>273.036677420583</v>
      </c>
      <c r="J5772" s="38" t="n">
        <f aca="false">Sens!$J$5768+Sens!$J$5769+Sens!$J$5770+Sens!$J$5771</f>
        <v>325.671004053649</v>
      </c>
      <c r="K5772" s="38" t="n">
        <f aca="false">Sens!$K$5768+Sens!$K$5769+Sens!$K$5770+Sens!$K$5771</f>
        <v>374.197278425453</v>
      </c>
      <c r="L5772" s="38" t="n">
        <f aca="false">Sens!$L$5768+Sens!$L$5769+Sens!$L$5770+Sens!$L$5771</f>
        <v>416.849275366857</v>
      </c>
      <c r="M5772" s="38" t="n">
        <f aca="false">Sens!$M$5768+Sens!$M$5769+Sens!$M$5770+Sens!$M$5771</f>
        <v>454.181587670745</v>
      </c>
    </row>
    <row r="5773" customFormat="false" ht="17.15" hidden="false" customHeight="false" outlineLevel="0" collapsed="false">
      <c r="A5773" s="5" t="s">
        <v>782</v>
      </c>
      <c r="B5773" s="0" t="s">
        <v>86</v>
      </c>
      <c r="C5773" s="38" t="n">
        <f aca="false">Sens!$C$5656</f>
        <v>25.2781053077374</v>
      </c>
      <c r="D5773" s="38" t="n">
        <f aca="false">Sens!$D$5656</f>
        <v>69.5686316310026</v>
      </c>
      <c r="E5773" s="38" t="n">
        <f aca="false">Sens!$E$5656</f>
        <v>64.1899206485108</v>
      </c>
      <c r="F5773" s="38" t="n">
        <f aca="false">Sens!$F$5656</f>
        <v>96.2481299895</v>
      </c>
      <c r="G5773" s="38" t="n">
        <f aca="false">Sens!$G$5656</f>
        <v>160.438050638011</v>
      </c>
      <c r="H5773" s="38" t="n">
        <f aca="false">Sens!$H$5656</f>
        <v>198.57136494475</v>
      </c>
      <c r="I5773" s="38" t="n">
        <f aca="false">Sens!$I$5656</f>
        <v>204.6464699105</v>
      </c>
      <c r="J5773" s="38" t="n">
        <f aca="false">Sens!$J$5656</f>
        <v>209.8832381105</v>
      </c>
      <c r="K5773" s="38" t="n">
        <f aca="false">Sens!$K$5656</f>
        <v>158.016341586823</v>
      </c>
      <c r="L5773" s="38" t="n">
        <f aca="false">Sens!$L$5656</f>
        <v>137.570054263147</v>
      </c>
      <c r="M5773" s="38" t="n">
        <f aca="false">Sens!$M$5656</f>
        <v>140.56485059472</v>
      </c>
    </row>
    <row r="5774" customFormat="false" ht="17.15" hidden="false" customHeight="false" outlineLevel="0" collapsed="false">
      <c r="A5774" s="5" t="s">
        <v>783</v>
      </c>
      <c r="B5774" s="0" t="s">
        <v>86</v>
      </c>
      <c r="C5774" s="38" t="n">
        <f aca="false">cx_awso*Sens!$C$5685</f>
        <v>21.0469989286053</v>
      </c>
      <c r="D5774" s="38" t="n">
        <f aca="false">cx_awso*Sens!$D$5685</f>
        <v>24.0042459822698</v>
      </c>
      <c r="E5774" s="38" t="n">
        <f aca="false">cx_awso*Sens!$E$5685</f>
        <v>14.261729404886</v>
      </c>
      <c r="F5774" s="38" t="n">
        <f aca="false">cx_awso*Sens!$F$5685</f>
        <v>14.3538599588493</v>
      </c>
      <c r="G5774" s="38" t="n">
        <f aca="false">Sens!$E$5774+Sens!$F$5774</f>
        <v>28.6155893637353</v>
      </c>
      <c r="H5774" s="38" t="n">
        <f aca="false">cx_awso*Sens!$H$5685</f>
        <v>32.2034154158406</v>
      </c>
      <c r="I5774" s="38" t="n">
        <f aca="false">cx_awso*Sens!$I$5685</f>
        <v>35.7539519042915</v>
      </c>
      <c r="J5774" s="38" t="n">
        <f aca="false">cx_awso*Sens!$J$5685</f>
        <v>39.1551076091815</v>
      </c>
      <c r="K5774" s="38" t="n">
        <f aca="false">cx_awso*Sens!$K$5685</f>
        <v>42.287516217916</v>
      </c>
      <c r="L5774" s="38" t="n">
        <f aca="false">cx_awso*Sens!$L$5685</f>
        <v>45.6705175153492</v>
      </c>
      <c r="M5774" s="38" t="n">
        <f aca="false">cx_awso*Sens!$M$5685</f>
        <v>49.3241589165772</v>
      </c>
    </row>
    <row r="5775" customFormat="false" ht="17.15" hidden="false" customHeight="false" outlineLevel="0" collapsed="false">
      <c r="A5775" s="5" t="s">
        <v>784</v>
      </c>
      <c r="B5775" s="0" t="s">
        <v>86</v>
      </c>
      <c r="C5775" s="38" t="n">
        <f aca="false">Q!$D$46-Sens!$C$5773-Sens!$C$5774</f>
        <v>31.3328957636573</v>
      </c>
      <c r="D5775" s="38" t="n">
        <f aca="false">Q!$E$46-Sens!$D$5773-Sens!$D$5774</f>
        <v>34.7471223867276</v>
      </c>
      <c r="E5775" s="38" t="n">
        <f aca="false">Q!$P$46-Sens!$E$5773-Sens!$E$5774</f>
        <v>17.8583499466032</v>
      </c>
      <c r="F5775" s="38" t="n">
        <f aca="false">cx_rt*Sens!$F$5619</f>
        <v>20.6195895799373</v>
      </c>
      <c r="G5775" s="38" t="n">
        <f aca="false">Sens!$E$5775+Sens!$F$5775</f>
        <v>38.4779395265405</v>
      </c>
      <c r="H5775" s="38" t="n">
        <f aca="false">cx_rt*Sens!$H$5619</f>
        <v>42.5978994743075</v>
      </c>
      <c r="I5775" s="38" t="n">
        <f aca="false">cx_rt*Sens!$I$5619</f>
        <v>46.5813904136335</v>
      </c>
      <c r="J5775" s="38" t="n">
        <f aca="false">cx_rt*Sens!$J$5619</f>
        <v>50.2781676586844</v>
      </c>
      <c r="K5775" s="38" t="n">
        <f aca="false">cx_rt*Sens!$K$5619</f>
        <v>53.5312440191755</v>
      </c>
      <c r="L5775" s="38" t="n">
        <f aca="false">cx_rt*Sens!$L$5619</f>
        <v>57.0116717051447</v>
      </c>
      <c r="M5775" s="38" t="n">
        <f aca="false">cx_rt*Sens!$M$5619</f>
        <v>60.7365554669226</v>
      </c>
    </row>
    <row r="5776" customFormat="false" ht="15" hidden="false" customHeight="false" outlineLevel="0" collapsed="false">
      <c r="A5776" s="3" t="s">
        <v>785</v>
      </c>
      <c r="B5776" s="8" t="s">
        <v>86</v>
      </c>
      <c r="C5776" s="38" t="n">
        <f aca="false">Q!$D$46</f>
        <v>77.658</v>
      </c>
      <c r="D5776" s="38" t="n">
        <f aca="false">Q!$E$46</f>
        <v>128.32</v>
      </c>
      <c r="E5776" s="38" t="n">
        <f aca="false">Q!$P$46</f>
        <v>96.31</v>
      </c>
      <c r="F5776" s="38" t="n">
        <f aca="false">Sens!$F$5773+Sens!$F$5774+Sens!$F$5775</f>
        <v>131.221579528287</v>
      </c>
      <c r="G5776" s="38" t="n">
        <f aca="false">Sens!$E$5776+Sens!$F$5776</f>
        <v>227.531579528287</v>
      </c>
      <c r="H5776" s="38" t="n">
        <f aca="false">Sens!$H$5773+Sens!$H$5774+Sens!$H$5775</f>
        <v>273.372679834898</v>
      </c>
      <c r="I5776" s="38" t="n">
        <f aca="false">Sens!$I$5773+Sens!$I$5774+Sens!$I$5775</f>
        <v>286.981812228425</v>
      </c>
      <c r="J5776" s="38" t="n">
        <f aca="false">Sens!$J$5773+Sens!$J$5774+Sens!$J$5775</f>
        <v>299.316513378366</v>
      </c>
      <c r="K5776" s="38" t="n">
        <f aca="false">Sens!$K$5773+Sens!$K$5774+Sens!$K$5775</f>
        <v>253.835101823915</v>
      </c>
      <c r="L5776" s="38" t="n">
        <f aca="false">Sens!$L$5773+Sens!$L$5774+Sens!$L$5775</f>
        <v>240.252243483641</v>
      </c>
      <c r="M5776" s="38" t="n">
        <f aca="false">Sens!$M$5773+Sens!$M$5774+Sens!$M$5775</f>
        <v>250.62556497822</v>
      </c>
    </row>
    <row r="5777" customFormat="false" ht="17.15" hidden="false" customHeight="false" outlineLevel="0" collapsed="false">
      <c r="A5777" s="5" t="s">
        <v>560</v>
      </c>
      <c r="B5777" s="0" t="s">
        <v>86</v>
      </c>
      <c r="C5777" s="38" t="n">
        <f aca="false">Q!$D$50</f>
        <v>2.043</v>
      </c>
      <c r="D5777" s="38" t="n">
        <f aca="false">Q!$E$50</f>
        <v>1.557</v>
      </c>
      <c r="E5777" s="38" t="n">
        <f aca="false">lease_pr/2</f>
        <v>0.8</v>
      </c>
      <c r="F5777" s="38" t="n">
        <f aca="false">lease_pr/2</f>
        <v>0.8</v>
      </c>
      <c r="G5777" s="38" t="n">
        <f aca="false">Sens!$E$5777+Sens!$F$5777</f>
        <v>1.6</v>
      </c>
      <c r="H5777" s="38" t="n">
        <f aca="false">lease_pr</f>
        <v>1.6</v>
      </c>
      <c r="I5777" s="38" t="n">
        <f aca="false">lease_pr</f>
        <v>1.6</v>
      </c>
      <c r="J5777" s="38" t="n">
        <f aca="false">lease_pr</f>
        <v>1.6</v>
      </c>
      <c r="K5777" s="38" t="n">
        <f aca="false">lease_pr</f>
        <v>1.6</v>
      </c>
      <c r="L5777" s="38" t="n">
        <f aca="false">lease_pr</f>
        <v>1.6</v>
      </c>
      <c r="M5777" s="38" t="n">
        <f aca="false">lease_pr</f>
        <v>1.6</v>
      </c>
      <c r="P5777" s="8" t="s">
        <v>786</v>
      </c>
    </row>
    <row r="5778" customFormat="false" ht="15" hidden="false" customHeight="false" outlineLevel="0" collapsed="false">
      <c r="A5778" s="47" t="s">
        <v>787</v>
      </c>
      <c r="B5778" s="14" t="s">
        <v>86</v>
      </c>
      <c r="C5778" s="48" t="n">
        <f aca="false">Sens!$C$5772-Sens!$C$5776-Sens!$C$5777</f>
        <v>36.176</v>
      </c>
      <c r="D5778" s="48" t="n">
        <f aca="false">Sens!$D$5772-Sens!$D$5776-Sens!$D$5777</f>
        <v>9.63700000000002</v>
      </c>
      <c r="E5778" s="48" t="n">
        <f aca="false">Sens!$E$5772-Sens!$E$5776-Sens!$E$5777</f>
        <v>-25.691</v>
      </c>
      <c r="F5778" s="48" t="n">
        <f aca="false">Sens!$F$5772-Sens!$F$5776-Sens!$F$5777</f>
        <v>-40.6834130116072</v>
      </c>
      <c r="G5778" s="48" t="n">
        <f aca="false">Sens!$G$5772-Sens!$G$5776-Sens!$G$5777</f>
        <v>-66.3744130116072</v>
      </c>
      <c r="H5778" s="48" t="n">
        <f aca="false">Sens!$H$5772-Sens!$H$5776-Sens!$H$5777</f>
        <v>-53.9928646435014</v>
      </c>
      <c r="I5778" s="48" t="n">
        <f aca="false">Sens!$I$5772-Sens!$I$5776-Sens!$I$5777</f>
        <v>-15.5451348078424</v>
      </c>
      <c r="J5778" s="48" t="n">
        <f aca="false">Sens!$J$5772-Sens!$J$5776-Sens!$J$5777</f>
        <v>24.754490675283</v>
      </c>
      <c r="K5778" s="48" t="n">
        <f aca="false">Sens!$K$5772-Sens!$K$5776-Sens!$K$5777</f>
        <v>118.762176601538</v>
      </c>
      <c r="L5778" s="48" t="n">
        <f aca="false">Sens!$L$5772-Sens!$L$5776-Sens!$L$5777</f>
        <v>174.997031883216</v>
      </c>
      <c r="M5778" s="48" t="n">
        <f aca="false">Sens!$M$5772-Sens!$M$5776-Sens!$M$5777</f>
        <v>201.956022692525</v>
      </c>
      <c r="N5778" s="14"/>
      <c r="O5778" s="14"/>
    </row>
    <row r="5779" customFormat="false" ht="17.15" hidden="false" customHeight="false" outlineLevel="0" collapsed="false">
      <c r="A5779" s="5" t="s">
        <v>788</v>
      </c>
      <c r="B5779" s="0" t="s">
        <v>86</v>
      </c>
      <c r="C5779" s="38" t="n">
        <f aca="false">dps*Sens!$C$5758</f>
        <v>0</v>
      </c>
      <c r="D5779" s="38" t="n">
        <f aca="false">dps*Sens!$D$5758</f>
        <v>0</v>
      </c>
      <c r="E5779" s="38" t="n">
        <f aca="false">dps*Sens!$E$5758</f>
        <v>0</v>
      </c>
      <c r="F5779" s="38" t="n">
        <f aca="false">0</f>
        <v>0</v>
      </c>
      <c r="G5779" s="38" t="n">
        <f aca="false">dps*Sens!$G$5758</f>
        <v>0</v>
      </c>
      <c r="H5779" s="38" t="n">
        <f aca="false">dps*Sens!$H$5758</f>
        <v>0</v>
      </c>
      <c r="I5779" s="38" t="n">
        <f aca="false">dps*Sens!$I$5758</f>
        <v>0</v>
      </c>
      <c r="J5779" s="38" t="n">
        <f aca="false">dps*Sens!$J$5758</f>
        <v>0</v>
      </c>
      <c r="K5779" s="38" t="n">
        <f aca="false">dps*Sens!$K$5758</f>
        <v>0</v>
      </c>
      <c r="L5779" s="38" t="n">
        <f aca="false">dps*Sens!$L$5758</f>
        <v>0</v>
      </c>
      <c r="M5779" s="38" t="n">
        <f aca="false">dps*Sens!$M$5758</f>
        <v>0</v>
      </c>
      <c r="P5779" s="8" t="s">
        <v>789</v>
      </c>
    </row>
    <row r="5780" customFormat="false" ht="17.15" hidden="false" customHeight="false" outlineLevel="0" collapsed="false">
      <c r="A5780" s="5" t="s">
        <v>790</v>
      </c>
      <c r="B5780" s="0" t="s">
        <v>86</v>
      </c>
      <c r="C5780" s="38" t="n">
        <f aca="false">0</f>
        <v>0</v>
      </c>
      <c r="D5780" s="38" t="n">
        <f aca="false">0</f>
        <v>0</v>
      </c>
      <c r="E5780" s="38" t="n">
        <f aca="false">0</f>
        <v>0</v>
      </c>
      <c r="F5780" s="38" t="n">
        <f aca="false">0</f>
        <v>0</v>
      </c>
      <c r="G5780" s="38" t="n">
        <f aca="false">0</f>
        <v>0</v>
      </c>
      <c r="H5780" s="38" t="n">
        <f aca="false">0</f>
        <v>0</v>
      </c>
      <c r="I5780" s="38" t="n">
        <f aca="false">0</f>
        <v>0</v>
      </c>
      <c r="J5780" s="38" t="n">
        <f aca="false">0</f>
        <v>0</v>
      </c>
      <c r="K5780" s="38" t="n">
        <f aca="false">0</f>
        <v>0</v>
      </c>
      <c r="L5780" s="38" t="n">
        <f aca="false">0</f>
        <v>0</v>
      </c>
      <c r="M5780" s="38" t="n">
        <f aca="false">0</f>
        <v>0</v>
      </c>
      <c r="P5780" s="8" t="s">
        <v>791</v>
      </c>
    </row>
    <row r="5781" customFormat="false" ht="15" hidden="false" customHeight="false" outlineLevel="0" collapsed="false">
      <c r="A5781" s="3" t="s">
        <v>792</v>
      </c>
      <c r="B5781" s="8" t="s">
        <v>86</v>
      </c>
      <c r="C5781" s="38" t="n">
        <f aca="false">Sens!$C$5778-Sens!$C$5779</f>
        <v>36.176</v>
      </c>
      <c r="D5781" s="38" t="n">
        <f aca="false">Sens!$D$5778-Sens!$D$5779</f>
        <v>9.63700000000002</v>
      </c>
      <c r="E5781" s="38" t="n">
        <f aca="false">Sens!$E$5778-Sens!$E$5779</f>
        <v>-25.691</v>
      </c>
      <c r="F5781" s="38" t="n">
        <f aca="false">Sens!$F$5778-Sens!$F$5779</f>
        <v>-40.6834130116072</v>
      </c>
      <c r="G5781" s="38" t="n">
        <f aca="false">Sens!$G$5778-Sens!$G$5779</f>
        <v>-66.3744130116072</v>
      </c>
      <c r="H5781" s="38" t="n">
        <f aca="false">Sens!$H$5778-Sens!$H$5779</f>
        <v>-53.9928646435014</v>
      </c>
      <c r="I5781" s="38" t="n">
        <f aca="false">Sens!$I$5778-Sens!$I$5779</f>
        <v>-15.5451348078424</v>
      </c>
      <c r="J5781" s="38" t="n">
        <f aca="false">Sens!$J$5778-Sens!$J$5779</f>
        <v>24.754490675283</v>
      </c>
      <c r="K5781" s="38" t="n">
        <f aca="false">Sens!$K$5778-Sens!$K$5779</f>
        <v>118.762176601538</v>
      </c>
      <c r="L5781" s="38" t="n">
        <f aca="false">Sens!$L$5778-Sens!$L$5779</f>
        <v>174.997031883216</v>
      </c>
      <c r="M5781" s="38" t="n">
        <f aca="false">Sens!$M$5778-Sens!$M$5779</f>
        <v>201.956022692525</v>
      </c>
    </row>
    <row r="5782" customFormat="false" ht="17.15" hidden="false" customHeight="false" outlineLevel="0" collapsed="false">
      <c r="A5782" s="5" t="s">
        <v>793</v>
      </c>
      <c r="B5782" s="0" t="s">
        <v>86</v>
      </c>
      <c r="E5782" s="38" t="n">
        <f aca="false">Q!$P$53</f>
        <v>39.767</v>
      </c>
      <c r="F5782" s="38" t="n">
        <f aca="false">inv_2h26</f>
        <v>21.3</v>
      </c>
      <c r="G5782" s="38" t="n">
        <f aca="false">Sens!$E$5782+Sens!$F$5782</f>
        <v>61.067</v>
      </c>
      <c r="H5782" s="39" t="n">
        <v>0</v>
      </c>
      <c r="I5782" s="39" t="n">
        <v>0</v>
      </c>
      <c r="J5782" s="39" t="n">
        <v>0</v>
      </c>
      <c r="K5782" s="39" t="n">
        <v>0</v>
      </c>
      <c r="L5782" s="39" t="n">
        <v>0</v>
      </c>
      <c r="M5782" s="39" t="n">
        <v>0</v>
      </c>
    </row>
    <row r="5783" customFormat="false" ht="17.15" hidden="false" customHeight="false" outlineLevel="0" collapsed="false">
      <c r="A5783" s="5" t="s">
        <v>794</v>
      </c>
      <c r="B5783" s="0" t="s">
        <v>86</v>
      </c>
      <c r="F5783" s="38" t="n">
        <f aca="false">iss_2h26</f>
        <v>29.249999</v>
      </c>
      <c r="G5783" s="38" t="n">
        <f aca="false">Sens!$F$5783</f>
        <v>29.249999</v>
      </c>
      <c r="H5783" s="39" t="n">
        <v>0</v>
      </c>
      <c r="I5783" s="39" t="n">
        <v>0</v>
      </c>
      <c r="J5783" s="39" t="n">
        <v>0</v>
      </c>
      <c r="K5783" s="39" t="n">
        <v>0</v>
      </c>
      <c r="L5783" s="39" t="n">
        <v>0</v>
      </c>
      <c r="M5783" s="39" t="n">
        <v>0</v>
      </c>
    </row>
    <row r="5784" customFormat="false" ht="17.15" hidden="false" customHeight="false" outlineLevel="0" collapsed="false">
      <c r="A5784" s="5" t="s">
        <v>795</v>
      </c>
      <c r="B5784" s="0" t="s">
        <v>86</v>
      </c>
      <c r="F5784" s="38" t="n">
        <f aca="false">cash_q2</f>
        <v>122.988</v>
      </c>
      <c r="G5784" s="38" t="n">
        <f aca="false">cash_q2</f>
        <v>122.988</v>
      </c>
      <c r="H5784" s="38" t="n">
        <f aca="false">Sens!$G$5787</f>
        <v>90.2545859883928</v>
      </c>
      <c r="I5784" s="38" t="n">
        <f aca="false">Sens!$H$5787</f>
        <v>50</v>
      </c>
      <c r="J5784" s="38" t="n">
        <f aca="false">Sens!$I$5787</f>
        <v>50</v>
      </c>
      <c r="K5784" s="38" t="n">
        <f aca="false">Sens!$J$5787</f>
        <v>74.7544906752831</v>
      </c>
      <c r="L5784" s="38" t="n">
        <f aca="false">Sens!$K$5787</f>
        <v>193.516667276821</v>
      </c>
      <c r="M5784" s="38" t="n">
        <f aca="false">Sens!$L$5787</f>
        <v>368.513699160038</v>
      </c>
    </row>
    <row r="5785" customFormat="false" ht="15" hidden="false" customHeight="false" outlineLevel="0" collapsed="false">
      <c r="A5785" s="5" t="s">
        <v>796</v>
      </c>
      <c r="B5785" s="0" t="s">
        <v>86</v>
      </c>
      <c r="F5785" s="38" t="n">
        <f aca="false">Sens!$F$5784+Sens!$F$5781-Sens!$F$5780-Sens!$F$5782+Sens!$F$5783</f>
        <v>90.2545859883928</v>
      </c>
      <c r="H5785" s="38" t="n">
        <f aca="false">Sens!$H$5784+Sens!$H$5781-Sens!$H$5780-Sens!$H$5782+Sens!$H$5783</f>
        <v>36.2617213448915</v>
      </c>
      <c r="I5785" s="38" t="n">
        <f aca="false">Sens!$I$5784+Sens!$I$5781-Sens!$I$5780-Sens!$I$5782+Sens!$I$5783</f>
        <v>34.4548651921577</v>
      </c>
      <c r="J5785" s="38" t="n">
        <f aca="false">Sens!$J$5784+Sens!$J$5781-Sens!$J$5780-Sens!$J$5782+Sens!$J$5783</f>
        <v>74.7544906752831</v>
      </c>
      <c r="K5785" s="38" t="n">
        <f aca="false">Sens!$K$5784+Sens!$K$5781-Sens!$K$5780-Sens!$K$5782+Sens!$K$5783</f>
        <v>193.516667276821</v>
      </c>
      <c r="L5785" s="38" t="n">
        <f aca="false">Sens!$L$5784+Sens!$L$5781-Sens!$L$5780-Sens!$L$5782+Sens!$L$5783</f>
        <v>368.513699160038</v>
      </c>
      <c r="M5785" s="38" t="n">
        <f aca="false">Sens!$M$5784+Sens!$M$5781-Sens!$M$5780-Sens!$M$5782+Sens!$M$5783</f>
        <v>570.469721852563</v>
      </c>
    </row>
    <row r="5786" customFormat="false" ht="17.15" hidden="false" customHeight="false" outlineLevel="0" collapsed="false">
      <c r="A5786" s="5" t="s">
        <v>797</v>
      </c>
      <c r="B5786" s="0" t="s">
        <v>86</v>
      </c>
      <c r="F5786" s="38" t="n">
        <f aca="false">MAX(0,min_cash-Sens!$F$5785)</f>
        <v>0</v>
      </c>
      <c r="G5786" s="38" t="n">
        <f aca="false">Sens!$F$5786</f>
        <v>0</v>
      </c>
      <c r="H5786" s="38" t="n">
        <f aca="false">MAX(0,min_cash-Sens!$H$5785)</f>
        <v>13.7382786551085</v>
      </c>
      <c r="I5786" s="38" t="n">
        <f aca="false">MAX(0,min_cash-Sens!$I$5785)</f>
        <v>15.5451348078424</v>
      </c>
      <c r="J5786" s="38" t="n">
        <f aca="false">MAX(0,min_cash-Sens!$J$5785)</f>
        <v>0</v>
      </c>
      <c r="K5786" s="38" t="n">
        <f aca="false">MAX(0,min_cash-Sens!$K$5785)</f>
        <v>0</v>
      </c>
      <c r="L5786" s="38" t="n">
        <f aca="false">MAX(0,min_cash-Sens!$L$5785)</f>
        <v>0</v>
      </c>
      <c r="M5786" s="38" t="n">
        <f aca="false">MAX(0,min_cash-Sens!$M$5785)</f>
        <v>0</v>
      </c>
      <c r="P5786" s="5" t="s">
        <v>798</v>
      </c>
    </row>
    <row r="5787" customFormat="false" ht="15" hidden="false" customHeight="false" outlineLevel="0" collapsed="false">
      <c r="A5787" s="5" t="s">
        <v>799</v>
      </c>
      <c r="B5787" s="0" t="s">
        <v>86</v>
      </c>
      <c r="D5787" s="38" t="n">
        <f aca="false">Q!$E$61</f>
        <v>123.029</v>
      </c>
      <c r="E5787" s="38" t="n">
        <f aca="false">Q!$M$61</f>
        <v>122.988</v>
      </c>
      <c r="F5787" s="38" t="n">
        <f aca="false">Sens!$F$5785+Sens!$F$5786</f>
        <v>90.2545859883928</v>
      </c>
      <c r="G5787" s="38" t="n">
        <f aca="false">Sens!$F$5787</f>
        <v>90.2545859883928</v>
      </c>
      <c r="H5787" s="38" t="n">
        <f aca="false">Sens!$H$5785+Sens!$H$5786</f>
        <v>50</v>
      </c>
      <c r="I5787" s="38" t="n">
        <f aca="false">Sens!$I$5785+Sens!$I$5786</f>
        <v>50</v>
      </c>
      <c r="J5787" s="38" t="n">
        <f aca="false">Sens!$J$5785+Sens!$J$5786</f>
        <v>74.7544906752831</v>
      </c>
      <c r="K5787" s="38" t="n">
        <f aca="false">Sens!$K$5785+Sens!$K$5786</f>
        <v>193.516667276821</v>
      </c>
      <c r="L5787" s="38" t="n">
        <f aca="false">Sens!$L$5785+Sens!$L$5786</f>
        <v>368.513699160038</v>
      </c>
      <c r="M5787" s="38" t="n">
        <f aca="false">Sens!$M$5785+Sens!$M$5786</f>
        <v>570.469721852563</v>
      </c>
    </row>
    <row r="5788" customFormat="false" ht="15" hidden="false" customHeight="false" outlineLevel="0" collapsed="false">
      <c r="A5788" s="5" t="s">
        <v>800</v>
      </c>
      <c r="B5788" s="0" t="s">
        <v>86</v>
      </c>
      <c r="D5788" s="38" t="n">
        <f aca="false">Q!$E$62</f>
        <v>68.836</v>
      </c>
      <c r="E5788" s="38" t="n">
        <f aca="false">Q!$M$62</f>
        <v>132.995</v>
      </c>
      <c r="F5788" s="38" t="n">
        <f aca="false">debt_q2+Sens!$F$5783+Sens!$F$5786</f>
        <v>162.244999</v>
      </c>
      <c r="G5788" s="38" t="n">
        <f aca="false">Sens!$F$5788</f>
        <v>162.244999</v>
      </c>
      <c r="H5788" s="38" t="n">
        <f aca="false">Sens!$G$5788+Sens!$H$5786</f>
        <v>175.983277655109</v>
      </c>
      <c r="I5788" s="38" t="n">
        <f aca="false">Sens!$H$5788+Sens!$I$5786</f>
        <v>191.528412462951</v>
      </c>
      <c r="J5788" s="38" t="n">
        <f aca="false">Sens!$I$5788+Sens!$J$5786</f>
        <v>191.528412462951</v>
      </c>
      <c r="K5788" s="38" t="n">
        <f aca="false">Sens!$J$5788+Sens!$K$5786</f>
        <v>191.528412462951</v>
      </c>
      <c r="L5788" s="38" t="n">
        <f aca="false">Sens!$K$5788+Sens!$L$5786</f>
        <v>191.528412462951</v>
      </c>
      <c r="M5788" s="38" t="n">
        <f aca="false">Sens!$L$5788+Sens!$M$5786</f>
        <v>191.528412462951</v>
      </c>
    </row>
    <row r="5789" customFormat="false" ht="15" hidden="false" customHeight="false" outlineLevel="0" collapsed="false">
      <c r="A5789" s="5" t="s">
        <v>801</v>
      </c>
      <c r="B5789" s="0" t="s">
        <v>86</v>
      </c>
      <c r="D5789" s="38" t="n">
        <f aca="false">Sens!$D$5788-Sens!$D$5787</f>
        <v>-54.193</v>
      </c>
      <c r="E5789" s="38" t="n">
        <f aca="false">Sens!$E$5788-Sens!$E$5787</f>
        <v>10.007</v>
      </c>
      <c r="F5789" s="38" t="n">
        <f aca="false">Sens!$F$5788-Sens!$F$5787</f>
        <v>71.9904130116072</v>
      </c>
      <c r="G5789" s="38" t="n">
        <f aca="false">Sens!$G$5788-Sens!$G$5787</f>
        <v>71.9904130116072</v>
      </c>
      <c r="H5789" s="38" t="n">
        <f aca="false">Sens!$H$5788-Sens!$H$5787</f>
        <v>125.983277655109</v>
      </c>
      <c r="I5789" s="38" t="n">
        <f aca="false">Sens!$I$5788-Sens!$I$5787</f>
        <v>141.528412462951</v>
      </c>
      <c r="J5789" s="38" t="n">
        <f aca="false">Sens!$J$5788-Sens!$J$5787</f>
        <v>116.773921787668</v>
      </c>
      <c r="K5789" s="38" t="n">
        <f aca="false">Sens!$K$5788-Sens!$K$5787</f>
        <v>-1.98825481387041</v>
      </c>
      <c r="L5789" s="38" t="n">
        <f aca="false">Sens!$L$5788-Sens!$L$5787</f>
        <v>-176.985286697087</v>
      </c>
      <c r="M5789" s="38" t="n">
        <f aca="false">Sens!$M$5788-Sens!$M$5787</f>
        <v>-378.941309389612</v>
      </c>
    </row>
    <row r="5790" customFormat="false" ht="17.15" hidden="false" customHeight="false" outlineLevel="0" collapsed="false">
      <c r="A5790" s="5" t="s">
        <v>802</v>
      </c>
      <c r="B5790" s="0" t="s">
        <v>86</v>
      </c>
      <c r="F5790" s="38" t="n">
        <f aca="false">debt_q2*kd_book*0.5+iss_2h26*kd_new*iss_t</f>
        <v>3.24888962733561</v>
      </c>
      <c r="H5790" s="38" t="n">
        <f aca="false">debt_q2*kd_book+(Sens!$G$5788-debt_q2)*kd_new</f>
        <v>7.42354172302123</v>
      </c>
      <c r="I5790" s="38" t="n">
        <f aca="false">debt_q2*kd_book+(Sens!$H$5788-debt_q2)*kd_new</f>
        <v>8.2931747618896</v>
      </c>
      <c r="J5790" s="38" t="n">
        <f aca="false">debt_q2*kd_book+(Sens!$I$5788-debt_q2)*kd_new</f>
        <v>9.27718179522602</v>
      </c>
      <c r="K5790" s="38" t="n">
        <f aca="false">debt_q2*kd_book+(Sens!$J$5788-debt_q2)*kd_new</f>
        <v>9.27718179522602</v>
      </c>
      <c r="L5790" s="38" t="n">
        <f aca="false">debt_q2*kd_book+(Sens!$K$5788-debt_q2)*kd_new</f>
        <v>9.27718179522602</v>
      </c>
      <c r="M5790" s="38" t="n">
        <f aca="false">debt_q2*kd_book+(Sens!$L$5788-debt_q2)*kd_new</f>
        <v>9.27718179522602</v>
      </c>
    </row>
    <row r="5791" customFormat="false" ht="17.15" hidden="false" customHeight="false" outlineLevel="0" collapsed="false">
      <c r="A5791" s="5" t="s">
        <v>803</v>
      </c>
      <c r="B5791" s="0" t="s">
        <v>86</v>
      </c>
      <c r="F5791" s="38" t="n">
        <f aca="false">cash_q2*y_cash*0.5</f>
        <v>2.59</v>
      </c>
      <c r="H5791" s="38" t="n">
        <f aca="false">Sens!$G$5787*y_cash</f>
        <v>3.80133635330174</v>
      </c>
      <c r="I5791" s="38" t="n">
        <f aca="false">Sens!$H$5787*y_cash</f>
        <v>2.10589651022864</v>
      </c>
      <c r="J5791" s="38" t="n">
        <f aca="false">Sens!$I$5787*y_cash</f>
        <v>2.10589651022864</v>
      </c>
      <c r="K5791" s="38" t="n">
        <f aca="false">Sens!$J$5787*y_cash</f>
        <v>3.14850442073996</v>
      </c>
      <c r="L5791" s="38" t="n">
        <f aca="false">Sens!$K$5787*y_cash</f>
        <v>8.1505214857867</v>
      </c>
      <c r="M5791" s="38" t="n">
        <f aca="false">Sens!$L$5787*y_cash</f>
        <v>15.5210342606514</v>
      </c>
    </row>
    <row r="5792" customFormat="false" ht="17.15" hidden="false" customHeight="false" outlineLevel="0" collapsed="false">
      <c r="A5792" s="47" t="s">
        <v>804</v>
      </c>
      <c r="B5792" s="14" t="s">
        <v>86</v>
      </c>
      <c r="C5792" s="14"/>
      <c r="D5792" s="14"/>
      <c r="E5792" s="14"/>
      <c r="F5792" s="14"/>
      <c r="G5792" s="48" t="n">
        <f aca="false">SUM(Sens!$G$5781:$K$5781)</f>
        <v>7.60425481387041</v>
      </c>
      <c r="H5792" s="14"/>
      <c r="I5792" s="14"/>
      <c r="J5792" s="14"/>
      <c r="K5792" s="14"/>
      <c r="L5792" s="14"/>
      <c r="M5792" s="14"/>
      <c r="N5792" s="14"/>
      <c r="O5792" s="14"/>
    </row>
    <row r="5793" customFormat="false" ht="17.15" hidden="false" customHeight="false" outlineLevel="0" collapsed="false">
      <c r="A5793" s="0" t="s">
        <v>770</v>
      </c>
      <c r="B5793" s="0" t="s">
        <v>86</v>
      </c>
      <c r="G5793" s="38" t="n">
        <f aca="false">SUM(Sens!$G$5786:$K$5786)</f>
        <v>29.2834134629509</v>
      </c>
    </row>
    <row r="5794" customFormat="false" ht="17.15" hidden="false" customHeight="false" outlineLevel="0" collapsed="false">
      <c r="A5794" s="24" t="s">
        <v>807</v>
      </c>
      <c r="B5794" s="25" t="s">
        <v>86</v>
      </c>
      <c r="C5794" s="25"/>
      <c r="D5794" s="25"/>
      <c r="E5794" s="25"/>
      <c r="F5794" s="25"/>
      <c r="G5794" s="41" t="n">
        <f aca="false">Sens!$G$5792-(Sens!$G$5781+Sens!$H$5781+Sens!$I$5781+Sens!$J$5781+Sens!$K$5781)</f>
        <v>0</v>
      </c>
      <c r="H5794" s="25"/>
      <c r="I5794" s="25"/>
      <c r="J5794" s="25"/>
      <c r="K5794" s="25"/>
      <c r="L5794" s="25"/>
      <c r="M5794" s="25"/>
      <c r="N5794" s="25"/>
      <c r="O5794" s="25"/>
    </row>
    <row r="5797" customFormat="false" ht="19.4" hidden="false" customHeight="false" outlineLevel="0" collapsed="false">
      <c r="A5797" s="31" t="s">
        <v>1246</v>
      </c>
    </row>
    <row r="5798" customFormat="false" ht="17.15" hidden="false" customHeight="false" outlineLevel="0" collapsed="false">
      <c r="A5798" s="6" t="s">
        <v>16</v>
      </c>
      <c r="B5798" s="6" t="s">
        <v>17</v>
      </c>
      <c r="C5798" s="20" t="s">
        <v>494</v>
      </c>
      <c r="D5798" s="20" t="s">
        <v>495</v>
      </c>
      <c r="E5798" s="20" t="s">
        <v>577</v>
      </c>
      <c r="F5798" s="20" t="s">
        <v>578</v>
      </c>
      <c r="G5798" s="20" t="s">
        <v>579</v>
      </c>
      <c r="H5798" s="20" t="s">
        <v>580</v>
      </c>
      <c r="I5798" s="20" t="s">
        <v>581</v>
      </c>
      <c r="J5798" s="20" t="s">
        <v>582</v>
      </c>
      <c r="K5798" s="20" t="s">
        <v>583</v>
      </c>
      <c r="L5798" s="20" t="s">
        <v>584</v>
      </c>
      <c r="M5798" s="20" t="s">
        <v>585</v>
      </c>
      <c r="N5798" s="20" t="s">
        <v>586</v>
      </c>
      <c r="O5798" s="20" t="s">
        <v>587</v>
      </c>
      <c r="P5798" s="6" t="s">
        <v>23</v>
      </c>
      <c r="R5798" s="20" t="n">
        <v>2023</v>
      </c>
      <c r="S5798" s="20" t="n">
        <v>2024</v>
      </c>
      <c r="T5798" s="20" t="n">
        <v>2025</v>
      </c>
      <c r="U5798" s="20" t="n">
        <v>2026</v>
      </c>
      <c r="V5798" s="20" t="n">
        <v>2027</v>
      </c>
      <c r="W5798" s="20" t="n">
        <v>2028</v>
      </c>
      <c r="X5798" s="20" t="n">
        <v>2029</v>
      </c>
      <c r="Y5798" s="20" t="n">
        <v>2030</v>
      </c>
      <c r="Z5798" s="20" t="n">
        <v>2031</v>
      </c>
      <c r="AA5798" s="20" t="n">
        <v>2032</v>
      </c>
    </row>
    <row r="5799" customFormat="false" ht="17.15" hidden="false" customHeight="false" outlineLevel="0" collapsed="false">
      <c r="A5799" s="1" t="s">
        <v>909</v>
      </c>
    </row>
    <row r="5800" customFormat="false" ht="17.15" hidden="false" customHeight="false" outlineLevel="0" collapsed="false">
      <c r="A5800" s="0" t="s">
        <v>910</v>
      </c>
      <c r="B5800" s="0" t="s">
        <v>86</v>
      </c>
      <c r="H5800" s="38" t="n">
        <f aca="false">Sens!$H$5734*(1-tax)</f>
        <v>117.433243423729</v>
      </c>
      <c r="I5800" s="38" t="n">
        <f aca="false">Sens!$I$5734*(1-tax)</f>
        <v>142.829109667048</v>
      </c>
      <c r="J5800" s="38" t="n">
        <f aca="false">Sens!$J$5734*(1-tax)</f>
        <v>166.999275189185</v>
      </c>
      <c r="K5800" s="38" t="n">
        <f aca="false">Sens!$K$5734*(1-tax)</f>
        <v>184.486324065858</v>
      </c>
      <c r="L5800" s="38" t="n">
        <f aca="false">Sens!$L$5734*(1-tax)</f>
        <v>200.372924021423</v>
      </c>
      <c r="M5800" s="38" t="n">
        <f aca="false">Sens!$M$5734*(1-tax)</f>
        <v>213.745944137255</v>
      </c>
    </row>
    <row r="5801" customFormat="false" ht="15" hidden="false" customHeight="false" outlineLevel="0" collapsed="false">
      <c r="A5801" s="5" t="s">
        <v>911</v>
      </c>
      <c r="B5801" s="0" t="s">
        <v>86</v>
      </c>
      <c r="H5801" s="38" t="n">
        <f aca="false">Sens!$H$5745</f>
        <v>84.3163410985152</v>
      </c>
      <c r="I5801" s="38" t="n">
        <f aca="false">Sens!$I$5745</f>
        <v>117.040344991004</v>
      </c>
      <c r="J5801" s="38" t="n">
        <f aca="false">Sens!$J$5745</f>
        <v>150.498981474685</v>
      </c>
      <c r="K5801" s="38" t="n">
        <f aca="false">Sens!$K$5745</f>
        <v>184.188121970284</v>
      </c>
      <c r="L5801" s="38" t="n">
        <f aca="false">Sens!$L$5745</f>
        <v>208.158787644162</v>
      </c>
      <c r="M5801" s="38" t="n">
        <f aca="false">Sens!$M$5745</f>
        <v>225.174143397813</v>
      </c>
    </row>
    <row r="5802" customFormat="false" ht="15" hidden="false" customHeight="false" outlineLevel="0" collapsed="false">
      <c r="A5802" s="5" t="s">
        <v>912</v>
      </c>
      <c r="B5802" s="0" t="s">
        <v>86</v>
      </c>
      <c r="H5802" s="38" t="n">
        <f aca="false">Sens!$H$5776</f>
        <v>273.372679834898</v>
      </c>
      <c r="I5802" s="38" t="n">
        <f aca="false">Sens!$I$5776</f>
        <v>286.981812228425</v>
      </c>
      <c r="J5802" s="38" t="n">
        <f aca="false">Sens!$J$5776</f>
        <v>299.316513378366</v>
      </c>
      <c r="K5802" s="38" t="n">
        <f aca="false">Sens!$K$5776</f>
        <v>253.835101823915</v>
      </c>
      <c r="L5802" s="38" t="n">
        <f aca="false">Sens!$L$5776</f>
        <v>240.252243483641</v>
      </c>
      <c r="M5802" s="38" t="n">
        <f aca="false">Sens!$M$5776</f>
        <v>250.62556497822</v>
      </c>
    </row>
    <row r="5803" customFormat="false" ht="15" hidden="false" customHeight="false" outlineLevel="0" collapsed="false">
      <c r="A5803" s="5" t="s">
        <v>913</v>
      </c>
      <c r="B5803" s="0" t="s">
        <v>86</v>
      </c>
      <c r="H5803" s="38" t="n">
        <f aca="false">Sens!$H$5777</f>
        <v>1.6</v>
      </c>
      <c r="I5803" s="38" t="n">
        <f aca="false">Sens!$I$5777</f>
        <v>1.6</v>
      </c>
      <c r="J5803" s="38" t="n">
        <f aca="false">Sens!$J$5777</f>
        <v>1.6</v>
      </c>
      <c r="K5803" s="38" t="n">
        <f aca="false">Sens!$K$5777</f>
        <v>1.6</v>
      </c>
      <c r="L5803" s="38" t="n">
        <f aca="false">Sens!$L$5777</f>
        <v>1.6</v>
      </c>
      <c r="M5803" s="38" t="n">
        <f aca="false">Sens!$M$5777</f>
        <v>1.6</v>
      </c>
    </row>
    <row r="5804" customFormat="false" ht="15" hidden="false" customHeight="false" outlineLevel="0" collapsed="false">
      <c r="A5804" s="5" t="s">
        <v>914</v>
      </c>
      <c r="B5804" s="0" t="s">
        <v>86</v>
      </c>
      <c r="H5804" s="38" t="n">
        <f aca="false">Sens!$H$5771</f>
        <v>11.2928295263397</v>
      </c>
      <c r="I5804" s="38" t="n">
        <f aca="false">Sens!$I$5771</f>
        <v>12.8091546115766</v>
      </c>
      <c r="J5804" s="38" t="n">
        <f aca="false">Sens!$J$5771</f>
        <v>14.2605653162668</v>
      </c>
      <c r="K5804" s="38" t="n">
        <f aca="false">Sens!$K$5771</f>
        <v>15.5361896109386</v>
      </c>
      <c r="L5804" s="38" t="n">
        <f aca="false">Sens!$L$5771</f>
        <v>16.7342012989106</v>
      </c>
      <c r="M5804" s="38" t="n">
        <f aca="false">Sens!$M$5771</f>
        <v>17.8589265647579</v>
      </c>
    </row>
    <row r="5805" customFormat="false" ht="17.15" hidden="false" customHeight="false" outlineLevel="0" collapsed="false">
      <c r="A5805" s="1" t="s">
        <v>915</v>
      </c>
      <c r="B5805" s="8" t="s">
        <v>86</v>
      </c>
      <c r="H5805" s="38" t="n">
        <f aca="false">Sens!$H$5800+Sens!$H$5801-Sens!$H$5802-Sens!$H$5803+Sens!$H$5804</f>
        <v>-61.930265786314</v>
      </c>
      <c r="I5805" s="38" t="n">
        <f aca="false">Sens!$I$5800+Sens!$I$5801-Sens!$I$5802-Sens!$I$5803+Sens!$I$5804</f>
        <v>-15.9032029587969</v>
      </c>
      <c r="J5805" s="38" t="n">
        <f aca="false">Sens!$J$5800+Sens!$J$5801-Sens!$J$5802-Sens!$J$5803+Sens!$J$5804</f>
        <v>30.8423086017711</v>
      </c>
      <c r="K5805" s="38" t="n">
        <f aca="false">Sens!$K$5800+Sens!$K$5801-Sens!$K$5802-Sens!$K$5803+Sens!$K$5804</f>
        <v>128.775533823166</v>
      </c>
      <c r="L5805" s="38" t="n">
        <f aca="false">Sens!$L$5800+Sens!$L$5801-Sens!$L$5802-Sens!$L$5803+Sens!$L$5804</f>
        <v>183.413669480855</v>
      </c>
      <c r="M5805" s="38" t="n">
        <f aca="false">Sens!$M$5800+Sens!$M$5801-Sens!$M$5802-Sens!$M$5803+Sens!$M$5804</f>
        <v>204.553449121607</v>
      </c>
    </row>
    <row r="5806" customFormat="false" ht="15" hidden="false" customHeight="false" outlineLevel="0" collapsed="false">
      <c r="A5806" s="5" t="s">
        <v>916</v>
      </c>
      <c r="B5806" s="0" t="s">
        <v>57</v>
      </c>
      <c r="H5806" s="40" t="n">
        <f aca="false">1/(1+wacc)^(2027-2026-0.5)</f>
        <v>0.947751320380232</v>
      </c>
      <c r="I5806" s="40" t="n">
        <f aca="false">1/(1+wacc)^(2028-2026-0.5)</f>
        <v>0.851301099754987</v>
      </c>
      <c r="J5806" s="40" t="n">
        <f aca="false">1/(1+wacc)^(2029-2026-0.5)</f>
        <v>0.764666370660713</v>
      </c>
      <c r="K5806" s="40" t="n">
        <f aca="false">1/(1+wacc)^(2030-2026-0.5)</f>
        <v>0.686848235703811</v>
      </c>
      <c r="L5806" s="40" t="n">
        <f aca="false">1/(1+wacc)^(2031-2026-0.5)</f>
        <v>0.616949452715975</v>
      </c>
      <c r="M5806" s="40" t="n">
        <f aca="false">1/(1+wacc)^(2032-2026-0.5)</f>
        <v>0.554164089562688</v>
      </c>
    </row>
    <row r="5807" customFormat="false" ht="15" hidden="false" customHeight="false" outlineLevel="0" collapsed="false">
      <c r="A5807" s="5" t="s">
        <v>917</v>
      </c>
      <c r="B5807" s="0" t="s">
        <v>86</v>
      </c>
      <c r="H5807" s="38" t="n">
        <f aca="false">Sens!$H$5805*Sens!$H$5806</f>
        <v>-58.6944911704778</v>
      </c>
      <c r="I5807" s="38" t="n">
        <f aca="false">Sens!$I$5805*Sens!$I$5806</f>
        <v>-13.5384141684505</v>
      </c>
      <c r="J5807" s="38" t="n">
        <f aca="false">Sens!$J$5805*Sens!$J$5806</f>
        <v>23.584076181314</v>
      </c>
      <c r="K5807" s="38" t="n">
        <f aca="false">Sens!$K$5805*Sens!$K$5806</f>
        <v>88.4492482082578</v>
      </c>
      <c r="L5807" s="38" t="n">
        <f aca="false">Sens!$L$5805*Sens!$L$5806</f>
        <v>113.156963006842</v>
      </c>
      <c r="M5807" s="38" t="n">
        <f aca="false">Sens!$M$5805*Sens!$M$5806</f>
        <v>113.356175899383</v>
      </c>
    </row>
    <row r="5808" customFormat="false" ht="15" hidden="false" customHeight="false" outlineLevel="0" collapsed="false">
      <c r="A5808" s="5" t="s">
        <v>918</v>
      </c>
      <c r="B5808" s="0" t="s">
        <v>86</v>
      </c>
      <c r="C5808" s="38" t="n">
        <f aca="false">SUM(Sens!$H$5807:$M$5807)</f>
        <v>266.313557956868</v>
      </c>
    </row>
    <row r="5809" customFormat="false" ht="17.15" hidden="false" customHeight="false" outlineLevel="0" collapsed="false">
      <c r="A5809" s="5" t="s">
        <v>919</v>
      </c>
      <c r="B5809" s="0" t="s">
        <v>86</v>
      </c>
      <c r="C5809" s="38" t="n">
        <f aca="false">Sens!$M$5800*(1+tg_hi)*(1-tg_hi/ronic)/(wacc-tg_hi)</f>
        <v>1962.05506195773</v>
      </c>
    </row>
    <row r="5810" customFormat="false" ht="15" hidden="false" customHeight="false" outlineLevel="0" collapsed="false">
      <c r="A5810" s="5" t="s">
        <v>920</v>
      </c>
      <c r="B5810" s="0" t="s">
        <v>86</v>
      </c>
      <c r="C5810" s="38" t="n">
        <f aca="false">Sens!$C$5809/(1+wacc)^6</f>
        <v>1030.49044384918</v>
      </c>
    </row>
    <row r="5811" customFormat="false" ht="17.15" hidden="false" customHeight="false" outlineLevel="0" collapsed="false">
      <c r="A5811" s="5" t="s">
        <v>921</v>
      </c>
      <c r="B5811" s="0" t="s">
        <v>86</v>
      </c>
      <c r="C5811" s="38" t="n">
        <f aca="false">Sens!$C$5808+Sens!$C$5810</f>
        <v>1296.80400180605</v>
      </c>
    </row>
    <row r="5812" customFormat="false" ht="17.15" hidden="false" customHeight="false" outlineLevel="0" collapsed="false">
      <c r="A5812" s="5" t="s">
        <v>922</v>
      </c>
      <c r="B5812" s="0" t="s">
        <v>52</v>
      </c>
      <c r="C5812" s="13" t="n">
        <f aca="false">Sens!$C$5810/Sens!$C$5811</f>
        <v>0.794638544000501</v>
      </c>
    </row>
    <row r="5813" customFormat="false" ht="17.15" hidden="false" customHeight="false" outlineLevel="0" collapsed="false">
      <c r="A5813" s="5" t="s">
        <v>923</v>
      </c>
      <c r="B5813" s="0" t="s">
        <v>86</v>
      </c>
      <c r="C5813" s="38" t="n">
        <f aca="false">Sens!$G$5789+fin_debt</f>
        <v>96.5114130116072</v>
      </c>
    </row>
    <row r="5814" customFormat="false" ht="17.15" hidden="false" customHeight="false" outlineLevel="0" collapsed="false">
      <c r="A5814" s="5" t="s">
        <v>924</v>
      </c>
      <c r="B5814" s="0" t="s">
        <v>86</v>
      </c>
      <c r="C5814" s="38" t="n">
        <f aca="false">(ant_val*ant_sh+oai_val*oai_sh)*(1-liq_disc)</f>
        <v>178.944</v>
      </c>
    </row>
    <row r="5815" customFormat="false" ht="15" hidden="false" customHeight="false" outlineLevel="0" collapsed="false">
      <c r="A5815" s="5" t="s">
        <v>925</v>
      </c>
      <c r="B5815" s="0" t="s">
        <v>86</v>
      </c>
      <c r="C5815" s="38" t="n">
        <f aca="false">Sens!$C$5811-Sens!$C$5813+Sens!$C$5814</f>
        <v>1379.23658879445</v>
      </c>
    </row>
    <row r="5816" customFormat="false" ht="17.15" hidden="false" customHeight="false" outlineLevel="0" collapsed="false">
      <c r="A5816" s="5" t="s">
        <v>926</v>
      </c>
      <c r="B5816" s="0" t="s">
        <v>27</v>
      </c>
      <c r="C5816" s="30" t="n">
        <f aca="false">Sens!$C$5815/sh_out</f>
        <v>127.869130158314</v>
      </c>
    </row>
    <row r="5817" customFormat="false" ht="17.15" hidden="false" customHeight="false" outlineLevel="0" collapsed="false">
      <c r="A5817" s="1" t="s">
        <v>927</v>
      </c>
      <c r="B5817" s="8" t="s">
        <v>27</v>
      </c>
      <c r="C5817" s="30" t="n">
        <f aca="false">Sens!$C$5816*(1+ke)^tp_yf-dps*tp_yf</f>
        <v>140.063861601228</v>
      </c>
    </row>
    <row r="5818" customFormat="false" ht="17.15" hidden="false" customHeight="false" outlineLevel="0" collapsed="false">
      <c r="A5818" s="3" t="s">
        <v>928</v>
      </c>
    </row>
    <row r="5819" customFormat="false" ht="17.15" hidden="false" customHeight="false" outlineLevel="0" collapsed="false">
      <c r="A5819" s="5" t="s">
        <v>929</v>
      </c>
      <c r="B5819" s="0" t="s">
        <v>86</v>
      </c>
      <c r="C5819" s="38" t="n">
        <f aca="false">(1-tp_yf)*(Sens!$H$5746+Sens!$H$5770*Sens!$H$5612/Sens!$H$5687)+tp_yf*(Sens!$I$5746+Sens!$I$5770*Sens!$I$5612/Sens!$I$5687)</f>
        <v>59.634664536349</v>
      </c>
    </row>
    <row r="5820" customFormat="false" ht="15" hidden="false" customHeight="false" outlineLevel="0" collapsed="false">
      <c r="A5820" s="5" t="s">
        <v>930</v>
      </c>
      <c r="B5820" s="0" t="s">
        <v>57</v>
      </c>
      <c r="C5820" s="30" t="n">
        <f aca="false">m_ads*m_x</f>
        <v>9.11</v>
      </c>
    </row>
    <row r="5821" customFormat="false" ht="17.15" hidden="false" customHeight="false" outlineLevel="0" collapsed="false">
      <c r="A5821" s="5" t="s">
        <v>931</v>
      </c>
      <c r="B5821" s="0" t="s">
        <v>86</v>
      </c>
      <c r="C5821" s="38" t="n">
        <f aca="false">Sens!$C$5819*Sens!$C$5820</f>
        <v>543.271793926139</v>
      </c>
    </row>
    <row r="5822" customFormat="false" ht="17.15" hidden="false" customHeight="false" outlineLevel="0" collapsed="false">
      <c r="A5822" s="5" t="s">
        <v>932</v>
      </c>
      <c r="B5822" s="0" t="s">
        <v>86</v>
      </c>
      <c r="C5822" s="38" t="n">
        <f aca="false">(1-tp_yf)*(Sens!$H$5747+Sens!$H$5770*(Sens!$H$5619-Sens!$H$5612)/Sens!$H$5687+IF(internal_ai_reading=2,1,0)*(1-ext_sh)*Sens!$H$5649)+tp_yf*(Sens!$I$5747+Sens!$I$5770*(Sens!$I$5619-Sens!$I$5612)/Sens!$I$5687+IF(internal_ai_reading=2,1,0)*(1-ext_sh)*Sens!$I$5649)</f>
        <v>51.7770728324773</v>
      </c>
    </row>
    <row r="5823" customFormat="false" ht="17.15" hidden="false" customHeight="false" outlineLevel="0" collapsed="false">
      <c r="A5823" s="5" t="s">
        <v>933</v>
      </c>
      <c r="B5823" s="0" t="s">
        <v>57</v>
      </c>
      <c r="C5823" s="30" t="n">
        <f aca="false">m_retail*m_x</f>
        <v>17.72</v>
      </c>
    </row>
    <row r="5824" customFormat="false" ht="17.15" hidden="false" customHeight="false" outlineLevel="0" collapsed="false">
      <c r="A5824" s="5" t="s">
        <v>934</v>
      </c>
      <c r="B5824" s="0" t="s">
        <v>86</v>
      </c>
      <c r="C5824" s="38" t="n">
        <f aca="false">Sens!$C$5822*Sens!$C$5823</f>
        <v>917.489730591498</v>
      </c>
    </row>
    <row r="5825" customFormat="false" ht="17.15" hidden="false" customHeight="false" outlineLevel="0" collapsed="false">
      <c r="A5825" s="0" t="s">
        <v>935</v>
      </c>
      <c r="B5825" s="0" t="s">
        <v>86</v>
      </c>
      <c r="C5825" s="38" t="n">
        <f aca="false">(1-tp_yf)*(Sens!$H$5748+Sens!$H$5770*Sens!$H$5685/Sens!$H$5687)+tp_yf*(Sens!$I$5748+Sens!$I$5770*Sens!$I$5685/Sens!$I$5687)</f>
        <v>97.3363031479074</v>
      </c>
    </row>
    <row r="5826" customFormat="false" ht="17.15" hidden="false" customHeight="false" outlineLevel="0" collapsed="false">
      <c r="A5826" s="0" t="s">
        <v>936</v>
      </c>
      <c r="B5826" s="0" t="s">
        <v>57</v>
      </c>
      <c r="C5826" s="30" t="n">
        <f aca="false">m_cloud*m_x</f>
        <v>13.82</v>
      </c>
    </row>
    <row r="5827" customFormat="false" ht="17.15" hidden="false" customHeight="false" outlineLevel="0" collapsed="false">
      <c r="A5827" s="0" t="s">
        <v>937</v>
      </c>
      <c r="B5827" s="0" t="s">
        <v>86</v>
      </c>
      <c r="C5827" s="38" t="n">
        <f aca="false">Sens!$C$5825*Sens!$C$5826</f>
        <v>1345.18770950408</v>
      </c>
    </row>
    <row r="5828" customFormat="false" ht="17.15" hidden="false" customHeight="false" outlineLevel="0" collapsed="false">
      <c r="A5828" s="0" t="s">
        <v>938</v>
      </c>
      <c r="B5828" s="0" t="s">
        <v>86</v>
      </c>
      <c r="H5828" s="38" t="n">
        <f aca="false">Sens!$H$5666-tax*Sens!$H$5667-ext_sh*Sens!$H$5656</f>
        <v>-114.686944664267</v>
      </c>
      <c r="I5828" s="38" t="n">
        <f aca="false">Sens!$I$5666-tax*Sens!$I$5667-ext_sh*Sens!$I$5656</f>
        <v>-88.3950641557111</v>
      </c>
      <c r="J5828" s="38" t="n">
        <f aca="false">Sens!$J$5666-tax*Sens!$J$5667-ext_sh*Sens!$J$5656</f>
        <v>-61.1526151740695</v>
      </c>
      <c r="K5828" s="38" t="n">
        <f aca="false">Sens!$K$5666-tax*Sens!$K$5667-ext_sh*Sens!$K$5656</f>
        <v>8.02481477859368</v>
      </c>
      <c r="L5828" s="38" t="n">
        <f aca="false">Sens!$L$5666-tax*Sens!$L$5667-ext_sh*Sens!$L$5656</f>
        <v>43.0206498796486</v>
      </c>
      <c r="M5828" s="38" t="n">
        <f aca="false">Sens!$M$5666-tax*Sens!$M$5667-ext_sh*Sens!$M$5656</f>
        <v>50.576907834189</v>
      </c>
    </row>
    <row r="5829" customFormat="false" ht="17.15" hidden="false" customHeight="false" outlineLevel="0" collapsed="false">
      <c r="A5829" s="5" t="s">
        <v>939</v>
      </c>
      <c r="B5829" s="0" t="s">
        <v>86</v>
      </c>
      <c r="H5829" s="38" t="n">
        <f aca="false">Sens!$H$5828*Sens!$H$5806</f>
        <v>-108.694703235934</v>
      </c>
      <c r="I5829" s="38" t="n">
        <f aca="false">Sens!$I$5828*Sens!$I$5806</f>
        <v>-75.2508153286695</v>
      </c>
      <c r="J5829" s="38" t="n">
        <f aca="false">Sens!$J$5828*Sens!$J$5806</f>
        <v>-46.761348301567</v>
      </c>
      <c r="K5829" s="38" t="n">
        <f aca="false">Sens!$K$5828*Sens!$K$5806</f>
        <v>5.51182987252694</v>
      </c>
      <c r="L5829" s="38" t="n">
        <f aca="false">Sens!$L$5828*Sens!$L$5806</f>
        <v>26.5415663987348</v>
      </c>
      <c r="M5829" s="38" t="n">
        <f aca="false">Sens!$M$5828*Sens!$M$5806</f>
        <v>28.0279060828293</v>
      </c>
    </row>
    <row r="5830" customFormat="false" ht="17.15" hidden="false" customHeight="false" outlineLevel="0" collapsed="false">
      <c r="A5830" s="5" t="s">
        <v>940</v>
      </c>
      <c r="B5830" s="0" t="s">
        <v>86</v>
      </c>
      <c r="C5830" s="38" t="n">
        <f aca="false">Sens!$M$5667*(1-tax)*(1+tg_hi)*(1-tg_hi/ronic)/(wacc-tg_hi)</f>
        <v>375.563068515301</v>
      </c>
    </row>
    <row r="5831" customFormat="false" ht="17.15" hidden="false" customHeight="false" outlineLevel="0" collapsed="false">
      <c r="A5831" s="0" t="s">
        <v>941</v>
      </c>
      <c r="B5831" s="0" t="s">
        <v>86</v>
      </c>
      <c r="C5831" s="38" t="n">
        <f aca="false">(SUM(Sens!$H$5829:$M$5829)+Sens!$C$5830/(1+wacc)^6)*(1+wacc)^tp_yf</f>
        <v>29.0790989512689</v>
      </c>
    </row>
    <row r="5832" customFormat="false" ht="17.15" hidden="false" customHeight="false" outlineLevel="0" collapsed="false">
      <c r="A5832" s="5" t="s">
        <v>942</v>
      </c>
      <c r="B5832" s="0" t="s">
        <v>86</v>
      </c>
      <c r="C5832" s="38" t="n">
        <f aca="false">(1-tp_yf)*(Sens!$H$5749)+tp_yf*(Sens!$I$5749)</f>
        <v>74.6707041238437</v>
      </c>
    </row>
    <row r="5833" customFormat="false" ht="17.15" hidden="false" customHeight="false" outlineLevel="0" collapsed="false">
      <c r="A5833" s="5" t="s">
        <v>943</v>
      </c>
      <c r="B5833" s="0" t="s">
        <v>86</v>
      </c>
      <c r="C5833" s="38" t="n">
        <f aca="false">Sens!$C$5832*m_ai</f>
        <v>448.024224743062</v>
      </c>
    </row>
    <row r="5834" customFormat="false" ht="17.15" hidden="false" customHeight="false" outlineLevel="0" collapsed="false">
      <c r="A5834" s="0" t="s">
        <v>944</v>
      </c>
      <c r="B5834" s="0" t="s">
        <v>86</v>
      </c>
      <c r="C5834" s="38" t="n">
        <f aca="false">IF(ai_leg=1,Sens!$C$5831,Sens!$C$5833)</f>
        <v>29.0790989512689</v>
      </c>
    </row>
    <row r="5835" customFormat="false" ht="17.15" hidden="false" customHeight="false" outlineLevel="0" collapsed="false">
      <c r="A5835" s="5" t="s">
        <v>945</v>
      </c>
      <c r="B5835" s="0" t="s">
        <v>86</v>
      </c>
      <c r="C5835" s="38" t="n">
        <f aca="false">Sens!$C$5821+Sens!$C$5824+Sens!$C$5827+Sens!$C$5834</f>
        <v>2835.02833297299</v>
      </c>
    </row>
    <row r="5836" customFormat="false" ht="17.15" hidden="false" customHeight="false" outlineLevel="0" collapsed="false">
      <c r="A5836" s="5" t="s">
        <v>946</v>
      </c>
      <c r="B5836" s="0" t="s">
        <v>86</v>
      </c>
      <c r="C5836" s="38" t="n">
        <f aca="false">Sens!$H$5789+fin_debt</f>
        <v>150.504277655109</v>
      </c>
    </row>
    <row r="5837" customFormat="false" ht="15" hidden="false" customHeight="false" outlineLevel="0" collapsed="false">
      <c r="A5837" s="5" t="s">
        <v>947</v>
      </c>
      <c r="B5837" s="0" t="s">
        <v>86</v>
      </c>
      <c r="C5837" s="38" t="n">
        <f aca="false">Sens!$C$5835-Sens!$C$5836+Sens!$C$5814</f>
        <v>2863.46805531788</v>
      </c>
    </row>
    <row r="5838" customFormat="false" ht="15" hidden="false" customHeight="false" outlineLevel="0" collapsed="false">
      <c r="A5838" s="3" t="s">
        <v>948</v>
      </c>
      <c r="B5838" s="8" t="s">
        <v>27</v>
      </c>
      <c r="C5838" s="30" t="n">
        <f aca="false">Sens!$C$5837/sh_val</f>
        <v>259.599867720708</v>
      </c>
    </row>
    <row r="5839" customFormat="false" ht="17.15" hidden="false" customHeight="false" outlineLevel="0" collapsed="false">
      <c r="A5839" s="47" t="s">
        <v>949</v>
      </c>
      <c r="B5839" s="14" t="s">
        <v>27</v>
      </c>
      <c r="C5839" s="44" t="n">
        <f aca="false">w_dcf*Sens!$C$5817+(1-w_dcf)*Sens!$C$5838</f>
        <v>199.831864660968</v>
      </c>
      <c r="D5839" s="14"/>
      <c r="E5839" s="14"/>
      <c r="F5839" s="14"/>
      <c r="G5839" s="14"/>
      <c r="H5839" s="14"/>
      <c r="I5839" s="14"/>
      <c r="J5839" s="14"/>
      <c r="K5839" s="14"/>
      <c r="L5839" s="14"/>
      <c r="M5839" s="14"/>
      <c r="N5839" s="14"/>
      <c r="O5839" s="14"/>
    </row>
    <row r="5840" customFormat="false" ht="17.15" hidden="false" customHeight="false" outlineLevel="0" collapsed="false">
      <c r="A5840" s="5" t="s">
        <v>950</v>
      </c>
      <c r="B5840" s="0" t="s">
        <v>27</v>
      </c>
      <c r="C5840" s="30" t="n">
        <f aca="false">v022_wdcf*Sens!$C$5817+(1-v022_wdcf)*Sens!$C$5838</f>
        <v>205.808664966942</v>
      </c>
    </row>
    <row r="5841" customFormat="false" ht="17.15" hidden="false" customHeight="false" outlineLevel="0" collapsed="false">
      <c r="A5841" s="5" t="s">
        <v>951</v>
      </c>
      <c r="B5841" s="0" t="s">
        <v>27</v>
      </c>
      <c r="C5841" s="30" t="n">
        <f aca="false">(Sens!$C$5837-Sens!$C$5834+Sens!$C$5833)/sh_val</f>
        <v>297.581118824874</v>
      </c>
    </row>
    <row r="5844" customFormat="false" ht="19.4" hidden="false" customHeight="false" outlineLevel="0" collapsed="false">
      <c r="A5844" s="31" t="s">
        <v>1247</v>
      </c>
    </row>
    <row r="5845" customFormat="false" ht="17.15" hidden="false" customHeight="false" outlineLevel="0" collapsed="false">
      <c r="A5845" s="6" t="s">
        <v>16</v>
      </c>
      <c r="B5845" s="6" t="s">
        <v>17</v>
      </c>
      <c r="C5845" s="20" t="s">
        <v>494</v>
      </c>
      <c r="D5845" s="20" t="s">
        <v>495</v>
      </c>
      <c r="E5845" s="20" t="s">
        <v>577</v>
      </c>
      <c r="F5845" s="20" t="s">
        <v>578</v>
      </c>
      <c r="G5845" s="20" t="s">
        <v>579</v>
      </c>
      <c r="H5845" s="20" t="s">
        <v>580</v>
      </c>
      <c r="I5845" s="20" t="s">
        <v>581</v>
      </c>
      <c r="J5845" s="20" t="s">
        <v>582</v>
      </c>
      <c r="K5845" s="20" t="s">
        <v>583</v>
      </c>
      <c r="L5845" s="20" t="s">
        <v>584</v>
      </c>
      <c r="M5845" s="20" t="s">
        <v>585</v>
      </c>
      <c r="N5845" s="20" t="s">
        <v>586</v>
      </c>
      <c r="O5845" s="20" t="s">
        <v>587</v>
      </c>
      <c r="P5845" s="6" t="s">
        <v>23</v>
      </c>
      <c r="R5845" s="20" t="n">
        <v>2023</v>
      </c>
      <c r="S5845" s="20" t="n">
        <v>2024</v>
      </c>
      <c r="T5845" s="20" t="n">
        <v>2025</v>
      </c>
      <c r="U5845" s="20" t="n">
        <v>2026</v>
      </c>
      <c r="V5845" s="20" t="n">
        <v>2027</v>
      </c>
      <c r="W5845" s="20" t="n">
        <v>2028</v>
      </c>
      <c r="X5845" s="20" t="n">
        <v>2029</v>
      </c>
      <c r="Y5845" s="20" t="n">
        <v>2030</v>
      </c>
      <c r="Z5845" s="20" t="n">
        <v>2031</v>
      </c>
      <c r="AA5845" s="20" t="n">
        <v>2032</v>
      </c>
    </row>
    <row r="5846" customFormat="false" ht="17.15" hidden="false" customHeight="false" outlineLevel="0" collapsed="false">
      <c r="A5846" s="1" t="s">
        <v>660</v>
      </c>
    </row>
    <row r="5847" customFormat="false" ht="17.15" hidden="false" customHeight="false" outlineLevel="0" collapsed="false">
      <c r="A5847" s="0" t="s">
        <v>516</v>
      </c>
      <c r="B5847" s="0" t="s">
        <v>86</v>
      </c>
      <c r="C5847" s="38" t="n">
        <f aca="false">Q!$D$10</f>
        <v>247.029</v>
      </c>
      <c r="D5847" s="38" t="n">
        <f aca="false">Q!$E$10</f>
        <v>269.287</v>
      </c>
      <c r="E5847" s="38" t="n">
        <f aca="false">Q!$P$10</f>
        <v>134.686</v>
      </c>
      <c r="F5847" s="38" t="n">
        <f aca="false">Sens!$O$5847*(1+Sens!$F$5848)*Sens!$F$5859</f>
        <v>158.293876822267</v>
      </c>
      <c r="G5847" s="38" t="n">
        <f aca="false">Sens!$E$5847+Sens!$F$5847</f>
        <v>292.979876822267</v>
      </c>
      <c r="H5847" s="38" t="n">
        <f aca="false">Sens!$G$5847*(1+Sens!$H$5848)</f>
        <v>318.184543087396</v>
      </c>
      <c r="I5847" s="38" t="n">
        <f aca="false">Sens!$H$5847*(1+Sens!$I$5848)</f>
        <v>341.736278761793</v>
      </c>
      <c r="J5847" s="38" t="n">
        <f aca="false">Sens!$I$5847*(1+Sens!$J$5848)</f>
        <v>362.927192787048</v>
      </c>
      <c r="K5847" s="38" t="n">
        <f aca="false">Sens!$J$5847*(1+Sens!$K$5848)</f>
        <v>381.0735524264</v>
      </c>
      <c r="L5847" s="38" t="n">
        <f aca="false">Sens!$K$5847*(1+Sens!$L$5848)</f>
        <v>400.12723004772</v>
      </c>
      <c r="M5847" s="38" t="n">
        <f aca="false">Sens!$L$5847*(1+Sens!$M$5848)</f>
        <v>420.133591550106</v>
      </c>
      <c r="N5847" s="38" t="n">
        <f aca="false">Q!$N$10</f>
        <v>118.892</v>
      </c>
      <c r="O5847" s="38" t="n">
        <f aca="false">Q!$O$10</f>
        <v>150.395</v>
      </c>
      <c r="P5847" s="8" t="s">
        <v>661</v>
      </c>
    </row>
    <row r="5848" customFormat="false" ht="17.15" hidden="false" customHeight="false" outlineLevel="0" collapsed="false">
      <c r="A5848" s="0" t="s">
        <v>662</v>
      </c>
      <c r="B5848" s="0" t="s">
        <v>52</v>
      </c>
      <c r="E5848" s="13" t="n">
        <f aca="false">Sens!$E$5847/Sens!$N$5847-1</f>
        <v>0.132843252699929</v>
      </c>
      <c r="F5848" s="13" t="n">
        <f aca="false">Sens!$O$5847/(Q!$F$10+Q!$G$10)-1</f>
        <v>0.0980382135842941</v>
      </c>
      <c r="G5848" s="13" t="n">
        <f aca="false">Sens!$G$5847/Sens!$D$5847-1</f>
        <v>0.0879837378791657</v>
      </c>
      <c r="H5848" s="13" t="n">
        <f aca="false">Sens!$F$5848+(g_os-Sens!$F$5848)*1/4</f>
        <v>0.0860286601882206</v>
      </c>
      <c r="I5848" s="13" t="n">
        <f aca="false">Sens!$F$5848+(g_os-Sens!$F$5848)*2/4</f>
        <v>0.074019106792147</v>
      </c>
      <c r="J5848" s="13" t="n">
        <f aca="false">Sens!$F$5848+(g_os-Sens!$F$5848)*3/4</f>
        <v>0.0620095533960735</v>
      </c>
      <c r="K5848" s="13" t="n">
        <f aca="false">Sens!$F$5848+(g_os-Sens!$F$5848)*4/4</f>
        <v>0.05</v>
      </c>
      <c r="L5848" s="13" t="n">
        <f aca="false">g_os</f>
        <v>0.05</v>
      </c>
      <c r="M5848" s="13" t="n">
        <f aca="false">g_os</f>
        <v>0.05</v>
      </c>
      <c r="P5848" s="8" t="s">
        <v>663</v>
      </c>
    </row>
    <row r="5849" customFormat="false" ht="17.15" hidden="false" customHeight="false" outlineLevel="0" collapsed="false">
      <c r="A5849" s="0" t="s">
        <v>517</v>
      </c>
      <c r="B5849" s="0" t="s">
        <v>86</v>
      </c>
      <c r="C5849" s="38" t="n">
        <f aca="false">Q!$D$11</f>
        <v>21.215</v>
      </c>
      <c r="D5849" s="38" t="n">
        <f aca="false">Q!$E$11</f>
        <v>22.561</v>
      </c>
      <c r="E5849" s="38" t="n">
        <f aca="false">Q!$P$11</f>
        <v>11.579</v>
      </c>
      <c r="F5849" s="38" t="n">
        <f aca="false">Sens!$O$5849*(1+Sens!$F$5850)*Sens!$F$5859</f>
        <v>11.5938724610325</v>
      </c>
      <c r="G5849" s="38" t="n">
        <f aca="false">Sens!$E$5849+Sens!$F$5849</f>
        <v>23.1728724610325</v>
      </c>
      <c r="H5849" s="38" t="n">
        <f aca="false">Sens!$G$5849*(1+Sens!$H$5850)</f>
        <v>24.353392759506</v>
      </c>
      <c r="I5849" s="38" t="n">
        <f aca="false">Sens!$H$5849*(1+Sens!$I$5850)</f>
        <v>25.4240338872015</v>
      </c>
      <c r="J5849" s="38" t="n">
        <f aca="false">Sens!$I$5849*(1+Sens!$J$5850)</f>
        <v>26.3642491017174</v>
      </c>
      <c r="K5849" s="38" t="n">
        <f aca="false">Sens!$J$5849*(1+Sens!$K$5850)</f>
        <v>27.155176574769</v>
      </c>
      <c r="L5849" s="38" t="n">
        <f aca="false">Sens!$K$5849*(1+Sens!$L$5850)</f>
        <v>27.969831872012</v>
      </c>
      <c r="M5849" s="38" t="n">
        <f aca="false">Sens!$L$5849*(1+Sens!$M$5850)</f>
        <v>28.8089268281724</v>
      </c>
      <c r="N5849" s="38" t="n">
        <f aca="false">Q!$N$11</f>
        <v>11.128</v>
      </c>
      <c r="O5849" s="38" t="n">
        <f aca="false">Q!$O$11</f>
        <v>11.433</v>
      </c>
      <c r="P5849" s="8" t="s">
        <v>661</v>
      </c>
    </row>
    <row r="5850" customFormat="false" ht="17.15" hidden="false" customHeight="false" outlineLevel="0" collapsed="false">
      <c r="A5850" s="0" t="s">
        <v>664</v>
      </c>
      <c r="B5850" s="0" t="s">
        <v>52</v>
      </c>
      <c r="E5850" s="13" t="n">
        <f aca="false">Sens!$E$5849/Sens!$N$5849-1</f>
        <v>0.0405283968368082</v>
      </c>
      <c r="F5850" s="13" t="n">
        <f aca="false">Sens!$O$5849/(Q!$F$11+Q!$G$11)-1</f>
        <v>0.0579254187100955</v>
      </c>
      <c r="G5850" s="13" t="n">
        <f aca="false">Sens!$G$5849/Sens!$D$5849-1</f>
        <v>0.0271208040881397</v>
      </c>
      <c r="H5850" s="13" t="n">
        <f aca="false">Sens!$F$5850+(g_ps-Sens!$F$5850)*1/4</f>
        <v>0.0509440640325716</v>
      </c>
      <c r="I5850" s="13" t="n">
        <f aca="false">Sens!$F$5850+(g_ps-Sens!$F$5850)*2/4</f>
        <v>0.0439627093550477</v>
      </c>
      <c r="J5850" s="13" t="n">
        <f aca="false">Sens!$F$5850+(g_ps-Sens!$F$5850)*3/4</f>
        <v>0.0369813546775239</v>
      </c>
      <c r="K5850" s="13" t="n">
        <f aca="false">Sens!$F$5850+(g_ps-Sens!$F$5850)*4/4</f>
        <v>0.03</v>
      </c>
      <c r="L5850" s="13" t="n">
        <f aca="false">g_ps</f>
        <v>0.03</v>
      </c>
      <c r="M5850" s="13" t="n">
        <f aca="false">g_ps</f>
        <v>0.03</v>
      </c>
      <c r="P5850" s="8" t="s">
        <v>665</v>
      </c>
    </row>
    <row r="5851" customFormat="false" ht="17.15" hidden="false" customHeight="false" outlineLevel="0" collapsed="false">
      <c r="A5851" s="0" t="s">
        <v>518</v>
      </c>
      <c r="B5851" s="0" t="s">
        <v>86</v>
      </c>
      <c r="C5851" s="38" t="n">
        <f aca="false">Q!$D$12</f>
        <v>156.146</v>
      </c>
      <c r="D5851" s="38" t="n">
        <f aca="false">Q!$E$12</f>
        <v>172.162</v>
      </c>
      <c r="E5851" s="38" t="n">
        <f aca="false">Q!$P$12</f>
        <v>88.358</v>
      </c>
      <c r="F5851" s="38" t="n">
        <f aca="false">Sens!$O$5851*(1+Sens!$F$5852)*Sens!$F$5859</f>
        <v>102.004388260171</v>
      </c>
      <c r="G5851" s="38" t="n">
        <f aca="false">Sens!$E$5851+Sens!$F$5851</f>
        <v>190.362388260171</v>
      </c>
      <c r="H5851" s="38" t="n">
        <f aca="false">Sens!$G$5851*(1+Sens!$H$5852)</f>
        <v>210.343106588311</v>
      </c>
      <c r="I5851" s="38" t="n">
        <f aca="false">Sens!$H$5851*(1+Sens!$I$5852)</f>
        <v>229.969728494648</v>
      </c>
      <c r="J5851" s="38" t="n">
        <f aca="false">Sens!$I$5851*(1+Sens!$J$5852)</f>
        <v>248.747636972598</v>
      </c>
      <c r="K5851" s="38" t="n">
        <f aca="false">Sens!$J$5851*(1+Sens!$K$5852)</f>
        <v>266.15997156068</v>
      </c>
      <c r="L5851" s="38" t="n">
        <f aca="false">Sens!$K$5851*(1+Sens!$L$5852)</f>
        <v>284.791169569927</v>
      </c>
      <c r="M5851" s="38" t="n">
        <f aca="false">Sens!$L$5851*(1+Sens!$M$5852)</f>
        <v>304.726551439822</v>
      </c>
      <c r="N5851" s="38" t="n">
        <f aca="false">Q!$N$12</f>
        <v>76.86</v>
      </c>
      <c r="O5851" s="38" t="n">
        <f aca="false">Q!$O$12</f>
        <v>95.302</v>
      </c>
      <c r="P5851" s="8" t="s">
        <v>661</v>
      </c>
    </row>
    <row r="5852" customFormat="false" ht="17.15" hidden="false" customHeight="false" outlineLevel="0" collapsed="false">
      <c r="A5852" s="0" t="s">
        <v>666</v>
      </c>
      <c r="B5852" s="0" t="s">
        <v>52</v>
      </c>
      <c r="E5852" s="13" t="n">
        <f aca="false">Sens!$E$5851/Sens!$N$5851-1</f>
        <v>0.1495966692688</v>
      </c>
      <c r="F5852" s="13" t="n">
        <f aca="false">Sens!$O$5851/(Q!$F$12+Q!$G$12)-1</f>
        <v>0.11661530890813</v>
      </c>
      <c r="G5852" s="13" t="n">
        <f aca="false">Sens!$G$5851/Sens!$D$5851-1</f>
        <v>0.105716640490767</v>
      </c>
      <c r="H5852" s="13" t="n">
        <f aca="false">Sens!$F$5852+(g_sp-Sens!$F$5852)*1/4</f>
        <v>0.104961481681098</v>
      </c>
      <c r="I5852" s="13" t="n">
        <f aca="false">Sens!$F$5852+(g_sp-Sens!$F$5852)*2/4</f>
        <v>0.0933076544540651</v>
      </c>
      <c r="J5852" s="13" t="n">
        <f aca="false">Sens!$F$5852+(g_sp-Sens!$F$5852)*3/4</f>
        <v>0.0816538272270325</v>
      </c>
      <c r="K5852" s="13" t="n">
        <f aca="false">Sens!$F$5852+(g_sp-Sens!$F$5852)*4/4</f>
        <v>0.07</v>
      </c>
      <c r="L5852" s="13" t="n">
        <f aca="false">g_sp</f>
        <v>0.07</v>
      </c>
      <c r="M5852" s="13" t="n">
        <f aca="false">g_sp</f>
        <v>0.07</v>
      </c>
      <c r="P5852" s="8" t="s">
        <v>667</v>
      </c>
    </row>
    <row r="5853" customFormat="false" ht="17.15" hidden="false" customHeight="false" outlineLevel="0" collapsed="false">
      <c r="A5853" s="0" t="s">
        <v>519</v>
      </c>
      <c r="B5853" s="0" t="s">
        <v>86</v>
      </c>
      <c r="C5853" s="38" t="n">
        <f aca="false">Q!$D$13</f>
        <v>56.214</v>
      </c>
      <c r="D5853" s="38" t="n">
        <f aca="false">Q!$E$13</f>
        <v>68.635</v>
      </c>
      <c r="E5853" s="38" t="n">
        <f aca="false">Q!$P$13</f>
        <v>37.052</v>
      </c>
      <c r="F5853" s="38" t="n">
        <f aca="false">Sens!$O$5853*(1+Sens!$F$5854)*Sens!$F$5859</f>
        <v>46.1572219944148</v>
      </c>
      <c r="G5853" s="38" t="n">
        <f aca="false">Sens!$E$5853+Sens!$F$5853</f>
        <v>83.2092219944148</v>
      </c>
      <c r="H5853" s="38" t="n">
        <f aca="false">Sens!$G$5853*(1+Sens!$H$5854)</f>
        <v>99.8969223878976</v>
      </c>
      <c r="I5853" s="38" t="n">
        <f aca="false">Sens!$H$5853*(1+Sens!$I$5854)</f>
        <v>116.583111095496</v>
      </c>
      <c r="J5853" s="38" t="n">
        <f aca="false">Sens!$I$5853*(1+Sens!$J$5854)</f>
        <v>132.148941941952</v>
      </c>
      <c r="K5853" s="38" t="n">
        <f aca="false">Sens!$J$5853*(1+Sens!$K$5854)</f>
        <v>145.363836136147</v>
      </c>
      <c r="L5853" s="38" t="n">
        <f aca="false">Sens!$K$5853*(1+Sens!$L$5854)</f>
        <v>159.900219749762</v>
      </c>
      <c r="M5853" s="38" t="n">
        <f aca="false">Sens!$L$5853*(1+Sens!$M$5854)</f>
        <v>175.890241724738</v>
      </c>
      <c r="N5853" s="38" t="n">
        <f aca="false">Q!$N$13</f>
        <v>29.615</v>
      </c>
      <c r="O5853" s="38" t="n">
        <f aca="false">Q!$O$13</f>
        <v>39.02</v>
      </c>
      <c r="P5853" s="8" t="s">
        <v>661</v>
      </c>
    </row>
    <row r="5854" customFormat="false" ht="17.15" hidden="false" customHeight="false" outlineLevel="0" collapsed="false">
      <c r="A5854" s="0" t="s">
        <v>668</v>
      </c>
      <c r="B5854" s="0" t="s">
        <v>52</v>
      </c>
      <c r="E5854" s="13" t="n">
        <f aca="false">Sens!$E$5853/Sens!$N$5853-1</f>
        <v>0.25112274185379</v>
      </c>
      <c r="F5854" s="13" t="n">
        <f aca="false">Sens!$O$5853/(Q!$F$13+Q!$G$13)-1</f>
        <v>0.234068123596572</v>
      </c>
      <c r="G5854" s="13" t="n">
        <f aca="false">Sens!$G$5853/Sens!$D$5853-1</f>
        <v>0.212343876949294</v>
      </c>
      <c r="H5854" s="13" t="n">
        <f aca="false">Sens!$F$5854+(g_ad-Sens!$F$5854)*1/4</f>
        <v>0.200551092697429</v>
      </c>
      <c r="I5854" s="13" t="n">
        <f aca="false">Sens!$F$5854+(g_ad-Sens!$F$5854)*2/4</f>
        <v>0.167034061798286</v>
      </c>
      <c r="J5854" s="13" t="n">
        <f aca="false">Sens!$F$5854+(g_ad-Sens!$F$5854)*3/4</f>
        <v>0.133517030899143</v>
      </c>
      <c r="K5854" s="13" t="n">
        <f aca="false">Sens!$F$5854+(g_ad-Sens!$F$5854)*4/4</f>
        <v>0.1</v>
      </c>
      <c r="L5854" s="13" t="n">
        <f aca="false">g_ad</f>
        <v>0.1</v>
      </c>
      <c r="M5854" s="13" t="n">
        <f aca="false">g_ad</f>
        <v>0.1</v>
      </c>
      <c r="P5854" s="8" t="s">
        <v>669</v>
      </c>
    </row>
    <row r="5855" customFormat="false" ht="17.15" hidden="false" customHeight="false" outlineLevel="0" collapsed="false">
      <c r="A5855" s="0" t="s">
        <v>520</v>
      </c>
      <c r="B5855" s="0" t="s">
        <v>86</v>
      </c>
      <c r="C5855" s="38" t="n">
        <f aca="false">Q!$D$14</f>
        <v>44.374</v>
      </c>
      <c r="D5855" s="38" t="n">
        <f aca="false">Q!$E$14</f>
        <v>49.619</v>
      </c>
      <c r="E5855" s="38" t="n">
        <f aca="false">Q!$P$14</f>
        <v>27.157</v>
      </c>
      <c r="F5855" s="38" t="n">
        <f aca="false">Sens!$O$5855*(1+Sens!$F$5856)*Sens!$F$5859</f>
        <v>27.7764165988154</v>
      </c>
      <c r="G5855" s="38" t="n">
        <f aca="false">Sens!$E$5855+Sens!$F$5855</f>
        <v>54.9334165988154</v>
      </c>
      <c r="H5855" s="38" t="n">
        <f aca="false">Sens!$G$5855*(1+Sens!$H$5856)</f>
        <v>61.1564112561829</v>
      </c>
      <c r="I5855" s="38" t="n">
        <f aca="false">Sens!$H$5855*(1+Sens!$I$5856)</f>
        <v>67.2020282103945</v>
      </c>
      <c r="J5855" s="38" t="n">
        <f aca="false">Sens!$I$5855*(1+Sens!$J$5856)</f>
        <v>72.8757274028885</v>
      </c>
      <c r="K5855" s="38" t="n">
        <f aca="false">Sens!$J$5855*(1+Sens!$K$5856)</f>
        <v>77.9770283210907</v>
      </c>
      <c r="L5855" s="38" t="n">
        <f aca="false">Sens!$K$5855*(1+Sens!$L$5856)</f>
        <v>83.4354203035671</v>
      </c>
      <c r="M5855" s="38" t="n">
        <f aca="false">Sens!$L$5855*(1+Sens!$M$5856)</f>
        <v>89.2758997248168</v>
      </c>
      <c r="N5855" s="38" t="n">
        <f aca="false">Q!$N$14</f>
        <v>23.923</v>
      </c>
      <c r="O5855" s="38" t="n">
        <f aca="false">Q!$O$14</f>
        <v>25.696</v>
      </c>
      <c r="P5855" s="8" t="s">
        <v>661</v>
      </c>
    </row>
    <row r="5856" customFormat="false" ht="17.15" hidden="false" customHeight="false" outlineLevel="0" collapsed="false">
      <c r="A5856" s="0" t="s">
        <v>670</v>
      </c>
      <c r="B5856" s="0" t="s">
        <v>52</v>
      </c>
      <c r="E5856" s="13" t="n">
        <f aca="false">Sens!$E$5855/Sens!$N$5855-1</f>
        <v>0.135183714417088</v>
      </c>
      <c r="F5856" s="13" t="n">
        <f aca="false">Sens!$O$5855/(Q!$F$14+Q!$G$14)-1</f>
        <v>0.127709997366804</v>
      </c>
      <c r="G5856" s="13" t="n">
        <f aca="false">Sens!$G$5855/Sens!$D$5855-1</f>
        <v>0.107104468022641</v>
      </c>
      <c r="H5856" s="13" t="n">
        <f aca="false">Sens!$F$5856+(g_sub-Sens!$F$5856)*1/4</f>
        <v>0.113282498025103</v>
      </c>
      <c r="I5856" s="13" t="n">
        <f aca="false">Sens!$F$5856+(g_sub-Sens!$F$5856)*2/4</f>
        <v>0.0988549986834021</v>
      </c>
      <c r="J5856" s="13" t="n">
        <f aca="false">Sens!$F$5856+(g_sub-Sens!$F$5856)*3/4</f>
        <v>0.084427499341701</v>
      </c>
      <c r="K5856" s="13" t="n">
        <f aca="false">Sens!$F$5856+(g_sub-Sens!$F$5856)*4/4</f>
        <v>0.07</v>
      </c>
      <c r="L5856" s="13" t="n">
        <f aca="false">g_sub</f>
        <v>0.07</v>
      </c>
      <c r="M5856" s="13" t="n">
        <f aca="false">g_sub</f>
        <v>0.07</v>
      </c>
      <c r="P5856" s="8" t="s">
        <v>671</v>
      </c>
    </row>
    <row r="5857" customFormat="false" ht="17.15" hidden="false" customHeight="false" outlineLevel="0" collapsed="false">
      <c r="A5857" s="0" t="s">
        <v>521</v>
      </c>
      <c r="B5857" s="0" t="s">
        <v>86</v>
      </c>
      <c r="C5857" s="38" t="n">
        <f aca="false">Q!$D$15</f>
        <v>5.425</v>
      </c>
      <c r="D5857" s="38" t="n">
        <f aca="false">Q!$E$15</f>
        <v>5.935</v>
      </c>
      <c r="E5857" s="38" t="n">
        <f aca="false">Q!$P$15</f>
        <v>3.474</v>
      </c>
      <c r="F5857" s="38" t="n">
        <f aca="false">Sens!$O$5857*(1+Sens!$F$5858)*Sens!$F$5859</f>
        <v>3.22246550883619</v>
      </c>
      <c r="G5857" s="38" t="n">
        <f aca="false">Sens!$E$5857+Sens!$F$5857</f>
        <v>6.69646550883619</v>
      </c>
      <c r="H5857" s="38" t="n">
        <f aca="false">Sens!$G$5857*(1+Sens!$H$5858)</f>
        <v>7.16251344209196</v>
      </c>
      <c r="I5857" s="38" t="n">
        <f aca="false">Sens!$H$5857*(1+Sens!$I$5858)</f>
        <v>7.61421070299826</v>
      </c>
      <c r="J5857" s="38" t="n">
        <f aca="false">Sens!$I$5857*(1+Sens!$J$5858)</f>
        <v>8.04465753523932</v>
      </c>
      <c r="K5857" s="38" t="n">
        <f aca="false">Sens!$J$5857*(1+Sens!$K$5858)</f>
        <v>8.44689041200128</v>
      </c>
      <c r="L5857" s="38" t="n">
        <f aca="false">Sens!$K$5857*(1+Sens!$L$5858)</f>
        <v>8.86923493260135</v>
      </c>
      <c r="M5857" s="38" t="n">
        <f aca="false">Sens!$L$5857*(1+Sens!$M$5858)</f>
        <v>9.31269667923142</v>
      </c>
      <c r="N5857" s="38" t="n">
        <f aca="false">Q!$N$15</f>
        <v>2.811</v>
      </c>
      <c r="O5857" s="38" t="n">
        <f aca="false">Q!$O$15</f>
        <v>3.124</v>
      </c>
      <c r="P5857" s="8" t="s">
        <v>661</v>
      </c>
    </row>
    <row r="5858" customFormat="false" ht="17.15" hidden="false" customHeight="false" outlineLevel="0" collapsed="false">
      <c r="A5858" s="0" t="s">
        <v>672</v>
      </c>
      <c r="B5858" s="0" t="s">
        <v>52</v>
      </c>
      <c r="E5858" s="13" t="n">
        <f aca="false">Sens!$E$5857/Sens!$N$5857-1</f>
        <v>0.235859124866596</v>
      </c>
      <c r="F5858" s="13" t="n">
        <f aca="false">Sens!$O$5857/(Q!$F$15+Q!$G$15)-1</f>
        <v>0.0761281433000345</v>
      </c>
      <c r="G5858" s="13" t="n">
        <f aca="false">Sens!$G$5857/Sens!$D$5857-1</f>
        <v>0.128300843948811</v>
      </c>
      <c r="H5858" s="13" t="n">
        <f aca="false">Sens!$F$5858+(g_ot-Sens!$F$5858)*1/4</f>
        <v>0.0695961074750259</v>
      </c>
      <c r="I5858" s="13" t="n">
        <f aca="false">Sens!$F$5858+(g_ot-Sens!$F$5858)*2/4</f>
        <v>0.0630640716500172</v>
      </c>
      <c r="J5858" s="13" t="n">
        <f aca="false">Sens!$F$5858+(g_ot-Sens!$F$5858)*3/4</f>
        <v>0.0565320358250086</v>
      </c>
      <c r="K5858" s="13" t="n">
        <f aca="false">Sens!$F$5858+(g_ot-Sens!$F$5858)*4/4</f>
        <v>0.05</v>
      </c>
      <c r="L5858" s="13" t="n">
        <f aca="false">g_ot</f>
        <v>0.05</v>
      </c>
      <c r="M5858" s="13" t="n">
        <f aca="false">g_ot</f>
        <v>0.05</v>
      </c>
      <c r="P5858" s="8" t="s">
        <v>673</v>
      </c>
    </row>
    <row r="5859" customFormat="false" ht="17.15" hidden="false" customHeight="false" outlineLevel="0" collapsed="false">
      <c r="A5859" s="0" t="s">
        <v>674</v>
      </c>
      <c r="B5859" s="0" t="s">
        <v>57</v>
      </c>
      <c r="F5859" s="40" t="n">
        <f aca="false">(g26q3_mid*Q!$O$8/Q!$J$8-Sens!$F$5888-Sens!$F$5892)/(Sens!$O$5847*(1+Sens!$F$5848)+Sens!$O$5849*(1+Sens!$F$5850)+Sens!$O$5851*(1+Sens!$F$5852)+Sens!$O$5853*(1+Sens!$F$5854)+Sens!$O$5855*(1+Sens!$F$5856)+Sens!$O$5857*(1+Sens!$F$5858))</f>
        <v>0.958546670622329</v>
      </c>
      <c r="P5859" s="8" t="s">
        <v>675</v>
      </c>
    </row>
    <row r="5860" customFormat="false" ht="17.15" hidden="false" customHeight="false" outlineLevel="0" collapsed="false">
      <c r="A5860" s="3" t="s">
        <v>676</v>
      </c>
      <c r="B5860" s="8" t="s">
        <v>86</v>
      </c>
      <c r="C5860" s="38" t="n">
        <f aca="false">Sens!$C$5847+Sens!$C$5849+Sens!$C$5851+Sens!$C$5853+Sens!$C$5855+Sens!$C$5857</f>
        <v>530.403</v>
      </c>
      <c r="D5860" s="38" t="n">
        <f aca="false">Sens!$D$5847+Sens!$D$5849+Sens!$D$5851+Sens!$D$5853+Sens!$D$5855+Sens!$D$5857</f>
        <v>588.199</v>
      </c>
      <c r="E5860" s="38" t="n">
        <f aca="false">Sens!$E$5847+Sens!$E$5849+Sens!$E$5851+Sens!$E$5853+Sens!$E$5855+Sens!$E$5857</f>
        <v>302.306</v>
      </c>
      <c r="F5860" s="38" t="n">
        <f aca="false">Sens!$F$5847+Sens!$F$5849+Sens!$F$5851+Sens!$F$5853+Sens!$F$5855+Sens!$F$5857</f>
        <v>349.048241645537</v>
      </c>
      <c r="G5860" s="38" t="n">
        <f aca="false">Sens!$G$5847+Sens!$G$5849+Sens!$G$5851+Sens!$G$5853+Sens!$G$5855+Sens!$G$5857</f>
        <v>651.354241645537</v>
      </c>
      <c r="H5860" s="38" t="n">
        <f aca="false">Sens!$H$5847+Sens!$H$5849+Sens!$H$5851+Sens!$H$5853+Sens!$H$5855+Sens!$H$5857</f>
        <v>721.096889521386</v>
      </c>
      <c r="I5860" s="38" t="n">
        <f aca="false">Sens!$I$5847+Sens!$I$5849+Sens!$I$5851+Sens!$I$5853+Sens!$I$5855+Sens!$I$5857</f>
        <v>788.529391152531</v>
      </c>
      <c r="J5860" s="38" t="n">
        <f aca="false">Sens!$J$5847+Sens!$J$5849+Sens!$J$5851+Sens!$J$5853+Sens!$J$5855+Sens!$J$5857</f>
        <v>851.108405741443</v>
      </c>
      <c r="K5860" s="38" t="n">
        <f aca="false">Sens!$K$5847+Sens!$K$5849+Sens!$K$5851+Sens!$K$5853+Sens!$K$5855+Sens!$K$5857</f>
        <v>906.176455431088</v>
      </c>
      <c r="L5860" s="38" t="n">
        <f aca="false">Sens!$L$5847+Sens!$L$5849+Sens!$L$5851+Sens!$L$5853+Sens!$L$5855+Sens!$L$5857</f>
        <v>965.093106475589</v>
      </c>
      <c r="M5860" s="38" t="n">
        <f aca="false">Sens!$M$5847+Sens!$M$5849+Sens!$M$5851+Sens!$M$5853+Sens!$M$5855+Sens!$M$5857</f>
        <v>1028.14790794689</v>
      </c>
      <c r="N5860" s="38" t="n">
        <f aca="false">Sens!$N$5847+Sens!$N$5849+Sens!$N$5851+Sens!$N$5853+Sens!$N$5855+Sens!$N$5857</f>
        <v>263.229</v>
      </c>
      <c r="O5860" s="38" t="n">
        <f aca="false">Sens!$O$5847+Sens!$O$5849+Sens!$O$5851+Sens!$O$5853+Sens!$O$5855+Sens!$O$5857</f>
        <v>324.97</v>
      </c>
    </row>
    <row r="5861" customFormat="false" ht="17.15" hidden="false" customHeight="false" outlineLevel="0" collapsed="false">
      <c r="A5861" s="5" t="s">
        <v>677</v>
      </c>
      <c r="B5861" s="0" t="s">
        <v>52</v>
      </c>
      <c r="C5861" s="13" t="n">
        <f aca="false">Q!$D$5/(Q!$D$5+Q!$D$6)</f>
        <v>0.730570905519011</v>
      </c>
      <c r="D5861" s="13" t="n">
        <f aca="false">Q!$E$5/(Q!$E$5+Q!$E$6)</f>
        <v>0.724763217890544</v>
      </c>
      <c r="E5861" s="13" t="n">
        <f aca="false">Q!$P$5/(Q!$P$5+Q!$P$6)</f>
        <v>0.728797972914861</v>
      </c>
      <c r="F5861" s="13" t="n">
        <f aca="false">Sens!$O$5861</f>
        <v>0.718066283041511</v>
      </c>
      <c r="G5861" s="13" t="n">
        <f aca="false">Sens!$G$5862/Sens!$G$5860</f>
        <v>0.723047066202847</v>
      </c>
      <c r="H5861" s="13" t="n">
        <f aca="false">Sens!$G$5861</f>
        <v>0.723047066202847</v>
      </c>
      <c r="I5861" s="13" t="n">
        <f aca="false">Sens!$G$5861</f>
        <v>0.723047066202847</v>
      </c>
      <c r="J5861" s="13" t="n">
        <f aca="false">Sens!$G$5861</f>
        <v>0.723047066202847</v>
      </c>
      <c r="K5861" s="13" t="n">
        <f aca="false">Sens!$G$5861</f>
        <v>0.723047066202847</v>
      </c>
      <c r="L5861" s="13" t="n">
        <f aca="false">Sens!$G$5861</f>
        <v>0.723047066202847</v>
      </c>
      <c r="M5861" s="13" t="n">
        <f aca="false">Sens!$G$5861</f>
        <v>0.723047066202847</v>
      </c>
      <c r="N5861" s="13" t="n">
        <f aca="false">Q!$N$5/(Q!$N$5+Q!$N$6)</f>
        <v>0.733030935041352</v>
      </c>
      <c r="O5861" s="13" t="n">
        <f aca="false">Q!$O$5/(Q!$O$5+Q!$O$6)</f>
        <v>0.718066283041511</v>
      </c>
      <c r="P5861" s="8" t="s">
        <v>678</v>
      </c>
    </row>
    <row r="5862" customFormat="false" ht="17.15" hidden="false" customHeight="false" outlineLevel="0" collapsed="false">
      <c r="A5862" s="1" t="s">
        <v>509</v>
      </c>
      <c r="B5862" s="8" t="s">
        <v>86</v>
      </c>
      <c r="C5862" s="38" t="n">
        <f aca="false">Q!$D$5</f>
        <v>387.497</v>
      </c>
      <c r="D5862" s="38" t="n">
        <f aca="false">Q!$E$5</f>
        <v>426.305</v>
      </c>
      <c r="E5862" s="38" t="n">
        <f aca="false">Q!$P$5</f>
        <v>220.32</v>
      </c>
      <c r="F5862" s="38" t="n">
        <f aca="false">Sens!$F$5860*Sens!$F$5861</f>
        <v>250.639773480586</v>
      </c>
      <c r="G5862" s="38" t="n">
        <f aca="false">Sens!$E$5862+Sens!$F$5862</f>
        <v>470.959773480586</v>
      </c>
      <c r="H5862" s="38" t="n">
        <f aca="false">Sens!$H$5860*Sens!$H$5861</f>
        <v>521.386990416437</v>
      </c>
      <c r="I5862" s="38" t="n">
        <f aca="false">Sens!$I$5860*Sens!$I$5861</f>
        <v>570.143862887555</v>
      </c>
      <c r="J5862" s="38" t="n">
        <f aca="false">Sens!$J$5860*Sens!$J$5861</f>
        <v>615.391435791933</v>
      </c>
      <c r="K5862" s="38" t="n">
        <f aca="false">Sens!$K$5860*Sens!$K$5861</f>
        <v>655.208227561543</v>
      </c>
      <c r="L5862" s="38" t="n">
        <f aca="false">Sens!$L$5860*Sens!$L$5861</f>
        <v>697.807739249767</v>
      </c>
      <c r="M5862" s="38" t="n">
        <f aca="false">Sens!$M$5860*Sens!$M$5861</f>
        <v>743.399328463592</v>
      </c>
      <c r="N5862" s="38" t="n">
        <f aca="false">Q!$N$5</f>
        <v>192.955</v>
      </c>
      <c r="O5862" s="38" t="n">
        <f aca="false">Q!$O$5</f>
        <v>233.35</v>
      </c>
      <c r="P5862" s="5" t="s">
        <v>679</v>
      </c>
    </row>
    <row r="5863" customFormat="false" ht="17.15" hidden="false" customHeight="false" outlineLevel="0" collapsed="false">
      <c r="A5863" s="1" t="s">
        <v>512</v>
      </c>
      <c r="B5863" s="8" t="s">
        <v>86</v>
      </c>
      <c r="C5863" s="38" t="n">
        <f aca="false">Q!$D$6</f>
        <v>142.906</v>
      </c>
      <c r="D5863" s="38" t="n">
        <f aca="false">Q!$E$6</f>
        <v>161.894</v>
      </c>
      <c r="E5863" s="38" t="n">
        <f aca="false">Q!$P$6</f>
        <v>81.986</v>
      </c>
      <c r="F5863" s="38" t="n">
        <f aca="false">Sens!$F$5860*(1-Sens!$F$5861)</f>
        <v>98.408468164951</v>
      </c>
      <c r="G5863" s="38" t="n">
        <f aca="false">Sens!$E$5863+Sens!$F$5863</f>
        <v>180.394468164951</v>
      </c>
      <c r="H5863" s="38" t="n">
        <f aca="false">Sens!$H$5860*(1-Sens!$H$5861)</f>
        <v>199.709899104949</v>
      </c>
      <c r="I5863" s="38" t="n">
        <f aca="false">Sens!$I$5860*(1-Sens!$I$5861)</f>
        <v>218.385528264976</v>
      </c>
      <c r="J5863" s="38" t="n">
        <f aca="false">Sens!$J$5860*(1-Sens!$J$5861)</f>
        <v>235.71696994951</v>
      </c>
      <c r="K5863" s="38" t="n">
        <f aca="false">Sens!$K$5860*(1-Sens!$K$5861)</f>
        <v>250.968227869545</v>
      </c>
      <c r="L5863" s="38" t="n">
        <f aca="false">Sens!$L$5860*(1-Sens!$L$5861)</f>
        <v>267.285367225822</v>
      </c>
      <c r="M5863" s="38" t="n">
        <f aca="false">Sens!$M$5860*(1-Sens!$M$5861)</f>
        <v>284.748579483295</v>
      </c>
      <c r="N5863" s="38" t="n">
        <f aca="false">Q!$N$6</f>
        <v>70.274</v>
      </c>
      <c r="O5863" s="38" t="n">
        <f aca="false">Q!$O$6</f>
        <v>91.62</v>
      </c>
      <c r="P5863" s="5" t="s">
        <v>680</v>
      </c>
    </row>
    <row r="5864" customFormat="false" ht="17.15" hidden="false" customHeight="false" outlineLevel="0" collapsed="false">
      <c r="A5864" s="5" t="s">
        <v>681</v>
      </c>
      <c r="B5864" s="0" t="s">
        <v>86</v>
      </c>
      <c r="C5864" s="38" t="n">
        <f aca="false">Sens!$C$5853*Sens!$C$5861</f>
        <v>41.0683128828457</v>
      </c>
      <c r="D5864" s="38" t="n">
        <f aca="false">Sens!$D$5853*Sens!$D$5861</f>
        <v>49.7441234599175</v>
      </c>
      <c r="E5864" s="38" t="n">
        <f aca="false">Sens!$E$5853*Sens!$E$5861</f>
        <v>27.0034224924414</v>
      </c>
      <c r="F5864" s="38" t="n">
        <f aca="false">Sens!$F$5853*Sens!$F$5861</f>
        <v>33.1439448330513</v>
      </c>
      <c r="G5864" s="38" t="n">
        <f aca="false">Sens!$G$5853*Sens!$G$5861</f>
        <v>60.164183844083</v>
      </c>
      <c r="H5864" s="38" t="n">
        <f aca="false">Sens!$H$5853*Sens!$H$5861</f>
        <v>72.2301766552629</v>
      </c>
      <c r="I5864" s="38" t="n">
        <f aca="false">Sens!$I$5853*Sens!$I$5861</f>
        <v>84.2950764463991</v>
      </c>
      <c r="J5864" s="38" t="n">
        <f aca="false">Sens!$J$5853*Sens!$J$5861</f>
        <v>95.5499047729386</v>
      </c>
      <c r="K5864" s="38" t="n">
        <f aca="false">Sens!$K$5853*Sens!$K$5861</f>
        <v>105.104895250232</v>
      </c>
      <c r="L5864" s="38" t="n">
        <f aca="false">Sens!$L$5853*Sens!$L$5861</f>
        <v>115.615384775256</v>
      </c>
      <c r="M5864" s="38" t="n">
        <f aca="false">Sens!$M$5853*Sens!$M$5861</f>
        <v>127.176923252781</v>
      </c>
      <c r="N5864" s="38" t="n">
        <f aca="false">Sens!$N$5853*Sens!$N$5861</f>
        <v>21.7087111412496</v>
      </c>
      <c r="O5864" s="38" t="n">
        <f aca="false">Sens!$O$5853*Sens!$O$5861</f>
        <v>28.0189463642798</v>
      </c>
      <c r="P5864" s="5" t="s">
        <v>682</v>
      </c>
    </row>
    <row r="5865" customFormat="false" ht="15" hidden="false" customHeight="false" outlineLevel="0" collapsed="false">
      <c r="A5865" s="5" t="s">
        <v>683</v>
      </c>
      <c r="B5865" s="0" t="s">
        <v>86</v>
      </c>
      <c r="C5865" s="38" t="n">
        <f aca="false">Sens!$C$5853-Sens!$C$5864</f>
        <v>15.1456871171543</v>
      </c>
      <c r="D5865" s="38" t="n">
        <f aca="false">Sens!$D$5853-Sens!$D$5864</f>
        <v>18.8908765400825</v>
      </c>
      <c r="E5865" s="38" t="n">
        <f aca="false">Sens!$E$5853-Sens!$E$5864</f>
        <v>10.0485775075586</v>
      </c>
      <c r="F5865" s="38" t="n">
        <f aca="false">Sens!$F$5853-Sens!$F$5864</f>
        <v>13.0132771613635</v>
      </c>
      <c r="G5865" s="38" t="n">
        <f aca="false">Sens!$G$5853-Sens!$G$5864</f>
        <v>23.0450381503318</v>
      </c>
      <c r="H5865" s="38" t="n">
        <f aca="false">Sens!$H$5853-Sens!$H$5864</f>
        <v>27.6667457326347</v>
      </c>
      <c r="I5865" s="38" t="n">
        <f aca="false">Sens!$I$5853-Sens!$I$5864</f>
        <v>32.2880346490971</v>
      </c>
      <c r="J5865" s="38" t="n">
        <f aca="false">Sens!$J$5853-Sens!$J$5864</f>
        <v>36.5990371690132</v>
      </c>
      <c r="K5865" s="38" t="n">
        <f aca="false">Sens!$K$5853-Sens!$K$5864</f>
        <v>40.2589408859145</v>
      </c>
      <c r="L5865" s="38" t="n">
        <f aca="false">Sens!$L$5853-Sens!$L$5864</f>
        <v>44.2848349745059</v>
      </c>
      <c r="M5865" s="38" t="n">
        <f aca="false">Sens!$M$5853-Sens!$M$5864</f>
        <v>48.7133184719565</v>
      </c>
      <c r="N5865" s="38" t="n">
        <f aca="false">Sens!$N$5853-Sens!$N$5864</f>
        <v>7.90628885875037</v>
      </c>
      <c r="O5865" s="38" t="n">
        <f aca="false">Sens!$O$5853-Sens!$O$5864</f>
        <v>11.0010536357202</v>
      </c>
    </row>
    <row r="5866" customFormat="false" ht="19.4" hidden="false" customHeight="false" outlineLevel="0" collapsed="false">
      <c r="A5866" s="31" t="s">
        <v>1248</v>
      </c>
    </row>
    <row r="5867" customFormat="false" ht="17.15" hidden="false" customHeight="false" outlineLevel="0" collapsed="false">
      <c r="A5867" s="6" t="s">
        <v>16</v>
      </c>
      <c r="B5867" s="6" t="s">
        <v>17</v>
      </c>
      <c r="C5867" s="20" t="s">
        <v>494</v>
      </c>
      <c r="D5867" s="20" t="s">
        <v>495</v>
      </c>
      <c r="E5867" s="20" t="s">
        <v>577</v>
      </c>
      <c r="F5867" s="20" t="s">
        <v>578</v>
      </c>
      <c r="G5867" s="20" t="s">
        <v>579</v>
      </c>
      <c r="H5867" s="20" t="s">
        <v>580</v>
      </c>
      <c r="I5867" s="20" t="s">
        <v>581</v>
      </c>
      <c r="J5867" s="20" t="s">
        <v>582</v>
      </c>
      <c r="K5867" s="20" t="s">
        <v>583</v>
      </c>
      <c r="L5867" s="20" t="s">
        <v>584</v>
      </c>
      <c r="M5867" s="20" t="s">
        <v>585</v>
      </c>
      <c r="N5867" s="20" t="s">
        <v>586</v>
      </c>
      <c r="O5867" s="20" t="s">
        <v>587</v>
      </c>
      <c r="P5867" s="6" t="s">
        <v>23</v>
      </c>
      <c r="R5867" s="20" t="n">
        <v>2023</v>
      </c>
      <c r="S5867" s="20" t="n">
        <v>2024</v>
      </c>
      <c r="T5867" s="20" t="n">
        <v>2025</v>
      </c>
      <c r="U5867" s="20" t="n">
        <v>2026</v>
      </c>
      <c r="V5867" s="20" t="n">
        <v>2027</v>
      </c>
      <c r="W5867" s="20" t="n">
        <v>2028</v>
      </c>
      <c r="X5867" s="20" t="n">
        <v>2029</v>
      </c>
      <c r="Y5867" s="20" t="n">
        <v>2030</v>
      </c>
      <c r="Z5867" s="20" t="n">
        <v>2031</v>
      </c>
      <c r="AA5867" s="20" t="n">
        <v>2032</v>
      </c>
    </row>
    <row r="5868" customFormat="false" ht="17.15" hidden="false" customHeight="false" outlineLevel="0" collapsed="false">
      <c r="A5868" s="1" t="s">
        <v>588</v>
      </c>
    </row>
    <row r="5869" customFormat="false" ht="17.15" hidden="false" customHeight="false" outlineLevel="0" collapsed="false">
      <c r="A5869" s="5" t="s">
        <v>589</v>
      </c>
      <c r="B5869" s="0" t="s">
        <v>144</v>
      </c>
      <c r="H5869" s="32" t="n">
        <f aca="false">pace_B</f>
        <v>3634.3</v>
      </c>
      <c r="I5869" s="32" t="n">
        <f aca="false">pace_B</f>
        <v>3634.3</v>
      </c>
      <c r="J5869" s="32" t="n">
        <f aca="false">pace_B</f>
        <v>3634.3</v>
      </c>
      <c r="K5869" s="32" t="n">
        <f aca="false">pace_B+(Sens!$J$5870*tg-pace_B)*1/3</f>
        <v>2570.86716666667</v>
      </c>
      <c r="L5869" s="32" t="n">
        <f aca="false">pace_B+(Sens!$J$5870*tg-pace_B)*2/3</f>
        <v>1507.43433333333</v>
      </c>
      <c r="M5869" s="32" t="n">
        <f aca="false">pace_B+(Sens!$J$5870*tg-pace_B)*3/3</f>
        <v>444.0015</v>
      </c>
      <c r="P5869" s="5" t="s">
        <v>590</v>
      </c>
    </row>
    <row r="5870" customFormat="false" ht="17.15" hidden="false" customHeight="false" outlineLevel="0" collapsed="false">
      <c r="A5870" s="15" t="s">
        <v>591</v>
      </c>
      <c r="B5870" s="14" t="s">
        <v>129</v>
      </c>
      <c r="C5870" s="33" t="n">
        <f aca="false">mw_ye24</f>
        <v>360</v>
      </c>
      <c r="D5870" s="33" t="n">
        <f aca="false">mw_ye25</f>
        <v>1440</v>
      </c>
      <c r="E5870" s="33" t="n">
        <f aca="false">mw_open</f>
        <v>2080</v>
      </c>
      <c r="F5870" s="33" t="n">
        <f aca="false">Sens!$E$5870+pace_B*0.5</f>
        <v>3897.15</v>
      </c>
      <c r="G5870" s="33" t="n">
        <f aca="false">Sens!$F$5870</f>
        <v>3897.15</v>
      </c>
      <c r="H5870" s="33" t="n">
        <f aca="false">Sens!$G$5870+Sens!$H$5869</f>
        <v>7531.45</v>
      </c>
      <c r="I5870" s="33" t="n">
        <f aca="false">Sens!$H$5870+Sens!$I$5869</f>
        <v>11165.75</v>
      </c>
      <c r="J5870" s="33" t="n">
        <f aca="false">Sens!$I$5870+Sens!$J$5869</f>
        <v>14800.05</v>
      </c>
      <c r="K5870" s="33" t="n">
        <f aca="false">Sens!$J$5870+Sens!$K$5869</f>
        <v>17370.9171666667</v>
      </c>
      <c r="L5870" s="33" t="n">
        <f aca="false">Sens!$K$5870+Sens!$L$5869</f>
        <v>18878.3515</v>
      </c>
      <c r="M5870" s="33" t="n">
        <f aca="false">Sens!$L$5870+Sens!$M$5869</f>
        <v>19322.353</v>
      </c>
      <c r="N5870" s="33" t="n">
        <f aca="false">(mw_ye24+mw_ye25)/2</f>
        <v>900</v>
      </c>
      <c r="O5870" s="33" t="n">
        <f aca="false">mw_ye25</f>
        <v>1440</v>
      </c>
      <c r="P5870" s="5" t="s">
        <v>592</v>
      </c>
    </row>
    <row r="5871" customFormat="false" ht="17.15" hidden="false" customHeight="false" outlineLevel="0" collapsed="false">
      <c r="A5871" s="5" t="s">
        <v>593</v>
      </c>
      <c r="B5871" s="0" t="s">
        <v>129</v>
      </c>
      <c r="C5871" s="32" t="n">
        <f aca="false">(mw_ye23+mw_ye24)/2</f>
        <v>240</v>
      </c>
      <c r="D5871" s="32" t="n">
        <f aca="false">(Sens!$C$5870+Sens!$D$5870)/2</f>
        <v>900</v>
      </c>
      <c r="E5871" s="32" t="n">
        <f aca="false">(Sens!$D$5870+Sens!$E$5870)/2</f>
        <v>1760</v>
      </c>
      <c r="F5871" s="32" t="n">
        <f aca="false">(Sens!$E$5870+Sens!$F$5870)/2</f>
        <v>2988.575</v>
      </c>
      <c r="G5871" s="32" t="n">
        <f aca="false">(Sens!$E$5871+Sens!$F$5871)/2</f>
        <v>2374.2875</v>
      </c>
      <c r="H5871" s="32" t="n">
        <f aca="false">(Sens!$G$5870+Sens!$H$5870)/2</f>
        <v>5714.3</v>
      </c>
      <c r="I5871" s="32" t="n">
        <f aca="false">(Sens!$H$5870+Sens!$I$5870)/2</f>
        <v>9348.6</v>
      </c>
      <c r="J5871" s="32" t="n">
        <f aca="false">(Sens!$I$5870+Sens!$J$5870)/2</f>
        <v>12982.9</v>
      </c>
      <c r="K5871" s="32" t="n">
        <f aca="false">(Sens!$J$5870+Sens!$K$5870)/2</f>
        <v>16085.4835833333</v>
      </c>
      <c r="L5871" s="32" t="n">
        <f aca="false">(Sens!$K$5870+Sens!$L$5870)/2</f>
        <v>18124.6343333333</v>
      </c>
      <c r="M5871" s="32" t="n">
        <f aca="false">(Sens!$L$5870+Sens!$M$5870)/2</f>
        <v>19100.35225</v>
      </c>
      <c r="N5871" s="32" t="n">
        <f aca="false">(Sens!$C$5870+Sens!$N$5870)/2</f>
        <v>630</v>
      </c>
      <c r="O5871" s="32" t="n">
        <f aca="false">(Sens!$N$5870+Sens!$O$5870)/2</f>
        <v>1170</v>
      </c>
    </row>
    <row r="5872" customFormat="false" ht="15" hidden="false" customHeight="false" outlineLevel="0" collapsed="false">
      <c r="A5872" s="5" t="s">
        <v>594</v>
      </c>
      <c r="B5872" s="5" t="s">
        <v>123</v>
      </c>
      <c r="C5872" s="34" t="n">
        <v>1</v>
      </c>
      <c r="D5872" s="34" t="n">
        <v>1</v>
      </c>
      <c r="E5872" s="34" t="n">
        <v>0.5</v>
      </c>
      <c r="F5872" s="34" t="n">
        <v>0.5</v>
      </c>
      <c r="G5872" s="34" t="n">
        <v>1</v>
      </c>
      <c r="H5872" s="34" t="n">
        <v>1</v>
      </c>
      <c r="I5872" s="34" t="n">
        <v>1</v>
      </c>
      <c r="J5872" s="34" t="n">
        <v>1</v>
      </c>
      <c r="K5872" s="34" t="n">
        <v>1</v>
      </c>
      <c r="L5872" s="34" t="n">
        <v>1</v>
      </c>
      <c r="M5872" s="34" t="n">
        <v>1</v>
      </c>
      <c r="N5872" s="34" t="n">
        <v>0.5</v>
      </c>
      <c r="O5872" s="34" t="n">
        <v>0.5</v>
      </c>
    </row>
    <row r="5873" customFormat="false" ht="17.15" hidden="false" customHeight="false" outlineLevel="0" collapsed="false">
      <c r="A5873" s="5" t="s">
        <v>595</v>
      </c>
      <c r="B5873" s="0" t="s">
        <v>129</v>
      </c>
      <c r="C5873" s="32" t="n">
        <f aca="false">Sens!$C$5870-mw_ye23</f>
        <v>240</v>
      </c>
      <c r="D5873" s="32" t="n">
        <f aca="false">Sens!$D$5870-Sens!$C$5870</f>
        <v>1080</v>
      </c>
      <c r="E5873" s="32" t="n">
        <f aca="false">Sens!$E$5870-Sens!$D$5870</f>
        <v>640</v>
      </c>
      <c r="F5873" s="32" t="n">
        <f aca="false">Sens!$F$5870-Sens!$E$5870</f>
        <v>1817.15</v>
      </c>
      <c r="G5873" s="32" t="n">
        <f aca="false">Sens!$E$5873+Sens!$F$5873</f>
        <v>2457.15</v>
      </c>
      <c r="H5873" s="32" t="n">
        <f aca="false">Sens!$H$5870-Sens!$G$5870</f>
        <v>3634.3</v>
      </c>
      <c r="I5873" s="32" t="n">
        <f aca="false">Sens!$I$5870-Sens!$H$5870</f>
        <v>3634.3</v>
      </c>
      <c r="J5873" s="32" t="n">
        <f aca="false">Sens!$J$5870-Sens!$I$5870</f>
        <v>3634.3</v>
      </c>
      <c r="K5873" s="32" t="n">
        <f aca="false">Sens!$K$5870-Sens!$J$5870</f>
        <v>2570.86716666667</v>
      </c>
      <c r="L5873" s="32" t="n">
        <f aca="false">Sens!$L$5870-Sens!$K$5870</f>
        <v>1507.43433333333</v>
      </c>
      <c r="M5873" s="32" t="n">
        <f aca="false">Sens!$M$5870-Sens!$L$5870</f>
        <v>444.001499999999</v>
      </c>
      <c r="N5873" s="32" t="n">
        <f aca="false">Sens!$N$5870-Sens!$C$5870</f>
        <v>540</v>
      </c>
      <c r="O5873" s="32" t="n">
        <f aca="false">Sens!$O$5870-Sens!$N$5870</f>
        <v>540</v>
      </c>
    </row>
    <row r="5874" customFormat="false" ht="17.15" hidden="false" customHeight="false" outlineLevel="0" collapsed="false">
      <c r="A5874" s="5" t="s">
        <v>596</v>
      </c>
      <c r="B5874" s="0" t="s">
        <v>129</v>
      </c>
      <c r="C5874" s="32" t="n">
        <f aca="false">Sens!$C$5873/ext_sh</f>
        <v>300</v>
      </c>
      <c r="D5874" s="32" t="n">
        <f aca="false">Sens!$D$5873/ext_sh</f>
        <v>1350</v>
      </c>
      <c r="E5874" s="32" t="n">
        <f aca="false">Sens!$E$5873/ext_sh</f>
        <v>800</v>
      </c>
      <c r="F5874" s="32" t="n">
        <f aca="false">Sens!$F$5873/ext_sh</f>
        <v>2271.4375</v>
      </c>
      <c r="G5874" s="32" t="n">
        <f aca="false">Sens!$G$5873/ext_sh</f>
        <v>3071.4375</v>
      </c>
      <c r="H5874" s="32" t="n">
        <f aca="false">Sens!$H$5873/ext_sh</f>
        <v>4542.875</v>
      </c>
      <c r="I5874" s="32" t="n">
        <f aca="false">Sens!$I$5873/ext_sh</f>
        <v>4542.875</v>
      </c>
      <c r="J5874" s="32" t="n">
        <f aca="false">Sens!$J$5873/ext_sh</f>
        <v>4542.875</v>
      </c>
      <c r="K5874" s="32" t="n">
        <f aca="false">Sens!$K$5873/ext_sh</f>
        <v>3213.58395833333</v>
      </c>
      <c r="L5874" s="32" t="n">
        <f aca="false">Sens!$L$5873/ext_sh</f>
        <v>1884.29291666667</v>
      </c>
      <c r="M5874" s="32" t="n">
        <f aca="false">Sens!$M$5873/ext_sh</f>
        <v>555.001874999998</v>
      </c>
      <c r="N5874" s="32" t="n">
        <f aca="false">Sens!$N$5873/ext_sh</f>
        <v>675</v>
      </c>
      <c r="O5874" s="32" t="n">
        <f aca="false">Sens!$O$5873/ext_sh</f>
        <v>675</v>
      </c>
      <c r="P5874" s="8" t="s">
        <v>597</v>
      </c>
      <c r="R5874" s="32" t="n">
        <f aca="false">mw_ye23/ext_sh</f>
        <v>150</v>
      </c>
      <c r="S5874" s="32" t="n">
        <f aca="false">Sens!$C$5874</f>
        <v>300</v>
      </c>
      <c r="T5874" s="32" t="n">
        <f aca="false">Sens!$D$5874</f>
        <v>1350</v>
      </c>
      <c r="U5874" s="32" t="n">
        <f aca="false">Sens!$G$5874</f>
        <v>3071.4375</v>
      </c>
      <c r="V5874" s="32" t="n">
        <f aca="false">Sens!$H$5874</f>
        <v>4542.875</v>
      </c>
      <c r="W5874" s="32" t="n">
        <f aca="false">Sens!$I$5874</f>
        <v>4542.875</v>
      </c>
      <c r="X5874" s="32" t="n">
        <f aca="false">Sens!$J$5874</f>
        <v>4542.875</v>
      </c>
      <c r="Y5874" s="32" t="n">
        <f aca="false">Sens!$K$5874</f>
        <v>3213.58395833333</v>
      </c>
      <c r="Z5874" s="32" t="n">
        <f aca="false">Sens!$L$5874</f>
        <v>1884.29291666667</v>
      </c>
      <c r="AA5874" s="32" t="n">
        <f aca="false">Sens!$M$5874</f>
        <v>555.001874999998</v>
      </c>
    </row>
    <row r="5875" customFormat="false" ht="17.15" hidden="false" customHeight="false" outlineLevel="0" collapsed="false">
      <c r="A5875" s="1" t="s">
        <v>598</v>
      </c>
    </row>
    <row r="5876" customFormat="false" ht="17.15" hidden="false" customHeight="false" outlineLevel="0" collapsed="false">
      <c r="A5876" s="0" t="s">
        <v>599</v>
      </c>
      <c r="B5876" s="0" t="s">
        <v>52</v>
      </c>
      <c r="F5876" s="35" t="n">
        <f aca="false">na_vr26</f>
        <v>0</v>
      </c>
      <c r="G5876" s="35" t="n">
        <f aca="false">na_vr26</f>
        <v>0</v>
      </c>
      <c r="H5876" s="35" t="n">
        <f aca="false">na_vr27</f>
        <v>0.5</v>
      </c>
      <c r="I5876" s="35" t="n">
        <f aca="false">na_vr28</f>
        <v>1</v>
      </c>
      <c r="J5876" s="35" t="n">
        <f aca="false">na_vr28</f>
        <v>1</v>
      </c>
      <c r="K5876" s="35" t="n">
        <f aca="false">na_vr28</f>
        <v>1</v>
      </c>
      <c r="L5876" s="35" t="n">
        <f aca="false">na_vr28</f>
        <v>1</v>
      </c>
      <c r="M5876" s="35" t="n">
        <f aca="false">na_vr28</f>
        <v>1</v>
      </c>
    </row>
    <row r="5877" customFormat="false" ht="17.15" hidden="false" customHeight="false" outlineLevel="0" collapsed="false">
      <c r="A5877" s="5" t="s">
        <v>600</v>
      </c>
      <c r="B5877" s="0" t="s">
        <v>173</v>
      </c>
      <c r="F5877" s="36" t="n">
        <f aca="false">cust_sh*tk_he_gb300*cf_chip+(1-cust_sh)*((1-Sens!$F$5876)*tk_he_gb300+Sens!$F$5876*tk_he_vr200)</f>
        <v>10.8864110021101</v>
      </c>
      <c r="G5877" s="36" t="n">
        <f aca="false">cust_sh*tk_he_gb300*cf_chip+(1-cust_sh)*((1-Sens!$G$5876)*tk_he_gb300+Sens!$G$5876*tk_he_vr200)</f>
        <v>10.8864110021101</v>
      </c>
      <c r="H5877" s="36" t="n">
        <f aca="false">cust_sh*tk_he_gb300*cf_chip+(1-cust_sh)*((1-Sens!$H$5876)*tk_he_gb300+Sens!$H$5876*tk_he_vr200)</f>
        <v>11.2211760027286</v>
      </c>
      <c r="I5877" s="36" t="n">
        <f aca="false">cust_sh*tk_he_gb300*cf_chip+(1-cust_sh)*((1-Sens!$I$5876)*tk_he_gb300+Sens!$I$5876*tk_he_vr200)</f>
        <v>11.5559410033471</v>
      </c>
      <c r="J5877" s="36" t="n">
        <f aca="false">cust_sh*tk_he_gb300*cf_chip+(1-cust_sh)*((1-Sens!$J$5876)*tk_he_gb300+Sens!$J$5876*tk_he_vr200)</f>
        <v>11.5559410033471</v>
      </c>
      <c r="K5877" s="36" t="n">
        <f aca="false">cust_sh*tk_he_gb300*cf_chip+(1-cust_sh)*((1-Sens!$K$5876)*tk_he_gb300+Sens!$K$5876*tk_he_vr200)</f>
        <v>11.5559410033471</v>
      </c>
      <c r="L5877" s="36" t="n">
        <f aca="false">cust_sh*tk_he_gb300*cf_chip+(1-cust_sh)*((1-Sens!$L$5876)*tk_he_gb300+Sens!$L$5876*tk_he_vr200)</f>
        <v>11.5559410033471</v>
      </c>
      <c r="M5877" s="36" t="n">
        <f aca="false">cust_sh*tk_he_gb300*cf_chip+(1-cust_sh)*((1-Sens!$M$5876)*tk_he_gb300+Sens!$M$5876*tk_he_vr200)</f>
        <v>11.5559410033471</v>
      </c>
    </row>
    <row r="5878" customFormat="false" ht="17.15" hidden="false" customHeight="false" outlineLevel="0" collapsed="false">
      <c r="A5878" s="5" t="s">
        <v>601</v>
      </c>
      <c r="B5878" s="0" t="s">
        <v>173</v>
      </c>
      <c r="F5878" s="36" t="n">
        <f aca="false">cust_sh*tk_ox_gb300+(1-cust_sh)*((1-Sens!$F$5876)*tk_ox_gb300+Sens!$F$5876*tk_ox_vr200)</f>
        <v>1.98263481314457</v>
      </c>
      <c r="G5878" s="36" t="n">
        <f aca="false">cust_sh*tk_ox_gb300+(1-cust_sh)*((1-Sens!$G$5876)*tk_ox_gb300+Sens!$G$5876*tk_ox_vr200)</f>
        <v>1.98263481314457</v>
      </c>
      <c r="H5878" s="36" t="n">
        <f aca="false">cust_sh*tk_ox_gb300+(1-cust_sh)*((1-Sens!$H$5876)*tk_ox_gb300+Sens!$H$5876*tk_ox_vr200)</f>
        <v>2.01034999693694</v>
      </c>
      <c r="I5878" s="36" t="n">
        <f aca="false">cust_sh*tk_ox_gb300+(1-cust_sh)*((1-Sens!$I$5876)*tk_ox_gb300+Sens!$I$5876*tk_ox_vr200)</f>
        <v>2.0380651807293</v>
      </c>
      <c r="J5878" s="36" t="n">
        <f aca="false">cust_sh*tk_ox_gb300+(1-cust_sh)*((1-Sens!$J$5876)*tk_ox_gb300+Sens!$J$5876*tk_ox_vr200)</f>
        <v>2.0380651807293</v>
      </c>
      <c r="K5878" s="36" t="n">
        <f aca="false">cust_sh*tk_ox_gb300+(1-cust_sh)*((1-Sens!$K$5876)*tk_ox_gb300+Sens!$K$5876*tk_ox_vr200)</f>
        <v>2.0380651807293</v>
      </c>
      <c r="L5878" s="36" t="n">
        <f aca="false">cust_sh*tk_ox_gb300+(1-cust_sh)*((1-Sens!$L$5876)*tk_ox_gb300+Sens!$L$5876*tk_ox_vr200)</f>
        <v>2.0380651807293</v>
      </c>
      <c r="M5878" s="36" t="n">
        <f aca="false">cust_sh*tk_ox_gb300+(1-cust_sh)*((1-Sens!$M$5876)*tk_ox_gb300+Sens!$M$5876*tk_ox_vr200)</f>
        <v>2.0380651807293</v>
      </c>
    </row>
    <row r="5879" customFormat="false" ht="17.15" hidden="false" customHeight="false" outlineLevel="0" collapsed="false">
      <c r="A5879" s="5" t="s">
        <v>602</v>
      </c>
      <c r="B5879" s="0" t="s">
        <v>192</v>
      </c>
      <c r="F5879" s="36" t="n">
        <f aca="false">cust_sh*tk_cx_gb300*cf_cx+(1-cust_sh)*((1-Sens!$F$5876)*tk_cx_gb300+Sens!$F$5876*tk_cx_vr200)</f>
        <v>32.237224</v>
      </c>
      <c r="G5879" s="36" t="n">
        <f aca="false">cust_sh*tk_cx_gb300*cf_cx+(1-cust_sh)*((1-Sens!$G$5876)*tk_cx_gb300+Sens!$G$5876*tk_cx_vr200)</f>
        <v>32.237224</v>
      </c>
      <c r="H5879" s="36" t="n">
        <f aca="false">cust_sh*tk_cx_gb300*cf_cx+(1-cust_sh)*((1-Sens!$H$5876)*tk_cx_gb300+Sens!$H$5876*tk_cx_vr200)</f>
        <v>33.574506</v>
      </c>
      <c r="I5879" s="36" t="n">
        <f aca="false">cust_sh*tk_cx_gb300*cf_cx+(1-cust_sh)*((1-Sens!$I$5876)*tk_cx_gb300+Sens!$I$5876*tk_cx_vr200)</f>
        <v>34.911788</v>
      </c>
      <c r="J5879" s="36" t="n">
        <f aca="false">cust_sh*tk_cx_gb300*cf_cx+(1-cust_sh)*((1-Sens!$J$5876)*tk_cx_gb300+Sens!$J$5876*tk_cx_vr200)</f>
        <v>34.911788</v>
      </c>
      <c r="K5879" s="36" t="n">
        <f aca="false">cust_sh*tk_cx_gb300*cf_cx+(1-cust_sh)*((1-Sens!$K$5876)*tk_cx_gb300+Sens!$K$5876*tk_cx_vr200)</f>
        <v>34.911788</v>
      </c>
      <c r="L5879" s="36" t="n">
        <f aca="false">cust_sh*tk_cx_gb300*cf_cx+(1-cust_sh)*((1-Sens!$L$5876)*tk_cx_gb300+Sens!$L$5876*tk_cx_vr200)</f>
        <v>34.911788</v>
      </c>
      <c r="M5879" s="36" t="n">
        <f aca="false">cust_sh*tk_cx_gb300*cf_cx+(1-cust_sh)*((1-Sens!$M$5876)*tk_cx_gb300+Sens!$M$5876*tk_cx_vr200)</f>
        <v>34.911788</v>
      </c>
    </row>
    <row r="5880" customFormat="false" ht="17.15" hidden="false" customHeight="false" outlineLevel="0" collapsed="false">
      <c r="A5880" s="5" t="s">
        <v>603</v>
      </c>
      <c r="B5880" s="0" t="s">
        <v>129</v>
      </c>
      <c r="F5880" s="32" t="n">
        <f aca="false">Sens!$F$5870-mw_open</f>
        <v>1817.15</v>
      </c>
      <c r="G5880" s="32" t="n">
        <f aca="false">Sens!$F$5880</f>
        <v>1817.15</v>
      </c>
      <c r="H5880" s="32" t="n">
        <f aca="false">Sens!$H$5870-mw_open</f>
        <v>5451.45</v>
      </c>
      <c r="I5880" s="32" t="n">
        <f aca="false">Sens!$I$5870-mw_open</f>
        <v>9085.75</v>
      </c>
      <c r="J5880" s="32" t="n">
        <f aca="false">Sens!$J$5870-mw_open</f>
        <v>12720.05</v>
      </c>
      <c r="K5880" s="32" t="n">
        <f aca="false">Sens!$K$5870-mw_open</f>
        <v>15290.9171666667</v>
      </c>
      <c r="L5880" s="32" t="n">
        <f aca="false">Sens!$L$5870-mw_open</f>
        <v>16798.3515</v>
      </c>
      <c r="M5880" s="32" t="n">
        <f aca="false">Sens!$M$5870-mw_open</f>
        <v>17242.353</v>
      </c>
    </row>
    <row r="5881" customFormat="false" ht="17.15" hidden="false" customHeight="false" outlineLevel="0" collapsed="false">
      <c r="A5881" s="0" t="s">
        <v>604</v>
      </c>
      <c r="B5881" s="0" t="s">
        <v>605</v>
      </c>
      <c r="F5881" s="32" t="n">
        <f aca="false">Sens!$F$5873*Sens!$F$5877</f>
        <v>19782.2417524844</v>
      </c>
      <c r="G5881" s="32" t="n">
        <f aca="false">Sens!$F$5881</f>
        <v>19782.2417524844</v>
      </c>
      <c r="H5881" s="32" t="n">
        <f aca="false">Sens!$G$5881+Sens!$H$5873*Sens!$H$5877</f>
        <v>60563.3616992009</v>
      </c>
      <c r="I5881" s="32" t="n">
        <f aca="false">Sens!$H$5881+Sens!$I$5873*Sens!$I$5877</f>
        <v>102561.118087665</v>
      </c>
      <c r="J5881" s="32" t="n">
        <f aca="false">Sens!$I$5881+Sens!$J$5873*Sens!$J$5877</f>
        <v>144558.87447613</v>
      </c>
      <c r="K5881" s="32" t="n">
        <f aca="false">Sens!$J$5881+Sens!$K$5873*Sens!$K$5877</f>
        <v>174267.663781572</v>
      </c>
      <c r="L5881" s="32" t="n">
        <f aca="false">Sens!$K$5881+Sens!$L$5873*Sens!$L$5877</f>
        <v>191687.486003992</v>
      </c>
      <c r="M5881" s="32" t="n">
        <f aca="false">Sens!$L$5881+Sens!$M$5873*Sens!$M$5877</f>
        <v>196818.341143389</v>
      </c>
    </row>
    <row r="5882" customFormat="false" ht="17.15" hidden="false" customHeight="false" outlineLevel="0" collapsed="false">
      <c r="A5882" s="0" t="s">
        <v>606</v>
      </c>
      <c r="B5882" s="0" t="s">
        <v>605</v>
      </c>
      <c r="F5882" s="32" t="n">
        <f aca="false">Sens!$F$5873*Sens!$F$5878</f>
        <v>3602.74485070566</v>
      </c>
      <c r="G5882" s="32" t="n">
        <f aca="false">Sens!$F$5882</f>
        <v>3602.74485070566</v>
      </c>
      <c r="H5882" s="32" t="n">
        <f aca="false">Sens!$G$5882+Sens!$H$5873*Sens!$H$5878</f>
        <v>10908.9598445736</v>
      </c>
      <c r="I5882" s="32" t="n">
        <f aca="false">Sens!$H$5882+Sens!$I$5873*Sens!$I$5878</f>
        <v>18315.9001308981</v>
      </c>
      <c r="J5882" s="32" t="n">
        <f aca="false">Sens!$I$5882+Sens!$J$5873*Sens!$J$5878</f>
        <v>25722.8404172225</v>
      </c>
      <c r="K5882" s="32" t="n">
        <f aca="false">Sens!$J$5882+Sens!$K$5873*Sens!$K$5878</f>
        <v>30962.4352738861</v>
      </c>
      <c r="L5882" s="32" t="n">
        <f aca="false">Sens!$K$5882+Sens!$L$5873*Sens!$L$5878</f>
        <v>34034.6847008886</v>
      </c>
      <c r="M5882" s="32" t="n">
        <f aca="false">Sens!$L$5882+Sens!$M$5873*Sens!$M$5878</f>
        <v>34939.5886982302</v>
      </c>
    </row>
    <row r="5883" customFormat="false" ht="17.15" hidden="false" customHeight="false" outlineLevel="0" collapsed="false">
      <c r="A5883" s="5" t="s">
        <v>607</v>
      </c>
      <c r="B5883" s="0" t="s">
        <v>173</v>
      </c>
      <c r="F5883" s="36" t="n">
        <f aca="false">IF(Sens!$F$5880&gt;0,Sens!$F$5881/Sens!$F$5880,Sens!$F$5877)</f>
        <v>10.8864110021101</v>
      </c>
      <c r="G5883" s="36" t="n">
        <f aca="false">IF(Sens!$G$5880&gt;0,Sens!$G$5881/Sens!$G$5880,Sens!$G$5877)</f>
        <v>10.8864110021101</v>
      </c>
      <c r="H5883" s="36" t="n">
        <f aca="false">IF(Sens!$H$5880&gt;0,Sens!$H$5881/Sens!$H$5880,Sens!$H$5877)</f>
        <v>11.1095876691891</v>
      </c>
      <c r="I5883" s="36" t="n">
        <f aca="false">IF(Sens!$I$5880&gt;0,Sens!$I$5881/Sens!$I$5880,Sens!$I$5877)</f>
        <v>11.2881290028523</v>
      </c>
      <c r="J5883" s="36" t="n">
        <f aca="false">IF(Sens!$J$5880&gt;0,Sens!$J$5881/Sens!$J$5880,Sens!$J$5877)</f>
        <v>11.3646467172794</v>
      </c>
      <c r="K5883" s="36" t="n">
        <f aca="false">IF(Sens!$K$5880&gt;0,Sens!$K$5881/Sens!$K$5880,Sens!$K$5877)</f>
        <v>11.3968090914432</v>
      </c>
      <c r="L5883" s="36" t="n">
        <f aca="false">IF(Sens!$L$5880&gt;0,Sens!$L$5881/Sens!$L$5880,Sens!$L$5877)</f>
        <v>11.4110891181192</v>
      </c>
      <c r="M5883" s="36" t="n">
        <f aca="false">IF(Sens!$M$5880&gt;0,Sens!$M$5881/Sens!$M$5880,Sens!$M$5877)</f>
        <v>11.4148191458201</v>
      </c>
    </row>
    <row r="5884" customFormat="false" ht="17.15" hidden="false" customHeight="false" outlineLevel="0" collapsed="false">
      <c r="A5884" s="5" t="s">
        <v>608</v>
      </c>
      <c r="B5884" s="0" t="s">
        <v>173</v>
      </c>
      <c r="F5884" s="36" t="n">
        <f aca="false">IF(Sens!$F$5880&gt;0,Sens!$F$5882/Sens!$F$5880,Sens!$F$5878)</f>
        <v>1.98263481314457</v>
      </c>
      <c r="G5884" s="36" t="n">
        <f aca="false">IF(Sens!$G$5880&gt;0,Sens!$G$5882/Sens!$G$5880,Sens!$G$5878)</f>
        <v>1.98263481314457</v>
      </c>
      <c r="H5884" s="36" t="n">
        <f aca="false">IF(Sens!$H$5880&gt;0,Sens!$H$5882/Sens!$H$5880,Sens!$H$5878)</f>
        <v>2.00111160233948</v>
      </c>
      <c r="I5884" s="36" t="n">
        <f aca="false">IF(Sens!$I$5880&gt;0,Sens!$I$5882/Sens!$I$5880,Sens!$I$5878)</f>
        <v>2.01589303369541</v>
      </c>
      <c r="J5884" s="36" t="n">
        <f aca="false">IF(Sens!$J$5880&gt;0,Sens!$J$5882/Sens!$J$5880,Sens!$J$5878)</f>
        <v>2.02222793284795</v>
      </c>
      <c r="K5884" s="36" t="n">
        <f aca="false">IF(Sens!$K$5880&gt;0,Sens!$K$5882/Sens!$K$5880,Sens!$K$5878)</f>
        <v>2.02489065478573</v>
      </c>
      <c r="L5884" s="36" t="n">
        <f aca="false">IF(Sens!$L$5880&gt;0,Sens!$L$5882/Sens!$L$5880,Sens!$L$5878)</f>
        <v>2.0260728977417</v>
      </c>
      <c r="M5884" s="36" t="n">
        <f aca="false">IF(Sens!$M$5880&gt;0,Sens!$M$5882/Sens!$M$5880,Sens!$M$5878)</f>
        <v>2.02638170661685</v>
      </c>
    </row>
    <row r="5885" customFormat="false" ht="17.15" hidden="false" customHeight="false" outlineLevel="0" collapsed="false">
      <c r="A5885" s="15" t="s">
        <v>609</v>
      </c>
      <c r="B5885" s="14" t="s">
        <v>173</v>
      </c>
      <c r="C5885" s="14"/>
      <c r="D5885" s="14"/>
      <c r="E5885" s="14"/>
      <c r="F5885" s="37" t="n">
        <f aca="false">Sens!$F$5883*k_B</f>
        <v>10.7987645808025</v>
      </c>
      <c r="G5885" s="37" t="n">
        <f aca="false">Sens!$G$5883*k_B</f>
        <v>10.7987645808025</v>
      </c>
      <c r="H5885" s="37" t="n">
        <f aca="false">Sens!$H$5883*k_B</f>
        <v>11.0201444540452</v>
      </c>
      <c r="I5885" s="37" t="n">
        <f aca="false">Sens!$I$5883*k_B</f>
        <v>11.1972483526393</v>
      </c>
      <c r="J5885" s="37" t="n">
        <f aca="false">Sens!$J$5883*k_B</f>
        <v>11.2731500234653</v>
      </c>
      <c r="K5885" s="37" t="n">
        <f aca="false">Sens!$K$5883*k_B</f>
        <v>11.3050534585724</v>
      </c>
      <c r="L5885" s="37" t="n">
        <f aca="false">Sens!$L$5883*k_B</f>
        <v>11.3192185168503</v>
      </c>
      <c r="M5885" s="37" t="n">
        <f aca="false">Sens!$M$5883*k_B</f>
        <v>11.3229185141234</v>
      </c>
      <c r="N5885" s="14"/>
      <c r="O5885" s="14"/>
      <c r="P5885" s="5" t="s">
        <v>610</v>
      </c>
    </row>
    <row r="5886" customFormat="false" ht="17.15" hidden="false" customHeight="false" outlineLevel="0" collapsed="false">
      <c r="A5886" s="5" t="s">
        <v>611</v>
      </c>
      <c r="B5886" s="0" t="s">
        <v>129</v>
      </c>
      <c r="F5886" s="32" t="n">
        <f aca="false">Sens!$F$5880/2</f>
        <v>908.575</v>
      </c>
      <c r="H5886" s="32" t="n">
        <f aca="false">(Sens!$G$5880+Sens!$H$5880)/2</f>
        <v>3634.3</v>
      </c>
      <c r="I5886" s="32" t="n">
        <f aca="false">(Sens!$H$5880+Sens!$I$5880)/2</f>
        <v>7268.6</v>
      </c>
      <c r="J5886" s="32" t="n">
        <f aca="false">(Sens!$I$5880+Sens!$J$5880)/2</f>
        <v>10902.9</v>
      </c>
      <c r="K5886" s="32" t="n">
        <f aca="false">(Sens!$J$5880+Sens!$K$5880)/2</f>
        <v>14005.4835833333</v>
      </c>
      <c r="L5886" s="32" t="n">
        <f aca="false">(Sens!$K$5880+Sens!$L$5880)/2</f>
        <v>16044.6343333333</v>
      </c>
      <c r="M5886" s="32" t="n">
        <f aca="false">(Sens!$L$5880+Sens!$M$5880)/2</f>
        <v>17020.35225</v>
      </c>
    </row>
    <row r="5887" customFormat="false" ht="17.15" hidden="false" customHeight="false" outlineLevel="0" collapsed="false">
      <c r="A5887" s="1" t="s">
        <v>612</v>
      </c>
    </row>
    <row r="5888" customFormat="false" ht="17.15" hidden="false" customHeight="false" outlineLevel="0" collapsed="false">
      <c r="A5888" s="1" t="s">
        <v>613</v>
      </c>
      <c r="B5888" s="8" t="s">
        <v>86</v>
      </c>
      <c r="C5888" s="38" t="n">
        <f aca="false">Sens!$C$5871*rpm_open*Sens!$C$5872/1000</f>
        <v>2.32100535697364</v>
      </c>
      <c r="D5888" s="38" t="n">
        <f aca="false">Sens!$D$5871*rpm_open*Sens!$D$5872/1000</f>
        <v>8.70377008865116</v>
      </c>
      <c r="E5888" s="38" t="n">
        <f aca="false">Sens!$E$5871*rpm_open*Sens!$E$5872/1000</f>
        <v>8.51035297557002</v>
      </c>
      <c r="F5888" s="38" t="n">
        <f aca="false">(mw_open*rpm_open+Sens!$F$5886*Sens!$F$5885)*Sens!$F$5872/1000</f>
        <v>14.9634336447205</v>
      </c>
      <c r="G5888" s="38" t="n">
        <f aca="false">Sens!$E$5888+Sens!$F$5888</f>
        <v>23.4737866202905</v>
      </c>
      <c r="H5888" s="38" t="n">
        <f aca="false">(mw_open*rpm_open+Sens!$H$5886*Sens!$H$5885)/1000</f>
        <v>60.1658907497746</v>
      </c>
      <c r="I5888" s="38" t="n">
        <f aca="false">(mw_open*rpm_open+Sens!$I$5886*Sens!$I$5885)/1000</f>
        <v>101.503699136432</v>
      </c>
      <c r="J5888" s="38" t="n">
        <f aca="false">(mw_open*rpm_open+Sens!$J$5886*Sens!$J$5885)/1000</f>
        <v>143.025407151278</v>
      </c>
      <c r="K5888" s="38" t="n">
        <f aca="false">(mw_open*rpm_open+Sens!$K$5886*Sens!$K$5885)/1000</f>
        <v>178.44812038318</v>
      </c>
      <c r="L5888" s="38" t="n">
        <f aca="false">(mw_open*rpm_open+Sens!$L$5886*Sens!$L$5885)/1000</f>
        <v>201.728101802396</v>
      </c>
      <c r="M5888" s="38" t="n">
        <f aca="false">(mw_open*rpm_open+Sens!$M$5886*Sens!$M$5885)/1000</f>
        <v>212.835441368865</v>
      </c>
      <c r="N5888" s="38" t="n">
        <f aca="false">Sens!$N$5871*rpm_open*Sens!$N$5872/1000</f>
        <v>3.04631953102791</v>
      </c>
      <c r="O5888" s="38" t="n">
        <f aca="false">Sens!$O$5871*rpm_open*Sens!$O$5872/1000</f>
        <v>5.65745055762326</v>
      </c>
      <c r="P5888" s="5" t="s">
        <v>614</v>
      </c>
    </row>
    <row r="5889" customFormat="false" ht="17.15" hidden="false" customHeight="false" outlineLevel="0" collapsed="false">
      <c r="A5889" s="5" t="s">
        <v>615</v>
      </c>
      <c r="B5889" s="0" t="s">
        <v>173</v>
      </c>
      <c r="C5889" s="36" t="n">
        <f aca="false">Sens!$C$5888*1000/(Sens!$C$5871*Sens!$C$5872)</f>
        <v>9.67085565405685</v>
      </c>
      <c r="D5889" s="36" t="n">
        <f aca="false">Sens!$D$5888*1000/(Sens!$D$5871*Sens!$D$5872)</f>
        <v>9.67085565405685</v>
      </c>
      <c r="E5889" s="36" t="n">
        <f aca="false">Sens!$E$5888*1000/(Sens!$E$5871*Sens!$E$5872)</f>
        <v>9.67085565405685</v>
      </c>
      <c r="F5889" s="36" t="n">
        <f aca="false">Sens!$F$5888*1000/(Sens!$F$5871*Sens!$F$5872)</f>
        <v>10.0137581588017</v>
      </c>
      <c r="G5889" s="36" t="n">
        <f aca="false">Sens!$G$5888*1000/(Sens!$G$5871*Sens!$G$5872)</f>
        <v>9.88666562928478</v>
      </c>
      <c r="H5889" s="36" t="n">
        <f aca="false">Sens!$H$5888*1000/(Sens!$H$5871*Sens!$H$5872)</f>
        <v>10.5290045586992</v>
      </c>
      <c r="I5889" s="36" t="n">
        <f aca="false">Sens!$I$5888*1000/(Sens!$I$5871*Sens!$I$5872)</f>
        <v>10.8576363451674</v>
      </c>
      <c r="J5889" s="36" t="n">
        <f aca="false">Sens!$J$5888*1000/(Sens!$J$5871*Sens!$J$5872)</f>
        <v>11.0164452588619</v>
      </c>
      <c r="K5889" s="36" t="n">
        <f aca="false">Sens!$K$5888*1000/(Sens!$K$5871*Sens!$K$5872)</f>
        <v>11.0937367508227</v>
      </c>
      <c r="L5889" s="36" t="n">
        <f aca="false">Sens!$L$5888*1000/(Sens!$L$5871*Sens!$L$5872)</f>
        <v>11.1300508519168</v>
      </c>
      <c r="M5889" s="36" t="n">
        <f aca="false">Sens!$M$5888*1000/(Sens!$M$5871*Sens!$M$5872)</f>
        <v>11.1430113216297</v>
      </c>
      <c r="N5889" s="36" t="n">
        <f aca="false">Sens!$N$5888*1000/(Sens!$N$5871*Sens!$N$5872)</f>
        <v>9.67085565405685</v>
      </c>
      <c r="O5889" s="36" t="n">
        <f aca="false">Sens!$O$5888*1000/(Sens!$O$5871*Sens!$O$5872)</f>
        <v>9.67085565405685</v>
      </c>
    </row>
    <row r="5890" customFormat="false" ht="17.15" hidden="false" customHeight="false" outlineLevel="0" collapsed="false">
      <c r="A5890" s="0" t="s">
        <v>616</v>
      </c>
      <c r="B5890" s="0" t="s">
        <v>86</v>
      </c>
      <c r="C5890" s="38" t="n">
        <f aca="false">Sens!$C$5871/ext_sh*(ox_open+rent_mw)*Sens!$C$5872/1000</f>
        <v>0.642569210675032</v>
      </c>
      <c r="D5890" s="38" t="n">
        <f aca="false">Sens!$D$5871/ext_sh*(ox_open+rent_mw)*Sens!$D$5872/1000</f>
        <v>2.40963454003137</v>
      </c>
      <c r="E5890" s="38" t="n">
        <f aca="false">Sens!$E$5871/ext_sh*(ox_open+rent_mw)*Sens!$E$5872/1000</f>
        <v>2.35608710580845</v>
      </c>
      <c r="F5890" s="38" t="n">
        <f aca="false">((mw_open*ox_open+Sens!$F$5886*Sens!$F$5884)/ext_sh+Sens!$F$5871/ext_sh*rent_mw)*Sens!$F$5872/1000</f>
        <v>4.05421991106232</v>
      </c>
      <c r="G5890" s="38" t="n">
        <f aca="false">Sens!$E$5890+Sens!$F$5890</f>
        <v>6.41030701687077</v>
      </c>
      <c r="H5890" s="38" t="n">
        <f aca="false">((mw_open*ox_open+Sens!$H$5886*Sens!$H$5884)/ext_sh+Sens!$H$5871/ext_sh*rent_mw)*Sens!$H$5872/1000</f>
        <v>15.8108975546616</v>
      </c>
      <c r="I5890" s="38" t="n">
        <f aca="false">((mw_open*ox_open+Sens!$I$5886*Sens!$I$5884)/ext_sh+Sens!$I$5871/ext_sh*rent_mw)*Sens!$I$5872/1000</f>
        <v>26.1871623400817</v>
      </c>
      <c r="J5890" s="38" t="n">
        <f aca="false">((mw_open*ox_open+Sens!$J$5886*Sens!$J$5884)/ext_sh+Sens!$J$5871/ext_sh*rent_mw)*Sens!$J$5872/1000</f>
        <v>36.5826128954935</v>
      </c>
      <c r="K5890" s="38" t="n">
        <f aca="false">((mw_open*ox_open+Sens!$K$5886*Sens!$K$5884)/ext_sh+Sens!$K$5871/ext_sh*rent_mw)*Sens!$K$5872/1000</f>
        <v>45.4546361137628</v>
      </c>
      <c r="L5890" s="38" t="n">
        <f aca="false">((mw_open*ox_open+Sens!$L$5886*Sens!$L$5884)/ext_sh+Sens!$L$5871/ext_sh*rent_mw)*Sens!$L$5872/1000</f>
        <v>51.2855695554452</v>
      </c>
      <c r="M5890" s="38" t="n">
        <f aca="false">((mw_open*ox_open+Sens!$M$5886*Sens!$M$5884)/ext_sh+Sens!$M$5871/ext_sh*rent_mw)*Sens!$M$5872/1000</f>
        <v>54.0722927838398</v>
      </c>
      <c r="N5890" s="38" t="n">
        <f aca="false">Sens!$N$5871/ext_sh*(ox_open+rent_mw)*Sens!$N$5872/1000</f>
        <v>0.84337208901098</v>
      </c>
      <c r="O5890" s="38" t="n">
        <f aca="false">Sens!$O$5871/ext_sh*(ox_open+rent_mw)*Sens!$O$5872/1000</f>
        <v>1.56626245102039</v>
      </c>
    </row>
    <row r="5891" customFormat="false" ht="17.15" hidden="false" customHeight="false" outlineLevel="0" collapsed="false">
      <c r="A5891" s="0" t="s">
        <v>617</v>
      </c>
      <c r="B5891" s="0" t="s">
        <v>86</v>
      </c>
      <c r="C5891" s="38" t="n">
        <f aca="false">Q!$D$7</f>
        <v>107.556</v>
      </c>
      <c r="D5891" s="38" t="n">
        <f aca="false">Q!$E$7</f>
        <v>128.725</v>
      </c>
      <c r="E5891" s="38" t="n">
        <f aca="false">Q!$P$7</f>
        <v>79.819</v>
      </c>
      <c r="N5891" s="38" t="n">
        <f aca="false">Q!$N$7</f>
        <v>60.14</v>
      </c>
      <c r="O5891" s="38" t="n">
        <f aca="false">Q!$O$7</f>
        <v>68.585</v>
      </c>
    </row>
    <row r="5892" customFormat="false" ht="17.15" hidden="false" customHeight="false" outlineLevel="0" collapsed="false">
      <c r="A5892" s="1" t="s">
        <v>618</v>
      </c>
      <c r="B5892" s="8" t="s">
        <v>86</v>
      </c>
      <c r="C5892" s="38" t="n">
        <f aca="false">Sens!$C$5891-Sens!$C$5888</f>
        <v>105.234994643026</v>
      </c>
      <c r="D5892" s="38" t="n">
        <f aca="false">Sens!$D$5891-Sens!$D$5888</f>
        <v>120.021229911349</v>
      </c>
      <c r="E5892" s="38" t="n">
        <f aca="false">Sens!$E$5891-Sens!$E$5888</f>
        <v>71.30864702443</v>
      </c>
      <c r="F5892" s="38" t="n">
        <f aca="false">Sens!$O$5892*(1+Sens!$F$5893)</f>
        <v>71.7692997942464</v>
      </c>
      <c r="G5892" s="38" t="n">
        <f aca="false">Sens!$E$5892+Sens!$F$5892</f>
        <v>143.077946818676</v>
      </c>
      <c r="H5892" s="38" t="n">
        <f aca="false">Sens!$G$5892*(1+Sens!$H$5893)</f>
        <v>161.017077079203</v>
      </c>
      <c r="I5892" s="38" t="n">
        <f aca="false">Sens!$H$5892*(1+Sens!$I$5893)</f>
        <v>178.769759521457</v>
      </c>
      <c r="J5892" s="38" t="n">
        <f aca="false">Sens!$I$5892*(1+Sens!$J$5893)</f>
        <v>195.775538045907</v>
      </c>
      <c r="K5892" s="38" t="n">
        <f aca="false">Sens!$J$5892*(1+Sens!$K$5893)</f>
        <v>211.43758108958</v>
      </c>
      <c r="L5892" s="38" t="n">
        <f aca="false">Sens!$K$5892*(1+Sens!$L$5893)</f>
        <v>228.352587576746</v>
      </c>
      <c r="M5892" s="38" t="n">
        <f aca="false">Sens!$L$5892*(1+Sens!$M$5893)</f>
        <v>246.620794582886</v>
      </c>
      <c r="N5892" s="38" t="n">
        <f aca="false">Sens!$N$5891-Sens!$N$5888</f>
        <v>57.0936804689721</v>
      </c>
      <c r="O5892" s="38" t="n">
        <f aca="false">Sens!$O$5891-Sens!$O$5888</f>
        <v>62.9275494423768</v>
      </c>
      <c r="P5892" s="5" t="s">
        <v>619</v>
      </c>
    </row>
    <row r="5893" customFormat="false" ht="17.15" hidden="false" customHeight="false" outlineLevel="0" collapsed="false">
      <c r="A5893" s="0" t="s">
        <v>620</v>
      </c>
      <c r="B5893" s="0" t="s">
        <v>52</v>
      </c>
      <c r="D5893" s="13" t="n">
        <f aca="false">Sens!$D$5892/Sens!$C$5892-1</f>
        <v>0.140506827776062</v>
      </c>
      <c r="E5893" s="13" t="n">
        <f aca="false">Sens!$E$5892/Sens!$N$5892-1</f>
        <v>0.248976181579029</v>
      </c>
      <c r="F5893" s="13" t="n">
        <f aca="false">Sens!$D$5893</f>
        <v>0.140506827776062</v>
      </c>
      <c r="G5893" s="13" t="n">
        <f aca="false">Sens!$G$5892/Sens!$D$5892-1</f>
        <v>0.19210532106993</v>
      </c>
      <c r="H5893" s="13" t="n">
        <f aca="false">Sens!$F$5893+(g_awso_lt-Sens!$F$5893)*1/4</f>
        <v>0.125380120832046</v>
      </c>
      <c r="I5893" s="13" t="n">
        <f aca="false">Sens!$F$5893+(g_awso_lt-Sens!$F$5893)*2/4</f>
        <v>0.110253413888031</v>
      </c>
      <c r="J5893" s="13" t="n">
        <f aca="false">Sens!$F$5893+(g_awso_lt-Sens!$F$5893)*3/4</f>
        <v>0.0951267069440154</v>
      </c>
      <c r="K5893" s="13" t="n">
        <f aca="false">Sens!$F$5893+(g_awso_lt-Sens!$F$5893)*4/4</f>
        <v>0.08</v>
      </c>
      <c r="L5893" s="13" t="n">
        <f aca="false">g_awso_lt</f>
        <v>0.08</v>
      </c>
      <c r="M5893" s="13" t="n">
        <f aca="false">g_awso_lt</f>
        <v>0.08</v>
      </c>
      <c r="P5893" s="5" t="s">
        <v>621</v>
      </c>
    </row>
    <row r="5894" customFormat="false" ht="17.15" hidden="false" customHeight="false" outlineLevel="0" collapsed="false">
      <c r="A5894" s="1" t="s">
        <v>622</v>
      </c>
    </row>
    <row r="5895" customFormat="false" ht="17.15" hidden="false" customHeight="false" outlineLevel="0" collapsed="false">
      <c r="A5895" s="0" t="s">
        <v>623</v>
      </c>
      <c r="B5895" s="0" t="s">
        <v>86</v>
      </c>
      <c r="F5895" s="38" t="n">
        <f aca="false">cx_rt*Sens!$F$5860+cx_awso*Sens!$F$5892</f>
        <v>34.9734495387866</v>
      </c>
    </row>
    <row r="5896" customFormat="false" ht="17.15" hidden="false" customHeight="false" outlineLevel="0" collapsed="false">
      <c r="A5896" s="0" t="s">
        <v>624</v>
      </c>
      <c r="B5896" s="0" t="s">
        <v>52</v>
      </c>
      <c r="C5896" s="13" t="n">
        <f aca="false">tk_cx_h100/(tk_cx_h100+tk_fac*(1-colo_sh))</f>
        <v>0.730756458006641</v>
      </c>
      <c r="D5896" s="13" t="n">
        <f aca="false">tk_cx_h100/(tk_cx_h100+tk_fac*(1-colo_sh))</f>
        <v>0.730756458006641</v>
      </c>
      <c r="E5896" s="13" t="n">
        <f aca="false">Sens!$F$5896</f>
        <v>0.760792334328868</v>
      </c>
      <c r="F5896" s="13" t="n">
        <f aca="false">Sens!$F$5879/(Sens!$F$5879+tk_fac*(1-colo_sh))</f>
        <v>0.760792334328868</v>
      </c>
      <c r="G5896" s="13" t="n">
        <f aca="false">Sens!$G$5879/(Sens!$G$5879+tk_fac*(1-colo_sh))</f>
        <v>0.760792334328868</v>
      </c>
      <c r="H5896" s="13" t="n">
        <f aca="false">Sens!$H$5879/(Sens!$H$5879+tk_fac*(1-colo_sh))</f>
        <v>0.768110668862996</v>
      </c>
      <c r="I5896" s="13" t="n">
        <f aca="false">Sens!$I$5879/(Sens!$I$5879+tk_fac*(1-colo_sh))</f>
        <v>0.77499450139483</v>
      </c>
      <c r="J5896" s="13" t="n">
        <f aca="false">Sens!$J$5879/(Sens!$J$5879+tk_fac*(1-colo_sh))</f>
        <v>0.77499450139483</v>
      </c>
      <c r="K5896" s="13" t="n">
        <f aca="false">Sens!$K$5879/(Sens!$K$5879+tk_fac*(1-colo_sh))</f>
        <v>0.77499450139483</v>
      </c>
      <c r="L5896" s="13" t="n">
        <f aca="false">Sens!$L$5879/(Sens!$L$5879+tk_fac*(1-colo_sh))</f>
        <v>0.77499450139483</v>
      </c>
      <c r="M5896" s="13" t="n">
        <f aca="false">Sens!$M$5879/(Sens!$M$5879+tk_fac*(1-colo_sh))</f>
        <v>0.77499450139483</v>
      </c>
    </row>
    <row r="5897" customFormat="false" ht="17.15" hidden="false" customHeight="false" outlineLevel="0" collapsed="false">
      <c r="A5897" s="1" t="s">
        <v>625</v>
      </c>
      <c r="B5897" s="8" t="s">
        <v>86</v>
      </c>
      <c r="C5897" s="38" t="n">
        <f aca="false">Q!$D$46-cx_rt*Q!$D$16-cx_awso*Sens!$C$5892</f>
        <v>25.2781053077374</v>
      </c>
      <c r="D5897" s="38" t="n">
        <f aca="false">Q!$E$46-cx_rt*Q!$E$16-cx_awso*Sens!$D$5892</f>
        <v>69.5686316310026</v>
      </c>
      <c r="E5897" s="38" t="n">
        <f aca="false">Q!$P$46-cx_rt*Q!$P$16-cx_awso*Sens!$E$5892</f>
        <v>64.1899206485108</v>
      </c>
      <c r="F5897" s="38" t="n">
        <f aca="false">MAX(Sens!$F$5874*(Sens!$F$5879+tk_fac*(1-colo_sh))/1000,capex_g26-Q!$P$46-Sens!$F$5895)</f>
        <v>96.2481299895</v>
      </c>
      <c r="G5897" s="38" t="n">
        <f aca="false">Sens!$E$5897+Sens!$F$5897</f>
        <v>160.438050638011</v>
      </c>
      <c r="H5897" s="38" t="n">
        <f aca="false">Sens!$H$5874*(Sens!$H$5879+tk_fac*(1-colo_sh))/1000+Sens!$H$5898</f>
        <v>198.57136494475</v>
      </c>
      <c r="I5897" s="38" t="n">
        <f aca="false">Sens!$I$5874*(Sens!$I$5879+tk_fac*(1-colo_sh))/1000+Sens!$I$5898</f>
        <v>204.6464699105</v>
      </c>
      <c r="J5897" s="38" t="n">
        <f aca="false">Sens!$J$5874*(Sens!$J$5879+tk_fac*(1-colo_sh))/1000+Sens!$J$5898</f>
        <v>209.8832381105</v>
      </c>
      <c r="K5897" s="38" t="n">
        <f aca="false">Sens!$K$5874*(Sens!$K$5879+tk_fac*(1-colo_sh))/1000+Sens!$K$5898</f>
        <v>155.238385275201</v>
      </c>
      <c r="L5897" s="38" t="n">
        <f aca="false">Sens!$L$5874*(Sens!$L$5879+tk_fac*(1-colo_sh))/1000+Sens!$L$5898</f>
        <v>132.014141639902</v>
      </c>
      <c r="M5897" s="38" t="n">
        <f aca="false">Sens!$M$5874*(Sens!$M$5879+tk_fac*(1-colo_sh))/1000+Sens!$M$5898</f>
        <v>132.230981659852</v>
      </c>
      <c r="P5897" s="5" t="s">
        <v>626</v>
      </c>
      <c r="R5897" s="38" t="n">
        <f aca="false">Q!$C$46-cx_rt*Q!$C$16-cx_awso*(Q!$C$7-mw_ye23/2*rpm_open/1000)</f>
        <v>1.50429979529945</v>
      </c>
      <c r="S5897" s="38" t="n">
        <f aca="false">Sens!$C$5897</f>
        <v>25.2781053077374</v>
      </c>
      <c r="T5897" s="38" t="n">
        <f aca="false">Sens!$D$5897</f>
        <v>69.5686316310026</v>
      </c>
      <c r="U5897" s="38" t="n">
        <f aca="false">Sens!$G$5897</f>
        <v>160.438050638011</v>
      </c>
      <c r="V5897" s="38" t="n">
        <f aca="false">Sens!$H$5897</f>
        <v>198.57136494475</v>
      </c>
      <c r="W5897" s="38" t="n">
        <f aca="false">Sens!$I$5897</f>
        <v>204.6464699105</v>
      </c>
      <c r="X5897" s="38" t="n">
        <f aca="false">Sens!$J$5897</f>
        <v>209.8832381105</v>
      </c>
      <c r="Y5897" s="38" t="n">
        <f aca="false">Sens!$K$5897</f>
        <v>155.238385275201</v>
      </c>
      <c r="Z5897" s="38" t="n">
        <f aca="false">Sens!$L$5897</f>
        <v>132.014141639902</v>
      </c>
      <c r="AA5897" s="38" t="n">
        <f aca="false">Sens!$M$5897</f>
        <v>132.230981659852</v>
      </c>
    </row>
    <row r="5898" customFormat="false" ht="17.15" hidden="false" customHeight="false" outlineLevel="0" collapsed="false">
      <c r="A5898" s="0" t="s">
        <v>627</v>
      </c>
      <c r="B5898" s="0" t="s">
        <v>86</v>
      </c>
      <c r="H5898" s="38" t="n">
        <f aca="false">SUMPRODUCT(--(Sens!$R$5867:$AA$5867=2027-tk_life),Sens!$R$5874:$AA$5874)*Sens!$H$5879/1000</f>
        <v>0</v>
      </c>
      <c r="I5898" s="38" t="n">
        <f aca="false">SUMPRODUCT(--(Sens!$R$5867:$AA$5867=2028-tk_life),Sens!$R$5874:$AA$5874)*Sens!$I$5879/1000</f>
        <v>0</v>
      </c>
      <c r="J5898" s="38" t="n">
        <f aca="false">SUMPRODUCT(--(Sens!$R$5867:$AA$5867=2029-tk_life),Sens!$R$5874:$AA$5874)*Sens!$J$5879/1000</f>
        <v>5.2367682</v>
      </c>
      <c r="K5898" s="38" t="n">
        <f aca="false">SUMPRODUCT(--(Sens!$R$5867:$AA$5867=2030-tk_life),Sens!$R$5874:$AA$5874)*Sens!$K$5879/1000</f>
        <v>10.4735364</v>
      </c>
      <c r="L5898" s="38" t="n">
        <f aca="false">SUMPRODUCT(--(Sens!$R$5867:$AA$5867=2031-tk_life),Sens!$R$5874:$AA$5874)*Sens!$L$5879/1000</f>
        <v>47.1309138</v>
      </c>
      <c r="M5898" s="38" t="n">
        <f aca="false">SUMPRODUCT(--(Sens!$R$5867:$AA$5867=2032-tk_life),Sens!$R$5874:$AA$5874)*Sens!$M$5879/1000</f>
        <v>107.22937485525</v>
      </c>
    </row>
    <row r="5899" customFormat="false" ht="17.15" hidden="false" customHeight="false" outlineLevel="0" collapsed="false">
      <c r="A5899" s="5" t="s">
        <v>628</v>
      </c>
      <c r="B5899" s="0" t="s">
        <v>86</v>
      </c>
      <c r="C5899" s="38" t="n">
        <f aca="false">Sens!$C$5897*Sens!$C$5896</f>
        <v>18.472138699801</v>
      </c>
      <c r="D5899" s="38" t="n">
        <f aca="false">Sens!$D$5897*Sens!$D$5896</f>
        <v>50.8377268390402</v>
      </c>
      <c r="E5899" s="38" t="n">
        <f aca="false">Sens!$E$5897*Sens!$E$5896</f>
        <v>48.8351995705653</v>
      </c>
      <c r="F5899" s="38" t="n">
        <f aca="false">Sens!$F$5897*Sens!$F$5896</f>
        <v>73.2248394895</v>
      </c>
      <c r="G5899" s="38" t="n">
        <f aca="false">Sens!$E$5899+Sens!$F$5899</f>
        <v>122.060039060065</v>
      </c>
      <c r="H5899" s="38" t="n">
        <f aca="false">(Sens!$H$5897-Sens!$H$5898)*Sens!$H$5896+Sens!$H$5898</f>
        <v>152.52478394475</v>
      </c>
      <c r="I5899" s="38" t="n">
        <f aca="false">(Sens!$I$5897-Sens!$I$5898)*Sens!$I$5896+Sens!$I$5898</f>
        <v>158.5998889105</v>
      </c>
      <c r="J5899" s="38" t="n">
        <f aca="false">(Sens!$J$5897-Sens!$J$5898)*Sens!$J$5896+Sens!$J$5898</f>
        <v>163.8366571105</v>
      </c>
      <c r="K5899" s="38" t="n">
        <f aca="false">(Sens!$K$5897-Sens!$K$5898)*Sens!$K$5896+Sens!$K$5898</f>
        <v>122.665498273534</v>
      </c>
      <c r="L5899" s="38" t="n">
        <f aca="false">(Sens!$L$5897-Sens!$L$5898)*Sens!$L$5896+Sens!$L$5898</f>
        <v>112.914948636568</v>
      </c>
      <c r="M5899" s="38" t="n">
        <f aca="false">(Sens!$M$5897-Sens!$M$5898)*Sens!$M$5896+Sens!$M$5898</f>
        <v>126.605482654852</v>
      </c>
      <c r="R5899" s="38" t="n">
        <f aca="false">Sens!$R$5897*Sens!$C$5896</f>
        <v>1.09927679019314</v>
      </c>
      <c r="S5899" s="38" t="n">
        <f aca="false">Sens!$C$5899</f>
        <v>18.472138699801</v>
      </c>
      <c r="T5899" s="38" t="n">
        <f aca="false">Sens!$D$5899</f>
        <v>50.8377268390402</v>
      </c>
      <c r="U5899" s="38" t="n">
        <f aca="false">Sens!$G$5899</f>
        <v>122.060039060065</v>
      </c>
      <c r="V5899" s="38" t="n">
        <f aca="false">Sens!$H$5899</f>
        <v>152.52478394475</v>
      </c>
      <c r="W5899" s="38" t="n">
        <f aca="false">Sens!$I$5899</f>
        <v>158.5998889105</v>
      </c>
      <c r="X5899" s="38" t="n">
        <f aca="false">Sens!$J$5899</f>
        <v>163.8366571105</v>
      </c>
      <c r="Y5899" s="38" t="n">
        <f aca="false">Sens!$K$5899</f>
        <v>122.665498273534</v>
      </c>
      <c r="Z5899" s="38" t="n">
        <f aca="false">Sens!$L$5899</f>
        <v>112.914948636568</v>
      </c>
      <c r="AA5899" s="38" t="n">
        <f aca="false">Sens!$M$5899</f>
        <v>126.605482654852</v>
      </c>
    </row>
    <row r="5900" customFormat="false" ht="15" hidden="false" customHeight="false" outlineLevel="0" collapsed="false">
      <c r="A5900" s="5" t="s">
        <v>629</v>
      </c>
      <c r="B5900" s="0" t="s">
        <v>86</v>
      </c>
      <c r="C5900" s="38" t="n">
        <f aca="false">Sens!$C$5897-Sens!$C$5899</f>
        <v>6.80596660793636</v>
      </c>
      <c r="D5900" s="38" t="n">
        <f aca="false">Sens!$D$5897-Sens!$D$5899</f>
        <v>18.7309047919624</v>
      </c>
      <c r="E5900" s="38" t="n">
        <f aca="false">Sens!$E$5897-Sens!$E$5899</f>
        <v>15.3547210779455</v>
      </c>
      <c r="F5900" s="38" t="n">
        <f aca="false">Sens!$F$5897-Sens!$F$5899</f>
        <v>23.0232905</v>
      </c>
      <c r="G5900" s="38" t="n">
        <f aca="false">Sens!$G$5897-Sens!$G$5899</f>
        <v>38.3780115779455</v>
      </c>
      <c r="H5900" s="38" t="n">
        <f aca="false">Sens!$H$5897-Sens!$H$5899</f>
        <v>46.046581</v>
      </c>
      <c r="I5900" s="38" t="n">
        <f aca="false">Sens!$I$5897-Sens!$I$5899</f>
        <v>46.046581</v>
      </c>
      <c r="J5900" s="38" t="n">
        <f aca="false">Sens!$J$5897-Sens!$J$5899</f>
        <v>46.046581</v>
      </c>
      <c r="K5900" s="38" t="n">
        <f aca="false">Sens!$K$5897-Sens!$K$5899</f>
        <v>32.5728870016667</v>
      </c>
      <c r="L5900" s="38" t="n">
        <f aca="false">Sens!$L$5897-Sens!$L$5899</f>
        <v>19.0991930033334</v>
      </c>
      <c r="M5900" s="38" t="n">
        <f aca="false">Sens!$M$5897-Sens!$M$5899</f>
        <v>5.62549900499998</v>
      </c>
      <c r="R5900" s="38" t="n">
        <f aca="false">Sens!$R$5897-Sens!$R$5899</f>
        <v>0.405023005106309</v>
      </c>
      <c r="S5900" s="38" t="n">
        <f aca="false">Sens!$S$5897-Sens!$S$5899</f>
        <v>6.80596660793636</v>
      </c>
      <c r="T5900" s="38" t="n">
        <f aca="false">Sens!$T$5897-Sens!$T$5899</f>
        <v>18.7309047919624</v>
      </c>
      <c r="U5900" s="38" t="n">
        <f aca="false">Sens!$U$5897-Sens!$U$5899</f>
        <v>38.3780115779455</v>
      </c>
      <c r="V5900" s="38" t="n">
        <f aca="false">Sens!$V$5897-Sens!$V$5899</f>
        <v>46.046581</v>
      </c>
      <c r="W5900" s="38" t="n">
        <f aca="false">Sens!$W$5897-Sens!$W$5899</f>
        <v>46.046581</v>
      </c>
      <c r="X5900" s="38" t="n">
        <f aca="false">Sens!$X$5897-Sens!$X$5899</f>
        <v>46.046581</v>
      </c>
      <c r="Y5900" s="38" t="n">
        <f aca="false">Sens!$Y$5897-Sens!$Y$5899</f>
        <v>32.5728870016667</v>
      </c>
      <c r="Z5900" s="38" t="n">
        <f aca="false">Sens!$Z$5897-Sens!$Z$5899</f>
        <v>19.0991930033334</v>
      </c>
      <c r="AA5900" s="38" t="n">
        <f aca="false">Sens!$AA$5897-Sens!$AA$5899</f>
        <v>5.62549900499998</v>
      </c>
    </row>
    <row r="5901" customFormat="false" ht="17.15" hidden="false" customHeight="false" outlineLevel="0" collapsed="false">
      <c r="A5901" s="0" t="s">
        <v>630</v>
      </c>
      <c r="B5901" s="0" t="s">
        <v>52</v>
      </c>
      <c r="C5901" s="13" t="n">
        <f aca="false">Sens!$C$5897/Sens!$C$6017</f>
        <v>0.325505489553393</v>
      </c>
      <c r="D5901" s="13" t="n">
        <f aca="false">Sens!$D$5897/Sens!$D$6017</f>
        <v>0.54214956071542</v>
      </c>
      <c r="E5901" s="13" t="n">
        <f aca="false">Sens!$E$5897/Sens!$E$6017</f>
        <v>0.666492790452817</v>
      </c>
      <c r="F5901" s="13" t="n">
        <f aca="false">Sens!$F$5897/Sens!$F$6017</f>
        <v>0.733477910687338</v>
      </c>
      <c r="G5901" s="13" t="n">
        <f aca="false">Sens!$G$5897/Sens!$G$6017</f>
        <v>0.705124321514523</v>
      </c>
      <c r="H5901" s="13" t="n">
        <f aca="false">Sens!$H$5897/Sens!$H$6017</f>
        <v>0.726376041178204</v>
      </c>
      <c r="I5901" s="13" t="n">
        <f aca="false">Sens!$I$5897/Sens!$I$6017</f>
        <v>0.713099092661699</v>
      </c>
      <c r="J5901" s="13" t="n">
        <f aca="false">Sens!$J$5897/Sens!$J$6017</f>
        <v>0.701208348786245</v>
      </c>
      <c r="K5901" s="13" t="n">
        <f aca="false">Sens!$K$5897/Sens!$K$6017</f>
        <v>0.618338844562383</v>
      </c>
      <c r="L5901" s="13" t="n">
        <f aca="false">Sens!$L$5897/Sens!$L$6017</f>
        <v>0.562489158462506</v>
      </c>
      <c r="M5901" s="13" t="n">
        <f aca="false">Sens!$M$5897/Sens!$M$6017</f>
        <v>0.545751190895923</v>
      </c>
    </row>
    <row r="5902" customFormat="false" ht="17.15" hidden="false" customHeight="false" outlineLevel="0" collapsed="false">
      <c r="A5902" s="0" t="s">
        <v>631</v>
      </c>
      <c r="B5902" s="0" t="s">
        <v>86</v>
      </c>
      <c r="C5902" s="38" t="n">
        <f aca="false">Sens!$S$5902</f>
        <v>0.183212798365523</v>
      </c>
      <c r="D5902" s="38" t="n">
        <f aca="false">Sens!$T$5902</f>
        <v>3.2619025816657</v>
      </c>
      <c r="E5902" s="38" t="n">
        <f aca="false">Sens!$G$5902/2</f>
        <v>5.86742852741953</v>
      </c>
      <c r="F5902" s="38" t="n">
        <f aca="false">Sens!$G$5902/2</f>
        <v>5.86742852741953</v>
      </c>
      <c r="G5902" s="38" t="n">
        <f aca="false">Sens!$U$5902</f>
        <v>11.7348570548391</v>
      </c>
      <c r="H5902" s="38" t="n">
        <f aca="false">Sens!$V$5902</f>
        <v>32.0781968981833</v>
      </c>
      <c r="I5902" s="38" t="n">
        <f aca="false">Sens!$W$5902</f>
        <v>57.4989942223083</v>
      </c>
      <c r="J5902" s="38" t="n">
        <f aca="false">Sens!$X$5902</f>
        <v>83.932309040725</v>
      </c>
      <c r="K5902" s="38" t="n">
        <f aca="false">Sens!$Y$5902</f>
        <v>111.055205760776</v>
      </c>
      <c r="L5902" s="38" t="n">
        <f aca="false">Sens!$Z$5902</f>
        <v>128.420765689732</v>
      </c>
      <c r="M5902" s="38" t="n">
        <f aca="false">Sens!$AA$5902</f>
        <v>138.766969322653</v>
      </c>
      <c r="N5902" s="38" t="n">
        <f aca="false">Sens!$D$5902/2</f>
        <v>1.63095129083285</v>
      </c>
      <c r="O5902" s="38" t="n">
        <f aca="false">Sens!$D$5902/2</f>
        <v>1.63095129083285</v>
      </c>
      <c r="R5902" s="38" t="n">
        <f aca="false">SUMPRODUCT(--(Sens!$R$5867:$AA$5867&lt;Sens!R$5867),--(Sens!$R$5867:$AA$5867&gt;=Sens!R$5867-tk_life),Sens!$R$5899:$AA$5899)/tk_life</f>
        <v>0</v>
      </c>
      <c r="S5902" s="38" t="n">
        <f aca="false">SUMPRODUCT(--(Sens!$R$5867:$AA$5867&lt;Sens!S$5867),--(Sens!$R$5867:$AA$5867&gt;=Sens!S$5867-tk_life),Sens!$R$5899:$AA$5899)/tk_life</f>
        <v>0.183212798365523</v>
      </c>
      <c r="T5902" s="38" t="n">
        <f aca="false">SUMPRODUCT(--(Sens!$R$5867:$AA$5867&lt;Sens!T$5867),--(Sens!$R$5867:$AA$5867&gt;=Sens!T$5867-tk_life),Sens!$R$5899:$AA$5899)/tk_life</f>
        <v>3.2619025816657</v>
      </c>
      <c r="U5902" s="38" t="n">
        <f aca="false">SUMPRODUCT(--(Sens!$R$5867:$AA$5867&lt;Sens!U$5867),--(Sens!$R$5867:$AA$5867&gt;=Sens!U$5867-tk_life),Sens!$R$5899:$AA$5899)/tk_life</f>
        <v>11.7348570548391</v>
      </c>
      <c r="V5902" s="38" t="n">
        <f aca="false">SUMPRODUCT(--(Sens!$R$5867:$AA$5867&lt;Sens!V$5867),--(Sens!$R$5867:$AA$5867&gt;=Sens!V$5867-tk_life),Sens!$R$5899:$AA$5899)/tk_life</f>
        <v>32.0781968981833</v>
      </c>
      <c r="W5902" s="38" t="n">
        <f aca="false">SUMPRODUCT(--(Sens!$R$5867:$AA$5867&lt;Sens!W$5867),--(Sens!$R$5867:$AA$5867&gt;=Sens!W$5867-tk_life),Sens!$R$5899:$AA$5899)/tk_life</f>
        <v>57.4989942223083</v>
      </c>
      <c r="X5902" s="38" t="n">
        <f aca="false">SUMPRODUCT(--(Sens!$R$5867:$AA$5867&lt;Sens!X$5867),--(Sens!$R$5867:$AA$5867&gt;=Sens!X$5867-tk_life),Sens!$R$5899:$AA$5899)/tk_life</f>
        <v>83.932309040725</v>
      </c>
      <c r="Y5902" s="38" t="n">
        <f aca="false">SUMPRODUCT(--(Sens!$R$5867:$AA$5867&lt;Sens!Y$5867),--(Sens!$R$5867:$AA$5867&gt;=Sens!Y$5867-tk_life),Sens!$R$5899:$AA$5899)/tk_life</f>
        <v>111.055205760776</v>
      </c>
      <c r="Z5902" s="38" t="n">
        <f aca="false">SUMPRODUCT(--(Sens!$R$5867:$AA$5867&lt;Sens!Z$5867),--(Sens!$R$5867:$AA$5867&gt;=Sens!Z$5867-tk_life),Sens!$R$5899:$AA$5899)/tk_life</f>
        <v>128.420765689732</v>
      </c>
      <c r="AA5902" s="38" t="n">
        <f aca="false">SUMPRODUCT(--(Sens!$R$5867:$AA$5867&lt;Sens!AA$5867),--(Sens!$R$5867:$AA$5867&gt;=Sens!AA$5867-tk_life),Sens!$R$5899:$AA$5899)/tk_life</f>
        <v>138.766969322653</v>
      </c>
    </row>
    <row r="5903" customFormat="false" ht="17.15" hidden="false" customHeight="false" outlineLevel="0" collapsed="false">
      <c r="A5903" s="0" t="s">
        <v>632</v>
      </c>
      <c r="B5903" s="0" t="s">
        <v>86</v>
      </c>
      <c r="C5903" s="38" t="n">
        <f aca="false">Sens!$S$5903</f>
        <v>0.0202511502553155</v>
      </c>
      <c r="D5903" s="38" t="n">
        <f aca="false">Sens!$T$5903</f>
        <v>0.360549480652134</v>
      </c>
      <c r="E5903" s="38" t="n">
        <f aca="false">Sens!$G$5903/2</f>
        <v>0.648547360125127</v>
      </c>
      <c r="F5903" s="38" t="n">
        <f aca="false">Sens!$G$5903/2</f>
        <v>0.648547360125127</v>
      </c>
      <c r="G5903" s="38" t="n">
        <f aca="false">Sens!$U$5903</f>
        <v>1.29709472025025</v>
      </c>
      <c r="H5903" s="38" t="n">
        <f aca="false">Sens!$V$5903</f>
        <v>3.21599529914753</v>
      </c>
      <c r="I5903" s="38" t="n">
        <f aca="false">Sens!$W$5903</f>
        <v>5.51832434914753</v>
      </c>
      <c r="J5903" s="38" t="n">
        <f aca="false">Sens!$X$5903</f>
        <v>7.82065339914753</v>
      </c>
      <c r="K5903" s="38" t="n">
        <f aca="false">Sens!$Y$5903</f>
        <v>10.1229824491475</v>
      </c>
      <c r="L5903" s="38" t="n">
        <f aca="false">Sens!$Z$5903</f>
        <v>11.7516267992309</v>
      </c>
      <c r="M5903" s="38" t="n">
        <f aca="false">Sens!$AA$5903</f>
        <v>12.7065864493975</v>
      </c>
      <c r="N5903" s="38" t="n">
        <f aca="false">Sens!$D$5903/2</f>
        <v>0.180274740326067</v>
      </c>
      <c r="O5903" s="38" t="n">
        <f aca="false">Sens!$D$5903/2</f>
        <v>0.180274740326067</v>
      </c>
      <c r="R5903" s="38" t="n">
        <f aca="false">SUMPRODUCT(--(Sens!$R$5867:$AA$5867&lt;Sens!R$5867),Sens!$R$5900:$AA$5900)/fac_life</f>
        <v>0</v>
      </c>
      <c r="S5903" s="38" t="n">
        <f aca="false">SUMPRODUCT(--(Sens!$R$5867:$AA$5867&lt;Sens!S$5867),Sens!$R$5900:$AA$5900)/fac_life</f>
        <v>0.0202511502553155</v>
      </c>
      <c r="T5903" s="38" t="n">
        <f aca="false">SUMPRODUCT(--(Sens!$R$5867:$AA$5867&lt;Sens!T$5867),Sens!$R$5900:$AA$5900)/fac_life</f>
        <v>0.360549480652134</v>
      </c>
      <c r="U5903" s="38" t="n">
        <f aca="false">SUMPRODUCT(--(Sens!$R$5867:$AA$5867&lt;Sens!U$5867),Sens!$R$5900:$AA$5900)/fac_life</f>
        <v>1.29709472025025</v>
      </c>
      <c r="V5903" s="38" t="n">
        <f aca="false">SUMPRODUCT(--(Sens!$R$5867:$AA$5867&lt;Sens!V$5867),Sens!$R$5900:$AA$5900)/fac_life</f>
        <v>3.21599529914753</v>
      </c>
      <c r="W5903" s="38" t="n">
        <f aca="false">SUMPRODUCT(--(Sens!$R$5867:$AA$5867&lt;Sens!W$5867),Sens!$R$5900:$AA$5900)/fac_life</f>
        <v>5.51832434914753</v>
      </c>
      <c r="X5903" s="38" t="n">
        <f aca="false">SUMPRODUCT(--(Sens!$R$5867:$AA$5867&lt;Sens!X$5867),Sens!$R$5900:$AA$5900)/fac_life</f>
        <v>7.82065339914753</v>
      </c>
      <c r="Y5903" s="38" t="n">
        <f aca="false">SUMPRODUCT(--(Sens!$R$5867:$AA$5867&lt;Sens!Y$5867),Sens!$R$5900:$AA$5900)/fac_life</f>
        <v>10.1229824491475</v>
      </c>
      <c r="Z5903" s="38" t="n">
        <f aca="false">SUMPRODUCT(--(Sens!$R$5867:$AA$5867&lt;Sens!Z$5867),Sens!$R$5900:$AA$5900)/fac_life</f>
        <v>11.7516267992309</v>
      </c>
      <c r="AA5903" s="38" t="n">
        <f aca="false">SUMPRODUCT(--(Sens!$R$5867:$AA$5867&lt;Sens!AA$5867),Sens!$R$5900:$AA$5900)/fac_life</f>
        <v>12.7065864493975</v>
      </c>
    </row>
    <row r="5904" customFormat="false" ht="17.15" hidden="false" customHeight="false" outlineLevel="0" collapsed="false">
      <c r="A5904" s="1" t="s">
        <v>633</v>
      </c>
      <c r="B5904" s="8" t="s">
        <v>86</v>
      </c>
      <c r="C5904" s="38" t="n">
        <f aca="false">Sens!$C$5902+Sens!$C$5903</f>
        <v>0.203463948620839</v>
      </c>
      <c r="D5904" s="38" t="n">
        <f aca="false">Sens!$D$5902+Sens!$D$5903</f>
        <v>3.62245206231783</v>
      </c>
      <c r="E5904" s="38" t="n">
        <f aca="false">Sens!$E$5902+Sens!$E$5903</f>
        <v>6.51597588754466</v>
      </c>
      <c r="F5904" s="38" t="n">
        <f aca="false">Sens!$F$5902+Sens!$F$5903</f>
        <v>6.51597588754466</v>
      </c>
      <c r="G5904" s="38" t="n">
        <f aca="false">Sens!$G$5902+Sens!$G$5903</f>
        <v>13.0319517750893</v>
      </c>
      <c r="H5904" s="38" t="n">
        <f aca="false">Sens!$H$5902+Sens!$H$5903</f>
        <v>35.2941921973308</v>
      </c>
      <c r="I5904" s="38" t="n">
        <f aca="false">Sens!$I$5902+Sens!$I$5903</f>
        <v>63.0173185714558</v>
      </c>
      <c r="J5904" s="38" t="n">
        <f aca="false">Sens!$J$5902+Sens!$J$5903</f>
        <v>91.7529624398725</v>
      </c>
      <c r="K5904" s="38" t="n">
        <f aca="false">Sens!$K$5902+Sens!$K$5903</f>
        <v>121.178188209924</v>
      </c>
      <c r="L5904" s="38" t="n">
        <f aca="false">Sens!$L$5902+Sens!$L$5903</f>
        <v>140.172392488963</v>
      </c>
      <c r="M5904" s="38" t="n">
        <f aca="false">Sens!$M$5902+Sens!$M$5903</f>
        <v>151.473555772051</v>
      </c>
      <c r="N5904" s="38" t="n">
        <f aca="false">Sens!$N$5902+Sens!$N$5903</f>
        <v>1.81122603115892</v>
      </c>
      <c r="O5904" s="38" t="n">
        <f aca="false">Sens!$O$5902+Sens!$O$5903</f>
        <v>1.81122603115892</v>
      </c>
      <c r="R5904" s="38" t="n">
        <f aca="false">Sens!$R$5902+Sens!$R$5903</f>
        <v>0</v>
      </c>
      <c r="S5904" s="38" t="n">
        <f aca="false">Sens!$S$5902+Sens!$S$5903</f>
        <v>0.203463948620839</v>
      </c>
      <c r="T5904" s="38" t="n">
        <f aca="false">Sens!$T$5902+Sens!$T$5903</f>
        <v>3.62245206231783</v>
      </c>
      <c r="U5904" s="38" t="n">
        <f aca="false">Sens!$U$5902+Sens!$U$5903</f>
        <v>13.0319517750893</v>
      </c>
      <c r="V5904" s="38" t="n">
        <f aca="false">Sens!$V$5902+Sens!$V$5903</f>
        <v>35.2941921973308</v>
      </c>
      <c r="W5904" s="38" t="n">
        <f aca="false">Sens!$W$5902+Sens!$W$5903</f>
        <v>63.0173185714558</v>
      </c>
      <c r="X5904" s="38" t="n">
        <f aca="false">Sens!$X$5902+Sens!$X$5903</f>
        <v>91.7529624398725</v>
      </c>
      <c r="Y5904" s="38" t="n">
        <f aca="false">Sens!$Y$5902+Sens!$Y$5903</f>
        <v>121.178188209924</v>
      </c>
      <c r="Z5904" s="38" t="n">
        <f aca="false">Sens!$Z$5902+Sens!$Z$5903</f>
        <v>140.172392488963</v>
      </c>
      <c r="AA5904" s="38" t="n">
        <f aca="false">Sens!$AA$5902+Sens!$AA$5903</f>
        <v>151.473555772051</v>
      </c>
    </row>
    <row r="5905" customFormat="false" ht="17.15" hidden="false" customHeight="false" outlineLevel="0" collapsed="false">
      <c r="A5905" s="0" t="s">
        <v>634</v>
      </c>
      <c r="B5905" s="0" t="s">
        <v>86</v>
      </c>
      <c r="C5905" s="38" t="n">
        <f aca="false">Sens!$S$5905</f>
        <v>26.578941154416</v>
      </c>
      <c r="D5905" s="38" t="n">
        <f aca="false">Sens!$T$5905</f>
        <v>92.5251207231008</v>
      </c>
      <c r="G5905" s="38" t="n">
        <f aca="false">Sens!$U$5905</f>
        <v>239.931219586022</v>
      </c>
      <c r="H5905" s="38" t="n">
        <f aca="false">Sens!$V$5905</f>
        <v>403.208392333442</v>
      </c>
      <c r="I5905" s="38" t="n">
        <f aca="false">Sens!$W$5905</f>
        <v>544.837543672486</v>
      </c>
      <c r="J5905" s="38" t="n">
        <f aca="false">Sens!$X$5905</f>
        <v>662.967819343113</v>
      </c>
      <c r="K5905" s="38" t="n">
        <f aca="false">Sens!$Y$5905</f>
        <v>697.028016408391</v>
      </c>
      <c r="L5905" s="38" t="n">
        <f aca="false">Sens!$Z$5905</f>
        <v>688.86976555933</v>
      </c>
      <c r="M5905" s="38" t="n">
        <f aca="false">Sens!$AA$5905</f>
        <v>669.627191447132</v>
      </c>
      <c r="R5905" s="38" t="n">
        <f aca="false">SUM(Sens!$R$5897:$R$5897)-SUM(Sens!$R$5904:$R$5904)</f>
        <v>1.50429979529945</v>
      </c>
      <c r="S5905" s="38" t="n">
        <f aca="false">SUM(Sens!$R$5897:$S$5897)-SUM(Sens!$R$5904:$S$5904)</f>
        <v>26.578941154416</v>
      </c>
      <c r="T5905" s="38" t="n">
        <f aca="false">SUM(Sens!$R$5897:$T$5897)-SUM(Sens!$R$5904:$T$5904)</f>
        <v>92.5251207231008</v>
      </c>
      <c r="U5905" s="38" t="n">
        <f aca="false">SUM(Sens!$R$5897:$U$5897)-SUM(Sens!$R$5904:$U$5904)</f>
        <v>239.931219586022</v>
      </c>
      <c r="V5905" s="38" t="n">
        <f aca="false">SUM(Sens!$R$5897:$V$5897)-SUM(Sens!$R$5904:$V$5904)</f>
        <v>403.208392333442</v>
      </c>
      <c r="W5905" s="38" t="n">
        <f aca="false">SUM(Sens!$R$5897:$W$5897)-SUM(Sens!$R$5904:$W$5904)</f>
        <v>544.837543672486</v>
      </c>
      <c r="X5905" s="38" t="n">
        <f aca="false">SUM(Sens!$R$5897:$X$5897)-SUM(Sens!$R$5904:$X$5904)</f>
        <v>662.967819343113</v>
      </c>
      <c r="Y5905" s="38" t="n">
        <f aca="false">SUM(Sens!$R$5897:$Y$5897)-SUM(Sens!$R$5904:$Y$5904)</f>
        <v>697.028016408391</v>
      </c>
      <c r="Z5905" s="38" t="n">
        <f aca="false">SUM(Sens!$R$5897:$Z$5897)-SUM(Sens!$R$5904:$Z$5904)</f>
        <v>688.86976555933</v>
      </c>
      <c r="AA5905" s="38" t="n">
        <f aca="false">SUM(Sens!$R$5897:$AA$5897)-SUM(Sens!$R$5904:$AA$5904)</f>
        <v>669.627191447132</v>
      </c>
    </row>
    <row r="5906" customFormat="false" ht="17.15" hidden="false" customHeight="false" outlineLevel="0" collapsed="false">
      <c r="A5906" s="1" t="s">
        <v>635</v>
      </c>
    </row>
    <row r="5907" customFormat="false" ht="17.15" hidden="false" customHeight="false" outlineLevel="0" collapsed="false">
      <c r="A5907" s="0" t="s">
        <v>636</v>
      </c>
      <c r="B5907" s="0" t="s">
        <v>86</v>
      </c>
      <c r="C5907" s="38" t="n">
        <f aca="false">Sens!$C$5888-ext_sh*Sens!$C$5890</f>
        <v>1.80694998843362</v>
      </c>
      <c r="D5907" s="38" t="n">
        <f aca="false">Sens!$D$5888-ext_sh*Sens!$D$5890</f>
        <v>6.77606245662607</v>
      </c>
      <c r="E5907" s="38" t="n">
        <f aca="false">Sens!$E$5888-ext_sh*Sens!$E$5890</f>
        <v>6.62548329092326</v>
      </c>
      <c r="F5907" s="38" t="n">
        <f aca="false">Sens!$F$5888-ext_sh*Sens!$F$5890</f>
        <v>11.7200577158706</v>
      </c>
      <c r="G5907" s="38" t="n">
        <f aca="false">Sens!$G$5888-ext_sh*Sens!$G$5890</f>
        <v>18.3455410067939</v>
      </c>
      <c r="H5907" s="38" t="n">
        <f aca="false">Sens!$H$5888-ext_sh*Sens!$H$5890</f>
        <v>47.5171727060453</v>
      </c>
      <c r="I5907" s="38" t="n">
        <f aca="false">Sens!$I$5888-ext_sh*Sens!$I$5890</f>
        <v>80.5539692643667</v>
      </c>
      <c r="J5907" s="38" t="n">
        <f aca="false">Sens!$J$5888-ext_sh*Sens!$J$5890</f>
        <v>113.759316834883</v>
      </c>
      <c r="K5907" s="38" t="n">
        <f aca="false">Sens!$K$5888-ext_sh*Sens!$K$5890</f>
        <v>142.084411492169</v>
      </c>
      <c r="L5907" s="38" t="n">
        <f aca="false">Sens!$L$5888-ext_sh*Sens!$L$5890</f>
        <v>160.69964615804</v>
      </c>
      <c r="M5907" s="38" t="n">
        <f aca="false">Sens!$M$5888-ext_sh*Sens!$M$5890</f>
        <v>169.577607141793</v>
      </c>
      <c r="N5907" s="38" t="n">
        <f aca="false">Sens!$N$5888-ext_sh*Sens!$N$5890</f>
        <v>2.37162185981912</v>
      </c>
      <c r="O5907" s="38" t="n">
        <f aca="false">Sens!$O$5888-ext_sh*Sens!$O$5890</f>
        <v>4.40444059680694</v>
      </c>
    </row>
    <row r="5908" customFormat="false" ht="17.15" hidden="false" customHeight="false" outlineLevel="0" collapsed="false">
      <c r="A5908" s="1" t="s">
        <v>637</v>
      </c>
      <c r="B5908" s="8" t="s">
        <v>86</v>
      </c>
      <c r="C5908" s="38" t="n">
        <f aca="false">Sens!$C$5907-ext_sh*Sens!$C$5904</f>
        <v>1.64417882953695</v>
      </c>
      <c r="D5908" s="38" t="n">
        <f aca="false">Sens!$D$5907-ext_sh*Sens!$D$5904</f>
        <v>3.8781008067718</v>
      </c>
      <c r="E5908" s="38" t="n">
        <f aca="false">Sens!$E$5907-ext_sh*Sens!$E$5904</f>
        <v>1.41270258088753</v>
      </c>
      <c r="F5908" s="38" t="n">
        <f aca="false">Sens!$F$5907-ext_sh*Sens!$F$5904</f>
        <v>6.50727700583486</v>
      </c>
      <c r="G5908" s="38" t="n">
        <f aca="false">Sens!$G$5907-ext_sh*Sens!$G$5904</f>
        <v>7.9199795867224</v>
      </c>
      <c r="H5908" s="38" t="n">
        <f aca="false">Sens!$H$5907-ext_sh*Sens!$H$5904</f>
        <v>19.2818189481807</v>
      </c>
      <c r="I5908" s="38" t="n">
        <f aca="false">Sens!$I$5907-ext_sh*Sens!$I$5904</f>
        <v>30.140114407202</v>
      </c>
      <c r="J5908" s="38" t="n">
        <f aca="false">Sens!$J$5907-ext_sh*Sens!$J$5904</f>
        <v>40.3569468829854</v>
      </c>
      <c r="K5908" s="38" t="n">
        <f aca="false">Sens!$K$5907-ext_sh*Sens!$K$5904</f>
        <v>45.1418609242305</v>
      </c>
      <c r="L5908" s="38" t="n">
        <f aca="false">Sens!$L$5907-ext_sh*Sens!$L$5904</f>
        <v>48.5617321668703</v>
      </c>
      <c r="M5908" s="38" t="n">
        <f aca="false">Sens!$M$5907-ext_sh*Sens!$M$5904</f>
        <v>48.3987625241529</v>
      </c>
      <c r="N5908" s="38" t="n">
        <f aca="false">Sens!$N$5907-ext_sh*Sens!$N$5904</f>
        <v>0.92264103489199</v>
      </c>
      <c r="O5908" s="38" t="n">
        <f aca="false">Sens!$O$5907-ext_sh*Sens!$O$5904</f>
        <v>2.95545977187981</v>
      </c>
    </row>
    <row r="5909" customFormat="false" ht="17.15" hidden="false" customHeight="false" outlineLevel="0" collapsed="false">
      <c r="A5909" s="0" t="s">
        <v>638</v>
      </c>
      <c r="B5909" s="0" t="s">
        <v>52</v>
      </c>
      <c r="C5909" s="13" t="n">
        <f aca="false">Sens!$C$5908/Sens!$C$5888</f>
        <v>0.708390794789371</v>
      </c>
      <c r="D5909" s="13" t="n">
        <f aca="false">Sens!$D$5908/Sens!$D$5888</f>
        <v>0.445565630441968</v>
      </c>
      <c r="E5909" s="13" t="n">
        <f aca="false">Sens!$E$5908/Sens!$E$5888</f>
        <v>0.165998118402711</v>
      </c>
      <c r="F5909" s="13" t="n">
        <f aca="false">Sens!$F$5908/Sens!$F$5888</f>
        <v>0.434878595403858</v>
      </c>
      <c r="G5909" s="13" t="n">
        <f aca="false">Sens!$G$5908/Sens!$G$5888</f>
        <v>0.3373967615381</v>
      </c>
      <c r="H5909" s="13" t="n">
        <f aca="false">Sens!$H$5908/Sens!$H$5888</f>
        <v>0.320477578041224</v>
      </c>
      <c r="I5909" s="13" t="n">
        <f aca="false">Sens!$I$5908/Sens!$I$5888</f>
        <v>0.296936118226494</v>
      </c>
      <c r="J5909" s="13" t="n">
        <f aca="false">Sens!$J$5908/Sens!$J$5888</f>
        <v>0.282166278613001</v>
      </c>
      <c r="K5909" s="13" t="n">
        <f aca="false">Sens!$K$5908/Sens!$K$5888</f>
        <v>0.252969102881543</v>
      </c>
      <c r="L5909" s="13" t="n">
        <f aca="false">Sens!$L$5908/Sens!$L$5888</f>
        <v>0.240728642826566</v>
      </c>
      <c r="M5909" s="13" t="n">
        <f aca="false">Sens!$M$5908/Sens!$M$5888</f>
        <v>0.227399920863147</v>
      </c>
      <c r="N5909" s="13" t="n">
        <f aca="false">Sens!$N$5908/Sens!$N$5888</f>
        <v>0.302870734830849</v>
      </c>
      <c r="O5909" s="13" t="n">
        <f aca="false">Sens!$O$5908/Sens!$O$5888</f>
        <v>0.52240134346334</v>
      </c>
    </row>
    <row r="5910" customFormat="false" ht="17.15" hidden="false" customHeight="false" outlineLevel="0" collapsed="false">
      <c r="A5910" s="5" t="s">
        <v>639</v>
      </c>
      <c r="B5910" s="0" t="s">
        <v>86</v>
      </c>
      <c r="C5910" s="39" t="n">
        <v>0</v>
      </c>
      <c r="D5910" s="39" t="n">
        <v>0</v>
      </c>
      <c r="E5910" s="39" t="n">
        <v>0</v>
      </c>
      <c r="F5910" s="38" t="n">
        <f aca="false">IF(internal_ai_reading=2,1,0)*(1-ext_sh)/ext_sh*(mw_open*he_open+Sens!$F$5886*Sens!$F$5883)*Sens!$F$5872/1000</f>
        <v>3.77122048175818</v>
      </c>
      <c r="G5910" s="38" t="n">
        <f aca="false">Sens!$E$5910+Sens!$F$5910</f>
        <v>3.77122048175818</v>
      </c>
      <c r="H5910" s="38" t="n">
        <f aca="false">IF(internal_ai_reading=2,1,0)*(1-ext_sh)/ext_sh*(mw_open*he_open+Sens!$H$5886*Sens!$H$5883)*Sens!$H$5872/1000</f>
        <v>15.1635543609893</v>
      </c>
      <c r="I5910" s="38" t="n">
        <f aca="false">IF(internal_ai_reading=2,1,0)*(1-ext_sh)/ext_sh*(mw_open*he_open+Sens!$I$5886*Sens!$I$5883)*Sens!$I$5872/1000</f>
        <v>25.5818843619889</v>
      </c>
      <c r="J5910" s="38" t="n">
        <f aca="false">IF(internal_ai_reading=2,1,0)*(1-ext_sh)/ext_sh*(mw_open*he_open+Sens!$J$5886*Sens!$J$5883)*Sens!$J$5872/1000</f>
        <v>36.0465624179122</v>
      </c>
      <c r="K5910" s="38" t="n">
        <f aca="false">IF(internal_ai_reading=2,1,0)*(1-ext_sh)/ext_sh*(mw_open*he_open+Sens!$K$5886*Sens!$K$5883)*Sens!$K$5872/1000</f>
        <v>44.9741164026038</v>
      </c>
      <c r="L5910" s="38" t="n">
        <f aca="false">IF(internal_ai_reading=2,1,0)*(1-ext_sh)/ext_sh*(mw_open*he_open+Sens!$L$5886*Sens!$L$5883)*Sens!$L$5872/1000</f>
        <v>50.8413488057813</v>
      </c>
      <c r="M5910" s="38" t="n">
        <f aca="false">IF(internal_ai_reading=2,1,0)*(1-ext_sh)/ext_sh*(mw_open*he_open+Sens!$M$5886*Sens!$M$5883)*Sens!$M$5872/1000</f>
        <v>53.6407214274315</v>
      </c>
      <c r="N5910" s="39" t="n">
        <v>0</v>
      </c>
      <c r="O5910" s="39" t="n">
        <v>0</v>
      </c>
      <c r="P5910" s="8" t="s">
        <v>640</v>
      </c>
    </row>
    <row r="5911" customFormat="false" ht="17.15" hidden="false" customHeight="false" outlineLevel="0" collapsed="false">
      <c r="A5911" s="5" t="s">
        <v>641</v>
      </c>
      <c r="B5911" s="0" t="s">
        <v>86</v>
      </c>
      <c r="C5911" s="38" t="n">
        <f aca="false">(1-ext_sh)*(Sens!$C$5890+Sens!$C$5904)</f>
        <v>0.169206631859174</v>
      </c>
      <c r="D5911" s="38" t="n">
        <f aca="false">(1-ext_sh)*(Sens!$D$5890+Sens!$D$5904)</f>
        <v>1.20641732046984</v>
      </c>
      <c r="E5911" s="38" t="n">
        <f aca="false">(1-ext_sh)*(Sens!$E$5890+Sens!$E$5904)</f>
        <v>1.77441259867062</v>
      </c>
      <c r="F5911" s="38" t="n">
        <f aca="false">(1-ext_sh)*(Sens!$F$5890+Sens!$F$5904)</f>
        <v>2.1140391597214</v>
      </c>
      <c r="G5911" s="38" t="n">
        <f aca="false">(1-ext_sh)*(Sens!$G$5890+Sens!$G$5904)</f>
        <v>3.88845175839202</v>
      </c>
      <c r="H5911" s="38" t="n">
        <f aca="false">(1-ext_sh)*(Sens!$H$5890+Sens!$H$5904)</f>
        <v>10.2210179503985</v>
      </c>
      <c r="I5911" s="38" t="n">
        <f aca="false">(1-ext_sh)*(Sens!$I$5890+Sens!$I$5904)</f>
        <v>17.8408961823075</v>
      </c>
      <c r="J5911" s="38" t="n">
        <f aca="false">(1-ext_sh)*(Sens!$J$5890+Sens!$J$5904)</f>
        <v>25.6671150670732</v>
      </c>
      <c r="K5911" s="38" t="n">
        <f aca="false">(1-ext_sh)*(Sens!$K$5890+Sens!$K$5904)</f>
        <v>33.3265648647373</v>
      </c>
      <c r="L5911" s="38" t="n">
        <f aca="false">(1-ext_sh)*(Sens!$L$5890+Sens!$L$5904)</f>
        <v>38.2915924088815</v>
      </c>
      <c r="M5911" s="38" t="n">
        <f aca="false">(1-ext_sh)*(Sens!$M$5890+Sens!$M$5904)</f>
        <v>41.1091697111781</v>
      </c>
      <c r="N5911" s="38" t="n">
        <f aca="false">(1-ext_sh)*(Sens!$N$5890+Sens!$N$5904)</f>
        <v>0.530919624033979</v>
      </c>
      <c r="O5911" s="38" t="n">
        <f aca="false">(1-ext_sh)*(Sens!$O$5890+Sens!$O$5904)</f>
        <v>0.675497696435861</v>
      </c>
    </row>
    <row r="5912" customFormat="false" ht="17.15" hidden="false" customHeight="false" outlineLevel="0" collapsed="false">
      <c r="A5912" s="0" t="s">
        <v>642</v>
      </c>
      <c r="B5912" s="0" t="s">
        <v>86</v>
      </c>
      <c r="C5912" s="38" t="n">
        <f aca="false">Q!$D$24</f>
        <v>39.834</v>
      </c>
      <c r="D5912" s="38" t="n">
        <f aca="false">Q!$E$24</f>
        <v>45.606</v>
      </c>
      <c r="E5912" s="38" t="n">
        <f aca="false">Q!$P$24</f>
        <v>30.782</v>
      </c>
      <c r="N5912" s="38" t="n">
        <f aca="false">Q!$N$24</f>
        <v>21.707</v>
      </c>
      <c r="O5912" s="38" t="n">
        <f aca="false">Q!$O$24</f>
        <v>23.899</v>
      </c>
    </row>
    <row r="5913" customFormat="false" ht="17.15" hidden="false" customHeight="false" outlineLevel="0" collapsed="false">
      <c r="A5913" s="0" t="s">
        <v>643</v>
      </c>
      <c r="B5913" s="0" t="s">
        <v>86</v>
      </c>
      <c r="C5913" s="38" t="n">
        <f aca="false">Sens!$C$5912-Sens!$C$5908</f>
        <v>38.1898211704631</v>
      </c>
      <c r="D5913" s="38" t="n">
        <f aca="false">Sens!$D$5912-Sens!$D$5908</f>
        <v>41.7278991932282</v>
      </c>
      <c r="E5913" s="38" t="n">
        <f aca="false">Sens!$E$5912-Sens!$E$5908</f>
        <v>29.3692974191125</v>
      </c>
      <c r="F5913" s="38" t="n">
        <f aca="false">Sens!$F$5892*Sens!$F$5914</f>
        <v>26.8997276714137</v>
      </c>
      <c r="G5913" s="38" t="n">
        <f aca="false">Sens!$E$5913+Sens!$F$5913</f>
        <v>56.2690250905262</v>
      </c>
      <c r="H5913" s="38" t="n">
        <f aca="false">Sens!$H$5892*Sens!$H$5914</f>
        <v>60.3505333937343</v>
      </c>
      <c r="I5913" s="38" t="n">
        <f aca="false">Sens!$I$5892*Sens!$I$5914</f>
        <v>67.0043857303571</v>
      </c>
      <c r="J5913" s="38" t="n">
        <f aca="false">Sens!$J$5892*Sens!$J$5914</f>
        <v>73.3782922956925</v>
      </c>
      <c r="K5913" s="38" t="n">
        <f aca="false">Sens!$K$5892*Sens!$K$5914</f>
        <v>79.2485556793479</v>
      </c>
      <c r="L5913" s="38" t="n">
        <f aca="false">Sens!$L$5892*Sens!$L$5914</f>
        <v>85.5884401336958</v>
      </c>
      <c r="M5913" s="38" t="n">
        <f aca="false">Sens!$M$5892*Sens!$M$5914</f>
        <v>92.4355153443914</v>
      </c>
      <c r="N5913" s="38" t="n">
        <f aca="false">Sens!$N$5912-Sens!$N$5908</f>
        <v>20.784358965108</v>
      </c>
      <c r="O5913" s="38" t="n">
        <f aca="false">Sens!$O$5912-Sens!$O$5908</f>
        <v>20.9435402281202</v>
      </c>
      <c r="P5913" s="5" t="s">
        <v>644</v>
      </c>
    </row>
    <row r="5914" customFormat="false" ht="17.15" hidden="false" customHeight="false" outlineLevel="0" collapsed="false">
      <c r="A5914" s="0" t="s">
        <v>645</v>
      </c>
      <c r="B5914" s="0" t="s">
        <v>52</v>
      </c>
      <c r="C5914" s="13" t="n">
        <f aca="false">Sens!$C$5913/Sens!$C$5892</f>
        <v>0.362900395443635</v>
      </c>
      <c r="D5914" s="13" t="n">
        <f aca="false">Sens!$D$5913/Sens!$D$5892</f>
        <v>0.34767098474203</v>
      </c>
      <c r="E5914" s="13" t="n">
        <f aca="false">Sens!$E$5913/Sens!$E$5892</f>
        <v>0.411861655558416</v>
      </c>
      <c r="F5914" s="13" t="n">
        <f aca="false">(Sens!$O$5913+Sens!$E$5913)/(Sens!$O$5892+Sens!$E$5892)</f>
        <v>0.37480827803158</v>
      </c>
      <c r="G5914" s="13" t="n">
        <f aca="false">Sens!$G$5913/Sens!$G$5892</f>
        <v>0.393275318395757</v>
      </c>
      <c r="H5914" s="13" t="n">
        <f aca="false">Sens!$F$5914</f>
        <v>0.37480827803158</v>
      </c>
      <c r="I5914" s="13" t="n">
        <f aca="false">Sens!$F$5914</f>
        <v>0.37480827803158</v>
      </c>
      <c r="J5914" s="13" t="n">
        <f aca="false">Sens!$F$5914</f>
        <v>0.37480827803158</v>
      </c>
      <c r="K5914" s="13" t="n">
        <f aca="false">Sens!$F$5914</f>
        <v>0.37480827803158</v>
      </c>
      <c r="L5914" s="13" t="n">
        <f aca="false">Sens!$F$5914</f>
        <v>0.37480827803158</v>
      </c>
      <c r="M5914" s="13" t="n">
        <f aca="false">Sens!$F$5914</f>
        <v>0.37480827803158</v>
      </c>
      <c r="N5914" s="13" t="n">
        <f aca="false">Sens!$N$5913/Sens!$N$5892</f>
        <v>0.364039571356823</v>
      </c>
      <c r="O5914" s="13" t="n">
        <f aca="false">Sens!$O$5913/Sens!$O$5892</f>
        <v>0.332819892300086</v>
      </c>
      <c r="P5914" s="8" t="s">
        <v>646</v>
      </c>
    </row>
    <row r="5915" customFormat="false" ht="17.15" hidden="false" customHeight="false" outlineLevel="0" collapsed="false">
      <c r="A5915" s="0" t="s">
        <v>647</v>
      </c>
      <c r="B5915" s="0" t="s">
        <v>52</v>
      </c>
      <c r="D5915" s="13" t="n">
        <f aca="false">(Q!$E$31-ext_sh*Sens!$D$5904)/Sens!$D$5892</f>
        <v>0.154572973163571</v>
      </c>
    </row>
    <row r="5916" customFormat="false" ht="17.15" hidden="false" customHeight="false" outlineLevel="0" collapsed="false">
      <c r="A5916" s="0" t="s">
        <v>648</v>
      </c>
      <c r="B5916" s="0" t="s">
        <v>86</v>
      </c>
      <c r="C5916" s="38" t="n">
        <f aca="false">Q!$D$31</f>
        <v>13.32</v>
      </c>
      <c r="D5916" s="38" t="n">
        <f aca="false">Q!$E$31</f>
        <v>21.45</v>
      </c>
      <c r="E5916" s="38" t="n">
        <f aca="false">Q!$P$31</f>
        <v>15.353</v>
      </c>
      <c r="F5916" s="38" t="n">
        <f aca="false">ext_sh*Sens!$F$5904+Sens!$D$5915*Sens!$F$5892</f>
        <v>16.3063747611001</v>
      </c>
      <c r="G5916" s="38" t="n">
        <f aca="false">Sens!$E$5916+Sens!$F$5916</f>
        <v>31.6593747611001</v>
      </c>
      <c r="H5916" s="38" t="n">
        <f aca="false">ext_sh*Sens!$H$5904+Sens!$D$5915*Sens!$H$5892</f>
        <v>53.124242092105</v>
      </c>
      <c r="I5916" s="38" t="n">
        <f aca="false">ext_sh*Sens!$I$5904+Sens!$D$5915*Sens!$I$5892</f>
        <v>78.046828098133</v>
      </c>
      <c r="J5916" s="38" t="n">
        <f aca="false">ext_sh*Sens!$J$5904+Sens!$D$5915*Sens!$J$5892</f>
        <v>103.663976940352</v>
      </c>
      <c r="K5916" s="38" t="n">
        <f aca="false">ext_sh*Sens!$K$5904+Sens!$D$5915*Sens!$K$5892</f>
        <v>129.625086115469</v>
      </c>
      <c r="L5916" s="38" t="n">
        <f aca="false">ext_sh*Sens!$L$5904+Sens!$D$5915*Sens!$L$5892</f>
        <v>147.435052382502</v>
      </c>
      <c r="M5916" s="38" t="n">
        <f aca="false">ext_sh*Sens!$M$5904+Sens!$D$5915*Sens!$M$5892</f>
        <v>159.299754080279</v>
      </c>
      <c r="N5916" s="38" t="n">
        <f aca="false">Q!$N$31</f>
        <v>9.234</v>
      </c>
      <c r="O5916" s="38" t="n">
        <f aca="false">Q!$O$31</f>
        <v>12.216</v>
      </c>
    </row>
    <row r="5917" customFormat="false" ht="17.15" hidden="false" customHeight="false" outlineLevel="0" collapsed="false">
      <c r="A5917" s="1" t="s">
        <v>649</v>
      </c>
    </row>
    <row r="5918" customFormat="false" ht="17.15" hidden="false" customHeight="false" outlineLevel="0" collapsed="false">
      <c r="A5918" s="15" t="s">
        <v>650</v>
      </c>
      <c r="B5918" s="14" t="s">
        <v>52</v>
      </c>
      <c r="C5918" s="14"/>
      <c r="D5918" s="14"/>
      <c r="E5918" s="14"/>
      <c r="F5918" s="14"/>
      <c r="G5918" s="17" t="n">
        <f aca="false">Sens!$G$5908*(1-tax)/(ext_sh*(Sens!$D$5905+Sens!$G$5905)/2)</f>
        <v>0.0492184452944045</v>
      </c>
      <c r="H5918" s="17" t="n">
        <f aca="false">Sens!$H$5908*(1-tax)/(ext_sh*(Sens!$G$5905+Sens!$H$5905)/2)</f>
        <v>0.0619414246858107</v>
      </c>
      <c r="I5918" s="17" t="n">
        <f aca="false">Sens!$I$5908*(1-tax)/(ext_sh*(Sens!$H$5905+Sens!$I$5905)/2)</f>
        <v>0.0656831488051666</v>
      </c>
      <c r="J5918" s="17" t="n">
        <f aca="false">Sens!$J$5908*(1-tax)/(ext_sh*(Sens!$I$5905+Sens!$J$5905)/2)</f>
        <v>0.0690334849962116</v>
      </c>
      <c r="K5918" s="17" t="n">
        <f aca="false">Sens!$K$5908*(1-tax)/(ext_sh*(Sens!$J$5905+Sens!$K$5905)/2)</f>
        <v>0.0685772915331967</v>
      </c>
      <c r="L5918" s="17" t="n">
        <f aca="false">Sens!$L$5908*(1-tax)/(ext_sh*(Sens!$K$5905+Sens!$L$5905)/2)</f>
        <v>0.0723938074635756</v>
      </c>
      <c r="M5918" s="17" t="n">
        <f aca="false">Sens!$M$5908*(1-tax)/(ext_sh*(Sens!$L$5905+Sens!$M$5905)/2)</f>
        <v>0.0736061388214139</v>
      </c>
      <c r="N5918" s="14"/>
      <c r="O5918" s="14"/>
      <c r="P5918" s="8" t="s">
        <v>651</v>
      </c>
    </row>
    <row r="5919" customFormat="false" ht="17.15" hidden="false" customHeight="false" outlineLevel="0" collapsed="false">
      <c r="A5919" s="5" t="s">
        <v>652</v>
      </c>
      <c r="B5919" s="0" t="s">
        <v>57</v>
      </c>
      <c r="H5919" s="36" t="n">
        <f aca="false">Sens!$H$5888*1000/(mw_open*he_open+Sens!$H$5886*Sens!$H$5883)</f>
        <v>0.991949006767191</v>
      </c>
      <c r="I5919" s="36" t="n">
        <f aca="false">Sens!$I$5888*1000/(mw_open*he_open+Sens!$I$5886*Sens!$I$5883)</f>
        <v>0.991949006767191</v>
      </c>
      <c r="J5919" s="36" t="n">
        <f aca="false">Sens!$J$5888*1000/(mw_open*he_open+Sens!$J$5886*Sens!$J$5883)</f>
        <v>0.991949006767191</v>
      </c>
      <c r="K5919" s="36" t="n">
        <f aca="false">Sens!$K$5888*1000/(mw_open*he_open+Sens!$K$5886*Sens!$K$5883)</f>
        <v>0.991949006767191</v>
      </c>
      <c r="L5919" s="36" t="n">
        <f aca="false">Sens!$L$5888*1000/(mw_open*he_open+Sens!$L$5886*Sens!$L$5883)</f>
        <v>0.991949006767191</v>
      </c>
      <c r="M5919" s="36" t="n">
        <f aca="false">Sens!$M$5888*1000/(mw_open*he_open+Sens!$M$5886*Sens!$M$5883)</f>
        <v>0.991949006767191</v>
      </c>
    </row>
    <row r="5920" customFormat="false" ht="17.15" hidden="false" customHeight="false" outlineLevel="0" collapsed="false">
      <c r="A5920" s="5" t="s">
        <v>653</v>
      </c>
      <c r="B5920" s="0" t="s">
        <v>57</v>
      </c>
      <c r="H5920" s="36" t="n">
        <f aca="false">Sens!$H$5919*(Sens!$H$5888+wacc*ext_sh*(Sens!$G$5905+Sens!$H$5905)/2/(1-tax)-Sens!$H$5908)/Sens!$H$5888</f>
        <v>1.25551961623259</v>
      </c>
      <c r="I5920" s="36" t="n">
        <f aca="false">Sens!$I$5919*(Sens!$I$5888+wacc*ext_sh*(Sens!$H$5905+Sens!$I$5905)/2/(1-tax)-Sens!$I$5908)/Sens!$I$5888</f>
        <v>1.2054675393263</v>
      </c>
      <c r="J5920" s="36" t="n">
        <f aca="false">Sens!$J$5919*(Sens!$J$5888+wacc*ext_sh*(Sens!$I$5905+Sens!$J$5905)/2/(1-tax)-Sens!$J$5908)/Sens!$J$5888</f>
        <v>1.17141604927023</v>
      </c>
      <c r="K5920" s="36" t="n">
        <f aca="false">Sens!$K$5919*(Sens!$K$5888+wacc*ext_sh*(Sens!$J$5905+Sens!$K$5905)/2/(1-tax)-Sens!$K$5908)/Sens!$K$5888</f>
        <v>1.15558527566281</v>
      </c>
      <c r="L5920" s="36" t="n">
        <f aca="false">Sens!$L$5919*(Sens!$L$5888+wacc*ext_sh*(Sens!$K$5905+Sens!$L$5905)/2/(1-tax)-Sens!$L$5908)/Sens!$L$5888</f>
        <v>1.12686933572495</v>
      </c>
      <c r="M5920" s="36" t="n">
        <f aca="false">Sens!$M$5919*(Sens!$M$5888+wacc*ext_sh*(Sens!$L$5905+Sens!$M$5905)/2/(1-tax)-Sens!$M$5908)/Sens!$M$5888</f>
        <v>1.11358462527531</v>
      </c>
    </row>
    <row r="5921" customFormat="false" ht="17.15" hidden="false" customHeight="false" outlineLevel="0" collapsed="false">
      <c r="A5921" s="5" t="s">
        <v>654</v>
      </c>
      <c r="B5921" s="0" t="s">
        <v>52</v>
      </c>
      <c r="C5921" s="13" t="n">
        <f aca="false">Sens!$C$5889/tk_pq</f>
        <v>0.195316432429398</v>
      </c>
      <c r="D5921" s="13" t="n">
        <f aca="false">Sens!$D$5889/tk_pq</f>
        <v>0.195316432429398</v>
      </c>
      <c r="E5921" s="13" t="n">
        <f aca="false">Sens!$E$5889/tk_pq</f>
        <v>0.195316432429398</v>
      </c>
      <c r="F5921" s="13" t="n">
        <f aca="false">Sens!$F$5889/tk_pq</f>
        <v>0.202241827274866</v>
      </c>
      <c r="G5921" s="13" t="n">
        <f aca="false">Sens!$G$5889/tk_pq</f>
        <v>0.199675016194063</v>
      </c>
      <c r="H5921" s="13" t="n">
        <f aca="false">Sens!$H$5889/tk_pq</f>
        <v>0.212647947710325</v>
      </c>
      <c r="I5921" s="13" t="n">
        <f aca="false">Sens!$I$5889/tk_pq</f>
        <v>0.219285125475351</v>
      </c>
      <c r="J5921" s="13" t="n">
        <f aca="false">Sens!$J$5889/tk_pq</f>
        <v>0.222492493217189</v>
      </c>
      <c r="K5921" s="13" t="n">
        <f aca="false">Sens!$K$5889/tk_pq</f>
        <v>0.224053502812094</v>
      </c>
      <c r="L5921" s="13" t="n">
        <f aca="false">Sens!$L$5889/tk_pq</f>
        <v>0.224786916785614</v>
      </c>
      <c r="M5921" s="13" t="n">
        <f aca="false">Sens!$M$5889/tk_pq</f>
        <v>0.225048671566937</v>
      </c>
      <c r="N5921" s="13" t="n">
        <f aca="false">Sens!$N$5889/tk_pq</f>
        <v>0.195316432429398</v>
      </c>
      <c r="O5921" s="13" t="n">
        <f aca="false">Sens!$O$5889/tk_pq</f>
        <v>0.195316432429398</v>
      </c>
      <c r="P5921" s="5" t="s">
        <v>655</v>
      </c>
    </row>
    <row r="5924" customFormat="false" ht="17.15" hidden="false" customHeight="false" outlineLevel="0" collapsed="false">
      <c r="A5924" s="1" t="s">
        <v>684</v>
      </c>
    </row>
    <row r="5925" customFormat="false" ht="17.15" hidden="false" customHeight="false" outlineLevel="0" collapsed="false">
      <c r="A5925" s="0" t="s">
        <v>685</v>
      </c>
      <c r="B5925" s="0" t="s">
        <v>86</v>
      </c>
      <c r="C5925" s="38" t="n">
        <f aca="false">Sens!$C$5888</f>
        <v>2.32100535697364</v>
      </c>
      <c r="D5925" s="38" t="n">
        <f aca="false">Sens!$D$5888</f>
        <v>8.70377008865116</v>
      </c>
      <c r="E5925" s="38" t="n">
        <f aca="false">Sens!$E$5888</f>
        <v>8.51035297557002</v>
      </c>
      <c r="F5925" s="38" t="n">
        <f aca="false">Sens!$F$5888</f>
        <v>14.9634336447205</v>
      </c>
      <c r="G5925" s="38" t="n">
        <f aca="false">Sens!$G$5888</f>
        <v>23.4737866202905</v>
      </c>
      <c r="H5925" s="38" t="n">
        <f aca="false">Sens!$H$5888</f>
        <v>60.1658907497746</v>
      </c>
      <c r="I5925" s="38" t="n">
        <f aca="false">Sens!$I$5888</f>
        <v>101.503699136432</v>
      </c>
      <c r="J5925" s="38" t="n">
        <f aca="false">Sens!$J$5888</f>
        <v>143.025407151278</v>
      </c>
      <c r="K5925" s="38" t="n">
        <f aca="false">Sens!$K$5888</f>
        <v>178.44812038318</v>
      </c>
      <c r="L5925" s="38" t="n">
        <f aca="false">Sens!$L$5888</f>
        <v>201.728101802396</v>
      </c>
      <c r="M5925" s="38" t="n">
        <f aca="false">Sens!$M$5888</f>
        <v>212.835441368865</v>
      </c>
      <c r="N5925" s="38" t="n">
        <f aca="false">Sens!$N$5888</f>
        <v>3.04631953102791</v>
      </c>
      <c r="O5925" s="38" t="n">
        <f aca="false">Sens!$O$5888</f>
        <v>5.65745055762326</v>
      </c>
      <c r="P5925" s="8" t="s">
        <v>686</v>
      </c>
    </row>
    <row r="5926" customFormat="false" ht="17.15" hidden="false" customHeight="false" outlineLevel="0" collapsed="false">
      <c r="A5926" s="0" t="s">
        <v>687</v>
      </c>
      <c r="B5926" s="0" t="s">
        <v>86</v>
      </c>
      <c r="C5926" s="38" t="n">
        <f aca="false">Sens!$C$5892</f>
        <v>105.234994643026</v>
      </c>
      <c r="D5926" s="38" t="n">
        <f aca="false">Sens!$D$5892</f>
        <v>120.021229911349</v>
      </c>
      <c r="E5926" s="38" t="n">
        <f aca="false">Sens!$E$5892</f>
        <v>71.30864702443</v>
      </c>
      <c r="F5926" s="38" t="n">
        <f aca="false">Sens!$F$5892</f>
        <v>71.7692997942464</v>
      </c>
      <c r="G5926" s="38" t="n">
        <f aca="false">Sens!$G$5892</f>
        <v>143.077946818676</v>
      </c>
      <c r="H5926" s="38" t="n">
        <f aca="false">Sens!$H$5892</f>
        <v>161.017077079203</v>
      </c>
      <c r="I5926" s="38" t="n">
        <f aca="false">Sens!$I$5892</f>
        <v>178.769759521457</v>
      </c>
      <c r="J5926" s="38" t="n">
        <f aca="false">Sens!$J$5892</f>
        <v>195.775538045907</v>
      </c>
      <c r="K5926" s="38" t="n">
        <f aca="false">Sens!$K$5892</f>
        <v>211.43758108958</v>
      </c>
      <c r="L5926" s="38" t="n">
        <f aca="false">Sens!$L$5892</f>
        <v>228.352587576746</v>
      </c>
      <c r="M5926" s="38" t="n">
        <f aca="false">Sens!$M$5892</f>
        <v>246.620794582886</v>
      </c>
      <c r="N5926" s="38" t="n">
        <f aca="false">Sens!$N$5892</f>
        <v>57.0936804689721</v>
      </c>
      <c r="O5926" s="38" t="n">
        <f aca="false">Sens!$O$5892</f>
        <v>62.9275494423768</v>
      </c>
      <c r="P5926" s="8" t="s">
        <v>686</v>
      </c>
    </row>
    <row r="5927" customFormat="false" ht="17.15" hidden="false" customHeight="false" outlineLevel="0" collapsed="false">
      <c r="A5927" s="1" t="s">
        <v>513</v>
      </c>
      <c r="B5927" s="8" t="s">
        <v>86</v>
      </c>
      <c r="C5927" s="38" t="n">
        <f aca="false">Q!$D$7</f>
        <v>107.556</v>
      </c>
      <c r="D5927" s="38" t="n">
        <f aca="false">Q!$E$7</f>
        <v>128.725</v>
      </c>
      <c r="E5927" s="38" t="n">
        <f aca="false">Q!$P$7</f>
        <v>79.819</v>
      </c>
      <c r="F5927" s="38" t="n">
        <f aca="false">Sens!$F$5925+Sens!$F$5926</f>
        <v>86.7327334389669</v>
      </c>
      <c r="G5927" s="38" t="n">
        <f aca="false">Sens!$G$5925+Sens!$G$5926</f>
        <v>166.551733438967</v>
      </c>
      <c r="H5927" s="38" t="n">
        <f aca="false">Sens!$H$5925+Sens!$H$5926</f>
        <v>221.182967828978</v>
      </c>
      <c r="I5927" s="38" t="n">
        <f aca="false">Sens!$I$5925+Sens!$I$5926</f>
        <v>280.27345865789</v>
      </c>
      <c r="J5927" s="38" t="n">
        <f aca="false">Sens!$J$5925+Sens!$J$5926</f>
        <v>338.800945197185</v>
      </c>
      <c r="K5927" s="38" t="n">
        <f aca="false">Sens!$K$5925+Sens!$K$5926</f>
        <v>389.88570147276</v>
      </c>
      <c r="L5927" s="38" t="n">
        <f aca="false">Sens!$L$5925+Sens!$L$5926</f>
        <v>430.080689379143</v>
      </c>
      <c r="M5927" s="38" t="n">
        <f aca="false">Sens!$M$5925+Sens!$M$5926</f>
        <v>459.456235951751</v>
      </c>
      <c r="N5927" s="38" t="n">
        <f aca="false">Q!$N$7</f>
        <v>60.14</v>
      </c>
      <c r="O5927" s="38" t="n">
        <f aca="false">Q!$O$7</f>
        <v>68.585</v>
      </c>
      <c r="P5927" s="5" t="s">
        <v>688</v>
      </c>
    </row>
    <row r="5928" customFormat="false" ht="15" hidden="false" customHeight="false" outlineLevel="0" collapsed="false">
      <c r="A5928" s="3" t="s">
        <v>689</v>
      </c>
      <c r="B5928" s="8" t="s">
        <v>86</v>
      </c>
      <c r="C5928" s="38" t="n">
        <f aca="false">Q!$D$8</f>
        <v>637.959</v>
      </c>
      <c r="D5928" s="38" t="n">
        <f aca="false">Q!$E$8</f>
        <v>716.924</v>
      </c>
      <c r="E5928" s="38" t="n">
        <f aca="false">Q!$P$8</f>
        <v>382.125</v>
      </c>
      <c r="F5928" s="38" t="n">
        <f aca="false">Sens!$F$5860+Sens!$F$5927</f>
        <v>435.780975084504</v>
      </c>
      <c r="G5928" s="38" t="n">
        <f aca="false">Sens!$G$5860+Sens!$G$5927</f>
        <v>817.905975084504</v>
      </c>
      <c r="H5928" s="38" t="n">
        <f aca="false">Sens!$H$5860+Sens!$H$5927</f>
        <v>942.279857350364</v>
      </c>
      <c r="I5928" s="38" t="n">
        <f aca="false">Sens!$I$5860+Sens!$I$5927</f>
        <v>1068.80284981042</v>
      </c>
      <c r="J5928" s="38" t="n">
        <f aca="false">Sens!$J$5860+Sens!$J$5927</f>
        <v>1189.90935093863</v>
      </c>
      <c r="K5928" s="38" t="n">
        <f aca="false">Sens!$K$5860+Sens!$K$5927</f>
        <v>1296.06215690385</v>
      </c>
      <c r="L5928" s="38" t="n">
        <f aca="false">Sens!$L$5860+Sens!$L$5927</f>
        <v>1395.17379585473</v>
      </c>
      <c r="M5928" s="38" t="n">
        <f aca="false">Sens!$M$5860+Sens!$M$5927</f>
        <v>1487.60414389864</v>
      </c>
      <c r="N5928" s="38" t="n">
        <f aca="false">Q!$N$8</f>
        <v>323.369</v>
      </c>
      <c r="O5928" s="38" t="n">
        <f aca="false">Q!$O$8</f>
        <v>393.555</v>
      </c>
    </row>
    <row r="5929" customFormat="false" ht="17.15" hidden="false" customHeight="false" outlineLevel="0" collapsed="false">
      <c r="A5929" s="24" t="s">
        <v>697</v>
      </c>
      <c r="B5929" s="25" t="s">
        <v>86</v>
      </c>
      <c r="C5929" s="41" t="n">
        <f aca="false">Sens!$C$5860-(Sens!$C$5862+Sens!$C$5863)</f>
        <v>0</v>
      </c>
      <c r="D5929" s="41" t="n">
        <f aca="false">Sens!$D$5860-(Sens!$D$5862+Sens!$D$5863)</f>
        <v>0</v>
      </c>
      <c r="E5929" s="41" t="n">
        <f aca="false">Sens!$E$5860-(Sens!$E$5862+Sens!$E$5863)</f>
        <v>0</v>
      </c>
      <c r="F5929" s="41" t="n">
        <f aca="false">Sens!$F$5860-(Sens!$F$5862+Sens!$F$5863)</f>
        <v>0</v>
      </c>
      <c r="G5929" s="41" t="n">
        <f aca="false">Sens!$G$5860-(Sens!$G$5862+Sens!$G$5863)</f>
        <v>0</v>
      </c>
      <c r="H5929" s="41" t="n">
        <f aca="false">Sens!$H$5860-(Sens!$H$5862+Sens!$H$5863)</f>
        <v>0</v>
      </c>
      <c r="I5929" s="41" t="n">
        <f aca="false">Sens!$I$5860-(Sens!$I$5862+Sens!$I$5863)</f>
        <v>0</v>
      </c>
      <c r="J5929" s="41" t="n">
        <f aca="false">Sens!$J$5860-(Sens!$J$5862+Sens!$J$5863)</f>
        <v>0</v>
      </c>
      <c r="K5929" s="41" t="n">
        <f aca="false">Sens!$K$5860-(Sens!$K$5862+Sens!$K$5863)</f>
        <v>0</v>
      </c>
      <c r="L5929" s="41" t="n">
        <f aca="false">Sens!$L$5860-(Sens!$L$5862+Sens!$L$5863)</f>
        <v>0</v>
      </c>
      <c r="M5929" s="41" t="n">
        <f aca="false">Sens!$M$5860-(Sens!$M$5862+Sens!$M$5863)</f>
        <v>0</v>
      </c>
      <c r="N5929" s="41" t="n">
        <f aca="false">Sens!$N$5860-(Sens!$N$5862+Sens!$N$5863)</f>
        <v>0</v>
      </c>
      <c r="O5929" s="41" t="n">
        <f aca="false">Sens!$O$5860-(Sens!$O$5862+Sens!$O$5863)</f>
        <v>0</v>
      </c>
    </row>
    <row r="5930" customFormat="false" ht="17.15" hidden="false" customHeight="false" outlineLevel="0" collapsed="false">
      <c r="A5930" s="24" t="s">
        <v>698</v>
      </c>
      <c r="B5930" s="25" t="s">
        <v>86</v>
      </c>
      <c r="C5930" s="41" t="n">
        <f aca="false">Sens!$C$5925+Sens!$C$5926-Sens!$C$5927</f>
        <v>0</v>
      </c>
      <c r="D5930" s="41" t="n">
        <f aca="false">Sens!$D$5925+Sens!$D$5926-Sens!$D$5927</f>
        <v>0</v>
      </c>
      <c r="E5930" s="41" t="n">
        <f aca="false">Sens!$E$5925+Sens!$E$5926-Sens!$E$5927</f>
        <v>0</v>
      </c>
      <c r="F5930" s="41" t="n">
        <f aca="false">Sens!$F$5925+Sens!$F$5926-Sens!$F$5927</f>
        <v>0</v>
      </c>
      <c r="G5930" s="41" t="n">
        <f aca="false">Sens!$G$5925+Sens!$G$5926-Sens!$G$5927</f>
        <v>0</v>
      </c>
      <c r="H5930" s="41" t="n">
        <f aca="false">Sens!$H$5925+Sens!$H$5926-Sens!$H$5927</f>
        <v>0</v>
      </c>
      <c r="I5930" s="41" t="n">
        <f aca="false">Sens!$I$5925+Sens!$I$5926-Sens!$I$5927</f>
        <v>0</v>
      </c>
      <c r="J5930" s="41" t="n">
        <f aca="false">Sens!$J$5925+Sens!$J$5926-Sens!$J$5927</f>
        <v>0</v>
      </c>
      <c r="K5930" s="41" t="n">
        <f aca="false">Sens!$K$5925+Sens!$K$5926-Sens!$K$5927</f>
        <v>0</v>
      </c>
      <c r="L5930" s="41" t="n">
        <f aca="false">Sens!$L$5925+Sens!$L$5926-Sens!$L$5927</f>
        <v>0</v>
      </c>
      <c r="M5930" s="41" t="n">
        <f aca="false">Sens!$M$5925+Sens!$M$5926-Sens!$M$5927</f>
        <v>0</v>
      </c>
      <c r="N5930" s="41" t="n">
        <f aca="false">Sens!$N$5925+Sens!$N$5926-Sens!$N$5927</f>
        <v>0</v>
      </c>
      <c r="O5930" s="41" t="n">
        <f aca="false">Sens!$O$5925+Sens!$O$5926-Sens!$O$5927</f>
        <v>0</v>
      </c>
    </row>
    <row r="5931" customFormat="false" ht="17.15" hidden="false" customHeight="false" outlineLevel="0" collapsed="false">
      <c r="A5931" s="24" t="s">
        <v>699</v>
      </c>
      <c r="B5931" s="25" t="s">
        <v>86</v>
      </c>
      <c r="C5931" s="41" t="n">
        <f aca="false">Sens!$C$5862+Sens!$C$5863+Sens!$C$5927-Sens!$C$5928</f>
        <v>0</v>
      </c>
      <c r="D5931" s="41" t="n">
        <f aca="false">Sens!$D$5862+Sens!$D$5863+Sens!$D$5927-Sens!$D$5928</f>
        <v>0</v>
      </c>
      <c r="E5931" s="41" t="n">
        <f aca="false">Sens!$E$5862+Sens!$E$5863+Sens!$E$5927-Sens!$E$5928</f>
        <v>0</v>
      </c>
      <c r="F5931" s="41" t="n">
        <f aca="false">Sens!$F$5862+Sens!$F$5863+Sens!$F$5927-Sens!$F$5928</f>
        <v>0</v>
      </c>
      <c r="G5931" s="41" t="n">
        <f aca="false">Sens!$G$5862+Sens!$G$5863+Sens!$G$5927-Sens!$G$5928</f>
        <v>0</v>
      </c>
      <c r="H5931" s="41" t="n">
        <f aca="false">Sens!$H$5862+Sens!$H$5863+Sens!$H$5927-Sens!$H$5928</f>
        <v>0</v>
      </c>
      <c r="I5931" s="41" t="n">
        <f aca="false">Sens!$I$5862+Sens!$I$5863+Sens!$I$5927-Sens!$I$5928</f>
        <v>0</v>
      </c>
      <c r="J5931" s="41" t="n">
        <f aca="false">Sens!$J$5862+Sens!$J$5863+Sens!$J$5927-Sens!$J$5928</f>
        <v>0</v>
      </c>
      <c r="K5931" s="41" t="n">
        <f aca="false">Sens!$K$5862+Sens!$K$5863+Sens!$K$5927-Sens!$K$5928</f>
        <v>0</v>
      </c>
      <c r="L5931" s="41" t="n">
        <f aca="false">Sens!$L$5862+Sens!$L$5863+Sens!$L$5927-Sens!$L$5928</f>
        <v>0</v>
      </c>
      <c r="M5931" s="41" t="n">
        <f aca="false">Sens!$M$5862+Sens!$M$5863+Sens!$M$5927-Sens!$M$5928</f>
        <v>0</v>
      </c>
      <c r="N5931" s="41" t="n">
        <f aca="false">Sens!$N$5862+Sens!$N$5863+Sens!$N$5927-Sens!$N$5928</f>
        <v>0</v>
      </c>
      <c r="O5931" s="41" t="n">
        <f aca="false">Sens!$O$5862+Sens!$O$5863+Sens!$O$5927-Sens!$O$5928</f>
        <v>0</v>
      </c>
    </row>
    <row r="5932" customFormat="false" ht="15" hidden="false" customHeight="false" outlineLevel="0" collapsed="false">
      <c r="A5932" s="5" t="s">
        <v>693</v>
      </c>
      <c r="B5932" s="0" t="s">
        <v>52</v>
      </c>
      <c r="G5932" s="13" t="n">
        <f aca="false">Sens!$G$5928/Sens!$D$5928-1</f>
        <v>0.140854504918937</v>
      </c>
      <c r="H5932" s="13" t="n">
        <f aca="false">Sens!$H$5928/Sens!$G$5928-1</f>
        <v>0.152063789793209</v>
      </c>
      <c r="I5932" s="13" t="n">
        <f aca="false">Sens!$I$5928/Sens!$H$5928-1</f>
        <v>0.134273264437417</v>
      </c>
      <c r="J5932" s="13" t="n">
        <f aca="false">Sens!$J$5928/Sens!$I$5928-1</f>
        <v>0.113310421234083</v>
      </c>
      <c r="K5932" s="13" t="n">
        <f aca="false">Sens!$K$5928/Sens!$J$5928-1</f>
        <v>0.0892108343223652</v>
      </c>
      <c r="L5932" s="13" t="n">
        <f aca="false">Sens!$L$5928/Sens!$K$5928-1</f>
        <v>0.076471362444261</v>
      </c>
      <c r="M5932" s="13" t="n">
        <f aca="false">Sens!$M$5928/Sens!$L$5928-1</f>
        <v>0.066250060256672</v>
      </c>
    </row>
    <row r="5933" customFormat="false" ht="17.15" hidden="false" customHeight="false" outlineLevel="0" collapsed="false">
      <c r="A5933" s="0" t="s">
        <v>694</v>
      </c>
      <c r="B5933" s="0" t="s">
        <v>52</v>
      </c>
      <c r="C5933" s="13" t="n">
        <f aca="false">Sens!$C$5927/Sens!$C$5928</f>
        <v>0.168593906504964</v>
      </c>
      <c r="D5933" s="13" t="n">
        <f aca="false">Sens!$D$5927/Sens!$D$5928</f>
        <v>0.179551807444025</v>
      </c>
      <c r="E5933" s="13" t="n">
        <f aca="false">Sens!$E$5927/Sens!$E$5928</f>
        <v>0.208881910369643</v>
      </c>
      <c r="F5933" s="13" t="n">
        <f aca="false">Sens!$F$5927/Sens!$F$5928</f>
        <v>0.199028269699356</v>
      </c>
      <c r="G5933" s="13" t="n">
        <f aca="false">Sens!$G$5927/Sens!$G$5928</f>
        <v>0.203631882529968</v>
      </c>
      <c r="H5933" s="13" t="n">
        <f aca="false">Sens!$H$5927/Sens!$H$5928</f>
        <v>0.234731715958496</v>
      </c>
      <c r="I5933" s="13" t="n">
        <f aca="false">Sens!$I$5927/Sens!$I$5928</f>
        <v>0.262231204480418</v>
      </c>
      <c r="J5933" s="13" t="n">
        <f aca="false">Sens!$J$5927/Sens!$J$5928</f>
        <v>0.284728366013706</v>
      </c>
      <c r="K5933" s="13" t="n">
        <f aca="false">Sens!$K$5927/Sens!$K$5928</f>
        <v>0.300823304959505</v>
      </c>
      <c r="L5933" s="13" t="n">
        <f aca="false">Sens!$L$5927/Sens!$L$5928</f>
        <v>0.308263164529735</v>
      </c>
      <c r="M5933" s="13" t="n">
        <f aca="false">Sens!$M$5927/Sens!$M$5928</f>
        <v>0.308856517936036</v>
      </c>
      <c r="N5933" s="13" t="n">
        <f aca="false">Sens!$N$5927/Sens!$N$5928</f>
        <v>0.185979484737251</v>
      </c>
      <c r="O5933" s="13" t="n">
        <f aca="false">Sens!$O$5927/Sens!$O$5928</f>
        <v>0.174270432341096</v>
      </c>
    </row>
    <row r="5934" customFormat="false" ht="17.15" hidden="false" customHeight="false" outlineLevel="0" collapsed="false">
      <c r="A5934" s="0" t="s">
        <v>695</v>
      </c>
      <c r="B5934" s="0" t="s">
        <v>52</v>
      </c>
      <c r="C5934" s="13" t="n">
        <f aca="false">Sens!$C$5925/Sens!$C$5927</f>
        <v>0.0215795060896058</v>
      </c>
      <c r="D5934" s="13" t="n">
        <f aca="false">Sens!$D$5925/Sens!$D$5927</f>
        <v>0.0676152269462122</v>
      </c>
      <c r="E5934" s="13" t="n">
        <f aca="false">Sens!$E$5925/Sens!$E$5927</f>
        <v>0.106620641395783</v>
      </c>
      <c r="F5934" s="13" t="n">
        <f aca="false">Sens!$F$5925/Sens!$F$5927</f>
        <v>0.172523487401099</v>
      </c>
      <c r="G5934" s="13" t="n">
        <f aca="false">Sens!$G$5925/Sens!$G$5927</f>
        <v>0.140939911795589</v>
      </c>
      <c r="H5934" s="13" t="n">
        <f aca="false">Sens!$H$5925/Sens!$H$5927</f>
        <v>0.272018642937714</v>
      </c>
      <c r="I5934" s="13" t="n">
        <f aca="false">Sens!$I$5925/Sens!$I$5927</f>
        <v>0.362159512436497</v>
      </c>
      <c r="J5934" s="13" t="n">
        <f aca="false">Sens!$J$5925/Sens!$J$5927</f>
        <v>0.422151735934609</v>
      </c>
      <c r="K5934" s="13" t="n">
        <f aca="false">Sens!$K$5925/Sens!$K$5927</f>
        <v>0.45769342068485</v>
      </c>
      <c r="L5934" s="13" t="n">
        <f aca="false">Sens!$L$5925/Sens!$L$5927</f>
        <v>0.469047103913472</v>
      </c>
      <c r="M5934" s="13" t="n">
        <f aca="false">Sens!$M$5925/Sens!$M$5927</f>
        <v>0.463233328258093</v>
      </c>
      <c r="N5934" s="13" t="n">
        <f aca="false">Sens!$N$5925/Sens!$N$5927</f>
        <v>0.0506537999838362</v>
      </c>
      <c r="O5934" s="13" t="n">
        <f aca="false">Sens!$O$5925/Sens!$O$5927</f>
        <v>0.0824881615167056</v>
      </c>
    </row>
    <row r="5937" customFormat="false" ht="19.4" hidden="false" customHeight="false" outlineLevel="0" collapsed="false">
      <c r="A5937" s="31" t="s">
        <v>1249</v>
      </c>
    </row>
    <row r="5938" customFormat="false" ht="17.15" hidden="false" customHeight="false" outlineLevel="0" collapsed="false">
      <c r="A5938" s="6" t="s">
        <v>16</v>
      </c>
      <c r="B5938" s="6" t="s">
        <v>17</v>
      </c>
      <c r="C5938" s="20" t="s">
        <v>494</v>
      </c>
      <c r="D5938" s="20" t="s">
        <v>495</v>
      </c>
      <c r="E5938" s="20" t="s">
        <v>577</v>
      </c>
      <c r="F5938" s="20" t="s">
        <v>578</v>
      </c>
      <c r="G5938" s="20" t="s">
        <v>579</v>
      </c>
      <c r="H5938" s="20" t="s">
        <v>580</v>
      </c>
      <c r="I5938" s="20" t="s">
        <v>581</v>
      </c>
      <c r="J5938" s="20" t="s">
        <v>582</v>
      </c>
      <c r="K5938" s="20" t="s">
        <v>583</v>
      </c>
      <c r="L5938" s="20" t="s">
        <v>584</v>
      </c>
      <c r="M5938" s="20" t="s">
        <v>585</v>
      </c>
      <c r="N5938" s="20" t="s">
        <v>586</v>
      </c>
      <c r="O5938" s="20" t="s">
        <v>587</v>
      </c>
      <c r="P5938" s="6" t="s">
        <v>23</v>
      </c>
      <c r="R5938" s="20" t="n">
        <v>2023</v>
      </c>
      <c r="S5938" s="20" t="n">
        <v>2024</v>
      </c>
      <c r="T5938" s="20" t="n">
        <v>2025</v>
      </c>
      <c r="U5938" s="20" t="n">
        <v>2026</v>
      </c>
      <c r="V5938" s="20" t="n">
        <v>2027</v>
      </c>
      <c r="W5938" s="20" t="n">
        <v>2028</v>
      </c>
      <c r="X5938" s="20" t="n">
        <v>2029</v>
      </c>
      <c r="Y5938" s="20" t="n">
        <v>2030</v>
      </c>
      <c r="Z5938" s="20" t="n">
        <v>2031</v>
      </c>
      <c r="AA5938" s="20" t="n">
        <v>2032</v>
      </c>
    </row>
    <row r="5939" customFormat="false" ht="17.15" hidden="false" customHeight="false" outlineLevel="0" collapsed="false">
      <c r="A5939" s="1" t="s">
        <v>710</v>
      </c>
    </row>
    <row r="5940" customFormat="false" ht="15" hidden="false" customHeight="false" outlineLevel="0" collapsed="false">
      <c r="A5940" s="0" t="s">
        <v>516</v>
      </c>
      <c r="B5940" s="0" t="s">
        <v>86</v>
      </c>
      <c r="C5940" s="38" t="n">
        <f aca="false">Sens!$C$5847</f>
        <v>247.029</v>
      </c>
      <c r="D5940" s="38" t="n">
        <f aca="false">Sens!$D$5847</f>
        <v>269.287</v>
      </c>
      <c r="E5940" s="38" t="n">
        <f aca="false">Sens!$E$5847</f>
        <v>134.686</v>
      </c>
      <c r="F5940" s="38" t="n">
        <f aca="false">Sens!$F$5847</f>
        <v>158.293876822267</v>
      </c>
      <c r="G5940" s="38" t="n">
        <f aca="false">Sens!$G$5847</f>
        <v>292.979876822267</v>
      </c>
      <c r="H5940" s="38" t="n">
        <f aca="false">Sens!$H$5847</f>
        <v>318.184543087396</v>
      </c>
      <c r="I5940" s="38" t="n">
        <f aca="false">Sens!$I$5847</f>
        <v>341.736278761793</v>
      </c>
      <c r="J5940" s="38" t="n">
        <f aca="false">Sens!$J$5847</f>
        <v>362.927192787048</v>
      </c>
      <c r="K5940" s="38" t="n">
        <f aca="false">Sens!$K$5847</f>
        <v>381.0735524264</v>
      </c>
      <c r="L5940" s="38" t="n">
        <f aca="false">Sens!$L$5847</f>
        <v>400.12723004772</v>
      </c>
      <c r="M5940" s="38" t="n">
        <f aca="false">Sens!$M$5847</f>
        <v>420.133591550106</v>
      </c>
      <c r="N5940" s="38" t="n">
        <f aca="false">Sens!$N$5847</f>
        <v>118.892</v>
      </c>
      <c r="O5940" s="38" t="n">
        <f aca="false">Sens!$O$5847</f>
        <v>150.395</v>
      </c>
    </row>
    <row r="5941" customFormat="false" ht="15" hidden="false" customHeight="false" outlineLevel="0" collapsed="false">
      <c r="A5941" s="0" t="s">
        <v>517</v>
      </c>
      <c r="B5941" s="0" t="s">
        <v>86</v>
      </c>
      <c r="C5941" s="38" t="n">
        <f aca="false">Sens!$C$5849</f>
        <v>21.215</v>
      </c>
      <c r="D5941" s="38" t="n">
        <f aca="false">Sens!$D$5849</f>
        <v>22.561</v>
      </c>
      <c r="E5941" s="38" t="n">
        <f aca="false">Sens!$E$5849</f>
        <v>11.579</v>
      </c>
      <c r="F5941" s="38" t="n">
        <f aca="false">Sens!$F$5849</f>
        <v>11.5938724610325</v>
      </c>
      <c r="G5941" s="38" t="n">
        <f aca="false">Sens!$G$5849</f>
        <v>23.1728724610325</v>
      </c>
      <c r="H5941" s="38" t="n">
        <f aca="false">Sens!$H$5849</f>
        <v>24.353392759506</v>
      </c>
      <c r="I5941" s="38" t="n">
        <f aca="false">Sens!$I$5849</f>
        <v>25.4240338872015</v>
      </c>
      <c r="J5941" s="38" t="n">
        <f aca="false">Sens!$J$5849</f>
        <v>26.3642491017174</v>
      </c>
      <c r="K5941" s="38" t="n">
        <f aca="false">Sens!$K$5849</f>
        <v>27.155176574769</v>
      </c>
      <c r="L5941" s="38" t="n">
        <f aca="false">Sens!$L$5849</f>
        <v>27.969831872012</v>
      </c>
      <c r="M5941" s="38" t="n">
        <f aca="false">Sens!$M$5849</f>
        <v>28.8089268281724</v>
      </c>
      <c r="N5941" s="38" t="n">
        <f aca="false">Sens!$N$5849</f>
        <v>11.128</v>
      </c>
      <c r="O5941" s="38" t="n">
        <f aca="false">Sens!$O$5849</f>
        <v>11.433</v>
      </c>
    </row>
    <row r="5942" customFormat="false" ht="15" hidden="false" customHeight="false" outlineLevel="0" collapsed="false">
      <c r="A5942" s="0" t="s">
        <v>518</v>
      </c>
      <c r="B5942" s="0" t="s">
        <v>86</v>
      </c>
      <c r="C5942" s="38" t="n">
        <f aca="false">Sens!$C$5851</f>
        <v>156.146</v>
      </c>
      <c r="D5942" s="38" t="n">
        <f aca="false">Sens!$D$5851</f>
        <v>172.162</v>
      </c>
      <c r="E5942" s="38" t="n">
        <f aca="false">Sens!$E$5851</f>
        <v>88.358</v>
      </c>
      <c r="F5942" s="38" t="n">
        <f aca="false">Sens!$F$5851</f>
        <v>102.004388260171</v>
      </c>
      <c r="G5942" s="38" t="n">
        <f aca="false">Sens!$G$5851</f>
        <v>190.362388260171</v>
      </c>
      <c r="H5942" s="38" t="n">
        <f aca="false">Sens!$H$5851</f>
        <v>210.343106588311</v>
      </c>
      <c r="I5942" s="38" t="n">
        <f aca="false">Sens!$I$5851</f>
        <v>229.969728494648</v>
      </c>
      <c r="J5942" s="38" t="n">
        <f aca="false">Sens!$J$5851</f>
        <v>248.747636972598</v>
      </c>
      <c r="K5942" s="38" t="n">
        <f aca="false">Sens!$K$5851</f>
        <v>266.15997156068</v>
      </c>
      <c r="L5942" s="38" t="n">
        <f aca="false">Sens!$L$5851</f>
        <v>284.791169569927</v>
      </c>
      <c r="M5942" s="38" t="n">
        <f aca="false">Sens!$M$5851</f>
        <v>304.726551439822</v>
      </c>
      <c r="N5942" s="38" t="n">
        <f aca="false">Sens!$N$5851</f>
        <v>76.86</v>
      </c>
      <c r="O5942" s="38" t="n">
        <f aca="false">Sens!$O$5851</f>
        <v>95.302</v>
      </c>
    </row>
    <row r="5943" customFormat="false" ht="15" hidden="false" customHeight="false" outlineLevel="0" collapsed="false">
      <c r="A5943" s="0" t="s">
        <v>519</v>
      </c>
      <c r="B5943" s="0" t="s">
        <v>86</v>
      </c>
      <c r="C5943" s="38" t="n">
        <f aca="false">Sens!$C$5853</f>
        <v>56.214</v>
      </c>
      <c r="D5943" s="38" t="n">
        <f aca="false">Sens!$D$5853</f>
        <v>68.635</v>
      </c>
      <c r="E5943" s="38" t="n">
        <f aca="false">Sens!$E$5853</f>
        <v>37.052</v>
      </c>
      <c r="F5943" s="38" t="n">
        <f aca="false">Sens!$F$5853</f>
        <v>46.1572219944148</v>
      </c>
      <c r="G5943" s="38" t="n">
        <f aca="false">Sens!$G$5853</f>
        <v>83.2092219944148</v>
      </c>
      <c r="H5943" s="38" t="n">
        <f aca="false">Sens!$H$5853</f>
        <v>99.8969223878976</v>
      </c>
      <c r="I5943" s="38" t="n">
        <f aca="false">Sens!$I$5853</f>
        <v>116.583111095496</v>
      </c>
      <c r="J5943" s="38" t="n">
        <f aca="false">Sens!$J$5853</f>
        <v>132.148941941952</v>
      </c>
      <c r="K5943" s="38" t="n">
        <f aca="false">Sens!$K$5853</f>
        <v>145.363836136147</v>
      </c>
      <c r="L5943" s="38" t="n">
        <f aca="false">Sens!$L$5853</f>
        <v>159.900219749762</v>
      </c>
      <c r="M5943" s="38" t="n">
        <f aca="false">Sens!$M$5853</f>
        <v>175.890241724738</v>
      </c>
      <c r="N5943" s="38" t="n">
        <f aca="false">Sens!$N$5853</f>
        <v>29.615</v>
      </c>
      <c r="O5943" s="38" t="n">
        <f aca="false">Sens!$O$5853</f>
        <v>39.02</v>
      </c>
    </row>
    <row r="5944" customFormat="false" ht="15" hidden="false" customHeight="false" outlineLevel="0" collapsed="false">
      <c r="A5944" s="0" t="s">
        <v>520</v>
      </c>
      <c r="B5944" s="0" t="s">
        <v>86</v>
      </c>
      <c r="C5944" s="38" t="n">
        <f aca="false">Sens!$C$5855</f>
        <v>44.374</v>
      </c>
      <c r="D5944" s="38" t="n">
        <f aca="false">Sens!$D$5855</f>
        <v>49.619</v>
      </c>
      <c r="E5944" s="38" t="n">
        <f aca="false">Sens!$E$5855</f>
        <v>27.157</v>
      </c>
      <c r="F5944" s="38" t="n">
        <f aca="false">Sens!$F$5855</f>
        <v>27.7764165988154</v>
      </c>
      <c r="G5944" s="38" t="n">
        <f aca="false">Sens!$G$5855</f>
        <v>54.9334165988154</v>
      </c>
      <c r="H5944" s="38" t="n">
        <f aca="false">Sens!$H$5855</f>
        <v>61.1564112561829</v>
      </c>
      <c r="I5944" s="38" t="n">
        <f aca="false">Sens!$I$5855</f>
        <v>67.2020282103945</v>
      </c>
      <c r="J5944" s="38" t="n">
        <f aca="false">Sens!$J$5855</f>
        <v>72.8757274028885</v>
      </c>
      <c r="K5944" s="38" t="n">
        <f aca="false">Sens!$K$5855</f>
        <v>77.9770283210907</v>
      </c>
      <c r="L5944" s="38" t="n">
        <f aca="false">Sens!$L$5855</f>
        <v>83.4354203035671</v>
      </c>
      <c r="M5944" s="38" t="n">
        <f aca="false">Sens!$M$5855</f>
        <v>89.2758997248168</v>
      </c>
      <c r="N5944" s="38" t="n">
        <f aca="false">Sens!$N$5855</f>
        <v>23.923</v>
      </c>
      <c r="O5944" s="38" t="n">
        <f aca="false">Sens!$O$5855</f>
        <v>25.696</v>
      </c>
    </row>
    <row r="5945" customFormat="false" ht="15" hidden="false" customHeight="false" outlineLevel="0" collapsed="false">
      <c r="A5945" s="0" t="s">
        <v>521</v>
      </c>
      <c r="B5945" s="0" t="s">
        <v>86</v>
      </c>
      <c r="C5945" s="38" t="n">
        <f aca="false">Sens!$C$5857</f>
        <v>5.425</v>
      </c>
      <c r="D5945" s="38" t="n">
        <f aca="false">Sens!$D$5857</f>
        <v>5.935</v>
      </c>
      <c r="E5945" s="38" t="n">
        <f aca="false">Sens!$E$5857</f>
        <v>3.474</v>
      </c>
      <c r="F5945" s="38" t="n">
        <f aca="false">Sens!$F$5857</f>
        <v>3.22246550883619</v>
      </c>
      <c r="G5945" s="38" t="n">
        <f aca="false">Sens!$G$5857</f>
        <v>6.69646550883619</v>
      </c>
      <c r="H5945" s="38" t="n">
        <f aca="false">Sens!$H$5857</f>
        <v>7.16251344209196</v>
      </c>
      <c r="I5945" s="38" t="n">
        <f aca="false">Sens!$I$5857</f>
        <v>7.61421070299826</v>
      </c>
      <c r="J5945" s="38" t="n">
        <f aca="false">Sens!$J$5857</f>
        <v>8.04465753523932</v>
      </c>
      <c r="K5945" s="38" t="n">
        <f aca="false">Sens!$K$5857</f>
        <v>8.44689041200128</v>
      </c>
      <c r="L5945" s="38" t="n">
        <f aca="false">Sens!$L$5857</f>
        <v>8.86923493260135</v>
      </c>
      <c r="M5945" s="38" t="n">
        <f aca="false">Sens!$M$5857</f>
        <v>9.31269667923142</v>
      </c>
      <c r="N5945" s="38" t="n">
        <f aca="false">Sens!$N$5857</f>
        <v>2.811</v>
      </c>
      <c r="O5945" s="38" t="n">
        <f aca="false">Sens!$O$5857</f>
        <v>3.124</v>
      </c>
    </row>
    <row r="5946" customFormat="false" ht="17.15" hidden="false" customHeight="false" outlineLevel="0" collapsed="false">
      <c r="A5946" s="0" t="s">
        <v>711</v>
      </c>
      <c r="B5946" s="0" t="s">
        <v>86</v>
      </c>
      <c r="C5946" s="38" t="n">
        <f aca="false">Sens!$C$5927</f>
        <v>107.556</v>
      </c>
      <c r="D5946" s="38" t="n">
        <f aca="false">Sens!$D$5927</f>
        <v>128.725</v>
      </c>
      <c r="E5946" s="38" t="n">
        <f aca="false">Sens!$E$5927</f>
        <v>79.819</v>
      </c>
      <c r="F5946" s="38" t="n">
        <f aca="false">Sens!$F$5927</f>
        <v>86.7327334389669</v>
      </c>
      <c r="G5946" s="38" t="n">
        <f aca="false">Sens!$G$5927</f>
        <v>166.551733438967</v>
      </c>
      <c r="H5946" s="38" t="n">
        <f aca="false">Sens!$H$5927</f>
        <v>221.182967828978</v>
      </c>
      <c r="I5946" s="38" t="n">
        <f aca="false">Sens!$I$5927</f>
        <v>280.27345865789</v>
      </c>
      <c r="J5946" s="38" t="n">
        <f aca="false">Sens!$J$5927</f>
        <v>338.800945197185</v>
      </c>
      <c r="K5946" s="38" t="n">
        <f aca="false">Sens!$K$5927</f>
        <v>389.88570147276</v>
      </c>
      <c r="L5946" s="38" t="n">
        <f aca="false">Sens!$L$5927</f>
        <v>430.080689379143</v>
      </c>
      <c r="M5946" s="38" t="n">
        <f aca="false">Sens!$M$5927</f>
        <v>459.456235951751</v>
      </c>
      <c r="N5946" s="38" t="n">
        <f aca="false">Sens!$N$5927</f>
        <v>60.14</v>
      </c>
      <c r="O5946" s="38" t="n">
        <f aca="false">Sens!$O$5927</f>
        <v>68.585</v>
      </c>
    </row>
    <row r="5947" customFormat="false" ht="15" hidden="false" customHeight="false" outlineLevel="0" collapsed="false">
      <c r="A5947" s="1" t="s">
        <v>509</v>
      </c>
      <c r="B5947" s="8" t="s">
        <v>86</v>
      </c>
      <c r="C5947" s="38" t="n">
        <f aca="false">Sens!$C$5862</f>
        <v>387.497</v>
      </c>
      <c r="D5947" s="38" t="n">
        <f aca="false">Sens!$D$5862</f>
        <v>426.305</v>
      </c>
      <c r="E5947" s="38" t="n">
        <f aca="false">Sens!$E$5862</f>
        <v>220.32</v>
      </c>
      <c r="F5947" s="38" t="n">
        <f aca="false">Sens!$F$5862</f>
        <v>250.639773480586</v>
      </c>
      <c r="G5947" s="38" t="n">
        <f aca="false">Sens!$G$5862</f>
        <v>470.959773480586</v>
      </c>
      <c r="H5947" s="38" t="n">
        <f aca="false">Sens!$H$5862</f>
        <v>521.386990416437</v>
      </c>
      <c r="I5947" s="38" t="n">
        <f aca="false">Sens!$I$5862</f>
        <v>570.143862887555</v>
      </c>
      <c r="J5947" s="38" t="n">
        <f aca="false">Sens!$J$5862</f>
        <v>615.391435791933</v>
      </c>
      <c r="K5947" s="38" t="n">
        <f aca="false">Sens!$K$5862</f>
        <v>655.208227561543</v>
      </c>
      <c r="L5947" s="38" t="n">
        <f aca="false">Sens!$L$5862</f>
        <v>697.807739249767</v>
      </c>
      <c r="M5947" s="38" t="n">
        <f aca="false">Sens!$M$5862</f>
        <v>743.399328463592</v>
      </c>
      <c r="N5947" s="38" t="n">
        <f aca="false">Sens!$N$5862</f>
        <v>192.955</v>
      </c>
      <c r="O5947" s="38" t="n">
        <f aca="false">Sens!$O$5862</f>
        <v>233.35</v>
      </c>
    </row>
    <row r="5948" customFormat="false" ht="15" hidden="false" customHeight="false" outlineLevel="0" collapsed="false">
      <c r="A5948" s="1" t="s">
        <v>512</v>
      </c>
      <c r="B5948" s="8" t="s">
        <v>86</v>
      </c>
      <c r="C5948" s="38" t="n">
        <f aca="false">Sens!$C$5863</f>
        <v>142.906</v>
      </c>
      <c r="D5948" s="38" t="n">
        <f aca="false">Sens!$D$5863</f>
        <v>161.894</v>
      </c>
      <c r="E5948" s="38" t="n">
        <f aca="false">Sens!$E$5863</f>
        <v>81.986</v>
      </c>
      <c r="F5948" s="38" t="n">
        <f aca="false">Sens!$F$5863</f>
        <v>98.408468164951</v>
      </c>
      <c r="G5948" s="38" t="n">
        <f aca="false">Sens!$G$5863</f>
        <v>180.394468164951</v>
      </c>
      <c r="H5948" s="38" t="n">
        <f aca="false">Sens!$H$5863</f>
        <v>199.709899104949</v>
      </c>
      <c r="I5948" s="38" t="n">
        <f aca="false">Sens!$I$5863</f>
        <v>218.385528264976</v>
      </c>
      <c r="J5948" s="38" t="n">
        <f aca="false">Sens!$J$5863</f>
        <v>235.71696994951</v>
      </c>
      <c r="K5948" s="38" t="n">
        <f aca="false">Sens!$K$5863</f>
        <v>250.968227869545</v>
      </c>
      <c r="L5948" s="38" t="n">
        <f aca="false">Sens!$L$5863</f>
        <v>267.285367225822</v>
      </c>
      <c r="M5948" s="38" t="n">
        <f aca="false">Sens!$M$5863</f>
        <v>284.748579483295</v>
      </c>
      <c r="N5948" s="38" t="n">
        <f aca="false">Sens!$N$5863</f>
        <v>70.274</v>
      </c>
      <c r="O5948" s="38" t="n">
        <f aca="false">Sens!$O$5863</f>
        <v>91.62</v>
      </c>
    </row>
    <row r="5949" customFormat="false" ht="15" hidden="false" customHeight="false" outlineLevel="0" collapsed="false">
      <c r="A5949" s="1" t="s">
        <v>513</v>
      </c>
      <c r="B5949" s="8" t="s">
        <v>86</v>
      </c>
      <c r="C5949" s="38" t="n">
        <f aca="false">Sens!$C$5927</f>
        <v>107.556</v>
      </c>
      <c r="D5949" s="38" t="n">
        <f aca="false">Sens!$D$5927</f>
        <v>128.725</v>
      </c>
      <c r="E5949" s="38" t="n">
        <f aca="false">Sens!$E$5927</f>
        <v>79.819</v>
      </c>
      <c r="F5949" s="38" t="n">
        <f aca="false">Sens!$F$5927</f>
        <v>86.7327334389669</v>
      </c>
      <c r="G5949" s="38" t="n">
        <f aca="false">Sens!$G$5927</f>
        <v>166.551733438967</v>
      </c>
      <c r="H5949" s="38" t="n">
        <f aca="false">Sens!$H$5927</f>
        <v>221.182967828978</v>
      </c>
      <c r="I5949" s="38" t="n">
        <f aca="false">Sens!$I$5927</f>
        <v>280.27345865789</v>
      </c>
      <c r="J5949" s="38" t="n">
        <f aca="false">Sens!$J$5927</f>
        <v>338.800945197185</v>
      </c>
      <c r="K5949" s="38" t="n">
        <f aca="false">Sens!$K$5927</f>
        <v>389.88570147276</v>
      </c>
      <c r="L5949" s="38" t="n">
        <f aca="false">Sens!$L$5927</f>
        <v>430.080689379143</v>
      </c>
      <c r="M5949" s="38" t="n">
        <f aca="false">Sens!$M$5927</f>
        <v>459.456235951751</v>
      </c>
      <c r="N5949" s="38" t="n">
        <f aca="false">Sens!$N$5927</f>
        <v>60.14</v>
      </c>
      <c r="O5949" s="38" t="n">
        <f aca="false">Sens!$O$5927</f>
        <v>68.585</v>
      </c>
    </row>
    <row r="5950" customFormat="false" ht="17.15" hidden="false" customHeight="false" outlineLevel="0" collapsed="false">
      <c r="A5950" s="0" t="s">
        <v>685</v>
      </c>
      <c r="B5950" s="0" t="s">
        <v>86</v>
      </c>
      <c r="C5950" s="38" t="n">
        <f aca="false">Sens!$C$5925</f>
        <v>2.32100535697364</v>
      </c>
      <c r="D5950" s="38" t="n">
        <f aca="false">Sens!$D$5925</f>
        <v>8.70377008865116</v>
      </c>
      <c r="E5950" s="38" t="n">
        <f aca="false">Sens!$E$5925</f>
        <v>8.51035297557002</v>
      </c>
      <c r="F5950" s="38" t="n">
        <f aca="false">Sens!$F$5925</f>
        <v>14.9634336447205</v>
      </c>
      <c r="G5950" s="38" t="n">
        <f aca="false">Sens!$G$5925</f>
        <v>23.4737866202905</v>
      </c>
      <c r="H5950" s="38" t="n">
        <f aca="false">Sens!$H$5925</f>
        <v>60.1658907497746</v>
      </c>
      <c r="I5950" s="38" t="n">
        <f aca="false">Sens!$I$5925</f>
        <v>101.503699136432</v>
      </c>
      <c r="J5950" s="38" t="n">
        <f aca="false">Sens!$J$5925</f>
        <v>143.025407151278</v>
      </c>
      <c r="K5950" s="38" t="n">
        <f aca="false">Sens!$K$5925</f>
        <v>178.44812038318</v>
      </c>
      <c r="L5950" s="38" t="n">
        <f aca="false">Sens!$L$5925</f>
        <v>201.728101802396</v>
      </c>
      <c r="M5950" s="38" t="n">
        <f aca="false">Sens!$M$5925</f>
        <v>212.835441368865</v>
      </c>
      <c r="N5950" s="38" t="n">
        <f aca="false">Sens!$N$5925</f>
        <v>3.04631953102791</v>
      </c>
      <c r="O5950" s="38" t="n">
        <f aca="false">Sens!$O$5925</f>
        <v>5.65745055762326</v>
      </c>
    </row>
    <row r="5951" customFormat="false" ht="17.15" hidden="false" customHeight="false" outlineLevel="0" collapsed="false">
      <c r="A5951" s="0" t="s">
        <v>687</v>
      </c>
      <c r="B5951" s="0" t="s">
        <v>86</v>
      </c>
      <c r="C5951" s="38" t="n">
        <f aca="false">Sens!$C$5926</f>
        <v>105.234994643026</v>
      </c>
      <c r="D5951" s="38" t="n">
        <f aca="false">Sens!$D$5926</f>
        <v>120.021229911349</v>
      </c>
      <c r="E5951" s="38" t="n">
        <f aca="false">Sens!$E$5926</f>
        <v>71.30864702443</v>
      </c>
      <c r="F5951" s="38" t="n">
        <f aca="false">Sens!$F$5926</f>
        <v>71.7692997942464</v>
      </c>
      <c r="G5951" s="38" t="n">
        <f aca="false">Sens!$G$5926</f>
        <v>143.077946818676</v>
      </c>
      <c r="H5951" s="38" t="n">
        <f aca="false">Sens!$H$5926</f>
        <v>161.017077079203</v>
      </c>
      <c r="I5951" s="38" t="n">
        <f aca="false">Sens!$I$5926</f>
        <v>178.769759521457</v>
      </c>
      <c r="J5951" s="38" t="n">
        <f aca="false">Sens!$J$5926</f>
        <v>195.775538045907</v>
      </c>
      <c r="K5951" s="38" t="n">
        <f aca="false">Sens!$K$5926</f>
        <v>211.43758108958</v>
      </c>
      <c r="L5951" s="38" t="n">
        <f aca="false">Sens!$L$5926</f>
        <v>228.352587576746</v>
      </c>
      <c r="M5951" s="38" t="n">
        <f aca="false">Sens!$M$5926</f>
        <v>246.620794582886</v>
      </c>
      <c r="N5951" s="38" t="n">
        <f aca="false">Sens!$N$5926</f>
        <v>57.0936804689721</v>
      </c>
      <c r="O5951" s="38" t="n">
        <f aca="false">Sens!$O$5926</f>
        <v>62.9275494423768</v>
      </c>
    </row>
    <row r="5952" customFormat="false" ht="15" hidden="false" customHeight="false" outlineLevel="0" collapsed="false">
      <c r="A5952" s="3" t="s">
        <v>514</v>
      </c>
      <c r="B5952" s="8" t="s">
        <v>86</v>
      </c>
      <c r="C5952" s="38" t="n">
        <f aca="false">Sens!$C$5928</f>
        <v>637.959</v>
      </c>
      <c r="D5952" s="38" t="n">
        <f aca="false">Sens!$D$5928</f>
        <v>716.924</v>
      </c>
      <c r="E5952" s="38" t="n">
        <f aca="false">Sens!$E$5928</f>
        <v>382.125</v>
      </c>
      <c r="F5952" s="38" t="n">
        <f aca="false">Sens!$F$5928</f>
        <v>435.780975084504</v>
      </c>
      <c r="G5952" s="38" t="n">
        <f aca="false">Sens!$G$5928</f>
        <v>817.905975084504</v>
      </c>
      <c r="H5952" s="38" t="n">
        <f aca="false">Sens!$H$5928</f>
        <v>942.279857350364</v>
      </c>
      <c r="I5952" s="38" t="n">
        <f aca="false">Sens!$I$5928</f>
        <v>1068.80284981042</v>
      </c>
      <c r="J5952" s="38" t="n">
        <f aca="false">Sens!$J$5928</f>
        <v>1189.90935093863</v>
      </c>
      <c r="K5952" s="38" t="n">
        <f aca="false">Sens!$K$5928</f>
        <v>1296.06215690385</v>
      </c>
      <c r="L5952" s="38" t="n">
        <f aca="false">Sens!$L$5928</f>
        <v>1395.17379585473</v>
      </c>
      <c r="M5952" s="38" t="n">
        <f aca="false">Sens!$M$5928</f>
        <v>1487.60414389864</v>
      </c>
      <c r="N5952" s="38" t="n">
        <f aca="false">Sens!$N$5928</f>
        <v>323.369</v>
      </c>
      <c r="O5952" s="38" t="n">
        <f aca="false">Sens!$O$5928</f>
        <v>393.555</v>
      </c>
    </row>
    <row r="5953" customFormat="false" ht="17.15" hidden="false" customHeight="false" outlineLevel="0" collapsed="false">
      <c r="A5953" s="24" t="s">
        <v>697</v>
      </c>
      <c r="B5953" s="25" t="s">
        <v>86</v>
      </c>
      <c r="C5953" s="41" t="n">
        <f aca="false">Sens!$C$5940+Sens!$C$5941+Sens!$C$5942+Sens!$C$5943+Sens!$C$5944+Sens!$C$5945-(Sens!$C$5947+Sens!$C$5948)</f>
        <v>0</v>
      </c>
      <c r="D5953" s="41" t="n">
        <f aca="false">Sens!$D$5940+Sens!$D$5941+Sens!$D$5942+Sens!$D$5943+Sens!$D$5944+Sens!$D$5945-(Sens!$D$5947+Sens!$D$5948)</f>
        <v>0</v>
      </c>
      <c r="E5953" s="41" t="n">
        <f aca="false">Sens!$E$5940+Sens!$E$5941+Sens!$E$5942+Sens!$E$5943+Sens!$E$5944+Sens!$E$5945-(Sens!$E$5947+Sens!$E$5948)</f>
        <v>0</v>
      </c>
      <c r="F5953" s="41" t="n">
        <f aca="false">Sens!$F$5940+Sens!$F$5941+Sens!$F$5942+Sens!$F$5943+Sens!$F$5944+Sens!$F$5945-(Sens!$F$5947+Sens!$F$5948)</f>
        <v>0</v>
      </c>
      <c r="G5953" s="41" t="n">
        <f aca="false">Sens!$G$5940+Sens!$G$5941+Sens!$G$5942+Sens!$G$5943+Sens!$G$5944+Sens!$G$5945-(Sens!$G$5947+Sens!$G$5948)</f>
        <v>0</v>
      </c>
      <c r="H5953" s="41" t="n">
        <f aca="false">Sens!$H$5940+Sens!$H$5941+Sens!$H$5942+Sens!$H$5943+Sens!$H$5944+Sens!$H$5945-(Sens!$H$5947+Sens!$H$5948)</f>
        <v>0</v>
      </c>
      <c r="I5953" s="41" t="n">
        <f aca="false">Sens!$I$5940+Sens!$I$5941+Sens!$I$5942+Sens!$I$5943+Sens!$I$5944+Sens!$I$5945-(Sens!$I$5947+Sens!$I$5948)</f>
        <v>0</v>
      </c>
      <c r="J5953" s="41" t="n">
        <f aca="false">Sens!$J$5940+Sens!$J$5941+Sens!$J$5942+Sens!$J$5943+Sens!$J$5944+Sens!$J$5945-(Sens!$J$5947+Sens!$J$5948)</f>
        <v>0</v>
      </c>
      <c r="K5953" s="41" t="n">
        <f aca="false">Sens!$K$5940+Sens!$K$5941+Sens!$K$5942+Sens!$K$5943+Sens!$K$5944+Sens!$K$5945-(Sens!$K$5947+Sens!$K$5948)</f>
        <v>0</v>
      </c>
      <c r="L5953" s="41" t="n">
        <f aca="false">Sens!$L$5940+Sens!$L$5941+Sens!$L$5942+Sens!$L$5943+Sens!$L$5944+Sens!$L$5945-(Sens!$L$5947+Sens!$L$5948)</f>
        <v>0</v>
      </c>
      <c r="M5953" s="41" t="n">
        <f aca="false">Sens!$M$5940+Sens!$M$5941+Sens!$M$5942+Sens!$M$5943+Sens!$M$5944+Sens!$M$5945-(Sens!$M$5947+Sens!$M$5948)</f>
        <v>0</v>
      </c>
      <c r="N5953" s="41" t="n">
        <f aca="false">Sens!$N$5940+Sens!$N$5941+Sens!$N$5942+Sens!$N$5943+Sens!$N$5944+Sens!$N$5945-(Sens!$N$5947+Sens!$N$5948)</f>
        <v>0</v>
      </c>
      <c r="O5953" s="41" t="n">
        <f aca="false">Sens!$O$5940+Sens!$O$5941+Sens!$O$5942+Sens!$O$5943+Sens!$O$5944+Sens!$O$5945-(Sens!$O$5947+Sens!$O$5948)</f>
        <v>0</v>
      </c>
    </row>
    <row r="5954" customFormat="false" ht="17.15" hidden="false" customHeight="false" outlineLevel="0" collapsed="false">
      <c r="A5954" s="24" t="s">
        <v>698</v>
      </c>
      <c r="B5954" s="25" t="s">
        <v>86</v>
      </c>
      <c r="C5954" s="41" t="n">
        <f aca="false">Sens!$C$5950+Sens!$C$5951-Sens!$C$5949</f>
        <v>0</v>
      </c>
      <c r="D5954" s="41" t="n">
        <f aca="false">Sens!$D$5950+Sens!$D$5951-Sens!$D$5949</f>
        <v>0</v>
      </c>
      <c r="E5954" s="41" t="n">
        <f aca="false">Sens!$E$5950+Sens!$E$5951-Sens!$E$5949</f>
        <v>0</v>
      </c>
      <c r="F5954" s="41" t="n">
        <f aca="false">Sens!$F$5950+Sens!$F$5951-Sens!$F$5949</f>
        <v>0</v>
      </c>
      <c r="G5954" s="41" t="n">
        <f aca="false">Sens!$G$5950+Sens!$G$5951-Sens!$G$5949</f>
        <v>0</v>
      </c>
      <c r="H5954" s="41" t="n">
        <f aca="false">Sens!$H$5950+Sens!$H$5951-Sens!$H$5949</f>
        <v>0</v>
      </c>
      <c r="I5954" s="41" t="n">
        <f aca="false">Sens!$I$5950+Sens!$I$5951-Sens!$I$5949</f>
        <v>0</v>
      </c>
      <c r="J5954" s="41" t="n">
        <f aca="false">Sens!$J$5950+Sens!$J$5951-Sens!$J$5949</f>
        <v>0</v>
      </c>
      <c r="K5954" s="41" t="n">
        <f aca="false">Sens!$K$5950+Sens!$K$5951-Sens!$K$5949</f>
        <v>0</v>
      </c>
      <c r="L5954" s="41" t="n">
        <f aca="false">Sens!$L$5950+Sens!$L$5951-Sens!$L$5949</f>
        <v>0</v>
      </c>
      <c r="M5954" s="41" t="n">
        <f aca="false">Sens!$M$5950+Sens!$M$5951-Sens!$M$5949</f>
        <v>0</v>
      </c>
      <c r="N5954" s="41" t="n">
        <f aca="false">Sens!$N$5950+Sens!$N$5951-Sens!$N$5949</f>
        <v>0</v>
      </c>
      <c r="O5954" s="41" t="n">
        <f aca="false">Sens!$O$5950+Sens!$O$5951-Sens!$O$5949</f>
        <v>0</v>
      </c>
    </row>
    <row r="5955" customFormat="false" ht="17.15" hidden="false" customHeight="false" outlineLevel="0" collapsed="false">
      <c r="A5955" s="24" t="s">
        <v>757</v>
      </c>
      <c r="B5955" s="25" t="s">
        <v>86</v>
      </c>
      <c r="C5955" s="41" t="n">
        <f aca="false">Sens!$C$5940+Sens!$C$5941+Sens!$C$5942+Sens!$C$5943+Sens!$C$5944+Sens!$C$5945+Sens!$C$5946-Sens!$C$5952</f>
        <v>0</v>
      </c>
      <c r="D5955" s="41" t="n">
        <f aca="false">Sens!$D$5940+Sens!$D$5941+Sens!$D$5942+Sens!$D$5943+Sens!$D$5944+Sens!$D$5945+Sens!$D$5946-Sens!$D$5952</f>
        <v>0</v>
      </c>
      <c r="E5955" s="41" t="n">
        <f aca="false">Sens!$E$5940+Sens!$E$5941+Sens!$E$5942+Sens!$E$5943+Sens!$E$5944+Sens!$E$5945+Sens!$E$5946-Sens!$E$5952</f>
        <v>0</v>
      </c>
      <c r="F5955" s="41" t="n">
        <f aca="false">Sens!$F$5940+Sens!$F$5941+Sens!$F$5942+Sens!$F$5943+Sens!$F$5944+Sens!$F$5945+Sens!$F$5946-Sens!$F$5952</f>
        <v>0</v>
      </c>
      <c r="G5955" s="41" t="n">
        <f aca="false">Sens!$G$5940+Sens!$G$5941+Sens!$G$5942+Sens!$G$5943+Sens!$G$5944+Sens!$G$5945+Sens!$G$5946-Sens!$G$5952</f>
        <v>0</v>
      </c>
      <c r="H5955" s="41" t="n">
        <f aca="false">Sens!$H$5940+Sens!$H$5941+Sens!$H$5942+Sens!$H$5943+Sens!$H$5944+Sens!$H$5945+Sens!$H$5946-Sens!$H$5952</f>
        <v>0</v>
      </c>
      <c r="I5955" s="41" t="n">
        <f aca="false">Sens!$I$5940+Sens!$I$5941+Sens!$I$5942+Sens!$I$5943+Sens!$I$5944+Sens!$I$5945+Sens!$I$5946-Sens!$I$5952</f>
        <v>0</v>
      </c>
      <c r="J5955" s="41" t="n">
        <f aca="false">Sens!$J$5940+Sens!$J$5941+Sens!$J$5942+Sens!$J$5943+Sens!$J$5944+Sens!$J$5945+Sens!$J$5946-Sens!$J$5952</f>
        <v>0</v>
      </c>
      <c r="K5955" s="41" t="n">
        <f aca="false">Sens!$K$5940+Sens!$K$5941+Sens!$K$5942+Sens!$K$5943+Sens!$K$5944+Sens!$K$5945+Sens!$K$5946-Sens!$K$5952</f>
        <v>0</v>
      </c>
      <c r="L5955" s="41" t="n">
        <f aca="false">Sens!$L$5940+Sens!$L$5941+Sens!$L$5942+Sens!$L$5943+Sens!$L$5944+Sens!$L$5945+Sens!$L$5946-Sens!$L$5952</f>
        <v>0</v>
      </c>
      <c r="M5955" s="41" t="n">
        <f aca="false">Sens!$M$5940+Sens!$M$5941+Sens!$M$5942+Sens!$M$5943+Sens!$M$5944+Sens!$M$5945+Sens!$M$5946-Sens!$M$5952</f>
        <v>0</v>
      </c>
      <c r="N5955" s="41" t="n">
        <f aca="false">Sens!$N$5940+Sens!$N$5941+Sens!$N$5942+Sens!$N$5943+Sens!$N$5944+Sens!$N$5945+Sens!$N$5946-Sens!$N$5952</f>
        <v>0</v>
      </c>
      <c r="O5955" s="41" t="n">
        <f aca="false">Sens!$O$5940+Sens!$O$5941+Sens!$O$5942+Sens!$O$5943+Sens!$O$5944+Sens!$O$5945+Sens!$O$5946-Sens!$O$5952</f>
        <v>0</v>
      </c>
    </row>
    <row r="5956" customFormat="false" ht="17.15" hidden="false" customHeight="false" outlineLevel="0" collapsed="false">
      <c r="A5956" s="24" t="s">
        <v>699</v>
      </c>
      <c r="B5956" s="25" t="s">
        <v>86</v>
      </c>
      <c r="C5956" s="41" t="n">
        <f aca="false">Sens!$C$5947+Sens!$C$5948+Sens!$C$5949-Sens!$C$5952</f>
        <v>0</v>
      </c>
      <c r="D5956" s="41" t="n">
        <f aca="false">Sens!$D$5947+Sens!$D$5948+Sens!$D$5949-Sens!$D$5952</f>
        <v>0</v>
      </c>
      <c r="E5956" s="41" t="n">
        <f aca="false">Sens!$E$5947+Sens!$E$5948+Sens!$E$5949-Sens!$E$5952</f>
        <v>0</v>
      </c>
      <c r="F5956" s="41" t="n">
        <f aca="false">Sens!$F$5947+Sens!$F$5948+Sens!$F$5949-Sens!$F$5952</f>
        <v>0</v>
      </c>
      <c r="G5956" s="41" t="n">
        <f aca="false">Sens!$G$5947+Sens!$G$5948+Sens!$G$5949-Sens!$G$5952</f>
        <v>0</v>
      </c>
      <c r="H5956" s="41" t="n">
        <f aca="false">Sens!$H$5947+Sens!$H$5948+Sens!$H$5949-Sens!$H$5952</f>
        <v>0</v>
      </c>
      <c r="I5956" s="41" t="n">
        <f aca="false">Sens!$I$5947+Sens!$I$5948+Sens!$I$5949-Sens!$I$5952</f>
        <v>0</v>
      </c>
      <c r="J5956" s="41" t="n">
        <f aca="false">Sens!$J$5947+Sens!$J$5948+Sens!$J$5949-Sens!$J$5952</f>
        <v>0</v>
      </c>
      <c r="K5956" s="41" t="n">
        <f aca="false">Sens!$K$5947+Sens!$K$5948+Sens!$K$5949-Sens!$K$5952</f>
        <v>0</v>
      </c>
      <c r="L5956" s="41" t="n">
        <f aca="false">Sens!$L$5947+Sens!$L$5948+Sens!$L$5949-Sens!$L$5952</f>
        <v>0</v>
      </c>
      <c r="M5956" s="41" t="n">
        <f aca="false">Sens!$M$5947+Sens!$M$5948+Sens!$M$5949-Sens!$M$5952</f>
        <v>0</v>
      </c>
      <c r="N5956" s="41" t="n">
        <f aca="false">Sens!$N$5947+Sens!$N$5948+Sens!$N$5949-Sens!$N$5952</f>
        <v>0</v>
      </c>
      <c r="O5956" s="41" t="n">
        <f aca="false">Sens!$O$5947+Sens!$O$5948+Sens!$O$5949-Sens!$O$5952</f>
        <v>0</v>
      </c>
    </row>
    <row r="5957" customFormat="false" ht="17.15" hidden="false" customHeight="false" outlineLevel="0" collapsed="false">
      <c r="A5957" s="1" t="s">
        <v>713</v>
      </c>
    </row>
    <row r="5958" customFormat="false" ht="17.15" hidden="false" customHeight="false" outlineLevel="0" collapsed="false">
      <c r="A5958" s="0" t="s">
        <v>714</v>
      </c>
      <c r="B5958" s="0" t="s">
        <v>86</v>
      </c>
      <c r="C5958" s="38" t="n">
        <f aca="false">Sens!$C$5864*m_ad</f>
        <v>20.5341564414228</v>
      </c>
      <c r="D5958" s="38" t="n">
        <f aca="false">Sens!$D$5864*m_ad</f>
        <v>24.8720617299587</v>
      </c>
      <c r="E5958" s="38" t="n">
        <f aca="false">Sens!$E$5864*m_ad</f>
        <v>13.5017112462207</v>
      </c>
      <c r="F5958" s="38" t="n">
        <f aca="false">Sens!$F$5864*m_ad</f>
        <v>16.5719724165257</v>
      </c>
      <c r="G5958" s="38" t="n">
        <f aca="false">Sens!$G$5864*m_ad</f>
        <v>30.0820919220415</v>
      </c>
      <c r="H5958" s="38" t="n">
        <f aca="false">Sens!$H$5864*m_ad</f>
        <v>36.1150883276314</v>
      </c>
      <c r="I5958" s="38" t="n">
        <f aca="false">Sens!$I$5864*m_ad</f>
        <v>42.1475382231996</v>
      </c>
      <c r="J5958" s="38" t="n">
        <f aca="false">Sens!$J$5864*m_ad</f>
        <v>47.7749523864693</v>
      </c>
      <c r="K5958" s="38" t="n">
        <f aca="false">Sens!$K$5864*m_ad</f>
        <v>52.5524476251162</v>
      </c>
      <c r="L5958" s="38" t="n">
        <f aca="false">Sens!$L$5864*m_ad</f>
        <v>57.8076923876279</v>
      </c>
      <c r="M5958" s="38" t="n">
        <f aca="false">Sens!$M$5864*m_ad</f>
        <v>63.5884616263907</v>
      </c>
      <c r="N5958" s="38" t="n">
        <f aca="false">Sens!$N$5864*m_ad</f>
        <v>10.8543555706248</v>
      </c>
      <c r="O5958" s="38" t="n">
        <f aca="false">Sens!$O$5864*m_ad</f>
        <v>14.0094731821399</v>
      </c>
    </row>
    <row r="5959" customFormat="false" ht="17.15" hidden="false" customHeight="false" outlineLevel="0" collapsed="false">
      <c r="A5959" s="0" t="s">
        <v>715</v>
      </c>
      <c r="B5959" s="0" t="s">
        <v>86</v>
      </c>
      <c r="C5959" s="38" t="n">
        <f aca="false">Sens!$C$5862-Sens!$C$5864</f>
        <v>346.428687117154</v>
      </c>
      <c r="D5959" s="38" t="n">
        <f aca="false">Sens!$D$5862-Sens!$D$5864</f>
        <v>376.560876540083</v>
      </c>
      <c r="E5959" s="38" t="n">
        <f aca="false">Sens!$E$5862-Sens!$E$5864</f>
        <v>193.316577507559</v>
      </c>
      <c r="F5959" s="38" t="n">
        <f aca="false">Sens!$F$5862-Sens!$F$5864</f>
        <v>217.495828647535</v>
      </c>
      <c r="G5959" s="38" t="n">
        <f aca="false">Sens!$G$5862-Sens!$G$5864</f>
        <v>410.795589636503</v>
      </c>
      <c r="H5959" s="38" t="n">
        <f aca="false">Sens!$H$5862-Sens!$H$5864</f>
        <v>449.156813761174</v>
      </c>
      <c r="I5959" s="38" t="n">
        <f aca="false">Sens!$I$5862-Sens!$I$5864</f>
        <v>485.848786441156</v>
      </c>
      <c r="J5959" s="38" t="n">
        <f aca="false">Sens!$J$5862-Sens!$J$5864</f>
        <v>519.841531018994</v>
      </c>
      <c r="K5959" s="38" t="n">
        <f aca="false">Sens!$K$5862-Sens!$K$5864</f>
        <v>550.103332311311</v>
      </c>
      <c r="L5959" s="38" t="n">
        <f aca="false">Sens!$L$5862-Sens!$L$5864</f>
        <v>582.192354474511</v>
      </c>
      <c r="M5959" s="38" t="n">
        <f aca="false">Sens!$M$5862-Sens!$M$5864</f>
        <v>616.22240521081</v>
      </c>
      <c r="N5959" s="38" t="n">
        <f aca="false">Sens!$N$5862-Sens!$N$5864</f>
        <v>171.24628885875</v>
      </c>
      <c r="O5959" s="38" t="n">
        <f aca="false">Sens!$O$5862-Sens!$O$5864</f>
        <v>205.33105363572</v>
      </c>
    </row>
    <row r="5960" customFormat="false" ht="17.15" hidden="false" customHeight="false" outlineLevel="0" collapsed="false">
      <c r="A5960" s="0" t="s">
        <v>716</v>
      </c>
      <c r="B5960" s="0" t="s">
        <v>86</v>
      </c>
      <c r="C5960" s="38" t="n">
        <f aca="false">Sens!$C$5911*Sens!$C$5861</f>
        <v>0.123617442257179</v>
      </c>
      <c r="D5960" s="38" t="n">
        <f aca="false">Sens!$D$5911*Sens!$D$5861</f>
        <v>0.874366899302609</v>
      </c>
      <c r="E5960" s="38" t="n">
        <f aca="false">Sens!$E$5911*Sens!$E$5861</f>
        <v>1.29318830502574</v>
      </c>
      <c r="F5960" s="38" t="n">
        <f aca="false">Sens!$F$5911*Sens!$F$5861</f>
        <v>1.51802024162534</v>
      </c>
      <c r="G5960" s="38" t="n">
        <f aca="false">Sens!$G$5911*Sens!$G$5861</f>
        <v>2.81153363597665</v>
      </c>
      <c r="H5960" s="38" t="n">
        <f aca="false">Sens!$H$5911*Sens!$H$5861</f>
        <v>7.39027704264226</v>
      </c>
      <c r="I5960" s="38" t="n">
        <f aca="false">Sens!$I$5911*Sens!$I$5861</f>
        <v>12.899807643047</v>
      </c>
      <c r="J5960" s="38" t="n">
        <f aca="false">Sens!$J$5911*Sens!$J$5861</f>
        <v>18.5585322471382</v>
      </c>
      <c r="K5960" s="38" t="n">
        <f aca="false">Sens!$K$5911*Sens!$K$5861</f>
        <v>24.0966749520672</v>
      </c>
      <c r="L5960" s="38" t="n">
        <f aca="false">Sens!$L$5911*Sens!$L$5861</f>
        <v>27.686623551477</v>
      </c>
      <c r="M5960" s="38" t="n">
        <f aca="false">Sens!$M$5911*Sens!$M$5861</f>
        <v>29.7238645537022</v>
      </c>
      <c r="N5960" s="38" t="n">
        <f aca="false">Sens!$N$5911*Sens!$N$5861</f>
        <v>0.389180508437431</v>
      </c>
      <c r="O5960" s="38" t="n">
        <f aca="false">Sens!$O$5911*Sens!$O$5861</f>
        <v>0.485052120082802</v>
      </c>
    </row>
    <row r="5961" customFormat="false" ht="17.15" hidden="false" customHeight="false" outlineLevel="0" collapsed="false">
      <c r="A5961" s="0" t="s">
        <v>717</v>
      </c>
      <c r="B5961" s="0" t="s">
        <v>52</v>
      </c>
      <c r="C5961" s="28" t="n">
        <f aca="false">(Sens!$C$5962-Sens!$C$5958+Sens!$C$5960)/Sens!$C$5959</f>
        <v>0.0131526665379575</v>
      </c>
      <c r="D5961" s="28" t="n">
        <f aca="false">(Sens!$D$5962-Sens!$D$5958+Sens!$D$5960)/Sens!$D$5959</f>
        <v>0.0149280116962589</v>
      </c>
      <c r="E5961" s="28" t="n">
        <f aca="false">(Sens!$E$5962-Sens!$E$5958+Sens!$E$5960)/Sens!$E$5959</f>
        <v>0.0268030663774938</v>
      </c>
      <c r="F5961" s="28" t="n">
        <f aca="false">Sens!$O$5961+(Sens!$E$5961-Sens!$N$5961)</f>
        <v>0.0232379346966962</v>
      </c>
      <c r="G5961" s="28" t="n">
        <f aca="false">(Sens!$G$5962-Sens!$G$5958+Sens!$G$5960)/Sens!$G$5959</f>
        <v>0.0248969268652583</v>
      </c>
      <c r="H5961" s="28" t="n">
        <f aca="false">Sens!$G$5961+step_na</f>
        <v>0.0278969268652583</v>
      </c>
      <c r="I5961" s="28" t="n">
        <f aca="false">Sens!$H$5961+step_na</f>
        <v>0.0308969268652583</v>
      </c>
      <c r="J5961" s="28" t="n">
        <f aca="false">Sens!$I$5961+step_na</f>
        <v>0.0338969268652583</v>
      </c>
      <c r="K5961" s="28" t="n">
        <f aca="false">Sens!$J$5961+step_na</f>
        <v>0.0368969268652584</v>
      </c>
      <c r="L5961" s="28" t="n">
        <f aca="false">Sens!$K$5961</f>
        <v>0.0368969268652584</v>
      </c>
      <c r="M5961" s="28" t="n">
        <f aca="false">Sens!$L$5961</f>
        <v>0.0368969268652584</v>
      </c>
      <c r="N5961" s="28" t="n">
        <f aca="false">(Sens!$N$5962-Sens!$N$5958+Sens!$N$5960)/Sens!$N$5959</f>
        <v>0.0168927744775755</v>
      </c>
      <c r="O5961" s="28" t="n">
        <f aca="false">(Sens!$O$5962-Sens!$O$5958+Sens!$O$5960)/Sens!$O$5959</f>
        <v>0.0133276427967779</v>
      </c>
      <c r="P5961" s="8" t="s">
        <v>718</v>
      </c>
    </row>
    <row r="5962" customFormat="false" ht="17.15" hidden="false" customHeight="false" outlineLevel="0" collapsed="false">
      <c r="A5962" s="1" t="s">
        <v>719</v>
      </c>
      <c r="B5962" s="8" t="s">
        <v>86</v>
      </c>
      <c r="C5962" s="38" t="n">
        <f aca="false">Q!$D$22</f>
        <v>24.967</v>
      </c>
      <c r="D5962" s="38" t="n">
        <f aca="false">Q!$E$22</f>
        <v>29.619</v>
      </c>
      <c r="E5962" s="38" t="n">
        <f aca="false">Q!$P$22</f>
        <v>17.39</v>
      </c>
      <c r="F5962" s="38" t="n">
        <f aca="false">Sens!$F$5958+Sens!$F$5959*Sens!$F$5961-Sens!$F$5960</f>
        <v>20.1081060378156</v>
      </c>
      <c r="G5962" s="38" t="n">
        <f aca="false">Sens!$E$5962+Sens!$F$5962</f>
        <v>37.4981060378156</v>
      </c>
      <c r="H5962" s="38" t="n">
        <f aca="false">Sens!$H$5958+Sens!$H$5959*Sens!$H$5961-Sens!$H$5960</f>
        <v>41.2549060695171</v>
      </c>
      <c r="I5962" s="38" t="n">
        <f aca="false">Sens!$I$5958+Sens!$I$5959*Sens!$I$5961-Sens!$I$5960</f>
        <v>44.2589650023995</v>
      </c>
      <c r="J5962" s="38" t="n">
        <f aca="false">Sens!$J$5958+Sens!$J$5959*Sens!$J$5961-Sens!$J$5960</f>
        <v>46.8374504978059</v>
      </c>
      <c r="K5962" s="38" t="n">
        <f aca="false">Sens!$K$5958+Sens!$K$5959*Sens!$K$5961-Sens!$K$5960</f>
        <v>48.7528950936744</v>
      </c>
      <c r="L5962" s="38" t="n">
        <f aca="false">Sens!$L$5958+Sens!$L$5959*Sens!$L$5961-Sens!$L$5960</f>
        <v>51.6021775607095</v>
      </c>
      <c r="M5962" s="38" t="n">
        <f aca="false">Sens!$M$5958+Sens!$M$5959*Sens!$M$5961-Sens!$M$5960</f>
        <v>56.6013100904853</v>
      </c>
      <c r="N5962" s="38" t="n">
        <f aca="false">Q!$N$22</f>
        <v>13.358</v>
      </c>
      <c r="O5962" s="38" t="n">
        <f aca="false">Q!$O$22</f>
        <v>16.261</v>
      </c>
    </row>
    <row r="5963" customFormat="false" ht="17.15" hidden="false" customHeight="false" outlineLevel="0" collapsed="false">
      <c r="A5963" s="0" t="s">
        <v>720</v>
      </c>
      <c r="B5963" s="0" t="s">
        <v>86</v>
      </c>
      <c r="C5963" s="38" t="n">
        <f aca="false">Sens!$C$5865*m_ad</f>
        <v>7.57284355857716</v>
      </c>
      <c r="D5963" s="38" t="n">
        <f aca="false">Sens!$D$5865*m_ad</f>
        <v>9.44543827004127</v>
      </c>
      <c r="E5963" s="38" t="n">
        <f aca="false">Sens!$E$5865*m_ad</f>
        <v>5.02428875377928</v>
      </c>
      <c r="F5963" s="38" t="n">
        <f aca="false">Sens!$F$5865*m_ad</f>
        <v>6.50663858068173</v>
      </c>
      <c r="G5963" s="38" t="n">
        <f aca="false">Sens!$G$5865*m_ad</f>
        <v>11.5225190751659</v>
      </c>
      <c r="H5963" s="38" t="n">
        <f aca="false">Sens!$H$5865*m_ad</f>
        <v>13.8333728663174</v>
      </c>
      <c r="I5963" s="38" t="n">
        <f aca="false">Sens!$I$5865*m_ad</f>
        <v>16.1440173245485</v>
      </c>
      <c r="J5963" s="38" t="n">
        <f aca="false">Sens!$J$5865*m_ad</f>
        <v>18.2995185845066</v>
      </c>
      <c r="K5963" s="38" t="n">
        <f aca="false">Sens!$K$5865*m_ad</f>
        <v>20.1294704429572</v>
      </c>
      <c r="L5963" s="38" t="n">
        <f aca="false">Sens!$L$5865*m_ad</f>
        <v>22.142417487253</v>
      </c>
      <c r="M5963" s="38" t="n">
        <f aca="false">Sens!$M$5865*m_ad</f>
        <v>24.3566592359783</v>
      </c>
      <c r="N5963" s="38" t="n">
        <f aca="false">Sens!$N$5865*m_ad</f>
        <v>3.95314442937518</v>
      </c>
      <c r="O5963" s="38" t="n">
        <f aca="false">Sens!$O$5865*m_ad</f>
        <v>5.50052681786011</v>
      </c>
    </row>
    <row r="5964" customFormat="false" ht="17.15" hidden="false" customHeight="false" outlineLevel="0" collapsed="false">
      <c r="A5964" s="0" t="s">
        <v>721</v>
      </c>
      <c r="B5964" s="0" t="s">
        <v>86</v>
      </c>
      <c r="C5964" s="38" t="n">
        <f aca="false">Sens!$C$5863-Sens!$C$5865</f>
        <v>127.760312882846</v>
      </c>
      <c r="D5964" s="38" t="n">
        <f aca="false">Sens!$D$5863-Sens!$D$5865</f>
        <v>143.003123459917</v>
      </c>
      <c r="E5964" s="38" t="n">
        <f aca="false">Sens!$E$5863-Sens!$E$5865</f>
        <v>71.9374224924414</v>
      </c>
      <c r="F5964" s="38" t="n">
        <f aca="false">Sens!$F$5863-Sens!$F$5865</f>
        <v>85.3951910035875</v>
      </c>
      <c r="G5964" s="38" t="n">
        <f aca="false">Sens!$G$5863-Sens!$G$5865</f>
        <v>157.349430014619</v>
      </c>
      <c r="H5964" s="38" t="n">
        <f aca="false">Sens!$H$5863-Sens!$H$5865</f>
        <v>172.043153372315</v>
      </c>
      <c r="I5964" s="38" t="n">
        <f aca="false">Sens!$I$5863-Sens!$I$5865</f>
        <v>186.097493615879</v>
      </c>
      <c r="J5964" s="38" t="n">
        <f aca="false">Sens!$J$5863-Sens!$J$5865</f>
        <v>199.117932780497</v>
      </c>
      <c r="K5964" s="38" t="n">
        <f aca="false">Sens!$K$5863-Sens!$K$5865</f>
        <v>210.70928698363</v>
      </c>
      <c r="L5964" s="38" t="n">
        <f aca="false">Sens!$L$5863-Sens!$L$5865</f>
        <v>223.000532251316</v>
      </c>
      <c r="M5964" s="38" t="n">
        <f aca="false">Sens!$M$5863-Sens!$M$5865</f>
        <v>236.035261011339</v>
      </c>
      <c r="N5964" s="38" t="n">
        <f aca="false">Sens!$N$5863-Sens!$N$5865</f>
        <v>62.3677111412496</v>
      </c>
      <c r="O5964" s="38" t="n">
        <f aca="false">Sens!$O$5863-Sens!$O$5865</f>
        <v>80.6189463642798</v>
      </c>
    </row>
    <row r="5965" customFormat="false" ht="17.15" hidden="false" customHeight="false" outlineLevel="0" collapsed="false">
      <c r="A5965" s="0" t="s">
        <v>722</v>
      </c>
      <c r="B5965" s="0" t="s">
        <v>86</v>
      </c>
      <c r="C5965" s="38" t="n">
        <f aca="false">Sens!$C$5911*(1-Sens!$C$5861)</f>
        <v>0.0455891896019953</v>
      </c>
      <c r="D5965" s="38" t="n">
        <f aca="false">Sens!$D$5911*(1-Sens!$D$5861)</f>
        <v>0.332050421167231</v>
      </c>
      <c r="E5965" s="38" t="n">
        <f aca="false">Sens!$E$5911*(1-Sens!$E$5861)</f>
        <v>0.481224293644882</v>
      </c>
      <c r="F5965" s="38" t="n">
        <f aca="false">Sens!$F$5911*(1-Sens!$F$5861)</f>
        <v>0.596018918096053</v>
      </c>
      <c r="G5965" s="38" t="n">
        <f aca="false">Sens!$G$5911*(1-Sens!$G$5861)</f>
        <v>1.07691812241537</v>
      </c>
      <c r="H5965" s="38" t="n">
        <f aca="false">Sens!$H$5911*(1-Sens!$H$5861)</f>
        <v>2.83074090775622</v>
      </c>
      <c r="I5965" s="38" t="n">
        <f aca="false">Sens!$I$5911*(1-Sens!$I$5861)</f>
        <v>4.94108853926048</v>
      </c>
      <c r="J5965" s="38" t="n">
        <f aca="false">Sens!$J$5911*(1-Sens!$J$5861)</f>
        <v>7.10858281993502</v>
      </c>
      <c r="K5965" s="38" t="n">
        <f aca="false">Sens!$K$5911*(1-Sens!$K$5861)</f>
        <v>9.2298899126701</v>
      </c>
      <c r="L5965" s="38" t="n">
        <f aca="false">Sens!$L$5911*(1-Sens!$L$5861)</f>
        <v>10.6049688574045</v>
      </c>
      <c r="M5965" s="38" t="n">
        <f aca="false">Sens!$M$5911*(1-Sens!$M$5861)</f>
        <v>11.3853051574758</v>
      </c>
      <c r="N5965" s="38" t="n">
        <f aca="false">Sens!$N$5911*(1-Sens!$N$5861)</f>
        <v>0.141739115596548</v>
      </c>
      <c r="O5965" s="38" t="n">
        <f aca="false">Sens!$O$5911*(1-Sens!$O$5861)</f>
        <v>0.190445576353059</v>
      </c>
    </row>
    <row r="5966" customFormat="false" ht="17.15" hidden="false" customHeight="false" outlineLevel="0" collapsed="false">
      <c r="A5966" s="0" t="s">
        <v>723</v>
      </c>
      <c r="B5966" s="0" t="s">
        <v>52</v>
      </c>
      <c r="C5966" s="28" t="n">
        <f aca="false">(Sens!$C$5967-Sens!$C$5963+Sens!$C$5965)/Sens!$C$5964</f>
        <v>-0.0292364215826579</v>
      </c>
      <c r="D5966" s="28" t="n">
        <f aca="false">(Sens!$D$5967-Sens!$D$5963+Sens!$D$5965)/Sens!$D$5964</f>
        <v>-0.0305125352740778</v>
      </c>
      <c r="E5966" s="28" t="n">
        <f aca="false">(Sens!$E$5967-Sens!$E$5963+Sens!$E$5965)/Sens!$E$5964</f>
        <v>-0.019490056934994</v>
      </c>
      <c r="F5966" s="28" t="n">
        <f aca="false">Sens!$O$5966+(Sens!$E$5966-Sens!$N$5966)</f>
        <v>-0.0367332293992226</v>
      </c>
      <c r="G5966" s="28" t="n">
        <f aca="false">(Sens!$G$5967-Sens!$G$5963+Sens!$G$5965)/Sens!$G$5964</f>
        <v>-0.0287946542321067</v>
      </c>
      <c r="H5966" s="28" t="n">
        <f aca="false">Sens!$G$5966+step_in</f>
        <v>-0.0287946542321067</v>
      </c>
      <c r="I5966" s="28" t="n">
        <f aca="false">Sens!$H$5966+step_in</f>
        <v>-0.0287946542321067</v>
      </c>
      <c r="J5966" s="28" t="n">
        <f aca="false">Sens!$I$5966+step_in</f>
        <v>-0.0287946542321067</v>
      </c>
      <c r="K5966" s="28" t="n">
        <f aca="false">Sens!$J$5966+step_in</f>
        <v>-0.0287946542321067</v>
      </c>
      <c r="L5966" s="28" t="n">
        <f aca="false">Sens!$K$5966</f>
        <v>-0.0287946542321067</v>
      </c>
      <c r="M5966" s="28" t="n">
        <f aca="false">Sens!$L$5966</f>
        <v>-0.0287946542321067</v>
      </c>
      <c r="N5966" s="28" t="n">
        <f aca="false">(Sens!$N$5967-Sens!$N$5963+Sens!$N$5965)/Sens!$N$5964</f>
        <v>-0.02085061789158</v>
      </c>
      <c r="O5966" s="28" t="n">
        <f aca="false">(Sens!$O$5967-Sens!$O$5963+Sens!$O$5965)/Sens!$O$5964</f>
        <v>-0.0380937903558086</v>
      </c>
      <c r="P5966" s="8" t="s">
        <v>718</v>
      </c>
    </row>
    <row r="5967" customFormat="false" ht="17.15" hidden="false" customHeight="false" outlineLevel="0" collapsed="false">
      <c r="A5967" s="1" t="s">
        <v>724</v>
      </c>
      <c r="B5967" s="8" t="s">
        <v>86</v>
      </c>
      <c r="C5967" s="38" t="n">
        <f aca="false">Q!$D$23</f>
        <v>3.792</v>
      </c>
      <c r="D5967" s="38" t="n">
        <f aca="false">Q!$E$23</f>
        <v>4.75</v>
      </c>
      <c r="E5967" s="38" t="n">
        <f aca="false">Q!$P$23</f>
        <v>3.141</v>
      </c>
      <c r="F5967" s="38" t="n">
        <f aca="false">Sens!$F$5963+Sens!$F$5964*Sens!$F$5966-Sens!$F$5965</f>
        <v>2.77377852186047</v>
      </c>
      <c r="G5967" s="38" t="n">
        <f aca="false">Sens!$E$5967+Sens!$F$5967</f>
        <v>5.91477852186047</v>
      </c>
      <c r="H5967" s="38" t="n">
        <f aca="false">Sens!$H$5963+Sens!$H$5964*Sens!$H$5966-Sens!$H$5965</f>
        <v>6.04870884420403</v>
      </c>
      <c r="I5967" s="38" t="n">
        <f aca="false">Sens!$I$5963+Sens!$I$5964*Sens!$I$5966-Sens!$I$5965</f>
        <v>5.84431580315713</v>
      </c>
      <c r="J5967" s="38" t="n">
        <f aca="false">Sens!$J$5963+Sens!$J$5964*Sens!$J$5966-Sens!$J$5965</f>
        <v>5.45740373874528</v>
      </c>
      <c r="K5967" s="38" t="n">
        <f aca="false">Sens!$K$5963+Sens!$K$5964*Sens!$K$5966-Sens!$K$5965</f>
        <v>4.83227946809976</v>
      </c>
      <c r="L5967" s="38" t="n">
        <f aca="false">Sens!$L$5963+Sens!$L$5964*Sens!$L$5966-Sens!$L$5965</f>
        <v>5.11622541009601</v>
      </c>
      <c r="M5967" s="38" t="n">
        <f aca="false">Sens!$M$5963+Sens!$M$5964*Sens!$M$5966-Sens!$M$5965</f>
        <v>6.17480035109588</v>
      </c>
      <c r="N5967" s="38" t="n">
        <f aca="false">Q!$N$23</f>
        <v>2.511</v>
      </c>
      <c r="O5967" s="38" t="n">
        <f aca="false">Q!$O$23</f>
        <v>2.239</v>
      </c>
    </row>
    <row r="5968" customFormat="false" ht="17.15" hidden="false" customHeight="false" outlineLevel="0" collapsed="false">
      <c r="A5968" s="0" t="s">
        <v>725</v>
      </c>
      <c r="B5968" s="0" t="s">
        <v>86</v>
      </c>
      <c r="C5968" s="38" t="n">
        <f aca="false">Sens!$C$5908</f>
        <v>1.64417882953695</v>
      </c>
      <c r="D5968" s="38" t="n">
        <f aca="false">Sens!$D$5908</f>
        <v>3.8781008067718</v>
      </c>
      <c r="E5968" s="38" t="n">
        <f aca="false">Sens!$E$5908</f>
        <v>1.41270258088753</v>
      </c>
      <c r="F5968" s="38" t="n">
        <f aca="false">Sens!$F$5908</f>
        <v>6.50727700583486</v>
      </c>
      <c r="G5968" s="38" t="n">
        <f aca="false">Sens!$G$5908</f>
        <v>7.9199795867224</v>
      </c>
      <c r="H5968" s="38" t="n">
        <f aca="false">Sens!$H$5908</f>
        <v>19.2818189481807</v>
      </c>
      <c r="I5968" s="38" t="n">
        <f aca="false">Sens!$I$5908</f>
        <v>30.140114407202</v>
      </c>
      <c r="J5968" s="38" t="n">
        <f aca="false">Sens!$J$5908</f>
        <v>40.3569468829854</v>
      </c>
      <c r="K5968" s="38" t="n">
        <f aca="false">Sens!$K$5908</f>
        <v>45.1418609242305</v>
      </c>
      <c r="L5968" s="38" t="n">
        <f aca="false">Sens!$L$5908</f>
        <v>48.5617321668703</v>
      </c>
      <c r="M5968" s="38" t="n">
        <f aca="false">Sens!$M$5908</f>
        <v>48.3987625241529</v>
      </c>
      <c r="N5968" s="38" t="n">
        <f aca="false">Sens!$N$5908</f>
        <v>0.92264103489199</v>
      </c>
      <c r="O5968" s="38" t="n">
        <f aca="false">Sens!$O$5908</f>
        <v>2.95545977187981</v>
      </c>
    </row>
    <row r="5969" customFormat="false" ht="17.15" hidden="false" customHeight="false" outlineLevel="0" collapsed="false">
      <c r="A5969" s="0" t="s">
        <v>643</v>
      </c>
      <c r="B5969" s="0" t="s">
        <v>86</v>
      </c>
      <c r="C5969" s="38" t="n">
        <f aca="false">Sens!$C$5913</f>
        <v>38.1898211704631</v>
      </c>
      <c r="D5969" s="38" t="n">
        <f aca="false">Sens!$D$5913</f>
        <v>41.7278991932282</v>
      </c>
      <c r="E5969" s="38" t="n">
        <f aca="false">Sens!$E$5913</f>
        <v>29.3692974191125</v>
      </c>
      <c r="F5969" s="38" t="n">
        <f aca="false">Sens!$F$5913</f>
        <v>26.8997276714137</v>
      </c>
      <c r="G5969" s="38" t="n">
        <f aca="false">Sens!$G$5913</f>
        <v>56.2690250905262</v>
      </c>
      <c r="H5969" s="38" t="n">
        <f aca="false">Sens!$H$5913</f>
        <v>60.3505333937343</v>
      </c>
      <c r="I5969" s="38" t="n">
        <f aca="false">Sens!$I$5913</f>
        <v>67.0043857303571</v>
      </c>
      <c r="J5969" s="38" t="n">
        <f aca="false">Sens!$J$5913</f>
        <v>73.3782922956925</v>
      </c>
      <c r="K5969" s="38" t="n">
        <f aca="false">Sens!$K$5913</f>
        <v>79.2485556793479</v>
      </c>
      <c r="L5969" s="38" t="n">
        <f aca="false">Sens!$L$5913</f>
        <v>85.5884401336958</v>
      </c>
      <c r="M5969" s="38" t="n">
        <f aca="false">Sens!$M$5913</f>
        <v>92.4355153443914</v>
      </c>
      <c r="N5969" s="38" t="n">
        <f aca="false">Sens!$N$5913</f>
        <v>20.784358965108</v>
      </c>
      <c r="O5969" s="38" t="n">
        <f aca="false">Sens!$O$5913</f>
        <v>20.9435402281202</v>
      </c>
    </row>
    <row r="5970" customFormat="false" ht="17.15" hidden="false" customHeight="false" outlineLevel="0" collapsed="false">
      <c r="A5970" s="1" t="s">
        <v>726</v>
      </c>
      <c r="B5970" s="8" t="s">
        <v>86</v>
      </c>
      <c r="C5970" s="38" t="n">
        <f aca="false">Q!$D$24</f>
        <v>39.834</v>
      </c>
      <c r="D5970" s="38" t="n">
        <f aca="false">Q!$E$24</f>
        <v>45.606</v>
      </c>
      <c r="E5970" s="38" t="n">
        <f aca="false">Q!$P$24</f>
        <v>30.782</v>
      </c>
      <c r="F5970" s="38" t="n">
        <f aca="false">Sens!$F$5968+Sens!$F$5969</f>
        <v>33.4070046772486</v>
      </c>
      <c r="G5970" s="38" t="n">
        <f aca="false">Sens!$G$5968+Sens!$G$5969</f>
        <v>64.1890046772486</v>
      </c>
      <c r="H5970" s="38" t="n">
        <f aca="false">Sens!$H$5968+Sens!$H$5969</f>
        <v>79.6323523419149</v>
      </c>
      <c r="I5970" s="38" t="n">
        <f aca="false">Sens!$I$5968+Sens!$I$5969</f>
        <v>97.1445001375591</v>
      </c>
      <c r="J5970" s="38" t="n">
        <f aca="false">Sens!$J$5968+Sens!$J$5969</f>
        <v>113.735239178678</v>
      </c>
      <c r="K5970" s="38" t="n">
        <f aca="false">Sens!$K$5968+Sens!$K$5969</f>
        <v>124.390416603578</v>
      </c>
      <c r="L5970" s="38" t="n">
        <f aca="false">Sens!$L$5968+Sens!$L$5969</f>
        <v>134.150172300566</v>
      </c>
      <c r="M5970" s="38" t="n">
        <f aca="false">Sens!$M$5968+Sens!$M$5969</f>
        <v>140.834277868544</v>
      </c>
      <c r="N5970" s="38" t="n">
        <f aca="false">Q!$N$24</f>
        <v>21.707</v>
      </c>
      <c r="O5970" s="38" t="n">
        <f aca="false">Q!$O$24</f>
        <v>23.899</v>
      </c>
    </row>
    <row r="5971" customFormat="false" ht="17.15" hidden="false" customHeight="false" outlineLevel="0" collapsed="false">
      <c r="A5971" s="5" t="s">
        <v>727</v>
      </c>
      <c r="B5971" s="0" t="s">
        <v>86</v>
      </c>
      <c r="C5971" s="38" t="n">
        <f aca="false">Q!$D$26</f>
        <v>0</v>
      </c>
      <c r="D5971" s="38" t="n">
        <f aca="false">Q!$E$26</f>
        <v>0</v>
      </c>
      <c r="E5971" s="38" t="n">
        <f aca="false">Q!$P$26</f>
        <v>0</v>
      </c>
      <c r="F5971" s="39" t="n">
        <v>0</v>
      </c>
      <c r="G5971" s="38" t="n">
        <f aca="false">Sens!$E$5971+Sens!$F$5971</f>
        <v>0</v>
      </c>
      <c r="H5971" s="39" t="n">
        <v>0</v>
      </c>
      <c r="I5971" s="39" t="n">
        <v>0</v>
      </c>
      <c r="J5971" s="39" t="n">
        <v>0</v>
      </c>
      <c r="K5971" s="39" t="n">
        <v>0</v>
      </c>
      <c r="L5971" s="39" t="n">
        <v>0</v>
      </c>
      <c r="M5971" s="39" t="n">
        <v>0</v>
      </c>
      <c r="N5971" s="38" t="n">
        <f aca="false">Q!$N$26</f>
        <v>0</v>
      </c>
      <c r="O5971" s="38" t="n">
        <f aca="false">Q!$O$26</f>
        <v>0</v>
      </c>
    </row>
    <row r="5972" customFormat="false" ht="15" hidden="false" customHeight="false" outlineLevel="0" collapsed="false">
      <c r="A5972" s="3" t="s">
        <v>531</v>
      </c>
      <c r="B5972" s="8" t="s">
        <v>86</v>
      </c>
      <c r="C5972" s="38" t="n">
        <f aca="false">Q!$D$25</f>
        <v>68.593</v>
      </c>
      <c r="D5972" s="38" t="n">
        <f aca="false">Q!$E$25</f>
        <v>79.975</v>
      </c>
      <c r="E5972" s="38" t="n">
        <f aca="false">Q!$P$25</f>
        <v>51.313</v>
      </c>
      <c r="F5972" s="38" t="n">
        <f aca="false">Sens!$F$5962+Sens!$F$5967+Sens!$F$5970+Sens!$F$5971</f>
        <v>56.2888892369246</v>
      </c>
      <c r="G5972" s="38" t="n">
        <f aca="false">Sens!$G$5962+Sens!$G$5967+Sens!$G$5970+Sens!$G$5971</f>
        <v>107.601889236925</v>
      </c>
      <c r="H5972" s="38" t="n">
        <f aca="false">Sens!$H$5962+Sens!$H$5967+Sens!$H$5970+Sens!$H$5971</f>
        <v>126.935967255636</v>
      </c>
      <c r="I5972" s="38" t="n">
        <f aca="false">Sens!$I$5962+Sens!$I$5967+Sens!$I$5970+Sens!$I$5971</f>
        <v>147.247780943116</v>
      </c>
      <c r="J5972" s="38" t="n">
        <f aca="false">Sens!$J$5962+Sens!$J$5967+Sens!$J$5970+Sens!$J$5971</f>
        <v>166.030093415229</v>
      </c>
      <c r="K5972" s="38" t="n">
        <f aca="false">Sens!$K$5962+Sens!$K$5967+Sens!$K$5970+Sens!$K$5971</f>
        <v>177.975591165353</v>
      </c>
      <c r="L5972" s="38" t="n">
        <f aca="false">Sens!$L$5962+Sens!$L$5967+Sens!$L$5970+Sens!$L$5971</f>
        <v>190.868575271371</v>
      </c>
      <c r="M5972" s="38" t="n">
        <f aca="false">Sens!$M$5962+Sens!$M$5967+Sens!$M$5970+Sens!$M$5971</f>
        <v>203.610388310126</v>
      </c>
      <c r="N5972" s="38" t="n">
        <f aca="false">Q!$N$25</f>
        <v>37.576</v>
      </c>
      <c r="O5972" s="38" t="n">
        <f aca="false">Q!$O$25</f>
        <v>42.399</v>
      </c>
    </row>
    <row r="5973" customFormat="false" ht="17.15" hidden="false" customHeight="false" outlineLevel="0" collapsed="false">
      <c r="A5973" s="24" t="s">
        <v>758</v>
      </c>
      <c r="B5973" s="25" t="s">
        <v>86</v>
      </c>
      <c r="C5973" s="41" t="n">
        <f aca="false">Sens!$C$5962+Sens!$C$5967+Sens!$C$5970+Sens!$C$5971-Sens!$C$5972</f>
        <v>0</v>
      </c>
      <c r="D5973" s="41" t="n">
        <f aca="false">Sens!$D$5962+Sens!$D$5967+Sens!$D$5970+Sens!$D$5971-Sens!$D$5972</f>
        <v>0</v>
      </c>
      <c r="E5973" s="41" t="n">
        <f aca="false">Sens!$E$5962+Sens!$E$5967+Sens!$E$5970+Sens!$E$5971-Sens!$E$5972</f>
        <v>0</v>
      </c>
      <c r="F5973" s="41" t="n">
        <f aca="false">Sens!$F$5962+Sens!$F$5967+Sens!$F$5970+Sens!$F$5971-Sens!$F$5972</f>
        <v>0</v>
      </c>
      <c r="G5973" s="41" t="n">
        <f aca="false">Sens!$G$5962+Sens!$G$5967+Sens!$G$5970+Sens!$G$5971-Sens!$G$5972</f>
        <v>0</v>
      </c>
      <c r="H5973" s="41" t="n">
        <f aca="false">Sens!$H$5962+Sens!$H$5967+Sens!$H$5970+Sens!$H$5971-Sens!$H$5972</f>
        <v>0</v>
      </c>
      <c r="I5973" s="41" t="n">
        <f aca="false">Sens!$I$5962+Sens!$I$5967+Sens!$I$5970+Sens!$I$5971-Sens!$I$5972</f>
        <v>0</v>
      </c>
      <c r="J5973" s="41" t="n">
        <f aca="false">Sens!$J$5962+Sens!$J$5967+Sens!$J$5970+Sens!$J$5971-Sens!$J$5972</f>
        <v>0</v>
      </c>
      <c r="K5973" s="41" t="n">
        <f aca="false">Sens!$K$5962+Sens!$K$5967+Sens!$K$5970+Sens!$K$5971-Sens!$K$5972</f>
        <v>0</v>
      </c>
      <c r="L5973" s="41" t="n">
        <f aca="false">Sens!$L$5962+Sens!$L$5967+Sens!$L$5970+Sens!$L$5971-Sens!$L$5972</f>
        <v>0</v>
      </c>
      <c r="M5973" s="41" t="n">
        <f aca="false">Sens!$M$5962+Sens!$M$5967+Sens!$M$5970+Sens!$M$5971-Sens!$M$5972</f>
        <v>0</v>
      </c>
      <c r="N5973" s="41" t="n">
        <f aca="false">Sens!$N$5962+Sens!$N$5967+Sens!$N$5970+Sens!$N$5971-Sens!$N$5972</f>
        <v>0</v>
      </c>
      <c r="O5973" s="41" t="n">
        <f aca="false">Sens!$O$5962+Sens!$O$5967+Sens!$O$5970+Sens!$O$5971-Sens!$O$5972</f>
        <v>0</v>
      </c>
    </row>
    <row r="5974" customFormat="false" ht="17.15" hidden="false" customHeight="false" outlineLevel="0" collapsed="false">
      <c r="A5974" s="5" t="s">
        <v>729</v>
      </c>
      <c r="B5974" s="0" t="s">
        <v>86</v>
      </c>
      <c r="C5974" s="38" t="n">
        <f aca="false">Sens!$C$5910</f>
        <v>0</v>
      </c>
      <c r="D5974" s="38" t="n">
        <f aca="false">Sens!$D$5910</f>
        <v>0</v>
      </c>
      <c r="E5974" s="38" t="n">
        <f aca="false">Sens!$E$5910</f>
        <v>0</v>
      </c>
      <c r="F5974" s="38" t="n">
        <f aca="false">Sens!$F$5910</f>
        <v>3.77122048175818</v>
      </c>
      <c r="G5974" s="38" t="n">
        <f aca="false">Sens!$G$5910</f>
        <v>3.77122048175818</v>
      </c>
      <c r="H5974" s="38" t="n">
        <f aca="false">Sens!$H$5910</f>
        <v>15.1635543609893</v>
      </c>
      <c r="I5974" s="38" t="n">
        <f aca="false">Sens!$I$5910</f>
        <v>25.5818843619889</v>
      </c>
      <c r="J5974" s="38" t="n">
        <f aca="false">Sens!$J$5910</f>
        <v>36.0465624179122</v>
      </c>
      <c r="K5974" s="38" t="n">
        <f aca="false">Sens!$K$5910</f>
        <v>44.9741164026038</v>
      </c>
      <c r="L5974" s="38" t="n">
        <f aca="false">Sens!$L$5910</f>
        <v>50.8413488057813</v>
      </c>
      <c r="M5974" s="38" t="n">
        <f aca="false">Sens!$M$5910</f>
        <v>53.6407214274315</v>
      </c>
      <c r="N5974" s="38" t="n">
        <f aca="false">Sens!$N$5910</f>
        <v>0</v>
      </c>
      <c r="O5974" s="38" t="n">
        <f aca="false">Sens!$O$5910</f>
        <v>0</v>
      </c>
      <c r="P5974" s="5" t="s">
        <v>730</v>
      </c>
    </row>
    <row r="5975" customFormat="false" ht="17.15" hidden="false" customHeight="false" outlineLevel="0" collapsed="false">
      <c r="A5975" s="5" t="s">
        <v>731</v>
      </c>
      <c r="B5975" s="0" t="s">
        <v>86</v>
      </c>
      <c r="C5975" s="38" t="n">
        <f aca="false">Sens!$C$5972+Sens!$C$5974</f>
        <v>68.593</v>
      </c>
      <c r="D5975" s="38" t="n">
        <f aca="false">Sens!$D$5972+Sens!$D$5974</f>
        <v>79.975</v>
      </c>
      <c r="E5975" s="38" t="n">
        <f aca="false">Sens!$E$5972+Sens!$E$5974</f>
        <v>51.313</v>
      </c>
      <c r="F5975" s="38" t="n">
        <f aca="false">Sens!$F$5972+Sens!$F$5974</f>
        <v>60.0601097186828</v>
      </c>
      <c r="G5975" s="38" t="n">
        <f aca="false">Sens!$G$5972+Sens!$G$5974</f>
        <v>111.373109718683</v>
      </c>
      <c r="H5975" s="38" t="n">
        <f aca="false">Sens!$H$5972+Sens!$H$5974</f>
        <v>142.099521616625</v>
      </c>
      <c r="I5975" s="38" t="n">
        <f aca="false">Sens!$I$5972+Sens!$I$5974</f>
        <v>172.829665305105</v>
      </c>
      <c r="J5975" s="38" t="n">
        <f aca="false">Sens!$J$5972+Sens!$J$5974</f>
        <v>202.076655833141</v>
      </c>
      <c r="K5975" s="38" t="n">
        <f aca="false">Sens!$K$5972+Sens!$K$5974</f>
        <v>222.949707567956</v>
      </c>
      <c r="L5975" s="38" t="n">
        <f aca="false">Sens!$L$5972+Sens!$L$5974</f>
        <v>241.709924077153</v>
      </c>
      <c r="M5975" s="38" t="n">
        <f aca="false">Sens!$M$5972+Sens!$M$5974</f>
        <v>257.251109737557</v>
      </c>
      <c r="N5975" s="38" t="n">
        <f aca="false">Sens!$N$5972+Sens!$N$5974</f>
        <v>37.576</v>
      </c>
      <c r="O5975" s="38" t="n">
        <f aca="false">Sens!$O$5972+Sens!$O$5974</f>
        <v>42.399</v>
      </c>
    </row>
    <row r="5976" customFormat="false" ht="17.15" hidden="false" customHeight="false" outlineLevel="0" collapsed="false">
      <c r="A5976" s="0" t="s">
        <v>732</v>
      </c>
      <c r="B5976" s="0" t="s">
        <v>52</v>
      </c>
      <c r="C5976" s="13" t="n">
        <f aca="false">Sens!$C$5962/Sens!$C$5947</f>
        <v>0.0644314665661928</v>
      </c>
      <c r="D5976" s="13" t="n">
        <f aca="false">Sens!$D$5962/Sens!$D$5947</f>
        <v>0.0694784250712518</v>
      </c>
      <c r="E5976" s="13" t="n">
        <f aca="false">Sens!$E$5962/Sens!$E$5947</f>
        <v>0.0789306463326071</v>
      </c>
      <c r="F5976" s="13" t="n">
        <f aca="false">Sens!$F$5962/Sens!$F$5947</f>
        <v>0.0802271154277638</v>
      </c>
      <c r="G5976" s="13" t="n">
        <f aca="false">Sens!$G$5962/Sens!$G$5947</f>
        <v>0.0796206133714758</v>
      </c>
      <c r="H5976" s="13" t="n">
        <f aca="false">Sens!$H$5962/Sens!$H$5947</f>
        <v>0.0791253077422711</v>
      </c>
      <c r="I5976" s="13" t="n">
        <f aca="false">Sens!$I$5962/Sens!$I$5947</f>
        <v>0.0776277144828766</v>
      </c>
      <c r="J5976" s="13" t="n">
        <f aca="false">Sens!$J$5962/Sens!$J$5947</f>
        <v>0.0761100135193333</v>
      </c>
      <c r="K5976" s="13" t="n">
        <f aca="false">Sens!$K$5962/Sens!$K$5947</f>
        <v>0.074408246177121</v>
      </c>
      <c r="L5976" s="13" t="n">
        <f aca="false">Sens!$L$5962/Sens!$L$5947</f>
        <v>0.0739489900415671</v>
      </c>
      <c r="M5976" s="13" t="n">
        <f aca="false">Sens!$M$5962/Sens!$M$5947</f>
        <v>0.076138500430805</v>
      </c>
      <c r="N5976" s="13" t="n">
        <f aca="false">Sens!$N$5962/Sens!$N$5947</f>
        <v>0.069228576611127</v>
      </c>
      <c r="O5976" s="13" t="n">
        <f aca="false">Sens!$O$5962/Sens!$O$5947</f>
        <v>0.069685022498393</v>
      </c>
    </row>
    <row r="5977" customFormat="false" ht="17.15" hidden="false" customHeight="false" outlineLevel="0" collapsed="false">
      <c r="A5977" s="0" t="s">
        <v>733</v>
      </c>
      <c r="B5977" s="0" t="s">
        <v>52</v>
      </c>
      <c r="C5977" s="13" t="n">
        <f aca="false">Sens!$C$5967/Sens!$C$5948</f>
        <v>0.026534925055631</v>
      </c>
      <c r="D5977" s="13" t="n">
        <f aca="false">Sens!$D$5967/Sens!$D$5948</f>
        <v>0.0293401855535103</v>
      </c>
      <c r="E5977" s="13" t="n">
        <f aca="false">Sens!$E$5967/Sens!$E$5948</f>
        <v>0.03831141902276</v>
      </c>
      <c r="F5977" s="13" t="n">
        <f aca="false">Sens!$F$5967/Sens!$F$5948</f>
        <v>0.028186380436398</v>
      </c>
      <c r="G5977" s="13" t="n">
        <f aca="false">Sens!$G$5967/Sens!$G$5948</f>
        <v>0.0327880260521739</v>
      </c>
      <c r="H5977" s="13" t="n">
        <f aca="false">Sens!$H$5967/Sens!$H$5948</f>
        <v>0.0302874763409969</v>
      </c>
      <c r="I5977" s="13" t="n">
        <f aca="false">Sens!$I$5967/Sens!$I$5948</f>
        <v>0.0267614610253202</v>
      </c>
      <c r="J5977" s="13" t="n">
        <f aca="false">Sens!$J$5967/Sens!$J$5948</f>
        <v>0.0231523582706593</v>
      </c>
      <c r="K5977" s="13" t="n">
        <f aca="false">Sens!$K$5967/Sens!$K$5948</f>
        <v>0.0192545467174101</v>
      </c>
      <c r="L5977" s="13" t="n">
        <f aca="false">Sens!$L$5967/Sens!$L$5948</f>
        <v>0.0191414347264789</v>
      </c>
      <c r="M5977" s="13" t="n">
        <f aca="false">Sens!$M$5967/Sens!$M$5948</f>
        <v>0.0216850962428001</v>
      </c>
      <c r="N5977" s="13" t="n">
        <f aca="false">Sens!$N$5967/Sens!$N$5948</f>
        <v>0.0357315650169337</v>
      </c>
      <c r="O5977" s="13" t="n">
        <f aca="false">Sens!$O$5967/Sens!$O$5948</f>
        <v>0.0244378956559703</v>
      </c>
    </row>
    <row r="5978" customFormat="false" ht="17.15" hidden="false" customHeight="false" outlineLevel="0" collapsed="false">
      <c r="A5978" s="14" t="s">
        <v>734</v>
      </c>
      <c r="B5978" s="14" t="s">
        <v>52</v>
      </c>
      <c r="C5978" s="17" t="n">
        <f aca="false">Sens!$C$5970/Sens!$C$5949</f>
        <v>0.370355907620217</v>
      </c>
      <c r="D5978" s="17" t="n">
        <f aca="false">Sens!$D$5970/Sens!$D$5949</f>
        <v>0.35429015342785</v>
      </c>
      <c r="E5978" s="17" t="n">
        <f aca="false">Sens!$E$5970/Sens!$E$5949</f>
        <v>0.385647527531039</v>
      </c>
      <c r="F5978" s="17" t="n">
        <f aca="false">Sens!$F$5970/Sens!$F$5949</f>
        <v>0.385171818673936</v>
      </c>
      <c r="G5978" s="17" t="n">
        <f aca="false">Sens!$G$5970/Sens!$G$5949</f>
        <v>0.385399799520974</v>
      </c>
      <c r="H5978" s="17" t="n">
        <f aca="false">Sens!$H$5970/Sens!$H$5949</f>
        <v>0.360029314750347</v>
      </c>
      <c r="I5978" s="17" t="n">
        <f aca="false">Sens!$I$5970/Sens!$I$5949</f>
        <v>0.346606134604193</v>
      </c>
      <c r="J5978" s="17" t="n">
        <f aca="false">Sens!$J$5970/Sens!$J$5949</f>
        <v>0.335699297156574</v>
      </c>
      <c r="K5978" s="17" t="n">
        <f aca="false">Sens!$K$5970/Sens!$K$5949</f>
        <v>0.319043289183739</v>
      </c>
      <c r="L5978" s="17" t="n">
        <f aca="false">Sens!$L$5970/Sens!$L$5949</f>
        <v>0.311918613444893</v>
      </c>
      <c r="M5978" s="17" t="n">
        <f aca="false">Sens!$M$5970/Sens!$M$5949</f>
        <v>0.306523814127389</v>
      </c>
      <c r="N5978" s="17" t="n">
        <f aca="false">Sens!$N$5970/Sens!$N$5949</f>
        <v>0.360941137346192</v>
      </c>
      <c r="O5978" s="17" t="n">
        <f aca="false">Sens!$O$5970/Sens!$O$5949</f>
        <v>0.348458117664212</v>
      </c>
    </row>
    <row r="5979" customFormat="false" ht="17.15" hidden="false" customHeight="false" outlineLevel="0" collapsed="false">
      <c r="A5979" s="0" t="s">
        <v>735</v>
      </c>
      <c r="B5979" s="0" t="s">
        <v>52</v>
      </c>
      <c r="C5979" s="13" t="n">
        <f aca="false">Sens!$C$5968/Sens!$C$5950</f>
        <v>0.708390794789371</v>
      </c>
      <c r="D5979" s="13" t="n">
        <f aca="false">Sens!$D$5968/Sens!$D$5950</f>
        <v>0.445565630441968</v>
      </c>
      <c r="E5979" s="13" t="n">
        <f aca="false">Sens!$E$5968/Sens!$E$5950</f>
        <v>0.165998118402711</v>
      </c>
      <c r="F5979" s="13" t="n">
        <f aca="false">Sens!$F$5968/Sens!$F$5950</f>
        <v>0.434878595403858</v>
      </c>
      <c r="G5979" s="13" t="n">
        <f aca="false">Sens!$G$5968/Sens!$G$5950</f>
        <v>0.3373967615381</v>
      </c>
      <c r="H5979" s="13" t="n">
        <f aca="false">Sens!$H$5968/Sens!$H$5950</f>
        <v>0.320477578041224</v>
      </c>
      <c r="I5979" s="13" t="n">
        <f aca="false">Sens!$I$5968/Sens!$I$5950</f>
        <v>0.296936118226494</v>
      </c>
      <c r="J5979" s="13" t="n">
        <f aca="false">Sens!$J$5968/Sens!$J$5950</f>
        <v>0.282166278613001</v>
      </c>
      <c r="K5979" s="13" t="n">
        <f aca="false">Sens!$K$5968/Sens!$K$5950</f>
        <v>0.252969102881543</v>
      </c>
      <c r="L5979" s="13" t="n">
        <f aca="false">Sens!$L$5968/Sens!$L$5950</f>
        <v>0.240728642826566</v>
      </c>
      <c r="M5979" s="13" t="n">
        <f aca="false">Sens!$M$5968/Sens!$M$5950</f>
        <v>0.227399920863147</v>
      </c>
      <c r="N5979" s="13" t="n">
        <f aca="false">Sens!$N$5968/Sens!$N$5950</f>
        <v>0.302870734830849</v>
      </c>
      <c r="O5979" s="13" t="n">
        <f aca="false">Sens!$O$5968/Sens!$O$5950</f>
        <v>0.52240134346334</v>
      </c>
    </row>
    <row r="5980" customFormat="false" ht="15" hidden="false" customHeight="false" outlineLevel="0" collapsed="false">
      <c r="A5980" s="5" t="s">
        <v>736</v>
      </c>
      <c r="B5980" s="0" t="s">
        <v>52</v>
      </c>
      <c r="C5980" s="13" t="n">
        <f aca="false">Sens!$C$5972/Sens!$C$5952</f>
        <v>0.107519448742004</v>
      </c>
      <c r="D5980" s="13" t="n">
        <f aca="false">Sens!$D$5972/Sens!$D$5952</f>
        <v>0.111552967957552</v>
      </c>
      <c r="E5980" s="13" t="n">
        <f aca="false">Sens!$E$5972/Sens!$E$5952</f>
        <v>0.13428328426562</v>
      </c>
      <c r="F5980" s="13" t="n">
        <f aca="false">Sens!$F$5972/Sens!$F$5952</f>
        <v>0.129167844525589</v>
      </c>
      <c r="G5980" s="13" t="n">
        <f aca="false">Sens!$G$5972/Sens!$G$5952</f>
        <v>0.131557773771988</v>
      </c>
      <c r="H5980" s="13" t="n">
        <f aca="false">Sens!$H$5972/Sens!$H$5952</f>
        <v>0.134711536350329</v>
      </c>
      <c r="I5980" s="13" t="n">
        <f aca="false">Sens!$I$5972/Sens!$I$5952</f>
        <v>0.137768888779847</v>
      </c>
      <c r="J5980" s="13" t="n">
        <f aca="false">Sens!$J$5972/Sens!$J$5952</f>
        <v>0.139531715827143</v>
      </c>
      <c r="K5980" s="13" t="n">
        <f aca="false">Sens!$K$5972/Sens!$K$5952</f>
        <v>0.137320259076553</v>
      </c>
      <c r="L5980" s="13" t="n">
        <f aca="false">Sens!$L$5972/Sens!$L$5952</f>
        <v>0.136806307456799</v>
      </c>
      <c r="M5980" s="13" t="n">
        <f aca="false">Sens!$M$5972/Sens!$M$5952</f>
        <v>0.136871350584245</v>
      </c>
      <c r="N5980" s="13" t="n">
        <f aca="false">Sens!$N$5972/Sens!$N$5952</f>
        <v>0.116201614873411</v>
      </c>
      <c r="O5980" s="13" t="n">
        <f aca="false">Sens!$O$5972/Sens!$O$5952</f>
        <v>0.107733353660861</v>
      </c>
    </row>
    <row r="5981" customFormat="false" ht="17.15" hidden="false" customHeight="false" outlineLevel="0" collapsed="false">
      <c r="A5981" s="1" t="s">
        <v>737</v>
      </c>
    </row>
    <row r="5982" customFormat="false" ht="17.15" hidden="false" customHeight="false" outlineLevel="0" collapsed="false">
      <c r="A5982" s="5" t="s">
        <v>738</v>
      </c>
      <c r="B5982" s="0" t="s">
        <v>52</v>
      </c>
      <c r="D5982" s="28" t="n">
        <f aca="false">(Q!$E$29+Q!$E$30-(1-ext_sh)*Sens!$D$5904)/Sens!$D$5860</f>
        <v>0.0334674312393194</v>
      </c>
    </row>
    <row r="5983" customFormat="false" ht="17.15" hidden="false" customHeight="false" outlineLevel="0" collapsed="false">
      <c r="A5983" s="0" t="s">
        <v>535</v>
      </c>
      <c r="B5983" s="0" t="s">
        <v>86</v>
      </c>
      <c r="C5983" s="38" t="n">
        <f aca="false">Q!$D$29</f>
        <v>14.285</v>
      </c>
      <c r="D5983" s="38" t="n">
        <f aca="false">Q!$E$29</f>
        <v>15.503</v>
      </c>
      <c r="E5983" s="38" t="n">
        <f aca="false">Q!$P$29</f>
        <v>8.78</v>
      </c>
      <c r="F5983" s="38" t="n">
        <f aca="false">(Sens!$D$5982*Sens!$F$5860+(1-ext_sh)*Sens!$F$5904)*Sens!$F$5861</f>
        <v>9.32404990199157</v>
      </c>
      <c r="G5983" s="38" t="n">
        <f aca="false">Sens!$E$5983+Sens!$F$5983</f>
        <v>18.1040499019916</v>
      </c>
      <c r="H5983" s="38" t="n">
        <f aca="false">(Sens!$D$5982*Sens!$H$5860+(1-ext_sh)*Sens!$H$5904)*Sens!$H$5861</f>
        <v>22.5533556752937</v>
      </c>
      <c r="I5983" s="38" t="n">
        <f aca="false">(Sens!$D$5982*Sens!$I$5860+(1-ext_sh)*Sens!$I$5904)*Sens!$I$5861</f>
        <v>28.1941479903215</v>
      </c>
      <c r="J5983" s="38" t="n">
        <f aca="false">(Sens!$D$5982*Sens!$J$5860+(1-ext_sh)*Sens!$J$5904)*Sens!$J$5861</f>
        <v>33.8639126241465</v>
      </c>
      <c r="K5983" s="38" t="n">
        <f aca="false">(Sens!$D$5982*Sens!$K$5860+(1-ext_sh)*Sens!$K$5904)*Sens!$K$5861</f>
        <v>39.4516429979446</v>
      </c>
      <c r="L5983" s="38" t="n">
        <f aca="false">(Sens!$D$5982*Sens!$L$5860+(1-ext_sh)*Sens!$L$5904)*Sens!$L$5861</f>
        <v>43.6240799619622</v>
      </c>
      <c r="M5983" s="38" t="n">
        <f aca="false">(Sens!$D$5982*Sens!$M$5860+(1-ext_sh)*Sens!$M$5904)*Sens!$M$5861</f>
        <v>46.7841679303704</v>
      </c>
      <c r="N5983" s="38" t="n">
        <f aca="false">Q!$N$29</f>
        <v>7.272</v>
      </c>
      <c r="O5983" s="38" t="n">
        <f aca="false">Q!$O$29</f>
        <v>8.231</v>
      </c>
    </row>
    <row r="5984" customFormat="false" ht="17.15" hidden="false" customHeight="false" outlineLevel="0" collapsed="false">
      <c r="A5984" s="0" t="s">
        <v>537</v>
      </c>
      <c r="B5984" s="0" t="s">
        <v>86</v>
      </c>
      <c r="C5984" s="38" t="n">
        <f aca="false">Q!$D$30</f>
        <v>4.462</v>
      </c>
      <c r="D5984" s="38" t="n">
        <f aca="false">Q!$E$30</f>
        <v>4.907</v>
      </c>
      <c r="E5984" s="38" t="n">
        <f aca="false">Q!$P$30</f>
        <v>2.57</v>
      </c>
      <c r="F5984" s="38" t="n">
        <f aca="false">(Sens!$D$5982*Sens!$F$5860+(1-ext_sh)*Sens!$F$5904)*(1-Sens!$F$5861)</f>
        <v>3.66089330199472</v>
      </c>
      <c r="G5984" s="38" t="n">
        <f aca="false">Sens!$E$5984+Sens!$F$5984</f>
        <v>6.23089330199472</v>
      </c>
      <c r="H5984" s="38" t="n">
        <f aca="false">(Sens!$D$5982*Sens!$H$5860+(1-ext_sh)*Sens!$H$5904)*(1-Sens!$H$5861)</f>
        <v>8.63874333111657</v>
      </c>
      <c r="I5984" s="38" t="n">
        <f aca="false">(Sens!$D$5982*Sens!$I$5860+(1-ext_sh)*Sens!$I$5904)*(1-Sens!$I$5861)</f>
        <v>10.7993689025494</v>
      </c>
      <c r="J5984" s="38" t="n">
        <f aca="false">(Sens!$D$5982*Sens!$J$5860+(1-ext_sh)*Sens!$J$5904)*(1-Sens!$J$5861)</f>
        <v>12.9710919101865</v>
      </c>
      <c r="K5984" s="38" t="n">
        <f aca="false">(Sens!$D$5982*Sens!$K$5860+(1-ext_sh)*Sens!$K$5904)*(1-Sens!$K$5861)</f>
        <v>15.1113928568702</v>
      </c>
      <c r="L5984" s="38" t="n">
        <f aca="false">(Sens!$D$5982*Sens!$L$5860+(1-ext_sh)*Sens!$L$5904)*(1-Sens!$L$5861)</f>
        <v>16.7095857163433</v>
      </c>
      <c r="M5984" s="38" t="n">
        <f aca="false">(Sens!$D$5982*Sens!$M$5860+(1-ext_sh)*Sens!$M$5904)*(1-Sens!$M$5861)</f>
        <v>17.9200126371023</v>
      </c>
      <c r="N5984" s="38" t="n">
        <f aca="false">Q!$N$30</f>
        <v>2.316</v>
      </c>
      <c r="O5984" s="38" t="n">
        <f aca="false">Q!$O$30</f>
        <v>2.591</v>
      </c>
    </row>
    <row r="5985" customFormat="false" ht="17.15" hidden="false" customHeight="false" outlineLevel="0" collapsed="false">
      <c r="A5985" s="0" t="s">
        <v>538</v>
      </c>
      <c r="B5985" s="0" t="s">
        <v>86</v>
      </c>
      <c r="C5985" s="38" t="n">
        <f aca="false">Sens!$C$5916</f>
        <v>13.32</v>
      </c>
      <c r="D5985" s="38" t="n">
        <f aca="false">Sens!$D$5916</f>
        <v>21.45</v>
      </c>
      <c r="E5985" s="38" t="n">
        <f aca="false">Sens!$E$5916</f>
        <v>15.353</v>
      </c>
      <c r="F5985" s="38" t="n">
        <f aca="false">Sens!$F$5916</f>
        <v>16.3063747611001</v>
      </c>
      <c r="G5985" s="38" t="n">
        <f aca="false">Sens!$G$5916</f>
        <v>31.6593747611001</v>
      </c>
      <c r="H5985" s="38" t="n">
        <f aca="false">Sens!$H$5916</f>
        <v>53.124242092105</v>
      </c>
      <c r="I5985" s="38" t="n">
        <f aca="false">Sens!$I$5916</f>
        <v>78.046828098133</v>
      </c>
      <c r="J5985" s="38" t="n">
        <f aca="false">Sens!$J$5916</f>
        <v>103.663976940352</v>
      </c>
      <c r="K5985" s="38" t="n">
        <f aca="false">Sens!$K$5916</f>
        <v>129.625086115469</v>
      </c>
      <c r="L5985" s="38" t="n">
        <f aca="false">Sens!$L$5916</f>
        <v>147.435052382502</v>
      </c>
      <c r="M5985" s="38" t="n">
        <f aca="false">Sens!$M$5916</f>
        <v>159.299754080279</v>
      </c>
      <c r="N5985" s="38" t="n">
        <f aca="false">Sens!$N$5916</f>
        <v>9.234</v>
      </c>
      <c r="O5985" s="38" t="n">
        <f aca="false">Sens!$O$5916</f>
        <v>12.216</v>
      </c>
    </row>
    <row r="5986" customFormat="false" ht="17.15" hidden="false" customHeight="false" outlineLevel="0" collapsed="false">
      <c r="A5986" s="5" t="s">
        <v>739</v>
      </c>
      <c r="B5986" s="0" t="s">
        <v>86</v>
      </c>
      <c r="C5986" s="38" t="n">
        <f aca="false">Sens!$C$5983+Sens!$C$5984+Sens!$C$5985</f>
        <v>32.067</v>
      </c>
      <c r="D5986" s="38" t="n">
        <f aca="false">Sens!$D$5983+Sens!$D$5984+Sens!$D$5985</f>
        <v>41.86</v>
      </c>
      <c r="E5986" s="38" t="n">
        <f aca="false">Sens!$E$5983+Sens!$E$5984+Sens!$E$5985</f>
        <v>26.703</v>
      </c>
      <c r="F5986" s="38" t="n">
        <f aca="false">Sens!$F$5983+Sens!$F$5984+Sens!$F$5985</f>
        <v>29.2913179650864</v>
      </c>
      <c r="G5986" s="38" t="n">
        <f aca="false">Sens!$G$5983+Sens!$G$5984+Sens!$G$5985</f>
        <v>55.9943179650864</v>
      </c>
      <c r="H5986" s="38" t="n">
        <f aca="false">Sens!$H$5983+Sens!$H$5984+Sens!$H$5985</f>
        <v>84.3163410985152</v>
      </c>
      <c r="I5986" s="38" t="n">
        <f aca="false">Sens!$I$5983+Sens!$I$5984+Sens!$I$5985</f>
        <v>117.040344991004</v>
      </c>
      <c r="J5986" s="38" t="n">
        <f aca="false">Sens!$J$5983+Sens!$J$5984+Sens!$J$5985</f>
        <v>150.498981474685</v>
      </c>
      <c r="K5986" s="38" t="n">
        <f aca="false">Sens!$K$5983+Sens!$K$5984+Sens!$K$5985</f>
        <v>184.188121970284</v>
      </c>
      <c r="L5986" s="38" t="n">
        <f aca="false">Sens!$L$5983+Sens!$L$5984+Sens!$L$5985</f>
        <v>207.768718060808</v>
      </c>
      <c r="M5986" s="38" t="n">
        <f aca="false">Sens!$M$5983+Sens!$M$5984+Sens!$M$5985</f>
        <v>224.003934647752</v>
      </c>
      <c r="N5986" s="38" t="n">
        <f aca="false">Sens!$N$5983+Sens!$N$5984+Sens!$N$5985</f>
        <v>18.822</v>
      </c>
      <c r="O5986" s="38" t="n">
        <f aca="false">Sens!$O$5983+Sens!$O$5984+Sens!$O$5985</f>
        <v>23.038</v>
      </c>
    </row>
    <row r="5987" customFormat="false" ht="17.15" hidden="false" customHeight="false" outlineLevel="0" collapsed="false">
      <c r="A5987" s="0" t="s">
        <v>740</v>
      </c>
      <c r="B5987" s="0" t="s">
        <v>86</v>
      </c>
      <c r="C5987" s="38" t="n">
        <f aca="false">Sens!$C$5958+Sens!$C$5963</f>
        <v>28.107</v>
      </c>
      <c r="D5987" s="38" t="n">
        <f aca="false">Sens!$D$5958+Sens!$D$5963</f>
        <v>34.3175</v>
      </c>
      <c r="E5987" s="38" t="n">
        <f aca="false">Sens!$E$5958+Sens!$E$5963</f>
        <v>18.526</v>
      </c>
      <c r="F5987" s="38" t="n">
        <f aca="false">Sens!$F$5958+Sens!$F$5963</f>
        <v>23.0786109972074</v>
      </c>
      <c r="G5987" s="38" t="n">
        <f aca="false">Sens!$G$5958+Sens!$G$5963</f>
        <v>41.6046109972074</v>
      </c>
      <c r="H5987" s="38" t="n">
        <f aca="false">Sens!$H$5958+Sens!$H$5963</f>
        <v>49.9484611939488</v>
      </c>
      <c r="I5987" s="38" t="n">
        <f aca="false">Sens!$I$5958+Sens!$I$5963</f>
        <v>58.2915555477481</v>
      </c>
      <c r="J5987" s="38" t="n">
        <f aca="false">Sens!$J$5958+Sens!$J$5963</f>
        <v>66.0744709709759</v>
      </c>
      <c r="K5987" s="38" t="n">
        <f aca="false">Sens!$K$5958+Sens!$K$5963</f>
        <v>72.6819180680735</v>
      </c>
      <c r="L5987" s="38" t="n">
        <f aca="false">Sens!$L$5958+Sens!$L$5963</f>
        <v>79.9501098748808</v>
      </c>
      <c r="M5987" s="38" t="n">
        <f aca="false">Sens!$M$5958+Sens!$M$5963</f>
        <v>87.9451208623689</v>
      </c>
      <c r="N5987" s="38" t="n">
        <f aca="false">Sens!$N$5958+Sens!$N$5963</f>
        <v>14.8075</v>
      </c>
      <c r="O5987" s="38" t="n">
        <f aca="false">Sens!$O$5958+Sens!$O$5963</f>
        <v>19.51</v>
      </c>
    </row>
    <row r="5988" customFormat="false" ht="17.15" hidden="false" customHeight="false" outlineLevel="0" collapsed="false">
      <c r="A5988" s="0" t="s">
        <v>741</v>
      </c>
      <c r="B5988" s="0" t="s">
        <v>86</v>
      </c>
      <c r="C5988" s="38" t="n">
        <f aca="false">Sens!$C$5962+Sens!$C$5967+Sens!$C$5983+Sens!$C$5984-Sens!$C$5987</f>
        <v>19.399</v>
      </c>
      <c r="D5988" s="38" t="n">
        <f aca="false">Sens!$D$5962+Sens!$D$5967+Sens!$D$5983+Sens!$D$5984-Sens!$D$5987</f>
        <v>20.4615</v>
      </c>
      <c r="E5988" s="38" t="n">
        <f aca="false">Sens!$E$5962+Sens!$E$5967+Sens!$E$5983+Sens!$E$5984-Sens!$E$5987</f>
        <v>13.355</v>
      </c>
      <c r="F5988" s="38" t="n">
        <f aca="false">Sens!$F$5962+Sens!$F$5967+Sens!$F$5983+Sens!$F$5984-Sens!$F$5987</f>
        <v>12.7882167664549</v>
      </c>
      <c r="G5988" s="38" t="n">
        <f aca="false">Sens!$G$5962+Sens!$G$5967+Sens!$G$5983+Sens!$G$5984-Sens!$G$5987</f>
        <v>26.1432167664549</v>
      </c>
      <c r="H5988" s="38" t="n">
        <f aca="false">Sens!$H$5962+Sens!$H$5967+Sens!$H$5983+Sens!$H$5984-Sens!$H$5987</f>
        <v>28.5472527261826</v>
      </c>
      <c r="I5988" s="38" t="n">
        <f aca="false">Sens!$I$5962+Sens!$I$5967+Sens!$I$5983+Sens!$I$5984-Sens!$I$5987</f>
        <v>30.8052421506794</v>
      </c>
      <c r="J5988" s="38" t="n">
        <f aca="false">Sens!$J$5962+Sens!$J$5967+Sens!$J$5983+Sens!$J$5984-Sens!$J$5987</f>
        <v>33.0553877999083</v>
      </c>
      <c r="K5988" s="38" t="n">
        <f aca="false">Sens!$K$5962+Sens!$K$5967+Sens!$K$5983+Sens!$K$5984-Sens!$K$5987</f>
        <v>35.4662923485155</v>
      </c>
      <c r="L5988" s="38" t="n">
        <f aca="false">Sens!$L$5962+Sens!$L$5967+Sens!$L$5983+Sens!$L$5984-Sens!$L$5987</f>
        <v>37.1019587742301</v>
      </c>
      <c r="M5988" s="38" t="n">
        <f aca="false">Sens!$M$5962+Sens!$M$5967+Sens!$M$5983+Sens!$M$5984-Sens!$M$5987</f>
        <v>39.5351701466849</v>
      </c>
      <c r="N5988" s="38" t="n">
        <f aca="false">Sens!$N$5962+Sens!$N$5967+Sens!$N$5983+Sens!$N$5984-Sens!$N$5987</f>
        <v>10.6495</v>
      </c>
      <c r="O5988" s="38" t="n">
        <f aca="false">Sens!$O$5962+Sens!$O$5967+Sens!$O$5983+Sens!$O$5984-Sens!$O$5987</f>
        <v>9.81200000000001</v>
      </c>
    </row>
    <row r="5989" customFormat="false" ht="17.15" hidden="false" customHeight="false" outlineLevel="0" collapsed="false">
      <c r="A5989" s="0" t="s">
        <v>742</v>
      </c>
      <c r="B5989" s="0" t="s">
        <v>86</v>
      </c>
      <c r="C5989" s="38" t="n">
        <f aca="false">Sens!$C$5969+Sens!$C$5985-ext_sh*Sens!$C$5904</f>
        <v>51.3470500115664</v>
      </c>
      <c r="D5989" s="38" t="n">
        <f aca="false">Sens!$D$5969+Sens!$D$5985-ext_sh*Sens!$D$5904</f>
        <v>60.2799375433739</v>
      </c>
      <c r="E5989" s="38" t="n">
        <f aca="false">Sens!$E$5969+Sens!$E$5985-ext_sh*Sens!$E$5904</f>
        <v>39.5095167090767</v>
      </c>
      <c r="F5989" s="38" t="n">
        <f aca="false">Sens!$F$5969+Sens!$F$5985-ext_sh*Sens!$F$5904</f>
        <v>37.993321722478</v>
      </c>
      <c r="G5989" s="38" t="n">
        <f aca="false">Sens!$G$5969+Sens!$G$5985-ext_sh*Sens!$G$5904</f>
        <v>77.5028384315548</v>
      </c>
      <c r="H5989" s="38" t="n">
        <f aca="false">Sens!$H$5969+Sens!$H$5985-ext_sh*Sens!$H$5904</f>
        <v>85.2394217279746</v>
      </c>
      <c r="I5989" s="38" t="n">
        <f aca="false">Sens!$I$5969+Sens!$I$5985-ext_sh*Sens!$I$5904</f>
        <v>94.6373589713254</v>
      </c>
      <c r="J5989" s="38" t="n">
        <f aca="false">Sens!$J$5969+Sens!$J$5985-ext_sh*Sens!$J$5904</f>
        <v>103.639899284146</v>
      </c>
      <c r="K5989" s="38" t="n">
        <f aca="false">Sens!$K$5969+Sens!$K$5985-ext_sh*Sens!$K$5904</f>
        <v>111.931091226878</v>
      </c>
      <c r="L5989" s="38" t="n">
        <f aca="false">Sens!$L$5969+Sens!$L$5985-ext_sh*Sens!$L$5904</f>
        <v>120.885578525028</v>
      </c>
      <c r="M5989" s="38" t="n">
        <f aca="false">Sens!$M$5969+Sens!$M$5985-ext_sh*Sens!$M$5904</f>
        <v>130.55642480703</v>
      </c>
      <c r="N5989" s="38" t="n">
        <f aca="false">Sens!$N$5969+Sens!$N$5985-ext_sh*Sens!$N$5904</f>
        <v>28.5693781401809</v>
      </c>
      <c r="O5989" s="38" t="n">
        <f aca="false">Sens!$O$5969+Sens!$O$5985-ext_sh*Sens!$O$5904</f>
        <v>31.7105594031931</v>
      </c>
    </row>
    <row r="5990" customFormat="false" ht="17.15" hidden="false" customHeight="false" outlineLevel="0" collapsed="false">
      <c r="A5990" s="0" t="s">
        <v>743</v>
      </c>
      <c r="B5990" s="0" t="s">
        <v>86</v>
      </c>
      <c r="C5990" s="38" t="n">
        <f aca="false">Sens!$C$5907</f>
        <v>1.80694998843362</v>
      </c>
      <c r="D5990" s="38" t="n">
        <f aca="false">Sens!$D$5907</f>
        <v>6.77606245662607</v>
      </c>
      <c r="E5990" s="38" t="n">
        <f aca="false">Sens!$E$5907</f>
        <v>6.62548329092326</v>
      </c>
      <c r="F5990" s="38" t="n">
        <f aca="false">Sens!$F$5907</f>
        <v>11.7200577158706</v>
      </c>
      <c r="G5990" s="38" t="n">
        <f aca="false">Sens!$G$5907</f>
        <v>18.3455410067939</v>
      </c>
      <c r="H5990" s="38" t="n">
        <f aca="false">Sens!$H$5907</f>
        <v>47.5171727060453</v>
      </c>
      <c r="I5990" s="38" t="n">
        <f aca="false">Sens!$I$5907</f>
        <v>80.5539692643667</v>
      </c>
      <c r="J5990" s="38" t="n">
        <f aca="false">Sens!$J$5907</f>
        <v>113.759316834883</v>
      </c>
      <c r="K5990" s="38" t="n">
        <f aca="false">Sens!$K$5907</f>
        <v>142.084411492169</v>
      </c>
      <c r="L5990" s="38" t="n">
        <f aca="false">Sens!$L$5907</f>
        <v>160.69964615804</v>
      </c>
      <c r="M5990" s="38" t="n">
        <f aca="false">Sens!$M$5907</f>
        <v>169.577607141793</v>
      </c>
      <c r="N5990" s="38" t="n">
        <f aca="false">Sens!$N$5907</f>
        <v>2.37162185981912</v>
      </c>
      <c r="O5990" s="38" t="n">
        <f aca="false">Sens!$O$5907</f>
        <v>4.40444059680694</v>
      </c>
    </row>
    <row r="5991" customFormat="false" ht="17.15" hidden="false" customHeight="false" outlineLevel="0" collapsed="false">
      <c r="A5991" s="0" t="s">
        <v>744</v>
      </c>
      <c r="B5991" s="0" t="s">
        <v>86</v>
      </c>
      <c r="C5991" s="38" t="n">
        <f aca="false">Sens!$C$5972+Sens!$C$5986</f>
        <v>100.66</v>
      </c>
      <c r="D5991" s="38" t="n">
        <f aca="false">Sens!$D$5972+Sens!$D$5986</f>
        <v>121.835</v>
      </c>
      <c r="E5991" s="38" t="n">
        <f aca="false">Sens!$E$5972+Sens!$E$5986</f>
        <v>78.016</v>
      </c>
      <c r="F5991" s="38" t="n">
        <f aca="false">Sens!$F$5972+Sens!$F$5986</f>
        <v>85.580207202011</v>
      </c>
      <c r="G5991" s="38" t="n">
        <f aca="false">Sens!$G$5972+Sens!$G$5986</f>
        <v>163.596207202011</v>
      </c>
      <c r="H5991" s="38" t="n">
        <f aca="false">Sens!$H$5972+Sens!$H$5986</f>
        <v>211.252308354151</v>
      </c>
      <c r="I5991" s="38" t="n">
        <f aca="false">Sens!$I$5972+Sens!$I$5986</f>
        <v>264.28812593412</v>
      </c>
      <c r="J5991" s="38" t="n">
        <f aca="false">Sens!$J$5972+Sens!$J$5986</f>
        <v>316.529074889914</v>
      </c>
      <c r="K5991" s="38" t="n">
        <f aca="false">Sens!$K$5972+Sens!$K$5986</f>
        <v>362.163713135636</v>
      </c>
      <c r="L5991" s="38" t="n">
        <f aca="false">Sens!$L$5972+Sens!$L$5986</f>
        <v>398.637293332179</v>
      </c>
      <c r="M5991" s="38" t="n">
        <f aca="false">Sens!$M$5972+Sens!$M$5986</f>
        <v>427.614322957878</v>
      </c>
      <c r="N5991" s="38" t="n">
        <f aca="false">Sens!$N$5972+Sens!$N$5986</f>
        <v>56.398</v>
      </c>
      <c r="O5991" s="38" t="n">
        <f aca="false">Sens!$O$5972+Sens!$O$5986</f>
        <v>65.437</v>
      </c>
    </row>
    <row r="5992" customFormat="false" ht="17.15" hidden="false" customHeight="false" outlineLevel="0" collapsed="false">
      <c r="A5992" s="1" t="s">
        <v>745</v>
      </c>
    </row>
    <row r="5993" customFormat="false" ht="15" hidden="false" customHeight="false" outlineLevel="0" collapsed="false">
      <c r="A5993" s="5" t="s">
        <v>541</v>
      </c>
      <c r="B5993" s="0" t="s">
        <v>86</v>
      </c>
      <c r="C5993" s="38" t="n">
        <f aca="false">Q!$D$34</f>
        <v>2.406</v>
      </c>
      <c r="D5993" s="38" t="n">
        <f aca="false">Q!$E$34</f>
        <v>2.274</v>
      </c>
      <c r="E5993" s="38" t="n">
        <f aca="false">Q!$P$34</f>
        <v>2.114</v>
      </c>
      <c r="F5993" s="38" t="n">
        <f aca="false">Sens!$F$6031</f>
        <v>3.24888962733561</v>
      </c>
      <c r="G5993" s="38" t="n">
        <f aca="false">Sens!$E$5993+Sens!$F$5993</f>
        <v>5.36288962733561</v>
      </c>
      <c r="H5993" s="38" t="n">
        <f aca="false">Sens!$H$6031</f>
        <v>7.42354172302123</v>
      </c>
      <c r="I5993" s="38" t="n">
        <f aca="false">Sens!$I$6031</f>
        <v>8.2931747618896</v>
      </c>
      <c r="J5993" s="38" t="n">
        <f aca="false">Sens!$J$6031</f>
        <v>9.27718179522602</v>
      </c>
      <c r="K5993" s="38" t="n">
        <f aca="false">Sens!$K$6031</f>
        <v>9.27718179522602</v>
      </c>
      <c r="L5993" s="38" t="n">
        <f aca="false">Sens!$L$6031</f>
        <v>9.27718179522602</v>
      </c>
      <c r="M5993" s="38" t="n">
        <f aca="false">Sens!$M$6031</f>
        <v>9.27718179522602</v>
      </c>
      <c r="N5993" s="38" t="n">
        <f aca="false">Q!$N$34</f>
        <v>1.057</v>
      </c>
      <c r="O5993" s="38" t="n">
        <f aca="false">Q!$O$34</f>
        <v>1.217</v>
      </c>
    </row>
    <row r="5994" customFormat="false" ht="15" hidden="false" customHeight="false" outlineLevel="0" collapsed="false">
      <c r="A5994" s="5" t="s">
        <v>746</v>
      </c>
      <c r="B5994" s="0" t="s">
        <v>86</v>
      </c>
      <c r="F5994" s="38" t="n">
        <f aca="false">Sens!$F$6032</f>
        <v>2.59</v>
      </c>
      <c r="H5994" s="38" t="n">
        <f aca="false">Sens!$H$6032</f>
        <v>3.80133635330174</v>
      </c>
      <c r="I5994" s="38" t="n">
        <f aca="false">Sens!$I$6032</f>
        <v>2.10589651022864</v>
      </c>
      <c r="J5994" s="38" t="n">
        <f aca="false">Sens!$J$6032</f>
        <v>2.10589651022864</v>
      </c>
      <c r="K5994" s="38" t="n">
        <f aca="false">Sens!$K$6032</f>
        <v>3.14850442073996</v>
      </c>
      <c r="L5994" s="38" t="n">
        <f aca="false">Sens!$L$6032</f>
        <v>8.25959583122945</v>
      </c>
      <c r="M5994" s="38" t="n">
        <f aca="false">Sens!$M$6032</f>
        <v>15.8335708401143</v>
      </c>
    </row>
    <row r="5995" customFormat="false" ht="17.15" hidden="false" customHeight="false" outlineLevel="0" collapsed="false">
      <c r="A5995" s="5" t="s">
        <v>747</v>
      </c>
      <c r="B5995" s="0" t="s">
        <v>86</v>
      </c>
      <c r="C5995" s="38" t="n">
        <f aca="false">Q!$D$39</f>
        <v>2.427</v>
      </c>
      <c r="D5995" s="38" t="n">
        <f aca="false">Q!$E$39</f>
        <v>19.61</v>
      </c>
      <c r="E5995" s="38" t="n">
        <f aca="false">Q!$P$39</f>
        <v>71.492</v>
      </c>
      <c r="F5995" s="39" t="n">
        <v>0</v>
      </c>
      <c r="G5995" s="38" t="n">
        <f aca="false">Sens!$E$5995+Sens!$F$5995</f>
        <v>71.492</v>
      </c>
      <c r="H5995" s="39" t="n">
        <v>0</v>
      </c>
      <c r="I5995" s="39" t="n">
        <v>0</v>
      </c>
      <c r="J5995" s="39" t="n">
        <v>0</v>
      </c>
      <c r="K5995" s="39" t="n">
        <v>0</v>
      </c>
      <c r="L5995" s="39" t="n">
        <v>0</v>
      </c>
      <c r="M5995" s="39" t="n">
        <v>0</v>
      </c>
      <c r="N5995" s="38" t="n">
        <f aca="false">Q!$N$39</f>
        <v>6.017</v>
      </c>
      <c r="O5995" s="38" t="n">
        <f aca="false">Q!$O$39</f>
        <v>13.593</v>
      </c>
      <c r="P5995" s="5" t="s">
        <v>748</v>
      </c>
    </row>
    <row r="5996" customFormat="false" ht="15" hidden="false" customHeight="false" outlineLevel="0" collapsed="false">
      <c r="A5996" s="5" t="s">
        <v>544</v>
      </c>
      <c r="B5996" s="0" t="s">
        <v>86</v>
      </c>
      <c r="C5996" s="38" t="n">
        <f aca="false">Q!$D$36</f>
        <v>68.614</v>
      </c>
      <c r="D5996" s="38" t="n">
        <f aca="false">Q!$E$36</f>
        <v>97.311</v>
      </c>
      <c r="E5996" s="38" t="n">
        <f aca="false">Q!$P$36</f>
        <v>120.691</v>
      </c>
      <c r="F5996" s="38" t="n">
        <f aca="false">Sens!$F$5972-Sens!$F$5993+Sens!$F$5994+Sens!$F$5995</f>
        <v>55.629999609589</v>
      </c>
      <c r="G5996" s="38" t="n">
        <f aca="false">Sens!$E$5996+Sens!$F$5996</f>
        <v>176.320999609589</v>
      </c>
      <c r="H5996" s="38" t="n">
        <f aca="false">Sens!$H$5972-Sens!$H$5993+Sens!$H$5994+Sens!$H$5995</f>
        <v>123.313761885917</v>
      </c>
      <c r="I5996" s="38" t="n">
        <f aca="false">Sens!$I$5972-Sens!$I$5993+Sens!$I$5994+Sens!$I$5995</f>
        <v>141.060502691455</v>
      </c>
      <c r="J5996" s="38" t="n">
        <f aca="false">Sens!$J$5972-Sens!$J$5993+Sens!$J$5994+Sens!$J$5995</f>
        <v>158.858808130232</v>
      </c>
      <c r="K5996" s="38" t="n">
        <f aca="false">Sens!$K$5972-Sens!$K$5993+Sens!$K$5994+Sens!$K$5995</f>
        <v>171.846913790867</v>
      </c>
      <c r="L5996" s="38" t="n">
        <f aca="false">Sens!$L$5972-Sens!$L$5993+Sens!$L$5994+Sens!$L$5995</f>
        <v>189.850989307375</v>
      </c>
      <c r="M5996" s="38" t="n">
        <f aca="false">Sens!$M$5972-Sens!$M$5993+Sens!$M$5994+Sens!$M$5995</f>
        <v>210.166777355014</v>
      </c>
      <c r="N5996" s="38" t="n">
        <f aca="false">Q!$N$36</f>
        <v>42.536</v>
      </c>
      <c r="O5996" s="38" t="n">
        <f aca="false">Q!$O$36</f>
        <v>54.775</v>
      </c>
    </row>
    <row r="5997" customFormat="false" ht="15" hidden="false" customHeight="false" outlineLevel="0" collapsed="false">
      <c r="A5997" s="5" t="s">
        <v>545</v>
      </c>
      <c r="B5997" s="0" t="s">
        <v>86</v>
      </c>
      <c r="C5997" s="38" t="n">
        <f aca="false">Q!$D$37</f>
        <v>9.265</v>
      </c>
      <c r="D5997" s="38" t="n">
        <f aca="false">Q!$E$37</f>
        <v>19.087</v>
      </c>
      <c r="E5997" s="38" t="n">
        <f aca="false">Q!$P$37</f>
        <v>27.759</v>
      </c>
      <c r="F5997" s="38" t="n">
        <f aca="false">Sens!$F$5996*tax</f>
        <v>9.65650714815835</v>
      </c>
      <c r="G5997" s="38" t="n">
        <f aca="false">Sens!$E$5997+Sens!$F$5997</f>
        <v>37.4155071481584</v>
      </c>
      <c r="H5997" s="38" t="n">
        <f aca="false">Sens!$H$5996*tax</f>
        <v>21.4053609828247</v>
      </c>
      <c r="I5997" s="38" t="n">
        <f aca="false">Sens!$I$5996*tax</f>
        <v>24.4859205846201</v>
      </c>
      <c r="J5997" s="38" t="n">
        <f aca="false">Sens!$J$5996*tax</f>
        <v>27.5754310088666</v>
      </c>
      <c r="K5997" s="38" t="n">
        <f aca="false">Sens!$K$5996*tax</f>
        <v>29.8299651816718</v>
      </c>
      <c r="L5997" s="38" t="n">
        <f aca="false">Sens!$L$5996*tax</f>
        <v>32.9551941074541</v>
      </c>
      <c r="M5997" s="38" t="n">
        <f aca="false">Sens!$M$5996*tax</f>
        <v>36.4817005586366</v>
      </c>
      <c r="N5997" s="38" t="n">
        <f aca="false">Q!$N$37</f>
        <v>7.231</v>
      </c>
      <c r="O5997" s="38" t="n">
        <f aca="false">Q!$O$37</f>
        <v>11.856</v>
      </c>
    </row>
    <row r="5998" customFormat="false" ht="15" hidden="false" customHeight="false" outlineLevel="0" collapsed="false">
      <c r="A5998" s="3" t="s">
        <v>546</v>
      </c>
      <c r="B5998" s="8" t="s">
        <v>86</v>
      </c>
      <c r="C5998" s="38" t="n">
        <f aca="false">Q!$D$38</f>
        <v>59.248</v>
      </c>
      <c r="D5998" s="38" t="n">
        <f aca="false">Q!$E$38</f>
        <v>77.67</v>
      </c>
      <c r="E5998" s="38" t="n">
        <f aca="false">Q!$P$38</f>
        <v>92.902</v>
      </c>
      <c r="F5998" s="38" t="n">
        <f aca="false">Sens!$F$5996-Sens!$F$5997</f>
        <v>45.9734924614306</v>
      </c>
      <c r="G5998" s="38" t="n">
        <f aca="false">Sens!$E$5998+Sens!$F$5998</f>
        <v>138.875492461431</v>
      </c>
      <c r="H5998" s="38" t="n">
        <f aca="false">Sens!$H$5996-Sens!$H$5997</f>
        <v>101.908400903092</v>
      </c>
      <c r="I5998" s="38" t="n">
        <f aca="false">Sens!$I$5996-Sens!$I$5997</f>
        <v>116.574582106835</v>
      </c>
      <c r="J5998" s="38" t="n">
        <f aca="false">Sens!$J$5996-Sens!$J$5997</f>
        <v>131.283377121365</v>
      </c>
      <c r="K5998" s="38" t="n">
        <f aca="false">Sens!$K$5996-Sens!$K$5997</f>
        <v>142.016948609195</v>
      </c>
      <c r="L5998" s="38" t="n">
        <f aca="false">Sens!$L$5996-Sens!$L$5997</f>
        <v>156.895795199921</v>
      </c>
      <c r="M5998" s="38" t="n">
        <f aca="false">Sens!$M$5996-Sens!$M$5997</f>
        <v>173.685076796377</v>
      </c>
      <c r="N5998" s="38" t="n">
        <f aca="false">Q!$N$38</f>
        <v>35.291</v>
      </c>
      <c r="O5998" s="38" t="n">
        <f aca="false">Q!$O$38</f>
        <v>42.379</v>
      </c>
    </row>
    <row r="5999" customFormat="false" ht="17.15" hidden="false" customHeight="false" outlineLevel="0" collapsed="false">
      <c r="A5999" s="5" t="s">
        <v>549</v>
      </c>
      <c r="B5999" s="5" t="s">
        <v>33</v>
      </c>
      <c r="C5999" s="22" t="n">
        <f aca="false">Q!$D$41</f>
        <v>10.721</v>
      </c>
      <c r="D5999" s="22" t="n">
        <f aca="false">Q!$E$41</f>
        <v>10.827</v>
      </c>
      <c r="E5999" s="22" t="n">
        <f aca="false">(Q!$L$41+Q!$M$41)/2</f>
        <v>10.8885</v>
      </c>
      <c r="F5999" s="22" t="n">
        <f aca="false">Sens!$G$5999</f>
        <v>10.924806</v>
      </c>
      <c r="G5999" s="22" t="n">
        <f aca="false">Q!$M$41*(1+sh_g*0.25)</f>
        <v>10.924806</v>
      </c>
      <c r="H5999" s="22" t="n">
        <f aca="false">Sens!$G$5999*(1+sh_g)</f>
        <v>11.012204448</v>
      </c>
      <c r="I5999" s="22" t="n">
        <f aca="false">Sens!$H$5999*(1+sh_g)</f>
        <v>11.100302083584</v>
      </c>
      <c r="J5999" s="22" t="n">
        <f aca="false">Sens!$I$5999*(1+sh_g)</f>
        <v>11.1891045002527</v>
      </c>
      <c r="K5999" s="22" t="n">
        <f aca="false">Sens!$J$5999*(1+sh_g)</f>
        <v>11.2786173362547</v>
      </c>
      <c r="L5999" s="22" t="n">
        <f aca="false">Sens!$K$5999*(1+sh_g)</f>
        <v>11.3688462749447</v>
      </c>
      <c r="M5999" s="22" t="n">
        <f aca="false">Sens!$L$5999*(1+sh_g)</f>
        <v>11.4597970451443</v>
      </c>
      <c r="P5999" s="5" t="s">
        <v>749</v>
      </c>
    </row>
    <row r="6000" customFormat="false" ht="17.15" hidden="false" customHeight="false" outlineLevel="0" collapsed="false">
      <c r="A6000" s="5" t="s">
        <v>750</v>
      </c>
      <c r="B6000" s="0" t="s">
        <v>86</v>
      </c>
      <c r="C6000" s="38" t="n">
        <f aca="false">Sens!$C$5998+Sens!$C$5974*(1-tax)</f>
        <v>59.248</v>
      </c>
      <c r="D6000" s="38" t="n">
        <f aca="false">Sens!$D$5998+Sens!$D$5974*(1-tax)</f>
        <v>77.67</v>
      </c>
      <c r="E6000" s="38" t="n">
        <f aca="false">Sens!$E$5998+Sens!$E$5974*(1-tax)</f>
        <v>92.902</v>
      </c>
      <c r="F6000" s="38" t="n">
        <f aca="false">Sens!$F$5998+Sens!$F$5974*(1-tax)</f>
        <v>49.0900874210793</v>
      </c>
      <c r="G6000" s="38" t="n">
        <f aca="false">Sens!$G$5998+Sens!$G$5974*(1-tax)</f>
        <v>141.992087421079</v>
      </c>
      <c r="H6000" s="38" t="n">
        <f aca="false">Sens!$H$5998+Sens!$H$5974*(1-tax)</f>
        <v>114.439796858437</v>
      </c>
      <c r="I6000" s="38" t="n">
        <f aca="false">Sens!$I$5998+Sens!$I$5974*(1-tax)</f>
        <v>137.715847181774</v>
      </c>
      <c r="J6000" s="38" t="n">
        <f aca="false">Sens!$J$5998+Sens!$J$5974*(1-tax)</f>
        <v>161.072814065649</v>
      </c>
      <c r="K6000" s="38" t="n">
        <f aca="false">Sens!$K$5998+Sens!$K$5974*(1-tax)</f>
        <v>179.184254305854</v>
      </c>
      <c r="L6000" s="38" t="n">
        <f aca="false">Sens!$L$5998+Sens!$L$5974*(1-tax)</f>
        <v>198.911872540476</v>
      </c>
      <c r="M6000" s="38" t="n">
        <f aca="false">Sens!$M$5998+Sens!$M$5974*(1-tax)</f>
        <v>218.014598987218</v>
      </c>
      <c r="N6000" s="38" t="n">
        <f aca="false">Sens!$N$5998+Sens!$N$5974*(1-tax)</f>
        <v>35.291</v>
      </c>
      <c r="O6000" s="38" t="n">
        <f aca="false">Sens!$O$5998+Sens!$O$5974*(1-tax)</f>
        <v>42.379</v>
      </c>
    </row>
    <row r="6001" customFormat="false" ht="17.15" hidden="false" customHeight="false" outlineLevel="0" collapsed="false">
      <c r="A6001" s="43" t="s">
        <v>751</v>
      </c>
      <c r="B6001" s="14" t="s">
        <v>27</v>
      </c>
      <c r="C6001" s="44" t="n">
        <f aca="false">Sens!$C$6000/Sens!$C$5999</f>
        <v>5.52635015390355</v>
      </c>
      <c r="D6001" s="44" t="n">
        <f aca="false">Sens!$D$6000/Sens!$D$5999</f>
        <v>7.1737323358271</v>
      </c>
      <c r="E6001" s="44" t="n">
        <f aca="false">Sens!$E$6000/Sens!$E$5999</f>
        <v>8.53212104513937</v>
      </c>
      <c r="F6001" s="14"/>
      <c r="G6001" s="44" t="n">
        <f aca="false">Sens!$G$6000/Sens!$G$5999</f>
        <v>12.9972182042481</v>
      </c>
      <c r="H6001" s="44" t="n">
        <f aca="false">Sens!$H$6000/Sens!$H$5999</f>
        <v>10.3920879237963</v>
      </c>
      <c r="I6001" s="44" t="n">
        <f aca="false">Sens!$I$6000/Sens!$I$5999</f>
        <v>12.4064954399249</v>
      </c>
      <c r="J6001" s="44" t="n">
        <f aca="false">Sens!$J$6000/Sens!$J$5999</f>
        <v>14.3955053831172</v>
      </c>
      <c r="K6001" s="44" t="n">
        <f aca="false">Sens!$K$6000/Sens!$K$5999</f>
        <v>15.8870763111957</v>
      </c>
      <c r="L6001" s="44" t="n">
        <f aca="false">Sens!$L$6000/Sens!$L$5999</f>
        <v>17.4962232516811</v>
      </c>
      <c r="M6001" s="44" t="n">
        <f aca="false">Sens!$M$6000/Sens!$M$5999</f>
        <v>19.0242984346389</v>
      </c>
      <c r="N6001" s="14"/>
      <c r="O6001" s="14"/>
    </row>
    <row r="6002" customFormat="false" ht="17.15" hidden="false" customHeight="false" outlineLevel="0" collapsed="false">
      <c r="A6002" s="0" t="s">
        <v>752</v>
      </c>
      <c r="B6002" s="0" t="s">
        <v>27</v>
      </c>
      <c r="C6002" s="30" t="n">
        <f aca="false">Sens!$C$5998/Sens!$C$5999</f>
        <v>5.52635015390355</v>
      </c>
      <c r="D6002" s="30" t="n">
        <f aca="false">Sens!$D$5998/Sens!$D$5999</f>
        <v>7.1737323358271</v>
      </c>
      <c r="E6002" s="30" t="n">
        <f aca="false">Sens!$E$5998/Sens!$E$5999</f>
        <v>8.53212104513937</v>
      </c>
      <c r="G6002" s="30" t="n">
        <f aca="false">Sens!$G$5998/Sens!$G$5999</f>
        <v>12.7119412886078</v>
      </c>
      <c r="H6002" s="30" t="n">
        <f aca="false">Sens!$H$5998/Sens!$H$5999</f>
        <v>9.25413266565353</v>
      </c>
      <c r="I6002" s="30" t="n">
        <f aca="false">Sens!$I$5998/Sens!$I$5999</f>
        <v>10.501928796986</v>
      </c>
      <c r="J6002" s="30" t="n">
        <f aca="false">Sens!$J$5998/Sens!$J$5999</f>
        <v>11.7331442492472</v>
      </c>
      <c r="K6002" s="30" t="n">
        <f aca="false">Sens!$K$5998/Sens!$K$5999</f>
        <v>12.5916984657939</v>
      </c>
      <c r="L6002" s="30" t="n">
        <f aca="false">Sens!$L$5998/Sens!$L$5999</f>
        <v>13.8005028307662</v>
      </c>
      <c r="M6002" s="30" t="n">
        <f aca="false">Sens!$M$5998/Sens!$M$5999</f>
        <v>15.1560342746184</v>
      </c>
    </row>
    <row r="6003" customFormat="false" ht="17.15" hidden="false" customHeight="false" outlineLevel="0" collapsed="false">
      <c r="A6003" s="0" t="s">
        <v>753</v>
      </c>
      <c r="B6003" s="0" t="s">
        <v>27</v>
      </c>
      <c r="C6003" s="30" t="n">
        <f aca="false">(Sens!$C$5998-Sens!$C$5995*(1-tax))/Sens!$C$5999</f>
        <v>5.33926775917445</v>
      </c>
      <c r="D6003" s="30" t="n">
        <f aca="false">(Sens!$D$5998-Sens!$D$5995*(1-tax))/Sens!$D$5999</f>
        <v>5.67691812755503</v>
      </c>
      <c r="E6003" s="30" t="n">
        <f aca="false">(Sens!$E$5998-Sens!$E$5995*(1-tax))/Sens!$E$5999</f>
        <v>3.10602057006846</v>
      </c>
      <c r="G6003" s="30" t="n">
        <f aca="false">(Sens!$G$5998-Sens!$G$5995*(1-tax))/Sens!$G$5999</f>
        <v>7.30387317071086</v>
      </c>
      <c r="H6003" s="30" t="n">
        <f aca="false">(Sens!$H$5998-Sens!$H$5995*(1-tax))/Sens!$H$5999</f>
        <v>9.25413266565353</v>
      </c>
      <c r="I6003" s="30" t="n">
        <f aca="false">(Sens!$I$5998-Sens!$I$5995*(1-tax))/Sens!$I$5999</f>
        <v>10.501928796986</v>
      </c>
      <c r="J6003" s="30" t="n">
        <f aca="false">(Sens!$J$5998-Sens!$J$5995*(1-tax))/Sens!$J$5999</f>
        <v>11.7331442492472</v>
      </c>
      <c r="K6003" s="30" t="n">
        <f aca="false">(Sens!$K$5998-Sens!$K$5995*(1-tax))/Sens!$K$5999</f>
        <v>12.5916984657939</v>
      </c>
      <c r="L6003" s="30" t="n">
        <f aca="false">(Sens!$L$5998-Sens!$L$5995*(1-tax))/Sens!$L$5999</f>
        <v>13.8005028307662</v>
      </c>
      <c r="M6003" s="30" t="n">
        <f aca="false">(Sens!$M$5998-Sens!$M$5995*(1-tax))/Sens!$M$5999</f>
        <v>15.1560342746184</v>
      </c>
      <c r="P6003" s="5" t="s">
        <v>754</v>
      </c>
    </row>
    <row r="6004" customFormat="false" ht="17.15" hidden="false" customHeight="false" outlineLevel="0" collapsed="false">
      <c r="A6004" s="0" t="s">
        <v>755</v>
      </c>
      <c r="B6004" s="0" t="s">
        <v>52</v>
      </c>
      <c r="H6004" s="13" t="n">
        <f aca="false">Sens!$H$6001/Sens!$G$6001-1</f>
        <v>-0.200437527439553</v>
      </c>
      <c r="I6004" s="13" t="n">
        <f aca="false">Sens!$I$6001/Sens!$H$6001-1</f>
        <v>0.193840499705158</v>
      </c>
      <c r="J6004" s="13" t="n">
        <f aca="false">Sens!$J$6001/Sens!$I$6001-1</f>
        <v>0.160320047899391</v>
      </c>
      <c r="K6004" s="13" t="n">
        <f aca="false">Sens!$K$6001/Sens!$J$6001-1</f>
        <v>0.103613654983436</v>
      </c>
      <c r="L6004" s="13" t="n">
        <f aca="false">Sens!$L$6001/Sens!$K$6001-1</f>
        <v>0.101286536865904</v>
      </c>
      <c r="M6004" s="13" t="n">
        <f aca="false">Sens!$M$6001/Sens!$L$6001-1</f>
        <v>0.0873374305400994</v>
      </c>
    </row>
    <row r="6007" customFormat="false" ht="19.4" hidden="false" customHeight="false" outlineLevel="0" collapsed="false">
      <c r="A6007" s="31" t="s">
        <v>1250</v>
      </c>
    </row>
    <row r="6008" customFormat="false" ht="17.15" hidden="false" customHeight="false" outlineLevel="0" collapsed="false">
      <c r="A6008" s="6" t="s">
        <v>16</v>
      </c>
      <c r="B6008" s="6" t="s">
        <v>17</v>
      </c>
      <c r="C6008" s="20" t="s">
        <v>494</v>
      </c>
      <c r="D6008" s="20" t="s">
        <v>495</v>
      </c>
      <c r="E6008" s="20" t="s">
        <v>577</v>
      </c>
      <c r="F6008" s="20" t="s">
        <v>578</v>
      </c>
      <c r="G6008" s="20" t="s">
        <v>579</v>
      </c>
      <c r="H6008" s="20" t="s">
        <v>580</v>
      </c>
      <c r="I6008" s="20" t="s">
        <v>581</v>
      </c>
      <c r="J6008" s="20" t="s">
        <v>582</v>
      </c>
      <c r="K6008" s="20" t="s">
        <v>583</v>
      </c>
      <c r="L6008" s="20" t="s">
        <v>584</v>
      </c>
      <c r="M6008" s="20" t="s">
        <v>585</v>
      </c>
      <c r="N6008" s="20" t="s">
        <v>586</v>
      </c>
      <c r="O6008" s="20" t="s">
        <v>587</v>
      </c>
      <c r="P6008" s="6" t="s">
        <v>23</v>
      </c>
      <c r="R6008" s="20" t="n">
        <v>2023</v>
      </c>
      <c r="S6008" s="20" t="n">
        <v>2024</v>
      </c>
      <c r="T6008" s="20" t="n">
        <v>2025</v>
      </c>
      <c r="U6008" s="20" t="n">
        <v>2026</v>
      </c>
      <c r="V6008" s="20" t="n">
        <v>2027</v>
      </c>
      <c r="W6008" s="20" t="n">
        <v>2028</v>
      </c>
      <c r="X6008" s="20" t="n">
        <v>2029</v>
      </c>
      <c r="Y6008" s="20" t="n">
        <v>2030</v>
      </c>
      <c r="Z6008" s="20" t="n">
        <v>2031</v>
      </c>
      <c r="AA6008" s="20" t="n">
        <v>2032</v>
      </c>
    </row>
    <row r="6009" customFormat="false" ht="15" hidden="false" customHeight="false" outlineLevel="0" collapsed="false">
      <c r="A6009" s="5" t="s">
        <v>546</v>
      </c>
      <c r="B6009" s="0" t="s">
        <v>86</v>
      </c>
      <c r="C6009" s="38" t="n">
        <f aca="false">Sens!$C$5998</f>
        <v>59.248</v>
      </c>
      <c r="D6009" s="38" t="n">
        <f aca="false">Sens!$D$5998</f>
        <v>77.67</v>
      </c>
      <c r="E6009" s="38" t="n">
        <f aca="false">Sens!$E$5998</f>
        <v>92.902</v>
      </c>
      <c r="F6009" s="38" t="n">
        <f aca="false">Sens!$F$5998</f>
        <v>45.9734924614306</v>
      </c>
      <c r="G6009" s="38" t="n">
        <f aca="false">Sens!$G$5998</f>
        <v>138.875492461431</v>
      </c>
      <c r="H6009" s="38" t="n">
        <f aca="false">Sens!$H$5998</f>
        <v>101.908400903092</v>
      </c>
      <c r="I6009" s="38" t="n">
        <f aca="false">Sens!$I$5998</f>
        <v>116.574582106835</v>
      </c>
      <c r="J6009" s="38" t="n">
        <f aca="false">Sens!$J$5998</f>
        <v>131.283377121365</v>
      </c>
      <c r="K6009" s="38" t="n">
        <f aca="false">Sens!$K$5998</f>
        <v>142.016948609195</v>
      </c>
      <c r="L6009" s="38" t="n">
        <f aca="false">Sens!$L$5998</f>
        <v>156.895795199921</v>
      </c>
      <c r="M6009" s="38" t="n">
        <f aca="false">Sens!$M$5998</f>
        <v>173.685076796377</v>
      </c>
    </row>
    <row r="6010" customFormat="false" ht="17.15" hidden="false" customHeight="false" outlineLevel="0" collapsed="false">
      <c r="A6010" s="5" t="s">
        <v>778</v>
      </c>
      <c r="B6010" s="0" t="s">
        <v>86</v>
      </c>
      <c r="C6010" s="38" t="n">
        <f aca="false">Sens!$C$5986</f>
        <v>32.067</v>
      </c>
      <c r="D6010" s="38" t="n">
        <f aca="false">Sens!$D$5986</f>
        <v>41.86</v>
      </c>
      <c r="E6010" s="38" t="n">
        <f aca="false">Sens!$E$5986</f>
        <v>26.703</v>
      </c>
      <c r="F6010" s="38" t="n">
        <f aca="false">Sens!$F$5986</f>
        <v>29.2913179650864</v>
      </c>
      <c r="G6010" s="38" t="n">
        <f aca="false">Sens!$G$5986</f>
        <v>55.9943179650864</v>
      </c>
      <c r="H6010" s="38" t="n">
        <f aca="false">Sens!$H$5986</f>
        <v>84.3163410985152</v>
      </c>
      <c r="I6010" s="38" t="n">
        <f aca="false">Sens!$I$5986</f>
        <v>117.040344991004</v>
      </c>
      <c r="J6010" s="38" t="n">
        <f aca="false">Sens!$J$5986</f>
        <v>150.498981474685</v>
      </c>
      <c r="K6010" s="38" t="n">
        <f aca="false">Sens!$K$5986</f>
        <v>184.188121970284</v>
      </c>
      <c r="L6010" s="38" t="n">
        <f aca="false">Sens!$L$5986</f>
        <v>207.768718060808</v>
      </c>
      <c r="M6010" s="38" t="n">
        <f aca="false">Sens!$M$5986</f>
        <v>224.003934647752</v>
      </c>
    </row>
    <row r="6011" customFormat="false" ht="15" hidden="false" customHeight="false" outlineLevel="0" collapsed="false">
      <c r="A6011" s="5" t="s">
        <v>779</v>
      </c>
      <c r="B6011" s="0" t="s">
        <v>86</v>
      </c>
      <c r="C6011" s="38" t="n">
        <f aca="false">Q!$D$48</f>
        <v>22.011</v>
      </c>
      <c r="D6011" s="38" t="n">
        <f aca="false">Q!$E$48</f>
        <v>19.467</v>
      </c>
      <c r="E6011" s="38" t="n">
        <f aca="false">Q!$P$48</f>
        <v>10.07</v>
      </c>
      <c r="F6011" s="38" t="n">
        <f aca="false">sbc_r*Sens!$F$5928</f>
        <v>10.8507035798037</v>
      </c>
      <c r="G6011" s="38" t="n">
        <f aca="false">Sens!$E$6011+Sens!$F$6011</f>
        <v>20.9207035798037</v>
      </c>
      <c r="H6011" s="38" t="n">
        <f aca="false">sbc_r*Sens!$H$5928</f>
        <v>23.46224366345</v>
      </c>
      <c r="I6011" s="38" t="n">
        <f aca="false">sbc_r*Sens!$I$5928</f>
        <v>26.6125957111676</v>
      </c>
      <c r="J6011" s="38" t="n">
        <f aca="false">sbc_r*Sens!$J$5928</f>
        <v>29.6280801413323</v>
      </c>
      <c r="K6011" s="38" t="n">
        <f aca="false">sbc_r*Sens!$K$5928</f>
        <v>32.2712258901105</v>
      </c>
      <c r="L6011" s="38" t="n">
        <f aca="false">sbc_r*Sens!$L$5928</f>
        <v>34.7390505016737</v>
      </c>
      <c r="M6011" s="38" t="n">
        <f aca="false">sbc_r*Sens!$M$5928</f>
        <v>37.0405146906692</v>
      </c>
    </row>
    <row r="6012" customFormat="false" ht="17.15" hidden="false" customHeight="false" outlineLevel="0" collapsed="false">
      <c r="A6012" s="5" t="s">
        <v>780</v>
      </c>
      <c r="B6012" s="0" t="s">
        <v>86</v>
      </c>
      <c r="C6012" s="38" t="n">
        <f aca="false">Q!$D$44-Sens!$C$6009-Sens!$C$6010-Sens!$C$6011</f>
        <v>2.551</v>
      </c>
      <c r="D6012" s="38" t="n">
        <f aca="false">Q!$E$44-Sens!$D$6009-Sens!$D$6010-Sens!$D$6011</f>
        <v>0.51700000000001</v>
      </c>
      <c r="E6012" s="38" t="n">
        <f aca="false">Q!$P$44-Sens!$E$6009-Sens!$E$6010-Sens!$E$6011</f>
        <v>-58.256</v>
      </c>
      <c r="F6012" s="38" t="n">
        <f aca="false">oth_r*Sens!$F$5928</f>
        <v>5.22265251035878</v>
      </c>
      <c r="G6012" s="38" t="n">
        <f aca="false">Sens!$E$6012+Sens!$F$6012</f>
        <v>-53.0333474896412</v>
      </c>
      <c r="H6012" s="38" t="n">
        <f aca="false">oth_r*Sens!$H$5928</f>
        <v>11.2928295263397</v>
      </c>
      <c r="I6012" s="38" t="n">
        <f aca="false">oth_r*Sens!$I$5928</f>
        <v>12.8091546115766</v>
      </c>
      <c r="J6012" s="38" t="n">
        <f aca="false">oth_r*Sens!$J$5928</f>
        <v>14.2605653162668</v>
      </c>
      <c r="K6012" s="38" t="n">
        <f aca="false">oth_r*Sens!$K$5928</f>
        <v>15.5327622460396</v>
      </c>
      <c r="L6012" s="38" t="n">
        <f aca="false">oth_r*Sens!$L$5928</f>
        <v>16.720573737517</v>
      </c>
      <c r="M6012" s="38" t="n">
        <f aca="false">oth_r*Sens!$M$5928</f>
        <v>17.8283127551536</v>
      </c>
      <c r="P6012" s="8" t="s">
        <v>781</v>
      </c>
    </row>
    <row r="6013" customFormat="false" ht="15" hidden="false" customHeight="false" outlineLevel="0" collapsed="false">
      <c r="A6013" s="3" t="s">
        <v>552</v>
      </c>
      <c r="B6013" s="8" t="s">
        <v>86</v>
      </c>
      <c r="C6013" s="38" t="n">
        <f aca="false">Q!$D$44</f>
        <v>115.877</v>
      </c>
      <c r="D6013" s="38" t="n">
        <f aca="false">Q!$E$44</f>
        <v>139.514</v>
      </c>
      <c r="E6013" s="38" t="n">
        <f aca="false">Q!$P$44</f>
        <v>71.419</v>
      </c>
      <c r="F6013" s="38" t="n">
        <f aca="false">Sens!$F$6009+Sens!$F$6010+Sens!$F$6011+Sens!$F$6012</f>
        <v>91.3381665166794</v>
      </c>
      <c r="G6013" s="38" t="n">
        <f aca="false">Sens!$E$6013+Sens!$F$6013</f>
        <v>162.757166516679</v>
      </c>
      <c r="H6013" s="38" t="n">
        <f aca="false">Sens!$H$6009+Sens!$H$6010+Sens!$H$6011+Sens!$H$6012</f>
        <v>220.979815191397</v>
      </c>
      <c r="I6013" s="38" t="n">
        <f aca="false">Sens!$I$6009+Sens!$I$6010+Sens!$I$6011+Sens!$I$6012</f>
        <v>273.036677420583</v>
      </c>
      <c r="J6013" s="38" t="n">
        <f aca="false">Sens!$J$6009+Sens!$J$6010+Sens!$J$6011+Sens!$J$6012</f>
        <v>325.671004053649</v>
      </c>
      <c r="K6013" s="38" t="n">
        <f aca="false">Sens!$K$6009+Sens!$K$6010+Sens!$K$6011+Sens!$K$6012</f>
        <v>374.009058715629</v>
      </c>
      <c r="L6013" s="38" t="n">
        <f aca="false">Sens!$L$6009+Sens!$L$6010+Sens!$L$6011+Sens!$L$6012</f>
        <v>416.124137499919</v>
      </c>
      <c r="M6013" s="38" t="n">
        <f aca="false">Sens!$M$6009+Sens!$M$6010+Sens!$M$6011+Sens!$M$6012</f>
        <v>452.557838889952</v>
      </c>
    </row>
    <row r="6014" customFormat="false" ht="17.15" hidden="false" customHeight="false" outlineLevel="0" collapsed="false">
      <c r="A6014" s="5" t="s">
        <v>782</v>
      </c>
      <c r="B6014" s="0" t="s">
        <v>86</v>
      </c>
      <c r="C6014" s="38" t="n">
        <f aca="false">Sens!$C$5897</f>
        <v>25.2781053077374</v>
      </c>
      <c r="D6014" s="38" t="n">
        <f aca="false">Sens!$D$5897</f>
        <v>69.5686316310026</v>
      </c>
      <c r="E6014" s="38" t="n">
        <f aca="false">Sens!$E$5897</f>
        <v>64.1899206485108</v>
      </c>
      <c r="F6014" s="38" t="n">
        <f aca="false">Sens!$F$5897</f>
        <v>96.2481299895</v>
      </c>
      <c r="G6014" s="38" t="n">
        <f aca="false">Sens!$G$5897</f>
        <v>160.438050638011</v>
      </c>
      <c r="H6014" s="38" t="n">
        <f aca="false">Sens!$H$5897</f>
        <v>198.57136494475</v>
      </c>
      <c r="I6014" s="38" t="n">
        <f aca="false">Sens!$I$5897</f>
        <v>204.6464699105</v>
      </c>
      <c r="J6014" s="38" t="n">
        <f aca="false">Sens!$J$5897</f>
        <v>209.8832381105</v>
      </c>
      <c r="K6014" s="38" t="n">
        <f aca="false">Sens!$K$5897</f>
        <v>155.238385275201</v>
      </c>
      <c r="L6014" s="38" t="n">
        <f aca="false">Sens!$L$5897</f>
        <v>132.014141639902</v>
      </c>
      <c r="M6014" s="38" t="n">
        <f aca="false">Sens!$M$5897</f>
        <v>132.230981659852</v>
      </c>
    </row>
    <row r="6015" customFormat="false" ht="17.15" hidden="false" customHeight="false" outlineLevel="0" collapsed="false">
      <c r="A6015" s="5" t="s">
        <v>783</v>
      </c>
      <c r="B6015" s="0" t="s">
        <v>86</v>
      </c>
      <c r="C6015" s="38" t="n">
        <f aca="false">cx_awso*Sens!$C$5926</f>
        <v>21.0469989286053</v>
      </c>
      <c r="D6015" s="38" t="n">
        <f aca="false">cx_awso*Sens!$D$5926</f>
        <v>24.0042459822698</v>
      </c>
      <c r="E6015" s="38" t="n">
        <f aca="false">cx_awso*Sens!$E$5926</f>
        <v>14.261729404886</v>
      </c>
      <c r="F6015" s="38" t="n">
        <f aca="false">cx_awso*Sens!$F$5926</f>
        <v>14.3538599588493</v>
      </c>
      <c r="G6015" s="38" t="n">
        <f aca="false">Sens!$E$6015+Sens!$F$6015</f>
        <v>28.6155893637353</v>
      </c>
      <c r="H6015" s="38" t="n">
        <f aca="false">cx_awso*Sens!$H$5926</f>
        <v>32.2034154158406</v>
      </c>
      <c r="I6015" s="38" t="n">
        <f aca="false">cx_awso*Sens!$I$5926</f>
        <v>35.7539519042915</v>
      </c>
      <c r="J6015" s="38" t="n">
        <f aca="false">cx_awso*Sens!$J$5926</f>
        <v>39.1551076091815</v>
      </c>
      <c r="K6015" s="38" t="n">
        <f aca="false">cx_awso*Sens!$K$5926</f>
        <v>42.287516217916</v>
      </c>
      <c r="L6015" s="38" t="n">
        <f aca="false">cx_awso*Sens!$L$5926</f>
        <v>45.6705175153492</v>
      </c>
      <c r="M6015" s="38" t="n">
        <f aca="false">cx_awso*Sens!$M$5926</f>
        <v>49.3241589165772</v>
      </c>
    </row>
    <row r="6016" customFormat="false" ht="17.15" hidden="false" customHeight="false" outlineLevel="0" collapsed="false">
      <c r="A6016" s="5" t="s">
        <v>784</v>
      </c>
      <c r="B6016" s="0" t="s">
        <v>86</v>
      </c>
      <c r="C6016" s="38" t="n">
        <f aca="false">Q!$D$46-Sens!$C$6014-Sens!$C$6015</f>
        <v>31.3328957636573</v>
      </c>
      <c r="D6016" s="38" t="n">
        <f aca="false">Q!$E$46-Sens!$D$6014-Sens!$D$6015</f>
        <v>34.7471223867276</v>
      </c>
      <c r="E6016" s="38" t="n">
        <f aca="false">Q!$P$46-Sens!$E$6014-Sens!$E$6015</f>
        <v>17.8583499466032</v>
      </c>
      <c r="F6016" s="38" t="n">
        <f aca="false">cx_rt*Sens!$F$5860</f>
        <v>20.6195895799373</v>
      </c>
      <c r="G6016" s="38" t="n">
        <f aca="false">Sens!$E$6016+Sens!$F$6016</f>
        <v>38.4779395265405</v>
      </c>
      <c r="H6016" s="38" t="n">
        <f aca="false">cx_rt*Sens!$H$5860</f>
        <v>42.5978994743075</v>
      </c>
      <c r="I6016" s="38" t="n">
        <f aca="false">cx_rt*Sens!$I$5860</f>
        <v>46.5813904136335</v>
      </c>
      <c r="J6016" s="38" t="n">
        <f aca="false">cx_rt*Sens!$J$5860</f>
        <v>50.2781676586844</v>
      </c>
      <c r="K6016" s="38" t="n">
        <f aca="false">cx_rt*Sens!$K$5860</f>
        <v>53.5312440191755</v>
      </c>
      <c r="L6016" s="38" t="n">
        <f aca="false">cx_rt*Sens!$L$5860</f>
        <v>57.0116717051447</v>
      </c>
      <c r="M6016" s="38" t="n">
        <f aca="false">cx_rt*Sens!$M$5860</f>
        <v>60.7365554669226</v>
      </c>
    </row>
    <row r="6017" customFormat="false" ht="15" hidden="false" customHeight="false" outlineLevel="0" collapsed="false">
      <c r="A6017" s="3" t="s">
        <v>785</v>
      </c>
      <c r="B6017" s="8" t="s">
        <v>86</v>
      </c>
      <c r="C6017" s="38" t="n">
        <f aca="false">Q!$D$46</f>
        <v>77.658</v>
      </c>
      <c r="D6017" s="38" t="n">
        <f aca="false">Q!$E$46</f>
        <v>128.32</v>
      </c>
      <c r="E6017" s="38" t="n">
        <f aca="false">Q!$P$46</f>
        <v>96.31</v>
      </c>
      <c r="F6017" s="38" t="n">
        <f aca="false">Sens!$F$6014+Sens!$F$6015+Sens!$F$6016</f>
        <v>131.221579528287</v>
      </c>
      <c r="G6017" s="38" t="n">
        <f aca="false">Sens!$E$6017+Sens!$F$6017</f>
        <v>227.531579528287</v>
      </c>
      <c r="H6017" s="38" t="n">
        <f aca="false">Sens!$H$6014+Sens!$H$6015+Sens!$H$6016</f>
        <v>273.372679834898</v>
      </c>
      <c r="I6017" s="38" t="n">
        <f aca="false">Sens!$I$6014+Sens!$I$6015+Sens!$I$6016</f>
        <v>286.981812228425</v>
      </c>
      <c r="J6017" s="38" t="n">
        <f aca="false">Sens!$J$6014+Sens!$J$6015+Sens!$J$6016</f>
        <v>299.316513378366</v>
      </c>
      <c r="K6017" s="38" t="n">
        <f aca="false">Sens!$K$6014+Sens!$K$6015+Sens!$K$6016</f>
        <v>251.057145512292</v>
      </c>
      <c r="L6017" s="38" t="n">
        <f aca="false">Sens!$L$6014+Sens!$L$6015+Sens!$L$6016</f>
        <v>234.696330860396</v>
      </c>
      <c r="M6017" s="38" t="n">
        <f aca="false">Sens!$M$6014+Sens!$M$6015+Sens!$M$6016</f>
        <v>242.291696043352</v>
      </c>
    </row>
    <row r="6018" customFormat="false" ht="17.15" hidden="false" customHeight="false" outlineLevel="0" collapsed="false">
      <c r="A6018" s="5" t="s">
        <v>560</v>
      </c>
      <c r="B6018" s="0" t="s">
        <v>86</v>
      </c>
      <c r="C6018" s="38" t="n">
        <f aca="false">Q!$D$50</f>
        <v>2.043</v>
      </c>
      <c r="D6018" s="38" t="n">
        <f aca="false">Q!$E$50</f>
        <v>1.557</v>
      </c>
      <c r="E6018" s="38" t="n">
        <f aca="false">lease_pr/2</f>
        <v>0.8</v>
      </c>
      <c r="F6018" s="38" t="n">
        <f aca="false">lease_pr/2</f>
        <v>0.8</v>
      </c>
      <c r="G6018" s="38" t="n">
        <f aca="false">Sens!$E$6018+Sens!$F$6018</f>
        <v>1.6</v>
      </c>
      <c r="H6018" s="38" t="n">
        <f aca="false">lease_pr</f>
        <v>1.6</v>
      </c>
      <c r="I6018" s="38" t="n">
        <f aca="false">lease_pr</f>
        <v>1.6</v>
      </c>
      <c r="J6018" s="38" t="n">
        <f aca="false">lease_pr</f>
        <v>1.6</v>
      </c>
      <c r="K6018" s="38" t="n">
        <f aca="false">lease_pr</f>
        <v>1.6</v>
      </c>
      <c r="L6018" s="38" t="n">
        <f aca="false">lease_pr</f>
        <v>1.6</v>
      </c>
      <c r="M6018" s="38" t="n">
        <f aca="false">lease_pr</f>
        <v>1.6</v>
      </c>
      <c r="P6018" s="8" t="s">
        <v>786</v>
      </c>
    </row>
    <row r="6019" customFormat="false" ht="15" hidden="false" customHeight="false" outlineLevel="0" collapsed="false">
      <c r="A6019" s="47" t="s">
        <v>787</v>
      </c>
      <c r="B6019" s="14" t="s">
        <v>86</v>
      </c>
      <c r="C6019" s="48" t="n">
        <f aca="false">Sens!$C$6013-Sens!$C$6017-Sens!$C$6018</f>
        <v>36.176</v>
      </c>
      <c r="D6019" s="48" t="n">
        <f aca="false">Sens!$D$6013-Sens!$D$6017-Sens!$D$6018</f>
        <v>9.63700000000002</v>
      </c>
      <c r="E6019" s="48" t="n">
        <f aca="false">Sens!$E$6013-Sens!$E$6017-Sens!$E$6018</f>
        <v>-25.691</v>
      </c>
      <c r="F6019" s="48" t="n">
        <f aca="false">Sens!$F$6013-Sens!$F$6017-Sens!$F$6018</f>
        <v>-40.6834130116072</v>
      </c>
      <c r="G6019" s="48" t="n">
        <f aca="false">Sens!$G$6013-Sens!$G$6017-Sens!$G$6018</f>
        <v>-66.3744130116072</v>
      </c>
      <c r="H6019" s="48" t="n">
        <f aca="false">Sens!$H$6013-Sens!$H$6017-Sens!$H$6018</f>
        <v>-53.9928646435014</v>
      </c>
      <c r="I6019" s="48" t="n">
        <f aca="false">Sens!$I$6013-Sens!$I$6017-Sens!$I$6018</f>
        <v>-15.5451348078424</v>
      </c>
      <c r="J6019" s="48" t="n">
        <f aca="false">Sens!$J$6013-Sens!$J$6017-Sens!$J$6018</f>
        <v>24.754490675283</v>
      </c>
      <c r="K6019" s="48" t="n">
        <f aca="false">Sens!$K$6013-Sens!$K$6017-Sens!$K$6018</f>
        <v>121.351913203336</v>
      </c>
      <c r="L6019" s="48" t="n">
        <f aca="false">Sens!$L$6013-Sens!$L$6017-Sens!$L$6018</f>
        <v>179.827806639524</v>
      </c>
      <c r="M6019" s="48" t="n">
        <f aca="false">Sens!$M$6013-Sens!$M$6017-Sens!$M$6018</f>
        <v>208.6661428466</v>
      </c>
      <c r="N6019" s="14"/>
      <c r="O6019" s="14"/>
    </row>
    <row r="6020" customFormat="false" ht="17.15" hidden="false" customHeight="false" outlineLevel="0" collapsed="false">
      <c r="A6020" s="5" t="s">
        <v>788</v>
      </c>
      <c r="B6020" s="0" t="s">
        <v>86</v>
      </c>
      <c r="C6020" s="38" t="n">
        <f aca="false">dps*Sens!$C$5999</f>
        <v>0</v>
      </c>
      <c r="D6020" s="38" t="n">
        <f aca="false">dps*Sens!$D$5999</f>
        <v>0</v>
      </c>
      <c r="E6020" s="38" t="n">
        <f aca="false">dps*Sens!$E$5999</f>
        <v>0</v>
      </c>
      <c r="F6020" s="38" t="n">
        <f aca="false">0</f>
        <v>0</v>
      </c>
      <c r="G6020" s="38" t="n">
        <f aca="false">dps*Sens!$G$5999</f>
        <v>0</v>
      </c>
      <c r="H6020" s="38" t="n">
        <f aca="false">dps*Sens!$H$5999</f>
        <v>0</v>
      </c>
      <c r="I6020" s="38" t="n">
        <f aca="false">dps*Sens!$I$5999</f>
        <v>0</v>
      </c>
      <c r="J6020" s="38" t="n">
        <f aca="false">dps*Sens!$J$5999</f>
        <v>0</v>
      </c>
      <c r="K6020" s="38" t="n">
        <f aca="false">dps*Sens!$K$5999</f>
        <v>0</v>
      </c>
      <c r="L6020" s="38" t="n">
        <f aca="false">dps*Sens!$L$5999</f>
        <v>0</v>
      </c>
      <c r="M6020" s="38" t="n">
        <f aca="false">dps*Sens!$M$5999</f>
        <v>0</v>
      </c>
      <c r="P6020" s="8" t="s">
        <v>789</v>
      </c>
    </row>
    <row r="6021" customFormat="false" ht="17.15" hidden="false" customHeight="false" outlineLevel="0" collapsed="false">
      <c r="A6021" s="5" t="s">
        <v>790</v>
      </c>
      <c r="B6021" s="0" t="s">
        <v>86</v>
      </c>
      <c r="C6021" s="38" t="n">
        <f aca="false">0</f>
        <v>0</v>
      </c>
      <c r="D6021" s="38" t="n">
        <f aca="false">0</f>
        <v>0</v>
      </c>
      <c r="E6021" s="38" t="n">
        <f aca="false">0</f>
        <v>0</v>
      </c>
      <c r="F6021" s="38" t="n">
        <f aca="false">0</f>
        <v>0</v>
      </c>
      <c r="G6021" s="38" t="n">
        <f aca="false">0</f>
        <v>0</v>
      </c>
      <c r="H6021" s="38" t="n">
        <f aca="false">0</f>
        <v>0</v>
      </c>
      <c r="I6021" s="38" t="n">
        <f aca="false">0</f>
        <v>0</v>
      </c>
      <c r="J6021" s="38" t="n">
        <f aca="false">0</f>
        <v>0</v>
      </c>
      <c r="K6021" s="38" t="n">
        <f aca="false">0</f>
        <v>0</v>
      </c>
      <c r="L6021" s="38" t="n">
        <f aca="false">0</f>
        <v>0</v>
      </c>
      <c r="M6021" s="38" t="n">
        <f aca="false">0</f>
        <v>0</v>
      </c>
      <c r="P6021" s="8" t="s">
        <v>791</v>
      </c>
    </row>
    <row r="6022" customFormat="false" ht="15" hidden="false" customHeight="false" outlineLevel="0" collapsed="false">
      <c r="A6022" s="3" t="s">
        <v>792</v>
      </c>
      <c r="B6022" s="8" t="s">
        <v>86</v>
      </c>
      <c r="C6022" s="38" t="n">
        <f aca="false">Sens!$C$6019-Sens!$C$6020</f>
        <v>36.176</v>
      </c>
      <c r="D6022" s="38" t="n">
        <f aca="false">Sens!$D$6019-Sens!$D$6020</f>
        <v>9.63700000000002</v>
      </c>
      <c r="E6022" s="38" t="n">
        <f aca="false">Sens!$E$6019-Sens!$E$6020</f>
        <v>-25.691</v>
      </c>
      <c r="F6022" s="38" t="n">
        <f aca="false">Sens!$F$6019-Sens!$F$6020</f>
        <v>-40.6834130116072</v>
      </c>
      <c r="G6022" s="38" t="n">
        <f aca="false">Sens!$G$6019-Sens!$G$6020</f>
        <v>-66.3744130116072</v>
      </c>
      <c r="H6022" s="38" t="n">
        <f aca="false">Sens!$H$6019-Sens!$H$6020</f>
        <v>-53.9928646435014</v>
      </c>
      <c r="I6022" s="38" t="n">
        <f aca="false">Sens!$I$6019-Sens!$I$6020</f>
        <v>-15.5451348078424</v>
      </c>
      <c r="J6022" s="38" t="n">
        <f aca="false">Sens!$J$6019-Sens!$J$6020</f>
        <v>24.754490675283</v>
      </c>
      <c r="K6022" s="38" t="n">
        <f aca="false">Sens!$K$6019-Sens!$K$6020</f>
        <v>121.351913203336</v>
      </c>
      <c r="L6022" s="38" t="n">
        <f aca="false">Sens!$L$6019-Sens!$L$6020</f>
        <v>179.827806639524</v>
      </c>
      <c r="M6022" s="38" t="n">
        <f aca="false">Sens!$M$6019-Sens!$M$6020</f>
        <v>208.6661428466</v>
      </c>
    </row>
    <row r="6023" customFormat="false" ht="17.15" hidden="false" customHeight="false" outlineLevel="0" collapsed="false">
      <c r="A6023" s="5" t="s">
        <v>793</v>
      </c>
      <c r="B6023" s="0" t="s">
        <v>86</v>
      </c>
      <c r="E6023" s="38" t="n">
        <f aca="false">Q!$P$53</f>
        <v>39.767</v>
      </c>
      <c r="F6023" s="38" t="n">
        <f aca="false">inv_2h26</f>
        <v>21.3</v>
      </c>
      <c r="G6023" s="38" t="n">
        <f aca="false">Sens!$E$6023+Sens!$F$6023</f>
        <v>61.067</v>
      </c>
      <c r="H6023" s="39" t="n">
        <v>0</v>
      </c>
      <c r="I6023" s="39" t="n">
        <v>0</v>
      </c>
      <c r="J6023" s="39" t="n">
        <v>0</v>
      </c>
      <c r="K6023" s="39" t="n">
        <v>0</v>
      </c>
      <c r="L6023" s="39" t="n">
        <v>0</v>
      </c>
      <c r="M6023" s="39" t="n">
        <v>0</v>
      </c>
    </row>
    <row r="6024" customFormat="false" ht="17.15" hidden="false" customHeight="false" outlineLevel="0" collapsed="false">
      <c r="A6024" s="5" t="s">
        <v>794</v>
      </c>
      <c r="B6024" s="0" t="s">
        <v>86</v>
      </c>
      <c r="F6024" s="38" t="n">
        <f aca="false">iss_2h26</f>
        <v>29.249999</v>
      </c>
      <c r="G6024" s="38" t="n">
        <f aca="false">Sens!$F$6024</f>
        <v>29.249999</v>
      </c>
      <c r="H6024" s="39" t="n">
        <v>0</v>
      </c>
      <c r="I6024" s="39" t="n">
        <v>0</v>
      </c>
      <c r="J6024" s="39" t="n">
        <v>0</v>
      </c>
      <c r="K6024" s="39" t="n">
        <v>0</v>
      </c>
      <c r="L6024" s="39" t="n">
        <v>0</v>
      </c>
      <c r="M6024" s="39" t="n">
        <v>0</v>
      </c>
    </row>
    <row r="6025" customFormat="false" ht="17.15" hidden="false" customHeight="false" outlineLevel="0" collapsed="false">
      <c r="A6025" s="5" t="s">
        <v>795</v>
      </c>
      <c r="B6025" s="0" t="s">
        <v>86</v>
      </c>
      <c r="F6025" s="38" t="n">
        <f aca="false">cash_q2</f>
        <v>122.988</v>
      </c>
      <c r="G6025" s="38" t="n">
        <f aca="false">cash_q2</f>
        <v>122.988</v>
      </c>
      <c r="H6025" s="38" t="n">
        <f aca="false">Sens!$G$6028</f>
        <v>90.2545859883928</v>
      </c>
      <c r="I6025" s="38" t="n">
        <f aca="false">Sens!$H$6028</f>
        <v>50</v>
      </c>
      <c r="J6025" s="38" t="n">
        <f aca="false">Sens!$I$6028</f>
        <v>50</v>
      </c>
      <c r="K6025" s="38" t="n">
        <f aca="false">Sens!$J$6028</f>
        <v>74.7544906752831</v>
      </c>
      <c r="L6025" s="38" t="n">
        <f aca="false">Sens!$K$6028</f>
        <v>196.106403878619</v>
      </c>
      <c r="M6025" s="38" t="n">
        <f aca="false">Sens!$L$6028</f>
        <v>375.934210518143</v>
      </c>
    </row>
    <row r="6026" customFormat="false" ht="15" hidden="false" customHeight="false" outlineLevel="0" collapsed="false">
      <c r="A6026" s="5" t="s">
        <v>796</v>
      </c>
      <c r="B6026" s="0" t="s">
        <v>86</v>
      </c>
      <c r="F6026" s="38" t="n">
        <f aca="false">Sens!$F$6025+Sens!$F$6022-Sens!$F$6021-Sens!$F$6023+Sens!$F$6024</f>
        <v>90.2545859883928</v>
      </c>
      <c r="H6026" s="38" t="n">
        <f aca="false">Sens!$H$6025+Sens!$H$6022-Sens!$H$6021-Sens!$H$6023+Sens!$H$6024</f>
        <v>36.2617213448915</v>
      </c>
      <c r="I6026" s="38" t="n">
        <f aca="false">Sens!$I$6025+Sens!$I$6022-Sens!$I$6021-Sens!$I$6023+Sens!$I$6024</f>
        <v>34.4548651921577</v>
      </c>
      <c r="J6026" s="38" t="n">
        <f aca="false">Sens!$J$6025+Sens!$J$6022-Sens!$J$6021-Sens!$J$6023+Sens!$J$6024</f>
        <v>74.7544906752831</v>
      </c>
      <c r="K6026" s="38" t="n">
        <f aca="false">Sens!$K$6025+Sens!$K$6022-Sens!$K$6021-Sens!$K$6023+Sens!$K$6024</f>
        <v>196.106403878619</v>
      </c>
      <c r="L6026" s="38" t="n">
        <f aca="false">Sens!$L$6025+Sens!$L$6022-Sens!$L$6021-Sens!$L$6023+Sens!$L$6024</f>
        <v>375.934210518143</v>
      </c>
      <c r="M6026" s="38" t="n">
        <f aca="false">Sens!$M$6025+Sens!$M$6022-Sens!$M$6021-Sens!$M$6023+Sens!$M$6024</f>
        <v>584.600353364743</v>
      </c>
    </row>
    <row r="6027" customFormat="false" ht="17.15" hidden="false" customHeight="false" outlineLevel="0" collapsed="false">
      <c r="A6027" s="5" t="s">
        <v>797</v>
      </c>
      <c r="B6027" s="0" t="s">
        <v>86</v>
      </c>
      <c r="F6027" s="38" t="n">
        <f aca="false">MAX(0,min_cash-Sens!$F$6026)</f>
        <v>0</v>
      </c>
      <c r="G6027" s="38" t="n">
        <f aca="false">Sens!$F$6027</f>
        <v>0</v>
      </c>
      <c r="H6027" s="38" t="n">
        <f aca="false">MAX(0,min_cash-Sens!$H$6026)</f>
        <v>13.7382786551085</v>
      </c>
      <c r="I6027" s="38" t="n">
        <f aca="false">MAX(0,min_cash-Sens!$I$6026)</f>
        <v>15.5451348078424</v>
      </c>
      <c r="J6027" s="38" t="n">
        <f aca="false">MAX(0,min_cash-Sens!$J$6026)</f>
        <v>0</v>
      </c>
      <c r="K6027" s="38" t="n">
        <f aca="false">MAX(0,min_cash-Sens!$K$6026)</f>
        <v>0</v>
      </c>
      <c r="L6027" s="38" t="n">
        <f aca="false">MAX(0,min_cash-Sens!$L$6026)</f>
        <v>0</v>
      </c>
      <c r="M6027" s="38" t="n">
        <f aca="false">MAX(0,min_cash-Sens!$M$6026)</f>
        <v>0</v>
      </c>
      <c r="P6027" s="5" t="s">
        <v>798</v>
      </c>
    </row>
    <row r="6028" customFormat="false" ht="15" hidden="false" customHeight="false" outlineLevel="0" collapsed="false">
      <c r="A6028" s="5" t="s">
        <v>799</v>
      </c>
      <c r="B6028" s="0" t="s">
        <v>86</v>
      </c>
      <c r="D6028" s="38" t="n">
        <f aca="false">Q!$E$61</f>
        <v>123.029</v>
      </c>
      <c r="E6028" s="38" t="n">
        <f aca="false">Q!$M$61</f>
        <v>122.988</v>
      </c>
      <c r="F6028" s="38" t="n">
        <f aca="false">Sens!$F$6026+Sens!$F$6027</f>
        <v>90.2545859883928</v>
      </c>
      <c r="G6028" s="38" t="n">
        <f aca="false">Sens!$F$6028</f>
        <v>90.2545859883928</v>
      </c>
      <c r="H6028" s="38" t="n">
        <f aca="false">Sens!$H$6026+Sens!$H$6027</f>
        <v>50</v>
      </c>
      <c r="I6028" s="38" t="n">
        <f aca="false">Sens!$I$6026+Sens!$I$6027</f>
        <v>50</v>
      </c>
      <c r="J6028" s="38" t="n">
        <f aca="false">Sens!$J$6026+Sens!$J$6027</f>
        <v>74.7544906752831</v>
      </c>
      <c r="K6028" s="38" t="n">
        <f aca="false">Sens!$K$6026+Sens!$K$6027</f>
        <v>196.106403878619</v>
      </c>
      <c r="L6028" s="38" t="n">
        <f aca="false">Sens!$L$6026+Sens!$L$6027</f>
        <v>375.934210518143</v>
      </c>
      <c r="M6028" s="38" t="n">
        <f aca="false">Sens!$M$6026+Sens!$M$6027</f>
        <v>584.600353364743</v>
      </c>
    </row>
    <row r="6029" customFormat="false" ht="15" hidden="false" customHeight="false" outlineLevel="0" collapsed="false">
      <c r="A6029" s="5" t="s">
        <v>800</v>
      </c>
      <c r="B6029" s="0" t="s">
        <v>86</v>
      </c>
      <c r="D6029" s="38" t="n">
        <f aca="false">Q!$E$62</f>
        <v>68.836</v>
      </c>
      <c r="E6029" s="38" t="n">
        <f aca="false">Q!$M$62</f>
        <v>132.995</v>
      </c>
      <c r="F6029" s="38" t="n">
        <f aca="false">debt_q2+Sens!$F$6024+Sens!$F$6027</f>
        <v>162.244999</v>
      </c>
      <c r="G6029" s="38" t="n">
        <f aca="false">Sens!$F$6029</f>
        <v>162.244999</v>
      </c>
      <c r="H6029" s="38" t="n">
        <f aca="false">Sens!$G$6029+Sens!$H$6027</f>
        <v>175.983277655109</v>
      </c>
      <c r="I6029" s="38" t="n">
        <f aca="false">Sens!$H$6029+Sens!$I$6027</f>
        <v>191.528412462951</v>
      </c>
      <c r="J6029" s="38" t="n">
        <f aca="false">Sens!$I$6029+Sens!$J$6027</f>
        <v>191.528412462951</v>
      </c>
      <c r="K6029" s="38" t="n">
        <f aca="false">Sens!$J$6029+Sens!$K$6027</f>
        <v>191.528412462951</v>
      </c>
      <c r="L6029" s="38" t="n">
        <f aca="false">Sens!$K$6029+Sens!$L$6027</f>
        <v>191.528412462951</v>
      </c>
      <c r="M6029" s="38" t="n">
        <f aca="false">Sens!$L$6029+Sens!$M$6027</f>
        <v>191.528412462951</v>
      </c>
    </row>
    <row r="6030" customFormat="false" ht="15" hidden="false" customHeight="false" outlineLevel="0" collapsed="false">
      <c r="A6030" s="5" t="s">
        <v>801</v>
      </c>
      <c r="B6030" s="0" t="s">
        <v>86</v>
      </c>
      <c r="D6030" s="38" t="n">
        <f aca="false">Sens!$D$6029-Sens!$D$6028</f>
        <v>-54.193</v>
      </c>
      <c r="E6030" s="38" t="n">
        <f aca="false">Sens!$E$6029-Sens!$E$6028</f>
        <v>10.007</v>
      </c>
      <c r="F6030" s="38" t="n">
        <f aca="false">Sens!$F$6029-Sens!$F$6028</f>
        <v>71.9904130116072</v>
      </c>
      <c r="G6030" s="38" t="n">
        <f aca="false">Sens!$G$6029-Sens!$G$6028</f>
        <v>71.9904130116072</v>
      </c>
      <c r="H6030" s="38" t="n">
        <f aca="false">Sens!$H$6029-Sens!$H$6028</f>
        <v>125.983277655109</v>
      </c>
      <c r="I6030" s="38" t="n">
        <f aca="false">Sens!$I$6029-Sens!$I$6028</f>
        <v>141.528412462951</v>
      </c>
      <c r="J6030" s="38" t="n">
        <f aca="false">Sens!$J$6029-Sens!$J$6028</f>
        <v>116.773921787668</v>
      </c>
      <c r="K6030" s="38" t="n">
        <f aca="false">Sens!$K$6029-Sens!$K$6028</f>
        <v>-4.57799141566841</v>
      </c>
      <c r="L6030" s="38" t="n">
        <f aca="false">Sens!$L$6029-Sens!$L$6028</f>
        <v>-184.405798055192</v>
      </c>
      <c r="M6030" s="38" t="n">
        <f aca="false">Sens!$M$6029-Sens!$M$6028</f>
        <v>-393.071940901792</v>
      </c>
    </row>
    <row r="6031" customFormat="false" ht="17.15" hidden="false" customHeight="false" outlineLevel="0" collapsed="false">
      <c r="A6031" s="5" t="s">
        <v>802</v>
      </c>
      <c r="B6031" s="0" t="s">
        <v>86</v>
      </c>
      <c r="F6031" s="38" t="n">
        <f aca="false">debt_q2*kd_book*0.5+iss_2h26*kd_new*iss_t</f>
        <v>3.24888962733561</v>
      </c>
      <c r="H6031" s="38" t="n">
        <f aca="false">debt_q2*kd_book+(Sens!$G$6029-debt_q2)*kd_new</f>
        <v>7.42354172302123</v>
      </c>
      <c r="I6031" s="38" t="n">
        <f aca="false">debt_q2*kd_book+(Sens!$H$6029-debt_q2)*kd_new</f>
        <v>8.2931747618896</v>
      </c>
      <c r="J6031" s="38" t="n">
        <f aca="false">debt_q2*kd_book+(Sens!$I$6029-debt_q2)*kd_new</f>
        <v>9.27718179522602</v>
      </c>
      <c r="K6031" s="38" t="n">
        <f aca="false">debt_q2*kd_book+(Sens!$J$6029-debt_q2)*kd_new</f>
        <v>9.27718179522602</v>
      </c>
      <c r="L6031" s="38" t="n">
        <f aca="false">debt_q2*kd_book+(Sens!$K$6029-debt_q2)*kd_new</f>
        <v>9.27718179522602</v>
      </c>
      <c r="M6031" s="38" t="n">
        <f aca="false">debt_q2*kd_book+(Sens!$L$6029-debt_q2)*kd_new</f>
        <v>9.27718179522602</v>
      </c>
    </row>
    <row r="6032" customFormat="false" ht="17.15" hidden="false" customHeight="false" outlineLevel="0" collapsed="false">
      <c r="A6032" s="5" t="s">
        <v>803</v>
      </c>
      <c r="B6032" s="0" t="s">
        <v>86</v>
      </c>
      <c r="F6032" s="38" t="n">
        <f aca="false">cash_q2*y_cash*0.5</f>
        <v>2.59</v>
      </c>
      <c r="H6032" s="38" t="n">
        <f aca="false">Sens!$G$6028*y_cash</f>
        <v>3.80133635330174</v>
      </c>
      <c r="I6032" s="38" t="n">
        <f aca="false">Sens!$H$6028*y_cash</f>
        <v>2.10589651022864</v>
      </c>
      <c r="J6032" s="38" t="n">
        <f aca="false">Sens!$I$6028*y_cash</f>
        <v>2.10589651022864</v>
      </c>
      <c r="K6032" s="38" t="n">
        <f aca="false">Sens!$J$6028*y_cash</f>
        <v>3.14850442073996</v>
      </c>
      <c r="L6032" s="38" t="n">
        <f aca="false">Sens!$K$6028*y_cash</f>
        <v>8.25959583122945</v>
      </c>
      <c r="M6032" s="38" t="n">
        <f aca="false">Sens!$L$6028*y_cash</f>
        <v>15.8335708401143</v>
      </c>
    </row>
    <row r="6033" customFormat="false" ht="17.15" hidden="false" customHeight="false" outlineLevel="0" collapsed="false">
      <c r="A6033" s="47" t="s">
        <v>804</v>
      </c>
      <c r="B6033" s="14" t="s">
        <v>86</v>
      </c>
      <c r="C6033" s="14"/>
      <c r="D6033" s="14"/>
      <c r="E6033" s="14"/>
      <c r="F6033" s="14"/>
      <c r="G6033" s="48" t="n">
        <f aca="false">SUM(Sens!$G$6022:$K$6022)</f>
        <v>10.1939914156684</v>
      </c>
      <c r="H6033" s="14"/>
      <c r="I6033" s="14"/>
      <c r="J6033" s="14"/>
      <c r="K6033" s="14"/>
      <c r="L6033" s="14"/>
      <c r="M6033" s="14"/>
      <c r="N6033" s="14"/>
      <c r="O6033" s="14"/>
    </row>
    <row r="6034" customFormat="false" ht="17.15" hidden="false" customHeight="false" outlineLevel="0" collapsed="false">
      <c r="A6034" s="0" t="s">
        <v>770</v>
      </c>
      <c r="B6034" s="0" t="s">
        <v>86</v>
      </c>
      <c r="G6034" s="38" t="n">
        <f aca="false">SUM(Sens!$G$6027:$K$6027)</f>
        <v>29.2834134629509</v>
      </c>
    </row>
    <row r="6035" customFormat="false" ht="17.15" hidden="false" customHeight="false" outlineLevel="0" collapsed="false">
      <c r="A6035" s="24" t="s">
        <v>807</v>
      </c>
      <c r="B6035" s="25" t="s">
        <v>86</v>
      </c>
      <c r="C6035" s="25"/>
      <c r="D6035" s="25"/>
      <c r="E6035" s="25"/>
      <c r="F6035" s="25"/>
      <c r="G6035" s="41" t="n">
        <f aca="false">Sens!$G$6033-(Sens!$G$6022+Sens!$H$6022+Sens!$I$6022+Sens!$J$6022+Sens!$K$6022)</f>
        <v>0</v>
      </c>
      <c r="H6035" s="25"/>
      <c r="I6035" s="25"/>
      <c r="J6035" s="25"/>
      <c r="K6035" s="25"/>
      <c r="L6035" s="25"/>
      <c r="M6035" s="25"/>
      <c r="N6035" s="25"/>
      <c r="O6035" s="25"/>
    </row>
    <row r="6038" customFormat="false" ht="19.4" hidden="false" customHeight="false" outlineLevel="0" collapsed="false">
      <c r="A6038" s="31" t="s">
        <v>1251</v>
      </c>
    </row>
    <row r="6039" customFormat="false" ht="17.15" hidden="false" customHeight="false" outlineLevel="0" collapsed="false">
      <c r="A6039" s="6" t="s">
        <v>16</v>
      </c>
      <c r="B6039" s="6" t="s">
        <v>17</v>
      </c>
      <c r="C6039" s="20" t="s">
        <v>494</v>
      </c>
      <c r="D6039" s="20" t="s">
        <v>495</v>
      </c>
      <c r="E6039" s="20" t="s">
        <v>577</v>
      </c>
      <c r="F6039" s="20" t="s">
        <v>578</v>
      </c>
      <c r="G6039" s="20" t="s">
        <v>579</v>
      </c>
      <c r="H6039" s="20" t="s">
        <v>580</v>
      </c>
      <c r="I6039" s="20" t="s">
        <v>581</v>
      </c>
      <c r="J6039" s="20" t="s">
        <v>582</v>
      </c>
      <c r="K6039" s="20" t="s">
        <v>583</v>
      </c>
      <c r="L6039" s="20" t="s">
        <v>584</v>
      </c>
      <c r="M6039" s="20" t="s">
        <v>585</v>
      </c>
      <c r="N6039" s="20" t="s">
        <v>586</v>
      </c>
      <c r="O6039" s="20" t="s">
        <v>587</v>
      </c>
      <c r="P6039" s="6" t="s">
        <v>23</v>
      </c>
      <c r="R6039" s="20" t="n">
        <v>2023</v>
      </c>
      <c r="S6039" s="20" t="n">
        <v>2024</v>
      </c>
      <c r="T6039" s="20" t="n">
        <v>2025</v>
      </c>
      <c r="U6039" s="20" t="n">
        <v>2026</v>
      </c>
      <c r="V6039" s="20" t="n">
        <v>2027</v>
      </c>
      <c r="W6039" s="20" t="n">
        <v>2028</v>
      </c>
      <c r="X6039" s="20" t="n">
        <v>2029</v>
      </c>
      <c r="Y6039" s="20" t="n">
        <v>2030</v>
      </c>
      <c r="Z6039" s="20" t="n">
        <v>2031</v>
      </c>
      <c r="AA6039" s="20" t="n">
        <v>2032</v>
      </c>
    </row>
    <row r="6040" customFormat="false" ht="17.15" hidden="false" customHeight="false" outlineLevel="0" collapsed="false">
      <c r="A6040" s="1" t="s">
        <v>909</v>
      </c>
    </row>
    <row r="6041" customFormat="false" ht="17.15" hidden="false" customHeight="false" outlineLevel="0" collapsed="false">
      <c r="A6041" s="0" t="s">
        <v>910</v>
      </c>
      <c r="B6041" s="0" t="s">
        <v>86</v>
      </c>
      <c r="H6041" s="38" t="n">
        <f aca="false">Sens!$H$5975*(1-tax)</f>
        <v>117.433243423729</v>
      </c>
      <c r="I6041" s="38" t="n">
        <f aca="false">Sens!$I$5975*(1-tax)</f>
        <v>142.829109667048</v>
      </c>
      <c r="J6041" s="38" t="n">
        <f aca="false">Sens!$J$5975*(1-tax)</f>
        <v>166.999275189185</v>
      </c>
      <c r="K6041" s="38" t="n">
        <f aca="false">Sens!$K$5975*(1-tax)</f>
        <v>184.249088119477</v>
      </c>
      <c r="L6041" s="38" t="n">
        <f aca="false">Sens!$L$5975*(1-tax)</f>
        <v>199.752821326616</v>
      </c>
      <c r="M6041" s="38" t="n">
        <f aca="false">Sens!$M$5975*(1-tax)</f>
        <v>212.59629763103</v>
      </c>
    </row>
    <row r="6042" customFormat="false" ht="15" hidden="false" customHeight="false" outlineLevel="0" collapsed="false">
      <c r="A6042" s="5" t="s">
        <v>911</v>
      </c>
      <c r="B6042" s="0" t="s">
        <v>86</v>
      </c>
      <c r="H6042" s="38" t="n">
        <f aca="false">Sens!$H$5986</f>
        <v>84.3163410985152</v>
      </c>
      <c r="I6042" s="38" t="n">
        <f aca="false">Sens!$I$5986</f>
        <v>117.040344991004</v>
      </c>
      <c r="J6042" s="38" t="n">
        <f aca="false">Sens!$J$5986</f>
        <v>150.498981474685</v>
      </c>
      <c r="K6042" s="38" t="n">
        <f aca="false">Sens!$K$5986</f>
        <v>184.188121970284</v>
      </c>
      <c r="L6042" s="38" t="n">
        <f aca="false">Sens!$L$5986</f>
        <v>207.768718060808</v>
      </c>
      <c r="M6042" s="38" t="n">
        <f aca="false">Sens!$M$5986</f>
        <v>224.003934647752</v>
      </c>
    </row>
    <row r="6043" customFormat="false" ht="15" hidden="false" customHeight="false" outlineLevel="0" collapsed="false">
      <c r="A6043" s="5" t="s">
        <v>912</v>
      </c>
      <c r="B6043" s="0" t="s">
        <v>86</v>
      </c>
      <c r="H6043" s="38" t="n">
        <f aca="false">Sens!$H$6017</f>
        <v>273.372679834898</v>
      </c>
      <c r="I6043" s="38" t="n">
        <f aca="false">Sens!$I$6017</f>
        <v>286.981812228425</v>
      </c>
      <c r="J6043" s="38" t="n">
        <f aca="false">Sens!$J$6017</f>
        <v>299.316513378366</v>
      </c>
      <c r="K6043" s="38" t="n">
        <f aca="false">Sens!$K$6017</f>
        <v>251.057145512292</v>
      </c>
      <c r="L6043" s="38" t="n">
        <f aca="false">Sens!$L$6017</f>
        <v>234.696330860396</v>
      </c>
      <c r="M6043" s="38" t="n">
        <f aca="false">Sens!$M$6017</f>
        <v>242.291696043352</v>
      </c>
    </row>
    <row r="6044" customFormat="false" ht="15" hidden="false" customHeight="false" outlineLevel="0" collapsed="false">
      <c r="A6044" s="5" t="s">
        <v>913</v>
      </c>
      <c r="B6044" s="0" t="s">
        <v>86</v>
      </c>
      <c r="H6044" s="38" t="n">
        <f aca="false">Sens!$H$6018</f>
        <v>1.6</v>
      </c>
      <c r="I6044" s="38" t="n">
        <f aca="false">Sens!$I$6018</f>
        <v>1.6</v>
      </c>
      <c r="J6044" s="38" t="n">
        <f aca="false">Sens!$J$6018</f>
        <v>1.6</v>
      </c>
      <c r="K6044" s="38" t="n">
        <f aca="false">Sens!$K$6018</f>
        <v>1.6</v>
      </c>
      <c r="L6044" s="38" t="n">
        <f aca="false">Sens!$L$6018</f>
        <v>1.6</v>
      </c>
      <c r="M6044" s="38" t="n">
        <f aca="false">Sens!$M$6018</f>
        <v>1.6</v>
      </c>
    </row>
    <row r="6045" customFormat="false" ht="15" hidden="false" customHeight="false" outlineLevel="0" collapsed="false">
      <c r="A6045" s="5" t="s">
        <v>914</v>
      </c>
      <c r="B6045" s="0" t="s">
        <v>86</v>
      </c>
      <c r="H6045" s="38" t="n">
        <f aca="false">Sens!$H$6012</f>
        <v>11.2928295263397</v>
      </c>
      <c r="I6045" s="38" t="n">
        <f aca="false">Sens!$I$6012</f>
        <v>12.8091546115766</v>
      </c>
      <c r="J6045" s="38" t="n">
        <f aca="false">Sens!$J$6012</f>
        <v>14.2605653162668</v>
      </c>
      <c r="K6045" s="38" t="n">
        <f aca="false">Sens!$K$6012</f>
        <v>15.5327622460396</v>
      </c>
      <c r="L6045" s="38" t="n">
        <f aca="false">Sens!$L$6012</f>
        <v>16.720573737517</v>
      </c>
      <c r="M6045" s="38" t="n">
        <f aca="false">Sens!$M$6012</f>
        <v>17.8283127551536</v>
      </c>
    </row>
    <row r="6046" customFormat="false" ht="17.15" hidden="false" customHeight="false" outlineLevel="0" collapsed="false">
      <c r="A6046" s="1" t="s">
        <v>915</v>
      </c>
      <c r="B6046" s="8" t="s">
        <v>86</v>
      </c>
      <c r="H6046" s="38" t="n">
        <f aca="false">Sens!$H$6041+Sens!$H$6042-Sens!$H$6043-Sens!$H$6044+Sens!$H$6045</f>
        <v>-61.930265786314</v>
      </c>
      <c r="I6046" s="38" t="n">
        <f aca="false">Sens!$I$6041+Sens!$I$6042-Sens!$I$6043-Sens!$I$6044+Sens!$I$6045</f>
        <v>-15.9032029587969</v>
      </c>
      <c r="J6046" s="38" t="n">
        <f aca="false">Sens!$J$6041+Sens!$J$6042-Sens!$J$6043-Sens!$J$6044+Sens!$J$6045</f>
        <v>30.8423086017711</v>
      </c>
      <c r="K6046" s="38" t="n">
        <f aca="false">Sens!$K$6041+Sens!$K$6042-Sens!$K$6043-Sens!$K$6044+Sens!$K$6045</f>
        <v>131.312826823508</v>
      </c>
      <c r="L6046" s="38" t="n">
        <f aca="false">Sens!$L$6041+Sens!$L$6042-Sens!$L$6043-Sens!$L$6044+Sens!$L$6045</f>
        <v>187.945782264545</v>
      </c>
      <c r="M6046" s="38" t="n">
        <f aca="false">Sens!$M$6041+Sens!$M$6042-Sens!$M$6043-Sens!$M$6044+Sens!$M$6045</f>
        <v>210.536848990583</v>
      </c>
    </row>
    <row r="6047" customFormat="false" ht="15" hidden="false" customHeight="false" outlineLevel="0" collapsed="false">
      <c r="A6047" s="5" t="s">
        <v>916</v>
      </c>
      <c r="B6047" s="0" t="s">
        <v>57</v>
      </c>
      <c r="H6047" s="40" t="n">
        <f aca="false">1/(1+wacc)^(2027-2026-0.5)</f>
        <v>0.947751320380232</v>
      </c>
      <c r="I6047" s="40" t="n">
        <f aca="false">1/(1+wacc)^(2028-2026-0.5)</f>
        <v>0.851301099754987</v>
      </c>
      <c r="J6047" s="40" t="n">
        <f aca="false">1/(1+wacc)^(2029-2026-0.5)</f>
        <v>0.764666370660713</v>
      </c>
      <c r="K6047" s="40" t="n">
        <f aca="false">1/(1+wacc)^(2030-2026-0.5)</f>
        <v>0.686848235703811</v>
      </c>
      <c r="L6047" s="40" t="n">
        <f aca="false">1/(1+wacc)^(2031-2026-0.5)</f>
        <v>0.616949452715975</v>
      </c>
      <c r="M6047" s="40" t="n">
        <f aca="false">1/(1+wacc)^(2032-2026-0.5)</f>
        <v>0.554164089562688</v>
      </c>
    </row>
    <row r="6048" customFormat="false" ht="15" hidden="false" customHeight="false" outlineLevel="0" collapsed="false">
      <c r="A6048" s="5" t="s">
        <v>917</v>
      </c>
      <c r="B6048" s="0" t="s">
        <v>86</v>
      </c>
      <c r="H6048" s="38" t="n">
        <f aca="false">Sens!$H$6046*Sens!$H$6047</f>
        <v>-58.6944911704778</v>
      </c>
      <c r="I6048" s="38" t="n">
        <f aca="false">Sens!$I$6046*Sens!$I$6047</f>
        <v>-13.5384141684505</v>
      </c>
      <c r="J6048" s="38" t="n">
        <f aca="false">Sens!$J$6046*Sens!$J$6047</f>
        <v>23.584076181314</v>
      </c>
      <c r="K6048" s="38" t="n">
        <f aca="false">Sens!$K$6046*Sens!$K$6047</f>
        <v>90.1919834290062</v>
      </c>
      <c r="L6048" s="38" t="n">
        <f aca="false">Sens!$L$6046*Sens!$L$6047</f>
        <v>115.953047508387</v>
      </c>
      <c r="M6048" s="38" t="n">
        <f aca="false">Sens!$M$6046*Sens!$M$6047</f>
        <v>116.671961240264</v>
      </c>
    </row>
    <row r="6049" customFormat="false" ht="15" hidden="false" customHeight="false" outlineLevel="0" collapsed="false">
      <c r="A6049" s="5" t="s">
        <v>918</v>
      </c>
      <c r="B6049" s="0" t="s">
        <v>86</v>
      </c>
      <c r="C6049" s="38" t="n">
        <f aca="false">SUM(Sens!$H$6048:$M$6048)</f>
        <v>274.168163020043</v>
      </c>
    </row>
    <row r="6050" customFormat="false" ht="17.15" hidden="false" customHeight="false" outlineLevel="0" collapsed="false">
      <c r="A6050" s="5" t="s">
        <v>919</v>
      </c>
      <c r="B6050" s="0" t="s">
        <v>86</v>
      </c>
      <c r="C6050" s="38" t="n">
        <f aca="false">Sens!$M$6041*(1+tg)*(1-tg/ronic_hi)/(wacc-tg)</f>
        <v>2145.87183292405</v>
      </c>
    </row>
    <row r="6051" customFormat="false" ht="15" hidden="false" customHeight="false" outlineLevel="0" collapsed="false">
      <c r="A6051" s="5" t="s">
        <v>920</v>
      </c>
      <c r="B6051" s="0" t="s">
        <v>86</v>
      </c>
      <c r="C6051" s="38" t="n">
        <f aca="false">Sens!$C$6050/(1+wacc)^6</f>
        <v>1127.03280373127</v>
      </c>
    </row>
    <row r="6052" customFormat="false" ht="17.15" hidden="false" customHeight="false" outlineLevel="0" collapsed="false">
      <c r="A6052" s="5" t="s">
        <v>921</v>
      </c>
      <c r="B6052" s="0" t="s">
        <v>86</v>
      </c>
      <c r="C6052" s="38" t="n">
        <f aca="false">Sens!$C$6049+Sens!$C$6051</f>
        <v>1401.20096675132</v>
      </c>
    </row>
    <row r="6053" customFormat="false" ht="17.15" hidden="false" customHeight="false" outlineLevel="0" collapsed="false">
      <c r="A6053" s="5" t="s">
        <v>922</v>
      </c>
      <c r="B6053" s="0" t="s">
        <v>52</v>
      </c>
      <c r="C6053" s="13" t="n">
        <f aca="false">Sens!$C$6051/Sens!$C$6052</f>
        <v>0.804333447145914</v>
      </c>
    </row>
    <row r="6054" customFormat="false" ht="17.15" hidden="false" customHeight="false" outlineLevel="0" collapsed="false">
      <c r="A6054" s="5" t="s">
        <v>923</v>
      </c>
      <c r="B6054" s="0" t="s">
        <v>86</v>
      </c>
      <c r="C6054" s="38" t="n">
        <f aca="false">Sens!$G$6030+fin_debt</f>
        <v>96.5114130116072</v>
      </c>
    </row>
    <row r="6055" customFormat="false" ht="17.15" hidden="false" customHeight="false" outlineLevel="0" collapsed="false">
      <c r="A6055" s="5" t="s">
        <v>924</v>
      </c>
      <c r="B6055" s="0" t="s">
        <v>86</v>
      </c>
      <c r="C6055" s="38" t="n">
        <f aca="false">(ant_val*ant_sh+oai_val*oai_sh)*(1-liq_disc)</f>
        <v>178.944</v>
      </c>
    </row>
    <row r="6056" customFormat="false" ht="15" hidden="false" customHeight="false" outlineLevel="0" collapsed="false">
      <c r="A6056" s="5" t="s">
        <v>925</v>
      </c>
      <c r="B6056" s="0" t="s">
        <v>86</v>
      </c>
      <c r="C6056" s="38" t="n">
        <f aca="false">Sens!$C$6052-Sens!$C$6054+Sens!$C$6055</f>
        <v>1483.63355373971</v>
      </c>
    </row>
    <row r="6057" customFormat="false" ht="17.15" hidden="false" customHeight="false" outlineLevel="0" collapsed="false">
      <c r="A6057" s="5" t="s">
        <v>926</v>
      </c>
      <c r="B6057" s="0" t="s">
        <v>27</v>
      </c>
      <c r="C6057" s="30" t="n">
        <f aca="false">Sens!$C$6056/sh_out</f>
        <v>137.547780802572</v>
      </c>
    </row>
    <row r="6058" customFormat="false" ht="17.15" hidden="false" customHeight="false" outlineLevel="0" collapsed="false">
      <c r="A6058" s="1" t="s">
        <v>927</v>
      </c>
      <c r="B6058" s="8" t="s">
        <v>27</v>
      </c>
      <c r="C6058" s="30" t="n">
        <f aca="false">Sens!$C$6057*(1+ke)^tp_yf-dps*tp_yf</f>
        <v>150.665553992859</v>
      </c>
    </row>
    <row r="6059" customFormat="false" ht="17.15" hidden="false" customHeight="false" outlineLevel="0" collapsed="false">
      <c r="A6059" s="3" t="s">
        <v>928</v>
      </c>
    </row>
    <row r="6060" customFormat="false" ht="17.15" hidden="false" customHeight="false" outlineLevel="0" collapsed="false">
      <c r="A6060" s="5" t="s">
        <v>929</v>
      </c>
      <c r="B6060" s="0" t="s">
        <v>86</v>
      </c>
      <c r="C6060" s="38" t="n">
        <f aca="false">(1-tp_yf)*(Sens!$H$5987+Sens!$H$6011*Sens!$H$5853/Sens!$H$5928)+tp_yf*(Sens!$I$5987+Sens!$I$6011*Sens!$I$5853/Sens!$I$5928)</f>
        <v>59.634664536349</v>
      </c>
    </row>
    <row r="6061" customFormat="false" ht="15" hidden="false" customHeight="false" outlineLevel="0" collapsed="false">
      <c r="A6061" s="5" t="s">
        <v>930</v>
      </c>
      <c r="B6061" s="0" t="s">
        <v>57</v>
      </c>
      <c r="C6061" s="30" t="n">
        <f aca="false">m_ads*m_x</f>
        <v>9.11</v>
      </c>
    </row>
    <row r="6062" customFormat="false" ht="17.15" hidden="false" customHeight="false" outlineLevel="0" collapsed="false">
      <c r="A6062" s="5" t="s">
        <v>931</v>
      </c>
      <c r="B6062" s="0" t="s">
        <v>86</v>
      </c>
      <c r="C6062" s="38" t="n">
        <f aca="false">Sens!$C$6060*Sens!$C$6061</f>
        <v>543.271793926139</v>
      </c>
    </row>
    <row r="6063" customFormat="false" ht="17.15" hidden="false" customHeight="false" outlineLevel="0" collapsed="false">
      <c r="A6063" s="5" t="s">
        <v>932</v>
      </c>
      <c r="B6063" s="0" t="s">
        <v>86</v>
      </c>
      <c r="C6063" s="38" t="n">
        <f aca="false">(1-tp_yf)*(Sens!$H$5988+Sens!$H$6011*(Sens!$H$5860-Sens!$H$5853)/Sens!$H$5928+IF(internal_ai_reading=2,1,0)*(1-ext_sh)*Sens!$H$5890)+tp_yf*(Sens!$I$5988+Sens!$I$6011*(Sens!$I$5860-Sens!$I$5853)/Sens!$I$5928+IF(internal_ai_reading=2,1,0)*(1-ext_sh)*Sens!$I$5890)</f>
        <v>51.7770728324773</v>
      </c>
    </row>
    <row r="6064" customFormat="false" ht="17.15" hidden="false" customHeight="false" outlineLevel="0" collapsed="false">
      <c r="A6064" s="5" t="s">
        <v>933</v>
      </c>
      <c r="B6064" s="0" t="s">
        <v>57</v>
      </c>
      <c r="C6064" s="30" t="n">
        <f aca="false">m_retail*m_x</f>
        <v>17.72</v>
      </c>
    </row>
    <row r="6065" customFormat="false" ht="17.15" hidden="false" customHeight="false" outlineLevel="0" collapsed="false">
      <c r="A6065" s="5" t="s">
        <v>934</v>
      </c>
      <c r="B6065" s="0" t="s">
        <v>86</v>
      </c>
      <c r="C6065" s="38" t="n">
        <f aca="false">Sens!$C$6063*Sens!$C$6064</f>
        <v>917.489730591498</v>
      </c>
    </row>
    <row r="6066" customFormat="false" ht="17.15" hidden="false" customHeight="false" outlineLevel="0" collapsed="false">
      <c r="A6066" s="0" t="s">
        <v>935</v>
      </c>
      <c r="B6066" s="0" t="s">
        <v>86</v>
      </c>
      <c r="C6066" s="38" t="n">
        <f aca="false">(1-tp_yf)*(Sens!$H$5989+Sens!$H$6011*Sens!$H$5926/Sens!$H$5928)+tp_yf*(Sens!$I$5989+Sens!$I$6011*Sens!$I$5926/Sens!$I$5928)</f>
        <v>97.3363031479074</v>
      </c>
    </row>
    <row r="6067" customFormat="false" ht="17.15" hidden="false" customHeight="false" outlineLevel="0" collapsed="false">
      <c r="A6067" s="0" t="s">
        <v>936</v>
      </c>
      <c r="B6067" s="0" t="s">
        <v>57</v>
      </c>
      <c r="C6067" s="30" t="n">
        <f aca="false">m_cloud*m_x</f>
        <v>13.82</v>
      </c>
    </row>
    <row r="6068" customFormat="false" ht="17.15" hidden="false" customHeight="false" outlineLevel="0" collapsed="false">
      <c r="A6068" s="0" t="s">
        <v>937</v>
      </c>
      <c r="B6068" s="0" t="s">
        <v>86</v>
      </c>
      <c r="C6068" s="38" t="n">
        <f aca="false">Sens!$C$6066*Sens!$C$6067</f>
        <v>1345.18770950408</v>
      </c>
    </row>
    <row r="6069" customFormat="false" ht="17.15" hidden="false" customHeight="false" outlineLevel="0" collapsed="false">
      <c r="A6069" s="0" t="s">
        <v>938</v>
      </c>
      <c r="B6069" s="0" t="s">
        <v>86</v>
      </c>
      <c r="H6069" s="38" t="n">
        <f aca="false">Sens!$H$5907-tax*Sens!$H$5908-ext_sh*Sens!$H$5897</f>
        <v>-114.686944664267</v>
      </c>
      <c r="I6069" s="38" t="n">
        <f aca="false">Sens!$I$5907-tax*Sens!$I$5908-ext_sh*Sens!$I$5897</f>
        <v>-88.3950641557111</v>
      </c>
      <c r="J6069" s="38" t="n">
        <f aca="false">Sens!$J$5907-tax*Sens!$J$5908-ext_sh*Sens!$J$5897</f>
        <v>-61.1526151740695</v>
      </c>
      <c r="K6069" s="38" t="n">
        <f aca="false">Sens!$K$5907-tax*Sens!$K$5908-ext_sh*Sens!$K$5897</f>
        <v>10.057774712684</v>
      </c>
      <c r="L6069" s="38" t="n">
        <f aca="false">Sens!$L$5907-tax*Sens!$L$5908-ext_sh*Sens!$L$5897</f>
        <v>46.6587675560356</v>
      </c>
      <c r="M6069" s="38" t="n">
        <f aca="false">Sens!$M$5907-tax*Sens!$M$5908-ext_sh*Sens!$M$5897</f>
        <v>55.3915455321129</v>
      </c>
    </row>
    <row r="6070" customFormat="false" ht="17.15" hidden="false" customHeight="false" outlineLevel="0" collapsed="false">
      <c r="A6070" s="5" t="s">
        <v>939</v>
      </c>
      <c r="B6070" s="0" t="s">
        <v>86</v>
      </c>
      <c r="H6070" s="38" t="n">
        <f aca="false">Sens!$H$6069*Sens!$H$6047</f>
        <v>-108.694703235934</v>
      </c>
      <c r="I6070" s="38" t="n">
        <f aca="false">Sens!$I$6069*Sens!$I$6047</f>
        <v>-75.2508153286695</v>
      </c>
      <c r="J6070" s="38" t="n">
        <f aca="false">Sens!$J$6069*Sens!$J$6047</f>
        <v>-46.761348301567</v>
      </c>
      <c r="K6070" s="38" t="n">
        <f aca="false">Sens!$K$6069*Sens!$K$6047</f>
        <v>6.90816481651338</v>
      </c>
      <c r="L6070" s="38" t="n">
        <f aca="false">Sens!$L$6069*Sens!$L$6047</f>
        <v>28.7861011080981</v>
      </c>
      <c r="M6070" s="38" t="n">
        <f aca="false">Sens!$M$6069*Sens!$M$6047</f>
        <v>30.6960053992735</v>
      </c>
    </row>
    <row r="6071" customFormat="false" ht="17.15" hidden="false" customHeight="false" outlineLevel="0" collapsed="false">
      <c r="A6071" s="5" t="s">
        <v>940</v>
      </c>
      <c r="B6071" s="0" t="s">
        <v>86</v>
      </c>
      <c r="C6071" s="38" t="n">
        <f aca="false">Sens!$M$5908*(1-tax)*(1+tg)*(1-tg/ronic_hi)/(wacc-tg)</f>
        <v>403.720479009452</v>
      </c>
    </row>
    <row r="6072" customFormat="false" ht="17.15" hidden="false" customHeight="false" outlineLevel="0" collapsed="false">
      <c r="A6072" s="0" t="s">
        <v>941</v>
      </c>
      <c r="B6072" s="0" t="s">
        <v>86</v>
      </c>
      <c r="C6072" s="38" t="n">
        <f aca="false">(SUM(Sens!$H$6070:$M$6070)+Sens!$C$6071/(1+wacc)^6)*(1+wacc)^tp_yf</f>
        <v>52.1222513202386</v>
      </c>
    </row>
    <row r="6073" customFormat="false" ht="17.15" hidden="false" customHeight="false" outlineLevel="0" collapsed="false">
      <c r="A6073" s="5" t="s">
        <v>942</v>
      </c>
      <c r="B6073" s="0" t="s">
        <v>86</v>
      </c>
      <c r="C6073" s="38" t="n">
        <f aca="false">(1-tp_yf)*(Sens!$H$5990)+tp_yf*(Sens!$I$5990)</f>
        <v>74.6707041238437</v>
      </c>
    </row>
    <row r="6074" customFormat="false" ht="17.15" hidden="false" customHeight="false" outlineLevel="0" collapsed="false">
      <c r="A6074" s="5" t="s">
        <v>943</v>
      </c>
      <c r="B6074" s="0" t="s">
        <v>86</v>
      </c>
      <c r="C6074" s="38" t="n">
        <f aca="false">Sens!$C$6073*m_ai</f>
        <v>448.024224743062</v>
      </c>
    </row>
    <row r="6075" customFormat="false" ht="17.15" hidden="false" customHeight="false" outlineLevel="0" collapsed="false">
      <c r="A6075" s="0" t="s">
        <v>944</v>
      </c>
      <c r="B6075" s="0" t="s">
        <v>86</v>
      </c>
      <c r="C6075" s="38" t="n">
        <f aca="false">IF(ai_leg=1,Sens!$C$6072,Sens!$C$6074)</f>
        <v>52.1222513202386</v>
      </c>
    </row>
    <row r="6076" customFormat="false" ht="17.15" hidden="false" customHeight="false" outlineLevel="0" collapsed="false">
      <c r="A6076" s="5" t="s">
        <v>945</v>
      </c>
      <c r="B6076" s="0" t="s">
        <v>86</v>
      </c>
      <c r="C6076" s="38" t="n">
        <f aca="false">Sens!$C$6062+Sens!$C$6065+Sens!$C$6068+Sens!$C$6075</f>
        <v>2858.07148534196</v>
      </c>
    </row>
    <row r="6077" customFormat="false" ht="17.15" hidden="false" customHeight="false" outlineLevel="0" collapsed="false">
      <c r="A6077" s="5" t="s">
        <v>946</v>
      </c>
      <c r="B6077" s="0" t="s">
        <v>86</v>
      </c>
      <c r="C6077" s="38" t="n">
        <f aca="false">Sens!$H$6030+fin_debt</f>
        <v>150.504277655109</v>
      </c>
    </row>
    <row r="6078" customFormat="false" ht="15" hidden="false" customHeight="false" outlineLevel="0" collapsed="false">
      <c r="A6078" s="5" t="s">
        <v>947</v>
      </c>
      <c r="B6078" s="0" t="s">
        <v>86</v>
      </c>
      <c r="C6078" s="38" t="n">
        <f aca="false">Sens!$C$6076-Sens!$C$6077+Sens!$C$6055</f>
        <v>2886.51120768685</v>
      </c>
    </row>
    <row r="6079" customFormat="false" ht="15" hidden="false" customHeight="false" outlineLevel="0" collapsed="false">
      <c r="A6079" s="3" t="s">
        <v>948</v>
      </c>
      <c r="B6079" s="8" t="s">
        <v>27</v>
      </c>
      <c r="C6079" s="30" t="n">
        <f aca="false">Sens!$C$6078/sh_val</f>
        <v>261.688942643595</v>
      </c>
    </row>
    <row r="6080" customFormat="false" ht="17.15" hidden="false" customHeight="false" outlineLevel="0" collapsed="false">
      <c r="A6080" s="47" t="s">
        <v>949</v>
      </c>
      <c r="B6080" s="14" t="s">
        <v>27</v>
      </c>
      <c r="C6080" s="44" t="n">
        <f aca="false">w_dcf*Sens!$C$6058+(1-w_dcf)*Sens!$C$6079</f>
        <v>206.177248318227</v>
      </c>
      <c r="D6080" s="14"/>
      <c r="E6080" s="14"/>
      <c r="F6080" s="14"/>
      <c r="G6080" s="14"/>
      <c r="H6080" s="14"/>
      <c r="I6080" s="14"/>
      <c r="J6080" s="14"/>
      <c r="K6080" s="14"/>
      <c r="L6080" s="14"/>
      <c r="M6080" s="14"/>
      <c r="N6080" s="14"/>
      <c r="O6080" s="14"/>
    </row>
    <row r="6081" customFormat="false" ht="17.15" hidden="false" customHeight="false" outlineLevel="0" collapsed="false">
      <c r="A6081" s="5" t="s">
        <v>950</v>
      </c>
      <c r="B6081" s="0" t="s">
        <v>27</v>
      </c>
      <c r="C6081" s="30" t="n">
        <f aca="false">v022_wdcf*Sens!$C$6058+(1-v022_wdcf)*Sens!$C$6079</f>
        <v>211.728417750764</v>
      </c>
    </row>
    <row r="6082" customFormat="false" ht="17.15" hidden="false" customHeight="false" outlineLevel="0" collapsed="false">
      <c r="A6082" s="5" t="s">
        <v>951</v>
      </c>
      <c r="B6082" s="0" t="s">
        <v>27</v>
      </c>
      <c r="C6082" s="30" t="n">
        <f aca="false">(Sens!$C$6078-Sens!$C$6075+Sens!$C$6074)/sh_val</f>
        <v>297.581118824874</v>
      </c>
    </row>
    <row r="6085" customFormat="false" ht="19.4" hidden="false" customHeight="false" outlineLevel="0" collapsed="false">
      <c r="A6085" s="31" t="s">
        <v>1252</v>
      </c>
    </row>
    <row r="6086" customFormat="false" ht="17.15" hidden="false" customHeight="false" outlineLevel="0" collapsed="false">
      <c r="A6086" s="6" t="s">
        <v>16</v>
      </c>
      <c r="B6086" s="6" t="s">
        <v>17</v>
      </c>
      <c r="C6086" s="20" t="s">
        <v>494</v>
      </c>
      <c r="D6086" s="20" t="s">
        <v>495</v>
      </c>
      <c r="E6086" s="20" t="s">
        <v>577</v>
      </c>
      <c r="F6086" s="20" t="s">
        <v>578</v>
      </c>
      <c r="G6086" s="20" t="s">
        <v>579</v>
      </c>
      <c r="H6086" s="20" t="s">
        <v>580</v>
      </c>
      <c r="I6086" s="20" t="s">
        <v>581</v>
      </c>
      <c r="J6086" s="20" t="s">
        <v>582</v>
      </c>
      <c r="K6086" s="20" t="s">
        <v>583</v>
      </c>
      <c r="L6086" s="20" t="s">
        <v>584</v>
      </c>
      <c r="M6086" s="20" t="s">
        <v>585</v>
      </c>
      <c r="N6086" s="20" t="s">
        <v>586</v>
      </c>
      <c r="O6086" s="20" t="s">
        <v>587</v>
      </c>
      <c r="P6086" s="6" t="s">
        <v>23</v>
      </c>
      <c r="R6086" s="20" t="n">
        <v>2023</v>
      </c>
      <c r="S6086" s="20" t="n">
        <v>2024</v>
      </c>
      <c r="T6086" s="20" t="n">
        <v>2025</v>
      </c>
      <c r="U6086" s="20" t="n">
        <v>2026</v>
      </c>
      <c r="V6086" s="20" t="n">
        <v>2027</v>
      </c>
      <c r="W6086" s="20" t="n">
        <v>2028</v>
      </c>
      <c r="X6086" s="20" t="n">
        <v>2029</v>
      </c>
      <c r="Y6086" s="20" t="n">
        <v>2030</v>
      </c>
      <c r="Z6086" s="20" t="n">
        <v>2031</v>
      </c>
      <c r="AA6086" s="20" t="n">
        <v>2032</v>
      </c>
    </row>
    <row r="6087" customFormat="false" ht="17.15" hidden="false" customHeight="false" outlineLevel="0" collapsed="false">
      <c r="A6087" s="1" t="s">
        <v>660</v>
      </c>
    </row>
    <row r="6088" customFormat="false" ht="17.15" hidden="false" customHeight="false" outlineLevel="0" collapsed="false">
      <c r="A6088" s="0" t="s">
        <v>516</v>
      </c>
      <c r="B6088" s="0" t="s">
        <v>86</v>
      </c>
      <c r="C6088" s="38" t="n">
        <f aca="false">Q!$D$10</f>
        <v>247.029</v>
      </c>
      <c r="D6088" s="38" t="n">
        <f aca="false">Q!$E$10</f>
        <v>269.287</v>
      </c>
      <c r="E6088" s="38" t="n">
        <f aca="false">Q!$P$10</f>
        <v>134.686</v>
      </c>
      <c r="F6088" s="38" t="n">
        <f aca="false">Sens!$O$6088*(1+Sens!$F$6089)*Sens!$F$6100</f>
        <v>158.293876822267</v>
      </c>
      <c r="G6088" s="38" t="n">
        <f aca="false">Sens!$E$6088+Sens!$F$6088</f>
        <v>292.979876822267</v>
      </c>
      <c r="H6088" s="38" t="n">
        <f aca="false">Sens!$G$6088*(1+Sens!$H$6089)</f>
        <v>318.184543087396</v>
      </c>
      <c r="I6088" s="38" t="n">
        <f aca="false">Sens!$H$6088*(1+Sens!$I$6089)</f>
        <v>341.736278761793</v>
      </c>
      <c r="J6088" s="38" t="n">
        <f aca="false">Sens!$I$6088*(1+Sens!$J$6089)</f>
        <v>362.927192787048</v>
      </c>
      <c r="K6088" s="38" t="n">
        <f aca="false">Sens!$J$6088*(1+Sens!$K$6089)</f>
        <v>381.0735524264</v>
      </c>
      <c r="L6088" s="38" t="n">
        <f aca="false">Sens!$K$6088*(1+Sens!$L$6089)</f>
        <v>400.12723004772</v>
      </c>
      <c r="M6088" s="38" t="n">
        <f aca="false">Sens!$L$6088*(1+Sens!$M$6089)</f>
        <v>420.133591550106</v>
      </c>
      <c r="N6088" s="38" t="n">
        <f aca="false">Q!$N$10</f>
        <v>118.892</v>
      </c>
      <c r="O6088" s="38" t="n">
        <f aca="false">Q!$O$10</f>
        <v>150.395</v>
      </c>
      <c r="P6088" s="8" t="s">
        <v>661</v>
      </c>
    </row>
    <row r="6089" customFormat="false" ht="17.15" hidden="false" customHeight="false" outlineLevel="0" collapsed="false">
      <c r="A6089" s="0" t="s">
        <v>662</v>
      </c>
      <c r="B6089" s="0" t="s">
        <v>52</v>
      </c>
      <c r="E6089" s="13" t="n">
        <f aca="false">Sens!$E$6088/Sens!$N$6088-1</f>
        <v>0.132843252699929</v>
      </c>
      <c r="F6089" s="13" t="n">
        <f aca="false">Sens!$O$6088/(Q!$F$10+Q!$G$10)-1</f>
        <v>0.0980382135842941</v>
      </c>
      <c r="G6089" s="13" t="n">
        <f aca="false">Sens!$G$6088/Sens!$D$6088-1</f>
        <v>0.0879837378791657</v>
      </c>
      <c r="H6089" s="13" t="n">
        <f aca="false">Sens!$F$6089+(g_os-Sens!$F$6089)*1/4</f>
        <v>0.0860286601882206</v>
      </c>
      <c r="I6089" s="13" t="n">
        <f aca="false">Sens!$F$6089+(g_os-Sens!$F$6089)*2/4</f>
        <v>0.074019106792147</v>
      </c>
      <c r="J6089" s="13" t="n">
        <f aca="false">Sens!$F$6089+(g_os-Sens!$F$6089)*3/4</f>
        <v>0.0620095533960735</v>
      </c>
      <c r="K6089" s="13" t="n">
        <f aca="false">Sens!$F$6089+(g_os-Sens!$F$6089)*4/4</f>
        <v>0.05</v>
      </c>
      <c r="L6089" s="13" t="n">
        <f aca="false">g_os</f>
        <v>0.05</v>
      </c>
      <c r="M6089" s="13" t="n">
        <f aca="false">g_os</f>
        <v>0.05</v>
      </c>
      <c r="P6089" s="8" t="s">
        <v>663</v>
      </c>
    </row>
    <row r="6090" customFormat="false" ht="17.15" hidden="false" customHeight="false" outlineLevel="0" collapsed="false">
      <c r="A6090" s="0" t="s">
        <v>517</v>
      </c>
      <c r="B6090" s="0" t="s">
        <v>86</v>
      </c>
      <c r="C6090" s="38" t="n">
        <f aca="false">Q!$D$11</f>
        <v>21.215</v>
      </c>
      <c r="D6090" s="38" t="n">
        <f aca="false">Q!$E$11</f>
        <v>22.561</v>
      </c>
      <c r="E6090" s="38" t="n">
        <f aca="false">Q!$P$11</f>
        <v>11.579</v>
      </c>
      <c r="F6090" s="38" t="n">
        <f aca="false">Sens!$O$6090*(1+Sens!$F$6091)*Sens!$F$6100</f>
        <v>11.5938724610325</v>
      </c>
      <c r="G6090" s="38" t="n">
        <f aca="false">Sens!$E$6090+Sens!$F$6090</f>
        <v>23.1728724610325</v>
      </c>
      <c r="H6090" s="38" t="n">
        <f aca="false">Sens!$G$6090*(1+Sens!$H$6091)</f>
        <v>24.353392759506</v>
      </c>
      <c r="I6090" s="38" t="n">
        <f aca="false">Sens!$H$6090*(1+Sens!$I$6091)</f>
        <v>25.4240338872015</v>
      </c>
      <c r="J6090" s="38" t="n">
        <f aca="false">Sens!$I$6090*(1+Sens!$J$6091)</f>
        <v>26.3642491017174</v>
      </c>
      <c r="K6090" s="38" t="n">
        <f aca="false">Sens!$J$6090*(1+Sens!$K$6091)</f>
        <v>27.155176574769</v>
      </c>
      <c r="L6090" s="38" t="n">
        <f aca="false">Sens!$K$6090*(1+Sens!$L$6091)</f>
        <v>27.969831872012</v>
      </c>
      <c r="M6090" s="38" t="n">
        <f aca="false">Sens!$L$6090*(1+Sens!$M$6091)</f>
        <v>28.8089268281724</v>
      </c>
      <c r="N6090" s="38" t="n">
        <f aca="false">Q!$N$11</f>
        <v>11.128</v>
      </c>
      <c r="O6090" s="38" t="n">
        <f aca="false">Q!$O$11</f>
        <v>11.433</v>
      </c>
      <c r="P6090" s="8" t="s">
        <v>661</v>
      </c>
    </row>
    <row r="6091" customFormat="false" ht="17.15" hidden="false" customHeight="false" outlineLevel="0" collapsed="false">
      <c r="A6091" s="0" t="s">
        <v>664</v>
      </c>
      <c r="B6091" s="0" t="s">
        <v>52</v>
      </c>
      <c r="E6091" s="13" t="n">
        <f aca="false">Sens!$E$6090/Sens!$N$6090-1</f>
        <v>0.0405283968368082</v>
      </c>
      <c r="F6091" s="13" t="n">
        <f aca="false">Sens!$O$6090/(Q!$F$11+Q!$G$11)-1</f>
        <v>0.0579254187100955</v>
      </c>
      <c r="G6091" s="13" t="n">
        <f aca="false">Sens!$G$6090/Sens!$D$6090-1</f>
        <v>0.0271208040881397</v>
      </c>
      <c r="H6091" s="13" t="n">
        <f aca="false">Sens!$F$6091+(g_ps-Sens!$F$6091)*1/4</f>
        <v>0.0509440640325716</v>
      </c>
      <c r="I6091" s="13" t="n">
        <f aca="false">Sens!$F$6091+(g_ps-Sens!$F$6091)*2/4</f>
        <v>0.0439627093550477</v>
      </c>
      <c r="J6091" s="13" t="n">
        <f aca="false">Sens!$F$6091+(g_ps-Sens!$F$6091)*3/4</f>
        <v>0.0369813546775239</v>
      </c>
      <c r="K6091" s="13" t="n">
        <f aca="false">Sens!$F$6091+(g_ps-Sens!$F$6091)*4/4</f>
        <v>0.03</v>
      </c>
      <c r="L6091" s="13" t="n">
        <f aca="false">g_ps</f>
        <v>0.03</v>
      </c>
      <c r="M6091" s="13" t="n">
        <f aca="false">g_ps</f>
        <v>0.03</v>
      </c>
      <c r="P6091" s="8" t="s">
        <v>665</v>
      </c>
    </row>
    <row r="6092" customFormat="false" ht="17.15" hidden="false" customHeight="false" outlineLevel="0" collapsed="false">
      <c r="A6092" s="0" t="s">
        <v>518</v>
      </c>
      <c r="B6092" s="0" t="s">
        <v>86</v>
      </c>
      <c r="C6092" s="38" t="n">
        <f aca="false">Q!$D$12</f>
        <v>156.146</v>
      </c>
      <c r="D6092" s="38" t="n">
        <f aca="false">Q!$E$12</f>
        <v>172.162</v>
      </c>
      <c r="E6092" s="38" t="n">
        <f aca="false">Q!$P$12</f>
        <v>88.358</v>
      </c>
      <c r="F6092" s="38" t="n">
        <f aca="false">Sens!$O$6092*(1+Sens!$F$6093)*Sens!$F$6100</f>
        <v>102.004388260171</v>
      </c>
      <c r="G6092" s="38" t="n">
        <f aca="false">Sens!$E$6092+Sens!$F$6092</f>
        <v>190.362388260171</v>
      </c>
      <c r="H6092" s="38" t="n">
        <f aca="false">Sens!$G$6092*(1+Sens!$H$6093)</f>
        <v>210.343106588311</v>
      </c>
      <c r="I6092" s="38" t="n">
        <f aca="false">Sens!$H$6092*(1+Sens!$I$6093)</f>
        <v>229.969728494648</v>
      </c>
      <c r="J6092" s="38" t="n">
        <f aca="false">Sens!$I$6092*(1+Sens!$J$6093)</f>
        <v>248.747636972598</v>
      </c>
      <c r="K6092" s="38" t="n">
        <f aca="false">Sens!$J$6092*(1+Sens!$K$6093)</f>
        <v>266.15997156068</v>
      </c>
      <c r="L6092" s="38" t="n">
        <f aca="false">Sens!$K$6092*(1+Sens!$L$6093)</f>
        <v>284.791169569927</v>
      </c>
      <c r="M6092" s="38" t="n">
        <f aca="false">Sens!$L$6092*(1+Sens!$M$6093)</f>
        <v>304.726551439822</v>
      </c>
      <c r="N6092" s="38" t="n">
        <f aca="false">Q!$N$12</f>
        <v>76.86</v>
      </c>
      <c r="O6092" s="38" t="n">
        <f aca="false">Q!$O$12</f>
        <v>95.302</v>
      </c>
      <c r="P6092" s="8" t="s">
        <v>661</v>
      </c>
    </row>
    <row r="6093" customFormat="false" ht="17.15" hidden="false" customHeight="false" outlineLevel="0" collapsed="false">
      <c r="A6093" s="0" t="s">
        <v>666</v>
      </c>
      <c r="B6093" s="0" t="s">
        <v>52</v>
      </c>
      <c r="E6093" s="13" t="n">
        <f aca="false">Sens!$E$6092/Sens!$N$6092-1</f>
        <v>0.1495966692688</v>
      </c>
      <c r="F6093" s="13" t="n">
        <f aca="false">Sens!$O$6092/(Q!$F$12+Q!$G$12)-1</f>
        <v>0.11661530890813</v>
      </c>
      <c r="G6093" s="13" t="n">
        <f aca="false">Sens!$G$6092/Sens!$D$6092-1</f>
        <v>0.105716640490767</v>
      </c>
      <c r="H6093" s="13" t="n">
        <f aca="false">Sens!$F$6093+(g_sp-Sens!$F$6093)*1/4</f>
        <v>0.104961481681098</v>
      </c>
      <c r="I6093" s="13" t="n">
        <f aca="false">Sens!$F$6093+(g_sp-Sens!$F$6093)*2/4</f>
        <v>0.0933076544540651</v>
      </c>
      <c r="J6093" s="13" t="n">
        <f aca="false">Sens!$F$6093+(g_sp-Sens!$F$6093)*3/4</f>
        <v>0.0816538272270325</v>
      </c>
      <c r="K6093" s="13" t="n">
        <f aca="false">Sens!$F$6093+(g_sp-Sens!$F$6093)*4/4</f>
        <v>0.07</v>
      </c>
      <c r="L6093" s="13" t="n">
        <f aca="false">g_sp</f>
        <v>0.07</v>
      </c>
      <c r="M6093" s="13" t="n">
        <f aca="false">g_sp</f>
        <v>0.07</v>
      </c>
      <c r="P6093" s="8" t="s">
        <v>667</v>
      </c>
    </row>
    <row r="6094" customFormat="false" ht="17.15" hidden="false" customHeight="false" outlineLevel="0" collapsed="false">
      <c r="A6094" s="0" t="s">
        <v>519</v>
      </c>
      <c r="B6094" s="0" t="s">
        <v>86</v>
      </c>
      <c r="C6094" s="38" t="n">
        <f aca="false">Q!$D$13</f>
        <v>56.214</v>
      </c>
      <c r="D6094" s="38" t="n">
        <f aca="false">Q!$E$13</f>
        <v>68.635</v>
      </c>
      <c r="E6094" s="38" t="n">
        <f aca="false">Q!$P$13</f>
        <v>37.052</v>
      </c>
      <c r="F6094" s="38" t="n">
        <f aca="false">Sens!$O$6094*(1+Sens!$F$6095)*Sens!$F$6100</f>
        <v>46.1572219944148</v>
      </c>
      <c r="G6094" s="38" t="n">
        <f aca="false">Sens!$E$6094+Sens!$F$6094</f>
        <v>83.2092219944148</v>
      </c>
      <c r="H6094" s="38" t="n">
        <f aca="false">Sens!$G$6094*(1+Sens!$H$6095)</f>
        <v>99.8969223878976</v>
      </c>
      <c r="I6094" s="38" t="n">
        <f aca="false">Sens!$H$6094*(1+Sens!$I$6095)</f>
        <v>116.583111095496</v>
      </c>
      <c r="J6094" s="38" t="n">
        <f aca="false">Sens!$I$6094*(1+Sens!$J$6095)</f>
        <v>132.148941941952</v>
      </c>
      <c r="K6094" s="38" t="n">
        <f aca="false">Sens!$J$6094*(1+Sens!$K$6095)</f>
        <v>145.363836136147</v>
      </c>
      <c r="L6094" s="38" t="n">
        <f aca="false">Sens!$K$6094*(1+Sens!$L$6095)</f>
        <v>159.900219749762</v>
      </c>
      <c r="M6094" s="38" t="n">
        <f aca="false">Sens!$L$6094*(1+Sens!$M$6095)</f>
        <v>175.890241724738</v>
      </c>
      <c r="N6094" s="38" t="n">
        <f aca="false">Q!$N$13</f>
        <v>29.615</v>
      </c>
      <c r="O6094" s="38" t="n">
        <f aca="false">Q!$O$13</f>
        <v>39.02</v>
      </c>
      <c r="P6094" s="8" t="s">
        <v>661</v>
      </c>
    </row>
    <row r="6095" customFormat="false" ht="17.15" hidden="false" customHeight="false" outlineLevel="0" collapsed="false">
      <c r="A6095" s="0" t="s">
        <v>668</v>
      </c>
      <c r="B6095" s="0" t="s">
        <v>52</v>
      </c>
      <c r="E6095" s="13" t="n">
        <f aca="false">Sens!$E$6094/Sens!$N$6094-1</f>
        <v>0.25112274185379</v>
      </c>
      <c r="F6095" s="13" t="n">
        <f aca="false">Sens!$O$6094/(Q!$F$13+Q!$G$13)-1</f>
        <v>0.234068123596572</v>
      </c>
      <c r="G6095" s="13" t="n">
        <f aca="false">Sens!$G$6094/Sens!$D$6094-1</f>
        <v>0.212343876949294</v>
      </c>
      <c r="H6095" s="13" t="n">
        <f aca="false">Sens!$F$6095+(g_ad-Sens!$F$6095)*1/4</f>
        <v>0.200551092697429</v>
      </c>
      <c r="I6095" s="13" t="n">
        <f aca="false">Sens!$F$6095+(g_ad-Sens!$F$6095)*2/4</f>
        <v>0.167034061798286</v>
      </c>
      <c r="J6095" s="13" t="n">
        <f aca="false">Sens!$F$6095+(g_ad-Sens!$F$6095)*3/4</f>
        <v>0.133517030899143</v>
      </c>
      <c r="K6095" s="13" t="n">
        <f aca="false">Sens!$F$6095+(g_ad-Sens!$F$6095)*4/4</f>
        <v>0.1</v>
      </c>
      <c r="L6095" s="13" t="n">
        <f aca="false">g_ad</f>
        <v>0.1</v>
      </c>
      <c r="M6095" s="13" t="n">
        <f aca="false">g_ad</f>
        <v>0.1</v>
      </c>
      <c r="P6095" s="8" t="s">
        <v>669</v>
      </c>
    </row>
    <row r="6096" customFormat="false" ht="17.15" hidden="false" customHeight="false" outlineLevel="0" collapsed="false">
      <c r="A6096" s="0" t="s">
        <v>520</v>
      </c>
      <c r="B6096" s="0" t="s">
        <v>86</v>
      </c>
      <c r="C6096" s="38" t="n">
        <f aca="false">Q!$D$14</f>
        <v>44.374</v>
      </c>
      <c r="D6096" s="38" t="n">
        <f aca="false">Q!$E$14</f>
        <v>49.619</v>
      </c>
      <c r="E6096" s="38" t="n">
        <f aca="false">Q!$P$14</f>
        <v>27.157</v>
      </c>
      <c r="F6096" s="38" t="n">
        <f aca="false">Sens!$O$6096*(1+Sens!$F$6097)*Sens!$F$6100</f>
        <v>27.7764165988154</v>
      </c>
      <c r="G6096" s="38" t="n">
        <f aca="false">Sens!$E$6096+Sens!$F$6096</f>
        <v>54.9334165988154</v>
      </c>
      <c r="H6096" s="38" t="n">
        <f aca="false">Sens!$G$6096*(1+Sens!$H$6097)</f>
        <v>61.1564112561829</v>
      </c>
      <c r="I6096" s="38" t="n">
        <f aca="false">Sens!$H$6096*(1+Sens!$I$6097)</f>
        <v>67.2020282103945</v>
      </c>
      <c r="J6096" s="38" t="n">
        <f aca="false">Sens!$I$6096*(1+Sens!$J$6097)</f>
        <v>72.8757274028885</v>
      </c>
      <c r="K6096" s="38" t="n">
        <f aca="false">Sens!$J$6096*(1+Sens!$K$6097)</f>
        <v>77.9770283210907</v>
      </c>
      <c r="L6096" s="38" t="n">
        <f aca="false">Sens!$K$6096*(1+Sens!$L$6097)</f>
        <v>83.4354203035671</v>
      </c>
      <c r="M6096" s="38" t="n">
        <f aca="false">Sens!$L$6096*(1+Sens!$M$6097)</f>
        <v>89.2758997248168</v>
      </c>
      <c r="N6096" s="38" t="n">
        <f aca="false">Q!$N$14</f>
        <v>23.923</v>
      </c>
      <c r="O6096" s="38" t="n">
        <f aca="false">Q!$O$14</f>
        <v>25.696</v>
      </c>
      <c r="P6096" s="8" t="s">
        <v>661</v>
      </c>
    </row>
    <row r="6097" customFormat="false" ht="17.15" hidden="false" customHeight="false" outlineLevel="0" collapsed="false">
      <c r="A6097" s="0" t="s">
        <v>670</v>
      </c>
      <c r="B6097" s="0" t="s">
        <v>52</v>
      </c>
      <c r="E6097" s="13" t="n">
        <f aca="false">Sens!$E$6096/Sens!$N$6096-1</f>
        <v>0.135183714417088</v>
      </c>
      <c r="F6097" s="13" t="n">
        <f aca="false">Sens!$O$6096/(Q!$F$14+Q!$G$14)-1</f>
        <v>0.127709997366804</v>
      </c>
      <c r="G6097" s="13" t="n">
        <f aca="false">Sens!$G$6096/Sens!$D$6096-1</f>
        <v>0.107104468022641</v>
      </c>
      <c r="H6097" s="13" t="n">
        <f aca="false">Sens!$F$6097+(g_sub-Sens!$F$6097)*1/4</f>
        <v>0.113282498025103</v>
      </c>
      <c r="I6097" s="13" t="n">
        <f aca="false">Sens!$F$6097+(g_sub-Sens!$F$6097)*2/4</f>
        <v>0.0988549986834021</v>
      </c>
      <c r="J6097" s="13" t="n">
        <f aca="false">Sens!$F$6097+(g_sub-Sens!$F$6097)*3/4</f>
        <v>0.084427499341701</v>
      </c>
      <c r="K6097" s="13" t="n">
        <f aca="false">Sens!$F$6097+(g_sub-Sens!$F$6097)*4/4</f>
        <v>0.07</v>
      </c>
      <c r="L6097" s="13" t="n">
        <f aca="false">g_sub</f>
        <v>0.07</v>
      </c>
      <c r="M6097" s="13" t="n">
        <f aca="false">g_sub</f>
        <v>0.07</v>
      </c>
      <c r="P6097" s="8" t="s">
        <v>671</v>
      </c>
    </row>
    <row r="6098" customFormat="false" ht="17.15" hidden="false" customHeight="false" outlineLevel="0" collapsed="false">
      <c r="A6098" s="0" t="s">
        <v>521</v>
      </c>
      <c r="B6098" s="0" t="s">
        <v>86</v>
      </c>
      <c r="C6098" s="38" t="n">
        <f aca="false">Q!$D$15</f>
        <v>5.425</v>
      </c>
      <c r="D6098" s="38" t="n">
        <f aca="false">Q!$E$15</f>
        <v>5.935</v>
      </c>
      <c r="E6098" s="38" t="n">
        <f aca="false">Q!$P$15</f>
        <v>3.474</v>
      </c>
      <c r="F6098" s="38" t="n">
        <f aca="false">Sens!$O$6098*(1+Sens!$F$6099)*Sens!$F$6100</f>
        <v>3.22246550883619</v>
      </c>
      <c r="G6098" s="38" t="n">
        <f aca="false">Sens!$E$6098+Sens!$F$6098</f>
        <v>6.69646550883619</v>
      </c>
      <c r="H6098" s="38" t="n">
        <f aca="false">Sens!$G$6098*(1+Sens!$H$6099)</f>
        <v>7.16251344209196</v>
      </c>
      <c r="I6098" s="38" t="n">
        <f aca="false">Sens!$H$6098*(1+Sens!$I$6099)</f>
        <v>7.61421070299826</v>
      </c>
      <c r="J6098" s="38" t="n">
        <f aca="false">Sens!$I$6098*(1+Sens!$J$6099)</f>
        <v>8.04465753523932</v>
      </c>
      <c r="K6098" s="38" t="n">
        <f aca="false">Sens!$J$6098*(1+Sens!$K$6099)</f>
        <v>8.44689041200128</v>
      </c>
      <c r="L6098" s="38" t="n">
        <f aca="false">Sens!$K$6098*(1+Sens!$L$6099)</f>
        <v>8.86923493260135</v>
      </c>
      <c r="M6098" s="38" t="n">
        <f aca="false">Sens!$L$6098*(1+Sens!$M$6099)</f>
        <v>9.31269667923142</v>
      </c>
      <c r="N6098" s="38" t="n">
        <f aca="false">Q!$N$15</f>
        <v>2.811</v>
      </c>
      <c r="O6098" s="38" t="n">
        <f aca="false">Q!$O$15</f>
        <v>3.124</v>
      </c>
      <c r="P6098" s="8" t="s">
        <v>661</v>
      </c>
    </row>
    <row r="6099" customFormat="false" ht="17.15" hidden="false" customHeight="false" outlineLevel="0" collapsed="false">
      <c r="A6099" s="0" t="s">
        <v>672</v>
      </c>
      <c r="B6099" s="0" t="s">
        <v>52</v>
      </c>
      <c r="E6099" s="13" t="n">
        <f aca="false">Sens!$E$6098/Sens!$N$6098-1</f>
        <v>0.235859124866596</v>
      </c>
      <c r="F6099" s="13" t="n">
        <f aca="false">Sens!$O$6098/(Q!$F$15+Q!$G$15)-1</f>
        <v>0.0761281433000345</v>
      </c>
      <c r="G6099" s="13" t="n">
        <f aca="false">Sens!$G$6098/Sens!$D$6098-1</f>
        <v>0.128300843948811</v>
      </c>
      <c r="H6099" s="13" t="n">
        <f aca="false">Sens!$F$6099+(g_ot-Sens!$F$6099)*1/4</f>
        <v>0.0695961074750259</v>
      </c>
      <c r="I6099" s="13" t="n">
        <f aca="false">Sens!$F$6099+(g_ot-Sens!$F$6099)*2/4</f>
        <v>0.0630640716500172</v>
      </c>
      <c r="J6099" s="13" t="n">
        <f aca="false">Sens!$F$6099+(g_ot-Sens!$F$6099)*3/4</f>
        <v>0.0565320358250086</v>
      </c>
      <c r="K6099" s="13" t="n">
        <f aca="false">Sens!$F$6099+(g_ot-Sens!$F$6099)*4/4</f>
        <v>0.05</v>
      </c>
      <c r="L6099" s="13" t="n">
        <f aca="false">g_ot</f>
        <v>0.05</v>
      </c>
      <c r="M6099" s="13" t="n">
        <f aca="false">g_ot</f>
        <v>0.05</v>
      </c>
      <c r="P6099" s="8" t="s">
        <v>673</v>
      </c>
    </row>
    <row r="6100" customFormat="false" ht="17.15" hidden="false" customHeight="false" outlineLevel="0" collapsed="false">
      <c r="A6100" s="0" t="s">
        <v>674</v>
      </c>
      <c r="B6100" s="0" t="s">
        <v>57</v>
      </c>
      <c r="F6100" s="40" t="n">
        <f aca="false">(g26q3_mid*Q!$O$8/Q!$J$8-Sens!$F$6129-Sens!$F$6133)/(Sens!$O$6088*(1+Sens!$F$6089)+Sens!$O$6090*(1+Sens!$F$6091)+Sens!$O$6092*(1+Sens!$F$6093)+Sens!$O$6094*(1+Sens!$F$6095)+Sens!$O$6096*(1+Sens!$F$6097)+Sens!$O$6098*(1+Sens!$F$6099))</f>
        <v>0.958546670622329</v>
      </c>
      <c r="P6100" s="8" t="s">
        <v>675</v>
      </c>
    </row>
    <row r="6101" customFormat="false" ht="17.15" hidden="false" customHeight="false" outlineLevel="0" collapsed="false">
      <c r="A6101" s="3" t="s">
        <v>676</v>
      </c>
      <c r="B6101" s="8" t="s">
        <v>86</v>
      </c>
      <c r="C6101" s="38" t="n">
        <f aca="false">Sens!$C$6088+Sens!$C$6090+Sens!$C$6092+Sens!$C$6094+Sens!$C$6096+Sens!$C$6098</f>
        <v>530.403</v>
      </c>
      <c r="D6101" s="38" t="n">
        <f aca="false">Sens!$D$6088+Sens!$D$6090+Sens!$D$6092+Sens!$D$6094+Sens!$D$6096+Sens!$D$6098</f>
        <v>588.199</v>
      </c>
      <c r="E6101" s="38" t="n">
        <f aca="false">Sens!$E$6088+Sens!$E$6090+Sens!$E$6092+Sens!$E$6094+Sens!$E$6096+Sens!$E$6098</f>
        <v>302.306</v>
      </c>
      <c r="F6101" s="38" t="n">
        <f aca="false">Sens!$F$6088+Sens!$F$6090+Sens!$F$6092+Sens!$F$6094+Sens!$F$6096+Sens!$F$6098</f>
        <v>349.048241645537</v>
      </c>
      <c r="G6101" s="38" t="n">
        <f aca="false">Sens!$G$6088+Sens!$G$6090+Sens!$G$6092+Sens!$G$6094+Sens!$G$6096+Sens!$G$6098</f>
        <v>651.354241645537</v>
      </c>
      <c r="H6101" s="38" t="n">
        <f aca="false">Sens!$H$6088+Sens!$H$6090+Sens!$H$6092+Sens!$H$6094+Sens!$H$6096+Sens!$H$6098</f>
        <v>721.096889521386</v>
      </c>
      <c r="I6101" s="38" t="n">
        <f aca="false">Sens!$I$6088+Sens!$I$6090+Sens!$I$6092+Sens!$I$6094+Sens!$I$6096+Sens!$I$6098</f>
        <v>788.529391152531</v>
      </c>
      <c r="J6101" s="38" t="n">
        <f aca="false">Sens!$J$6088+Sens!$J$6090+Sens!$J$6092+Sens!$J$6094+Sens!$J$6096+Sens!$J$6098</f>
        <v>851.108405741443</v>
      </c>
      <c r="K6101" s="38" t="n">
        <f aca="false">Sens!$K$6088+Sens!$K$6090+Sens!$K$6092+Sens!$K$6094+Sens!$K$6096+Sens!$K$6098</f>
        <v>906.176455431088</v>
      </c>
      <c r="L6101" s="38" t="n">
        <f aca="false">Sens!$L$6088+Sens!$L$6090+Sens!$L$6092+Sens!$L$6094+Sens!$L$6096+Sens!$L$6098</f>
        <v>965.093106475589</v>
      </c>
      <c r="M6101" s="38" t="n">
        <f aca="false">Sens!$M$6088+Sens!$M$6090+Sens!$M$6092+Sens!$M$6094+Sens!$M$6096+Sens!$M$6098</f>
        <v>1028.14790794689</v>
      </c>
      <c r="N6101" s="38" t="n">
        <f aca="false">Sens!$N$6088+Sens!$N$6090+Sens!$N$6092+Sens!$N$6094+Sens!$N$6096+Sens!$N$6098</f>
        <v>263.229</v>
      </c>
      <c r="O6101" s="38" t="n">
        <f aca="false">Sens!$O$6088+Sens!$O$6090+Sens!$O$6092+Sens!$O$6094+Sens!$O$6096+Sens!$O$6098</f>
        <v>324.97</v>
      </c>
    </row>
    <row r="6102" customFormat="false" ht="17.15" hidden="false" customHeight="false" outlineLevel="0" collapsed="false">
      <c r="A6102" s="5" t="s">
        <v>677</v>
      </c>
      <c r="B6102" s="0" t="s">
        <v>52</v>
      </c>
      <c r="C6102" s="13" t="n">
        <f aca="false">Q!$D$5/(Q!$D$5+Q!$D$6)</f>
        <v>0.730570905519011</v>
      </c>
      <c r="D6102" s="13" t="n">
        <f aca="false">Q!$E$5/(Q!$E$5+Q!$E$6)</f>
        <v>0.724763217890544</v>
      </c>
      <c r="E6102" s="13" t="n">
        <f aca="false">Q!$P$5/(Q!$P$5+Q!$P$6)</f>
        <v>0.728797972914861</v>
      </c>
      <c r="F6102" s="13" t="n">
        <f aca="false">Sens!$O$6102</f>
        <v>0.718066283041511</v>
      </c>
      <c r="G6102" s="13" t="n">
        <f aca="false">Sens!$G$6103/Sens!$G$6101</f>
        <v>0.723047066202847</v>
      </c>
      <c r="H6102" s="13" t="n">
        <f aca="false">Sens!$G$6102</f>
        <v>0.723047066202847</v>
      </c>
      <c r="I6102" s="13" t="n">
        <f aca="false">Sens!$G$6102</f>
        <v>0.723047066202847</v>
      </c>
      <c r="J6102" s="13" t="n">
        <f aca="false">Sens!$G$6102</f>
        <v>0.723047066202847</v>
      </c>
      <c r="K6102" s="13" t="n">
        <f aca="false">Sens!$G$6102</f>
        <v>0.723047066202847</v>
      </c>
      <c r="L6102" s="13" t="n">
        <f aca="false">Sens!$G$6102</f>
        <v>0.723047066202847</v>
      </c>
      <c r="M6102" s="13" t="n">
        <f aca="false">Sens!$G$6102</f>
        <v>0.723047066202847</v>
      </c>
      <c r="N6102" s="13" t="n">
        <f aca="false">Q!$N$5/(Q!$N$5+Q!$N$6)</f>
        <v>0.733030935041352</v>
      </c>
      <c r="O6102" s="13" t="n">
        <f aca="false">Q!$O$5/(Q!$O$5+Q!$O$6)</f>
        <v>0.718066283041511</v>
      </c>
      <c r="P6102" s="8" t="s">
        <v>678</v>
      </c>
    </row>
    <row r="6103" customFormat="false" ht="17.15" hidden="false" customHeight="false" outlineLevel="0" collapsed="false">
      <c r="A6103" s="1" t="s">
        <v>509</v>
      </c>
      <c r="B6103" s="8" t="s">
        <v>86</v>
      </c>
      <c r="C6103" s="38" t="n">
        <f aca="false">Q!$D$5</f>
        <v>387.497</v>
      </c>
      <c r="D6103" s="38" t="n">
        <f aca="false">Q!$E$5</f>
        <v>426.305</v>
      </c>
      <c r="E6103" s="38" t="n">
        <f aca="false">Q!$P$5</f>
        <v>220.32</v>
      </c>
      <c r="F6103" s="38" t="n">
        <f aca="false">Sens!$F$6101*Sens!$F$6102</f>
        <v>250.639773480586</v>
      </c>
      <c r="G6103" s="38" t="n">
        <f aca="false">Sens!$E$6103+Sens!$F$6103</f>
        <v>470.959773480586</v>
      </c>
      <c r="H6103" s="38" t="n">
        <f aca="false">Sens!$H$6101*Sens!$H$6102</f>
        <v>521.386990416437</v>
      </c>
      <c r="I6103" s="38" t="n">
        <f aca="false">Sens!$I$6101*Sens!$I$6102</f>
        <v>570.143862887555</v>
      </c>
      <c r="J6103" s="38" t="n">
        <f aca="false">Sens!$J$6101*Sens!$J$6102</f>
        <v>615.391435791933</v>
      </c>
      <c r="K6103" s="38" t="n">
        <f aca="false">Sens!$K$6101*Sens!$K$6102</f>
        <v>655.208227561543</v>
      </c>
      <c r="L6103" s="38" t="n">
        <f aca="false">Sens!$L$6101*Sens!$L$6102</f>
        <v>697.807739249767</v>
      </c>
      <c r="M6103" s="38" t="n">
        <f aca="false">Sens!$M$6101*Sens!$M$6102</f>
        <v>743.399328463592</v>
      </c>
      <c r="N6103" s="38" t="n">
        <f aca="false">Q!$N$5</f>
        <v>192.955</v>
      </c>
      <c r="O6103" s="38" t="n">
        <f aca="false">Q!$O$5</f>
        <v>233.35</v>
      </c>
      <c r="P6103" s="5" t="s">
        <v>679</v>
      </c>
    </row>
    <row r="6104" customFormat="false" ht="17.15" hidden="false" customHeight="false" outlineLevel="0" collapsed="false">
      <c r="A6104" s="1" t="s">
        <v>512</v>
      </c>
      <c r="B6104" s="8" t="s">
        <v>86</v>
      </c>
      <c r="C6104" s="38" t="n">
        <f aca="false">Q!$D$6</f>
        <v>142.906</v>
      </c>
      <c r="D6104" s="38" t="n">
        <f aca="false">Q!$E$6</f>
        <v>161.894</v>
      </c>
      <c r="E6104" s="38" t="n">
        <f aca="false">Q!$P$6</f>
        <v>81.986</v>
      </c>
      <c r="F6104" s="38" t="n">
        <f aca="false">Sens!$F$6101*(1-Sens!$F$6102)</f>
        <v>98.408468164951</v>
      </c>
      <c r="G6104" s="38" t="n">
        <f aca="false">Sens!$E$6104+Sens!$F$6104</f>
        <v>180.394468164951</v>
      </c>
      <c r="H6104" s="38" t="n">
        <f aca="false">Sens!$H$6101*(1-Sens!$H$6102)</f>
        <v>199.709899104949</v>
      </c>
      <c r="I6104" s="38" t="n">
        <f aca="false">Sens!$I$6101*(1-Sens!$I$6102)</f>
        <v>218.385528264976</v>
      </c>
      <c r="J6104" s="38" t="n">
        <f aca="false">Sens!$J$6101*(1-Sens!$J$6102)</f>
        <v>235.71696994951</v>
      </c>
      <c r="K6104" s="38" t="n">
        <f aca="false">Sens!$K$6101*(1-Sens!$K$6102)</f>
        <v>250.968227869545</v>
      </c>
      <c r="L6104" s="38" t="n">
        <f aca="false">Sens!$L$6101*(1-Sens!$L$6102)</f>
        <v>267.285367225822</v>
      </c>
      <c r="M6104" s="38" t="n">
        <f aca="false">Sens!$M$6101*(1-Sens!$M$6102)</f>
        <v>284.748579483295</v>
      </c>
      <c r="N6104" s="38" t="n">
        <f aca="false">Q!$N$6</f>
        <v>70.274</v>
      </c>
      <c r="O6104" s="38" t="n">
        <f aca="false">Q!$O$6</f>
        <v>91.62</v>
      </c>
      <c r="P6104" s="5" t="s">
        <v>680</v>
      </c>
    </row>
    <row r="6105" customFormat="false" ht="17.15" hidden="false" customHeight="false" outlineLevel="0" collapsed="false">
      <c r="A6105" s="5" t="s">
        <v>681</v>
      </c>
      <c r="B6105" s="0" t="s">
        <v>86</v>
      </c>
      <c r="C6105" s="38" t="n">
        <f aca="false">Sens!$C$6094*Sens!$C$6102</f>
        <v>41.0683128828457</v>
      </c>
      <c r="D6105" s="38" t="n">
        <f aca="false">Sens!$D$6094*Sens!$D$6102</f>
        <v>49.7441234599175</v>
      </c>
      <c r="E6105" s="38" t="n">
        <f aca="false">Sens!$E$6094*Sens!$E$6102</f>
        <v>27.0034224924414</v>
      </c>
      <c r="F6105" s="38" t="n">
        <f aca="false">Sens!$F$6094*Sens!$F$6102</f>
        <v>33.1439448330513</v>
      </c>
      <c r="G6105" s="38" t="n">
        <f aca="false">Sens!$G$6094*Sens!$G$6102</f>
        <v>60.164183844083</v>
      </c>
      <c r="H6105" s="38" t="n">
        <f aca="false">Sens!$H$6094*Sens!$H$6102</f>
        <v>72.2301766552629</v>
      </c>
      <c r="I6105" s="38" t="n">
        <f aca="false">Sens!$I$6094*Sens!$I$6102</f>
        <v>84.2950764463991</v>
      </c>
      <c r="J6105" s="38" t="n">
        <f aca="false">Sens!$J$6094*Sens!$J$6102</f>
        <v>95.5499047729386</v>
      </c>
      <c r="K6105" s="38" t="n">
        <f aca="false">Sens!$K$6094*Sens!$K$6102</f>
        <v>105.104895250232</v>
      </c>
      <c r="L6105" s="38" t="n">
        <f aca="false">Sens!$L$6094*Sens!$L$6102</f>
        <v>115.615384775256</v>
      </c>
      <c r="M6105" s="38" t="n">
        <f aca="false">Sens!$M$6094*Sens!$M$6102</f>
        <v>127.176923252781</v>
      </c>
      <c r="N6105" s="38" t="n">
        <f aca="false">Sens!$N$6094*Sens!$N$6102</f>
        <v>21.7087111412496</v>
      </c>
      <c r="O6105" s="38" t="n">
        <f aca="false">Sens!$O$6094*Sens!$O$6102</f>
        <v>28.0189463642798</v>
      </c>
      <c r="P6105" s="5" t="s">
        <v>682</v>
      </c>
    </row>
    <row r="6106" customFormat="false" ht="15" hidden="false" customHeight="false" outlineLevel="0" collapsed="false">
      <c r="A6106" s="5" t="s">
        <v>683</v>
      </c>
      <c r="B6106" s="0" t="s">
        <v>86</v>
      </c>
      <c r="C6106" s="38" t="n">
        <f aca="false">Sens!$C$6094-Sens!$C$6105</f>
        <v>15.1456871171543</v>
      </c>
      <c r="D6106" s="38" t="n">
        <f aca="false">Sens!$D$6094-Sens!$D$6105</f>
        <v>18.8908765400825</v>
      </c>
      <c r="E6106" s="38" t="n">
        <f aca="false">Sens!$E$6094-Sens!$E$6105</f>
        <v>10.0485775075586</v>
      </c>
      <c r="F6106" s="38" t="n">
        <f aca="false">Sens!$F$6094-Sens!$F$6105</f>
        <v>13.0132771613635</v>
      </c>
      <c r="G6106" s="38" t="n">
        <f aca="false">Sens!$G$6094-Sens!$G$6105</f>
        <v>23.0450381503318</v>
      </c>
      <c r="H6106" s="38" t="n">
        <f aca="false">Sens!$H$6094-Sens!$H$6105</f>
        <v>27.6667457326347</v>
      </c>
      <c r="I6106" s="38" t="n">
        <f aca="false">Sens!$I$6094-Sens!$I$6105</f>
        <v>32.2880346490971</v>
      </c>
      <c r="J6106" s="38" t="n">
        <f aca="false">Sens!$J$6094-Sens!$J$6105</f>
        <v>36.5990371690132</v>
      </c>
      <c r="K6106" s="38" t="n">
        <f aca="false">Sens!$K$6094-Sens!$K$6105</f>
        <v>40.2589408859145</v>
      </c>
      <c r="L6106" s="38" t="n">
        <f aca="false">Sens!$L$6094-Sens!$L$6105</f>
        <v>44.2848349745059</v>
      </c>
      <c r="M6106" s="38" t="n">
        <f aca="false">Sens!$M$6094-Sens!$M$6105</f>
        <v>48.7133184719565</v>
      </c>
      <c r="N6106" s="38" t="n">
        <f aca="false">Sens!$N$6094-Sens!$N$6105</f>
        <v>7.90628885875037</v>
      </c>
      <c r="O6106" s="38" t="n">
        <f aca="false">Sens!$O$6094-Sens!$O$6105</f>
        <v>11.0010536357202</v>
      </c>
    </row>
    <row r="6107" customFormat="false" ht="19.4" hidden="false" customHeight="false" outlineLevel="0" collapsed="false">
      <c r="A6107" s="31" t="s">
        <v>1253</v>
      </c>
    </row>
    <row r="6108" customFormat="false" ht="17.15" hidden="false" customHeight="false" outlineLevel="0" collapsed="false">
      <c r="A6108" s="6" t="s">
        <v>16</v>
      </c>
      <c r="B6108" s="6" t="s">
        <v>17</v>
      </c>
      <c r="C6108" s="20" t="s">
        <v>494</v>
      </c>
      <c r="D6108" s="20" t="s">
        <v>495</v>
      </c>
      <c r="E6108" s="20" t="s">
        <v>577</v>
      </c>
      <c r="F6108" s="20" t="s">
        <v>578</v>
      </c>
      <c r="G6108" s="20" t="s">
        <v>579</v>
      </c>
      <c r="H6108" s="20" t="s">
        <v>580</v>
      </c>
      <c r="I6108" s="20" t="s">
        <v>581</v>
      </c>
      <c r="J6108" s="20" t="s">
        <v>582</v>
      </c>
      <c r="K6108" s="20" t="s">
        <v>583</v>
      </c>
      <c r="L6108" s="20" t="s">
        <v>584</v>
      </c>
      <c r="M6108" s="20" t="s">
        <v>585</v>
      </c>
      <c r="N6108" s="20" t="s">
        <v>586</v>
      </c>
      <c r="O6108" s="20" t="s">
        <v>587</v>
      </c>
      <c r="P6108" s="6" t="s">
        <v>23</v>
      </c>
      <c r="R6108" s="20" t="n">
        <v>2023</v>
      </c>
      <c r="S6108" s="20" t="n">
        <v>2024</v>
      </c>
      <c r="T6108" s="20" t="n">
        <v>2025</v>
      </c>
      <c r="U6108" s="20" t="n">
        <v>2026</v>
      </c>
      <c r="V6108" s="20" t="n">
        <v>2027</v>
      </c>
      <c r="W6108" s="20" t="n">
        <v>2028</v>
      </c>
      <c r="X6108" s="20" t="n">
        <v>2029</v>
      </c>
      <c r="Y6108" s="20" t="n">
        <v>2030</v>
      </c>
      <c r="Z6108" s="20" t="n">
        <v>2031</v>
      </c>
      <c r="AA6108" s="20" t="n">
        <v>2032</v>
      </c>
    </row>
    <row r="6109" customFormat="false" ht="17.15" hidden="false" customHeight="false" outlineLevel="0" collapsed="false">
      <c r="A6109" s="1" t="s">
        <v>588</v>
      </c>
    </row>
    <row r="6110" customFormat="false" ht="17.15" hidden="false" customHeight="false" outlineLevel="0" collapsed="false">
      <c r="A6110" s="5" t="s">
        <v>589</v>
      </c>
      <c r="B6110" s="0" t="s">
        <v>144</v>
      </c>
      <c r="H6110" s="32" t="n">
        <f aca="false">pace_B</f>
        <v>3634.3</v>
      </c>
      <c r="I6110" s="32" t="n">
        <f aca="false">pace_B</f>
        <v>3634.3</v>
      </c>
      <c r="J6110" s="32" t="n">
        <f aca="false">pace_B</f>
        <v>3634.3</v>
      </c>
      <c r="K6110" s="32" t="n">
        <f aca="false">pace_B+(Sens!$J$6111*tg-pace_B)*1/3</f>
        <v>2570.86716666667</v>
      </c>
      <c r="L6110" s="32" t="n">
        <f aca="false">pace_B+(Sens!$J$6111*tg-pace_B)*2/3</f>
        <v>1507.43433333333</v>
      </c>
      <c r="M6110" s="32" t="n">
        <f aca="false">pace_B+(Sens!$J$6111*tg-pace_B)*3/3</f>
        <v>444.0015</v>
      </c>
      <c r="P6110" s="5" t="s">
        <v>590</v>
      </c>
    </row>
    <row r="6111" customFormat="false" ht="17.15" hidden="false" customHeight="false" outlineLevel="0" collapsed="false">
      <c r="A6111" s="15" t="s">
        <v>591</v>
      </c>
      <c r="B6111" s="14" t="s">
        <v>129</v>
      </c>
      <c r="C6111" s="33" t="n">
        <f aca="false">mw_ye24</f>
        <v>360</v>
      </c>
      <c r="D6111" s="33" t="n">
        <f aca="false">mw_ye25</f>
        <v>1440</v>
      </c>
      <c r="E6111" s="33" t="n">
        <f aca="false">mw_open</f>
        <v>2080</v>
      </c>
      <c r="F6111" s="33" t="n">
        <f aca="false">Sens!$E$6111+pace_B*0.5</f>
        <v>3897.15</v>
      </c>
      <c r="G6111" s="33" t="n">
        <f aca="false">Sens!$F$6111</f>
        <v>3897.15</v>
      </c>
      <c r="H6111" s="33" t="n">
        <f aca="false">Sens!$G$6111+Sens!$H$6110</f>
        <v>7531.45</v>
      </c>
      <c r="I6111" s="33" t="n">
        <f aca="false">Sens!$H$6111+Sens!$I$6110</f>
        <v>11165.75</v>
      </c>
      <c r="J6111" s="33" t="n">
        <f aca="false">Sens!$I$6111+Sens!$J$6110</f>
        <v>14800.05</v>
      </c>
      <c r="K6111" s="33" t="n">
        <f aca="false">Sens!$J$6111+Sens!$K$6110</f>
        <v>17370.9171666667</v>
      </c>
      <c r="L6111" s="33" t="n">
        <f aca="false">Sens!$K$6111+Sens!$L$6110</f>
        <v>18878.3515</v>
      </c>
      <c r="M6111" s="33" t="n">
        <f aca="false">Sens!$L$6111+Sens!$M$6110</f>
        <v>19322.353</v>
      </c>
      <c r="N6111" s="33" t="n">
        <f aca="false">(mw_ye24+mw_ye25)/2</f>
        <v>900</v>
      </c>
      <c r="O6111" s="33" t="n">
        <f aca="false">mw_ye25</f>
        <v>1440</v>
      </c>
      <c r="P6111" s="5" t="s">
        <v>592</v>
      </c>
    </row>
    <row r="6112" customFormat="false" ht="17.15" hidden="false" customHeight="false" outlineLevel="0" collapsed="false">
      <c r="A6112" s="5" t="s">
        <v>593</v>
      </c>
      <c r="B6112" s="0" t="s">
        <v>129</v>
      </c>
      <c r="C6112" s="32" t="n">
        <f aca="false">(mw_ye23+mw_ye24)/2</f>
        <v>240</v>
      </c>
      <c r="D6112" s="32" t="n">
        <f aca="false">(Sens!$C$6111+Sens!$D$6111)/2</f>
        <v>900</v>
      </c>
      <c r="E6112" s="32" t="n">
        <f aca="false">(Sens!$D$6111+Sens!$E$6111)/2</f>
        <v>1760</v>
      </c>
      <c r="F6112" s="32" t="n">
        <f aca="false">(Sens!$E$6111+Sens!$F$6111)/2</f>
        <v>2988.575</v>
      </c>
      <c r="G6112" s="32" t="n">
        <f aca="false">(Sens!$E$6112+Sens!$F$6112)/2</f>
        <v>2374.2875</v>
      </c>
      <c r="H6112" s="32" t="n">
        <f aca="false">(Sens!$G$6111+Sens!$H$6111)/2</f>
        <v>5714.3</v>
      </c>
      <c r="I6112" s="32" t="n">
        <f aca="false">(Sens!$H$6111+Sens!$I$6111)/2</f>
        <v>9348.6</v>
      </c>
      <c r="J6112" s="32" t="n">
        <f aca="false">(Sens!$I$6111+Sens!$J$6111)/2</f>
        <v>12982.9</v>
      </c>
      <c r="K6112" s="32" t="n">
        <f aca="false">(Sens!$J$6111+Sens!$K$6111)/2</f>
        <v>16085.4835833333</v>
      </c>
      <c r="L6112" s="32" t="n">
        <f aca="false">(Sens!$K$6111+Sens!$L$6111)/2</f>
        <v>18124.6343333333</v>
      </c>
      <c r="M6112" s="32" t="n">
        <f aca="false">(Sens!$L$6111+Sens!$M$6111)/2</f>
        <v>19100.35225</v>
      </c>
      <c r="N6112" s="32" t="n">
        <f aca="false">(Sens!$C$6111+Sens!$N$6111)/2</f>
        <v>630</v>
      </c>
      <c r="O6112" s="32" t="n">
        <f aca="false">(Sens!$N$6111+Sens!$O$6111)/2</f>
        <v>1170</v>
      </c>
    </row>
    <row r="6113" customFormat="false" ht="15" hidden="false" customHeight="false" outlineLevel="0" collapsed="false">
      <c r="A6113" s="5" t="s">
        <v>594</v>
      </c>
      <c r="B6113" s="5" t="s">
        <v>123</v>
      </c>
      <c r="C6113" s="34" t="n">
        <v>1</v>
      </c>
      <c r="D6113" s="34" t="n">
        <v>1</v>
      </c>
      <c r="E6113" s="34" t="n">
        <v>0.5</v>
      </c>
      <c r="F6113" s="34" t="n">
        <v>0.5</v>
      </c>
      <c r="G6113" s="34" t="n">
        <v>1</v>
      </c>
      <c r="H6113" s="34" t="n">
        <v>1</v>
      </c>
      <c r="I6113" s="34" t="n">
        <v>1</v>
      </c>
      <c r="J6113" s="34" t="n">
        <v>1</v>
      </c>
      <c r="K6113" s="34" t="n">
        <v>1</v>
      </c>
      <c r="L6113" s="34" t="n">
        <v>1</v>
      </c>
      <c r="M6113" s="34" t="n">
        <v>1</v>
      </c>
      <c r="N6113" s="34" t="n">
        <v>0.5</v>
      </c>
      <c r="O6113" s="34" t="n">
        <v>0.5</v>
      </c>
    </row>
    <row r="6114" customFormat="false" ht="17.15" hidden="false" customHeight="false" outlineLevel="0" collapsed="false">
      <c r="A6114" s="5" t="s">
        <v>595</v>
      </c>
      <c r="B6114" s="0" t="s">
        <v>129</v>
      </c>
      <c r="C6114" s="32" t="n">
        <f aca="false">Sens!$C$6111-mw_ye23</f>
        <v>240</v>
      </c>
      <c r="D6114" s="32" t="n">
        <f aca="false">Sens!$D$6111-Sens!$C$6111</f>
        <v>1080</v>
      </c>
      <c r="E6114" s="32" t="n">
        <f aca="false">Sens!$E$6111-Sens!$D$6111</f>
        <v>640</v>
      </c>
      <c r="F6114" s="32" t="n">
        <f aca="false">Sens!$F$6111-Sens!$E$6111</f>
        <v>1817.15</v>
      </c>
      <c r="G6114" s="32" t="n">
        <f aca="false">Sens!$E$6114+Sens!$F$6114</f>
        <v>2457.15</v>
      </c>
      <c r="H6114" s="32" t="n">
        <f aca="false">Sens!$H$6111-Sens!$G$6111</f>
        <v>3634.3</v>
      </c>
      <c r="I6114" s="32" t="n">
        <f aca="false">Sens!$I$6111-Sens!$H$6111</f>
        <v>3634.3</v>
      </c>
      <c r="J6114" s="32" t="n">
        <f aca="false">Sens!$J$6111-Sens!$I$6111</f>
        <v>3634.3</v>
      </c>
      <c r="K6114" s="32" t="n">
        <f aca="false">Sens!$K$6111-Sens!$J$6111</f>
        <v>2570.86716666667</v>
      </c>
      <c r="L6114" s="32" t="n">
        <f aca="false">Sens!$L$6111-Sens!$K$6111</f>
        <v>1507.43433333333</v>
      </c>
      <c r="M6114" s="32" t="n">
        <f aca="false">Sens!$M$6111-Sens!$L$6111</f>
        <v>444.001499999999</v>
      </c>
      <c r="N6114" s="32" t="n">
        <f aca="false">Sens!$N$6111-Sens!$C$6111</f>
        <v>540</v>
      </c>
      <c r="O6114" s="32" t="n">
        <f aca="false">Sens!$O$6111-Sens!$N$6111</f>
        <v>540</v>
      </c>
    </row>
    <row r="6115" customFormat="false" ht="17.15" hidden="false" customHeight="false" outlineLevel="0" collapsed="false">
      <c r="A6115" s="5" t="s">
        <v>596</v>
      </c>
      <c r="B6115" s="0" t="s">
        <v>129</v>
      </c>
      <c r="C6115" s="32" t="n">
        <f aca="false">Sens!$C$6114/ext_sh</f>
        <v>300</v>
      </c>
      <c r="D6115" s="32" t="n">
        <f aca="false">Sens!$D$6114/ext_sh</f>
        <v>1350</v>
      </c>
      <c r="E6115" s="32" t="n">
        <f aca="false">Sens!$E$6114/ext_sh</f>
        <v>800</v>
      </c>
      <c r="F6115" s="32" t="n">
        <f aca="false">Sens!$F$6114/ext_sh</f>
        <v>2271.4375</v>
      </c>
      <c r="G6115" s="32" t="n">
        <f aca="false">Sens!$G$6114/ext_sh</f>
        <v>3071.4375</v>
      </c>
      <c r="H6115" s="32" t="n">
        <f aca="false">Sens!$H$6114/ext_sh</f>
        <v>4542.875</v>
      </c>
      <c r="I6115" s="32" t="n">
        <f aca="false">Sens!$I$6114/ext_sh</f>
        <v>4542.875</v>
      </c>
      <c r="J6115" s="32" t="n">
        <f aca="false">Sens!$J$6114/ext_sh</f>
        <v>4542.875</v>
      </c>
      <c r="K6115" s="32" t="n">
        <f aca="false">Sens!$K$6114/ext_sh</f>
        <v>3213.58395833333</v>
      </c>
      <c r="L6115" s="32" t="n">
        <f aca="false">Sens!$L$6114/ext_sh</f>
        <v>1884.29291666667</v>
      </c>
      <c r="M6115" s="32" t="n">
        <f aca="false">Sens!$M$6114/ext_sh</f>
        <v>555.001874999998</v>
      </c>
      <c r="N6115" s="32" t="n">
        <f aca="false">Sens!$N$6114/ext_sh</f>
        <v>675</v>
      </c>
      <c r="O6115" s="32" t="n">
        <f aca="false">Sens!$O$6114/ext_sh</f>
        <v>675</v>
      </c>
      <c r="P6115" s="8" t="s">
        <v>597</v>
      </c>
      <c r="R6115" s="32" t="n">
        <f aca="false">mw_ye23/ext_sh</f>
        <v>150</v>
      </c>
      <c r="S6115" s="32" t="n">
        <f aca="false">Sens!$C$6115</f>
        <v>300</v>
      </c>
      <c r="T6115" s="32" t="n">
        <f aca="false">Sens!$D$6115</f>
        <v>1350</v>
      </c>
      <c r="U6115" s="32" t="n">
        <f aca="false">Sens!$G$6115</f>
        <v>3071.4375</v>
      </c>
      <c r="V6115" s="32" t="n">
        <f aca="false">Sens!$H$6115</f>
        <v>4542.875</v>
      </c>
      <c r="W6115" s="32" t="n">
        <f aca="false">Sens!$I$6115</f>
        <v>4542.875</v>
      </c>
      <c r="X6115" s="32" t="n">
        <f aca="false">Sens!$J$6115</f>
        <v>4542.875</v>
      </c>
      <c r="Y6115" s="32" t="n">
        <f aca="false">Sens!$K$6115</f>
        <v>3213.58395833333</v>
      </c>
      <c r="Z6115" s="32" t="n">
        <f aca="false">Sens!$L$6115</f>
        <v>1884.29291666667</v>
      </c>
      <c r="AA6115" s="32" t="n">
        <f aca="false">Sens!$M$6115</f>
        <v>555.001874999998</v>
      </c>
    </row>
    <row r="6116" customFormat="false" ht="17.15" hidden="false" customHeight="false" outlineLevel="0" collapsed="false">
      <c r="A6116" s="1" t="s">
        <v>598</v>
      </c>
    </row>
    <row r="6117" customFormat="false" ht="17.15" hidden="false" customHeight="false" outlineLevel="0" collapsed="false">
      <c r="A6117" s="0" t="s">
        <v>599</v>
      </c>
      <c r="B6117" s="0" t="s">
        <v>52</v>
      </c>
      <c r="F6117" s="35" t="n">
        <f aca="false">na_vr26</f>
        <v>0</v>
      </c>
      <c r="G6117" s="35" t="n">
        <f aca="false">na_vr26</f>
        <v>0</v>
      </c>
      <c r="H6117" s="35" t="n">
        <f aca="false">na_vr27</f>
        <v>0.5</v>
      </c>
      <c r="I6117" s="35" t="n">
        <f aca="false">na_vr28</f>
        <v>1</v>
      </c>
      <c r="J6117" s="35" t="n">
        <f aca="false">na_vr28</f>
        <v>1</v>
      </c>
      <c r="K6117" s="35" t="n">
        <f aca="false">na_vr28</f>
        <v>1</v>
      </c>
      <c r="L6117" s="35" t="n">
        <f aca="false">na_vr28</f>
        <v>1</v>
      </c>
      <c r="M6117" s="35" t="n">
        <f aca="false">na_vr28</f>
        <v>1</v>
      </c>
    </row>
    <row r="6118" customFormat="false" ht="17.15" hidden="false" customHeight="false" outlineLevel="0" collapsed="false">
      <c r="A6118" s="5" t="s">
        <v>600</v>
      </c>
      <c r="B6118" s="0" t="s">
        <v>173</v>
      </c>
      <c r="F6118" s="36" t="n">
        <f aca="false">cust_sh*tk_he_gb300*cf_chip+(1-cust_sh)*((1-Sens!$F$6117)*tk_he_gb300+Sens!$F$6117*tk_he_vr200)</f>
        <v>10.8864110021101</v>
      </c>
      <c r="G6118" s="36" t="n">
        <f aca="false">cust_sh*tk_he_gb300*cf_chip+(1-cust_sh)*((1-Sens!$G$6117)*tk_he_gb300+Sens!$G$6117*tk_he_vr200)</f>
        <v>10.8864110021101</v>
      </c>
      <c r="H6118" s="36" t="n">
        <f aca="false">cust_sh*tk_he_gb300*cf_chip+(1-cust_sh)*((1-Sens!$H$6117)*tk_he_gb300+Sens!$H$6117*tk_he_vr200)</f>
        <v>11.2211760027286</v>
      </c>
      <c r="I6118" s="36" t="n">
        <f aca="false">cust_sh*tk_he_gb300*cf_chip+(1-cust_sh)*((1-Sens!$I$6117)*tk_he_gb300+Sens!$I$6117*tk_he_vr200)</f>
        <v>11.5559410033471</v>
      </c>
      <c r="J6118" s="36" t="n">
        <f aca="false">cust_sh*tk_he_gb300*cf_chip+(1-cust_sh)*((1-Sens!$J$6117)*tk_he_gb300+Sens!$J$6117*tk_he_vr200)</f>
        <v>11.5559410033471</v>
      </c>
      <c r="K6118" s="36" t="n">
        <f aca="false">cust_sh*tk_he_gb300*cf_chip+(1-cust_sh)*((1-Sens!$K$6117)*tk_he_gb300+Sens!$K$6117*tk_he_vr200)</f>
        <v>11.5559410033471</v>
      </c>
      <c r="L6118" s="36" t="n">
        <f aca="false">cust_sh*tk_he_gb300*cf_chip+(1-cust_sh)*((1-Sens!$L$6117)*tk_he_gb300+Sens!$L$6117*tk_he_vr200)</f>
        <v>11.5559410033471</v>
      </c>
      <c r="M6118" s="36" t="n">
        <f aca="false">cust_sh*tk_he_gb300*cf_chip+(1-cust_sh)*((1-Sens!$M$6117)*tk_he_gb300+Sens!$M$6117*tk_he_vr200)</f>
        <v>11.5559410033471</v>
      </c>
    </row>
    <row r="6119" customFormat="false" ht="17.15" hidden="false" customHeight="false" outlineLevel="0" collapsed="false">
      <c r="A6119" s="5" t="s">
        <v>601</v>
      </c>
      <c r="B6119" s="0" t="s">
        <v>173</v>
      </c>
      <c r="F6119" s="36" t="n">
        <f aca="false">cust_sh*tk_ox_gb300+(1-cust_sh)*((1-Sens!$F$6117)*tk_ox_gb300+Sens!$F$6117*tk_ox_vr200)</f>
        <v>1.98263481314457</v>
      </c>
      <c r="G6119" s="36" t="n">
        <f aca="false">cust_sh*tk_ox_gb300+(1-cust_sh)*((1-Sens!$G$6117)*tk_ox_gb300+Sens!$G$6117*tk_ox_vr200)</f>
        <v>1.98263481314457</v>
      </c>
      <c r="H6119" s="36" t="n">
        <f aca="false">cust_sh*tk_ox_gb300+(1-cust_sh)*((1-Sens!$H$6117)*tk_ox_gb300+Sens!$H$6117*tk_ox_vr200)</f>
        <v>2.01034999693694</v>
      </c>
      <c r="I6119" s="36" t="n">
        <f aca="false">cust_sh*tk_ox_gb300+(1-cust_sh)*((1-Sens!$I$6117)*tk_ox_gb300+Sens!$I$6117*tk_ox_vr200)</f>
        <v>2.0380651807293</v>
      </c>
      <c r="J6119" s="36" t="n">
        <f aca="false">cust_sh*tk_ox_gb300+(1-cust_sh)*((1-Sens!$J$6117)*tk_ox_gb300+Sens!$J$6117*tk_ox_vr200)</f>
        <v>2.0380651807293</v>
      </c>
      <c r="K6119" s="36" t="n">
        <f aca="false">cust_sh*tk_ox_gb300+(1-cust_sh)*((1-Sens!$K$6117)*tk_ox_gb300+Sens!$K$6117*tk_ox_vr200)</f>
        <v>2.0380651807293</v>
      </c>
      <c r="L6119" s="36" t="n">
        <f aca="false">cust_sh*tk_ox_gb300+(1-cust_sh)*((1-Sens!$L$6117)*tk_ox_gb300+Sens!$L$6117*tk_ox_vr200)</f>
        <v>2.0380651807293</v>
      </c>
      <c r="M6119" s="36" t="n">
        <f aca="false">cust_sh*tk_ox_gb300+(1-cust_sh)*((1-Sens!$M$6117)*tk_ox_gb300+Sens!$M$6117*tk_ox_vr200)</f>
        <v>2.0380651807293</v>
      </c>
    </row>
    <row r="6120" customFormat="false" ht="17.15" hidden="false" customHeight="false" outlineLevel="0" collapsed="false">
      <c r="A6120" s="5" t="s">
        <v>602</v>
      </c>
      <c r="B6120" s="0" t="s">
        <v>192</v>
      </c>
      <c r="F6120" s="36" t="n">
        <f aca="false">cust_sh*tk_cx_gb300*cf_cx+(1-cust_sh)*((1-Sens!$F$6117)*tk_cx_gb300+Sens!$F$6117*tk_cx_vr200)</f>
        <v>32.237224</v>
      </c>
      <c r="G6120" s="36" t="n">
        <f aca="false">cust_sh*tk_cx_gb300*cf_cx+(1-cust_sh)*((1-Sens!$G$6117)*tk_cx_gb300+Sens!$G$6117*tk_cx_vr200)</f>
        <v>32.237224</v>
      </c>
      <c r="H6120" s="36" t="n">
        <f aca="false">cust_sh*tk_cx_gb300*cf_cx+(1-cust_sh)*((1-Sens!$H$6117)*tk_cx_gb300+Sens!$H$6117*tk_cx_vr200)</f>
        <v>33.574506</v>
      </c>
      <c r="I6120" s="36" t="n">
        <f aca="false">cust_sh*tk_cx_gb300*cf_cx+(1-cust_sh)*((1-Sens!$I$6117)*tk_cx_gb300+Sens!$I$6117*tk_cx_vr200)</f>
        <v>34.911788</v>
      </c>
      <c r="J6120" s="36" t="n">
        <f aca="false">cust_sh*tk_cx_gb300*cf_cx+(1-cust_sh)*((1-Sens!$J$6117)*tk_cx_gb300+Sens!$J$6117*tk_cx_vr200)</f>
        <v>34.911788</v>
      </c>
      <c r="K6120" s="36" t="n">
        <f aca="false">cust_sh*tk_cx_gb300*cf_cx+(1-cust_sh)*((1-Sens!$K$6117)*tk_cx_gb300+Sens!$K$6117*tk_cx_vr200)</f>
        <v>34.911788</v>
      </c>
      <c r="L6120" s="36" t="n">
        <f aca="false">cust_sh*tk_cx_gb300*cf_cx+(1-cust_sh)*((1-Sens!$L$6117)*tk_cx_gb300+Sens!$L$6117*tk_cx_vr200)</f>
        <v>34.911788</v>
      </c>
      <c r="M6120" s="36" t="n">
        <f aca="false">cust_sh*tk_cx_gb300*cf_cx+(1-cust_sh)*((1-Sens!$M$6117)*tk_cx_gb300+Sens!$M$6117*tk_cx_vr200)</f>
        <v>34.911788</v>
      </c>
    </row>
    <row r="6121" customFormat="false" ht="17.15" hidden="false" customHeight="false" outlineLevel="0" collapsed="false">
      <c r="A6121" s="5" t="s">
        <v>603</v>
      </c>
      <c r="B6121" s="0" t="s">
        <v>129</v>
      </c>
      <c r="F6121" s="32" t="n">
        <f aca="false">Sens!$F$6111-mw_open</f>
        <v>1817.15</v>
      </c>
      <c r="G6121" s="32" t="n">
        <f aca="false">Sens!$F$6121</f>
        <v>1817.15</v>
      </c>
      <c r="H6121" s="32" t="n">
        <f aca="false">Sens!$H$6111-mw_open</f>
        <v>5451.45</v>
      </c>
      <c r="I6121" s="32" t="n">
        <f aca="false">Sens!$I$6111-mw_open</f>
        <v>9085.75</v>
      </c>
      <c r="J6121" s="32" t="n">
        <f aca="false">Sens!$J$6111-mw_open</f>
        <v>12720.05</v>
      </c>
      <c r="K6121" s="32" t="n">
        <f aca="false">Sens!$K$6111-mw_open</f>
        <v>15290.9171666667</v>
      </c>
      <c r="L6121" s="32" t="n">
        <f aca="false">Sens!$L$6111-mw_open</f>
        <v>16798.3515</v>
      </c>
      <c r="M6121" s="32" t="n">
        <f aca="false">Sens!$M$6111-mw_open</f>
        <v>17242.353</v>
      </c>
    </row>
    <row r="6122" customFormat="false" ht="17.15" hidden="false" customHeight="false" outlineLevel="0" collapsed="false">
      <c r="A6122" s="0" t="s">
        <v>604</v>
      </c>
      <c r="B6122" s="0" t="s">
        <v>605</v>
      </c>
      <c r="F6122" s="32" t="n">
        <f aca="false">Sens!$F$6114*Sens!$F$6118</f>
        <v>19782.2417524844</v>
      </c>
      <c r="G6122" s="32" t="n">
        <f aca="false">Sens!$F$6122</f>
        <v>19782.2417524844</v>
      </c>
      <c r="H6122" s="32" t="n">
        <f aca="false">Sens!$G$6122+Sens!$H$6114*Sens!$H$6118</f>
        <v>60563.3616992009</v>
      </c>
      <c r="I6122" s="32" t="n">
        <f aca="false">Sens!$H$6122+Sens!$I$6114*Sens!$I$6118</f>
        <v>102561.118087665</v>
      </c>
      <c r="J6122" s="32" t="n">
        <f aca="false">Sens!$I$6122+Sens!$J$6114*Sens!$J$6118</f>
        <v>144558.87447613</v>
      </c>
      <c r="K6122" s="32" t="n">
        <f aca="false">Sens!$J$6122+Sens!$K$6114*Sens!$K$6118</f>
        <v>174267.663781572</v>
      </c>
      <c r="L6122" s="32" t="n">
        <f aca="false">Sens!$K$6122+Sens!$L$6114*Sens!$L$6118</f>
        <v>191687.486003992</v>
      </c>
      <c r="M6122" s="32" t="n">
        <f aca="false">Sens!$L$6122+Sens!$M$6114*Sens!$M$6118</f>
        <v>196818.341143389</v>
      </c>
    </row>
    <row r="6123" customFormat="false" ht="17.15" hidden="false" customHeight="false" outlineLevel="0" collapsed="false">
      <c r="A6123" s="0" t="s">
        <v>606</v>
      </c>
      <c r="B6123" s="0" t="s">
        <v>605</v>
      </c>
      <c r="F6123" s="32" t="n">
        <f aca="false">Sens!$F$6114*Sens!$F$6119</f>
        <v>3602.74485070566</v>
      </c>
      <c r="G6123" s="32" t="n">
        <f aca="false">Sens!$F$6123</f>
        <v>3602.74485070566</v>
      </c>
      <c r="H6123" s="32" t="n">
        <f aca="false">Sens!$G$6123+Sens!$H$6114*Sens!$H$6119</f>
        <v>10908.9598445736</v>
      </c>
      <c r="I6123" s="32" t="n">
        <f aca="false">Sens!$H$6123+Sens!$I$6114*Sens!$I$6119</f>
        <v>18315.9001308981</v>
      </c>
      <c r="J6123" s="32" t="n">
        <f aca="false">Sens!$I$6123+Sens!$J$6114*Sens!$J$6119</f>
        <v>25722.8404172225</v>
      </c>
      <c r="K6123" s="32" t="n">
        <f aca="false">Sens!$J$6123+Sens!$K$6114*Sens!$K$6119</f>
        <v>30962.4352738861</v>
      </c>
      <c r="L6123" s="32" t="n">
        <f aca="false">Sens!$K$6123+Sens!$L$6114*Sens!$L$6119</f>
        <v>34034.6847008886</v>
      </c>
      <c r="M6123" s="32" t="n">
        <f aca="false">Sens!$L$6123+Sens!$M$6114*Sens!$M$6119</f>
        <v>34939.5886982302</v>
      </c>
    </row>
    <row r="6124" customFormat="false" ht="17.15" hidden="false" customHeight="false" outlineLevel="0" collapsed="false">
      <c r="A6124" s="5" t="s">
        <v>607</v>
      </c>
      <c r="B6124" s="0" t="s">
        <v>173</v>
      </c>
      <c r="F6124" s="36" t="n">
        <f aca="false">IF(Sens!$F$6121&gt;0,Sens!$F$6122/Sens!$F$6121,Sens!$F$6118)</f>
        <v>10.8864110021101</v>
      </c>
      <c r="G6124" s="36" t="n">
        <f aca="false">IF(Sens!$G$6121&gt;0,Sens!$G$6122/Sens!$G$6121,Sens!$G$6118)</f>
        <v>10.8864110021101</v>
      </c>
      <c r="H6124" s="36" t="n">
        <f aca="false">IF(Sens!$H$6121&gt;0,Sens!$H$6122/Sens!$H$6121,Sens!$H$6118)</f>
        <v>11.1095876691891</v>
      </c>
      <c r="I6124" s="36" t="n">
        <f aca="false">IF(Sens!$I$6121&gt;0,Sens!$I$6122/Sens!$I$6121,Sens!$I$6118)</f>
        <v>11.2881290028523</v>
      </c>
      <c r="J6124" s="36" t="n">
        <f aca="false">IF(Sens!$J$6121&gt;0,Sens!$J$6122/Sens!$J$6121,Sens!$J$6118)</f>
        <v>11.3646467172794</v>
      </c>
      <c r="K6124" s="36" t="n">
        <f aca="false">IF(Sens!$K$6121&gt;0,Sens!$K$6122/Sens!$K$6121,Sens!$K$6118)</f>
        <v>11.3968090914432</v>
      </c>
      <c r="L6124" s="36" t="n">
        <f aca="false">IF(Sens!$L$6121&gt;0,Sens!$L$6122/Sens!$L$6121,Sens!$L$6118)</f>
        <v>11.4110891181192</v>
      </c>
      <c r="M6124" s="36" t="n">
        <f aca="false">IF(Sens!$M$6121&gt;0,Sens!$M$6122/Sens!$M$6121,Sens!$M$6118)</f>
        <v>11.4148191458201</v>
      </c>
    </row>
    <row r="6125" customFormat="false" ht="17.15" hidden="false" customHeight="false" outlineLevel="0" collapsed="false">
      <c r="A6125" s="5" t="s">
        <v>608</v>
      </c>
      <c r="B6125" s="0" t="s">
        <v>173</v>
      </c>
      <c r="F6125" s="36" t="n">
        <f aca="false">IF(Sens!$F$6121&gt;0,Sens!$F$6123/Sens!$F$6121,Sens!$F$6119)</f>
        <v>1.98263481314457</v>
      </c>
      <c r="G6125" s="36" t="n">
        <f aca="false">IF(Sens!$G$6121&gt;0,Sens!$G$6123/Sens!$G$6121,Sens!$G$6119)</f>
        <v>1.98263481314457</v>
      </c>
      <c r="H6125" s="36" t="n">
        <f aca="false">IF(Sens!$H$6121&gt;0,Sens!$H$6123/Sens!$H$6121,Sens!$H$6119)</f>
        <v>2.00111160233948</v>
      </c>
      <c r="I6125" s="36" t="n">
        <f aca="false">IF(Sens!$I$6121&gt;0,Sens!$I$6123/Sens!$I$6121,Sens!$I$6119)</f>
        <v>2.01589303369541</v>
      </c>
      <c r="J6125" s="36" t="n">
        <f aca="false">IF(Sens!$J$6121&gt;0,Sens!$J$6123/Sens!$J$6121,Sens!$J$6119)</f>
        <v>2.02222793284795</v>
      </c>
      <c r="K6125" s="36" t="n">
        <f aca="false">IF(Sens!$K$6121&gt;0,Sens!$K$6123/Sens!$K$6121,Sens!$K$6119)</f>
        <v>2.02489065478573</v>
      </c>
      <c r="L6125" s="36" t="n">
        <f aca="false">IF(Sens!$L$6121&gt;0,Sens!$L$6123/Sens!$L$6121,Sens!$L$6119)</f>
        <v>2.0260728977417</v>
      </c>
      <c r="M6125" s="36" t="n">
        <f aca="false">IF(Sens!$M$6121&gt;0,Sens!$M$6123/Sens!$M$6121,Sens!$M$6119)</f>
        <v>2.02638170661685</v>
      </c>
    </row>
    <row r="6126" customFormat="false" ht="17.15" hidden="false" customHeight="false" outlineLevel="0" collapsed="false">
      <c r="A6126" s="15" t="s">
        <v>609</v>
      </c>
      <c r="B6126" s="14" t="s">
        <v>173</v>
      </c>
      <c r="C6126" s="14"/>
      <c r="D6126" s="14"/>
      <c r="E6126" s="14"/>
      <c r="F6126" s="37" t="n">
        <f aca="false">Sens!$F$6124*k_B</f>
        <v>10.7987645808025</v>
      </c>
      <c r="G6126" s="37" t="n">
        <f aca="false">Sens!$G$6124*k_B</f>
        <v>10.7987645808025</v>
      </c>
      <c r="H6126" s="37" t="n">
        <f aca="false">Sens!$H$6124*k_B</f>
        <v>11.0201444540452</v>
      </c>
      <c r="I6126" s="37" t="n">
        <f aca="false">Sens!$I$6124*k_B</f>
        <v>11.1972483526393</v>
      </c>
      <c r="J6126" s="37" t="n">
        <f aca="false">Sens!$J$6124*k_B</f>
        <v>11.2731500234653</v>
      </c>
      <c r="K6126" s="37" t="n">
        <f aca="false">Sens!$K$6124*k_B</f>
        <v>11.3050534585724</v>
      </c>
      <c r="L6126" s="37" t="n">
        <f aca="false">Sens!$L$6124*k_B</f>
        <v>11.3192185168503</v>
      </c>
      <c r="M6126" s="37" t="n">
        <f aca="false">Sens!$M$6124*k_B</f>
        <v>11.3229185141234</v>
      </c>
      <c r="N6126" s="14"/>
      <c r="O6126" s="14"/>
      <c r="P6126" s="5" t="s">
        <v>610</v>
      </c>
    </row>
    <row r="6127" customFormat="false" ht="17.15" hidden="false" customHeight="false" outlineLevel="0" collapsed="false">
      <c r="A6127" s="5" t="s">
        <v>611</v>
      </c>
      <c r="B6127" s="0" t="s">
        <v>129</v>
      </c>
      <c r="F6127" s="32" t="n">
        <f aca="false">Sens!$F$6121/2</f>
        <v>908.575</v>
      </c>
      <c r="H6127" s="32" t="n">
        <f aca="false">(Sens!$G$6121+Sens!$H$6121)/2</f>
        <v>3634.3</v>
      </c>
      <c r="I6127" s="32" t="n">
        <f aca="false">(Sens!$H$6121+Sens!$I$6121)/2</f>
        <v>7268.6</v>
      </c>
      <c r="J6127" s="32" t="n">
        <f aca="false">(Sens!$I$6121+Sens!$J$6121)/2</f>
        <v>10902.9</v>
      </c>
      <c r="K6127" s="32" t="n">
        <f aca="false">(Sens!$J$6121+Sens!$K$6121)/2</f>
        <v>14005.4835833333</v>
      </c>
      <c r="L6127" s="32" t="n">
        <f aca="false">(Sens!$K$6121+Sens!$L$6121)/2</f>
        <v>16044.6343333333</v>
      </c>
      <c r="M6127" s="32" t="n">
        <f aca="false">(Sens!$L$6121+Sens!$M$6121)/2</f>
        <v>17020.35225</v>
      </c>
    </row>
    <row r="6128" customFormat="false" ht="17.15" hidden="false" customHeight="false" outlineLevel="0" collapsed="false">
      <c r="A6128" s="1" t="s">
        <v>612</v>
      </c>
    </row>
    <row r="6129" customFormat="false" ht="17.15" hidden="false" customHeight="false" outlineLevel="0" collapsed="false">
      <c r="A6129" s="1" t="s">
        <v>613</v>
      </c>
      <c r="B6129" s="8" t="s">
        <v>86</v>
      </c>
      <c r="C6129" s="38" t="n">
        <f aca="false">Sens!$C$6112*rpm_open*Sens!$C$6113/1000</f>
        <v>2.32100535697364</v>
      </c>
      <c r="D6129" s="38" t="n">
        <f aca="false">Sens!$D$6112*rpm_open*Sens!$D$6113/1000</f>
        <v>8.70377008865116</v>
      </c>
      <c r="E6129" s="38" t="n">
        <f aca="false">Sens!$E$6112*rpm_open*Sens!$E$6113/1000</f>
        <v>8.51035297557002</v>
      </c>
      <c r="F6129" s="38" t="n">
        <f aca="false">(mw_open*rpm_open+Sens!$F$6127*Sens!$F$6126)*Sens!$F$6113/1000</f>
        <v>14.9634336447205</v>
      </c>
      <c r="G6129" s="38" t="n">
        <f aca="false">Sens!$E$6129+Sens!$F$6129</f>
        <v>23.4737866202905</v>
      </c>
      <c r="H6129" s="38" t="n">
        <f aca="false">(mw_open*rpm_open+Sens!$H$6127*Sens!$H$6126)/1000</f>
        <v>60.1658907497746</v>
      </c>
      <c r="I6129" s="38" t="n">
        <f aca="false">(mw_open*rpm_open+Sens!$I$6127*Sens!$I$6126)/1000</f>
        <v>101.503699136432</v>
      </c>
      <c r="J6129" s="38" t="n">
        <f aca="false">(mw_open*rpm_open+Sens!$J$6127*Sens!$J$6126)/1000</f>
        <v>143.025407151278</v>
      </c>
      <c r="K6129" s="38" t="n">
        <f aca="false">(mw_open*rpm_open+Sens!$K$6127*Sens!$K$6126)/1000</f>
        <v>178.44812038318</v>
      </c>
      <c r="L6129" s="38" t="n">
        <f aca="false">(mw_open*rpm_open+Sens!$L$6127*Sens!$L$6126)/1000</f>
        <v>201.728101802396</v>
      </c>
      <c r="M6129" s="38" t="n">
        <f aca="false">(mw_open*rpm_open+Sens!$M$6127*Sens!$M$6126)/1000</f>
        <v>212.835441368865</v>
      </c>
      <c r="N6129" s="38" t="n">
        <f aca="false">Sens!$N$6112*rpm_open*Sens!$N$6113/1000</f>
        <v>3.04631953102791</v>
      </c>
      <c r="O6129" s="38" t="n">
        <f aca="false">Sens!$O$6112*rpm_open*Sens!$O$6113/1000</f>
        <v>5.65745055762326</v>
      </c>
      <c r="P6129" s="5" t="s">
        <v>614</v>
      </c>
    </row>
    <row r="6130" customFormat="false" ht="17.15" hidden="false" customHeight="false" outlineLevel="0" collapsed="false">
      <c r="A6130" s="5" t="s">
        <v>615</v>
      </c>
      <c r="B6130" s="0" t="s">
        <v>173</v>
      </c>
      <c r="C6130" s="36" t="n">
        <f aca="false">Sens!$C$6129*1000/(Sens!$C$6112*Sens!$C$6113)</f>
        <v>9.67085565405685</v>
      </c>
      <c r="D6130" s="36" t="n">
        <f aca="false">Sens!$D$6129*1000/(Sens!$D$6112*Sens!$D$6113)</f>
        <v>9.67085565405685</v>
      </c>
      <c r="E6130" s="36" t="n">
        <f aca="false">Sens!$E$6129*1000/(Sens!$E$6112*Sens!$E$6113)</f>
        <v>9.67085565405685</v>
      </c>
      <c r="F6130" s="36" t="n">
        <f aca="false">Sens!$F$6129*1000/(Sens!$F$6112*Sens!$F$6113)</f>
        <v>10.0137581588017</v>
      </c>
      <c r="G6130" s="36" t="n">
        <f aca="false">Sens!$G$6129*1000/(Sens!$G$6112*Sens!$G$6113)</f>
        <v>9.88666562928478</v>
      </c>
      <c r="H6130" s="36" t="n">
        <f aca="false">Sens!$H$6129*1000/(Sens!$H$6112*Sens!$H$6113)</f>
        <v>10.5290045586992</v>
      </c>
      <c r="I6130" s="36" t="n">
        <f aca="false">Sens!$I$6129*1000/(Sens!$I$6112*Sens!$I$6113)</f>
        <v>10.8576363451674</v>
      </c>
      <c r="J6130" s="36" t="n">
        <f aca="false">Sens!$J$6129*1000/(Sens!$J$6112*Sens!$J$6113)</f>
        <v>11.0164452588619</v>
      </c>
      <c r="K6130" s="36" t="n">
        <f aca="false">Sens!$K$6129*1000/(Sens!$K$6112*Sens!$K$6113)</f>
        <v>11.0937367508227</v>
      </c>
      <c r="L6130" s="36" t="n">
        <f aca="false">Sens!$L$6129*1000/(Sens!$L$6112*Sens!$L$6113)</f>
        <v>11.1300508519168</v>
      </c>
      <c r="M6130" s="36" t="n">
        <f aca="false">Sens!$M$6129*1000/(Sens!$M$6112*Sens!$M$6113)</f>
        <v>11.1430113216297</v>
      </c>
      <c r="N6130" s="36" t="n">
        <f aca="false">Sens!$N$6129*1000/(Sens!$N$6112*Sens!$N$6113)</f>
        <v>9.67085565405685</v>
      </c>
      <c r="O6130" s="36" t="n">
        <f aca="false">Sens!$O$6129*1000/(Sens!$O$6112*Sens!$O$6113)</f>
        <v>9.67085565405685</v>
      </c>
    </row>
    <row r="6131" customFormat="false" ht="17.15" hidden="false" customHeight="false" outlineLevel="0" collapsed="false">
      <c r="A6131" s="0" t="s">
        <v>616</v>
      </c>
      <c r="B6131" s="0" t="s">
        <v>86</v>
      </c>
      <c r="C6131" s="38" t="n">
        <f aca="false">Sens!$C$6112/ext_sh*(ox_open+rent_mw)*Sens!$C$6113/1000</f>
        <v>0.642569210675032</v>
      </c>
      <c r="D6131" s="38" t="n">
        <f aca="false">Sens!$D$6112/ext_sh*(ox_open+rent_mw)*Sens!$D$6113/1000</f>
        <v>2.40963454003137</v>
      </c>
      <c r="E6131" s="38" t="n">
        <f aca="false">Sens!$E$6112/ext_sh*(ox_open+rent_mw)*Sens!$E$6113/1000</f>
        <v>2.35608710580845</v>
      </c>
      <c r="F6131" s="38" t="n">
        <f aca="false">((mw_open*ox_open+Sens!$F$6127*Sens!$F$6125)/ext_sh+Sens!$F$6112/ext_sh*rent_mw)*Sens!$F$6113/1000</f>
        <v>4.05421991106232</v>
      </c>
      <c r="G6131" s="38" t="n">
        <f aca="false">Sens!$E$6131+Sens!$F$6131</f>
        <v>6.41030701687077</v>
      </c>
      <c r="H6131" s="38" t="n">
        <f aca="false">((mw_open*ox_open+Sens!$H$6127*Sens!$H$6125)/ext_sh+Sens!$H$6112/ext_sh*rent_mw)*Sens!$H$6113/1000</f>
        <v>15.8108975546616</v>
      </c>
      <c r="I6131" s="38" t="n">
        <f aca="false">((mw_open*ox_open+Sens!$I$6127*Sens!$I$6125)/ext_sh+Sens!$I$6112/ext_sh*rent_mw)*Sens!$I$6113/1000</f>
        <v>26.1871623400817</v>
      </c>
      <c r="J6131" s="38" t="n">
        <f aca="false">((mw_open*ox_open+Sens!$J$6127*Sens!$J$6125)/ext_sh+Sens!$J$6112/ext_sh*rent_mw)*Sens!$J$6113/1000</f>
        <v>36.5826128954935</v>
      </c>
      <c r="K6131" s="38" t="n">
        <f aca="false">((mw_open*ox_open+Sens!$K$6127*Sens!$K$6125)/ext_sh+Sens!$K$6112/ext_sh*rent_mw)*Sens!$K$6113/1000</f>
        <v>45.4546361137628</v>
      </c>
      <c r="L6131" s="38" t="n">
        <f aca="false">((mw_open*ox_open+Sens!$L$6127*Sens!$L$6125)/ext_sh+Sens!$L$6112/ext_sh*rent_mw)*Sens!$L$6113/1000</f>
        <v>51.2855695554452</v>
      </c>
      <c r="M6131" s="38" t="n">
        <f aca="false">((mw_open*ox_open+Sens!$M$6127*Sens!$M$6125)/ext_sh+Sens!$M$6112/ext_sh*rent_mw)*Sens!$M$6113/1000</f>
        <v>54.0722927838398</v>
      </c>
      <c r="N6131" s="38" t="n">
        <f aca="false">Sens!$N$6112/ext_sh*(ox_open+rent_mw)*Sens!$N$6113/1000</f>
        <v>0.84337208901098</v>
      </c>
      <c r="O6131" s="38" t="n">
        <f aca="false">Sens!$O$6112/ext_sh*(ox_open+rent_mw)*Sens!$O$6113/1000</f>
        <v>1.56626245102039</v>
      </c>
    </row>
    <row r="6132" customFormat="false" ht="17.15" hidden="false" customHeight="false" outlineLevel="0" collapsed="false">
      <c r="A6132" s="0" t="s">
        <v>617</v>
      </c>
      <c r="B6132" s="0" t="s">
        <v>86</v>
      </c>
      <c r="C6132" s="38" t="n">
        <f aca="false">Q!$D$7</f>
        <v>107.556</v>
      </c>
      <c r="D6132" s="38" t="n">
        <f aca="false">Q!$E$7</f>
        <v>128.725</v>
      </c>
      <c r="E6132" s="38" t="n">
        <f aca="false">Q!$P$7</f>
        <v>79.819</v>
      </c>
      <c r="N6132" s="38" t="n">
        <f aca="false">Q!$N$7</f>
        <v>60.14</v>
      </c>
      <c r="O6132" s="38" t="n">
        <f aca="false">Q!$O$7</f>
        <v>68.585</v>
      </c>
    </row>
    <row r="6133" customFormat="false" ht="17.15" hidden="false" customHeight="false" outlineLevel="0" collapsed="false">
      <c r="A6133" s="1" t="s">
        <v>618</v>
      </c>
      <c r="B6133" s="8" t="s">
        <v>86</v>
      </c>
      <c r="C6133" s="38" t="n">
        <f aca="false">Sens!$C$6132-Sens!$C$6129</f>
        <v>105.234994643026</v>
      </c>
      <c r="D6133" s="38" t="n">
        <f aca="false">Sens!$D$6132-Sens!$D$6129</f>
        <v>120.021229911349</v>
      </c>
      <c r="E6133" s="38" t="n">
        <f aca="false">Sens!$E$6132-Sens!$E$6129</f>
        <v>71.30864702443</v>
      </c>
      <c r="F6133" s="38" t="n">
        <f aca="false">Sens!$O$6133*(1+Sens!$F$6134)</f>
        <v>71.7692997942464</v>
      </c>
      <c r="G6133" s="38" t="n">
        <f aca="false">Sens!$E$6133+Sens!$F$6133</f>
        <v>143.077946818676</v>
      </c>
      <c r="H6133" s="38" t="n">
        <f aca="false">Sens!$G$6133*(1+Sens!$H$6134)</f>
        <v>161.017077079203</v>
      </c>
      <c r="I6133" s="38" t="n">
        <f aca="false">Sens!$H$6133*(1+Sens!$I$6134)</f>
        <v>178.769759521457</v>
      </c>
      <c r="J6133" s="38" t="n">
        <f aca="false">Sens!$I$6133*(1+Sens!$J$6134)</f>
        <v>195.775538045907</v>
      </c>
      <c r="K6133" s="38" t="n">
        <f aca="false">Sens!$J$6133*(1+Sens!$K$6134)</f>
        <v>211.43758108958</v>
      </c>
      <c r="L6133" s="38" t="n">
        <f aca="false">Sens!$K$6133*(1+Sens!$L$6134)</f>
        <v>228.352587576746</v>
      </c>
      <c r="M6133" s="38" t="n">
        <f aca="false">Sens!$L$6133*(1+Sens!$M$6134)</f>
        <v>246.620794582886</v>
      </c>
      <c r="N6133" s="38" t="n">
        <f aca="false">Sens!$N$6132-Sens!$N$6129</f>
        <v>57.0936804689721</v>
      </c>
      <c r="O6133" s="38" t="n">
        <f aca="false">Sens!$O$6132-Sens!$O$6129</f>
        <v>62.9275494423768</v>
      </c>
      <c r="P6133" s="5" t="s">
        <v>619</v>
      </c>
    </row>
    <row r="6134" customFormat="false" ht="17.15" hidden="false" customHeight="false" outlineLevel="0" collapsed="false">
      <c r="A6134" s="0" t="s">
        <v>620</v>
      </c>
      <c r="B6134" s="0" t="s">
        <v>52</v>
      </c>
      <c r="D6134" s="13" t="n">
        <f aca="false">Sens!$D$6133/Sens!$C$6133-1</f>
        <v>0.140506827776062</v>
      </c>
      <c r="E6134" s="13" t="n">
        <f aca="false">Sens!$E$6133/Sens!$N$6133-1</f>
        <v>0.248976181579029</v>
      </c>
      <c r="F6134" s="13" t="n">
        <f aca="false">Sens!$D$6134</f>
        <v>0.140506827776062</v>
      </c>
      <c r="G6134" s="13" t="n">
        <f aca="false">Sens!$G$6133/Sens!$D$6133-1</f>
        <v>0.19210532106993</v>
      </c>
      <c r="H6134" s="13" t="n">
        <f aca="false">Sens!$F$6134+(g_awso_lt-Sens!$F$6134)*1/4</f>
        <v>0.125380120832046</v>
      </c>
      <c r="I6134" s="13" t="n">
        <f aca="false">Sens!$F$6134+(g_awso_lt-Sens!$F$6134)*2/4</f>
        <v>0.110253413888031</v>
      </c>
      <c r="J6134" s="13" t="n">
        <f aca="false">Sens!$F$6134+(g_awso_lt-Sens!$F$6134)*3/4</f>
        <v>0.0951267069440154</v>
      </c>
      <c r="K6134" s="13" t="n">
        <f aca="false">Sens!$F$6134+(g_awso_lt-Sens!$F$6134)*4/4</f>
        <v>0.08</v>
      </c>
      <c r="L6134" s="13" t="n">
        <f aca="false">g_awso_lt</f>
        <v>0.08</v>
      </c>
      <c r="M6134" s="13" t="n">
        <f aca="false">g_awso_lt</f>
        <v>0.08</v>
      </c>
      <c r="P6134" s="5" t="s">
        <v>621</v>
      </c>
    </row>
    <row r="6135" customFormat="false" ht="17.15" hidden="false" customHeight="false" outlineLevel="0" collapsed="false">
      <c r="A6135" s="1" t="s">
        <v>622</v>
      </c>
    </row>
    <row r="6136" customFormat="false" ht="17.15" hidden="false" customHeight="false" outlineLevel="0" collapsed="false">
      <c r="A6136" s="0" t="s">
        <v>623</v>
      </c>
      <c r="B6136" s="0" t="s">
        <v>86</v>
      </c>
      <c r="F6136" s="38" t="n">
        <f aca="false">cx_rt*Sens!$F$6101+cx_awso*Sens!$F$6133</f>
        <v>34.9734495387866</v>
      </c>
    </row>
    <row r="6137" customFormat="false" ht="17.15" hidden="false" customHeight="false" outlineLevel="0" collapsed="false">
      <c r="A6137" s="0" t="s">
        <v>624</v>
      </c>
      <c r="B6137" s="0" t="s">
        <v>52</v>
      </c>
      <c r="C6137" s="13" t="n">
        <f aca="false">tk_cx_h100/(tk_cx_h100+tk_fac*(1-colo_sh))</f>
        <v>0.730756458006641</v>
      </c>
      <c r="D6137" s="13" t="n">
        <f aca="false">tk_cx_h100/(tk_cx_h100+tk_fac*(1-colo_sh))</f>
        <v>0.730756458006641</v>
      </c>
      <c r="E6137" s="13" t="n">
        <f aca="false">Sens!$F$6137</f>
        <v>0.760792334328868</v>
      </c>
      <c r="F6137" s="13" t="n">
        <f aca="false">Sens!$F$6120/(Sens!$F$6120+tk_fac*(1-colo_sh))</f>
        <v>0.760792334328868</v>
      </c>
      <c r="G6137" s="13" t="n">
        <f aca="false">Sens!$G$6120/(Sens!$G$6120+tk_fac*(1-colo_sh))</f>
        <v>0.760792334328868</v>
      </c>
      <c r="H6137" s="13" t="n">
        <f aca="false">Sens!$H$6120/(Sens!$H$6120+tk_fac*(1-colo_sh))</f>
        <v>0.768110668862996</v>
      </c>
      <c r="I6137" s="13" t="n">
        <f aca="false">Sens!$I$6120/(Sens!$I$6120+tk_fac*(1-colo_sh))</f>
        <v>0.77499450139483</v>
      </c>
      <c r="J6137" s="13" t="n">
        <f aca="false">Sens!$J$6120/(Sens!$J$6120+tk_fac*(1-colo_sh))</f>
        <v>0.77499450139483</v>
      </c>
      <c r="K6137" s="13" t="n">
        <f aca="false">Sens!$K$6120/(Sens!$K$6120+tk_fac*(1-colo_sh))</f>
        <v>0.77499450139483</v>
      </c>
      <c r="L6137" s="13" t="n">
        <f aca="false">Sens!$L$6120/(Sens!$L$6120+tk_fac*(1-colo_sh))</f>
        <v>0.77499450139483</v>
      </c>
      <c r="M6137" s="13" t="n">
        <f aca="false">Sens!$M$6120/(Sens!$M$6120+tk_fac*(1-colo_sh))</f>
        <v>0.77499450139483</v>
      </c>
    </row>
    <row r="6138" customFormat="false" ht="17.15" hidden="false" customHeight="false" outlineLevel="0" collapsed="false">
      <c r="A6138" s="1" t="s">
        <v>625</v>
      </c>
      <c r="B6138" s="8" t="s">
        <v>86</v>
      </c>
      <c r="C6138" s="38" t="n">
        <f aca="false">Q!$D$46-cx_rt*Q!$D$16-cx_awso*Sens!$C$6133</f>
        <v>25.2781053077374</v>
      </c>
      <c r="D6138" s="38" t="n">
        <f aca="false">Q!$E$46-cx_rt*Q!$E$16-cx_awso*Sens!$D$6133</f>
        <v>69.5686316310026</v>
      </c>
      <c r="E6138" s="38" t="n">
        <f aca="false">Q!$P$46-cx_rt*Q!$P$16-cx_awso*Sens!$E$6133</f>
        <v>64.1899206485108</v>
      </c>
      <c r="F6138" s="38" t="n">
        <f aca="false">MAX(Sens!$F$6115*(Sens!$F$6120+tk_fac*(1-colo_sh))/1000,capex_g26-Q!$P$46-Sens!$F$6136)</f>
        <v>96.2481299895</v>
      </c>
      <c r="G6138" s="38" t="n">
        <f aca="false">Sens!$E$6138+Sens!$F$6138</f>
        <v>160.438050638011</v>
      </c>
      <c r="H6138" s="38" t="n">
        <f aca="false">Sens!$H$6115*(Sens!$H$6120+tk_fac*(1-colo_sh))/1000+Sens!$H$6139</f>
        <v>198.57136494475</v>
      </c>
      <c r="I6138" s="38" t="n">
        <f aca="false">Sens!$I$6115*(Sens!$I$6120+tk_fac*(1-colo_sh))/1000+Sens!$I$6139</f>
        <v>204.6464699105</v>
      </c>
      <c r="J6138" s="38" t="n">
        <f aca="false">Sens!$J$6115*(Sens!$J$6120+tk_fac*(1-colo_sh))/1000+Sens!$J$6139</f>
        <v>209.8832381105</v>
      </c>
      <c r="K6138" s="38" t="n">
        <f aca="false">Sens!$K$6115*(Sens!$K$6120+tk_fac*(1-colo_sh))/1000+Sens!$K$6139</f>
        <v>155.238385275201</v>
      </c>
      <c r="L6138" s="38" t="n">
        <f aca="false">Sens!$L$6115*(Sens!$L$6120+tk_fac*(1-colo_sh))/1000+Sens!$L$6139</f>
        <v>132.014141639902</v>
      </c>
      <c r="M6138" s="38" t="n">
        <f aca="false">Sens!$M$6115*(Sens!$M$6120+tk_fac*(1-colo_sh))/1000+Sens!$M$6139</f>
        <v>132.230981659852</v>
      </c>
      <c r="P6138" s="5" t="s">
        <v>626</v>
      </c>
      <c r="R6138" s="38" t="n">
        <f aca="false">Q!$C$46-cx_rt*Q!$C$16-cx_awso*(Q!$C$7-mw_ye23/2*rpm_open/1000)</f>
        <v>1.50429979529945</v>
      </c>
      <c r="S6138" s="38" t="n">
        <f aca="false">Sens!$C$6138</f>
        <v>25.2781053077374</v>
      </c>
      <c r="T6138" s="38" t="n">
        <f aca="false">Sens!$D$6138</f>
        <v>69.5686316310026</v>
      </c>
      <c r="U6138" s="38" t="n">
        <f aca="false">Sens!$G$6138</f>
        <v>160.438050638011</v>
      </c>
      <c r="V6138" s="38" t="n">
        <f aca="false">Sens!$H$6138</f>
        <v>198.57136494475</v>
      </c>
      <c r="W6138" s="38" t="n">
        <f aca="false">Sens!$I$6138</f>
        <v>204.6464699105</v>
      </c>
      <c r="X6138" s="38" t="n">
        <f aca="false">Sens!$J$6138</f>
        <v>209.8832381105</v>
      </c>
      <c r="Y6138" s="38" t="n">
        <f aca="false">Sens!$K$6138</f>
        <v>155.238385275201</v>
      </c>
      <c r="Z6138" s="38" t="n">
        <f aca="false">Sens!$L$6138</f>
        <v>132.014141639902</v>
      </c>
      <c r="AA6138" s="38" t="n">
        <f aca="false">Sens!$M$6138</f>
        <v>132.230981659852</v>
      </c>
    </row>
    <row r="6139" customFormat="false" ht="17.15" hidden="false" customHeight="false" outlineLevel="0" collapsed="false">
      <c r="A6139" s="0" t="s">
        <v>627</v>
      </c>
      <c r="B6139" s="0" t="s">
        <v>86</v>
      </c>
      <c r="H6139" s="38" t="n">
        <f aca="false">SUMPRODUCT(--(Sens!$R$6108:$AA$6108=2027-tk_life),Sens!$R$6115:$AA$6115)*Sens!$H$6120/1000</f>
        <v>0</v>
      </c>
      <c r="I6139" s="38" t="n">
        <f aca="false">SUMPRODUCT(--(Sens!$R$6108:$AA$6108=2028-tk_life),Sens!$R$6115:$AA$6115)*Sens!$I$6120/1000</f>
        <v>0</v>
      </c>
      <c r="J6139" s="38" t="n">
        <f aca="false">SUMPRODUCT(--(Sens!$R$6108:$AA$6108=2029-tk_life),Sens!$R$6115:$AA$6115)*Sens!$J$6120/1000</f>
        <v>5.2367682</v>
      </c>
      <c r="K6139" s="38" t="n">
        <f aca="false">SUMPRODUCT(--(Sens!$R$6108:$AA$6108=2030-tk_life),Sens!$R$6115:$AA$6115)*Sens!$K$6120/1000</f>
        <v>10.4735364</v>
      </c>
      <c r="L6139" s="38" t="n">
        <f aca="false">SUMPRODUCT(--(Sens!$R$6108:$AA$6108=2031-tk_life),Sens!$R$6115:$AA$6115)*Sens!$L$6120/1000</f>
        <v>47.1309138</v>
      </c>
      <c r="M6139" s="38" t="n">
        <f aca="false">SUMPRODUCT(--(Sens!$R$6108:$AA$6108=2032-tk_life),Sens!$R$6115:$AA$6115)*Sens!$M$6120/1000</f>
        <v>107.22937485525</v>
      </c>
    </row>
    <row r="6140" customFormat="false" ht="17.15" hidden="false" customHeight="false" outlineLevel="0" collapsed="false">
      <c r="A6140" s="5" t="s">
        <v>628</v>
      </c>
      <c r="B6140" s="0" t="s">
        <v>86</v>
      </c>
      <c r="C6140" s="38" t="n">
        <f aca="false">Sens!$C$6138*Sens!$C$6137</f>
        <v>18.472138699801</v>
      </c>
      <c r="D6140" s="38" t="n">
        <f aca="false">Sens!$D$6138*Sens!$D$6137</f>
        <v>50.8377268390402</v>
      </c>
      <c r="E6140" s="38" t="n">
        <f aca="false">Sens!$E$6138*Sens!$E$6137</f>
        <v>48.8351995705653</v>
      </c>
      <c r="F6140" s="38" t="n">
        <f aca="false">Sens!$F$6138*Sens!$F$6137</f>
        <v>73.2248394895</v>
      </c>
      <c r="G6140" s="38" t="n">
        <f aca="false">Sens!$E$6140+Sens!$F$6140</f>
        <v>122.060039060065</v>
      </c>
      <c r="H6140" s="38" t="n">
        <f aca="false">(Sens!$H$6138-Sens!$H$6139)*Sens!$H$6137+Sens!$H$6139</f>
        <v>152.52478394475</v>
      </c>
      <c r="I6140" s="38" t="n">
        <f aca="false">(Sens!$I$6138-Sens!$I$6139)*Sens!$I$6137+Sens!$I$6139</f>
        <v>158.5998889105</v>
      </c>
      <c r="J6140" s="38" t="n">
        <f aca="false">(Sens!$J$6138-Sens!$J$6139)*Sens!$J$6137+Sens!$J$6139</f>
        <v>163.8366571105</v>
      </c>
      <c r="K6140" s="38" t="n">
        <f aca="false">(Sens!$K$6138-Sens!$K$6139)*Sens!$K$6137+Sens!$K$6139</f>
        <v>122.665498273534</v>
      </c>
      <c r="L6140" s="38" t="n">
        <f aca="false">(Sens!$L$6138-Sens!$L$6139)*Sens!$L$6137+Sens!$L$6139</f>
        <v>112.914948636568</v>
      </c>
      <c r="M6140" s="38" t="n">
        <f aca="false">(Sens!$M$6138-Sens!$M$6139)*Sens!$M$6137+Sens!$M$6139</f>
        <v>126.605482654852</v>
      </c>
      <c r="R6140" s="38" t="n">
        <f aca="false">Sens!$R$6138*Sens!$C$6137</f>
        <v>1.09927679019314</v>
      </c>
      <c r="S6140" s="38" t="n">
        <f aca="false">Sens!$C$6140</f>
        <v>18.472138699801</v>
      </c>
      <c r="T6140" s="38" t="n">
        <f aca="false">Sens!$D$6140</f>
        <v>50.8377268390402</v>
      </c>
      <c r="U6140" s="38" t="n">
        <f aca="false">Sens!$G$6140</f>
        <v>122.060039060065</v>
      </c>
      <c r="V6140" s="38" t="n">
        <f aca="false">Sens!$H$6140</f>
        <v>152.52478394475</v>
      </c>
      <c r="W6140" s="38" t="n">
        <f aca="false">Sens!$I$6140</f>
        <v>158.5998889105</v>
      </c>
      <c r="X6140" s="38" t="n">
        <f aca="false">Sens!$J$6140</f>
        <v>163.8366571105</v>
      </c>
      <c r="Y6140" s="38" t="n">
        <f aca="false">Sens!$K$6140</f>
        <v>122.665498273534</v>
      </c>
      <c r="Z6140" s="38" t="n">
        <f aca="false">Sens!$L$6140</f>
        <v>112.914948636568</v>
      </c>
      <c r="AA6140" s="38" t="n">
        <f aca="false">Sens!$M$6140</f>
        <v>126.605482654852</v>
      </c>
    </row>
    <row r="6141" customFormat="false" ht="15" hidden="false" customHeight="false" outlineLevel="0" collapsed="false">
      <c r="A6141" s="5" t="s">
        <v>629</v>
      </c>
      <c r="B6141" s="0" t="s">
        <v>86</v>
      </c>
      <c r="C6141" s="38" t="n">
        <f aca="false">Sens!$C$6138-Sens!$C$6140</f>
        <v>6.80596660793636</v>
      </c>
      <c r="D6141" s="38" t="n">
        <f aca="false">Sens!$D$6138-Sens!$D$6140</f>
        <v>18.7309047919624</v>
      </c>
      <c r="E6141" s="38" t="n">
        <f aca="false">Sens!$E$6138-Sens!$E$6140</f>
        <v>15.3547210779455</v>
      </c>
      <c r="F6141" s="38" t="n">
        <f aca="false">Sens!$F$6138-Sens!$F$6140</f>
        <v>23.0232905</v>
      </c>
      <c r="G6141" s="38" t="n">
        <f aca="false">Sens!$G$6138-Sens!$G$6140</f>
        <v>38.3780115779455</v>
      </c>
      <c r="H6141" s="38" t="n">
        <f aca="false">Sens!$H$6138-Sens!$H$6140</f>
        <v>46.046581</v>
      </c>
      <c r="I6141" s="38" t="n">
        <f aca="false">Sens!$I$6138-Sens!$I$6140</f>
        <v>46.046581</v>
      </c>
      <c r="J6141" s="38" t="n">
        <f aca="false">Sens!$J$6138-Sens!$J$6140</f>
        <v>46.046581</v>
      </c>
      <c r="K6141" s="38" t="n">
        <f aca="false">Sens!$K$6138-Sens!$K$6140</f>
        <v>32.5728870016667</v>
      </c>
      <c r="L6141" s="38" t="n">
        <f aca="false">Sens!$L$6138-Sens!$L$6140</f>
        <v>19.0991930033334</v>
      </c>
      <c r="M6141" s="38" t="n">
        <f aca="false">Sens!$M$6138-Sens!$M$6140</f>
        <v>5.62549900499998</v>
      </c>
      <c r="R6141" s="38" t="n">
        <f aca="false">Sens!$R$6138-Sens!$R$6140</f>
        <v>0.405023005106309</v>
      </c>
      <c r="S6141" s="38" t="n">
        <f aca="false">Sens!$S$6138-Sens!$S$6140</f>
        <v>6.80596660793636</v>
      </c>
      <c r="T6141" s="38" t="n">
        <f aca="false">Sens!$T$6138-Sens!$T$6140</f>
        <v>18.7309047919624</v>
      </c>
      <c r="U6141" s="38" t="n">
        <f aca="false">Sens!$U$6138-Sens!$U$6140</f>
        <v>38.3780115779455</v>
      </c>
      <c r="V6141" s="38" t="n">
        <f aca="false">Sens!$V$6138-Sens!$V$6140</f>
        <v>46.046581</v>
      </c>
      <c r="W6141" s="38" t="n">
        <f aca="false">Sens!$W$6138-Sens!$W$6140</f>
        <v>46.046581</v>
      </c>
      <c r="X6141" s="38" t="n">
        <f aca="false">Sens!$X$6138-Sens!$X$6140</f>
        <v>46.046581</v>
      </c>
      <c r="Y6141" s="38" t="n">
        <f aca="false">Sens!$Y$6138-Sens!$Y$6140</f>
        <v>32.5728870016667</v>
      </c>
      <c r="Z6141" s="38" t="n">
        <f aca="false">Sens!$Z$6138-Sens!$Z$6140</f>
        <v>19.0991930033334</v>
      </c>
      <c r="AA6141" s="38" t="n">
        <f aca="false">Sens!$AA$6138-Sens!$AA$6140</f>
        <v>5.62549900499998</v>
      </c>
    </row>
    <row r="6142" customFormat="false" ht="17.15" hidden="false" customHeight="false" outlineLevel="0" collapsed="false">
      <c r="A6142" s="0" t="s">
        <v>630</v>
      </c>
      <c r="B6142" s="0" t="s">
        <v>52</v>
      </c>
      <c r="C6142" s="13" t="n">
        <f aca="false">Sens!$C$6138/Sens!$C$6258</f>
        <v>0.325505489553393</v>
      </c>
      <c r="D6142" s="13" t="n">
        <f aca="false">Sens!$D$6138/Sens!$D$6258</f>
        <v>0.54214956071542</v>
      </c>
      <c r="E6142" s="13" t="n">
        <f aca="false">Sens!$E$6138/Sens!$E$6258</f>
        <v>0.666492790452817</v>
      </c>
      <c r="F6142" s="13" t="n">
        <f aca="false">Sens!$F$6138/Sens!$F$6258</f>
        <v>0.733477910687338</v>
      </c>
      <c r="G6142" s="13" t="n">
        <f aca="false">Sens!$G$6138/Sens!$G$6258</f>
        <v>0.705124321514523</v>
      </c>
      <c r="H6142" s="13" t="n">
        <f aca="false">Sens!$H$6138/Sens!$H$6258</f>
        <v>0.726376041178204</v>
      </c>
      <c r="I6142" s="13" t="n">
        <f aca="false">Sens!$I$6138/Sens!$I$6258</f>
        <v>0.713099092661699</v>
      </c>
      <c r="J6142" s="13" t="n">
        <f aca="false">Sens!$J$6138/Sens!$J$6258</f>
        <v>0.701208348786245</v>
      </c>
      <c r="K6142" s="13" t="n">
        <f aca="false">Sens!$K$6138/Sens!$K$6258</f>
        <v>0.618338844562383</v>
      </c>
      <c r="L6142" s="13" t="n">
        <f aca="false">Sens!$L$6138/Sens!$L$6258</f>
        <v>0.562489158462506</v>
      </c>
      <c r="M6142" s="13" t="n">
        <f aca="false">Sens!$M$6138/Sens!$M$6258</f>
        <v>0.545751190895923</v>
      </c>
    </row>
    <row r="6143" customFormat="false" ht="17.15" hidden="false" customHeight="false" outlineLevel="0" collapsed="false">
      <c r="A6143" s="0" t="s">
        <v>631</v>
      </c>
      <c r="B6143" s="0" t="s">
        <v>86</v>
      </c>
      <c r="C6143" s="38" t="n">
        <f aca="false">Sens!$S$6143</f>
        <v>0.183212798365523</v>
      </c>
      <c r="D6143" s="38" t="n">
        <f aca="false">Sens!$T$6143</f>
        <v>3.2619025816657</v>
      </c>
      <c r="E6143" s="38" t="n">
        <f aca="false">Sens!$G$6143/2</f>
        <v>5.86742852741953</v>
      </c>
      <c r="F6143" s="38" t="n">
        <f aca="false">Sens!$G$6143/2</f>
        <v>5.86742852741953</v>
      </c>
      <c r="G6143" s="38" t="n">
        <f aca="false">Sens!$U$6143</f>
        <v>11.7348570548391</v>
      </c>
      <c r="H6143" s="38" t="n">
        <f aca="false">Sens!$V$6143</f>
        <v>32.0781968981833</v>
      </c>
      <c r="I6143" s="38" t="n">
        <f aca="false">Sens!$W$6143</f>
        <v>57.4989942223083</v>
      </c>
      <c r="J6143" s="38" t="n">
        <f aca="false">Sens!$X$6143</f>
        <v>83.932309040725</v>
      </c>
      <c r="K6143" s="38" t="n">
        <f aca="false">Sens!$Y$6143</f>
        <v>111.055205760776</v>
      </c>
      <c r="L6143" s="38" t="n">
        <f aca="false">Sens!$Z$6143</f>
        <v>128.420765689732</v>
      </c>
      <c r="M6143" s="38" t="n">
        <f aca="false">Sens!$AA$6143</f>
        <v>138.766969322653</v>
      </c>
      <c r="N6143" s="38" t="n">
        <f aca="false">Sens!$D$6143/2</f>
        <v>1.63095129083285</v>
      </c>
      <c r="O6143" s="38" t="n">
        <f aca="false">Sens!$D$6143/2</f>
        <v>1.63095129083285</v>
      </c>
      <c r="R6143" s="38" t="n">
        <f aca="false">SUMPRODUCT(--(Sens!$R$6108:$AA$6108&lt;Sens!R$6108),--(Sens!$R$6108:$AA$6108&gt;=Sens!R$6108-tk_life),Sens!$R$6140:$AA$6140)/tk_life</f>
        <v>0</v>
      </c>
      <c r="S6143" s="38" t="n">
        <f aca="false">SUMPRODUCT(--(Sens!$R$6108:$AA$6108&lt;Sens!S$6108),--(Sens!$R$6108:$AA$6108&gt;=Sens!S$6108-tk_life),Sens!$R$6140:$AA$6140)/tk_life</f>
        <v>0.183212798365523</v>
      </c>
      <c r="T6143" s="38" t="n">
        <f aca="false">SUMPRODUCT(--(Sens!$R$6108:$AA$6108&lt;Sens!T$6108),--(Sens!$R$6108:$AA$6108&gt;=Sens!T$6108-tk_life),Sens!$R$6140:$AA$6140)/tk_life</f>
        <v>3.2619025816657</v>
      </c>
      <c r="U6143" s="38" t="n">
        <f aca="false">SUMPRODUCT(--(Sens!$R$6108:$AA$6108&lt;Sens!U$6108),--(Sens!$R$6108:$AA$6108&gt;=Sens!U$6108-tk_life),Sens!$R$6140:$AA$6140)/tk_life</f>
        <v>11.7348570548391</v>
      </c>
      <c r="V6143" s="38" t="n">
        <f aca="false">SUMPRODUCT(--(Sens!$R$6108:$AA$6108&lt;Sens!V$6108),--(Sens!$R$6108:$AA$6108&gt;=Sens!V$6108-tk_life),Sens!$R$6140:$AA$6140)/tk_life</f>
        <v>32.0781968981833</v>
      </c>
      <c r="W6143" s="38" t="n">
        <f aca="false">SUMPRODUCT(--(Sens!$R$6108:$AA$6108&lt;Sens!W$6108),--(Sens!$R$6108:$AA$6108&gt;=Sens!W$6108-tk_life),Sens!$R$6140:$AA$6140)/tk_life</f>
        <v>57.4989942223083</v>
      </c>
      <c r="X6143" s="38" t="n">
        <f aca="false">SUMPRODUCT(--(Sens!$R$6108:$AA$6108&lt;Sens!X$6108),--(Sens!$R$6108:$AA$6108&gt;=Sens!X$6108-tk_life),Sens!$R$6140:$AA$6140)/tk_life</f>
        <v>83.932309040725</v>
      </c>
      <c r="Y6143" s="38" t="n">
        <f aca="false">SUMPRODUCT(--(Sens!$R$6108:$AA$6108&lt;Sens!Y$6108),--(Sens!$R$6108:$AA$6108&gt;=Sens!Y$6108-tk_life),Sens!$R$6140:$AA$6140)/tk_life</f>
        <v>111.055205760776</v>
      </c>
      <c r="Z6143" s="38" t="n">
        <f aca="false">SUMPRODUCT(--(Sens!$R$6108:$AA$6108&lt;Sens!Z$6108),--(Sens!$R$6108:$AA$6108&gt;=Sens!Z$6108-tk_life),Sens!$R$6140:$AA$6140)/tk_life</f>
        <v>128.420765689732</v>
      </c>
      <c r="AA6143" s="38" t="n">
        <f aca="false">SUMPRODUCT(--(Sens!$R$6108:$AA$6108&lt;Sens!AA$6108),--(Sens!$R$6108:$AA$6108&gt;=Sens!AA$6108-tk_life),Sens!$R$6140:$AA$6140)/tk_life</f>
        <v>138.766969322653</v>
      </c>
    </row>
    <row r="6144" customFormat="false" ht="17.15" hidden="false" customHeight="false" outlineLevel="0" collapsed="false">
      <c r="A6144" s="0" t="s">
        <v>632</v>
      </c>
      <c r="B6144" s="0" t="s">
        <v>86</v>
      </c>
      <c r="C6144" s="38" t="n">
        <f aca="false">Sens!$S$6144</f>
        <v>0.0202511502553155</v>
      </c>
      <c r="D6144" s="38" t="n">
        <f aca="false">Sens!$T$6144</f>
        <v>0.360549480652134</v>
      </c>
      <c r="E6144" s="38" t="n">
        <f aca="false">Sens!$G$6144/2</f>
        <v>0.648547360125127</v>
      </c>
      <c r="F6144" s="38" t="n">
        <f aca="false">Sens!$G$6144/2</f>
        <v>0.648547360125127</v>
      </c>
      <c r="G6144" s="38" t="n">
        <f aca="false">Sens!$U$6144</f>
        <v>1.29709472025025</v>
      </c>
      <c r="H6144" s="38" t="n">
        <f aca="false">Sens!$V$6144</f>
        <v>3.21599529914753</v>
      </c>
      <c r="I6144" s="38" t="n">
        <f aca="false">Sens!$W$6144</f>
        <v>5.51832434914753</v>
      </c>
      <c r="J6144" s="38" t="n">
        <f aca="false">Sens!$X$6144</f>
        <v>7.82065339914753</v>
      </c>
      <c r="K6144" s="38" t="n">
        <f aca="false">Sens!$Y$6144</f>
        <v>10.1229824491475</v>
      </c>
      <c r="L6144" s="38" t="n">
        <f aca="false">Sens!$Z$6144</f>
        <v>11.7516267992309</v>
      </c>
      <c r="M6144" s="38" t="n">
        <f aca="false">Sens!$AA$6144</f>
        <v>12.7065864493975</v>
      </c>
      <c r="N6144" s="38" t="n">
        <f aca="false">Sens!$D$6144/2</f>
        <v>0.180274740326067</v>
      </c>
      <c r="O6144" s="38" t="n">
        <f aca="false">Sens!$D$6144/2</f>
        <v>0.180274740326067</v>
      </c>
      <c r="R6144" s="38" t="n">
        <f aca="false">SUMPRODUCT(--(Sens!$R$6108:$AA$6108&lt;Sens!R$6108),Sens!$R$6141:$AA$6141)/fac_life</f>
        <v>0</v>
      </c>
      <c r="S6144" s="38" t="n">
        <f aca="false">SUMPRODUCT(--(Sens!$R$6108:$AA$6108&lt;Sens!S$6108),Sens!$R$6141:$AA$6141)/fac_life</f>
        <v>0.0202511502553155</v>
      </c>
      <c r="T6144" s="38" t="n">
        <f aca="false">SUMPRODUCT(--(Sens!$R$6108:$AA$6108&lt;Sens!T$6108),Sens!$R$6141:$AA$6141)/fac_life</f>
        <v>0.360549480652134</v>
      </c>
      <c r="U6144" s="38" t="n">
        <f aca="false">SUMPRODUCT(--(Sens!$R$6108:$AA$6108&lt;Sens!U$6108),Sens!$R$6141:$AA$6141)/fac_life</f>
        <v>1.29709472025025</v>
      </c>
      <c r="V6144" s="38" t="n">
        <f aca="false">SUMPRODUCT(--(Sens!$R$6108:$AA$6108&lt;Sens!V$6108),Sens!$R$6141:$AA$6141)/fac_life</f>
        <v>3.21599529914753</v>
      </c>
      <c r="W6144" s="38" t="n">
        <f aca="false">SUMPRODUCT(--(Sens!$R$6108:$AA$6108&lt;Sens!W$6108),Sens!$R$6141:$AA$6141)/fac_life</f>
        <v>5.51832434914753</v>
      </c>
      <c r="X6144" s="38" t="n">
        <f aca="false">SUMPRODUCT(--(Sens!$R$6108:$AA$6108&lt;Sens!X$6108),Sens!$R$6141:$AA$6141)/fac_life</f>
        <v>7.82065339914753</v>
      </c>
      <c r="Y6144" s="38" t="n">
        <f aca="false">SUMPRODUCT(--(Sens!$R$6108:$AA$6108&lt;Sens!Y$6108),Sens!$R$6141:$AA$6141)/fac_life</f>
        <v>10.1229824491475</v>
      </c>
      <c r="Z6144" s="38" t="n">
        <f aca="false">SUMPRODUCT(--(Sens!$R$6108:$AA$6108&lt;Sens!Z$6108),Sens!$R$6141:$AA$6141)/fac_life</f>
        <v>11.7516267992309</v>
      </c>
      <c r="AA6144" s="38" t="n">
        <f aca="false">SUMPRODUCT(--(Sens!$R$6108:$AA$6108&lt;Sens!AA$6108),Sens!$R$6141:$AA$6141)/fac_life</f>
        <v>12.7065864493975</v>
      </c>
    </row>
    <row r="6145" customFormat="false" ht="17.15" hidden="false" customHeight="false" outlineLevel="0" collapsed="false">
      <c r="A6145" s="1" t="s">
        <v>633</v>
      </c>
      <c r="B6145" s="8" t="s">
        <v>86</v>
      </c>
      <c r="C6145" s="38" t="n">
        <f aca="false">Sens!$C$6143+Sens!$C$6144</f>
        <v>0.203463948620839</v>
      </c>
      <c r="D6145" s="38" t="n">
        <f aca="false">Sens!$D$6143+Sens!$D$6144</f>
        <v>3.62245206231783</v>
      </c>
      <c r="E6145" s="38" t="n">
        <f aca="false">Sens!$E$6143+Sens!$E$6144</f>
        <v>6.51597588754466</v>
      </c>
      <c r="F6145" s="38" t="n">
        <f aca="false">Sens!$F$6143+Sens!$F$6144</f>
        <v>6.51597588754466</v>
      </c>
      <c r="G6145" s="38" t="n">
        <f aca="false">Sens!$G$6143+Sens!$G$6144</f>
        <v>13.0319517750893</v>
      </c>
      <c r="H6145" s="38" t="n">
        <f aca="false">Sens!$H$6143+Sens!$H$6144</f>
        <v>35.2941921973308</v>
      </c>
      <c r="I6145" s="38" t="n">
        <f aca="false">Sens!$I$6143+Sens!$I$6144</f>
        <v>63.0173185714558</v>
      </c>
      <c r="J6145" s="38" t="n">
        <f aca="false">Sens!$J$6143+Sens!$J$6144</f>
        <v>91.7529624398725</v>
      </c>
      <c r="K6145" s="38" t="n">
        <f aca="false">Sens!$K$6143+Sens!$K$6144</f>
        <v>121.178188209924</v>
      </c>
      <c r="L6145" s="38" t="n">
        <f aca="false">Sens!$L$6143+Sens!$L$6144</f>
        <v>140.172392488963</v>
      </c>
      <c r="M6145" s="38" t="n">
        <f aca="false">Sens!$M$6143+Sens!$M$6144</f>
        <v>151.473555772051</v>
      </c>
      <c r="N6145" s="38" t="n">
        <f aca="false">Sens!$N$6143+Sens!$N$6144</f>
        <v>1.81122603115892</v>
      </c>
      <c r="O6145" s="38" t="n">
        <f aca="false">Sens!$O$6143+Sens!$O$6144</f>
        <v>1.81122603115892</v>
      </c>
      <c r="R6145" s="38" t="n">
        <f aca="false">Sens!$R$6143+Sens!$R$6144</f>
        <v>0</v>
      </c>
      <c r="S6145" s="38" t="n">
        <f aca="false">Sens!$S$6143+Sens!$S$6144</f>
        <v>0.203463948620839</v>
      </c>
      <c r="T6145" s="38" t="n">
        <f aca="false">Sens!$T$6143+Sens!$T$6144</f>
        <v>3.62245206231783</v>
      </c>
      <c r="U6145" s="38" t="n">
        <f aca="false">Sens!$U$6143+Sens!$U$6144</f>
        <v>13.0319517750893</v>
      </c>
      <c r="V6145" s="38" t="n">
        <f aca="false">Sens!$V$6143+Sens!$V$6144</f>
        <v>35.2941921973308</v>
      </c>
      <c r="W6145" s="38" t="n">
        <f aca="false">Sens!$W$6143+Sens!$W$6144</f>
        <v>63.0173185714558</v>
      </c>
      <c r="X6145" s="38" t="n">
        <f aca="false">Sens!$X$6143+Sens!$X$6144</f>
        <v>91.7529624398725</v>
      </c>
      <c r="Y6145" s="38" t="n">
        <f aca="false">Sens!$Y$6143+Sens!$Y$6144</f>
        <v>121.178188209924</v>
      </c>
      <c r="Z6145" s="38" t="n">
        <f aca="false">Sens!$Z$6143+Sens!$Z$6144</f>
        <v>140.172392488963</v>
      </c>
      <c r="AA6145" s="38" t="n">
        <f aca="false">Sens!$AA$6143+Sens!$AA$6144</f>
        <v>151.473555772051</v>
      </c>
    </row>
    <row r="6146" customFormat="false" ht="17.15" hidden="false" customHeight="false" outlineLevel="0" collapsed="false">
      <c r="A6146" s="0" t="s">
        <v>634</v>
      </c>
      <c r="B6146" s="0" t="s">
        <v>86</v>
      </c>
      <c r="C6146" s="38" t="n">
        <f aca="false">Sens!$S$6146</f>
        <v>26.578941154416</v>
      </c>
      <c r="D6146" s="38" t="n">
        <f aca="false">Sens!$T$6146</f>
        <v>92.5251207231008</v>
      </c>
      <c r="G6146" s="38" t="n">
        <f aca="false">Sens!$U$6146</f>
        <v>239.931219586022</v>
      </c>
      <c r="H6146" s="38" t="n">
        <f aca="false">Sens!$V$6146</f>
        <v>403.208392333442</v>
      </c>
      <c r="I6146" s="38" t="n">
        <f aca="false">Sens!$W$6146</f>
        <v>544.837543672486</v>
      </c>
      <c r="J6146" s="38" t="n">
        <f aca="false">Sens!$X$6146</f>
        <v>662.967819343113</v>
      </c>
      <c r="K6146" s="38" t="n">
        <f aca="false">Sens!$Y$6146</f>
        <v>697.028016408391</v>
      </c>
      <c r="L6146" s="38" t="n">
        <f aca="false">Sens!$Z$6146</f>
        <v>688.86976555933</v>
      </c>
      <c r="M6146" s="38" t="n">
        <f aca="false">Sens!$AA$6146</f>
        <v>669.627191447132</v>
      </c>
      <c r="R6146" s="38" t="n">
        <f aca="false">SUM(Sens!$R$6138:$R$6138)-SUM(Sens!$R$6145:$R$6145)</f>
        <v>1.50429979529945</v>
      </c>
      <c r="S6146" s="38" t="n">
        <f aca="false">SUM(Sens!$R$6138:$S$6138)-SUM(Sens!$R$6145:$S$6145)</f>
        <v>26.578941154416</v>
      </c>
      <c r="T6146" s="38" t="n">
        <f aca="false">SUM(Sens!$R$6138:$T$6138)-SUM(Sens!$R$6145:$T$6145)</f>
        <v>92.5251207231008</v>
      </c>
      <c r="U6146" s="38" t="n">
        <f aca="false">SUM(Sens!$R$6138:$U$6138)-SUM(Sens!$R$6145:$U$6145)</f>
        <v>239.931219586022</v>
      </c>
      <c r="V6146" s="38" t="n">
        <f aca="false">SUM(Sens!$R$6138:$V$6138)-SUM(Sens!$R$6145:$V$6145)</f>
        <v>403.208392333442</v>
      </c>
      <c r="W6146" s="38" t="n">
        <f aca="false">SUM(Sens!$R$6138:$W$6138)-SUM(Sens!$R$6145:$W$6145)</f>
        <v>544.837543672486</v>
      </c>
      <c r="X6146" s="38" t="n">
        <f aca="false">SUM(Sens!$R$6138:$X$6138)-SUM(Sens!$R$6145:$X$6145)</f>
        <v>662.967819343113</v>
      </c>
      <c r="Y6146" s="38" t="n">
        <f aca="false">SUM(Sens!$R$6138:$Y$6138)-SUM(Sens!$R$6145:$Y$6145)</f>
        <v>697.028016408391</v>
      </c>
      <c r="Z6146" s="38" t="n">
        <f aca="false">SUM(Sens!$R$6138:$Z$6138)-SUM(Sens!$R$6145:$Z$6145)</f>
        <v>688.86976555933</v>
      </c>
      <c r="AA6146" s="38" t="n">
        <f aca="false">SUM(Sens!$R$6138:$AA$6138)-SUM(Sens!$R$6145:$AA$6145)</f>
        <v>669.627191447132</v>
      </c>
    </row>
    <row r="6147" customFormat="false" ht="17.15" hidden="false" customHeight="false" outlineLevel="0" collapsed="false">
      <c r="A6147" s="1" t="s">
        <v>635</v>
      </c>
    </row>
    <row r="6148" customFormat="false" ht="17.15" hidden="false" customHeight="false" outlineLevel="0" collapsed="false">
      <c r="A6148" s="0" t="s">
        <v>636</v>
      </c>
      <c r="B6148" s="0" t="s">
        <v>86</v>
      </c>
      <c r="C6148" s="38" t="n">
        <f aca="false">Sens!$C$6129-ext_sh*Sens!$C$6131</f>
        <v>1.80694998843362</v>
      </c>
      <c r="D6148" s="38" t="n">
        <f aca="false">Sens!$D$6129-ext_sh*Sens!$D$6131</f>
        <v>6.77606245662607</v>
      </c>
      <c r="E6148" s="38" t="n">
        <f aca="false">Sens!$E$6129-ext_sh*Sens!$E$6131</f>
        <v>6.62548329092326</v>
      </c>
      <c r="F6148" s="38" t="n">
        <f aca="false">Sens!$F$6129-ext_sh*Sens!$F$6131</f>
        <v>11.7200577158706</v>
      </c>
      <c r="G6148" s="38" t="n">
        <f aca="false">Sens!$G$6129-ext_sh*Sens!$G$6131</f>
        <v>18.3455410067939</v>
      </c>
      <c r="H6148" s="38" t="n">
        <f aca="false">Sens!$H$6129-ext_sh*Sens!$H$6131</f>
        <v>47.5171727060453</v>
      </c>
      <c r="I6148" s="38" t="n">
        <f aca="false">Sens!$I$6129-ext_sh*Sens!$I$6131</f>
        <v>80.5539692643667</v>
      </c>
      <c r="J6148" s="38" t="n">
        <f aca="false">Sens!$J$6129-ext_sh*Sens!$J$6131</f>
        <v>113.759316834883</v>
      </c>
      <c r="K6148" s="38" t="n">
        <f aca="false">Sens!$K$6129-ext_sh*Sens!$K$6131</f>
        <v>142.084411492169</v>
      </c>
      <c r="L6148" s="38" t="n">
        <f aca="false">Sens!$L$6129-ext_sh*Sens!$L$6131</f>
        <v>160.69964615804</v>
      </c>
      <c r="M6148" s="38" t="n">
        <f aca="false">Sens!$M$6129-ext_sh*Sens!$M$6131</f>
        <v>169.577607141793</v>
      </c>
      <c r="N6148" s="38" t="n">
        <f aca="false">Sens!$N$6129-ext_sh*Sens!$N$6131</f>
        <v>2.37162185981912</v>
      </c>
      <c r="O6148" s="38" t="n">
        <f aca="false">Sens!$O$6129-ext_sh*Sens!$O$6131</f>
        <v>4.40444059680694</v>
      </c>
    </row>
    <row r="6149" customFormat="false" ht="17.15" hidden="false" customHeight="false" outlineLevel="0" collapsed="false">
      <c r="A6149" s="1" t="s">
        <v>637</v>
      </c>
      <c r="B6149" s="8" t="s">
        <v>86</v>
      </c>
      <c r="C6149" s="38" t="n">
        <f aca="false">Sens!$C$6148-ext_sh*Sens!$C$6145</f>
        <v>1.64417882953695</v>
      </c>
      <c r="D6149" s="38" t="n">
        <f aca="false">Sens!$D$6148-ext_sh*Sens!$D$6145</f>
        <v>3.8781008067718</v>
      </c>
      <c r="E6149" s="38" t="n">
        <f aca="false">Sens!$E$6148-ext_sh*Sens!$E$6145</f>
        <v>1.41270258088753</v>
      </c>
      <c r="F6149" s="38" t="n">
        <f aca="false">Sens!$F$6148-ext_sh*Sens!$F$6145</f>
        <v>6.50727700583486</v>
      </c>
      <c r="G6149" s="38" t="n">
        <f aca="false">Sens!$G$6148-ext_sh*Sens!$G$6145</f>
        <v>7.9199795867224</v>
      </c>
      <c r="H6149" s="38" t="n">
        <f aca="false">Sens!$H$6148-ext_sh*Sens!$H$6145</f>
        <v>19.2818189481807</v>
      </c>
      <c r="I6149" s="38" t="n">
        <f aca="false">Sens!$I$6148-ext_sh*Sens!$I$6145</f>
        <v>30.140114407202</v>
      </c>
      <c r="J6149" s="38" t="n">
        <f aca="false">Sens!$J$6148-ext_sh*Sens!$J$6145</f>
        <v>40.3569468829854</v>
      </c>
      <c r="K6149" s="38" t="n">
        <f aca="false">Sens!$K$6148-ext_sh*Sens!$K$6145</f>
        <v>45.1418609242305</v>
      </c>
      <c r="L6149" s="38" t="n">
        <f aca="false">Sens!$L$6148-ext_sh*Sens!$L$6145</f>
        <v>48.5617321668703</v>
      </c>
      <c r="M6149" s="38" t="n">
        <f aca="false">Sens!$M$6148-ext_sh*Sens!$M$6145</f>
        <v>48.3987625241529</v>
      </c>
      <c r="N6149" s="38" t="n">
        <f aca="false">Sens!$N$6148-ext_sh*Sens!$N$6145</f>
        <v>0.92264103489199</v>
      </c>
      <c r="O6149" s="38" t="n">
        <f aca="false">Sens!$O$6148-ext_sh*Sens!$O$6145</f>
        <v>2.95545977187981</v>
      </c>
    </row>
    <row r="6150" customFormat="false" ht="17.15" hidden="false" customHeight="false" outlineLevel="0" collapsed="false">
      <c r="A6150" s="0" t="s">
        <v>638</v>
      </c>
      <c r="B6150" s="0" t="s">
        <v>52</v>
      </c>
      <c r="C6150" s="13" t="n">
        <f aca="false">Sens!$C$6149/Sens!$C$6129</f>
        <v>0.708390794789371</v>
      </c>
      <c r="D6150" s="13" t="n">
        <f aca="false">Sens!$D$6149/Sens!$D$6129</f>
        <v>0.445565630441968</v>
      </c>
      <c r="E6150" s="13" t="n">
        <f aca="false">Sens!$E$6149/Sens!$E$6129</f>
        <v>0.165998118402711</v>
      </c>
      <c r="F6150" s="13" t="n">
        <f aca="false">Sens!$F$6149/Sens!$F$6129</f>
        <v>0.434878595403858</v>
      </c>
      <c r="G6150" s="13" t="n">
        <f aca="false">Sens!$G$6149/Sens!$G$6129</f>
        <v>0.3373967615381</v>
      </c>
      <c r="H6150" s="13" t="n">
        <f aca="false">Sens!$H$6149/Sens!$H$6129</f>
        <v>0.320477578041224</v>
      </c>
      <c r="I6150" s="13" t="n">
        <f aca="false">Sens!$I$6149/Sens!$I$6129</f>
        <v>0.296936118226494</v>
      </c>
      <c r="J6150" s="13" t="n">
        <f aca="false">Sens!$J$6149/Sens!$J$6129</f>
        <v>0.282166278613001</v>
      </c>
      <c r="K6150" s="13" t="n">
        <f aca="false">Sens!$K$6149/Sens!$K$6129</f>
        <v>0.252969102881543</v>
      </c>
      <c r="L6150" s="13" t="n">
        <f aca="false">Sens!$L$6149/Sens!$L$6129</f>
        <v>0.240728642826566</v>
      </c>
      <c r="M6150" s="13" t="n">
        <f aca="false">Sens!$M$6149/Sens!$M$6129</f>
        <v>0.227399920863147</v>
      </c>
      <c r="N6150" s="13" t="n">
        <f aca="false">Sens!$N$6149/Sens!$N$6129</f>
        <v>0.302870734830849</v>
      </c>
      <c r="O6150" s="13" t="n">
        <f aca="false">Sens!$O$6149/Sens!$O$6129</f>
        <v>0.52240134346334</v>
      </c>
    </row>
    <row r="6151" customFormat="false" ht="17.15" hidden="false" customHeight="false" outlineLevel="0" collapsed="false">
      <c r="A6151" s="5" t="s">
        <v>639</v>
      </c>
      <c r="B6151" s="0" t="s">
        <v>86</v>
      </c>
      <c r="C6151" s="39" t="n">
        <v>0</v>
      </c>
      <c r="D6151" s="39" t="n">
        <v>0</v>
      </c>
      <c r="E6151" s="39" t="n">
        <v>0</v>
      </c>
      <c r="F6151" s="38" t="n">
        <f aca="false">IF(internal_ai_reading=2,1,0)*(1-ext_sh)/ext_sh*(mw_open*he_open+Sens!$F$6127*Sens!$F$6124)*Sens!$F$6113/1000</f>
        <v>3.77122048175818</v>
      </c>
      <c r="G6151" s="38" t="n">
        <f aca="false">Sens!$E$6151+Sens!$F$6151</f>
        <v>3.77122048175818</v>
      </c>
      <c r="H6151" s="38" t="n">
        <f aca="false">IF(internal_ai_reading=2,1,0)*(1-ext_sh)/ext_sh*(mw_open*he_open+Sens!$H$6127*Sens!$H$6124)*Sens!$H$6113/1000</f>
        <v>15.1635543609893</v>
      </c>
      <c r="I6151" s="38" t="n">
        <f aca="false">IF(internal_ai_reading=2,1,0)*(1-ext_sh)/ext_sh*(mw_open*he_open+Sens!$I$6127*Sens!$I$6124)*Sens!$I$6113/1000</f>
        <v>25.5818843619889</v>
      </c>
      <c r="J6151" s="38" t="n">
        <f aca="false">IF(internal_ai_reading=2,1,0)*(1-ext_sh)/ext_sh*(mw_open*he_open+Sens!$J$6127*Sens!$J$6124)*Sens!$J$6113/1000</f>
        <v>36.0465624179122</v>
      </c>
      <c r="K6151" s="38" t="n">
        <f aca="false">IF(internal_ai_reading=2,1,0)*(1-ext_sh)/ext_sh*(mw_open*he_open+Sens!$K$6127*Sens!$K$6124)*Sens!$K$6113/1000</f>
        <v>44.9741164026038</v>
      </c>
      <c r="L6151" s="38" t="n">
        <f aca="false">IF(internal_ai_reading=2,1,0)*(1-ext_sh)/ext_sh*(mw_open*he_open+Sens!$L$6127*Sens!$L$6124)*Sens!$L$6113/1000</f>
        <v>50.8413488057813</v>
      </c>
      <c r="M6151" s="38" t="n">
        <f aca="false">IF(internal_ai_reading=2,1,0)*(1-ext_sh)/ext_sh*(mw_open*he_open+Sens!$M$6127*Sens!$M$6124)*Sens!$M$6113/1000</f>
        <v>53.6407214274315</v>
      </c>
      <c r="N6151" s="39" t="n">
        <v>0</v>
      </c>
      <c r="O6151" s="39" t="n">
        <v>0</v>
      </c>
      <c r="P6151" s="8" t="s">
        <v>640</v>
      </c>
    </row>
    <row r="6152" customFormat="false" ht="17.15" hidden="false" customHeight="false" outlineLevel="0" collapsed="false">
      <c r="A6152" s="5" t="s">
        <v>641</v>
      </c>
      <c r="B6152" s="0" t="s">
        <v>86</v>
      </c>
      <c r="C6152" s="38" t="n">
        <f aca="false">(1-ext_sh)*(Sens!$C$6131+Sens!$C$6145)</f>
        <v>0.169206631859174</v>
      </c>
      <c r="D6152" s="38" t="n">
        <f aca="false">(1-ext_sh)*(Sens!$D$6131+Sens!$D$6145)</f>
        <v>1.20641732046984</v>
      </c>
      <c r="E6152" s="38" t="n">
        <f aca="false">(1-ext_sh)*(Sens!$E$6131+Sens!$E$6145)</f>
        <v>1.77441259867062</v>
      </c>
      <c r="F6152" s="38" t="n">
        <f aca="false">(1-ext_sh)*(Sens!$F$6131+Sens!$F$6145)</f>
        <v>2.1140391597214</v>
      </c>
      <c r="G6152" s="38" t="n">
        <f aca="false">(1-ext_sh)*(Sens!$G$6131+Sens!$G$6145)</f>
        <v>3.88845175839202</v>
      </c>
      <c r="H6152" s="38" t="n">
        <f aca="false">(1-ext_sh)*(Sens!$H$6131+Sens!$H$6145)</f>
        <v>10.2210179503985</v>
      </c>
      <c r="I6152" s="38" t="n">
        <f aca="false">(1-ext_sh)*(Sens!$I$6131+Sens!$I$6145)</f>
        <v>17.8408961823075</v>
      </c>
      <c r="J6152" s="38" t="n">
        <f aca="false">(1-ext_sh)*(Sens!$J$6131+Sens!$J$6145)</f>
        <v>25.6671150670732</v>
      </c>
      <c r="K6152" s="38" t="n">
        <f aca="false">(1-ext_sh)*(Sens!$K$6131+Sens!$K$6145)</f>
        <v>33.3265648647373</v>
      </c>
      <c r="L6152" s="38" t="n">
        <f aca="false">(1-ext_sh)*(Sens!$L$6131+Sens!$L$6145)</f>
        <v>38.2915924088815</v>
      </c>
      <c r="M6152" s="38" t="n">
        <f aca="false">(1-ext_sh)*(Sens!$M$6131+Sens!$M$6145)</f>
        <v>41.1091697111781</v>
      </c>
      <c r="N6152" s="38" t="n">
        <f aca="false">(1-ext_sh)*(Sens!$N$6131+Sens!$N$6145)</f>
        <v>0.530919624033979</v>
      </c>
      <c r="O6152" s="38" t="n">
        <f aca="false">(1-ext_sh)*(Sens!$O$6131+Sens!$O$6145)</f>
        <v>0.675497696435861</v>
      </c>
    </row>
    <row r="6153" customFormat="false" ht="17.15" hidden="false" customHeight="false" outlineLevel="0" collapsed="false">
      <c r="A6153" s="0" t="s">
        <v>642</v>
      </c>
      <c r="B6153" s="0" t="s">
        <v>86</v>
      </c>
      <c r="C6153" s="38" t="n">
        <f aca="false">Q!$D$24</f>
        <v>39.834</v>
      </c>
      <c r="D6153" s="38" t="n">
        <f aca="false">Q!$E$24</f>
        <v>45.606</v>
      </c>
      <c r="E6153" s="38" t="n">
        <f aca="false">Q!$P$24</f>
        <v>30.782</v>
      </c>
      <c r="N6153" s="38" t="n">
        <f aca="false">Q!$N$24</f>
        <v>21.707</v>
      </c>
      <c r="O6153" s="38" t="n">
        <f aca="false">Q!$O$24</f>
        <v>23.899</v>
      </c>
    </row>
    <row r="6154" customFormat="false" ht="17.15" hidden="false" customHeight="false" outlineLevel="0" collapsed="false">
      <c r="A6154" s="0" t="s">
        <v>643</v>
      </c>
      <c r="B6154" s="0" t="s">
        <v>86</v>
      </c>
      <c r="C6154" s="38" t="n">
        <f aca="false">Sens!$C$6153-Sens!$C$6149</f>
        <v>38.1898211704631</v>
      </c>
      <c r="D6154" s="38" t="n">
        <f aca="false">Sens!$D$6153-Sens!$D$6149</f>
        <v>41.7278991932282</v>
      </c>
      <c r="E6154" s="38" t="n">
        <f aca="false">Sens!$E$6153-Sens!$E$6149</f>
        <v>29.3692974191125</v>
      </c>
      <c r="F6154" s="38" t="n">
        <f aca="false">Sens!$F$6133*Sens!$F$6155</f>
        <v>26.8997276714137</v>
      </c>
      <c r="G6154" s="38" t="n">
        <f aca="false">Sens!$E$6154+Sens!$F$6154</f>
        <v>56.2690250905262</v>
      </c>
      <c r="H6154" s="38" t="n">
        <f aca="false">Sens!$H$6133*Sens!$H$6155</f>
        <v>60.3505333937343</v>
      </c>
      <c r="I6154" s="38" t="n">
        <f aca="false">Sens!$I$6133*Sens!$I$6155</f>
        <v>67.0043857303571</v>
      </c>
      <c r="J6154" s="38" t="n">
        <f aca="false">Sens!$J$6133*Sens!$J$6155</f>
        <v>73.3782922956925</v>
      </c>
      <c r="K6154" s="38" t="n">
        <f aca="false">Sens!$K$6133*Sens!$K$6155</f>
        <v>79.2485556793479</v>
      </c>
      <c r="L6154" s="38" t="n">
        <f aca="false">Sens!$L$6133*Sens!$L$6155</f>
        <v>85.5884401336958</v>
      </c>
      <c r="M6154" s="38" t="n">
        <f aca="false">Sens!$M$6133*Sens!$M$6155</f>
        <v>92.4355153443914</v>
      </c>
      <c r="N6154" s="38" t="n">
        <f aca="false">Sens!$N$6153-Sens!$N$6149</f>
        <v>20.784358965108</v>
      </c>
      <c r="O6154" s="38" t="n">
        <f aca="false">Sens!$O$6153-Sens!$O$6149</f>
        <v>20.9435402281202</v>
      </c>
      <c r="P6154" s="5" t="s">
        <v>644</v>
      </c>
    </row>
    <row r="6155" customFormat="false" ht="17.15" hidden="false" customHeight="false" outlineLevel="0" collapsed="false">
      <c r="A6155" s="0" t="s">
        <v>645</v>
      </c>
      <c r="B6155" s="0" t="s">
        <v>52</v>
      </c>
      <c r="C6155" s="13" t="n">
        <f aca="false">Sens!$C$6154/Sens!$C$6133</f>
        <v>0.362900395443635</v>
      </c>
      <c r="D6155" s="13" t="n">
        <f aca="false">Sens!$D$6154/Sens!$D$6133</f>
        <v>0.34767098474203</v>
      </c>
      <c r="E6155" s="13" t="n">
        <f aca="false">Sens!$E$6154/Sens!$E$6133</f>
        <v>0.411861655558416</v>
      </c>
      <c r="F6155" s="13" t="n">
        <f aca="false">(Sens!$O$6154+Sens!$E$6154)/(Sens!$O$6133+Sens!$E$6133)</f>
        <v>0.37480827803158</v>
      </c>
      <c r="G6155" s="13" t="n">
        <f aca="false">Sens!$G$6154/Sens!$G$6133</f>
        <v>0.393275318395757</v>
      </c>
      <c r="H6155" s="13" t="n">
        <f aca="false">Sens!$F$6155</f>
        <v>0.37480827803158</v>
      </c>
      <c r="I6155" s="13" t="n">
        <f aca="false">Sens!$F$6155</f>
        <v>0.37480827803158</v>
      </c>
      <c r="J6155" s="13" t="n">
        <f aca="false">Sens!$F$6155</f>
        <v>0.37480827803158</v>
      </c>
      <c r="K6155" s="13" t="n">
        <f aca="false">Sens!$F$6155</f>
        <v>0.37480827803158</v>
      </c>
      <c r="L6155" s="13" t="n">
        <f aca="false">Sens!$F$6155</f>
        <v>0.37480827803158</v>
      </c>
      <c r="M6155" s="13" t="n">
        <f aca="false">Sens!$F$6155</f>
        <v>0.37480827803158</v>
      </c>
      <c r="N6155" s="13" t="n">
        <f aca="false">Sens!$N$6154/Sens!$N$6133</f>
        <v>0.364039571356823</v>
      </c>
      <c r="O6155" s="13" t="n">
        <f aca="false">Sens!$O$6154/Sens!$O$6133</f>
        <v>0.332819892300086</v>
      </c>
      <c r="P6155" s="8" t="s">
        <v>646</v>
      </c>
    </row>
    <row r="6156" customFormat="false" ht="17.15" hidden="false" customHeight="false" outlineLevel="0" collapsed="false">
      <c r="A6156" s="0" t="s">
        <v>647</v>
      </c>
      <c r="B6156" s="0" t="s">
        <v>52</v>
      </c>
      <c r="D6156" s="13" t="n">
        <f aca="false">(Q!$E$31-ext_sh*Sens!$D$6145)/Sens!$D$6133</f>
        <v>0.154572973163571</v>
      </c>
    </row>
    <row r="6157" customFormat="false" ht="17.15" hidden="false" customHeight="false" outlineLevel="0" collapsed="false">
      <c r="A6157" s="0" t="s">
        <v>648</v>
      </c>
      <c r="B6157" s="0" t="s">
        <v>86</v>
      </c>
      <c r="C6157" s="38" t="n">
        <f aca="false">Q!$D$31</f>
        <v>13.32</v>
      </c>
      <c r="D6157" s="38" t="n">
        <f aca="false">Q!$E$31</f>
        <v>21.45</v>
      </c>
      <c r="E6157" s="38" t="n">
        <f aca="false">Q!$P$31</f>
        <v>15.353</v>
      </c>
      <c r="F6157" s="38" t="n">
        <f aca="false">ext_sh*Sens!$F$6145+Sens!$D$6156*Sens!$F$6133</f>
        <v>16.3063747611001</v>
      </c>
      <c r="G6157" s="38" t="n">
        <f aca="false">Sens!$E$6157+Sens!$F$6157</f>
        <v>31.6593747611001</v>
      </c>
      <c r="H6157" s="38" t="n">
        <f aca="false">ext_sh*Sens!$H$6145+Sens!$D$6156*Sens!$H$6133</f>
        <v>53.124242092105</v>
      </c>
      <c r="I6157" s="38" t="n">
        <f aca="false">ext_sh*Sens!$I$6145+Sens!$D$6156*Sens!$I$6133</f>
        <v>78.046828098133</v>
      </c>
      <c r="J6157" s="38" t="n">
        <f aca="false">ext_sh*Sens!$J$6145+Sens!$D$6156*Sens!$J$6133</f>
        <v>103.663976940352</v>
      </c>
      <c r="K6157" s="38" t="n">
        <f aca="false">ext_sh*Sens!$K$6145+Sens!$D$6156*Sens!$K$6133</f>
        <v>129.625086115469</v>
      </c>
      <c r="L6157" s="38" t="n">
        <f aca="false">ext_sh*Sens!$L$6145+Sens!$D$6156*Sens!$L$6133</f>
        <v>147.435052382502</v>
      </c>
      <c r="M6157" s="38" t="n">
        <f aca="false">ext_sh*Sens!$M$6145+Sens!$D$6156*Sens!$M$6133</f>
        <v>159.299754080279</v>
      </c>
      <c r="N6157" s="38" t="n">
        <f aca="false">Q!$N$31</f>
        <v>9.234</v>
      </c>
      <c r="O6157" s="38" t="n">
        <f aca="false">Q!$O$31</f>
        <v>12.216</v>
      </c>
    </row>
    <row r="6158" customFormat="false" ht="17.15" hidden="false" customHeight="false" outlineLevel="0" collapsed="false">
      <c r="A6158" s="1" t="s">
        <v>649</v>
      </c>
    </row>
    <row r="6159" customFormat="false" ht="17.15" hidden="false" customHeight="false" outlineLevel="0" collapsed="false">
      <c r="A6159" s="15" t="s">
        <v>650</v>
      </c>
      <c r="B6159" s="14" t="s">
        <v>52</v>
      </c>
      <c r="C6159" s="14"/>
      <c r="D6159" s="14"/>
      <c r="E6159" s="14"/>
      <c r="F6159" s="14"/>
      <c r="G6159" s="17" t="n">
        <f aca="false">Sens!$G$6149*(1-tax)/(ext_sh*(Sens!$D$6146+Sens!$G$6146)/2)</f>
        <v>0.0492184452944045</v>
      </c>
      <c r="H6159" s="17" t="n">
        <f aca="false">Sens!$H$6149*(1-tax)/(ext_sh*(Sens!$G$6146+Sens!$H$6146)/2)</f>
        <v>0.0619414246858107</v>
      </c>
      <c r="I6159" s="17" t="n">
        <f aca="false">Sens!$I$6149*(1-tax)/(ext_sh*(Sens!$H$6146+Sens!$I$6146)/2)</f>
        <v>0.0656831488051666</v>
      </c>
      <c r="J6159" s="17" t="n">
        <f aca="false">Sens!$J$6149*(1-tax)/(ext_sh*(Sens!$I$6146+Sens!$J$6146)/2)</f>
        <v>0.0690334849962116</v>
      </c>
      <c r="K6159" s="17" t="n">
        <f aca="false">Sens!$K$6149*(1-tax)/(ext_sh*(Sens!$J$6146+Sens!$K$6146)/2)</f>
        <v>0.0685772915331967</v>
      </c>
      <c r="L6159" s="17" t="n">
        <f aca="false">Sens!$L$6149*(1-tax)/(ext_sh*(Sens!$K$6146+Sens!$L$6146)/2)</f>
        <v>0.0723938074635756</v>
      </c>
      <c r="M6159" s="17" t="n">
        <f aca="false">Sens!$M$6149*(1-tax)/(ext_sh*(Sens!$L$6146+Sens!$M$6146)/2)</f>
        <v>0.0736061388214139</v>
      </c>
      <c r="N6159" s="14"/>
      <c r="O6159" s="14"/>
      <c r="P6159" s="8" t="s">
        <v>651</v>
      </c>
    </row>
    <row r="6160" customFormat="false" ht="17.15" hidden="false" customHeight="false" outlineLevel="0" collapsed="false">
      <c r="A6160" s="5" t="s">
        <v>652</v>
      </c>
      <c r="B6160" s="0" t="s">
        <v>57</v>
      </c>
      <c r="H6160" s="36" t="n">
        <f aca="false">Sens!$H$6129*1000/(mw_open*he_open+Sens!$H$6127*Sens!$H$6124)</f>
        <v>0.991949006767191</v>
      </c>
      <c r="I6160" s="36" t="n">
        <f aca="false">Sens!$I$6129*1000/(mw_open*he_open+Sens!$I$6127*Sens!$I$6124)</f>
        <v>0.991949006767191</v>
      </c>
      <c r="J6160" s="36" t="n">
        <f aca="false">Sens!$J$6129*1000/(mw_open*he_open+Sens!$J$6127*Sens!$J$6124)</f>
        <v>0.991949006767191</v>
      </c>
      <c r="K6160" s="36" t="n">
        <f aca="false">Sens!$K$6129*1000/(mw_open*he_open+Sens!$K$6127*Sens!$K$6124)</f>
        <v>0.991949006767191</v>
      </c>
      <c r="L6160" s="36" t="n">
        <f aca="false">Sens!$L$6129*1000/(mw_open*he_open+Sens!$L$6127*Sens!$L$6124)</f>
        <v>0.991949006767191</v>
      </c>
      <c r="M6160" s="36" t="n">
        <f aca="false">Sens!$M$6129*1000/(mw_open*he_open+Sens!$M$6127*Sens!$M$6124)</f>
        <v>0.991949006767191</v>
      </c>
    </row>
    <row r="6161" customFormat="false" ht="17.15" hidden="false" customHeight="false" outlineLevel="0" collapsed="false">
      <c r="A6161" s="5" t="s">
        <v>653</v>
      </c>
      <c r="B6161" s="0" t="s">
        <v>57</v>
      </c>
      <c r="H6161" s="36" t="n">
        <f aca="false">Sens!$H$6160*(Sens!$H$6129+wacc*ext_sh*(Sens!$G$6146+Sens!$H$6146)/2/(1-tax)-Sens!$H$6149)/Sens!$H$6129</f>
        <v>1.25551961623259</v>
      </c>
      <c r="I6161" s="36" t="n">
        <f aca="false">Sens!$I$6160*(Sens!$I$6129+wacc*ext_sh*(Sens!$H$6146+Sens!$I$6146)/2/(1-tax)-Sens!$I$6149)/Sens!$I$6129</f>
        <v>1.2054675393263</v>
      </c>
      <c r="J6161" s="36" t="n">
        <f aca="false">Sens!$J$6160*(Sens!$J$6129+wacc*ext_sh*(Sens!$I$6146+Sens!$J$6146)/2/(1-tax)-Sens!$J$6149)/Sens!$J$6129</f>
        <v>1.17141604927023</v>
      </c>
      <c r="K6161" s="36" t="n">
        <f aca="false">Sens!$K$6160*(Sens!$K$6129+wacc*ext_sh*(Sens!$J$6146+Sens!$K$6146)/2/(1-tax)-Sens!$K$6149)/Sens!$K$6129</f>
        <v>1.15558527566281</v>
      </c>
      <c r="L6161" s="36" t="n">
        <f aca="false">Sens!$L$6160*(Sens!$L$6129+wacc*ext_sh*(Sens!$K$6146+Sens!$L$6146)/2/(1-tax)-Sens!$L$6149)/Sens!$L$6129</f>
        <v>1.12686933572495</v>
      </c>
      <c r="M6161" s="36" t="n">
        <f aca="false">Sens!$M$6160*(Sens!$M$6129+wacc*ext_sh*(Sens!$L$6146+Sens!$M$6146)/2/(1-tax)-Sens!$M$6149)/Sens!$M$6129</f>
        <v>1.11358462527531</v>
      </c>
    </row>
    <row r="6162" customFormat="false" ht="17.15" hidden="false" customHeight="false" outlineLevel="0" collapsed="false">
      <c r="A6162" s="5" t="s">
        <v>654</v>
      </c>
      <c r="B6162" s="0" t="s">
        <v>52</v>
      </c>
      <c r="C6162" s="13" t="n">
        <f aca="false">Sens!$C$6130/tk_pq</f>
        <v>0.195316432429398</v>
      </c>
      <c r="D6162" s="13" t="n">
        <f aca="false">Sens!$D$6130/tk_pq</f>
        <v>0.195316432429398</v>
      </c>
      <c r="E6162" s="13" t="n">
        <f aca="false">Sens!$E$6130/tk_pq</f>
        <v>0.195316432429398</v>
      </c>
      <c r="F6162" s="13" t="n">
        <f aca="false">Sens!$F$6130/tk_pq</f>
        <v>0.202241827274866</v>
      </c>
      <c r="G6162" s="13" t="n">
        <f aca="false">Sens!$G$6130/tk_pq</f>
        <v>0.199675016194063</v>
      </c>
      <c r="H6162" s="13" t="n">
        <f aca="false">Sens!$H$6130/tk_pq</f>
        <v>0.212647947710325</v>
      </c>
      <c r="I6162" s="13" t="n">
        <f aca="false">Sens!$I$6130/tk_pq</f>
        <v>0.219285125475351</v>
      </c>
      <c r="J6162" s="13" t="n">
        <f aca="false">Sens!$J$6130/tk_pq</f>
        <v>0.222492493217189</v>
      </c>
      <c r="K6162" s="13" t="n">
        <f aca="false">Sens!$K$6130/tk_pq</f>
        <v>0.224053502812094</v>
      </c>
      <c r="L6162" s="13" t="n">
        <f aca="false">Sens!$L$6130/tk_pq</f>
        <v>0.224786916785614</v>
      </c>
      <c r="M6162" s="13" t="n">
        <f aca="false">Sens!$M$6130/tk_pq</f>
        <v>0.225048671566937</v>
      </c>
      <c r="N6162" s="13" t="n">
        <f aca="false">Sens!$N$6130/tk_pq</f>
        <v>0.195316432429398</v>
      </c>
      <c r="O6162" s="13" t="n">
        <f aca="false">Sens!$O$6130/tk_pq</f>
        <v>0.195316432429398</v>
      </c>
      <c r="P6162" s="5" t="s">
        <v>655</v>
      </c>
    </row>
    <row r="6165" customFormat="false" ht="17.15" hidden="false" customHeight="false" outlineLevel="0" collapsed="false">
      <c r="A6165" s="1" t="s">
        <v>684</v>
      </c>
    </row>
    <row r="6166" customFormat="false" ht="17.15" hidden="false" customHeight="false" outlineLevel="0" collapsed="false">
      <c r="A6166" s="0" t="s">
        <v>685</v>
      </c>
      <c r="B6166" s="0" t="s">
        <v>86</v>
      </c>
      <c r="C6166" s="38" t="n">
        <f aca="false">Sens!$C$6129</f>
        <v>2.32100535697364</v>
      </c>
      <c r="D6166" s="38" t="n">
        <f aca="false">Sens!$D$6129</f>
        <v>8.70377008865116</v>
      </c>
      <c r="E6166" s="38" t="n">
        <f aca="false">Sens!$E$6129</f>
        <v>8.51035297557002</v>
      </c>
      <c r="F6166" s="38" t="n">
        <f aca="false">Sens!$F$6129</f>
        <v>14.9634336447205</v>
      </c>
      <c r="G6166" s="38" t="n">
        <f aca="false">Sens!$G$6129</f>
        <v>23.4737866202905</v>
      </c>
      <c r="H6166" s="38" t="n">
        <f aca="false">Sens!$H$6129</f>
        <v>60.1658907497746</v>
      </c>
      <c r="I6166" s="38" t="n">
        <f aca="false">Sens!$I$6129</f>
        <v>101.503699136432</v>
      </c>
      <c r="J6166" s="38" t="n">
        <f aca="false">Sens!$J$6129</f>
        <v>143.025407151278</v>
      </c>
      <c r="K6166" s="38" t="n">
        <f aca="false">Sens!$K$6129</f>
        <v>178.44812038318</v>
      </c>
      <c r="L6166" s="38" t="n">
        <f aca="false">Sens!$L$6129</f>
        <v>201.728101802396</v>
      </c>
      <c r="M6166" s="38" t="n">
        <f aca="false">Sens!$M$6129</f>
        <v>212.835441368865</v>
      </c>
      <c r="N6166" s="38" t="n">
        <f aca="false">Sens!$N$6129</f>
        <v>3.04631953102791</v>
      </c>
      <c r="O6166" s="38" t="n">
        <f aca="false">Sens!$O$6129</f>
        <v>5.65745055762326</v>
      </c>
      <c r="P6166" s="8" t="s">
        <v>686</v>
      </c>
    </row>
    <row r="6167" customFormat="false" ht="17.15" hidden="false" customHeight="false" outlineLevel="0" collapsed="false">
      <c r="A6167" s="0" t="s">
        <v>687</v>
      </c>
      <c r="B6167" s="0" t="s">
        <v>86</v>
      </c>
      <c r="C6167" s="38" t="n">
        <f aca="false">Sens!$C$6133</f>
        <v>105.234994643026</v>
      </c>
      <c r="D6167" s="38" t="n">
        <f aca="false">Sens!$D$6133</f>
        <v>120.021229911349</v>
      </c>
      <c r="E6167" s="38" t="n">
        <f aca="false">Sens!$E$6133</f>
        <v>71.30864702443</v>
      </c>
      <c r="F6167" s="38" t="n">
        <f aca="false">Sens!$F$6133</f>
        <v>71.7692997942464</v>
      </c>
      <c r="G6167" s="38" t="n">
        <f aca="false">Sens!$G$6133</f>
        <v>143.077946818676</v>
      </c>
      <c r="H6167" s="38" t="n">
        <f aca="false">Sens!$H$6133</f>
        <v>161.017077079203</v>
      </c>
      <c r="I6167" s="38" t="n">
        <f aca="false">Sens!$I$6133</f>
        <v>178.769759521457</v>
      </c>
      <c r="J6167" s="38" t="n">
        <f aca="false">Sens!$J$6133</f>
        <v>195.775538045907</v>
      </c>
      <c r="K6167" s="38" t="n">
        <f aca="false">Sens!$K$6133</f>
        <v>211.43758108958</v>
      </c>
      <c r="L6167" s="38" t="n">
        <f aca="false">Sens!$L$6133</f>
        <v>228.352587576746</v>
      </c>
      <c r="M6167" s="38" t="n">
        <f aca="false">Sens!$M$6133</f>
        <v>246.620794582886</v>
      </c>
      <c r="N6167" s="38" t="n">
        <f aca="false">Sens!$N$6133</f>
        <v>57.0936804689721</v>
      </c>
      <c r="O6167" s="38" t="n">
        <f aca="false">Sens!$O$6133</f>
        <v>62.9275494423768</v>
      </c>
      <c r="P6167" s="8" t="s">
        <v>686</v>
      </c>
    </row>
    <row r="6168" customFormat="false" ht="17.15" hidden="false" customHeight="false" outlineLevel="0" collapsed="false">
      <c r="A6168" s="1" t="s">
        <v>513</v>
      </c>
      <c r="B6168" s="8" t="s">
        <v>86</v>
      </c>
      <c r="C6168" s="38" t="n">
        <f aca="false">Q!$D$7</f>
        <v>107.556</v>
      </c>
      <c r="D6168" s="38" t="n">
        <f aca="false">Q!$E$7</f>
        <v>128.725</v>
      </c>
      <c r="E6168" s="38" t="n">
        <f aca="false">Q!$P$7</f>
        <v>79.819</v>
      </c>
      <c r="F6168" s="38" t="n">
        <f aca="false">Sens!$F$6166+Sens!$F$6167</f>
        <v>86.7327334389669</v>
      </c>
      <c r="G6168" s="38" t="n">
        <f aca="false">Sens!$G$6166+Sens!$G$6167</f>
        <v>166.551733438967</v>
      </c>
      <c r="H6168" s="38" t="n">
        <f aca="false">Sens!$H$6166+Sens!$H$6167</f>
        <v>221.182967828978</v>
      </c>
      <c r="I6168" s="38" t="n">
        <f aca="false">Sens!$I$6166+Sens!$I$6167</f>
        <v>280.27345865789</v>
      </c>
      <c r="J6168" s="38" t="n">
        <f aca="false">Sens!$J$6166+Sens!$J$6167</f>
        <v>338.800945197185</v>
      </c>
      <c r="K6168" s="38" t="n">
        <f aca="false">Sens!$K$6166+Sens!$K$6167</f>
        <v>389.88570147276</v>
      </c>
      <c r="L6168" s="38" t="n">
        <f aca="false">Sens!$L$6166+Sens!$L$6167</f>
        <v>430.080689379143</v>
      </c>
      <c r="M6168" s="38" t="n">
        <f aca="false">Sens!$M$6166+Sens!$M$6167</f>
        <v>459.456235951751</v>
      </c>
      <c r="N6168" s="38" t="n">
        <f aca="false">Q!$N$7</f>
        <v>60.14</v>
      </c>
      <c r="O6168" s="38" t="n">
        <f aca="false">Q!$O$7</f>
        <v>68.585</v>
      </c>
      <c r="P6168" s="5" t="s">
        <v>688</v>
      </c>
    </row>
    <row r="6169" customFormat="false" ht="15" hidden="false" customHeight="false" outlineLevel="0" collapsed="false">
      <c r="A6169" s="3" t="s">
        <v>689</v>
      </c>
      <c r="B6169" s="8" t="s">
        <v>86</v>
      </c>
      <c r="C6169" s="38" t="n">
        <f aca="false">Q!$D$8</f>
        <v>637.959</v>
      </c>
      <c r="D6169" s="38" t="n">
        <f aca="false">Q!$E$8</f>
        <v>716.924</v>
      </c>
      <c r="E6169" s="38" t="n">
        <f aca="false">Q!$P$8</f>
        <v>382.125</v>
      </c>
      <c r="F6169" s="38" t="n">
        <f aca="false">Sens!$F$6101+Sens!$F$6168</f>
        <v>435.780975084504</v>
      </c>
      <c r="G6169" s="38" t="n">
        <f aca="false">Sens!$G$6101+Sens!$G$6168</f>
        <v>817.905975084504</v>
      </c>
      <c r="H6169" s="38" t="n">
        <f aca="false">Sens!$H$6101+Sens!$H$6168</f>
        <v>942.279857350364</v>
      </c>
      <c r="I6169" s="38" t="n">
        <f aca="false">Sens!$I$6101+Sens!$I$6168</f>
        <v>1068.80284981042</v>
      </c>
      <c r="J6169" s="38" t="n">
        <f aca="false">Sens!$J$6101+Sens!$J$6168</f>
        <v>1189.90935093863</v>
      </c>
      <c r="K6169" s="38" t="n">
        <f aca="false">Sens!$K$6101+Sens!$K$6168</f>
        <v>1296.06215690385</v>
      </c>
      <c r="L6169" s="38" t="n">
        <f aca="false">Sens!$L$6101+Sens!$L$6168</f>
        <v>1395.17379585473</v>
      </c>
      <c r="M6169" s="38" t="n">
        <f aca="false">Sens!$M$6101+Sens!$M$6168</f>
        <v>1487.60414389864</v>
      </c>
      <c r="N6169" s="38" t="n">
        <f aca="false">Q!$N$8</f>
        <v>323.369</v>
      </c>
      <c r="O6169" s="38" t="n">
        <f aca="false">Q!$O$8</f>
        <v>393.555</v>
      </c>
    </row>
    <row r="6170" customFormat="false" ht="17.15" hidden="false" customHeight="false" outlineLevel="0" collapsed="false">
      <c r="A6170" s="24" t="s">
        <v>697</v>
      </c>
      <c r="B6170" s="25" t="s">
        <v>86</v>
      </c>
      <c r="C6170" s="41" t="n">
        <f aca="false">Sens!$C$6101-(Sens!$C$6103+Sens!$C$6104)</f>
        <v>0</v>
      </c>
      <c r="D6170" s="41" t="n">
        <f aca="false">Sens!$D$6101-(Sens!$D$6103+Sens!$D$6104)</f>
        <v>0</v>
      </c>
      <c r="E6170" s="41" t="n">
        <f aca="false">Sens!$E$6101-(Sens!$E$6103+Sens!$E$6104)</f>
        <v>0</v>
      </c>
      <c r="F6170" s="41" t="n">
        <f aca="false">Sens!$F$6101-(Sens!$F$6103+Sens!$F$6104)</f>
        <v>0</v>
      </c>
      <c r="G6170" s="41" t="n">
        <f aca="false">Sens!$G$6101-(Sens!$G$6103+Sens!$G$6104)</f>
        <v>0</v>
      </c>
      <c r="H6170" s="41" t="n">
        <f aca="false">Sens!$H$6101-(Sens!$H$6103+Sens!$H$6104)</f>
        <v>0</v>
      </c>
      <c r="I6170" s="41" t="n">
        <f aca="false">Sens!$I$6101-(Sens!$I$6103+Sens!$I$6104)</f>
        <v>0</v>
      </c>
      <c r="J6170" s="41" t="n">
        <f aca="false">Sens!$J$6101-(Sens!$J$6103+Sens!$J$6104)</f>
        <v>0</v>
      </c>
      <c r="K6170" s="41" t="n">
        <f aca="false">Sens!$K$6101-(Sens!$K$6103+Sens!$K$6104)</f>
        <v>0</v>
      </c>
      <c r="L6170" s="41" t="n">
        <f aca="false">Sens!$L$6101-(Sens!$L$6103+Sens!$L$6104)</f>
        <v>0</v>
      </c>
      <c r="M6170" s="41" t="n">
        <f aca="false">Sens!$M$6101-(Sens!$M$6103+Sens!$M$6104)</f>
        <v>0</v>
      </c>
      <c r="N6170" s="41" t="n">
        <f aca="false">Sens!$N$6101-(Sens!$N$6103+Sens!$N$6104)</f>
        <v>0</v>
      </c>
      <c r="O6170" s="41" t="n">
        <f aca="false">Sens!$O$6101-(Sens!$O$6103+Sens!$O$6104)</f>
        <v>0</v>
      </c>
    </row>
    <row r="6171" customFormat="false" ht="17.15" hidden="false" customHeight="false" outlineLevel="0" collapsed="false">
      <c r="A6171" s="24" t="s">
        <v>698</v>
      </c>
      <c r="B6171" s="25" t="s">
        <v>86</v>
      </c>
      <c r="C6171" s="41" t="n">
        <f aca="false">Sens!$C$6166+Sens!$C$6167-Sens!$C$6168</f>
        <v>0</v>
      </c>
      <c r="D6171" s="41" t="n">
        <f aca="false">Sens!$D$6166+Sens!$D$6167-Sens!$D$6168</f>
        <v>0</v>
      </c>
      <c r="E6171" s="41" t="n">
        <f aca="false">Sens!$E$6166+Sens!$E$6167-Sens!$E$6168</f>
        <v>0</v>
      </c>
      <c r="F6171" s="41" t="n">
        <f aca="false">Sens!$F$6166+Sens!$F$6167-Sens!$F$6168</f>
        <v>0</v>
      </c>
      <c r="G6171" s="41" t="n">
        <f aca="false">Sens!$G$6166+Sens!$G$6167-Sens!$G$6168</f>
        <v>0</v>
      </c>
      <c r="H6171" s="41" t="n">
        <f aca="false">Sens!$H$6166+Sens!$H$6167-Sens!$H$6168</f>
        <v>0</v>
      </c>
      <c r="I6171" s="41" t="n">
        <f aca="false">Sens!$I$6166+Sens!$I$6167-Sens!$I$6168</f>
        <v>0</v>
      </c>
      <c r="J6171" s="41" t="n">
        <f aca="false">Sens!$J$6166+Sens!$J$6167-Sens!$J$6168</f>
        <v>0</v>
      </c>
      <c r="K6171" s="41" t="n">
        <f aca="false">Sens!$K$6166+Sens!$K$6167-Sens!$K$6168</f>
        <v>0</v>
      </c>
      <c r="L6171" s="41" t="n">
        <f aca="false">Sens!$L$6166+Sens!$L$6167-Sens!$L$6168</f>
        <v>0</v>
      </c>
      <c r="M6171" s="41" t="n">
        <f aca="false">Sens!$M$6166+Sens!$M$6167-Sens!$M$6168</f>
        <v>0</v>
      </c>
      <c r="N6171" s="41" t="n">
        <f aca="false">Sens!$N$6166+Sens!$N$6167-Sens!$N$6168</f>
        <v>0</v>
      </c>
      <c r="O6171" s="41" t="n">
        <f aca="false">Sens!$O$6166+Sens!$O$6167-Sens!$O$6168</f>
        <v>0</v>
      </c>
    </row>
    <row r="6172" customFormat="false" ht="17.15" hidden="false" customHeight="false" outlineLevel="0" collapsed="false">
      <c r="A6172" s="24" t="s">
        <v>699</v>
      </c>
      <c r="B6172" s="25" t="s">
        <v>86</v>
      </c>
      <c r="C6172" s="41" t="n">
        <f aca="false">Sens!$C$6103+Sens!$C$6104+Sens!$C$6168-Sens!$C$6169</f>
        <v>0</v>
      </c>
      <c r="D6172" s="41" t="n">
        <f aca="false">Sens!$D$6103+Sens!$D$6104+Sens!$D$6168-Sens!$D$6169</f>
        <v>0</v>
      </c>
      <c r="E6172" s="41" t="n">
        <f aca="false">Sens!$E$6103+Sens!$E$6104+Sens!$E$6168-Sens!$E$6169</f>
        <v>0</v>
      </c>
      <c r="F6172" s="41" t="n">
        <f aca="false">Sens!$F$6103+Sens!$F$6104+Sens!$F$6168-Sens!$F$6169</f>
        <v>0</v>
      </c>
      <c r="G6172" s="41" t="n">
        <f aca="false">Sens!$G$6103+Sens!$G$6104+Sens!$G$6168-Sens!$G$6169</f>
        <v>0</v>
      </c>
      <c r="H6172" s="41" t="n">
        <f aca="false">Sens!$H$6103+Sens!$H$6104+Sens!$H$6168-Sens!$H$6169</f>
        <v>0</v>
      </c>
      <c r="I6172" s="41" t="n">
        <f aca="false">Sens!$I$6103+Sens!$I$6104+Sens!$I$6168-Sens!$I$6169</f>
        <v>0</v>
      </c>
      <c r="J6172" s="41" t="n">
        <f aca="false">Sens!$J$6103+Sens!$J$6104+Sens!$J$6168-Sens!$J$6169</f>
        <v>0</v>
      </c>
      <c r="K6172" s="41" t="n">
        <f aca="false">Sens!$K$6103+Sens!$K$6104+Sens!$K$6168-Sens!$K$6169</f>
        <v>0</v>
      </c>
      <c r="L6172" s="41" t="n">
        <f aca="false">Sens!$L$6103+Sens!$L$6104+Sens!$L$6168-Sens!$L$6169</f>
        <v>0</v>
      </c>
      <c r="M6172" s="41" t="n">
        <f aca="false">Sens!$M$6103+Sens!$M$6104+Sens!$M$6168-Sens!$M$6169</f>
        <v>0</v>
      </c>
      <c r="N6172" s="41" t="n">
        <f aca="false">Sens!$N$6103+Sens!$N$6104+Sens!$N$6168-Sens!$N$6169</f>
        <v>0</v>
      </c>
      <c r="O6172" s="41" t="n">
        <f aca="false">Sens!$O$6103+Sens!$O$6104+Sens!$O$6168-Sens!$O$6169</f>
        <v>0</v>
      </c>
    </row>
    <row r="6173" customFormat="false" ht="15" hidden="false" customHeight="false" outlineLevel="0" collapsed="false">
      <c r="A6173" s="5" t="s">
        <v>693</v>
      </c>
      <c r="B6173" s="0" t="s">
        <v>52</v>
      </c>
      <c r="G6173" s="13" t="n">
        <f aca="false">Sens!$G$6169/Sens!$D$6169-1</f>
        <v>0.140854504918937</v>
      </c>
      <c r="H6173" s="13" t="n">
        <f aca="false">Sens!$H$6169/Sens!$G$6169-1</f>
        <v>0.152063789793209</v>
      </c>
      <c r="I6173" s="13" t="n">
        <f aca="false">Sens!$I$6169/Sens!$H$6169-1</f>
        <v>0.134273264437417</v>
      </c>
      <c r="J6173" s="13" t="n">
        <f aca="false">Sens!$J$6169/Sens!$I$6169-1</f>
        <v>0.113310421234083</v>
      </c>
      <c r="K6173" s="13" t="n">
        <f aca="false">Sens!$K$6169/Sens!$J$6169-1</f>
        <v>0.0892108343223652</v>
      </c>
      <c r="L6173" s="13" t="n">
        <f aca="false">Sens!$L$6169/Sens!$K$6169-1</f>
        <v>0.076471362444261</v>
      </c>
      <c r="M6173" s="13" t="n">
        <f aca="false">Sens!$M$6169/Sens!$L$6169-1</f>
        <v>0.066250060256672</v>
      </c>
    </row>
    <row r="6174" customFormat="false" ht="17.15" hidden="false" customHeight="false" outlineLevel="0" collapsed="false">
      <c r="A6174" s="0" t="s">
        <v>694</v>
      </c>
      <c r="B6174" s="0" t="s">
        <v>52</v>
      </c>
      <c r="C6174" s="13" t="n">
        <f aca="false">Sens!$C$6168/Sens!$C$6169</f>
        <v>0.168593906504964</v>
      </c>
      <c r="D6174" s="13" t="n">
        <f aca="false">Sens!$D$6168/Sens!$D$6169</f>
        <v>0.179551807444025</v>
      </c>
      <c r="E6174" s="13" t="n">
        <f aca="false">Sens!$E$6168/Sens!$E$6169</f>
        <v>0.208881910369643</v>
      </c>
      <c r="F6174" s="13" t="n">
        <f aca="false">Sens!$F$6168/Sens!$F$6169</f>
        <v>0.199028269699356</v>
      </c>
      <c r="G6174" s="13" t="n">
        <f aca="false">Sens!$G$6168/Sens!$G$6169</f>
        <v>0.203631882529968</v>
      </c>
      <c r="H6174" s="13" t="n">
        <f aca="false">Sens!$H$6168/Sens!$H$6169</f>
        <v>0.234731715958496</v>
      </c>
      <c r="I6174" s="13" t="n">
        <f aca="false">Sens!$I$6168/Sens!$I$6169</f>
        <v>0.262231204480418</v>
      </c>
      <c r="J6174" s="13" t="n">
        <f aca="false">Sens!$J$6168/Sens!$J$6169</f>
        <v>0.284728366013706</v>
      </c>
      <c r="K6174" s="13" t="n">
        <f aca="false">Sens!$K$6168/Sens!$K$6169</f>
        <v>0.300823304959505</v>
      </c>
      <c r="L6174" s="13" t="n">
        <f aca="false">Sens!$L$6168/Sens!$L$6169</f>
        <v>0.308263164529735</v>
      </c>
      <c r="M6174" s="13" t="n">
        <f aca="false">Sens!$M$6168/Sens!$M$6169</f>
        <v>0.308856517936036</v>
      </c>
      <c r="N6174" s="13" t="n">
        <f aca="false">Sens!$N$6168/Sens!$N$6169</f>
        <v>0.185979484737251</v>
      </c>
      <c r="O6174" s="13" t="n">
        <f aca="false">Sens!$O$6168/Sens!$O$6169</f>
        <v>0.174270432341096</v>
      </c>
    </row>
    <row r="6175" customFormat="false" ht="17.15" hidden="false" customHeight="false" outlineLevel="0" collapsed="false">
      <c r="A6175" s="0" t="s">
        <v>695</v>
      </c>
      <c r="B6175" s="0" t="s">
        <v>52</v>
      </c>
      <c r="C6175" s="13" t="n">
        <f aca="false">Sens!$C$6166/Sens!$C$6168</f>
        <v>0.0215795060896058</v>
      </c>
      <c r="D6175" s="13" t="n">
        <f aca="false">Sens!$D$6166/Sens!$D$6168</f>
        <v>0.0676152269462122</v>
      </c>
      <c r="E6175" s="13" t="n">
        <f aca="false">Sens!$E$6166/Sens!$E$6168</f>
        <v>0.106620641395783</v>
      </c>
      <c r="F6175" s="13" t="n">
        <f aca="false">Sens!$F$6166/Sens!$F$6168</f>
        <v>0.172523487401099</v>
      </c>
      <c r="G6175" s="13" t="n">
        <f aca="false">Sens!$G$6166/Sens!$G$6168</f>
        <v>0.140939911795589</v>
      </c>
      <c r="H6175" s="13" t="n">
        <f aca="false">Sens!$H$6166/Sens!$H$6168</f>
        <v>0.272018642937714</v>
      </c>
      <c r="I6175" s="13" t="n">
        <f aca="false">Sens!$I$6166/Sens!$I$6168</f>
        <v>0.362159512436497</v>
      </c>
      <c r="J6175" s="13" t="n">
        <f aca="false">Sens!$J$6166/Sens!$J$6168</f>
        <v>0.422151735934609</v>
      </c>
      <c r="K6175" s="13" t="n">
        <f aca="false">Sens!$K$6166/Sens!$K$6168</f>
        <v>0.45769342068485</v>
      </c>
      <c r="L6175" s="13" t="n">
        <f aca="false">Sens!$L$6166/Sens!$L$6168</f>
        <v>0.469047103913472</v>
      </c>
      <c r="M6175" s="13" t="n">
        <f aca="false">Sens!$M$6166/Sens!$M$6168</f>
        <v>0.463233328258093</v>
      </c>
      <c r="N6175" s="13" t="n">
        <f aca="false">Sens!$N$6166/Sens!$N$6168</f>
        <v>0.0506537999838362</v>
      </c>
      <c r="O6175" s="13" t="n">
        <f aca="false">Sens!$O$6166/Sens!$O$6168</f>
        <v>0.0824881615167056</v>
      </c>
    </row>
    <row r="6178" customFormat="false" ht="19.4" hidden="false" customHeight="false" outlineLevel="0" collapsed="false">
      <c r="A6178" s="31" t="s">
        <v>1254</v>
      </c>
    </row>
    <row r="6179" customFormat="false" ht="17.15" hidden="false" customHeight="false" outlineLevel="0" collapsed="false">
      <c r="A6179" s="6" t="s">
        <v>16</v>
      </c>
      <c r="B6179" s="6" t="s">
        <v>17</v>
      </c>
      <c r="C6179" s="20" t="s">
        <v>494</v>
      </c>
      <c r="D6179" s="20" t="s">
        <v>495</v>
      </c>
      <c r="E6179" s="20" t="s">
        <v>577</v>
      </c>
      <c r="F6179" s="20" t="s">
        <v>578</v>
      </c>
      <c r="G6179" s="20" t="s">
        <v>579</v>
      </c>
      <c r="H6179" s="20" t="s">
        <v>580</v>
      </c>
      <c r="I6179" s="20" t="s">
        <v>581</v>
      </c>
      <c r="J6179" s="20" t="s">
        <v>582</v>
      </c>
      <c r="K6179" s="20" t="s">
        <v>583</v>
      </c>
      <c r="L6179" s="20" t="s">
        <v>584</v>
      </c>
      <c r="M6179" s="20" t="s">
        <v>585</v>
      </c>
      <c r="N6179" s="20" t="s">
        <v>586</v>
      </c>
      <c r="O6179" s="20" t="s">
        <v>587</v>
      </c>
      <c r="P6179" s="6" t="s">
        <v>23</v>
      </c>
      <c r="R6179" s="20" t="n">
        <v>2023</v>
      </c>
      <c r="S6179" s="20" t="n">
        <v>2024</v>
      </c>
      <c r="T6179" s="20" t="n">
        <v>2025</v>
      </c>
      <c r="U6179" s="20" t="n">
        <v>2026</v>
      </c>
      <c r="V6179" s="20" t="n">
        <v>2027</v>
      </c>
      <c r="W6179" s="20" t="n">
        <v>2028</v>
      </c>
      <c r="X6179" s="20" t="n">
        <v>2029</v>
      </c>
      <c r="Y6179" s="20" t="n">
        <v>2030</v>
      </c>
      <c r="Z6179" s="20" t="n">
        <v>2031</v>
      </c>
      <c r="AA6179" s="20" t="n">
        <v>2032</v>
      </c>
    </row>
    <row r="6180" customFormat="false" ht="17.15" hidden="false" customHeight="false" outlineLevel="0" collapsed="false">
      <c r="A6180" s="1" t="s">
        <v>710</v>
      </c>
    </row>
    <row r="6181" customFormat="false" ht="15" hidden="false" customHeight="false" outlineLevel="0" collapsed="false">
      <c r="A6181" s="0" t="s">
        <v>516</v>
      </c>
      <c r="B6181" s="0" t="s">
        <v>86</v>
      </c>
      <c r="C6181" s="38" t="n">
        <f aca="false">Sens!$C$6088</f>
        <v>247.029</v>
      </c>
      <c r="D6181" s="38" t="n">
        <f aca="false">Sens!$D$6088</f>
        <v>269.287</v>
      </c>
      <c r="E6181" s="38" t="n">
        <f aca="false">Sens!$E$6088</f>
        <v>134.686</v>
      </c>
      <c r="F6181" s="38" t="n">
        <f aca="false">Sens!$F$6088</f>
        <v>158.293876822267</v>
      </c>
      <c r="G6181" s="38" t="n">
        <f aca="false">Sens!$G$6088</f>
        <v>292.979876822267</v>
      </c>
      <c r="H6181" s="38" t="n">
        <f aca="false">Sens!$H$6088</f>
        <v>318.184543087396</v>
      </c>
      <c r="I6181" s="38" t="n">
        <f aca="false">Sens!$I$6088</f>
        <v>341.736278761793</v>
      </c>
      <c r="J6181" s="38" t="n">
        <f aca="false">Sens!$J$6088</f>
        <v>362.927192787048</v>
      </c>
      <c r="K6181" s="38" t="n">
        <f aca="false">Sens!$K$6088</f>
        <v>381.0735524264</v>
      </c>
      <c r="L6181" s="38" t="n">
        <f aca="false">Sens!$L$6088</f>
        <v>400.12723004772</v>
      </c>
      <c r="M6181" s="38" t="n">
        <f aca="false">Sens!$M$6088</f>
        <v>420.133591550106</v>
      </c>
      <c r="N6181" s="38" t="n">
        <f aca="false">Sens!$N$6088</f>
        <v>118.892</v>
      </c>
      <c r="O6181" s="38" t="n">
        <f aca="false">Sens!$O$6088</f>
        <v>150.395</v>
      </c>
    </row>
    <row r="6182" customFormat="false" ht="15" hidden="false" customHeight="false" outlineLevel="0" collapsed="false">
      <c r="A6182" s="0" t="s">
        <v>517</v>
      </c>
      <c r="B6182" s="0" t="s">
        <v>86</v>
      </c>
      <c r="C6182" s="38" t="n">
        <f aca="false">Sens!$C$6090</f>
        <v>21.215</v>
      </c>
      <c r="D6182" s="38" t="n">
        <f aca="false">Sens!$D$6090</f>
        <v>22.561</v>
      </c>
      <c r="E6182" s="38" t="n">
        <f aca="false">Sens!$E$6090</f>
        <v>11.579</v>
      </c>
      <c r="F6182" s="38" t="n">
        <f aca="false">Sens!$F$6090</f>
        <v>11.5938724610325</v>
      </c>
      <c r="G6182" s="38" t="n">
        <f aca="false">Sens!$G$6090</f>
        <v>23.1728724610325</v>
      </c>
      <c r="H6182" s="38" t="n">
        <f aca="false">Sens!$H$6090</f>
        <v>24.353392759506</v>
      </c>
      <c r="I6182" s="38" t="n">
        <f aca="false">Sens!$I$6090</f>
        <v>25.4240338872015</v>
      </c>
      <c r="J6182" s="38" t="n">
        <f aca="false">Sens!$J$6090</f>
        <v>26.3642491017174</v>
      </c>
      <c r="K6182" s="38" t="n">
        <f aca="false">Sens!$K$6090</f>
        <v>27.155176574769</v>
      </c>
      <c r="L6182" s="38" t="n">
        <f aca="false">Sens!$L$6090</f>
        <v>27.969831872012</v>
      </c>
      <c r="M6182" s="38" t="n">
        <f aca="false">Sens!$M$6090</f>
        <v>28.8089268281724</v>
      </c>
      <c r="N6182" s="38" t="n">
        <f aca="false">Sens!$N$6090</f>
        <v>11.128</v>
      </c>
      <c r="O6182" s="38" t="n">
        <f aca="false">Sens!$O$6090</f>
        <v>11.433</v>
      </c>
    </row>
    <row r="6183" customFormat="false" ht="15" hidden="false" customHeight="false" outlineLevel="0" collapsed="false">
      <c r="A6183" s="0" t="s">
        <v>518</v>
      </c>
      <c r="B6183" s="0" t="s">
        <v>86</v>
      </c>
      <c r="C6183" s="38" t="n">
        <f aca="false">Sens!$C$6092</f>
        <v>156.146</v>
      </c>
      <c r="D6183" s="38" t="n">
        <f aca="false">Sens!$D$6092</f>
        <v>172.162</v>
      </c>
      <c r="E6183" s="38" t="n">
        <f aca="false">Sens!$E$6092</f>
        <v>88.358</v>
      </c>
      <c r="F6183" s="38" t="n">
        <f aca="false">Sens!$F$6092</f>
        <v>102.004388260171</v>
      </c>
      <c r="G6183" s="38" t="n">
        <f aca="false">Sens!$G$6092</f>
        <v>190.362388260171</v>
      </c>
      <c r="H6183" s="38" t="n">
        <f aca="false">Sens!$H$6092</f>
        <v>210.343106588311</v>
      </c>
      <c r="I6183" s="38" t="n">
        <f aca="false">Sens!$I$6092</f>
        <v>229.969728494648</v>
      </c>
      <c r="J6183" s="38" t="n">
        <f aca="false">Sens!$J$6092</f>
        <v>248.747636972598</v>
      </c>
      <c r="K6183" s="38" t="n">
        <f aca="false">Sens!$K$6092</f>
        <v>266.15997156068</v>
      </c>
      <c r="L6183" s="38" t="n">
        <f aca="false">Sens!$L$6092</f>
        <v>284.791169569927</v>
      </c>
      <c r="M6183" s="38" t="n">
        <f aca="false">Sens!$M$6092</f>
        <v>304.726551439822</v>
      </c>
      <c r="N6183" s="38" t="n">
        <f aca="false">Sens!$N$6092</f>
        <v>76.86</v>
      </c>
      <c r="O6183" s="38" t="n">
        <f aca="false">Sens!$O$6092</f>
        <v>95.302</v>
      </c>
    </row>
    <row r="6184" customFormat="false" ht="15" hidden="false" customHeight="false" outlineLevel="0" collapsed="false">
      <c r="A6184" s="0" t="s">
        <v>519</v>
      </c>
      <c r="B6184" s="0" t="s">
        <v>86</v>
      </c>
      <c r="C6184" s="38" t="n">
        <f aca="false">Sens!$C$6094</f>
        <v>56.214</v>
      </c>
      <c r="D6184" s="38" t="n">
        <f aca="false">Sens!$D$6094</f>
        <v>68.635</v>
      </c>
      <c r="E6184" s="38" t="n">
        <f aca="false">Sens!$E$6094</f>
        <v>37.052</v>
      </c>
      <c r="F6184" s="38" t="n">
        <f aca="false">Sens!$F$6094</f>
        <v>46.1572219944148</v>
      </c>
      <c r="G6184" s="38" t="n">
        <f aca="false">Sens!$G$6094</f>
        <v>83.2092219944148</v>
      </c>
      <c r="H6184" s="38" t="n">
        <f aca="false">Sens!$H$6094</f>
        <v>99.8969223878976</v>
      </c>
      <c r="I6184" s="38" t="n">
        <f aca="false">Sens!$I$6094</f>
        <v>116.583111095496</v>
      </c>
      <c r="J6184" s="38" t="n">
        <f aca="false">Sens!$J$6094</f>
        <v>132.148941941952</v>
      </c>
      <c r="K6184" s="38" t="n">
        <f aca="false">Sens!$K$6094</f>
        <v>145.363836136147</v>
      </c>
      <c r="L6184" s="38" t="n">
        <f aca="false">Sens!$L$6094</f>
        <v>159.900219749762</v>
      </c>
      <c r="M6184" s="38" t="n">
        <f aca="false">Sens!$M$6094</f>
        <v>175.890241724738</v>
      </c>
      <c r="N6184" s="38" t="n">
        <f aca="false">Sens!$N$6094</f>
        <v>29.615</v>
      </c>
      <c r="O6184" s="38" t="n">
        <f aca="false">Sens!$O$6094</f>
        <v>39.02</v>
      </c>
    </row>
    <row r="6185" customFormat="false" ht="15" hidden="false" customHeight="false" outlineLevel="0" collapsed="false">
      <c r="A6185" s="0" t="s">
        <v>520</v>
      </c>
      <c r="B6185" s="0" t="s">
        <v>86</v>
      </c>
      <c r="C6185" s="38" t="n">
        <f aca="false">Sens!$C$6096</f>
        <v>44.374</v>
      </c>
      <c r="D6185" s="38" t="n">
        <f aca="false">Sens!$D$6096</f>
        <v>49.619</v>
      </c>
      <c r="E6185" s="38" t="n">
        <f aca="false">Sens!$E$6096</f>
        <v>27.157</v>
      </c>
      <c r="F6185" s="38" t="n">
        <f aca="false">Sens!$F$6096</f>
        <v>27.7764165988154</v>
      </c>
      <c r="G6185" s="38" t="n">
        <f aca="false">Sens!$G$6096</f>
        <v>54.9334165988154</v>
      </c>
      <c r="H6185" s="38" t="n">
        <f aca="false">Sens!$H$6096</f>
        <v>61.1564112561829</v>
      </c>
      <c r="I6185" s="38" t="n">
        <f aca="false">Sens!$I$6096</f>
        <v>67.2020282103945</v>
      </c>
      <c r="J6185" s="38" t="n">
        <f aca="false">Sens!$J$6096</f>
        <v>72.8757274028885</v>
      </c>
      <c r="K6185" s="38" t="n">
        <f aca="false">Sens!$K$6096</f>
        <v>77.9770283210907</v>
      </c>
      <c r="L6185" s="38" t="n">
        <f aca="false">Sens!$L$6096</f>
        <v>83.4354203035671</v>
      </c>
      <c r="M6185" s="38" t="n">
        <f aca="false">Sens!$M$6096</f>
        <v>89.2758997248168</v>
      </c>
      <c r="N6185" s="38" t="n">
        <f aca="false">Sens!$N$6096</f>
        <v>23.923</v>
      </c>
      <c r="O6185" s="38" t="n">
        <f aca="false">Sens!$O$6096</f>
        <v>25.696</v>
      </c>
    </row>
    <row r="6186" customFormat="false" ht="15" hidden="false" customHeight="false" outlineLevel="0" collapsed="false">
      <c r="A6186" s="0" t="s">
        <v>521</v>
      </c>
      <c r="B6186" s="0" t="s">
        <v>86</v>
      </c>
      <c r="C6186" s="38" t="n">
        <f aca="false">Sens!$C$6098</f>
        <v>5.425</v>
      </c>
      <c r="D6186" s="38" t="n">
        <f aca="false">Sens!$D$6098</f>
        <v>5.935</v>
      </c>
      <c r="E6186" s="38" t="n">
        <f aca="false">Sens!$E$6098</f>
        <v>3.474</v>
      </c>
      <c r="F6186" s="38" t="n">
        <f aca="false">Sens!$F$6098</f>
        <v>3.22246550883619</v>
      </c>
      <c r="G6186" s="38" t="n">
        <f aca="false">Sens!$G$6098</f>
        <v>6.69646550883619</v>
      </c>
      <c r="H6186" s="38" t="n">
        <f aca="false">Sens!$H$6098</f>
        <v>7.16251344209196</v>
      </c>
      <c r="I6186" s="38" t="n">
        <f aca="false">Sens!$I$6098</f>
        <v>7.61421070299826</v>
      </c>
      <c r="J6186" s="38" t="n">
        <f aca="false">Sens!$J$6098</f>
        <v>8.04465753523932</v>
      </c>
      <c r="K6186" s="38" t="n">
        <f aca="false">Sens!$K$6098</f>
        <v>8.44689041200128</v>
      </c>
      <c r="L6186" s="38" t="n">
        <f aca="false">Sens!$L$6098</f>
        <v>8.86923493260135</v>
      </c>
      <c r="M6186" s="38" t="n">
        <f aca="false">Sens!$M$6098</f>
        <v>9.31269667923142</v>
      </c>
      <c r="N6186" s="38" t="n">
        <f aca="false">Sens!$N$6098</f>
        <v>2.811</v>
      </c>
      <c r="O6186" s="38" t="n">
        <f aca="false">Sens!$O$6098</f>
        <v>3.124</v>
      </c>
    </row>
    <row r="6187" customFormat="false" ht="17.15" hidden="false" customHeight="false" outlineLevel="0" collapsed="false">
      <c r="A6187" s="0" t="s">
        <v>711</v>
      </c>
      <c r="B6187" s="0" t="s">
        <v>86</v>
      </c>
      <c r="C6187" s="38" t="n">
        <f aca="false">Sens!$C$6168</f>
        <v>107.556</v>
      </c>
      <c r="D6187" s="38" t="n">
        <f aca="false">Sens!$D$6168</f>
        <v>128.725</v>
      </c>
      <c r="E6187" s="38" t="n">
        <f aca="false">Sens!$E$6168</f>
        <v>79.819</v>
      </c>
      <c r="F6187" s="38" t="n">
        <f aca="false">Sens!$F$6168</f>
        <v>86.7327334389669</v>
      </c>
      <c r="G6187" s="38" t="n">
        <f aca="false">Sens!$G$6168</f>
        <v>166.551733438967</v>
      </c>
      <c r="H6187" s="38" t="n">
        <f aca="false">Sens!$H$6168</f>
        <v>221.182967828978</v>
      </c>
      <c r="I6187" s="38" t="n">
        <f aca="false">Sens!$I$6168</f>
        <v>280.27345865789</v>
      </c>
      <c r="J6187" s="38" t="n">
        <f aca="false">Sens!$J$6168</f>
        <v>338.800945197185</v>
      </c>
      <c r="K6187" s="38" t="n">
        <f aca="false">Sens!$K$6168</f>
        <v>389.88570147276</v>
      </c>
      <c r="L6187" s="38" t="n">
        <f aca="false">Sens!$L$6168</f>
        <v>430.080689379143</v>
      </c>
      <c r="M6187" s="38" t="n">
        <f aca="false">Sens!$M$6168</f>
        <v>459.456235951751</v>
      </c>
      <c r="N6187" s="38" t="n">
        <f aca="false">Sens!$N$6168</f>
        <v>60.14</v>
      </c>
      <c r="O6187" s="38" t="n">
        <f aca="false">Sens!$O$6168</f>
        <v>68.585</v>
      </c>
    </row>
    <row r="6188" customFormat="false" ht="15" hidden="false" customHeight="false" outlineLevel="0" collapsed="false">
      <c r="A6188" s="1" t="s">
        <v>509</v>
      </c>
      <c r="B6188" s="8" t="s">
        <v>86</v>
      </c>
      <c r="C6188" s="38" t="n">
        <f aca="false">Sens!$C$6103</f>
        <v>387.497</v>
      </c>
      <c r="D6188" s="38" t="n">
        <f aca="false">Sens!$D$6103</f>
        <v>426.305</v>
      </c>
      <c r="E6188" s="38" t="n">
        <f aca="false">Sens!$E$6103</f>
        <v>220.32</v>
      </c>
      <c r="F6188" s="38" t="n">
        <f aca="false">Sens!$F$6103</f>
        <v>250.639773480586</v>
      </c>
      <c r="G6188" s="38" t="n">
        <f aca="false">Sens!$G$6103</f>
        <v>470.959773480586</v>
      </c>
      <c r="H6188" s="38" t="n">
        <f aca="false">Sens!$H$6103</f>
        <v>521.386990416437</v>
      </c>
      <c r="I6188" s="38" t="n">
        <f aca="false">Sens!$I$6103</f>
        <v>570.143862887555</v>
      </c>
      <c r="J6188" s="38" t="n">
        <f aca="false">Sens!$J$6103</f>
        <v>615.391435791933</v>
      </c>
      <c r="K6188" s="38" t="n">
        <f aca="false">Sens!$K$6103</f>
        <v>655.208227561543</v>
      </c>
      <c r="L6188" s="38" t="n">
        <f aca="false">Sens!$L$6103</f>
        <v>697.807739249767</v>
      </c>
      <c r="M6188" s="38" t="n">
        <f aca="false">Sens!$M$6103</f>
        <v>743.399328463592</v>
      </c>
      <c r="N6188" s="38" t="n">
        <f aca="false">Sens!$N$6103</f>
        <v>192.955</v>
      </c>
      <c r="O6188" s="38" t="n">
        <f aca="false">Sens!$O$6103</f>
        <v>233.35</v>
      </c>
    </row>
    <row r="6189" customFormat="false" ht="15" hidden="false" customHeight="false" outlineLevel="0" collapsed="false">
      <c r="A6189" s="1" t="s">
        <v>512</v>
      </c>
      <c r="B6189" s="8" t="s">
        <v>86</v>
      </c>
      <c r="C6189" s="38" t="n">
        <f aca="false">Sens!$C$6104</f>
        <v>142.906</v>
      </c>
      <c r="D6189" s="38" t="n">
        <f aca="false">Sens!$D$6104</f>
        <v>161.894</v>
      </c>
      <c r="E6189" s="38" t="n">
        <f aca="false">Sens!$E$6104</f>
        <v>81.986</v>
      </c>
      <c r="F6189" s="38" t="n">
        <f aca="false">Sens!$F$6104</f>
        <v>98.408468164951</v>
      </c>
      <c r="G6189" s="38" t="n">
        <f aca="false">Sens!$G$6104</f>
        <v>180.394468164951</v>
      </c>
      <c r="H6189" s="38" t="n">
        <f aca="false">Sens!$H$6104</f>
        <v>199.709899104949</v>
      </c>
      <c r="I6189" s="38" t="n">
        <f aca="false">Sens!$I$6104</f>
        <v>218.385528264976</v>
      </c>
      <c r="J6189" s="38" t="n">
        <f aca="false">Sens!$J$6104</f>
        <v>235.71696994951</v>
      </c>
      <c r="K6189" s="38" t="n">
        <f aca="false">Sens!$K$6104</f>
        <v>250.968227869545</v>
      </c>
      <c r="L6189" s="38" t="n">
        <f aca="false">Sens!$L$6104</f>
        <v>267.285367225822</v>
      </c>
      <c r="M6189" s="38" t="n">
        <f aca="false">Sens!$M$6104</f>
        <v>284.748579483295</v>
      </c>
      <c r="N6189" s="38" t="n">
        <f aca="false">Sens!$N$6104</f>
        <v>70.274</v>
      </c>
      <c r="O6189" s="38" t="n">
        <f aca="false">Sens!$O$6104</f>
        <v>91.62</v>
      </c>
    </row>
    <row r="6190" customFormat="false" ht="15" hidden="false" customHeight="false" outlineLevel="0" collapsed="false">
      <c r="A6190" s="1" t="s">
        <v>513</v>
      </c>
      <c r="B6190" s="8" t="s">
        <v>86</v>
      </c>
      <c r="C6190" s="38" t="n">
        <f aca="false">Sens!$C$6168</f>
        <v>107.556</v>
      </c>
      <c r="D6190" s="38" t="n">
        <f aca="false">Sens!$D$6168</f>
        <v>128.725</v>
      </c>
      <c r="E6190" s="38" t="n">
        <f aca="false">Sens!$E$6168</f>
        <v>79.819</v>
      </c>
      <c r="F6190" s="38" t="n">
        <f aca="false">Sens!$F$6168</f>
        <v>86.7327334389669</v>
      </c>
      <c r="G6190" s="38" t="n">
        <f aca="false">Sens!$G$6168</f>
        <v>166.551733438967</v>
      </c>
      <c r="H6190" s="38" t="n">
        <f aca="false">Sens!$H$6168</f>
        <v>221.182967828978</v>
      </c>
      <c r="I6190" s="38" t="n">
        <f aca="false">Sens!$I$6168</f>
        <v>280.27345865789</v>
      </c>
      <c r="J6190" s="38" t="n">
        <f aca="false">Sens!$J$6168</f>
        <v>338.800945197185</v>
      </c>
      <c r="K6190" s="38" t="n">
        <f aca="false">Sens!$K$6168</f>
        <v>389.88570147276</v>
      </c>
      <c r="L6190" s="38" t="n">
        <f aca="false">Sens!$L$6168</f>
        <v>430.080689379143</v>
      </c>
      <c r="M6190" s="38" t="n">
        <f aca="false">Sens!$M$6168</f>
        <v>459.456235951751</v>
      </c>
      <c r="N6190" s="38" t="n">
        <f aca="false">Sens!$N$6168</f>
        <v>60.14</v>
      </c>
      <c r="O6190" s="38" t="n">
        <f aca="false">Sens!$O$6168</f>
        <v>68.585</v>
      </c>
    </row>
    <row r="6191" customFormat="false" ht="17.15" hidden="false" customHeight="false" outlineLevel="0" collapsed="false">
      <c r="A6191" s="0" t="s">
        <v>685</v>
      </c>
      <c r="B6191" s="0" t="s">
        <v>86</v>
      </c>
      <c r="C6191" s="38" t="n">
        <f aca="false">Sens!$C$6166</f>
        <v>2.32100535697364</v>
      </c>
      <c r="D6191" s="38" t="n">
        <f aca="false">Sens!$D$6166</f>
        <v>8.70377008865116</v>
      </c>
      <c r="E6191" s="38" t="n">
        <f aca="false">Sens!$E$6166</f>
        <v>8.51035297557002</v>
      </c>
      <c r="F6191" s="38" t="n">
        <f aca="false">Sens!$F$6166</f>
        <v>14.9634336447205</v>
      </c>
      <c r="G6191" s="38" t="n">
        <f aca="false">Sens!$G$6166</f>
        <v>23.4737866202905</v>
      </c>
      <c r="H6191" s="38" t="n">
        <f aca="false">Sens!$H$6166</f>
        <v>60.1658907497746</v>
      </c>
      <c r="I6191" s="38" t="n">
        <f aca="false">Sens!$I$6166</f>
        <v>101.503699136432</v>
      </c>
      <c r="J6191" s="38" t="n">
        <f aca="false">Sens!$J$6166</f>
        <v>143.025407151278</v>
      </c>
      <c r="K6191" s="38" t="n">
        <f aca="false">Sens!$K$6166</f>
        <v>178.44812038318</v>
      </c>
      <c r="L6191" s="38" t="n">
        <f aca="false">Sens!$L$6166</f>
        <v>201.728101802396</v>
      </c>
      <c r="M6191" s="38" t="n">
        <f aca="false">Sens!$M$6166</f>
        <v>212.835441368865</v>
      </c>
      <c r="N6191" s="38" t="n">
        <f aca="false">Sens!$N$6166</f>
        <v>3.04631953102791</v>
      </c>
      <c r="O6191" s="38" t="n">
        <f aca="false">Sens!$O$6166</f>
        <v>5.65745055762326</v>
      </c>
    </row>
    <row r="6192" customFormat="false" ht="17.15" hidden="false" customHeight="false" outlineLevel="0" collapsed="false">
      <c r="A6192" s="0" t="s">
        <v>687</v>
      </c>
      <c r="B6192" s="0" t="s">
        <v>86</v>
      </c>
      <c r="C6192" s="38" t="n">
        <f aca="false">Sens!$C$6167</f>
        <v>105.234994643026</v>
      </c>
      <c r="D6192" s="38" t="n">
        <f aca="false">Sens!$D$6167</f>
        <v>120.021229911349</v>
      </c>
      <c r="E6192" s="38" t="n">
        <f aca="false">Sens!$E$6167</f>
        <v>71.30864702443</v>
      </c>
      <c r="F6192" s="38" t="n">
        <f aca="false">Sens!$F$6167</f>
        <v>71.7692997942464</v>
      </c>
      <c r="G6192" s="38" t="n">
        <f aca="false">Sens!$G$6167</f>
        <v>143.077946818676</v>
      </c>
      <c r="H6192" s="38" t="n">
        <f aca="false">Sens!$H$6167</f>
        <v>161.017077079203</v>
      </c>
      <c r="I6192" s="38" t="n">
        <f aca="false">Sens!$I$6167</f>
        <v>178.769759521457</v>
      </c>
      <c r="J6192" s="38" t="n">
        <f aca="false">Sens!$J$6167</f>
        <v>195.775538045907</v>
      </c>
      <c r="K6192" s="38" t="n">
        <f aca="false">Sens!$K$6167</f>
        <v>211.43758108958</v>
      </c>
      <c r="L6192" s="38" t="n">
        <f aca="false">Sens!$L$6167</f>
        <v>228.352587576746</v>
      </c>
      <c r="M6192" s="38" t="n">
        <f aca="false">Sens!$M$6167</f>
        <v>246.620794582886</v>
      </c>
      <c r="N6192" s="38" t="n">
        <f aca="false">Sens!$N$6167</f>
        <v>57.0936804689721</v>
      </c>
      <c r="O6192" s="38" t="n">
        <f aca="false">Sens!$O$6167</f>
        <v>62.9275494423768</v>
      </c>
    </row>
    <row r="6193" customFormat="false" ht="15" hidden="false" customHeight="false" outlineLevel="0" collapsed="false">
      <c r="A6193" s="3" t="s">
        <v>514</v>
      </c>
      <c r="B6193" s="8" t="s">
        <v>86</v>
      </c>
      <c r="C6193" s="38" t="n">
        <f aca="false">Sens!$C$6169</f>
        <v>637.959</v>
      </c>
      <c r="D6193" s="38" t="n">
        <f aca="false">Sens!$D$6169</f>
        <v>716.924</v>
      </c>
      <c r="E6193" s="38" t="n">
        <f aca="false">Sens!$E$6169</f>
        <v>382.125</v>
      </c>
      <c r="F6193" s="38" t="n">
        <f aca="false">Sens!$F$6169</f>
        <v>435.780975084504</v>
      </c>
      <c r="G6193" s="38" t="n">
        <f aca="false">Sens!$G$6169</f>
        <v>817.905975084504</v>
      </c>
      <c r="H6193" s="38" t="n">
        <f aca="false">Sens!$H$6169</f>
        <v>942.279857350364</v>
      </c>
      <c r="I6193" s="38" t="n">
        <f aca="false">Sens!$I$6169</f>
        <v>1068.80284981042</v>
      </c>
      <c r="J6193" s="38" t="n">
        <f aca="false">Sens!$J$6169</f>
        <v>1189.90935093863</v>
      </c>
      <c r="K6193" s="38" t="n">
        <f aca="false">Sens!$K$6169</f>
        <v>1296.06215690385</v>
      </c>
      <c r="L6193" s="38" t="n">
        <f aca="false">Sens!$L$6169</f>
        <v>1395.17379585473</v>
      </c>
      <c r="M6193" s="38" t="n">
        <f aca="false">Sens!$M$6169</f>
        <v>1487.60414389864</v>
      </c>
      <c r="N6193" s="38" t="n">
        <f aca="false">Sens!$N$6169</f>
        <v>323.369</v>
      </c>
      <c r="O6193" s="38" t="n">
        <f aca="false">Sens!$O$6169</f>
        <v>393.555</v>
      </c>
    </row>
    <row r="6194" customFormat="false" ht="17.15" hidden="false" customHeight="false" outlineLevel="0" collapsed="false">
      <c r="A6194" s="24" t="s">
        <v>697</v>
      </c>
      <c r="B6194" s="25" t="s">
        <v>86</v>
      </c>
      <c r="C6194" s="41" t="n">
        <f aca="false">Sens!$C$6181+Sens!$C$6182+Sens!$C$6183+Sens!$C$6184+Sens!$C$6185+Sens!$C$6186-(Sens!$C$6188+Sens!$C$6189)</f>
        <v>0</v>
      </c>
      <c r="D6194" s="41" t="n">
        <f aca="false">Sens!$D$6181+Sens!$D$6182+Sens!$D$6183+Sens!$D$6184+Sens!$D$6185+Sens!$D$6186-(Sens!$D$6188+Sens!$D$6189)</f>
        <v>0</v>
      </c>
      <c r="E6194" s="41" t="n">
        <f aca="false">Sens!$E$6181+Sens!$E$6182+Sens!$E$6183+Sens!$E$6184+Sens!$E$6185+Sens!$E$6186-(Sens!$E$6188+Sens!$E$6189)</f>
        <v>0</v>
      </c>
      <c r="F6194" s="41" t="n">
        <f aca="false">Sens!$F$6181+Sens!$F$6182+Sens!$F$6183+Sens!$F$6184+Sens!$F$6185+Sens!$F$6186-(Sens!$F$6188+Sens!$F$6189)</f>
        <v>0</v>
      </c>
      <c r="G6194" s="41" t="n">
        <f aca="false">Sens!$G$6181+Sens!$G$6182+Sens!$G$6183+Sens!$G$6184+Sens!$G$6185+Sens!$G$6186-(Sens!$G$6188+Sens!$G$6189)</f>
        <v>0</v>
      </c>
      <c r="H6194" s="41" t="n">
        <f aca="false">Sens!$H$6181+Sens!$H$6182+Sens!$H$6183+Sens!$H$6184+Sens!$H$6185+Sens!$H$6186-(Sens!$H$6188+Sens!$H$6189)</f>
        <v>0</v>
      </c>
      <c r="I6194" s="41" t="n">
        <f aca="false">Sens!$I$6181+Sens!$I$6182+Sens!$I$6183+Sens!$I$6184+Sens!$I$6185+Sens!$I$6186-(Sens!$I$6188+Sens!$I$6189)</f>
        <v>0</v>
      </c>
      <c r="J6194" s="41" t="n">
        <f aca="false">Sens!$J$6181+Sens!$J$6182+Sens!$J$6183+Sens!$J$6184+Sens!$J$6185+Sens!$J$6186-(Sens!$J$6188+Sens!$J$6189)</f>
        <v>0</v>
      </c>
      <c r="K6194" s="41" t="n">
        <f aca="false">Sens!$K$6181+Sens!$K$6182+Sens!$K$6183+Sens!$K$6184+Sens!$K$6185+Sens!$K$6186-(Sens!$K$6188+Sens!$K$6189)</f>
        <v>0</v>
      </c>
      <c r="L6194" s="41" t="n">
        <f aca="false">Sens!$L$6181+Sens!$L$6182+Sens!$L$6183+Sens!$L$6184+Sens!$L$6185+Sens!$L$6186-(Sens!$L$6188+Sens!$L$6189)</f>
        <v>0</v>
      </c>
      <c r="M6194" s="41" t="n">
        <f aca="false">Sens!$M$6181+Sens!$M$6182+Sens!$M$6183+Sens!$M$6184+Sens!$M$6185+Sens!$M$6186-(Sens!$M$6188+Sens!$M$6189)</f>
        <v>0</v>
      </c>
      <c r="N6194" s="41" t="n">
        <f aca="false">Sens!$N$6181+Sens!$N$6182+Sens!$N$6183+Sens!$N$6184+Sens!$N$6185+Sens!$N$6186-(Sens!$N$6188+Sens!$N$6189)</f>
        <v>0</v>
      </c>
      <c r="O6194" s="41" t="n">
        <f aca="false">Sens!$O$6181+Sens!$O$6182+Sens!$O$6183+Sens!$O$6184+Sens!$O$6185+Sens!$O$6186-(Sens!$O$6188+Sens!$O$6189)</f>
        <v>0</v>
      </c>
    </row>
    <row r="6195" customFormat="false" ht="17.15" hidden="false" customHeight="false" outlineLevel="0" collapsed="false">
      <c r="A6195" s="24" t="s">
        <v>698</v>
      </c>
      <c r="B6195" s="25" t="s">
        <v>86</v>
      </c>
      <c r="C6195" s="41" t="n">
        <f aca="false">Sens!$C$6191+Sens!$C$6192-Sens!$C$6190</f>
        <v>0</v>
      </c>
      <c r="D6195" s="41" t="n">
        <f aca="false">Sens!$D$6191+Sens!$D$6192-Sens!$D$6190</f>
        <v>0</v>
      </c>
      <c r="E6195" s="41" t="n">
        <f aca="false">Sens!$E$6191+Sens!$E$6192-Sens!$E$6190</f>
        <v>0</v>
      </c>
      <c r="F6195" s="41" t="n">
        <f aca="false">Sens!$F$6191+Sens!$F$6192-Sens!$F$6190</f>
        <v>0</v>
      </c>
      <c r="G6195" s="41" t="n">
        <f aca="false">Sens!$G$6191+Sens!$G$6192-Sens!$G$6190</f>
        <v>0</v>
      </c>
      <c r="H6195" s="41" t="n">
        <f aca="false">Sens!$H$6191+Sens!$H$6192-Sens!$H$6190</f>
        <v>0</v>
      </c>
      <c r="I6195" s="41" t="n">
        <f aca="false">Sens!$I$6191+Sens!$I$6192-Sens!$I$6190</f>
        <v>0</v>
      </c>
      <c r="J6195" s="41" t="n">
        <f aca="false">Sens!$J$6191+Sens!$J$6192-Sens!$J$6190</f>
        <v>0</v>
      </c>
      <c r="K6195" s="41" t="n">
        <f aca="false">Sens!$K$6191+Sens!$K$6192-Sens!$K$6190</f>
        <v>0</v>
      </c>
      <c r="L6195" s="41" t="n">
        <f aca="false">Sens!$L$6191+Sens!$L$6192-Sens!$L$6190</f>
        <v>0</v>
      </c>
      <c r="M6195" s="41" t="n">
        <f aca="false">Sens!$M$6191+Sens!$M$6192-Sens!$M$6190</f>
        <v>0</v>
      </c>
      <c r="N6195" s="41" t="n">
        <f aca="false">Sens!$N$6191+Sens!$N$6192-Sens!$N$6190</f>
        <v>0</v>
      </c>
      <c r="O6195" s="41" t="n">
        <f aca="false">Sens!$O$6191+Sens!$O$6192-Sens!$O$6190</f>
        <v>0</v>
      </c>
    </row>
    <row r="6196" customFormat="false" ht="17.15" hidden="false" customHeight="false" outlineLevel="0" collapsed="false">
      <c r="A6196" s="24" t="s">
        <v>757</v>
      </c>
      <c r="B6196" s="25" t="s">
        <v>86</v>
      </c>
      <c r="C6196" s="41" t="n">
        <f aca="false">Sens!$C$6181+Sens!$C$6182+Sens!$C$6183+Sens!$C$6184+Sens!$C$6185+Sens!$C$6186+Sens!$C$6187-Sens!$C$6193</f>
        <v>0</v>
      </c>
      <c r="D6196" s="41" t="n">
        <f aca="false">Sens!$D$6181+Sens!$D$6182+Sens!$D$6183+Sens!$D$6184+Sens!$D$6185+Sens!$D$6186+Sens!$D$6187-Sens!$D$6193</f>
        <v>0</v>
      </c>
      <c r="E6196" s="41" t="n">
        <f aca="false">Sens!$E$6181+Sens!$E$6182+Sens!$E$6183+Sens!$E$6184+Sens!$E$6185+Sens!$E$6186+Sens!$E$6187-Sens!$E$6193</f>
        <v>0</v>
      </c>
      <c r="F6196" s="41" t="n">
        <f aca="false">Sens!$F$6181+Sens!$F$6182+Sens!$F$6183+Sens!$F$6184+Sens!$F$6185+Sens!$F$6186+Sens!$F$6187-Sens!$F$6193</f>
        <v>0</v>
      </c>
      <c r="G6196" s="41" t="n">
        <f aca="false">Sens!$G$6181+Sens!$G$6182+Sens!$G$6183+Sens!$G$6184+Sens!$G$6185+Sens!$G$6186+Sens!$G$6187-Sens!$G$6193</f>
        <v>0</v>
      </c>
      <c r="H6196" s="41" t="n">
        <f aca="false">Sens!$H$6181+Sens!$H$6182+Sens!$H$6183+Sens!$H$6184+Sens!$H$6185+Sens!$H$6186+Sens!$H$6187-Sens!$H$6193</f>
        <v>0</v>
      </c>
      <c r="I6196" s="41" t="n">
        <f aca="false">Sens!$I$6181+Sens!$I$6182+Sens!$I$6183+Sens!$I$6184+Sens!$I$6185+Sens!$I$6186+Sens!$I$6187-Sens!$I$6193</f>
        <v>0</v>
      </c>
      <c r="J6196" s="41" t="n">
        <f aca="false">Sens!$J$6181+Sens!$J$6182+Sens!$J$6183+Sens!$J$6184+Sens!$J$6185+Sens!$J$6186+Sens!$J$6187-Sens!$J$6193</f>
        <v>0</v>
      </c>
      <c r="K6196" s="41" t="n">
        <f aca="false">Sens!$K$6181+Sens!$K$6182+Sens!$K$6183+Sens!$K$6184+Sens!$K$6185+Sens!$K$6186+Sens!$K$6187-Sens!$K$6193</f>
        <v>0</v>
      </c>
      <c r="L6196" s="41" t="n">
        <f aca="false">Sens!$L$6181+Sens!$L$6182+Sens!$L$6183+Sens!$L$6184+Sens!$L$6185+Sens!$L$6186+Sens!$L$6187-Sens!$L$6193</f>
        <v>0</v>
      </c>
      <c r="M6196" s="41" t="n">
        <f aca="false">Sens!$M$6181+Sens!$M$6182+Sens!$M$6183+Sens!$M$6184+Sens!$M$6185+Sens!$M$6186+Sens!$M$6187-Sens!$M$6193</f>
        <v>0</v>
      </c>
      <c r="N6196" s="41" t="n">
        <f aca="false">Sens!$N$6181+Sens!$N$6182+Sens!$N$6183+Sens!$N$6184+Sens!$N$6185+Sens!$N$6186+Sens!$N$6187-Sens!$N$6193</f>
        <v>0</v>
      </c>
      <c r="O6196" s="41" t="n">
        <f aca="false">Sens!$O$6181+Sens!$O$6182+Sens!$O$6183+Sens!$O$6184+Sens!$O$6185+Sens!$O$6186+Sens!$O$6187-Sens!$O$6193</f>
        <v>0</v>
      </c>
    </row>
    <row r="6197" customFormat="false" ht="17.15" hidden="false" customHeight="false" outlineLevel="0" collapsed="false">
      <c r="A6197" s="24" t="s">
        <v>699</v>
      </c>
      <c r="B6197" s="25" t="s">
        <v>86</v>
      </c>
      <c r="C6197" s="41" t="n">
        <f aca="false">Sens!$C$6188+Sens!$C$6189+Sens!$C$6190-Sens!$C$6193</f>
        <v>0</v>
      </c>
      <c r="D6197" s="41" t="n">
        <f aca="false">Sens!$D$6188+Sens!$D$6189+Sens!$D$6190-Sens!$D$6193</f>
        <v>0</v>
      </c>
      <c r="E6197" s="41" t="n">
        <f aca="false">Sens!$E$6188+Sens!$E$6189+Sens!$E$6190-Sens!$E$6193</f>
        <v>0</v>
      </c>
      <c r="F6197" s="41" t="n">
        <f aca="false">Sens!$F$6188+Sens!$F$6189+Sens!$F$6190-Sens!$F$6193</f>
        <v>0</v>
      </c>
      <c r="G6197" s="41" t="n">
        <f aca="false">Sens!$G$6188+Sens!$G$6189+Sens!$G$6190-Sens!$G$6193</f>
        <v>0</v>
      </c>
      <c r="H6197" s="41" t="n">
        <f aca="false">Sens!$H$6188+Sens!$H$6189+Sens!$H$6190-Sens!$H$6193</f>
        <v>0</v>
      </c>
      <c r="I6197" s="41" t="n">
        <f aca="false">Sens!$I$6188+Sens!$I$6189+Sens!$I$6190-Sens!$I$6193</f>
        <v>0</v>
      </c>
      <c r="J6197" s="41" t="n">
        <f aca="false">Sens!$J$6188+Sens!$J$6189+Sens!$J$6190-Sens!$J$6193</f>
        <v>0</v>
      </c>
      <c r="K6197" s="41" t="n">
        <f aca="false">Sens!$K$6188+Sens!$K$6189+Sens!$K$6190-Sens!$K$6193</f>
        <v>0</v>
      </c>
      <c r="L6197" s="41" t="n">
        <f aca="false">Sens!$L$6188+Sens!$L$6189+Sens!$L$6190-Sens!$L$6193</f>
        <v>0</v>
      </c>
      <c r="M6197" s="41" t="n">
        <f aca="false">Sens!$M$6188+Sens!$M$6189+Sens!$M$6190-Sens!$M$6193</f>
        <v>0</v>
      </c>
      <c r="N6197" s="41" t="n">
        <f aca="false">Sens!$N$6188+Sens!$N$6189+Sens!$N$6190-Sens!$N$6193</f>
        <v>0</v>
      </c>
      <c r="O6197" s="41" t="n">
        <f aca="false">Sens!$O$6188+Sens!$O$6189+Sens!$O$6190-Sens!$O$6193</f>
        <v>0</v>
      </c>
    </row>
    <row r="6198" customFormat="false" ht="17.15" hidden="false" customHeight="false" outlineLevel="0" collapsed="false">
      <c r="A6198" s="1" t="s">
        <v>713</v>
      </c>
    </row>
    <row r="6199" customFormat="false" ht="17.15" hidden="false" customHeight="false" outlineLevel="0" collapsed="false">
      <c r="A6199" s="0" t="s">
        <v>714</v>
      </c>
      <c r="B6199" s="0" t="s">
        <v>86</v>
      </c>
      <c r="C6199" s="38" t="n">
        <f aca="false">Sens!$C$6105*m_ad</f>
        <v>20.5341564414228</v>
      </c>
      <c r="D6199" s="38" t="n">
        <f aca="false">Sens!$D$6105*m_ad</f>
        <v>24.8720617299587</v>
      </c>
      <c r="E6199" s="38" t="n">
        <f aca="false">Sens!$E$6105*m_ad</f>
        <v>13.5017112462207</v>
      </c>
      <c r="F6199" s="38" t="n">
        <f aca="false">Sens!$F$6105*m_ad</f>
        <v>16.5719724165257</v>
      </c>
      <c r="G6199" s="38" t="n">
        <f aca="false">Sens!$G$6105*m_ad</f>
        <v>30.0820919220415</v>
      </c>
      <c r="H6199" s="38" t="n">
        <f aca="false">Sens!$H$6105*m_ad</f>
        <v>36.1150883276314</v>
      </c>
      <c r="I6199" s="38" t="n">
        <f aca="false">Sens!$I$6105*m_ad</f>
        <v>42.1475382231996</v>
      </c>
      <c r="J6199" s="38" t="n">
        <f aca="false">Sens!$J$6105*m_ad</f>
        <v>47.7749523864693</v>
      </c>
      <c r="K6199" s="38" t="n">
        <f aca="false">Sens!$K$6105*m_ad</f>
        <v>52.5524476251162</v>
      </c>
      <c r="L6199" s="38" t="n">
        <f aca="false">Sens!$L$6105*m_ad</f>
        <v>57.8076923876279</v>
      </c>
      <c r="M6199" s="38" t="n">
        <f aca="false">Sens!$M$6105*m_ad</f>
        <v>63.5884616263907</v>
      </c>
      <c r="N6199" s="38" t="n">
        <f aca="false">Sens!$N$6105*m_ad</f>
        <v>10.8543555706248</v>
      </c>
      <c r="O6199" s="38" t="n">
        <f aca="false">Sens!$O$6105*m_ad</f>
        <v>14.0094731821399</v>
      </c>
    </row>
    <row r="6200" customFormat="false" ht="17.15" hidden="false" customHeight="false" outlineLevel="0" collapsed="false">
      <c r="A6200" s="0" t="s">
        <v>715</v>
      </c>
      <c r="B6200" s="0" t="s">
        <v>86</v>
      </c>
      <c r="C6200" s="38" t="n">
        <f aca="false">Sens!$C$6103-Sens!$C$6105</f>
        <v>346.428687117154</v>
      </c>
      <c r="D6200" s="38" t="n">
        <f aca="false">Sens!$D$6103-Sens!$D$6105</f>
        <v>376.560876540083</v>
      </c>
      <c r="E6200" s="38" t="n">
        <f aca="false">Sens!$E$6103-Sens!$E$6105</f>
        <v>193.316577507559</v>
      </c>
      <c r="F6200" s="38" t="n">
        <f aca="false">Sens!$F$6103-Sens!$F$6105</f>
        <v>217.495828647535</v>
      </c>
      <c r="G6200" s="38" t="n">
        <f aca="false">Sens!$G$6103-Sens!$G$6105</f>
        <v>410.795589636503</v>
      </c>
      <c r="H6200" s="38" t="n">
        <f aca="false">Sens!$H$6103-Sens!$H$6105</f>
        <v>449.156813761174</v>
      </c>
      <c r="I6200" s="38" t="n">
        <f aca="false">Sens!$I$6103-Sens!$I$6105</f>
        <v>485.848786441156</v>
      </c>
      <c r="J6200" s="38" t="n">
        <f aca="false">Sens!$J$6103-Sens!$J$6105</f>
        <v>519.841531018994</v>
      </c>
      <c r="K6200" s="38" t="n">
        <f aca="false">Sens!$K$6103-Sens!$K$6105</f>
        <v>550.103332311311</v>
      </c>
      <c r="L6200" s="38" t="n">
        <f aca="false">Sens!$L$6103-Sens!$L$6105</f>
        <v>582.192354474511</v>
      </c>
      <c r="M6200" s="38" t="n">
        <f aca="false">Sens!$M$6103-Sens!$M$6105</f>
        <v>616.22240521081</v>
      </c>
      <c r="N6200" s="38" t="n">
        <f aca="false">Sens!$N$6103-Sens!$N$6105</f>
        <v>171.24628885875</v>
      </c>
      <c r="O6200" s="38" t="n">
        <f aca="false">Sens!$O$6103-Sens!$O$6105</f>
        <v>205.33105363572</v>
      </c>
    </row>
    <row r="6201" customFormat="false" ht="17.15" hidden="false" customHeight="false" outlineLevel="0" collapsed="false">
      <c r="A6201" s="0" t="s">
        <v>716</v>
      </c>
      <c r="B6201" s="0" t="s">
        <v>86</v>
      </c>
      <c r="C6201" s="38" t="n">
        <f aca="false">Sens!$C$6152*Sens!$C$6102</f>
        <v>0.123617442257179</v>
      </c>
      <c r="D6201" s="38" t="n">
        <f aca="false">Sens!$D$6152*Sens!$D$6102</f>
        <v>0.874366899302609</v>
      </c>
      <c r="E6201" s="38" t="n">
        <f aca="false">Sens!$E$6152*Sens!$E$6102</f>
        <v>1.29318830502574</v>
      </c>
      <c r="F6201" s="38" t="n">
        <f aca="false">Sens!$F$6152*Sens!$F$6102</f>
        <v>1.51802024162534</v>
      </c>
      <c r="G6201" s="38" t="n">
        <f aca="false">Sens!$G$6152*Sens!$G$6102</f>
        <v>2.81153363597665</v>
      </c>
      <c r="H6201" s="38" t="n">
        <f aca="false">Sens!$H$6152*Sens!$H$6102</f>
        <v>7.39027704264226</v>
      </c>
      <c r="I6201" s="38" t="n">
        <f aca="false">Sens!$I$6152*Sens!$I$6102</f>
        <v>12.899807643047</v>
      </c>
      <c r="J6201" s="38" t="n">
        <f aca="false">Sens!$J$6152*Sens!$J$6102</f>
        <v>18.5585322471382</v>
      </c>
      <c r="K6201" s="38" t="n">
        <f aca="false">Sens!$K$6152*Sens!$K$6102</f>
        <v>24.0966749520672</v>
      </c>
      <c r="L6201" s="38" t="n">
        <f aca="false">Sens!$L$6152*Sens!$L$6102</f>
        <v>27.686623551477</v>
      </c>
      <c r="M6201" s="38" t="n">
        <f aca="false">Sens!$M$6152*Sens!$M$6102</f>
        <v>29.7238645537022</v>
      </c>
      <c r="N6201" s="38" t="n">
        <f aca="false">Sens!$N$6152*Sens!$N$6102</f>
        <v>0.389180508437431</v>
      </c>
      <c r="O6201" s="38" t="n">
        <f aca="false">Sens!$O$6152*Sens!$O$6102</f>
        <v>0.485052120082802</v>
      </c>
    </row>
    <row r="6202" customFormat="false" ht="17.15" hidden="false" customHeight="false" outlineLevel="0" collapsed="false">
      <c r="A6202" s="0" t="s">
        <v>717</v>
      </c>
      <c r="B6202" s="0" t="s">
        <v>52</v>
      </c>
      <c r="C6202" s="28" t="n">
        <f aca="false">(Sens!$C$6203-Sens!$C$6199+Sens!$C$6201)/Sens!$C$6200</f>
        <v>0.0131526665379575</v>
      </c>
      <c r="D6202" s="28" t="n">
        <f aca="false">(Sens!$D$6203-Sens!$D$6199+Sens!$D$6201)/Sens!$D$6200</f>
        <v>0.0149280116962589</v>
      </c>
      <c r="E6202" s="28" t="n">
        <f aca="false">(Sens!$E$6203-Sens!$E$6199+Sens!$E$6201)/Sens!$E$6200</f>
        <v>0.0268030663774938</v>
      </c>
      <c r="F6202" s="28" t="n">
        <f aca="false">Sens!$O$6202+(Sens!$E$6202-Sens!$N$6202)</f>
        <v>0.0232379346966962</v>
      </c>
      <c r="G6202" s="28" t="n">
        <f aca="false">(Sens!$G$6203-Sens!$G$6199+Sens!$G$6201)/Sens!$G$6200</f>
        <v>0.0248969268652583</v>
      </c>
      <c r="H6202" s="28" t="n">
        <f aca="false">Sens!$G$6202+step_na</f>
        <v>0.0278969268652583</v>
      </c>
      <c r="I6202" s="28" t="n">
        <f aca="false">Sens!$H$6202+step_na</f>
        <v>0.0308969268652583</v>
      </c>
      <c r="J6202" s="28" t="n">
        <f aca="false">Sens!$I$6202+step_na</f>
        <v>0.0338969268652583</v>
      </c>
      <c r="K6202" s="28" t="n">
        <f aca="false">Sens!$J$6202+step_na</f>
        <v>0.0368969268652584</v>
      </c>
      <c r="L6202" s="28" t="n">
        <f aca="false">Sens!$K$6202</f>
        <v>0.0368969268652584</v>
      </c>
      <c r="M6202" s="28" t="n">
        <f aca="false">Sens!$L$6202</f>
        <v>0.0368969268652584</v>
      </c>
      <c r="N6202" s="28" t="n">
        <f aca="false">(Sens!$N$6203-Sens!$N$6199+Sens!$N$6201)/Sens!$N$6200</f>
        <v>0.0168927744775755</v>
      </c>
      <c r="O6202" s="28" t="n">
        <f aca="false">(Sens!$O$6203-Sens!$O$6199+Sens!$O$6201)/Sens!$O$6200</f>
        <v>0.0133276427967779</v>
      </c>
      <c r="P6202" s="8" t="s">
        <v>718</v>
      </c>
    </row>
    <row r="6203" customFormat="false" ht="17.15" hidden="false" customHeight="false" outlineLevel="0" collapsed="false">
      <c r="A6203" s="1" t="s">
        <v>719</v>
      </c>
      <c r="B6203" s="8" t="s">
        <v>86</v>
      </c>
      <c r="C6203" s="38" t="n">
        <f aca="false">Q!$D$22</f>
        <v>24.967</v>
      </c>
      <c r="D6203" s="38" t="n">
        <f aca="false">Q!$E$22</f>
        <v>29.619</v>
      </c>
      <c r="E6203" s="38" t="n">
        <f aca="false">Q!$P$22</f>
        <v>17.39</v>
      </c>
      <c r="F6203" s="38" t="n">
        <f aca="false">Sens!$F$6199+Sens!$F$6200*Sens!$F$6202-Sens!$F$6201</f>
        <v>20.1081060378156</v>
      </c>
      <c r="G6203" s="38" t="n">
        <f aca="false">Sens!$E$6203+Sens!$F$6203</f>
        <v>37.4981060378156</v>
      </c>
      <c r="H6203" s="38" t="n">
        <f aca="false">Sens!$H$6199+Sens!$H$6200*Sens!$H$6202-Sens!$H$6201</f>
        <v>41.2549060695171</v>
      </c>
      <c r="I6203" s="38" t="n">
        <f aca="false">Sens!$I$6199+Sens!$I$6200*Sens!$I$6202-Sens!$I$6201</f>
        <v>44.2589650023995</v>
      </c>
      <c r="J6203" s="38" t="n">
        <f aca="false">Sens!$J$6199+Sens!$J$6200*Sens!$J$6202-Sens!$J$6201</f>
        <v>46.8374504978059</v>
      </c>
      <c r="K6203" s="38" t="n">
        <f aca="false">Sens!$K$6199+Sens!$K$6200*Sens!$K$6202-Sens!$K$6201</f>
        <v>48.7528950936744</v>
      </c>
      <c r="L6203" s="38" t="n">
        <f aca="false">Sens!$L$6199+Sens!$L$6200*Sens!$L$6202-Sens!$L$6201</f>
        <v>51.6021775607095</v>
      </c>
      <c r="M6203" s="38" t="n">
        <f aca="false">Sens!$M$6199+Sens!$M$6200*Sens!$M$6202-Sens!$M$6201</f>
        <v>56.6013100904853</v>
      </c>
      <c r="N6203" s="38" t="n">
        <f aca="false">Q!$N$22</f>
        <v>13.358</v>
      </c>
      <c r="O6203" s="38" t="n">
        <f aca="false">Q!$O$22</f>
        <v>16.261</v>
      </c>
    </row>
    <row r="6204" customFormat="false" ht="17.15" hidden="false" customHeight="false" outlineLevel="0" collapsed="false">
      <c r="A6204" s="0" t="s">
        <v>720</v>
      </c>
      <c r="B6204" s="0" t="s">
        <v>86</v>
      </c>
      <c r="C6204" s="38" t="n">
        <f aca="false">Sens!$C$6106*m_ad</f>
        <v>7.57284355857716</v>
      </c>
      <c r="D6204" s="38" t="n">
        <f aca="false">Sens!$D$6106*m_ad</f>
        <v>9.44543827004127</v>
      </c>
      <c r="E6204" s="38" t="n">
        <f aca="false">Sens!$E$6106*m_ad</f>
        <v>5.02428875377928</v>
      </c>
      <c r="F6204" s="38" t="n">
        <f aca="false">Sens!$F$6106*m_ad</f>
        <v>6.50663858068173</v>
      </c>
      <c r="G6204" s="38" t="n">
        <f aca="false">Sens!$G$6106*m_ad</f>
        <v>11.5225190751659</v>
      </c>
      <c r="H6204" s="38" t="n">
        <f aca="false">Sens!$H$6106*m_ad</f>
        <v>13.8333728663174</v>
      </c>
      <c r="I6204" s="38" t="n">
        <f aca="false">Sens!$I$6106*m_ad</f>
        <v>16.1440173245485</v>
      </c>
      <c r="J6204" s="38" t="n">
        <f aca="false">Sens!$J$6106*m_ad</f>
        <v>18.2995185845066</v>
      </c>
      <c r="K6204" s="38" t="n">
        <f aca="false">Sens!$K$6106*m_ad</f>
        <v>20.1294704429572</v>
      </c>
      <c r="L6204" s="38" t="n">
        <f aca="false">Sens!$L$6106*m_ad</f>
        <v>22.142417487253</v>
      </c>
      <c r="M6204" s="38" t="n">
        <f aca="false">Sens!$M$6106*m_ad</f>
        <v>24.3566592359783</v>
      </c>
      <c r="N6204" s="38" t="n">
        <f aca="false">Sens!$N$6106*m_ad</f>
        <v>3.95314442937518</v>
      </c>
      <c r="O6204" s="38" t="n">
        <f aca="false">Sens!$O$6106*m_ad</f>
        <v>5.50052681786011</v>
      </c>
    </row>
    <row r="6205" customFormat="false" ht="17.15" hidden="false" customHeight="false" outlineLevel="0" collapsed="false">
      <c r="A6205" s="0" t="s">
        <v>721</v>
      </c>
      <c r="B6205" s="0" t="s">
        <v>86</v>
      </c>
      <c r="C6205" s="38" t="n">
        <f aca="false">Sens!$C$6104-Sens!$C$6106</f>
        <v>127.760312882846</v>
      </c>
      <c r="D6205" s="38" t="n">
        <f aca="false">Sens!$D$6104-Sens!$D$6106</f>
        <v>143.003123459917</v>
      </c>
      <c r="E6205" s="38" t="n">
        <f aca="false">Sens!$E$6104-Sens!$E$6106</f>
        <v>71.9374224924414</v>
      </c>
      <c r="F6205" s="38" t="n">
        <f aca="false">Sens!$F$6104-Sens!$F$6106</f>
        <v>85.3951910035875</v>
      </c>
      <c r="G6205" s="38" t="n">
        <f aca="false">Sens!$G$6104-Sens!$G$6106</f>
        <v>157.349430014619</v>
      </c>
      <c r="H6205" s="38" t="n">
        <f aca="false">Sens!$H$6104-Sens!$H$6106</f>
        <v>172.043153372315</v>
      </c>
      <c r="I6205" s="38" t="n">
        <f aca="false">Sens!$I$6104-Sens!$I$6106</f>
        <v>186.097493615879</v>
      </c>
      <c r="J6205" s="38" t="n">
        <f aca="false">Sens!$J$6104-Sens!$J$6106</f>
        <v>199.117932780497</v>
      </c>
      <c r="K6205" s="38" t="n">
        <f aca="false">Sens!$K$6104-Sens!$K$6106</f>
        <v>210.70928698363</v>
      </c>
      <c r="L6205" s="38" t="n">
        <f aca="false">Sens!$L$6104-Sens!$L$6106</f>
        <v>223.000532251316</v>
      </c>
      <c r="M6205" s="38" t="n">
        <f aca="false">Sens!$M$6104-Sens!$M$6106</f>
        <v>236.035261011339</v>
      </c>
      <c r="N6205" s="38" t="n">
        <f aca="false">Sens!$N$6104-Sens!$N$6106</f>
        <v>62.3677111412496</v>
      </c>
      <c r="O6205" s="38" t="n">
        <f aca="false">Sens!$O$6104-Sens!$O$6106</f>
        <v>80.6189463642798</v>
      </c>
    </row>
    <row r="6206" customFormat="false" ht="17.15" hidden="false" customHeight="false" outlineLevel="0" collapsed="false">
      <c r="A6206" s="0" t="s">
        <v>722</v>
      </c>
      <c r="B6206" s="0" t="s">
        <v>86</v>
      </c>
      <c r="C6206" s="38" t="n">
        <f aca="false">Sens!$C$6152*(1-Sens!$C$6102)</f>
        <v>0.0455891896019953</v>
      </c>
      <c r="D6206" s="38" t="n">
        <f aca="false">Sens!$D$6152*(1-Sens!$D$6102)</f>
        <v>0.332050421167231</v>
      </c>
      <c r="E6206" s="38" t="n">
        <f aca="false">Sens!$E$6152*(1-Sens!$E$6102)</f>
        <v>0.481224293644882</v>
      </c>
      <c r="F6206" s="38" t="n">
        <f aca="false">Sens!$F$6152*(1-Sens!$F$6102)</f>
        <v>0.596018918096053</v>
      </c>
      <c r="G6206" s="38" t="n">
        <f aca="false">Sens!$G$6152*(1-Sens!$G$6102)</f>
        <v>1.07691812241537</v>
      </c>
      <c r="H6206" s="38" t="n">
        <f aca="false">Sens!$H$6152*(1-Sens!$H$6102)</f>
        <v>2.83074090775622</v>
      </c>
      <c r="I6206" s="38" t="n">
        <f aca="false">Sens!$I$6152*(1-Sens!$I$6102)</f>
        <v>4.94108853926048</v>
      </c>
      <c r="J6206" s="38" t="n">
        <f aca="false">Sens!$J$6152*(1-Sens!$J$6102)</f>
        <v>7.10858281993502</v>
      </c>
      <c r="K6206" s="38" t="n">
        <f aca="false">Sens!$K$6152*(1-Sens!$K$6102)</f>
        <v>9.2298899126701</v>
      </c>
      <c r="L6206" s="38" t="n">
        <f aca="false">Sens!$L$6152*(1-Sens!$L$6102)</f>
        <v>10.6049688574045</v>
      </c>
      <c r="M6206" s="38" t="n">
        <f aca="false">Sens!$M$6152*(1-Sens!$M$6102)</f>
        <v>11.3853051574758</v>
      </c>
      <c r="N6206" s="38" t="n">
        <f aca="false">Sens!$N$6152*(1-Sens!$N$6102)</f>
        <v>0.141739115596548</v>
      </c>
      <c r="O6206" s="38" t="n">
        <f aca="false">Sens!$O$6152*(1-Sens!$O$6102)</f>
        <v>0.190445576353059</v>
      </c>
    </row>
    <row r="6207" customFormat="false" ht="17.15" hidden="false" customHeight="false" outlineLevel="0" collapsed="false">
      <c r="A6207" s="0" t="s">
        <v>723</v>
      </c>
      <c r="B6207" s="0" t="s">
        <v>52</v>
      </c>
      <c r="C6207" s="28" t="n">
        <f aca="false">(Sens!$C$6208-Sens!$C$6204+Sens!$C$6206)/Sens!$C$6205</f>
        <v>-0.0292364215826579</v>
      </c>
      <c r="D6207" s="28" t="n">
        <f aca="false">(Sens!$D$6208-Sens!$D$6204+Sens!$D$6206)/Sens!$D$6205</f>
        <v>-0.0305125352740778</v>
      </c>
      <c r="E6207" s="28" t="n">
        <f aca="false">(Sens!$E$6208-Sens!$E$6204+Sens!$E$6206)/Sens!$E$6205</f>
        <v>-0.019490056934994</v>
      </c>
      <c r="F6207" s="28" t="n">
        <f aca="false">Sens!$O$6207+(Sens!$E$6207-Sens!$N$6207)</f>
        <v>-0.0367332293992226</v>
      </c>
      <c r="G6207" s="28" t="n">
        <f aca="false">(Sens!$G$6208-Sens!$G$6204+Sens!$G$6206)/Sens!$G$6205</f>
        <v>-0.0287946542321067</v>
      </c>
      <c r="H6207" s="28" t="n">
        <f aca="false">Sens!$G$6207+step_in</f>
        <v>-0.0287946542321067</v>
      </c>
      <c r="I6207" s="28" t="n">
        <f aca="false">Sens!$H$6207+step_in</f>
        <v>-0.0287946542321067</v>
      </c>
      <c r="J6207" s="28" t="n">
        <f aca="false">Sens!$I$6207+step_in</f>
        <v>-0.0287946542321067</v>
      </c>
      <c r="K6207" s="28" t="n">
        <f aca="false">Sens!$J$6207+step_in</f>
        <v>-0.0287946542321067</v>
      </c>
      <c r="L6207" s="28" t="n">
        <f aca="false">Sens!$K$6207</f>
        <v>-0.0287946542321067</v>
      </c>
      <c r="M6207" s="28" t="n">
        <f aca="false">Sens!$L$6207</f>
        <v>-0.0287946542321067</v>
      </c>
      <c r="N6207" s="28" t="n">
        <f aca="false">(Sens!$N$6208-Sens!$N$6204+Sens!$N$6206)/Sens!$N$6205</f>
        <v>-0.02085061789158</v>
      </c>
      <c r="O6207" s="28" t="n">
        <f aca="false">(Sens!$O$6208-Sens!$O$6204+Sens!$O$6206)/Sens!$O$6205</f>
        <v>-0.0380937903558086</v>
      </c>
      <c r="P6207" s="8" t="s">
        <v>718</v>
      </c>
    </row>
    <row r="6208" customFormat="false" ht="17.15" hidden="false" customHeight="false" outlineLevel="0" collapsed="false">
      <c r="A6208" s="1" t="s">
        <v>724</v>
      </c>
      <c r="B6208" s="8" t="s">
        <v>86</v>
      </c>
      <c r="C6208" s="38" t="n">
        <f aca="false">Q!$D$23</f>
        <v>3.792</v>
      </c>
      <c r="D6208" s="38" t="n">
        <f aca="false">Q!$E$23</f>
        <v>4.75</v>
      </c>
      <c r="E6208" s="38" t="n">
        <f aca="false">Q!$P$23</f>
        <v>3.141</v>
      </c>
      <c r="F6208" s="38" t="n">
        <f aca="false">Sens!$F$6204+Sens!$F$6205*Sens!$F$6207-Sens!$F$6206</f>
        <v>2.77377852186047</v>
      </c>
      <c r="G6208" s="38" t="n">
        <f aca="false">Sens!$E$6208+Sens!$F$6208</f>
        <v>5.91477852186047</v>
      </c>
      <c r="H6208" s="38" t="n">
        <f aca="false">Sens!$H$6204+Sens!$H$6205*Sens!$H$6207-Sens!$H$6206</f>
        <v>6.04870884420403</v>
      </c>
      <c r="I6208" s="38" t="n">
        <f aca="false">Sens!$I$6204+Sens!$I$6205*Sens!$I$6207-Sens!$I$6206</f>
        <v>5.84431580315713</v>
      </c>
      <c r="J6208" s="38" t="n">
        <f aca="false">Sens!$J$6204+Sens!$J$6205*Sens!$J$6207-Sens!$J$6206</f>
        <v>5.45740373874528</v>
      </c>
      <c r="K6208" s="38" t="n">
        <f aca="false">Sens!$K$6204+Sens!$K$6205*Sens!$K$6207-Sens!$K$6206</f>
        <v>4.83227946809976</v>
      </c>
      <c r="L6208" s="38" t="n">
        <f aca="false">Sens!$L$6204+Sens!$L$6205*Sens!$L$6207-Sens!$L$6206</f>
        <v>5.11622541009601</v>
      </c>
      <c r="M6208" s="38" t="n">
        <f aca="false">Sens!$M$6204+Sens!$M$6205*Sens!$M$6207-Sens!$M$6206</f>
        <v>6.17480035109588</v>
      </c>
      <c r="N6208" s="38" t="n">
        <f aca="false">Q!$N$23</f>
        <v>2.511</v>
      </c>
      <c r="O6208" s="38" t="n">
        <f aca="false">Q!$O$23</f>
        <v>2.239</v>
      </c>
    </row>
    <row r="6209" customFormat="false" ht="17.15" hidden="false" customHeight="false" outlineLevel="0" collapsed="false">
      <c r="A6209" s="0" t="s">
        <v>725</v>
      </c>
      <c r="B6209" s="0" t="s">
        <v>86</v>
      </c>
      <c r="C6209" s="38" t="n">
        <f aca="false">Sens!$C$6149</f>
        <v>1.64417882953695</v>
      </c>
      <c r="D6209" s="38" t="n">
        <f aca="false">Sens!$D$6149</f>
        <v>3.8781008067718</v>
      </c>
      <c r="E6209" s="38" t="n">
        <f aca="false">Sens!$E$6149</f>
        <v>1.41270258088753</v>
      </c>
      <c r="F6209" s="38" t="n">
        <f aca="false">Sens!$F$6149</f>
        <v>6.50727700583486</v>
      </c>
      <c r="G6209" s="38" t="n">
        <f aca="false">Sens!$G$6149</f>
        <v>7.9199795867224</v>
      </c>
      <c r="H6209" s="38" t="n">
        <f aca="false">Sens!$H$6149</f>
        <v>19.2818189481807</v>
      </c>
      <c r="I6209" s="38" t="n">
        <f aca="false">Sens!$I$6149</f>
        <v>30.140114407202</v>
      </c>
      <c r="J6209" s="38" t="n">
        <f aca="false">Sens!$J$6149</f>
        <v>40.3569468829854</v>
      </c>
      <c r="K6209" s="38" t="n">
        <f aca="false">Sens!$K$6149</f>
        <v>45.1418609242305</v>
      </c>
      <c r="L6209" s="38" t="n">
        <f aca="false">Sens!$L$6149</f>
        <v>48.5617321668703</v>
      </c>
      <c r="M6209" s="38" t="n">
        <f aca="false">Sens!$M$6149</f>
        <v>48.3987625241529</v>
      </c>
      <c r="N6209" s="38" t="n">
        <f aca="false">Sens!$N$6149</f>
        <v>0.92264103489199</v>
      </c>
      <c r="O6209" s="38" t="n">
        <f aca="false">Sens!$O$6149</f>
        <v>2.95545977187981</v>
      </c>
    </row>
    <row r="6210" customFormat="false" ht="17.15" hidden="false" customHeight="false" outlineLevel="0" collapsed="false">
      <c r="A6210" s="0" t="s">
        <v>643</v>
      </c>
      <c r="B6210" s="0" t="s">
        <v>86</v>
      </c>
      <c r="C6210" s="38" t="n">
        <f aca="false">Sens!$C$6154</f>
        <v>38.1898211704631</v>
      </c>
      <c r="D6210" s="38" t="n">
        <f aca="false">Sens!$D$6154</f>
        <v>41.7278991932282</v>
      </c>
      <c r="E6210" s="38" t="n">
        <f aca="false">Sens!$E$6154</f>
        <v>29.3692974191125</v>
      </c>
      <c r="F6210" s="38" t="n">
        <f aca="false">Sens!$F$6154</f>
        <v>26.8997276714137</v>
      </c>
      <c r="G6210" s="38" t="n">
        <f aca="false">Sens!$G$6154</f>
        <v>56.2690250905262</v>
      </c>
      <c r="H6210" s="38" t="n">
        <f aca="false">Sens!$H$6154</f>
        <v>60.3505333937343</v>
      </c>
      <c r="I6210" s="38" t="n">
        <f aca="false">Sens!$I$6154</f>
        <v>67.0043857303571</v>
      </c>
      <c r="J6210" s="38" t="n">
        <f aca="false">Sens!$J$6154</f>
        <v>73.3782922956925</v>
      </c>
      <c r="K6210" s="38" t="n">
        <f aca="false">Sens!$K$6154</f>
        <v>79.2485556793479</v>
      </c>
      <c r="L6210" s="38" t="n">
        <f aca="false">Sens!$L$6154</f>
        <v>85.5884401336958</v>
      </c>
      <c r="M6210" s="38" t="n">
        <f aca="false">Sens!$M$6154</f>
        <v>92.4355153443914</v>
      </c>
      <c r="N6210" s="38" t="n">
        <f aca="false">Sens!$N$6154</f>
        <v>20.784358965108</v>
      </c>
      <c r="O6210" s="38" t="n">
        <f aca="false">Sens!$O$6154</f>
        <v>20.9435402281202</v>
      </c>
    </row>
    <row r="6211" customFormat="false" ht="17.15" hidden="false" customHeight="false" outlineLevel="0" collapsed="false">
      <c r="A6211" s="1" t="s">
        <v>726</v>
      </c>
      <c r="B6211" s="8" t="s">
        <v>86</v>
      </c>
      <c r="C6211" s="38" t="n">
        <f aca="false">Q!$D$24</f>
        <v>39.834</v>
      </c>
      <c r="D6211" s="38" t="n">
        <f aca="false">Q!$E$24</f>
        <v>45.606</v>
      </c>
      <c r="E6211" s="38" t="n">
        <f aca="false">Q!$P$24</f>
        <v>30.782</v>
      </c>
      <c r="F6211" s="38" t="n">
        <f aca="false">Sens!$F$6209+Sens!$F$6210</f>
        <v>33.4070046772486</v>
      </c>
      <c r="G6211" s="38" t="n">
        <f aca="false">Sens!$G$6209+Sens!$G$6210</f>
        <v>64.1890046772486</v>
      </c>
      <c r="H6211" s="38" t="n">
        <f aca="false">Sens!$H$6209+Sens!$H$6210</f>
        <v>79.6323523419149</v>
      </c>
      <c r="I6211" s="38" t="n">
        <f aca="false">Sens!$I$6209+Sens!$I$6210</f>
        <v>97.1445001375591</v>
      </c>
      <c r="J6211" s="38" t="n">
        <f aca="false">Sens!$J$6209+Sens!$J$6210</f>
        <v>113.735239178678</v>
      </c>
      <c r="K6211" s="38" t="n">
        <f aca="false">Sens!$K$6209+Sens!$K$6210</f>
        <v>124.390416603578</v>
      </c>
      <c r="L6211" s="38" t="n">
        <f aca="false">Sens!$L$6209+Sens!$L$6210</f>
        <v>134.150172300566</v>
      </c>
      <c r="M6211" s="38" t="n">
        <f aca="false">Sens!$M$6209+Sens!$M$6210</f>
        <v>140.834277868544</v>
      </c>
      <c r="N6211" s="38" t="n">
        <f aca="false">Q!$N$24</f>
        <v>21.707</v>
      </c>
      <c r="O6211" s="38" t="n">
        <f aca="false">Q!$O$24</f>
        <v>23.899</v>
      </c>
    </row>
    <row r="6212" customFormat="false" ht="17.15" hidden="false" customHeight="false" outlineLevel="0" collapsed="false">
      <c r="A6212" s="5" t="s">
        <v>727</v>
      </c>
      <c r="B6212" s="0" t="s">
        <v>86</v>
      </c>
      <c r="C6212" s="38" t="n">
        <f aca="false">Q!$D$26</f>
        <v>0</v>
      </c>
      <c r="D6212" s="38" t="n">
        <f aca="false">Q!$E$26</f>
        <v>0</v>
      </c>
      <c r="E6212" s="38" t="n">
        <f aca="false">Q!$P$26</f>
        <v>0</v>
      </c>
      <c r="F6212" s="39" t="n">
        <v>0</v>
      </c>
      <c r="G6212" s="38" t="n">
        <f aca="false">Sens!$E$6212+Sens!$F$6212</f>
        <v>0</v>
      </c>
      <c r="H6212" s="39" t="n">
        <v>0</v>
      </c>
      <c r="I6212" s="39" t="n">
        <v>0</v>
      </c>
      <c r="J6212" s="39" t="n">
        <v>0</v>
      </c>
      <c r="K6212" s="39" t="n">
        <v>0</v>
      </c>
      <c r="L6212" s="39" t="n">
        <v>0</v>
      </c>
      <c r="M6212" s="39" t="n">
        <v>0</v>
      </c>
      <c r="N6212" s="38" t="n">
        <f aca="false">Q!$N$26</f>
        <v>0</v>
      </c>
      <c r="O6212" s="38" t="n">
        <f aca="false">Q!$O$26</f>
        <v>0</v>
      </c>
    </row>
    <row r="6213" customFormat="false" ht="15" hidden="false" customHeight="false" outlineLevel="0" collapsed="false">
      <c r="A6213" s="3" t="s">
        <v>531</v>
      </c>
      <c r="B6213" s="8" t="s">
        <v>86</v>
      </c>
      <c r="C6213" s="38" t="n">
        <f aca="false">Q!$D$25</f>
        <v>68.593</v>
      </c>
      <c r="D6213" s="38" t="n">
        <f aca="false">Q!$E$25</f>
        <v>79.975</v>
      </c>
      <c r="E6213" s="38" t="n">
        <f aca="false">Q!$P$25</f>
        <v>51.313</v>
      </c>
      <c r="F6213" s="38" t="n">
        <f aca="false">Sens!$F$6203+Sens!$F$6208+Sens!$F$6211+Sens!$F$6212</f>
        <v>56.2888892369246</v>
      </c>
      <c r="G6213" s="38" t="n">
        <f aca="false">Sens!$G$6203+Sens!$G$6208+Sens!$G$6211+Sens!$G$6212</f>
        <v>107.601889236925</v>
      </c>
      <c r="H6213" s="38" t="n">
        <f aca="false">Sens!$H$6203+Sens!$H$6208+Sens!$H$6211+Sens!$H$6212</f>
        <v>126.935967255636</v>
      </c>
      <c r="I6213" s="38" t="n">
        <f aca="false">Sens!$I$6203+Sens!$I$6208+Sens!$I$6211+Sens!$I$6212</f>
        <v>147.247780943116</v>
      </c>
      <c r="J6213" s="38" t="n">
        <f aca="false">Sens!$J$6203+Sens!$J$6208+Sens!$J$6211+Sens!$J$6212</f>
        <v>166.030093415229</v>
      </c>
      <c r="K6213" s="38" t="n">
        <f aca="false">Sens!$K$6203+Sens!$K$6208+Sens!$K$6211+Sens!$K$6212</f>
        <v>177.975591165353</v>
      </c>
      <c r="L6213" s="38" t="n">
        <f aca="false">Sens!$L$6203+Sens!$L$6208+Sens!$L$6211+Sens!$L$6212</f>
        <v>190.868575271371</v>
      </c>
      <c r="M6213" s="38" t="n">
        <f aca="false">Sens!$M$6203+Sens!$M$6208+Sens!$M$6211+Sens!$M$6212</f>
        <v>203.610388310126</v>
      </c>
      <c r="N6213" s="38" t="n">
        <f aca="false">Q!$N$25</f>
        <v>37.576</v>
      </c>
      <c r="O6213" s="38" t="n">
        <f aca="false">Q!$O$25</f>
        <v>42.399</v>
      </c>
    </row>
    <row r="6214" customFormat="false" ht="17.15" hidden="false" customHeight="false" outlineLevel="0" collapsed="false">
      <c r="A6214" s="24" t="s">
        <v>758</v>
      </c>
      <c r="B6214" s="25" t="s">
        <v>86</v>
      </c>
      <c r="C6214" s="41" t="n">
        <f aca="false">Sens!$C$6203+Sens!$C$6208+Sens!$C$6211+Sens!$C$6212-Sens!$C$6213</f>
        <v>0</v>
      </c>
      <c r="D6214" s="41" t="n">
        <f aca="false">Sens!$D$6203+Sens!$D$6208+Sens!$D$6211+Sens!$D$6212-Sens!$D$6213</f>
        <v>0</v>
      </c>
      <c r="E6214" s="41" t="n">
        <f aca="false">Sens!$E$6203+Sens!$E$6208+Sens!$E$6211+Sens!$E$6212-Sens!$E$6213</f>
        <v>0</v>
      </c>
      <c r="F6214" s="41" t="n">
        <f aca="false">Sens!$F$6203+Sens!$F$6208+Sens!$F$6211+Sens!$F$6212-Sens!$F$6213</f>
        <v>0</v>
      </c>
      <c r="G6214" s="41" t="n">
        <f aca="false">Sens!$G$6203+Sens!$G$6208+Sens!$G$6211+Sens!$G$6212-Sens!$G$6213</f>
        <v>0</v>
      </c>
      <c r="H6214" s="41" t="n">
        <f aca="false">Sens!$H$6203+Sens!$H$6208+Sens!$H$6211+Sens!$H$6212-Sens!$H$6213</f>
        <v>0</v>
      </c>
      <c r="I6214" s="41" t="n">
        <f aca="false">Sens!$I$6203+Sens!$I$6208+Sens!$I$6211+Sens!$I$6212-Sens!$I$6213</f>
        <v>0</v>
      </c>
      <c r="J6214" s="41" t="n">
        <f aca="false">Sens!$J$6203+Sens!$J$6208+Sens!$J$6211+Sens!$J$6212-Sens!$J$6213</f>
        <v>0</v>
      </c>
      <c r="K6214" s="41" t="n">
        <f aca="false">Sens!$K$6203+Sens!$K$6208+Sens!$K$6211+Sens!$K$6212-Sens!$K$6213</f>
        <v>0</v>
      </c>
      <c r="L6214" s="41" t="n">
        <f aca="false">Sens!$L$6203+Sens!$L$6208+Sens!$L$6211+Sens!$L$6212-Sens!$L$6213</f>
        <v>0</v>
      </c>
      <c r="M6214" s="41" t="n">
        <f aca="false">Sens!$M$6203+Sens!$M$6208+Sens!$M$6211+Sens!$M$6212-Sens!$M$6213</f>
        <v>0</v>
      </c>
      <c r="N6214" s="41" t="n">
        <f aca="false">Sens!$N$6203+Sens!$N$6208+Sens!$N$6211+Sens!$N$6212-Sens!$N$6213</f>
        <v>0</v>
      </c>
      <c r="O6214" s="41" t="n">
        <f aca="false">Sens!$O$6203+Sens!$O$6208+Sens!$O$6211+Sens!$O$6212-Sens!$O$6213</f>
        <v>0</v>
      </c>
    </row>
    <row r="6215" customFormat="false" ht="17.15" hidden="false" customHeight="false" outlineLevel="0" collapsed="false">
      <c r="A6215" s="5" t="s">
        <v>729</v>
      </c>
      <c r="B6215" s="0" t="s">
        <v>86</v>
      </c>
      <c r="C6215" s="38" t="n">
        <f aca="false">Sens!$C$6151</f>
        <v>0</v>
      </c>
      <c r="D6215" s="38" t="n">
        <f aca="false">Sens!$D$6151</f>
        <v>0</v>
      </c>
      <c r="E6215" s="38" t="n">
        <f aca="false">Sens!$E$6151</f>
        <v>0</v>
      </c>
      <c r="F6215" s="38" t="n">
        <f aca="false">Sens!$F$6151</f>
        <v>3.77122048175818</v>
      </c>
      <c r="G6215" s="38" t="n">
        <f aca="false">Sens!$G$6151</f>
        <v>3.77122048175818</v>
      </c>
      <c r="H6215" s="38" t="n">
        <f aca="false">Sens!$H$6151</f>
        <v>15.1635543609893</v>
      </c>
      <c r="I6215" s="38" t="n">
        <f aca="false">Sens!$I$6151</f>
        <v>25.5818843619889</v>
      </c>
      <c r="J6215" s="38" t="n">
        <f aca="false">Sens!$J$6151</f>
        <v>36.0465624179122</v>
      </c>
      <c r="K6215" s="38" t="n">
        <f aca="false">Sens!$K$6151</f>
        <v>44.9741164026038</v>
      </c>
      <c r="L6215" s="38" t="n">
        <f aca="false">Sens!$L$6151</f>
        <v>50.8413488057813</v>
      </c>
      <c r="M6215" s="38" t="n">
        <f aca="false">Sens!$M$6151</f>
        <v>53.6407214274315</v>
      </c>
      <c r="N6215" s="38" t="n">
        <f aca="false">Sens!$N$6151</f>
        <v>0</v>
      </c>
      <c r="O6215" s="38" t="n">
        <f aca="false">Sens!$O$6151</f>
        <v>0</v>
      </c>
      <c r="P6215" s="5" t="s">
        <v>730</v>
      </c>
    </row>
    <row r="6216" customFormat="false" ht="17.15" hidden="false" customHeight="false" outlineLevel="0" collapsed="false">
      <c r="A6216" s="5" t="s">
        <v>731</v>
      </c>
      <c r="B6216" s="0" t="s">
        <v>86</v>
      </c>
      <c r="C6216" s="38" t="n">
        <f aca="false">Sens!$C$6213+Sens!$C$6215</f>
        <v>68.593</v>
      </c>
      <c r="D6216" s="38" t="n">
        <f aca="false">Sens!$D$6213+Sens!$D$6215</f>
        <v>79.975</v>
      </c>
      <c r="E6216" s="38" t="n">
        <f aca="false">Sens!$E$6213+Sens!$E$6215</f>
        <v>51.313</v>
      </c>
      <c r="F6216" s="38" t="n">
        <f aca="false">Sens!$F$6213+Sens!$F$6215</f>
        <v>60.0601097186828</v>
      </c>
      <c r="G6216" s="38" t="n">
        <f aca="false">Sens!$G$6213+Sens!$G$6215</f>
        <v>111.373109718683</v>
      </c>
      <c r="H6216" s="38" t="n">
        <f aca="false">Sens!$H$6213+Sens!$H$6215</f>
        <v>142.099521616625</v>
      </c>
      <c r="I6216" s="38" t="n">
        <f aca="false">Sens!$I$6213+Sens!$I$6215</f>
        <v>172.829665305105</v>
      </c>
      <c r="J6216" s="38" t="n">
        <f aca="false">Sens!$J$6213+Sens!$J$6215</f>
        <v>202.076655833141</v>
      </c>
      <c r="K6216" s="38" t="n">
        <f aca="false">Sens!$K$6213+Sens!$K$6215</f>
        <v>222.949707567956</v>
      </c>
      <c r="L6216" s="38" t="n">
        <f aca="false">Sens!$L$6213+Sens!$L$6215</f>
        <v>241.709924077153</v>
      </c>
      <c r="M6216" s="38" t="n">
        <f aca="false">Sens!$M$6213+Sens!$M$6215</f>
        <v>257.251109737557</v>
      </c>
      <c r="N6216" s="38" t="n">
        <f aca="false">Sens!$N$6213+Sens!$N$6215</f>
        <v>37.576</v>
      </c>
      <c r="O6216" s="38" t="n">
        <f aca="false">Sens!$O$6213+Sens!$O$6215</f>
        <v>42.399</v>
      </c>
    </row>
    <row r="6217" customFormat="false" ht="17.15" hidden="false" customHeight="false" outlineLevel="0" collapsed="false">
      <c r="A6217" s="0" t="s">
        <v>732</v>
      </c>
      <c r="B6217" s="0" t="s">
        <v>52</v>
      </c>
      <c r="C6217" s="13" t="n">
        <f aca="false">Sens!$C$6203/Sens!$C$6188</f>
        <v>0.0644314665661928</v>
      </c>
      <c r="D6217" s="13" t="n">
        <f aca="false">Sens!$D$6203/Sens!$D$6188</f>
        <v>0.0694784250712518</v>
      </c>
      <c r="E6217" s="13" t="n">
        <f aca="false">Sens!$E$6203/Sens!$E$6188</f>
        <v>0.0789306463326071</v>
      </c>
      <c r="F6217" s="13" t="n">
        <f aca="false">Sens!$F$6203/Sens!$F$6188</f>
        <v>0.0802271154277638</v>
      </c>
      <c r="G6217" s="13" t="n">
        <f aca="false">Sens!$G$6203/Sens!$G$6188</f>
        <v>0.0796206133714758</v>
      </c>
      <c r="H6217" s="13" t="n">
        <f aca="false">Sens!$H$6203/Sens!$H$6188</f>
        <v>0.0791253077422711</v>
      </c>
      <c r="I6217" s="13" t="n">
        <f aca="false">Sens!$I$6203/Sens!$I$6188</f>
        <v>0.0776277144828766</v>
      </c>
      <c r="J6217" s="13" t="n">
        <f aca="false">Sens!$J$6203/Sens!$J$6188</f>
        <v>0.0761100135193333</v>
      </c>
      <c r="K6217" s="13" t="n">
        <f aca="false">Sens!$K$6203/Sens!$K$6188</f>
        <v>0.074408246177121</v>
      </c>
      <c r="L6217" s="13" t="n">
        <f aca="false">Sens!$L$6203/Sens!$L$6188</f>
        <v>0.0739489900415671</v>
      </c>
      <c r="M6217" s="13" t="n">
        <f aca="false">Sens!$M$6203/Sens!$M$6188</f>
        <v>0.076138500430805</v>
      </c>
      <c r="N6217" s="13" t="n">
        <f aca="false">Sens!$N$6203/Sens!$N$6188</f>
        <v>0.069228576611127</v>
      </c>
      <c r="O6217" s="13" t="n">
        <f aca="false">Sens!$O$6203/Sens!$O$6188</f>
        <v>0.069685022498393</v>
      </c>
    </row>
    <row r="6218" customFormat="false" ht="17.15" hidden="false" customHeight="false" outlineLevel="0" collapsed="false">
      <c r="A6218" s="0" t="s">
        <v>733</v>
      </c>
      <c r="B6218" s="0" t="s">
        <v>52</v>
      </c>
      <c r="C6218" s="13" t="n">
        <f aca="false">Sens!$C$6208/Sens!$C$6189</f>
        <v>0.026534925055631</v>
      </c>
      <c r="D6218" s="13" t="n">
        <f aca="false">Sens!$D$6208/Sens!$D$6189</f>
        <v>0.0293401855535103</v>
      </c>
      <c r="E6218" s="13" t="n">
        <f aca="false">Sens!$E$6208/Sens!$E$6189</f>
        <v>0.03831141902276</v>
      </c>
      <c r="F6218" s="13" t="n">
        <f aca="false">Sens!$F$6208/Sens!$F$6189</f>
        <v>0.028186380436398</v>
      </c>
      <c r="G6218" s="13" t="n">
        <f aca="false">Sens!$G$6208/Sens!$G$6189</f>
        <v>0.0327880260521739</v>
      </c>
      <c r="H6218" s="13" t="n">
        <f aca="false">Sens!$H$6208/Sens!$H$6189</f>
        <v>0.0302874763409969</v>
      </c>
      <c r="I6218" s="13" t="n">
        <f aca="false">Sens!$I$6208/Sens!$I$6189</f>
        <v>0.0267614610253202</v>
      </c>
      <c r="J6218" s="13" t="n">
        <f aca="false">Sens!$J$6208/Sens!$J$6189</f>
        <v>0.0231523582706593</v>
      </c>
      <c r="K6218" s="13" t="n">
        <f aca="false">Sens!$K$6208/Sens!$K$6189</f>
        <v>0.0192545467174101</v>
      </c>
      <c r="L6218" s="13" t="n">
        <f aca="false">Sens!$L$6208/Sens!$L$6189</f>
        <v>0.0191414347264789</v>
      </c>
      <c r="M6218" s="13" t="n">
        <f aca="false">Sens!$M$6208/Sens!$M$6189</f>
        <v>0.0216850962428001</v>
      </c>
      <c r="N6218" s="13" t="n">
        <f aca="false">Sens!$N$6208/Sens!$N$6189</f>
        <v>0.0357315650169337</v>
      </c>
      <c r="O6218" s="13" t="n">
        <f aca="false">Sens!$O$6208/Sens!$O$6189</f>
        <v>0.0244378956559703</v>
      </c>
    </row>
    <row r="6219" customFormat="false" ht="17.15" hidden="false" customHeight="false" outlineLevel="0" collapsed="false">
      <c r="A6219" s="14" t="s">
        <v>734</v>
      </c>
      <c r="B6219" s="14" t="s">
        <v>52</v>
      </c>
      <c r="C6219" s="17" t="n">
        <f aca="false">Sens!$C$6211/Sens!$C$6190</f>
        <v>0.370355907620217</v>
      </c>
      <c r="D6219" s="17" t="n">
        <f aca="false">Sens!$D$6211/Sens!$D$6190</f>
        <v>0.35429015342785</v>
      </c>
      <c r="E6219" s="17" t="n">
        <f aca="false">Sens!$E$6211/Sens!$E$6190</f>
        <v>0.385647527531039</v>
      </c>
      <c r="F6219" s="17" t="n">
        <f aca="false">Sens!$F$6211/Sens!$F$6190</f>
        <v>0.385171818673936</v>
      </c>
      <c r="G6219" s="17" t="n">
        <f aca="false">Sens!$G$6211/Sens!$G$6190</f>
        <v>0.385399799520974</v>
      </c>
      <c r="H6219" s="17" t="n">
        <f aca="false">Sens!$H$6211/Sens!$H$6190</f>
        <v>0.360029314750347</v>
      </c>
      <c r="I6219" s="17" t="n">
        <f aca="false">Sens!$I$6211/Sens!$I$6190</f>
        <v>0.346606134604193</v>
      </c>
      <c r="J6219" s="17" t="n">
        <f aca="false">Sens!$J$6211/Sens!$J$6190</f>
        <v>0.335699297156574</v>
      </c>
      <c r="K6219" s="17" t="n">
        <f aca="false">Sens!$K$6211/Sens!$K$6190</f>
        <v>0.319043289183739</v>
      </c>
      <c r="L6219" s="17" t="n">
        <f aca="false">Sens!$L$6211/Sens!$L$6190</f>
        <v>0.311918613444893</v>
      </c>
      <c r="M6219" s="17" t="n">
        <f aca="false">Sens!$M$6211/Sens!$M$6190</f>
        <v>0.306523814127389</v>
      </c>
      <c r="N6219" s="17" t="n">
        <f aca="false">Sens!$N$6211/Sens!$N$6190</f>
        <v>0.360941137346192</v>
      </c>
      <c r="O6219" s="17" t="n">
        <f aca="false">Sens!$O$6211/Sens!$O$6190</f>
        <v>0.348458117664212</v>
      </c>
    </row>
    <row r="6220" customFormat="false" ht="17.15" hidden="false" customHeight="false" outlineLevel="0" collapsed="false">
      <c r="A6220" s="0" t="s">
        <v>735</v>
      </c>
      <c r="B6220" s="0" t="s">
        <v>52</v>
      </c>
      <c r="C6220" s="13" t="n">
        <f aca="false">Sens!$C$6209/Sens!$C$6191</f>
        <v>0.708390794789371</v>
      </c>
      <c r="D6220" s="13" t="n">
        <f aca="false">Sens!$D$6209/Sens!$D$6191</f>
        <v>0.445565630441968</v>
      </c>
      <c r="E6220" s="13" t="n">
        <f aca="false">Sens!$E$6209/Sens!$E$6191</f>
        <v>0.165998118402711</v>
      </c>
      <c r="F6220" s="13" t="n">
        <f aca="false">Sens!$F$6209/Sens!$F$6191</f>
        <v>0.434878595403858</v>
      </c>
      <c r="G6220" s="13" t="n">
        <f aca="false">Sens!$G$6209/Sens!$G$6191</f>
        <v>0.3373967615381</v>
      </c>
      <c r="H6220" s="13" t="n">
        <f aca="false">Sens!$H$6209/Sens!$H$6191</f>
        <v>0.320477578041224</v>
      </c>
      <c r="I6220" s="13" t="n">
        <f aca="false">Sens!$I$6209/Sens!$I$6191</f>
        <v>0.296936118226494</v>
      </c>
      <c r="J6220" s="13" t="n">
        <f aca="false">Sens!$J$6209/Sens!$J$6191</f>
        <v>0.282166278613001</v>
      </c>
      <c r="K6220" s="13" t="n">
        <f aca="false">Sens!$K$6209/Sens!$K$6191</f>
        <v>0.252969102881543</v>
      </c>
      <c r="L6220" s="13" t="n">
        <f aca="false">Sens!$L$6209/Sens!$L$6191</f>
        <v>0.240728642826566</v>
      </c>
      <c r="M6220" s="13" t="n">
        <f aca="false">Sens!$M$6209/Sens!$M$6191</f>
        <v>0.227399920863147</v>
      </c>
      <c r="N6220" s="13" t="n">
        <f aca="false">Sens!$N$6209/Sens!$N$6191</f>
        <v>0.302870734830849</v>
      </c>
      <c r="O6220" s="13" t="n">
        <f aca="false">Sens!$O$6209/Sens!$O$6191</f>
        <v>0.52240134346334</v>
      </c>
    </row>
    <row r="6221" customFormat="false" ht="15" hidden="false" customHeight="false" outlineLevel="0" collapsed="false">
      <c r="A6221" s="5" t="s">
        <v>736</v>
      </c>
      <c r="B6221" s="0" t="s">
        <v>52</v>
      </c>
      <c r="C6221" s="13" t="n">
        <f aca="false">Sens!$C$6213/Sens!$C$6193</f>
        <v>0.107519448742004</v>
      </c>
      <c r="D6221" s="13" t="n">
        <f aca="false">Sens!$D$6213/Sens!$D$6193</f>
        <v>0.111552967957552</v>
      </c>
      <c r="E6221" s="13" t="n">
        <f aca="false">Sens!$E$6213/Sens!$E$6193</f>
        <v>0.13428328426562</v>
      </c>
      <c r="F6221" s="13" t="n">
        <f aca="false">Sens!$F$6213/Sens!$F$6193</f>
        <v>0.129167844525589</v>
      </c>
      <c r="G6221" s="13" t="n">
        <f aca="false">Sens!$G$6213/Sens!$G$6193</f>
        <v>0.131557773771988</v>
      </c>
      <c r="H6221" s="13" t="n">
        <f aca="false">Sens!$H$6213/Sens!$H$6193</f>
        <v>0.134711536350329</v>
      </c>
      <c r="I6221" s="13" t="n">
        <f aca="false">Sens!$I$6213/Sens!$I$6193</f>
        <v>0.137768888779847</v>
      </c>
      <c r="J6221" s="13" t="n">
        <f aca="false">Sens!$J$6213/Sens!$J$6193</f>
        <v>0.139531715827143</v>
      </c>
      <c r="K6221" s="13" t="n">
        <f aca="false">Sens!$K$6213/Sens!$K$6193</f>
        <v>0.137320259076553</v>
      </c>
      <c r="L6221" s="13" t="n">
        <f aca="false">Sens!$L$6213/Sens!$L$6193</f>
        <v>0.136806307456799</v>
      </c>
      <c r="M6221" s="13" t="n">
        <f aca="false">Sens!$M$6213/Sens!$M$6193</f>
        <v>0.136871350584245</v>
      </c>
      <c r="N6221" s="13" t="n">
        <f aca="false">Sens!$N$6213/Sens!$N$6193</f>
        <v>0.116201614873411</v>
      </c>
      <c r="O6221" s="13" t="n">
        <f aca="false">Sens!$O$6213/Sens!$O$6193</f>
        <v>0.107733353660861</v>
      </c>
    </row>
    <row r="6222" customFormat="false" ht="17.15" hidden="false" customHeight="false" outlineLevel="0" collapsed="false">
      <c r="A6222" s="1" t="s">
        <v>737</v>
      </c>
    </row>
    <row r="6223" customFormat="false" ht="17.15" hidden="false" customHeight="false" outlineLevel="0" collapsed="false">
      <c r="A6223" s="5" t="s">
        <v>738</v>
      </c>
      <c r="B6223" s="0" t="s">
        <v>52</v>
      </c>
      <c r="D6223" s="28" t="n">
        <f aca="false">(Q!$E$29+Q!$E$30-(1-ext_sh)*Sens!$D$6145)/Sens!$D$6101</f>
        <v>0.0334674312393194</v>
      </c>
    </row>
    <row r="6224" customFormat="false" ht="17.15" hidden="false" customHeight="false" outlineLevel="0" collapsed="false">
      <c r="A6224" s="0" t="s">
        <v>535</v>
      </c>
      <c r="B6224" s="0" t="s">
        <v>86</v>
      </c>
      <c r="C6224" s="38" t="n">
        <f aca="false">Q!$D$29</f>
        <v>14.285</v>
      </c>
      <c r="D6224" s="38" t="n">
        <f aca="false">Q!$E$29</f>
        <v>15.503</v>
      </c>
      <c r="E6224" s="38" t="n">
        <f aca="false">Q!$P$29</f>
        <v>8.78</v>
      </c>
      <c r="F6224" s="38" t="n">
        <f aca="false">(Sens!$D$6223*Sens!$F$6101+(1-ext_sh)*Sens!$F$6145)*Sens!$F$6102</f>
        <v>9.32404990199157</v>
      </c>
      <c r="G6224" s="38" t="n">
        <f aca="false">Sens!$E$6224+Sens!$F$6224</f>
        <v>18.1040499019916</v>
      </c>
      <c r="H6224" s="38" t="n">
        <f aca="false">(Sens!$D$6223*Sens!$H$6101+(1-ext_sh)*Sens!$H$6145)*Sens!$H$6102</f>
        <v>22.5533556752937</v>
      </c>
      <c r="I6224" s="38" t="n">
        <f aca="false">(Sens!$D$6223*Sens!$I$6101+(1-ext_sh)*Sens!$I$6145)*Sens!$I$6102</f>
        <v>28.1941479903215</v>
      </c>
      <c r="J6224" s="38" t="n">
        <f aca="false">(Sens!$D$6223*Sens!$J$6101+(1-ext_sh)*Sens!$J$6145)*Sens!$J$6102</f>
        <v>33.8639126241465</v>
      </c>
      <c r="K6224" s="38" t="n">
        <f aca="false">(Sens!$D$6223*Sens!$K$6101+(1-ext_sh)*Sens!$K$6145)*Sens!$K$6102</f>
        <v>39.4516429979446</v>
      </c>
      <c r="L6224" s="38" t="n">
        <f aca="false">(Sens!$D$6223*Sens!$L$6101+(1-ext_sh)*Sens!$L$6145)*Sens!$L$6102</f>
        <v>43.6240799619622</v>
      </c>
      <c r="M6224" s="38" t="n">
        <f aca="false">(Sens!$D$6223*Sens!$M$6101+(1-ext_sh)*Sens!$M$6145)*Sens!$M$6102</f>
        <v>46.7841679303704</v>
      </c>
      <c r="N6224" s="38" t="n">
        <f aca="false">Q!$N$29</f>
        <v>7.272</v>
      </c>
      <c r="O6224" s="38" t="n">
        <f aca="false">Q!$O$29</f>
        <v>8.231</v>
      </c>
    </row>
    <row r="6225" customFormat="false" ht="17.15" hidden="false" customHeight="false" outlineLevel="0" collapsed="false">
      <c r="A6225" s="0" t="s">
        <v>537</v>
      </c>
      <c r="B6225" s="0" t="s">
        <v>86</v>
      </c>
      <c r="C6225" s="38" t="n">
        <f aca="false">Q!$D$30</f>
        <v>4.462</v>
      </c>
      <c r="D6225" s="38" t="n">
        <f aca="false">Q!$E$30</f>
        <v>4.907</v>
      </c>
      <c r="E6225" s="38" t="n">
        <f aca="false">Q!$P$30</f>
        <v>2.57</v>
      </c>
      <c r="F6225" s="38" t="n">
        <f aca="false">(Sens!$D$6223*Sens!$F$6101+(1-ext_sh)*Sens!$F$6145)*(1-Sens!$F$6102)</f>
        <v>3.66089330199472</v>
      </c>
      <c r="G6225" s="38" t="n">
        <f aca="false">Sens!$E$6225+Sens!$F$6225</f>
        <v>6.23089330199472</v>
      </c>
      <c r="H6225" s="38" t="n">
        <f aca="false">(Sens!$D$6223*Sens!$H$6101+(1-ext_sh)*Sens!$H$6145)*(1-Sens!$H$6102)</f>
        <v>8.63874333111657</v>
      </c>
      <c r="I6225" s="38" t="n">
        <f aca="false">(Sens!$D$6223*Sens!$I$6101+(1-ext_sh)*Sens!$I$6145)*(1-Sens!$I$6102)</f>
        <v>10.7993689025494</v>
      </c>
      <c r="J6225" s="38" t="n">
        <f aca="false">(Sens!$D$6223*Sens!$J$6101+(1-ext_sh)*Sens!$J$6145)*(1-Sens!$J$6102)</f>
        <v>12.9710919101865</v>
      </c>
      <c r="K6225" s="38" t="n">
        <f aca="false">(Sens!$D$6223*Sens!$K$6101+(1-ext_sh)*Sens!$K$6145)*(1-Sens!$K$6102)</f>
        <v>15.1113928568702</v>
      </c>
      <c r="L6225" s="38" t="n">
        <f aca="false">(Sens!$D$6223*Sens!$L$6101+(1-ext_sh)*Sens!$L$6145)*(1-Sens!$L$6102)</f>
        <v>16.7095857163433</v>
      </c>
      <c r="M6225" s="38" t="n">
        <f aca="false">(Sens!$D$6223*Sens!$M$6101+(1-ext_sh)*Sens!$M$6145)*(1-Sens!$M$6102)</f>
        <v>17.9200126371023</v>
      </c>
      <c r="N6225" s="38" t="n">
        <f aca="false">Q!$N$30</f>
        <v>2.316</v>
      </c>
      <c r="O6225" s="38" t="n">
        <f aca="false">Q!$O$30</f>
        <v>2.591</v>
      </c>
    </row>
    <row r="6226" customFormat="false" ht="17.15" hidden="false" customHeight="false" outlineLevel="0" collapsed="false">
      <c r="A6226" s="0" t="s">
        <v>538</v>
      </c>
      <c r="B6226" s="0" t="s">
        <v>86</v>
      </c>
      <c r="C6226" s="38" t="n">
        <f aca="false">Sens!$C$6157</f>
        <v>13.32</v>
      </c>
      <c r="D6226" s="38" t="n">
        <f aca="false">Sens!$D$6157</f>
        <v>21.45</v>
      </c>
      <c r="E6226" s="38" t="n">
        <f aca="false">Sens!$E$6157</f>
        <v>15.353</v>
      </c>
      <c r="F6226" s="38" t="n">
        <f aca="false">Sens!$F$6157</f>
        <v>16.3063747611001</v>
      </c>
      <c r="G6226" s="38" t="n">
        <f aca="false">Sens!$G$6157</f>
        <v>31.6593747611001</v>
      </c>
      <c r="H6226" s="38" t="n">
        <f aca="false">Sens!$H$6157</f>
        <v>53.124242092105</v>
      </c>
      <c r="I6226" s="38" t="n">
        <f aca="false">Sens!$I$6157</f>
        <v>78.046828098133</v>
      </c>
      <c r="J6226" s="38" t="n">
        <f aca="false">Sens!$J$6157</f>
        <v>103.663976940352</v>
      </c>
      <c r="K6226" s="38" t="n">
        <f aca="false">Sens!$K$6157</f>
        <v>129.625086115469</v>
      </c>
      <c r="L6226" s="38" t="n">
        <f aca="false">Sens!$L$6157</f>
        <v>147.435052382502</v>
      </c>
      <c r="M6226" s="38" t="n">
        <f aca="false">Sens!$M$6157</f>
        <v>159.299754080279</v>
      </c>
      <c r="N6226" s="38" t="n">
        <f aca="false">Sens!$N$6157</f>
        <v>9.234</v>
      </c>
      <c r="O6226" s="38" t="n">
        <f aca="false">Sens!$O$6157</f>
        <v>12.216</v>
      </c>
    </row>
    <row r="6227" customFormat="false" ht="17.15" hidden="false" customHeight="false" outlineLevel="0" collapsed="false">
      <c r="A6227" s="5" t="s">
        <v>739</v>
      </c>
      <c r="B6227" s="0" t="s">
        <v>86</v>
      </c>
      <c r="C6227" s="38" t="n">
        <f aca="false">Sens!$C$6224+Sens!$C$6225+Sens!$C$6226</f>
        <v>32.067</v>
      </c>
      <c r="D6227" s="38" t="n">
        <f aca="false">Sens!$D$6224+Sens!$D$6225+Sens!$D$6226</f>
        <v>41.86</v>
      </c>
      <c r="E6227" s="38" t="n">
        <f aca="false">Sens!$E$6224+Sens!$E$6225+Sens!$E$6226</f>
        <v>26.703</v>
      </c>
      <c r="F6227" s="38" t="n">
        <f aca="false">Sens!$F$6224+Sens!$F$6225+Sens!$F$6226</f>
        <v>29.2913179650864</v>
      </c>
      <c r="G6227" s="38" t="n">
        <f aca="false">Sens!$G$6224+Sens!$G$6225+Sens!$G$6226</f>
        <v>55.9943179650864</v>
      </c>
      <c r="H6227" s="38" t="n">
        <f aca="false">Sens!$H$6224+Sens!$H$6225+Sens!$H$6226</f>
        <v>84.3163410985152</v>
      </c>
      <c r="I6227" s="38" t="n">
        <f aca="false">Sens!$I$6224+Sens!$I$6225+Sens!$I$6226</f>
        <v>117.040344991004</v>
      </c>
      <c r="J6227" s="38" t="n">
        <f aca="false">Sens!$J$6224+Sens!$J$6225+Sens!$J$6226</f>
        <v>150.498981474685</v>
      </c>
      <c r="K6227" s="38" t="n">
        <f aca="false">Sens!$K$6224+Sens!$K$6225+Sens!$K$6226</f>
        <v>184.188121970284</v>
      </c>
      <c r="L6227" s="38" t="n">
        <f aca="false">Sens!$L$6224+Sens!$L$6225+Sens!$L$6226</f>
        <v>207.768718060808</v>
      </c>
      <c r="M6227" s="38" t="n">
        <f aca="false">Sens!$M$6224+Sens!$M$6225+Sens!$M$6226</f>
        <v>224.003934647752</v>
      </c>
      <c r="N6227" s="38" t="n">
        <f aca="false">Sens!$N$6224+Sens!$N$6225+Sens!$N$6226</f>
        <v>18.822</v>
      </c>
      <c r="O6227" s="38" t="n">
        <f aca="false">Sens!$O$6224+Sens!$O$6225+Sens!$O$6226</f>
        <v>23.038</v>
      </c>
    </row>
    <row r="6228" customFormat="false" ht="17.15" hidden="false" customHeight="false" outlineLevel="0" collapsed="false">
      <c r="A6228" s="0" t="s">
        <v>740</v>
      </c>
      <c r="B6228" s="0" t="s">
        <v>86</v>
      </c>
      <c r="C6228" s="38" t="n">
        <f aca="false">Sens!$C$6199+Sens!$C$6204</f>
        <v>28.107</v>
      </c>
      <c r="D6228" s="38" t="n">
        <f aca="false">Sens!$D$6199+Sens!$D$6204</f>
        <v>34.3175</v>
      </c>
      <c r="E6228" s="38" t="n">
        <f aca="false">Sens!$E$6199+Sens!$E$6204</f>
        <v>18.526</v>
      </c>
      <c r="F6228" s="38" t="n">
        <f aca="false">Sens!$F$6199+Sens!$F$6204</f>
        <v>23.0786109972074</v>
      </c>
      <c r="G6228" s="38" t="n">
        <f aca="false">Sens!$G$6199+Sens!$G$6204</f>
        <v>41.6046109972074</v>
      </c>
      <c r="H6228" s="38" t="n">
        <f aca="false">Sens!$H$6199+Sens!$H$6204</f>
        <v>49.9484611939488</v>
      </c>
      <c r="I6228" s="38" t="n">
        <f aca="false">Sens!$I$6199+Sens!$I$6204</f>
        <v>58.2915555477481</v>
      </c>
      <c r="J6228" s="38" t="n">
        <f aca="false">Sens!$J$6199+Sens!$J$6204</f>
        <v>66.0744709709759</v>
      </c>
      <c r="K6228" s="38" t="n">
        <f aca="false">Sens!$K$6199+Sens!$K$6204</f>
        <v>72.6819180680735</v>
      </c>
      <c r="L6228" s="38" t="n">
        <f aca="false">Sens!$L$6199+Sens!$L$6204</f>
        <v>79.9501098748808</v>
      </c>
      <c r="M6228" s="38" t="n">
        <f aca="false">Sens!$M$6199+Sens!$M$6204</f>
        <v>87.9451208623689</v>
      </c>
      <c r="N6228" s="38" t="n">
        <f aca="false">Sens!$N$6199+Sens!$N$6204</f>
        <v>14.8075</v>
      </c>
      <c r="O6228" s="38" t="n">
        <f aca="false">Sens!$O$6199+Sens!$O$6204</f>
        <v>19.51</v>
      </c>
    </row>
    <row r="6229" customFormat="false" ht="17.15" hidden="false" customHeight="false" outlineLevel="0" collapsed="false">
      <c r="A6229" s="0" t="s">
        <v>741</v>
      </c>
      <c r="B6229" s="0" t="s">
        <v>86</v>
      </c>
      <c r="C6229" s="38" t="n">
        <f aca="false">Sens!$C$6203+Sens!$C$6208+Sens!$C$6224+Sens!$C$6225-Sens!$C$6228</f>
        <v>19.399</v>
      </c>
      <c r="D6229" s="38" t="n">
        <f aca="false">Sens!$D$6203+Sens!$D$6208+Sens!$D$6224+Sens!$D$6225-Sens!$D$6228</f>
        <v>20.4615</v>
      </c>
      <c r="E6229" s="38" t="n">
        <f aca="false">Sens!$E$6203+Sens!$E$6208+Sens!$E$6224+Sens!$E$6225-Sens!$E$6228</f>
        <v>13.355</v>
      </c>
      <c r="F6229" s="38" t="n">
        <f aca="false">Sens!$F$6203+Sens!$F$6208+Sens!$F$6224+Sens!$F$6225-Sens!$F$6228</f>
        <v>12.7882167664549</v>
      </c>
      <c r="G6229" s="38" t="n">
        <f aca="false">Sens!$G$6203+Sens!$G$6208+Sens!$G$6224+Sens!$G$6225-Sens!$G$6228</f>
        <v>26.1432167664549</v>
      </c>
      <c r="H6229" s="38" t="n">
        <f aca="false">Sens!$H$6203+Sens!$H$6208+Sens!$H$6224+Sens!$H$6225-Sens!$H$6228</f>
        <v>28.5472527261826</v>
      </c>
      <c r="I6229" s="38" t="n">
        <f aca="false">Sens!$I$6203+Sens!$I$6208+Sens!$I$6224+Sens!$I$6225-Sens!$I$6228</f>
        <v>30.8052421506794</v>
      </c>
      <c r="J6229" s="38" t="n">
        <f aca="false">Sens!$J$6203+Sens!$J$6208+Sens!$J$6224+Sens!$J$6225-Sens!$J$6228</f>
        <v>33.0553877999083</v>
      </c>
      <c r="K6229" s="38" t="n">
        <f aca="false">Sens!$K$6203+Sens!$K$6208+Sens!$K$6224+Sens!$K$6225-Sens!$K$6228</f>
        <v>35.4662923485155</v>
      </c>
      <c r="L6229" s="38" t="n">
        <f aca="false">Sens!$L$6203+Sens!$L$6208+Sens!$L$6224+Sens!$L$6225-Sens!$L$6228</f>
        <v>37.1019587742301</v>
      </c>
      <c r="M6229" s="38" t="n">
        <f aca="false">Sens!$M$6203+Sens!$M$6208+Sens!$M$6224+Sens!$M$6225-Sens!$M$6228</f>
        <v>39.5351701466849</v>
      </c>
      <c r="N6229" s="38" t="n">
        <f aca="false">Sens!$N$6203+Sens!$N$6208+Sens!$N$6224+Sens!$N$6225-Sens!$N$6228</f>
        <v>10.6495</v>
      </c>
      <c r="O6229" s="38" t="n">
        <f aca="false">Sens!$O$6203+Sens!$O$6208+Sens!$O$6224+Sens!$O$6225-Sens!$O$6228</f>
        <v>9.81200000000001</v>
      </c>
    </row>
    <row r="6230" customFormat="false" ht="17.15" hidden="false" customHeight="false" outlineLevel="0" collapsed="false">
      <c r="A6230" s="0" t="s">
        <v>742</v>
      </c>
      <c r="B6230" s="0" t="s">
        <v>86</v>
      </c>
      <c r="C6230" s="38" t="n">
        <f aca="false">Sens!$C$6210+Sens!$C$6226-ext_sh*Sens!$C$6145</f>
        <v>51.3470500115664</v>
      </c>
      <c r="D6230" s="38" t="n">
        <f aca="false">Sens!$D$6210+Sens!$D$6226-ext_sh*Sens!$D$6145</f>
        <v>60.2799375433739</v>
      </c>
      <c r="E6230" s="38" t="n">
        <f aca="false">Sens!$E$6210+Sens!$E$6226-ext_sh*Sens!$E$6145</f>
        <v>39.5095167090767</v>
      </c>
      <c r="F6230" s="38" t="n">
        <f aca="false">Sens!$F$6210+Sens!$F$6226-ext_sh*Sens!$F$6145</f>
        <v>37.993321722478</v>
      </c>
      <c r="G6230" s="38" t="n">
        <f aca="false">Sens!$G$6210+Sens!$G$6226-ext_sh*Sens!$G$6145</f>
        <v>77.5028384315548</v>
      </c>
      <c r="H6230" s="38" t="n">
        <f aca="false">Sens!$H$6210+Sens!$H$6226-ext_sh*Sens!$H$6145</f>
        <v>85.2394217279746</v>
      </c>
      <c r="I6230" s="38" t="n">
        <f aca="false">Sens!$I$6210+Sens!$I$6226-ext_sh*Sens!$I$6145</f>
        <v>94.6373589713254</v>
      </c>
      <c r="J6230" s="38" t="n">
        <f aca="false">Sens!$J$6210+Sens!$J$6226-ext_sh*Sens!$J$6145</f>
        <v>103.639899284146</v>
      </c>
      <c r="K6230" s="38" t="n">
        <f aca="false">Sens!$K$6210+Sens!$K$6226-ext_sh*Sens!$K$6145</f>
        <v>111.931091226878</v>
      </c>
      <c r="L6230" s="38" t="n">
        <f aca="false">Sens!$L$6210+Sens!$L$6226-ext_sh*Sens!$L$6145</f>
        <v>120.885578525028</v>
      </c>
      <c r="M6230" s="38" t="n">
        <f aca="false">Sens!$M$6210+Sens!$M$6226-ext_sh*Sens!$M$6145</f>
        <v>130.55642480703</v>
      </c>
      <c r="N6230" s="38" t="n">
        <f aca="false">Sens!$N$6210+Sens!$N$6226-ext_sh*Sens!$N$6145</f>
        <v>28.5693781401809</v>
      </c>
      <c r="O6230" s="38" t="n">
        <f aca="false">Sens!$O$6210+Sens!$O$6226-ext_sh*Sens!$O$6145</f>
        <v>31.7105594031931</v>
      </c>
    </row>
    <row r="6231" customFormat="false" ht="17.15" hidden="false" customHeight="false" outlineLevel="0" collapsed="false">
      <c r="A6231" s="0" t="s">
        <v>743</v>
      </c>
      <c r="B6231" s="0" t="s">
        <v>86</v>
      </c>
      <c r="C6231" s="38" t="n">
        <f aca="false">Sens!$C$6148</f>
        <v>1.80694998843362</v>
      </c>
      <c r="D6231" s="38" t="n">
        <f aca="false">Sens!$D$6148</f>
        <v>6.77606245662607</v>
      </c>
      <c r="E6231" s="38" t="n">
        <f aca="false">Sens!$E$6148</f>
        <v>6.62548329092326</v>
      </c>
      <c r="F6231" s="38" t="n">
        <f aca="false">Sens!$F$6148</f>
        <v>11.7200577158706</v>
      </c>
      <c r="G6231" s="38" t="n">
        <f aca="false">Sens!$G$6148</f>
        <v>18.3455410067939</v>
      </c>
      <c r="H6231" s="38" t="n">
        <f aca="false">Sens!$H$6148</f>
        <v>47.5171727060453</v>
      </c>
      <c r="I6231" s="38" t="n">
        <f aca="false">Sens!$I$6148</f>
        <v>80.5539692643667</v>
      </c>
      <c r="J6231" s="38" t="n">
        <f aca="false">Sens!$J$6148</f>
        <v>113.759316834883</v>
      </c>
      <c r="K6231" s="38" t="n">
        <f aca="false">Sens!$K$6148</f>
        <v>142.084411492169</v>
      </c>
      <c r="L6231" s="38" t="n">
        <f aca="false">Sens!$L$6148</f>
        <v>160.69964615804</v>
      </c>
      <c r="M6231" s="38" t="n">
        <f aca="false">Sens!$M$6148</f>
        <v>169.577607141793</v>
      </c>
      <c r="N6231" s="38" t="n">
        <f aca="false">Sens!$N$6148</f>
        <v>2.37162185981912</v>
      </c>
      <c r="O6231" s="38" t="n">
        <f aca="false">Sens!$O$6148</f>
        <v>4.40444059680694</v>
      </c>
    </row>
    <row r="6232" customFormat="false" ht="17.15" hidden="false" customHeight="false" outlineLevel="0" collapsed="false">
      <c r="A6232" s="0" t="s">
        <v>744</v>
      </c>
      <c r="B6232" s="0" t="s">
        <v>86</v>
      </c>
      <c r="C6232" s="38" t="n">
        <f aca="false">Sens!$C$6213+Sens!$C$6227</f>
        <v>100.66</v>
      </c>
      <c r="D6232" s="38" t="n">
        <f aca="false">Sens!$D$6213+Sens!$D$6227</f>
        <v>121.835</v>
      </c>
      <c r="E6232" s="38" t="n">
        <f aca="false">Sens!$E$6213+Sens!$E$6227</f>
        <v>78.016</v>
      </c>
      <c r="F6232" s="38" t="n">
        <f aca="false">Sens!$F$6213+Sens!$F$6227</f>
        <v>85.580207202011</v>
      </c>
      <c r="G6232" s="38" t="n">
        <f aca="false">Sens!$G$6213+Sens!$G$6227</f>
        <v>163.596207202011</v>
      </c>
      <c r="H6232" s="38" t="n">
        <f aca="false">Sens!$H$6213+Sens!$H$6227</f>
        <v>211.252308354151</v>
      </c>
      <c r="I6232" s="38" t="n">
        <f aca="false">Sens!$I$6213+Sens!$I$6227</f>
        <v>264.28812593412</v>
      </c>
      <c r="J6232" s="38" t="n">
        <f aca="false">Sens!$J$6213+Sens!$J$6227</f>
        <v>316.529074889914</v>
      </c>
      <c r="K6232" s="38" t="n">
        <f aca="false">Sens!$K$6213+Sens!$K$6227</f>
        <v>362.163713135636</v>
      </c>
      <c r="L6232" s="38" t="n">
        <f aca="false">Sens!$L$6213+Sens!$L$6227</f>
        <v>398.637293332179</v>
      </c>
      <c r="M6232" s="38" t="n">
        <f aca="false">Sens!$M$6213+Sens!$M$6227</f>
        <v>427.614322957878</v>
      </c>
      <c r="N6232" s="38" t="n">
        <f aca="false">Sens!$N$6213+Sens!$N$6227</f>
        <v>56.398</v>
      </c>
      <c r="O6232" s="38" t="n">
        <f aca="false">Sens!$O$6213+Sens!$O$6227</f>
        <v>65.437</v>
      </c>
    </row>
    <row r="6233" customFormat="false" ht="17.15" hidden="false" customHeight="false" outlineLevel="0" collapsed="false">
      <c r="A6233" s="1" t="s">
        <v>745</v>
      </c>
    </row>
    <row r="6234" customFormat="false" ht="15" hidden="false" customHeight="false" outlineLevel="0" collapsed="false">
      <c r="A6234" s="5" t="s">
        <v>541</v>
      </c>
      <c r="B6234" s="0" t="s">
        <v>86</v>
      </c>
      <c r="C6234" s="38" t="n">
        <f aca="false">Q!$D$34</f>
        <v>2.406</v>
      </c>
      <c r="D6234" s="38" t="n">
        <f aca="false">Q!$E$34</f>
        <v>2.274</v>
      </c>
      <c r="E6234" s="38" t="n">
        <f aca="false">Q!$P$34</f>
        <v>2.114</v>
      </c>
      <c r="F6234" s="38" t="n">
        <f aca="false">Sens!$F$6272</f>
        <v>3.24888962733561</v>
      </c>
      <c r="G6234" s="38" t="n">
        <f aca="false">Sens!$E$6234+Sens!$F$6234</f>
        <v>5.36288962733561</v>
      </c>
      <c r="H6234" s="38" t="n">
        <f aca="false">Sens!$H$6272</f>
        <v>7.42354172302123</v>
      </c>
      <c r="I6234" s="38" t="n">
        <f aca="false">Sens!$I$6272</f>
        <v>8.2931747618896</v>
      </c>
      <c r="J6234" s="38" t="n">
        <f aca="false">Sens!$J$6272</f>
        <v>9.27718179522602</v>
      </c>
      <c r="K6234" s="38" t="n">
        <f aca="false">Sens!$K$6272</f>
        <v>9.27718179522602</v>
      </c>
      <c r="L6234" s="38" t="n">
        <f aca="false">Sens!$L$6272</f>
        <v>9.27718179522602</v>
      </c>
      <c r="M6234" s="38" t="n">
        <f aca="false">Sens!$M$6272</f>
        <v>9.27718179522602</v>
      </c>
      <c r="N6234" s="38" t="n">
        <f aca="false">Q!$N$34</f>
        <v>1.057</v>
      </c>
      <c r="O6234" s="38" t="n">
        <f aca="false">Q!$O$34</f>
        <v>1.217</v>
      </c>
    </row>
    <row r="6235" customFormat="false" ht="15" hidden="false" customHeight="false" outlineLevel="0" collapsed="false">
      <c r="A6235" s="5" t="s">
        <v>746</v>
      </c>
      <c r="B6235" s="0" t="s">
        <v>86</v>
      </c>
      <c r="F6235" s="38" t="n">
        <f aca="false">Sens!$F$6273</f>
        <v>2.59</v>
      </c>
      <c r="H6235" s="38" t="n">
        <f aca="false">Sens!$H$6273</f>
        <v>3.80133635330174</v>
      </c>
      <c r="I6235" s="38" t="n">
        <f aca="false">Sens!$I$6273</f>
        <v>2.10589651022864</v>
      </c>
      <c r="J6235" s="38" t="n">
        <f aca="false">Sens!$J$6273</f>
        <v>2.10589651022864</v>
      </c>
      <c r="K6235" s="38" t="n">
        <f aca="false">Sens!$K$6273</f>
        <v>3.14850442073996</v>
      </c>
      <c r="L6235" s="38" t="n">
        <f aca="false">Sens!$L$6273</f>
        <v>8.25959583122945</v>
      </c>
      <c r="M6235" s="38" t="n">
        <f aca="false">Sens!$M$6273</f>
        <v>15.8335708401143</v>
      </c>
    </row>
    <row r="6236" customFormat="false" ht="17.15" hidden="false" customHeight="false" outlineLevel="0" collapsed="false">
      <c r="A6236" s="5" t="s">
        <v>747</v>
      </c>
      <c r="B6236" s="0" t="s">
        <v>86</v>
      </c>
      <c r="C6236" s="38" t="n">
        <f aca="false">Q!$D$39</f>
        <v>2.427</v>
      </c>
      <c r="D6236" s="38" t="n">
        <f aca="false">Q!$E$39</f>
        <v>19.61</v>
      </c>
      <c r="E6236" s="38" t="n">
        <f aca="false">Q!$P$39</f>
        <v>71.492</v>
      </c>
      <c r="F6236" s="39" t="n">
        <v>0</v>
      </c>
      <c r="G6236" s="38" t="n">
        <f aca="false">Sens!$E$6236+Sens!$F$6236</f>
        <v>71.492</v>
      </c>
      <c r="H6236" s="39" t="n">
        <v>0</v>
      </c>
      <c r="I6236" s="39" t="n">
        <v>0</v>
      </c>
      <c r="J6236" s="39" t="n">
        <v>0</v>
      </c>
      <c r="K6236" s="39" t="n">
        <v>0</v>
      </c>
      <c r="L6236" s="39" t="n">
        <v>0</v>
      </c>
      <c r="M6236" s="39" t="n">
        <v>0</v>
      </c>
      <c r="N6236" s="38" t="n">
        <f aca="false">Q!$N$39</f>
        <v>6.017</v>
      </c>
      <c r="O6236" s="38" t="n">
        <f aca="false">Q!$O$39</f>
        <v>13.593</v>
      </c>
      <c r="P6236" s="5" t="s">
        <v>748</v>
      </c>
    </row>
    <row r="6237" customFormat="false" ht="15" hidden="false" customHeight="false" outlineLevel="0" collapsed="false">
      <c r="A6237" s="5" t="s">
        <v>544</v>
      </c>
      <c r="B6237" s="0" t="s">
        <v>86</v>
      </c>
      <c r="C6237" s="38" t="n">
        <f aca="false">Q!$D$36</f>
        <v>68.614</v>
      </c>
      <c r="D6237" s="38" t="n">
        <f aca="false">Q!$E$36</f>
        <v>97.311</v>
      </c>
      <c r="E6237" s="38" t="n">
        <f aca="false">Q!$P$36</f>
        <v>120.691</v>
      </c>
      <c r="F6237" s="38" t="n">
        <f aca="false">Sens!$F$6213-Sens!$F$6234+Sens!$F$6235+Sens!$F$6236</f>
        <v>55.629999609589</v>
      </c>
      <c r="G6237" s="38" t="n">
        <f aca="false">Sens!$E$6237+Sens!$F$6237</f>
        <v>176.320999609589</v>
      </c>
      <c r="H6237" s="38" t="n">
        <f aca="false">Sens!$H$6213-Sens!$H$6234+Sens!$H$6235+Sens!$H$6236</f>
        <v>123.313761885917</v>
      </c>
      <c r="I6237" s="38" t="n">
        <f aca="false">Sens!$I$6213-Sens!$I$6234+Sens!$I$6235+Sens!$I$6236</f>
        <v>141.060502691455</v>
      </c>
      <c r="J6237" s="38" t="n">
        <f aca="false">Sens!$J$6213-Sens!$J$6234+Sens!$J$6235+Sens!$J$6236</f>
        <v>158.858808130232</v>
      </c>
      <c r="K6237" s="38" t="n">
        <f aca="false">Sens!$K$6213-Sens!$K$6234+Sens!$K$6235+Sens!$K$6236</f>
        <v>171.846913790867</v>
      </c>
      <c r="L6237" s="38" t="n">
        <f aca="false">Sens!$L$6213-Sens!$L$6234+Sens!$L$6235+Sens!$L$6236</f>
        <v>189.850989307375</v>
      </c>
      <c r="M6237" s="38" t="n">
        <f aca="false">Sens!$M$6213-Sens!$M$6234+Sens!$M$6235+Sens!$M$6236</f>
        <v>210.166777355014</v>
      </c>
      <c r="N6237" s="38" t="n">
        <f aca="false">Q!$N$36</f>
        <v>42.536</v>
      </c>
      <c r="O6237" s="38" t="n">
        <f aca="false">Q!$O$36</f>
        <v>54.775</v>
      </c>
    </row>
    <row r="6238" customFormat="false" ht="15" hidden="false" customHeight="false" outlineLevel="0" collapsed="false">
      <c r="A6238" s="5" t="s">
        <v>545</v>
      </c>
      <c r="B6238" s="0" t="s">
        <v>86</v>
      </c>
      <c r="C6238" s="38" t="n">
        <f aca="false">Q!$D$37</f>
        <v>9.265</v>
      </c>
      <c r="D6238" s="38" t="n">
        <f aca="false">Q!$E$37</f>
        <v>19.087</v>
      </c>
      <c r="E6238" s="38" t="n">
        <f aca="false">Q!$P$37</f>
        <v>27.759</v>
      </c>
      <c r="F6238" s="38" t="n">
        <f aca="false">Sens!$F$6237*tax</f>
        <v>9.65650714815835</v>
      </c>
      <c r="G6238" s="38" t="n">
        <f aca="false">Sens!$E$6238+Sens!$F$6238</f>
        <v>37.4155071481584</v>
      </c>
      <c r="H6238" s="38" t="n">
        <f aca="false">Sens!$H$6237*tax</f>
        <v>21.4053609828247</v>
      </c>
      <c r="I6238" s="38" t="n">
        <f aca="false">Sens!$I$6237*tax</f>
        <v>24.4859205846201</v>
      </c>
      <c r="J6238" s="38" t="n">
        <f aca="false">Sens!$J$6237*tax</f>
        <v>27.5754310088666</v>
      </c>
      <c r="K6238" s="38" t="n">
        <f aca="false">Sens!$K$6237*tax</f>
        <v>29.8299651816718</v>
      </c>
      <c r="L6238" s="38" t="n">
        <f aca="false">Sens!$L$6237*tax</f>
        <v>32.9551941074541</v>
      </c>
      <c r="M6238" s="38" t="n">
        <f aca="false">Sens!$M$6237*tax</f>
        <v>36.4817005586366</v>
      </c>
      <c r="N6238" s="38" t="n">
        <f aca="false">Q!$N$37</f>
        <v>7.231</v>
      </c>
      <c r="O6238" s="38" t="n">
        <f aca="false">Q!$O$37</f>
        <v>11.856</v>
      </c>
    </row>
    <row r="6239" customFormat="false" ht="15" hidden="false" customHeight="false" outlineLevel="0" collapsed="false">
      <c r="A6239" s="3" t="s">
        <v>546</v>
      </c>
      <c r="B6239" s="8" t="s">
        <v>86</v>
      </c>
      <c r="C6239" s="38" t="n">
        <f aca="false">Q!$D$38</f>
        <v>59.248</v>
      </c>
      <c r="D6239" s="38" t="n">
        <f aca="false">Q!$E$38</f>
        <v>77.67</v>
      </c>
      <c r="E6239" s="38" t="n">
        <f aca="false">Q!$P$38</f>
        <v>92.902</v>
      </c>
      <c r="F6239" s="38" t="n">
        <f aca="false">Sens!$F$6237-Sens!$F$6238</f>
        <v>45.9734924614306</v>
      </c>
      <c r="G6239" s="38" t="n">
        <f aca="false">Sens!$E$6239+Sens!$F$6239</f>
        <v>138.875492461431</v>
      </c>
      <c r="H6239" s="38" t="n">
        <f aca="false">Sens!$H$6237-Sens!$H$6238</f>
        <v>101.908400903092</v>
      </c>
      <c r="I6239" s="38" t="n">
        <f aca="false">Sens!$I$6237-Sens!$I$6238</f>
        <v>116.574582106835</v>
      </c>
      <c r="J6239" s="38" t="n">
        <f aca="false">Sens!$J$6237-Sens!$J$6238</f>
        <v>131.283377121365</v>
      </c>
      <c r="K6239" s="38" t="n">
        <f aca="false">Sens!$K$6237-Sens!$K$6238</f>
        <v>142.016948609195</v>
      </c>
      <c r="L6239" s="38" t="n">
        <f aca="false">Sens!$L$6237-Sens!$L$6238</f>
        <v>156.895795199921</v>
      </c>
      <c r="M6239" s="38" t="n">
        <f aca="false">Sens!$M$6237-Sens!$M$6238</f>
        <v>173.685076796377</v>
      </c>
      <c r="N6239" s="38" t="n">
        <f aca="false">Q!$N$38</f>
        <v>35.291</v>
      </c>
      <c r="O6239" s="38" t="n">
        <f aca="false">Q!$O$38</f>
        <v>42.379</v>
      </c>
    </row>
    <row r="6240" customFormat="false" ht="17.15" hidden="false" customHeight="false" outlineLevel="0" collapsed="false">
      <c r="A6240" s="5" t="s">
        <v>549</v>
      </c>
      <c r="B6240" s="5" t="s">
        <v>33</v>
      </c>
      <c r="C6240" s="22" t="n">
        <f aca="false">Q!$D$41</f>
        <v>10.721</v>
      </c>
      <c r="D6240" s="22" t="n">
        <f aca="false">Q!$E$41</f>
        <v>10.827</v>
      </c>
      <c r="E6240" s="22" t="n">
        <f aca="false">(Q!$L$41+Q!$M$41)/2</f>
        <v>10.8885</v>
      </c>
      <c r="F6240" s="22" t="n">
        <f aca="false">Sens!$G$6240</f>
        <v>10.924806</v>
      </c>
      <c r="G6240" s="22" t="n">
        <f aca="false">Q!$M$41*(1+sh_g*0.25)</f>
        <v>10.924806</v>
      </c>
      <c r="H6240" s="22" t="n">
        <f aca="false">Sens!$G$6240*(1+sh_g)</f>
        <v>11.012204448</v>
      </c>
      <c r="I6240" s="22" t="n">
        <f aca="false">Sens!$H$6240*(1+sh_g)</f>
        <v>11.100302083584</v>
      </c>
      <c r="J6240" s="22" t="n">
        <f aca="false">Sens!$I$6240*(1+sh_g)</f>
        <v>11.1891045002527</v>
      </c>
      <c r="K6240" s="22" t="n">
        <f aca="false">Sens!$J$6240*(1+sh_g)</f>
        <v>11.2786173362547</v>
      </c>
      <c r="L6240" s="22" t="n">
        <f aca="false">Sens!$K$6240*(1+sh_g)</f>
        <v>11.3688462749447</v>
      </c>
      <c r="M6240" s="22" t="n">
        <f aca="false">Sens!$L$6240*(1+sh_g)</f>
        <v>11.4597970451443</v>
      </c>
      <c r="P6240" s="5" t="s">
        <v>749</v>
      </c>
    </row>
    <row r="6241" customFormat="false" ht="17.15" hidden="false" customHeight="false" outlineLevel="0" collapsed="false">
      <c r="A6241" s="5" t="s">
        <v>750</v>
      </c>
      <c r="B6241" s="0" t="s">
        <v>86</v>
      </c>
      <c r="C6241" s="38" t="n">
        <f aca="false">Sens!$C$6239+Sens!$C$6215*(1-tax)</f>
        <v>59.248</v>
      </c>
      <c r="D6241" s="38" t="n">
        <f aca="false">Sens!$D$6239+Sens!$D$6215*(1-tax)</f>
        <v>77.67</v>
      </c>
      <c r="E6241" s="38" t="n">
        <f aca="false">Sens!$E$6239+Sens!$E$6215*(1-tax)</f>
        <v>92.902</v>
      </c>
      <c r="F6241" s="38" t="n">
        <f aca="false">Sens!$F$6239+Sens!$F$6215*(1-tax)</f>
        <v>49.0900874210793</v>
      </c>
      <c r="G6241" s="38" t="n">
        <f aca="false">Sens!$G$6239+Sens!$G$6215*(1-tax)</f>
        <v>141.992087421079</v>
      </c>
      <c r="H6241" s="38" t="n">
        <f aca="false">Sens!$H$6239+Sens!$H$6215*(1-tax)</f>
        <v>114.439796858437</v>
      </c>
      <c r="I6241" s="38" t="n">
        <f aca="false">Sens!$I$6239+Sens!$I$6215*(1-tax)</f>
        <v>137.715847181774</v>
      </c>
      <c r="J6241" s="38" t="n">
        <f aca="false">Sens!$J$6239+Sens!$J$6215*(1-tax)</f>
        <v>161.072814065649</v>
      </c>
      <c r="K6241" s="38" t="n">
        <f aca="false">Sens!$K$6239+Sens!$K$6215*(1-tax)</f>
        <v>179.184254305854</v>
      </c>
      <c r="L6241" s="38" t="n">
        <f aca="false">Sens!$L$6239+Sens!$L$6215*(1-tax)</f>
        <v>198.911872540476</v>
      </c>
      <c r="M6241" s="38" t="n">
        <f aca="false">Sens!$M$6239+Sens!$M$6215*(1-tax)</f>
        <v>218.014598987218</v>
      </c>
      <c r="N6241" s="38" t="n">
        <f aca="false">Sens!$N$6239+Sens!$N$6215*(1-tax)</f>
        <v>35.291</v>
      </c>
      <c r="O6241" s="38" t="n">
        <f aca="false">Sens!$O$6239+Sens!$O$6215*(1-tax)</f>
        <v>42.379</v>
      </c>
    </row>
    <row r="6242" customFormat="false" ht="17.15" hidden="false" customHeight="false" outlineLevel="0" collapsed="false">
      <c r="A6242" s="43" t="s">
        <v>751</v>
      </c>
      <c r="B6242" s="14" t="s">
        <v>27</v>
      </c>
      <c r="C6242" s="44" t="n">
        <f aca="false">Sens!$C$6241/Sens!$C$6240</f>
        <v>5.52635015390355</v>
      </c>
      <c r="D6242" s="44" t="n">
        <f aca="false">Sens!$D$6241/Sens!$D$6240</f>
        <v>7.1737323358271</v>
      </c>
      <c r="E6242" s="44" t="n">
        <f aca="false">Sens!$E$6241/Sens!$E$6240</f>
        <v>8.53212104513937</v>
      </c>
      <c r="F6242" s="14"/>
      <c r="G6242" s="44" t="n">
        <f aca="false">Sens!$G$6241/Sens!$G$6240</f>
        <v>12.9972182042481</v>
      </c>
      <c r="H6242" s="44" t="n">
        <f aca="false">Sens!$H$6241/Sens!$H$6240</f>
        <v>10.3920879237963</v>
      </c>
      <c r="I6242" s="44" t="n">
        <f aca="false">Sens!$I$6241/Sens!$I$6240</f>
        <v>12.4064954399249</v>
      </c>
      <c r="J6242" s="44" t="n">
        <f aca="false">Sens!$J$6241/Sens!$J$6240</f>
        <v>14.3955053831172</v>
      </c>
      <c r="K6242" s="44" t="n">
        <f aca="false">Sens!$K$6241/Sens!$K$6240</f>
        <v>15.8870763111957</v>
      </c>
      <c r="L6242" s="44" t="n">
        <f aca="false">Sens!$L$6241/Sens!$L$6240</f>
        <v>17.4962232516811</v>
      </c>
      <c r="M6242" s="44" t="n">
        <f aca="false">Sens!$M$6241/Sens!$M$6240</f>
        <v>19.0242984346389</v>
      </c>
      <c r="N6242" s="14"/>
      <c r="O6242" s="14"/>
    </row>
    <row r="6243" customFormat="false" ht="17.15" hidden="false" customHeight="false" outlineLevel="0" collapsed="false">
      <c r="A6243" s="0" t="s">
        <v>752</v>
      </c>
      <c r="B6243" s="0" t="s">
        <v>27</v>
      </c>
      <c r="C6243" s="30" t="n">
        <f aca="false">Sens!$C$6239/Sens!$C$6240</f>
        <v>5.52635015390355</v>
      </c>
      <c r="D6243" s="30" t="n">
        <f aca="false">Sens!$D$6239/Sens!$D$6240</f>
        <v>7.1737323358271</v>
      </c>
      <c r="E6243" s="30" t="n">
        <f aca="false">Sens!$E$6239/Sens!$E$6240</f>
        <v>8.53212104513937</v>
      </c>
      <c r="G6243" s="30" t="n">
        <f aca="false">Sens!$G$6239/Sens!$G$6240</f>
        <v>12.7119412886078</v>
      </c>
      <c r="H6243" s="30" t="n">
        <f aca="false">Sens!$H$6239/Sens!$H$6240</f>
        <v>9.25413266565353</v>
      </c>
      <c r="I6243" s="30" t="n">
        <f aca="false">Sens!$I$6239/Sens!$I$6240</f>
        <v>10.501928796986</v>
      </c>
      <c r="J6243" s="30" t="n">
        <f aca="false">Sens!$J$6239/Sens!$J$6240</f>
        <v>11.7331442492472</v>
      </c>
      <c r="K6243" s="30" t="n">
        <f aca="false">Sens!$K$6239/Sens!$K$6240</f>
        <v>12.5916984657939</v>
      </c>
      <c r="L6243" s="30" t="n">
        <f aca="false">Sens!$L$6239/Sens!$L$6240</f>
        <v>13.8005028307662</v>
      </c>
      <c r="M6243" s="30" t="n">
        <f aca="false">Sens!$M$6239/Sens!$M$6240</f>
        <v>15.1560342746184</v>
      </c>
    </row>
    <row r="6244" customFormat="false" ht="17.15" hidden="false" customHeight="false" outlineLevel="0" collapsed="false">
      <c r="A6244" s="0" t="s">
        <v>753</v>
      </c>
      <c r="B6244" s="0" t="s">
        <v>27</v>
      </c>
      <c r="C6244" s="30" t="n">
        <f aca="false">(Sens!$C$6239-Sens!$C$6236*(1-tax))/Sens!$C$6240</f>
        <v>5.33926775917445</v>
      </c>
      <c r="D6244" s="30" t="n">
        <f aca="false">(Sens!$D$6239-Sens!$D$6236*(1-tax))/Sens!$D$6240</f>
        <v>5.67691812755503</v>
      </c>
      <c r="E6244" s="30" t="n">
        <f aca="false">(Sens!$E$6239-Sens!$E$6236*(1-tax))/Sens!$E$6240</f>
        <v>3.10602057006846</v>
      </c>
      <c r="G6244" s="30" t="n">
        <f aca="false">(Sens!$G$6239-Sens!$G$6236*(1-tax))/Sens!$G$6240</f>
        <v>7.30387317071086</v>
      </c>
      <c r="H6244" s="30" t="n">
        <f aca="false">(Sens!$H$6239-Sens!$H$6236*(1-tax))/Sens!$H$6240</f>
        <v>9.25413266565353</v>
      </c>
      <c r="I6244" s="30" t="n">
        <f aca="false">(Sens!$I$6239-Sens!$I$6236*(1-tax))/Sens!$I$6240</f>
        <v>10.501928796986</v>
      </c>
      <c r="J6244" s="30" t="n">
        <f aca="false">(Sens!$J$6239-Sens!$J$6236*(1-tax))/Sens!$J$6240</f>
        <v>11.7331442492472</v>
      </c>
      <c r="K6244" s="30" t="n">
        <f aca="false">(Sens!$K$6239-Sens!$K$6236*(1-tax))/Sens!$K$6240</f>
        <v>12.5916984657939</v>
      </c>
      <c r="L6244" s="30" t="n">
        <f aca="false">(Sens!$L$6239-Sens!$L$6236*(1-tax))/Sens!$L$6240</f>
        <v>13.8005028307662</v>
      </c>
      <c r="M6244" s="30" t="n">
        <f aca="false">(Sens!$M$6239-Sens!$M$6236*(1-tax))/Sens!$M$6240</f>
        <v>15.1560342746184</v>
      </c>
      <c r="P6244" s="5" t="s">
        <v>754</v>
      </c>
    </row>
    <row r="6245" customFormat="false" ht="17.15" hidden="false" customHeight="false" outlineLevel="0" collapsed="false">
      <c r="A6245" s="0" t="s">
        <v>755</v>
      </c>
      <c r="B6245" s="0" t="s">
        <v>52</v>
      </c>
      <c r="H6245" s="13" t="n">
        <f aca="false">Sens!$H$6242/Sens!$G$6242-1</f>
        <v>-0.200437527439553</v>
      </c>
      <c r="I6245" s="13" t="n">
        <f aca="false">Sens!$I$6242/Sens!$H$6242-1</f>
        <v>0.193840499705158</v>
      </c>
      <c r="J6245" s="13" t="n">
        <f aca="false">Sens!$J$6242/Sens!$I$6242-1</f>
        <v>0.160320047899391</v>
      </c>
      <c r="K6245" s="13" t="n">
        <f aca="false">Sens!$K$6242/Sens!$J$6242-1</f>
        <v>0.103613654983436</v>
      </c>
      <c r="L6245" s="13" t="n">
        <f aca="false">Sens!$L$6242/Sens!$K$6242-1</f>
        <v>0.101286536865904</v>
      </c>
      <c r="M6245" s="13" t="n">
        <f aca="false">Sens!$M$6242/Sens!$L$6242-1</f>
        <v>0.0873374305400994</v>
      </c>
    </row>
    <row r="6248" customFormat="false" ht="19.4" hidden="false" customHeight="false" outlineLevel="0" collapsed="false">
      <c r="A6248" s="31" t="s">
        <v>1255</v>
      </c>
    </row>
    <row r="6249" customFormat="false" ht="17.15" hidden="false" customHeight="false" outlineLevel="0" collapsed="false">
      <c r="A6249" s="6" t="s">
        <v>16</v>
      </c>
      <c r="B6249" s="6" t="s">
        <v>17</v>
      </c>
      <c r="C6249" s="20" t="s">
        <v>494</v>
      </c>
      <c r="D6249" s="20" t="s">
        <v>495</v>
      </c>
      <c r="E6249" s="20" t="s">
        <v>577</v>
      </c>
      <c r="F6249" s="20" t="s">
        <v>578</v>
      </c>
      <c r="G6249" s="20" t="s">
        <v>579</v>
      </c>
      <c r="H6249" s="20" t="s">
        <v>580</v>
      </c>
      <c r="I6249" s="20" t="s">
        <v>581</v>
      </c>
      <c r="J6249" s="20" t="s">
        <v>582</v>
      </c>
      <c r="K6249" s="20" t="s">
        <v>583</v>
      </c>
      <c r="L6249" s="20" t="s">
        <v>584</v>
      </c>
      <c r="M6249" s="20" t="s">
        <v>585</v>
      </c>
      <c r="N6249" s="20" t="s">
        <v>586</v>
      </c>
      <c r="O6249" s="20" t="s">
        <v>587</v>
      </c>
      <c r="P6249" s="6" t="s">
        <v>23</v>
      </c>
      <c r="R6249" s="20" t="n">
        <v>2023</v>
      </c>
      <c r="S6249" s="20" t="n">
        <v>2024</v>
      </c>
      <c r="T6249" s="20" t="n">
        <v>2025</v>
      </c>
      <c r="U6249" s="20" t="n">
        <v>2026</v>
      </c>
      <c r="V6249" s="20" t="n">
        <v>2027</v>
      </c>
      <c r="W6249" s="20" t="n">
        <v>2028</v>
      </c>
      <c r="X6249" s="20" t="n">
        <v>2029</v>
      </c>
      <c r="Y6249" s="20" t="n">
        <v>2030</v>
      </c>
      <c r="Z6249" s="20" t="n">
        <v>2031</v>
      </c>
      <c r="AA6249" s="20" t="n">
        <v>2032</v>
      </c>
    </row>
    <row r="6250" customFormat="false" ht="15" hidden="false" customHeight="false" outlineLevel="0" collapsed="false">
      <c r="A6250" s="5" t="s">
        <v>546</v>
      </c>
      <c r="B6250" s="0" t="s">
        <v>86</v>
      </c>
      <c r="C6250" s="38" t="n">
        <f aca="false">Sens!$C$6239</f>
        <v>59.248</v>
      </c>
      <c r="D6250" s="38" t="n">
        <f aca="false">Sens!$D$6239</f>
        <v>77.67</v>
      </c>
      <c r="E6250" s="38" t="n">
        <f aca="false">Sens!$E$6239</f>
        <v>92.902</v>
      </c>
      <c r="F6250" s="38" t="n">
        <f aca="false">Sens!$F$6239</f>
        <v>45.9734924614306</v>
      </c>
      <c r="G6250" s="38" t="n">
        <f aca="false">Sens!$G$6239</f>
        <v>138.875492461431</v>
      </c>
      <c r="H6250" s="38" t="n">
        <f aca="false">Sens!$H$6239</f>
        <v>101.908400903092</v>
      </c>
      <c r="I6250" s="38" t="n">
        <f aca="false">Sens!$I$6239</f>
        <v>116.574582106835</v>
      </c>
      <c r="J6250" s="38" t="n">
        <f aca="false">Sens!$J$6239</f>
        <v>131.283377121365</v>
      </c>
      <c r="K6250" s="38" t="n">
        <f aca="false">Sens!$K$6239</f>
        <v>142.016948609195</v>
      </c>
      <c r="L6250" s="38" t="n">
        <f aca="false">Sens!$L$6239</f>
        <v>156.895795199921</v>
      </c>
      <c r="M6250" s="38" t="n">
        <f aca="false">Sens!$M$6239</f>
        <v>173.685076796377</v>
      </c>
    </row>
    <row r="6251" customFormat="false" ht="17.15" hidden="false" customHeight="false" outlineLevel="0" collapsed="false">
      <c r="A6251" s="5" t="s">
        <v>778</v>
      </c>
      <c r="B6251" s="0" t="s">
        <v>86</v>
      </c>
      <c r="C6251" s="38" t="n">
        <f aca="false">Sens!$C$6227</f>
        <v>32.067</v>
      </c>
      <c r="D6251" s="38" t="n">
        <f aca="false">Sens!$D$6227</f>
        <v>41.86</v>
      </c>
      <c r="E6251" s="38" t="n">
        <f aca="false">Sens!$E$6227</f>
        <v>26.703</v>
      </c>
      <c r="F6251" s="38" t="n">
        <f aca="false">Sens!$F$6227</f>
        <v>29.2913179650864</v>
      </c>
      <c r="G6251" s="38" t="n">
        <f aca="false">Sens!$G$6227</f>
        <v>55.9943179650864</v>
      </c>
      <c r="H6251" s="38" t="n">
        <f aca="false">Sens!$H$6227</f>
        <v>84.3163410985152</v>
      </c>
      <c r="I6251" s="38" t="n">
        <f aca="false">Sens!$I$6227</f>
        <v>117.040344991004</v>
      </c>
      <c r="J6251" s="38" t="n">
        <f aca="false">Sens!$J$6227</f>
        <v>150.498981474685</v>
      </c>
      <c r="K6251" s="38" t="n">
        <f aca="false">Sens!$K$6227</f>
        <v>184.188121970284</v>
      </c>
      <c r="L6251" s="38" t="n">
        <f aca="false">Sens!$L$6227</f>
        <v>207.768718060808</v>
      </c>
      <c r="M6251" s="38" t="n">
        <f aca="false">Sens!$M$6227</f>
        <v>224.003934647752</v>
      </c>
    </row>
    <row r="6252" customFormat="false" ht="15" hidden="false" customHeight="false" outlineLevel="0" collapsed="false">
      <c r="A6252" s="5" t="s">
        <v>779</v>
      </c>
      <c r="B6252" s="0" t="s">
        <v>86</v>
      </c>
      <c r="C6252" s="38" t="n">
        <f aca="false">Q!$D$48</f>
        <v>22.011</v>
      </c>
      <c r="D6252" s="38" t="n">
        <f aca="false">Q!$E$48</f>
        <v>19.467</v>
      </c>
      <c r="E6252" s="38" t="n">
        <f aca="false">Q!$P$48</f>
        <v>10.07</v>
      </c>
      <c r="F6252" s="38" t="n">
        <f aca="false">sbc_r*Sens!$F$6169</f>
        <v>10.8507035798037</v>
      </c>
      <c r="G6252" s="38" t="n">
        <f aca="false">Sens!$E$6252+Sens!$F$6252</f>
        <v>20.9207035798037</v>
      </c>
      <c r="H6252" s="38" t="n">
        <f aca="false">sbc_r*Sens!$H$6169</f>
        <v>23.46224366345</v>
      </c>
      <c r="I6252" s="38" t="n">
        <f aca="false">sbc_r*Sens!$I$6169</f>
        <v>26.6125957111676</v>
      </c>
      <c r="J6252" s="38" t="n">
        <f aca="false">sbc_r*Sens!$J$6169</f>
        <v>29.6280801413323</v>
      </c>
      <c r="K6252" s="38" t="n">
        <f aca="false">sbc_r*Sens!$K$6169</f>
        <v>32.2712258901105</v>
      </c>
      <c r="L6252" s="38" t="n">
        <f aca="false">sbc_r*Sens!$L$6169</f>
        <v>34.7390505016737</v>
      </c>
      <c r="M6252" s="38" t="n">
        <f aca="false">sbc_r*Sens!$M$6169</f>
        <v>37.0405146906692</v>
      </c>
    </row>
    <row r="6253" customFormat="false" ht="17.15" hidden="false" customHeight="false" outlineLevel="0" collapsed="false">
      <c r="A6253" s="5" t="s">
        <v>780</v>
      </c>
      <c r="B6253" s="0" t="s">
        <v>86</v>
      </c>
      <c r="C6253" s="38" t="n">
        <f aca="false">Q!$D$44-Sens!$C$6250-Sens!$C$6251-Sens!$C$6252</f>
        <v>2.551</v>
      </c>
      <c r="D6253" s="38" t="n">
        <f aca="false">Q!$E$44-Sens!$D$6250-Sens!$D$6251-Sens!$D$6252</f>
        <v>0.51700000000001</v>
      </c>
      <c r="E6253" s="38" t="n">
        <f aca="false">Q!$P$44-Sens!$E$6250-Sens!$E$6251-Sens!$E$6252</f>
        <v>-58.256</v>
      </c>
      <c r="F6253" s="38" t="n">
        <f aca="false">oth_r*Sens!$F$6169</f>
        <v>5.22265251035878</v>
      </c>
      <c r="G6253" s="38" t="n">
        <f aca="false">Sens!$E$6253+Sens!$F$6253</f>
        <v>-53.0333474896412</v>
      </c>
      <c r="H6253" s="38" t="n">
        <f aca="false">oth_r*Sens!$H$6169</f>
        <v>11.2928295263397</v>
      </c>
      <c r="I6253" s="38" t="n">
        <f aca="false">oth_r*Sens!$I$6169</f>
        <v>12.8091546115766</v>
      </c>
      <c r="J6253" s="38" t="n">
        <f aca="false">oth_r*Sens!$J$6169</f>
        <v>14.2605653162668</v>
      </c>
      <c r="K6253" s="38" t="n">
        <f aca="false">oth_r*Sens!$K$6169</f>
        <v>15.5327622460396</v>
      </c>
      <c r="L6253" s="38" t="n">
        <f aca="false">oth_r*Sens!$L$6169</f>
        <v>16.720573737517</v>
      </c>
      <c r="M6253" s="38" t="n">
        <f aca="false">oth_r*Sens!$M$6169</f>
        <v>17.8283127551536</v>
      </c>
      <c r="P6253" s="8" t="s">
        <v>781</v>
      </c>
    </row>
    <row r="6254" customFormat="false" ht="15" hidden="false" customHeight="false" outlineLevel="0" collapsed="false">
      <c r="A6254" s="3" t="s">
        <v>552</v>
      </c>
      <c r="B6254" s="8" t="s">
        <v>86</v>
      </c>
      <c r="C6254" s="38" t="n">
        <f aca="false">Q!$D$44</f>
        <v>115.877</v>
      </c>
      <c r="D6254" s="38" t="n">
        <f aca="false">Q!$E$44</f>
        <v>139.514</v>
      </c>
      <c r="E6254" s="38" t="n">
        <f aca="false">Q!$P$44</f>
        <v>71.419</v>
      </c>
      <c r="F6254" s="38" t="n">
        <f aca="false">Sens!$F$6250+Sens!$F$6251+Sens!$F$6252+Sens!$F$6253</f>
        <v>91.3381665166794</v>
      </c>
      <c r="G6254" s="38" t="n">
        <f aca="false">Sens!$E$6254+Sens!$F$6254</f>
        <v>162.757166516679</v>
      </c>
      <c r="H6254" s="38" t="n">
        <f aca="false">Sens!$H$6250+Sens!$H$6251+Sens!$H$6252+Sens!$H$6253</f>
        <v>220.979815191397</v>
      </c>
      <c r="I6254" s="38" t="n">
        <f aca="false">Sens!$I$6250+Sens!$I$6251+Sens!$I$6252+Sens!$I$6253</f>
        <v>273.036677420583</v>
      </c>
      <c r="J6254" s="38" t="n">
        <f aca="false">Sens!$J$6250+Sens!$J$6251+Sens!$J$6252+Sens!$J$6253</f>
        <v>325.671004053649</v>
      </c>
      <c r="K6254" s="38" t="n">
        <f aca="false">Sens!$K$6250+Sens!$K$6251+Sens!$K$6252+Sens!$K$6253</f>
        <v>374.009058715629</v>
      </c>
      <c r="L6254" s="38" t="n">
        <f aca="false">Sens!$L$6250+Sens!$L$6251+Sens!$L$6252+Sens!$L$6253</f>
        <v>416.124137499919</v>
      </c>
      <c r="M6254" s="38" t="n">
        <f aca="false">Sens!$M$6250+Sens!$M$6251+Sens!$M$6252+Sens!$M$6253</f>
        <v>452.557838889952</v>
      </c>
    </row>
    <row r="6255" customFormat="false" ht="17.15" hidden="false" customHeight="false" outlineLevel="0" collapsed="false">
      <c r="A6255" s="5" t="s">
        <v>782</v>
      </c>
      <c r="B6255" s="0" t="s">
        <v>86</v>
      </c>
      <c r="C6255" s="38" t="n">
        <f aca="false">Sens!$C$6138</f>
        <v>25.2781053077374</v>
      </c>
      <c r="D6255" s="38" t="n">
        <f aca="false">Sens!$D$6138</f>
        <v>69.5686316310026</v>
      </c>
      <c r="E6255" s="38" t="n">
        <f aca="false">Sens!$E$6138</f>
        <v>64.1899206485108</v>
      </c>
      <c r="F6255" s="38" t="n">
        <f aca="false">Sens!$F$6138</f>
        <v>96.2481299895</v>
      </c>
      <c r="G6255" s="38" t="n">
        <f aca="false">Sens!$G$6138</f>
        <v>160.438050638011</v>
      </c>
      <c r="H6255" s="38" t="n">
        <f aca="false">Sens!$H$6138</f>
        <v>198.57136494475</v>
      </c>
      <c r="I6255" s="38" t="n">
        <f aca="false">Sens!$I$6138</f>
        <v>204.6464699105</v>
      </c>
      <c r="J6255" s="38" t="n">
        <f aca="false">Sens!$J$6138</f>
        <v>209.8832381105</v>
      </c>
      <c r="K6255" s="38" t="n">
        <f aca="false">Sens!$K$6138</f>
        <v>155.238385275201</v>
      </c>
      <c r="L6255" s="38" t="n">
        <f aca="false">Sens!$L$6138</f>
        <v>132.014141639902</v>
      </c>
      <c r="M6255" s="38" t="n">
        <f aca="false">Sens!$M$6138</f>
        <v>132.230981659852</v>
      </c>
    </row>
    <row r="6256" customFormat="false" ht="17.15" hidden="false" customHeight="false" outlineLevel="0" collapsed="false">
      <c r="A6256" s="5" t="s">
        <v>783</v>
      </c>
      <c r="B6256" s="0" t="s">
        <v>86</v>
      </c>
      <c r="C6256" s="38" t="n">
        <f aca="false">cx_awso*Sens!$C$6167</f>
        <v>21.0469989286053</v>
      </c>
      <c r="D6256" s="38" t="n">
        <f aca="false">cx_awso*Sens!$D$6167</f>
        <v>24.0042459822698</v>
      </c>
      <c r="E6256" s="38" t="n">
        <f aca="false">cx_awso*Sens!$E$6167</f>
        <v>14.261729404886</v>
      </c>
      <c r="F6256" s="38" t="n">
        <f aca="false">cx_awso*Sens!$F$6167</f>
        <v>14.3538599588493</v>
      </c>
      <c r="G6256" s="38" t="n">
        <f aca="false">Sens!$E$6256+Sens!$F$6256</f>
        <v>28.6155893637353</v>
      </c>
      <c r="H6256" s="38" t="n">
        <f aca="false">cx_awso*Sens!$H$6167</f>
        <v>32.2034154158406</v>
      </c>
      <c r="I6256" s="38" t="n">
        <f aca="false">cx_awso*Sens!$I$6167</f>
        <v>35.7539519042915</v>
      </c>
      <c r="J6256" s="38" t="n">
        <f aca="false">cx_awso*Sens!$J$6167</f>
        <v>39.1551076091815</v>
      </c>
      <c r="K6256" s="38" t="n">
        <f aca="false">cx_awso*Sens!$K$6167</f>
        <v>42.287516217916</v>
      </c>
      <c r="L6256" s="38" t="n">
        <f aca="false">cx_awso*Sens!$L$6167</f>
        <v>45.6705175153492</v>
      </c>
      <c r="M6256" s="38" t="n">
        <f aca="false">cx_awso*Sens!$M$6167</f>
        <v>49.3241589165772</v>
      </c>
    </row>
    <row r="6257" customFormat="false" ht="17.15" hidden="false" customHeight="false" outlineLevel="0" collapsed="false">
      <c r="A6257" s="5" t="s">
        <v>784</v>
      </c>
      <c r="B6257" s="0" t="s">
        <v>86</v>
      </c>
      <c r="C6257" s="38" t="n">
        <f aca="false">Q!$D$46-Sens!$C$6255-Sens!$C$6256</f>
        <v>31.3328957636573</v>
      </c>
      <c r="D6257" s="38" t="n">
        <f aca="false">Q!$E$46-Sens!$D$6255-Sens!$D$6256</f>
        <v>34.7471223867276</v>
      </c>
      <c r="E6257" s="38" t="n">
        <f aca="false">Q!$P$46-Sens!$E$6255-Sens!$E$6256</f>
        <v>17.8583499466032</v>
      </c>
      <c r="F6257" s="38" t="n">
        <f aca="false">cx_rt*Sens!$F$6101</f>
        <v>20.6195895799373</v>
      </c>
      <c r="G6257" s="38" t="n">
        <f aca="false">Sens!$E$6257+Sens!$F$6257</f>
        <v>38.4779395265405</v>
      </c>
      <c r="H6257" s="38" t="n">
        <f aca="false">cx_rt*Sens!$H$6101</f>
        <v>42.5978994743075</v>
      </c>
      <c r="I6257" s="38" t="n">
        <f aca="false">cx_rt*Sens!$I$6101</f>
        <v>46.5813904136335</v>
      </c>
      <c r="J6257" s="38" t="n">
        <f aca="false">cx_rt*Sens!$J$6101</f>
        <v>50.2781676586844</v>
      </c>
      <c r="K6257" s="38" t="n">
        <f aca="false">cx_rt*Sens!$K$6101</f>
        <v>53.5312440191755</v>
      </c>
      <c r="L6257" s="38" t="n">
        <f aca="false">cx_rt*Sens!$L$6101</f>
        <v>57.0116717051447</v>
      </c>
      <c r="M6257" s="38" t="n">
        <f aca="false">cx_rt*Sens!$M$6101</f>
        <v>60.7365554669226</v>
      </c>
    </row>
    <row r="6258" customFormat="false" ht="15" hidden="false" customHeight="false" outlineLevel="0" collapsed="false">
      <c r="A6258" s="3" t="s">
        <v>785</v>
      </c>
      <c r="B6258" s="8" t="s">
        <v>86</v>
      </c>
      <c r="C6258" s="38" t="n">
        <f aca="false">Q!$D$46</f>
        <v>77.658</v>
      </c>
      <c r="D6258" s="38" t="n">
        <f aca="false">Q!$E$46</f>
        <v>128.32</v>
      </c>
      <c r="E6258" s="38" t="n">
        <f aca="false">Q!$P$46</f>
        <v>96.31</v>
      </c>
      <c r="F6258" s="38" t="n">
        <f aca="false">Sens!$F$6255+Sens!$F$6256+Sens!$F$6257</f>
        <v>131.221579528287</v>
      </c>
      <c r="G6258" s="38" t="n">
        <f aca="false">Sens!$E$6258+Sens!$F$6258</f>
        <v>227.531579528287</v>
      </c>
      <c r="H6258" s="38" t="n">
        <f aca="false">Sens!$H$6255+Sens!$H$6256+Sens!$H$6257</f>
        <v>273.372679834898</v>
      </c>
      <c r="I6258" s="38" t="n">
        <f aca="false">Sens!$I$6255+Sens!$I$6256+Sens!$I$6257</f>
        <v>286.981812228425</v>
      </c>
      <c r="J6258" s="38" t="n">
        <f aca="false">Sens!$J$6255+Sens!$J$6256+Sens!$J$6257</f>
        <v>299.316513378366</v>
      </c>
      <c r="K6258" s="38" t="n">
        <f aca="false">Sens!$K$6255+Sens!$K$6256+Sens!$K$6257</f>
        <v>251.057145512292</v>
      </c>
      <c r="L6258" s="38" t="n">
        <f aca="false">Sens!$L$6255+Sens!$L$6256+Sens!$L$6257</f>
        <v>234.696330860396</v>
      </c>
      <c r="M6258" s="38" t="n">
        <f aca="false">Sens!$M$6255+Sens!$M$6256+Sens!$M$6257</f>
        <v>242.291696043352</v>
      </c>
    </row>
    <row r="6259" customFormat="false" ht="17.15" hidden="false" customHeight="false" outlineLevel="0" collapsed="false">
      <c r="A6259" s="5" t="s">
        <v>560</v>
      </c>
      <c r="B6259" s="0" t="s">
        <v>86</v>
      </c>
      <c r="C6259" s="38" t="n">
        <f aca="false">Q!$D$50</f>
        <v>2.043</v>
      </c>
      <c r="D6259" s="38" t="n">
        <f aca="false">Q!$E$50</f>
        <v>1.557</v>
      </c>
      <c r="E6259" s="38" t="n">
        <f aca="false">lease_pr/2</f>
        <v>0.8</v>
      </c>
      <c r="F6259" s="38" t="n">
        <f aca="false">lease_pr/2</f>
        <v>0.8</v>
      </c>
      <c r="G6259" s="38" t="n">
        <f aca="false">Sens!$E$6259+Sens!$F$6259</f>
        <v>1.6</v>
      </c>
      <c r="H6259" s="38" t="n">
        <f aca="false">lease_pr</f>
        <v>1.6</v>
      </c>
      <c r="I6259" s="38" t="n">
        <f aca="false">lease_pr</f>
        <v>1.6</v>
      </c>
      <c r="J6259" s="38" t="n">
        <f aca="false">lease_pr</f>
        <v>1.6</v>
      </c>
      <c r="K6259" s="38" t="n">
        <f aca="false">lease_pr</f>
        <v>1.6</v>
      </c>
      <c r="L6259" s="38" t="n">
        <f aca="false">lease_pr</f>
        <v>1.6</v>
      </c>
      <c r="M6259" s="38" t="n">
        <f aca="false">lease_pr</f>
        <v>1.6</v>
      </c>
      <c r="P6259" s="8" t="s">
        <v>786</v>
      </c>
    </row>
    <row r="6260" customFormat="false" ht="15" hidden="false" customHeight="false" outlineLevel="0" collapsed="false">
      <c r="A6260" s="47" t="s">
        <v>787</v>
      </c>
      <c r="B6260" s="14" t="s">
        <v>86</v>
      </c>
      <c r="C6260" s="48" t="n">
        <f aca="false">Sens!$C$6254-Sens!$C$6258-Sens!$C$6259</f>
        <v>36.176</v>
      </c>
      <c r="D6260" s="48" t="n">
        <f aca="false">Sens!$D$6254-Sens!$D$6258-Sens!$D$6259</f>
        <v>9.63700000000002</v>
      </c>
      <c r="E6260" s="48" t="n">
        <f aca="false">Sens!$E$6254-Sens!$E$6258-Sens!$E$6259</f>
        <v>-25.691</v>
      </c>
      <c r="F6260" s="48" t="n">
        <f aca="false">Sens!$F$6254-Sens!$F$6258-Sens!$F$6259</f>
        <v>-40.6834130116072</v>
      </c>
      <c r="G6260" s="48" t="n">
        <f aca="false">Sens!$G$6254-Sens!$G$6258-Sens!$G$6259</f>
        <v>-66.3744130116072</v>
      </c>
      <c r="H6260" s="48" t="n">
        <f aca="false">Sens!$H$6254-Sens!$H$6258-Sens!$H$6259</f>
        <v>-53.9928646435014</v>
      </c>
      <c r="I6260" s="48" t="n">
        <f aca="false">Sens!$I$6254-Sens!$I$6258-Sens!$I$6259</f>
        <v>-15.5451348078424</v>
      </c>
      <c r="J6260" s="48" t="n">
        <f aca="false">Sens!$J$6254-Sens!$J$6258-Sens!$J$6259</f>
        <v>24.754490675283</v>
      </c>
      <c r="K6260" s="48" t="n">
        <f aca="false">Sens!$K$6254-Sens!$K$6258-Sens!$K$6259</f>
        <v>121.351913203336</v>
      </c>
      <c r="L6260" s="48" t="n">
        <f aca="false">Sens!$L$6254-Sens!$L$6258-Sens!$L$6259</f>
        <v>179.827806639524</v>
      </c>
      <c r="M6260" s="48" t="n">
        <f aca="false">Sens!$M$6254-Sens!$M$6258-Sens!$M$6259</f>
        <v>208.6661428466</v>
      </c>
      <c r="N6260" s="14"/>
      <c r="O6260" s="14"/>
    </row>
    <row r="6261" customFormat="false" ht="17.15" hidden="false" customHeight="false" outlineLevel="0" collapsed="false">
      <c r="A6261" s="5" t="s">
        <v>788</v>
      </c>
      <c r="B6261" s="0" t="s">
        <v>86</v>
      </c>
      <c r="C6261" s="38" t="n">
        <f aca="false">dps*Sens!$C$6240</f>
        <v>0</v>
      </c>
      <c r="D6261" s="38" t="n">
        <f aca="false">dps*Sens!$D$6240</f>
        <v>0</v>
      </c>
      <c r="E6261" s="38" t="n">
        <f aca="false">dps*Sens!$E$6240</f>
        <v>0</v>
      </c>
      <c r="F6261" s="38" t="n">
        <f aca="false">0</f>
        <v>0</v>
      </c>
      <c r="G6261" s="38" t="n">
        <f aca="false">dps*Sens!$G$6240</f>
        <v>0</v>
      </c>
      <c r="H6261" s="38" t="n">
        <f aca="false">dps*Sens!$H$6240</f>
        <v>0</v>
      </c>
      <c r="I6261" s="38" t="n">
        <f aca="false">dps*Sens!$I$6240</f>
        <v>0</v>
      </c>
      <c r="J6261" s="38" t="n">
        <f aca="false">dps*Sens!$J$6240</f>
        <v>0</v>
      </c>
      <c r="K6261" s="38" t="n">
        <f aca="false">dps*Sens!$K$6240</f>
        <v>0</v>
      </c>
      <c r="L6261" s="38" t="n">
        <f aca="false">dps*Sens!$L$6240</f>
        <v>0</v>
      </c>
      <c r="M6261" s="38" t="n">
        <f aca="false">dps*Sens!$M$6240</f>
        <v>0</v>
      </c>
      <c r="P6261" s="8" t="s">
        <v>789</v>
      </c>
    </row>
    <row r="6262" customFormat="false" ht="17.15" hidden="false" customHeight="false" outlineLevel="0" collapsed="false">
      <c r="A6262" s="5" t="s">
        <v>790</v>
      </c>
      <c r="B6262" s="0" t="s">
        <v>86</v>
      </c>
      <c r="C6262" s="38" t="n">
        <f aca="false">0</f>
        <v>0</v>
      </c>
      <c r="D6262" s="38" t="n">
        <f aca="false">0</f>
        <v>0</v>
      </c>
      <c r="E6262" s="38" t="n">
        <f aca="false">0</f>
        <v>0</v>
      </c>
      <c r="F6262" s="38" t="n">
        <f aca="false">0</f>
        <v>0</v>
      </c>
      <c r="G6262" s="38" t="n">
        <f aca="false">0</f>
        <v>0</v>
      </c>
      <c r="H6262" s="38" t="n">
        <f aca="false">0</f>
        <v>0</v>
      </c>
      <c r="I6262" s="38" t="n">
        <f aca="false">0</f>
        <v>0</v>
      </c>
      <c r="J6262" s="38" t="n">
        <f aca="false">0</f>
        <v>0</v>
      </c>
      <c r="K6262" s="38" t="n">
        <f aca="false">0</f>
        <v>0</v>
      </c>
      <c r="L6262" s="38" t="n">
        <f aca="false">0</f>
        <v>0</v>
      </c>
      <c r="M6262" s="38" t="n">
        <f aca="false">0</f>
        <v>0</v>
      </c>
      <c r="P6262" s="8" t="s">
        <v>791</v>
      </c>
    </row>
    <row r="6263" customFormat="false" ht="15" hidden="false" customHeight="false" outlineLevel="0" collapsed="false">
      <c r="A6263" s="3" t="s">
        <v>792</v>
      </c>
      <c r="B6263" s="8" t="s">
        <v>86</v>
      </c>
      <c r="C6263" s="38" t="n">
        <f aca="false">Sens!$C$6260-Sens!$C$6261</f>
        <v>36.176</v>
      </c>
      <c r="D6263" s="38" t="n">
        <f aca="false">Sens!$D$6260-Sens!$D$6261</f>
        <v>9.63700000000002</v>
      </c>
      <c r="E6263" s="38" t="n">
        <f aca="false">Sens!$E$6260-Sens!$E$6261</f>
        <v>-25.691</v>
      </c>
      <c r="F6263" s="38" t="n">
        <f aca="false">Sens!$F$6260-Sens!$F$6261</f>
        <v>-40.6834130116072</v>
      </c>
      <c r="G6263" s="38" t="n">
        <f aca="false">Sens!$G$6260-Sens!$G$6261</f>
        <v>-66.3744130116072</v>
      </c>
      <c r="H6263" s="38" t="n">
        <f aca="false">Sens!$H$6260-Sens!$H$6261</f>
        <v>-53.9928646435014</v>
      </c>
      <c r="I6263" s="38" t="n">
        <f aca="false">Sens!$I$6260-Sens!$I$6261</f>
        <v>-15.5451348078424</v>
      </c>
      <c r="J6263" s="38" t="n">
        <f aca="false">Sens!$J$6260-Sens!$J$6261</f>
        <v>24.754490675283</v>
      </c>
      <c r="K6263" s="38" t="n">
        <f aca="false">Sens!$K$6260-Sens!$K$6261</f>
        <v>121.351913203336</v>
      </c>
      <c r="L6263" s="38" t="n">
        <f aca="false">Sens!$L$6260-Sens!$L$6261</f>
        <v>179.827806639524</v>
      </c>
      <c r="M6263" s="38" t="n">
        <f aca="false">Sens!$M$6260-Sens!$M$6261</f>
        <v>208.6661428466</v>
      </c>
    </row>
    <row r="6264" customFormat="false" ht="17.15" hidden="false" customHeight="false" outlineLevel="0" collapsed="false">
      <c r="A6264" s="5" t="s">
        <v>793</v>
      </c>
      <c r="B6264" s="0" t="s">
        <v>86</v>
      </c>
      <c r="E6264" s="38" t="n">
        <f aca="false">Q!$P$53</f>
        <v>39.767</v>
      </c>
      <c r="F6264" s="38" t="n">
        <f aca="false">inv_2h26</f>
        <v>21.3</v>
      </c>
      <c r="G6264" s="38" t="n">
        <f aca="false">Sens!$E$6264+Sens!$F$6264</f>
        <v>61.067</v>
      </c>
      <c r="H6264" s="39" t="n">
        <v>0</v>
      </c>
      <c r="I6264" s="39" t="n">
        <v>0</v>
      </c>
      <c r="J6264" s="39" t="n">
        <v>0</v>
      </c>
      <c r="K6264" s="39" t="n">
        <v>0</v>
      </c>
      <c r="L6264" s="39" t="n">
        <v>0</v>
      </c>
      <c r="M6264" s="39" t="n">
        <v>0</v>
      </c>
    </row>
    <row r="6265" customFormat="false" ht="17.15" hidden="false" customHeight="false" outlineLevel="0" collapsed="false">
      <c r="A6265" s="5" t="s">
        <v>794</v>
      </c>
      <c r="B6265" s="0" t="s">
        <v>86</v>
      </c>
      <c r="F6265" s="38" t="n">
        <f aca="false">iss_2h26</f>
        <v>29.249999</v>
      </c>
      <c r="G6265" s="38" t="n">
        <f aca="false">Sens!$F$6265</f>
        <v>29.249999</v>
      </c>
      <c r="H6265" s="39" t="n">
        <v>0</v>
      </c>
      <c r="I6265" s="39" t="n">
        <v>0</v>
      </c>
      <c r="J6265" s="39" t="n">
        <v>0</v>
      </c>
      <c r="K6265" s="39" t="n">
        <v>0</v>
      </c>
      <c r="L6265" s="39" t="n">
        <v>0</v>
      </c>
      <c r="M6265" s="39" t="n">
        <v>0</v>
      </c>
    </row>
    <row r="6266" customFormat="false" ht="17.15" hidden="false" customHeight="false" outlineLevel="0" collapsed="false">
      <c r="A6266" s="5" t="s">
        <v>795</v>
      </c>
      <c r="B6266" s="0" t="s">
        <v>86</v>
      </c>
      <c r="F6266" s="38" t="n">
        <f aca="false">cash_q2</f>
        <v>122.988</v>
      </c>
      <c r="G6266" s="38" t="n">
        <f aca="false">cash_q2</f>
        <v>122.988</v>
      </c>
      <c r="H6266" s="38" t="n">
        <f aca="false">Sens!$G$6269</f>
        <v>90.2545859883928</v>
      </c>
      <c r="I6266" s="38" t="n">
        <f aca="false">Sens!$H$6269</f>
        <v>50</v>
      </c>
      <c r="J6266" s="38" t="n">
        <f aca="false">Sens!$I$6269</f>
        <v>50</v>
      </c>
      <c r="K6266" s="38" t="n">
        <f aca="false">Sens!$J$6269</f>
        <v>74.7544906752831</v>
      </c>
      <c r="L6266" s="38" t="n">
        <f aca="false">Sens!$K$6269</f>
        <v>196.106403878619</v>
      </c>
      <c r="M6266" s="38" t="n">
        <f aca="false">Sens!$L$6269</f>
        <v>375.934210518143</v>
      </c>
    </row>
    <row r="6267" customFormat="false" ht="15" hidden="false" customHeight="false" outlineLevel="0" collapsed="false">
      <c r="A6267" s="5" t="s">
        <v>796</v>
      </c>
      <c r="B6267" s="0" t="s">
        <v>86</v>
      </c>
      <c r="F6267" s="38" t="n">
        <f aca="false">Sens!$F$6266+Sens!$F$6263-Sens!$F$6262-Sens!$F$6264+Sens!$F$6265</f>
        <v>90.2545859883928</v>
      </c>
      <c r="H6267" s="38" t="n">
        <f aca="false">Sens!$H$6266+Sens!$H$6263-Sens!$H$6262-Sens!$H$6264+Sens!$H$6265</f>
        <v>36.2617213448915</v>
      </c>
      <c r="I6267" s="38" t="n">
        <f aca="false">Sens!$I$6266+Sens!$I$6263-Sens!$I$6262-Sens!$I$6264+Sens!$I$6265</f>
        <v>34.4548651921577</v>
      </c>
      <c r="J6267" s="38" t="n">
        <f aca="false">Sens!$J$6266+Sens!$J$6263-Sens!$J$6262-Sens!$J$6264+Sens!$J$6265</f>
        <v>74.7544906752831</v>
      </c>
      <c r="K6267" s="38" t="n">
        <f aca="false">Sens!$K$6266+Sens!$K$6263-Sens!$K$6262-Sens!$K$6264+Sens!$K$6265</f>
        <v>196.106403878619</v>
      </c>
      <c r="L6267" s="38" t="n">
        <f aca="false">Sens!$L$6266+Sens!$L$6263-Sens!$L$6262-Sens!$L$6264+Sens!$L$6265</f>
        <v>375.934210518143</v>
      </c>
      <c r="M6267" s="38" t="n">
        <f aca="false">Sens!$M$6266+Sens!$M$6263-Sens!$M$6262-Sens!$M$6264+Sens!$M$6265</f>
        <v>584.600353364743</v>
      </c>
    </row>
    <row r="6268" customFormat="false" ht="17.15" hidden="false" customHeight="false" outlineLevel="0" collapsed="false">
      <c r="A6268" s="5" t="s">
        <v>797</v>
      </c>
      <c r="B6268" s="0" t="s">
        <v>86</v>
      </c>
      <c r="F6268" s="38" t="n">
        <f aca="false">MAX(0,min_cash-Sens!$F$6267)</f>
        <v>0</v>
      </c>
      <c r="G6268" s="38" t="n">
        <f aca="false">Sens!$F$6268</f>
        <v>0</v>
      </c>
      <c r="H6268" s="38" t="n">
        <f aca="false">MAX(0,min_cash-Sens!$H$6267)</f>
        <v>13.7382786551085</v>
      </c>
      <c r="I6268" s="38" t="n">
        <f aca="false">MAX(0,min_cash-Sens!$I$6267)</f>
        <v>15.5451348078424</v>
      </c>
      <c r="J6268" s="38" t="n">
        <f aca="false">MAX(0,min_cash-Sens!$J$6267)</f>
        <v>0</v>
      </c>
      <c r="K6268" s="38" t="n">
        <f aca="false">MAX(0,min_cash-Sens!$K$6267)</f>
        <v>0</v>
      </c>
      <c r="L6268" s="38" t="n">
        <f aca="false">MAX(0,min_cash-Sens!$L$6267)</f>
        <v>0</v>
      </c>
      <c r="M6268" s="38" t="n">
        <f aca="false">MAX(0,min_cash-Sens!$M$6267)</f>
        <v>0</v>
      </c>
      <c r="P6268" s="5" t="s">
        <v>798</v>
      </c>
    </row>
    <row r="6269" customFormat="false" ht="15" hidden="false" customHeight="false" outlineLevel="0" collapsed="false">
      <c r="A6269" s="5" t="s">
        <v>799</v>
      </c>
      <c r="B6269" s="0" t="s">
        <v>86</v>
      </c>
      <c r="D6269" s="38" t="n">
        <f aca="false">Q!$E$61</f>
        <v>123.029</v>
      </c>
      <c r="E6269" s="38" t="n">
        <f aca="false">Q!$M$61</f>
        <v>122.988</v>
      </c>
      <c r="F6269" s="38" t="n">
        <f aca="false">Sens!$F$6267+Sens!$F$6268</f>
        <v>90.2545859883928</v>
      </c>
      <c r="G6269" s="38" t="n">
        <f aca="false">Sens!$F$6269</f>
        <v>90.2545859883928</v>
      </c>
      <c r="H6269" s="38" t="n">
        <f aca="false">Sens!$H$6267+Sens!$H$6268</f>
        <v>50</v>
      </c>
      <c r="I6269" s="38" t="n">
        <f aca="false">Sens!$I$6267+Sens!$I$6268</f>
        <v>50</v>
      </c>
      <c r="J6269" s="38" t="n">
        <f aca="false">Sens!$J$6267+Sens!$J$6268</f>
        <v>74.7544906752831</v>
      </c>
      <c r="K6269" s="38" t="n">
        <f aca="false">Sens!$K$6267+Sens!$K$6268</f>
        <v>196.106403878619</v>
      </c>
      <c r="L6269" s="38" t="n">
        <f aca="false">Sens!$L$6267+Sens!$L$6268</f>
        <v>375.934210518143</v>
      </c>
      <c r="M6269" s="38" t="n">
        <f aca="false">Sens!$M$6267+Sens!$M$6268</f>
        <v>584.600353364743</v>
      </c>
    </row>
    <row r="6270" customFormat="false" ht="15" hidden="false" customHeight="false" outlineLevel="0" collapsed="false">
      <c r="A6270" s="5" t="s">
        <v>800</v>
      </c>
      <c r="B6270" s="0" t="s">
        <v>86</v>
      </c>
      <c r="D6270" s="38" t="n">
        <f aca="false">Q!$E$62</f>
        <v>68.836</v>
      </c>
      <c r="E6270" s="38" t="n">
        <f aca="false">Q!$M$62</f>
        <v>132.995</v>
      </c>
      <c r="F6270" s="38" t="n">
        <f aca="false">debt_q2+Sens!$F$6265+Sens!$F$6268</f>
        <v>162.244999</v>
      </c>
      <c r="G6270" s="38" t="n">
        <f aca="false">Sens!$F$6270</f>
        <v>162.244999</v>
      </c>
      <c r="H6270" s="38" t="n">
        <f aca="false">Sens!$G$6270+Sens!$H$6268</f>
        <v>175.983277655109</v>
      </c>
      <c r="I6270" s="38" t="n">
        <f aca="false">Sens!$H$6270+Sens!$I$6268</f>
        <v>191.528412462951</v>
      </c>
      <c r="J6270" s="38" t="n">
        <f aca="false">Sens!$I$6270+Sens!$J$6268</f>
        <v>191.528412462951</v>
      </c>
      <c r="K6270" s="38" t="n">
        <f aca="false">Sens!$J$6270+Sens!$K$6268</f>
        <v>191.528412462951</v>
      </c>
      <c r="L6270" s="38" t="n">
        <f aca="false">Sens!$K$6270+Sens!$L$6268</f>
        <v>191.528412462951</v>
      </c>
      <c r="M6270" s="38" t="n">
        <f aca="false">Sens!$L$6270+Sens!$M$6268</f>
        <v>191.528412462951</v>
      </c>
    </row>
    <row r="6271" customFormat="false" ht="15" hidden="false" customHeight="false" outlineLevel="0" collapsed="false">
      <c r="A6271" s="5" t="s">
        <v>801</v>
      </c>
      <c r="B6271" s="0" t="s">
        <v>86</v>
      </c>
      <c r="D6271" s="38" t="n">
        <f aca="false">Sens!$D$6270-Sens!$D$6269</f>
        <v>-54.193</v>
      </c>
      <c r="E6271" s="38" t="n">
        <f aca="false">Sens!$E$6270-Sens!$E$6269</f>
        <v>10.007</v>
      </c>
      <c r="F6271" s="38" t="n">
        <f aca="false">Sens!$F$6270-Sens!$F$6269</f>
        <v>71.9904130116072</v>
      </c>
      <c r="G6271" s="38" t="n">
        <f aca="false">Sens!$G$6270-Sens!$G$6269</f>
        <v>71.9904130116072</v>
      </c>
      <c r="H6271" s="38" t="n">
        <f aca="false">Sens!$H$6270-Sens!$H$6269</f>
        <v>125.983277655109</v>
      </c>
      <c r="I6271" s="38" t="n">
        <f aca="false">Sens!$I$6270-Sens!$I$6269</f>
        <v>141.528412462951</v>
      </c>
      <c r="J6271" s="38" t="n">
        <f aca="false">Sens!$J$6270-Sens!$J$6269</f>
        <v>116.773921787668</v>
      </c>
      <c r="K6271" s="38" t="n">
        <f aca="false">Sens!$K$6270-Sens!$K$6269</f>
        <v>-4.57799141566841</v>
      </c>
      <c r="L6271" s="38" t="n">
        <f aca="false">Sens!$L$6270-Sens!$L$6269</f>
        <v>-184.405798055192</v>
      </c>
      <c r="M6271" s="38" t="n">
        <f aca="false">Sens!$M$6270-Sens!$M$6269</f>
        <v>-393.071940901792</v>
      </c>
    </row>
    <row r="6272" customFormat="false" ht="17.15" hidden="false" customHeight="false" outlineLevel="0" collapsed="false">
      <c r="A6272" s="5" t="s">
        <v>802</v>
      </c>
      <c r="B6272" s="0" t="s">
        <v>86</v>
      </c>
      <c r="F6272" s="38" t="n">
        <f aca="false">debt_q2*kd_book*0.5+iss_2h26*kd_new*iss_t</f>
        <v>3.24888962733561</v>
      </c>
      <c r="H6272" s="38" t="n">
        <f aca="false">debt_q2*kd_book+(Sens!$G$6270-debt_q2)*kd_new</f>
        <v>7.42354172302123</v>
      </c>
      <c r="I6272" s="38" t="n">
        <f aca="false">debt_q2*kd_book+(Sens!$H$6270-debt_q2)*kd_new</f>
        <v>8.2931747618896</v>
      </c>
      <c r="J6272" s="38" t="n">
        <f aca="false">debt_q2*kd_book+(Sens!$I$6270-debt_q2)*kd_new</f>
        <v>9.27718179522602</v>
      </c>
      <c r="K6272" s="38" t="n">
        <f aca="false">debt_q2*kd_book+(Sens!$J$6270-debt_q2)*kd_new</f>
        <v>9.27718179522602</v>
      </c>
      <c r="L6272" s="38" t="n">
        <f aca="false">debt_q2*kd_book+(Sens!$K$6270-debt_q2)*kd_new</f>
        <v>9.27718179522602</v>
      </c>
      <c r="M6272" s="38" t="n">
        <f aca="false">debt_q2*kd_book+(Sens!$L$6270-debt_q2)*kd_new</f>
        <v>9.27718179522602</v>
      </c>
    </row>
    <row r="6273" customFormat="false" ht="17.15" hidden="false" customHeight="false" outlineLevel="0" collapsed="false">
      <c r="A6273" s="5" t="s">
        <v>803</v>
      </c>
      <c r="B6273" s="0" t="s">
        <v>86</v>
      </c>
      <c r="F6273" s="38" t="n">
        <f aca="false">cash_q2*y_cash*0.5</f>
        <v>2.59</v>
      </c>
      <c r="H6273" s="38" t="n">
        <f aca="false">Sens!$G$6269*y_cash</f>
        <v>3.80133635330174</v>
      </c>
      <c r="I6273" s="38" t="n">
        <f aca="false">Sens!$H$6269*y_cash</f>
        <v>2.10589651022864</v>
      </c>
      <c r="J6273" s="38" t="n">
        <f aca="false">Sens!$I$6269*y_cash</f>
        <v>2.10589651022864</v>
      </c>
      <c r="K6273" s="38" t="n">
        <f aca="false">Sens!$J$6269*y_cash</f>
        <v>3.14850442073996</v>
      </c>
      <c r="L6273" s="38" t="n">
        <f aca="false">Sens!$K$6269*y_cash</f>
        <v>8.25959583122945</v>
      </c>
      <c r="M6273" s="38" t="n">
        <f aca="false">Sens!$L$6269*y_cash</f>
        <v>15.8335708401143</v>
      </c>
    </row>
    <row r="6274" customFormat="false" ht="17.15" hidden="false" customHeight="false" outlineLevel="0" collapsed="false">
      <c r="A6274" s="47" t="s">
        <v>804</v>
      </c>
      <c r="B6274" s="14" t="s">
        <v>86</v>
      </c>
      <c r="C6274" s="14"/>
      <c r="D6274" s="14"/>
      <c r="E6274" s="14"/>
      <c r="F6274" s="14"/>
      <c r="G6274" s="48" t="n">
        <f aca="false">SUM(Sens!$G$6263:$K$6263)</f>
        <v>10.1939914156684</v>
      </c>
      <c r="H6274" s="14"/>
      <c r="I6274" s="14"/>
      <c r="J6274" s="14"/>
      <c r="K6274" s="14"/>
      <c r="L6274" s="14"/>
      <c r="M6274" s="14"/>
      <c r="N6274" s="14"/>
      <c r="O6274" s="14"/>
    </row>
    <row r="6275" customFormat="false" ht="17.15" hidden="false" customHeight="false" outlineLevel="0" collapsed="false">
      <c r="A6275" s="0" t="s">
        <v>770</v>
      </c>
      <c r="B6275" s="0" t="s">
        <v>86</v>
      </c>
      <c r="G6275" s="38" t="n">
        <f aca="false">SUM(Sens!$G$6268:$K$6268)</f>
        <v>29.2834134629509</v>
      </c>
    </row>
    <row r="6276" customFormat="false" ht="17.15" hidden="false" customHeight="false" outlineLevel="0" collapsed="false">
      <c r="A6276" s="24" t="s">
        <v>807</v>
      </c>
      <c r="B6276" s="25" t="s">
        <v>86</v>
      </c>
      <c r="C6276" s="25"/>
      <c r="D6276" s="25"/>
      <c r="E6276" s="25"/>
      <c r="F6276" s="25"/>
      <c r="G6276" s="41" t="n">
        <f aca="false">Sens!$G$6274-(Sens!$G$6263+Sens!$H$6263+Sens!$I$6263+Sens!$J$6263+Sens!$K$6263)</f>
        <v>0</v>
      </c>
      <c r="H6276" s="25"/>
      <c r="I6276" s="25"/>
      <c r="J6276" s="25"/>
      <c r="K6276" s="25"/>
      <c r="L6276" s="25"/>
      <c r="M6276" s="25"/>
      <c r="N6276" s="25"/>
      <c r="O6276" s="25"/>
    </row>
    <row r="6279" customFormat="false" ht="19.4" hidden="false" customHeight="false" outlineLevel="0" collapsed="false">
      <c r="A6279" s="31" t="s">
        <v>1256</v>
      </c>
    </row>
    <row r="6280" customFormat="false" ht="17.15" hidden="false" customHeight="false" outlineLevel="0" collapsed="false">
      <c r="A6280" s="6" t="s">
        <v>16</v>
      </c>
      <c r="B6280" s="6" t="s">
        <v>17</v>
      </c>
      <c r="C6280" s="20" t="s">
        <v>494</v>
      </c>
      <c r="D6280" s="20" t="s">
        <v>495</v>
      </c>
      <c r="E6280" s="20" t="s">
        <v>577</v>
      </c>
      <c r="F6280" s="20" t="s">
        <v>578</v>
      </c>
      <c r="G6280" s="20" t="s">
        <v>579</v>
      </c>
      <c r="H6280" s="20" t="s">
        <v>580</v>
      </c>
      <c r="I6280" s="20" t="s">
        <v>581</v>
      </c>
      <c r="J6280" s="20" t="s">
        <v>582</v>
      </c>
      <c r="K6280" s="20" t="s">
        <v>583</v>
      </c>
      <c r="L6280" s="20" t="s">
        <v>584</v>
      </c>
      <c r="M6280" s="20" t="s">
        <v>585</v>
      </c>
      <c r="N6280" s="20" t="s">
        <v>586</v>
      </c>
      <c r="O6280" s="20" t="s">
        <v>587</v>
      </c>
      <c r="P6280" s="6" t="s">
        <v>23</v>
      </c>
      <c r="R6280" s="20" t="n">
        <v>2023</v>
      </c>
      <c r="S6280" s="20" t="n">
        <v>2024</v>
      </c>
      <c r="T6280" s="20" t="n">
        <v>2025</v>
      </c>
      <c r="U6280" s="20" t="n">
        <v>2026</v>
      </c>
      <c r="V6280" s="20" t="n">
        <v>2027</v>
      </c>
      <c r="W6280" s="20" t="n">
        <v>2028</v>
      </c>
      <c r="X6280" s="20" t="n">
        <v>2029</v>
      </c>
      <c r="Y6280" s="20" t="n">
        <v>2030</v>
      </c>
      <c r="Z6280" s="20" t="n">
        <v>2031</v>
      </c>
      <c r="AA6280" s="20" t="n">
        <v>2032</v>
      </c>
    </row>
    <row r="6281" customFormat="false" ht="17.15" hidden="false" customHeight="false" outlineLevel="0" collapsed="false">
      <c r="A6281" s="1" t="s">
        <v>909</v>
      </c>
    </row>
    <row r="6282" customFormat="false" ht="17.15" hidden="false" customHeight="false" outlineLevel="0" collapsed="false">
      <c r="A6282" s="0" t="s">
        <v>910</v>
      </c>
      <c r="B6282" s="0" t="s">
        <v>86</v>
      </c>
      <c r="H6282" s="38" t="n">
        <f aca="false">Sens!$H$6216*(1-tax)</f>
        <v>117.433243423729</v>
      </c>
      <c r="I6282" s="38" t="n">
        <f aca="false">Sens!$I$6216*(1-tax)</f>
        <v>142.829109667048</v>
      </c>
      <c r="J6282" s="38" t="n">
        <f aca="false">Sens!$J$6216*(1-tax)</f>
        <v>166.999275189185</v>
      </c>
      <c r="K6282" s="38" t="n">
        <f aca="false">Sens!$K$6216*(1-tax)</f>
        <v>184.249088119477</v>
      </c>
      <c r="L6282" s="38" t="n">
        <f aca="false">Sens!$L$6216*(1-tax)</f>
        <v>199.752821326616</v>
      </c>
      <c r="M6282" s="38" t="n">
        <f aca="false">Sens!$M$6216*(1-tax)</f>
        <v>212.59629763103</v>
      </c>
    </row>
    <row r="6283" customFormat="false" ht="15" hidden="false" customHeight="false" outlineLevel="0" collapsed="false">
      <c r="A6283" s="5" t="s">
        <v>911</v>
      </c>
      <c r="B6283" s="0" t="s">
        <v>86</v>
      </c>
      <c r="H6283" s="38" t="n">
        <f aca="false">Sens!$H$6227</f>
        <v>84.3163410985152</v>
      </c>
      <c r="I6283" s="38" t="n">
        <f aca="false">Sens!$I$6227</f>
        <v>117.040344991004</v>
      </c>
      <c r="J6283" s="38" t="n">
        <f aca="false">Sens!$J$6227</f>
        <v>150.498981474685</v>
      </c>
      <c r="K6283" s="38" t="n">
        <f aca="false">Sens!$K$6227</f>
        <v>184.188121970284</v>
      </c>
      <c r="L6283" s="38" t="n">
        <f aca="false">Sens!$L$6227</f>
        <v>207.768718060808</v>
      </c>
      <c r="M6283" s="38" t="n">
        <f aca="false">Sens!$M$6227</f>
        <v>224.003934647752</v>
      </c>
    </row>
    <row r="6284" customFormat="false" ht="15" hidden="false" customHeight="false" outlineLevel="0" collapsed="false">
      <c r="A6284" s="5" t="s">
        <v>912</v>
      </c>
      <c r="B6284" s="0" t="s">
        <v>86</v>
      </c>
      <c r="H6284" s="38" t="n">
        <f aca="false">Sens!$H$6258</f>
        <v>273.372679834898</v>
      </c>
      <c r="I6284" s="38" t="n">
        <f aca="false">Sens!$I$6258</f>
        <v>286.981812228425</v>
      </c>
      <c r="J6284" s="38" t="n">
        <f aca="false">Sens!$J$6258</f>
        <v>299.316513378366</v>
      </c>
      <c r="K6284" s="38" t="n">
        <f aca="false">Sens!$K$6258</f>
        <v>251.057145512292</v>
      </c>
      <c r="L6284" s="38" t="n">
        <f aca="false">Sens!$L$6258</f>
        <v>234.696330860396</v>
      </c>
      <c r="M6284" s="38" t="n">
        <f aca="false">Sens!$M$6258</f>
        <v>242.291696043352</v>
      </c>
    </row>
    <row r="6285" customFormat="false" ht="15" hidden="false" customHeight="false" outlineLevel="0" collapsed="false">
      <c r="A6285" s="5" t="s">
        <v>913</v>
      </c>
      <c r="B6285" s="0" t="s">
        <v>86</v>
      </c>
      <c r="H6285" s="38" t="n">
        <f aca="false">Sens!$H$6259</f>
        <v>1.6</v>
      </c>
      <c r="I6285" s="38" t="n">
        <f aca="false">Sens!$I$6259</f>
        <v>1.6</v>
      </c>
      <c r="J6285" s="38" t="n">
        <f aca="false">Sens!$J$6259</f>
        <v>1.6</v>
      </c>
      <c r="K6285" s="38" t="n">
        <f aca="false">Sens!$K$6259</f>
        <v>1.6</v>
      </c>
      <c r="L6285" s="38" t="n">
        <f aca="false">Sens!$L$6259</f>
        <v>1.6</v>
      </c>
      <c r="M6285" s="38" t="n">
        <f aca="false">Sens!$M$6259</f>
        <v>1.6</v>
      </c>
    </row>
    <row r="6286" customFormat="false" ht="15" hidden="false" customHeight="false" outlineLevel="0" collapsed="false">
      <c r="A6286" s="5" t="s">
        <v>914</v>
      </c>
      <c r="B6286" s="0" t="s">
        <v>86</v>
      </c>
      <c r="H6286" s="38" t="n">
        <f aca="false">Sens!$H$6253</f>
        <v>11.2928295263397</v>
      </c>
      <c r="I6286" s="38" t="n">
        <f aca="false">Sens!$I$6253</f>
        <v>12.8091546115766</v>
      </c>
      <c r="J6286" s="38" t="n">
        <f aca="false">Sens!$J$6253</f>
        <v>14.2605653162668</v>
      </c>
      <c r="K6286" s="38" t="n">
        <f aca="false">Sens!$K$6253</f>
        <v>15.5327622460396</v>
      </c>
      <c r="L6286" s="38" t="n">
        <f aca="false">Sens!$L$6253</f>
        <v>16.720573737517</v>
      </c>
      <c r="M6286" s="38" t="n">
        <f aca="false">Sens!$M$6253</f>
        <v>17.8283127551536</v>
      </c>
    </row>
    <row r="6287" customFormat="false" ht="17.15" hidden="false" customHeight="false" outlineLevel="0" collapsed="false">
      <c r="A6287" s="1" t="s">
        <v>915</v>
      </c>
      <c r="B6287" s="8" t="s">
        <v>86</v>
      </c>
      <c r="H6287" s="38" t="n">
        <f aca="false">Sens!$H$6282+Sens!$H$6283-Sens!$H$6284-Sens!$H$6285+Sens!$H$6286</f>
        <v>-61.930265786314</v>
      </c>
      <c r="I6287" s="38" t="n">
        <f aca="false">Sens!$I$6282+Sens!$I$6283-Sens!$I$6284-Sens!$I$6285+Sens!$I$6286</f>
        <v>-15.9032029587969</v>
      </c>
      <c r="J6287" s="38" t="n">
        <f aca="false">Sens!$J$6282+Sens!$J$6283-Sens!$J$6284-Sens!$J$6285+Sens!$J$6286</f>
        <v>30.8423086017711</v>
      </c>
      <c r="K6287" s="38" t="n">
        <f aca="false">Sens!$K$6282+Sens!$K$6283-Sens!$K$6284-Sens!$K$6285+Sens!$K$6286</f>
        <v>131.312826823508</v>
      </c>
      <c r="L6287" s="38" t="n">
        <f aca="false">Sens!$L$6282+Sens!$L$6283-Sens!$L$6284-Sens!$L$6285+Sens!$L$6286</f>
        <v>187.945782264545</v>
      </c>
      <c r="M6287" s="38" t="n">
        <f aca="false">Sens!$M$6282+Sens!$M$6283-Sens!$M$6284-Sens!$M$6285+Sens!$M$6286</f>
        <v>210.536848990583</v>
      </c>
    </row>
    <row r="6288" customFormat="false" ht="15" hidden="false" customHeight="false" outlineLevel="0" collapsed="false">
      <c r="A6288" s="5" t="s">
        <v>916</v>
      </c>
      <c r="B6288" s="0" t="s">
        <v>57</v>
      </c>
      <c r="H6288" s="40" t="n">
        <f aca="false">1/(1+wacc)^(2027-2026-0.5)</f>
        <v>0.947751320380232</v>
      </c>
      <c r="I6288" s="40" t="n">
        <f aca="false">1/(1+wacc)^(2028-2026-0.5)</f>
        <v>0.851301099754987</v>
      </c>
      <c r="J6288" s="40" t="n">
        <f aca="false">1/(1+wacc)^(2029-2026-0.5)</f>
        <v>0.764666370660713</v>
      </c>
      <c r="K6288" s="40" t="n">
        <f aca="false">1/(1+wacc)^(2030-2026-0.5)</f>
        <v>0.686848235703811</v>
      </c>
      <c r="L6288" s="40" t="n">
        <f aca="false">1/(1+wacc)^(2031-2026-0.5)</f>
        <v>0.616949452715975</v>
      </c>
      <c r="M6288" s="40" t="n">
        <f aca="false">1/(1+wacc)^(2032-2026-0.5)</f>
        <v>0.554164089562688</v>
      </c>
    </row>
    <row r="6289" customFormat="false" ht="15" hidden="false" customHeight="false" outlineLevel="0" collapsed="false">
      <c r="A6289" s="5" t="s">
        <v>917</v>
      </c>
      <c r="B6289" s="0" t="s">
        <v>86</v>
      </c>
      <c r="H6289" s="38" t="n">
        <f aca="false">Sens!$H$6287*Sens!$H$6288</f>
        <v>-58.6944911704778</v>
      </c>
      <c r="I6289" s="38" t="n">
        <f aca="false">Sens!$I$6287*Sens!$I$6288</f>
        <v>-13.5384141684505</v>
      </c>
      <c r="J6289" s="38" t="n">
        <f aca="false">Sens!$J$6287*Sens!$J$6288</f>
        <v>23.584076181314</v>
      </c>
      <c r="K6289" s="38" t="n">
        <f aca="false">Sens!$K$6287*Sens!$K$6288</f>
        <v>90.1919834290062</v>
      </c>
      <c r="L6289" s="38" t="n">
        <f aca="false">Sens!$L$6287*Sens!$L$6288</f>
        <v>115.953047508387</v>
      </c>
      <c r="M6289" s="38" t="n">
        <f aca="false">Sens!$M$6287*Sens!$M$6288</f>
        <v>116.671961240264</v>
      </c>
    </row>
    <row r="6290" customFormat="false" ht="15" hidden="false" customHeight="false" outlineLevel="0" collapsed="false">
      <c r="A6290" s="5" t="s">
        <v>918</v>
      </c>
      <c r="B6290" s="0" t="s">
        <v>86</v>
      </c>
      <c r="C6290" s="38" t="n">
        <f aca="false">SUM(Sens!$H$6289:$M$6289)</f>
        <v>274.168163020043</v>
      </c>
    </row>
    <row r="6291" customFormat="false" ht="17.15" hidden="false" customHeight="false" outlineLevel="0" collapsed="false">
      <c r="A6291" s="5" t="s">
        <v>919</v>
      </c>
      <c r="B6291" s="0" t="s">
        <v>86</v>
      </c>
      <c r="C6291" s="38" t="n">
        <f aca="false">Sens!$M$6282*(1+tg)*(1-tg/ronic)/(wacc-tg)</f>
        <v>1932.73757828664</v>
      </c>
    </row>
    <row r="6292" customFormat="false" ht="15" hidden="false" customHeight="false" outlineLevel="0" collapsed="false">
      <c r="A6292" s="5" t="s">
        <v>920</v>
      </c>
      <c r="B6292" s="0" t="s">
        <v>86</v>
      </c>
      <c r="C6292" s="38" t="n">
        <f aca="false">Sens!$C$6291/(1+wacc)^6</f>
        <v>1015.09261565031</v>
      </c>
    </row>
    <row r="6293" customFormat="false" ht="17.15" hidden="false" customHeight="false" outlineLevel="0" collapsed="false">
      <c r="A6293" s="5" t="s">
        <v>921</v>
      </c>
      <c r="B6293" s="0" t="s">
        <v>86</v>
      </c>
      <c r="C6293" s="38" t="n">
        <f aca="false">Sens!$C$6290+Sens!$C$6292</f>
        <v>1289.26077867035</v>
      </c>
    </row>
    <row r="6294" customFormat="false" ht="17.15" hidden="false" customHeight="false" outlineLevel="0" collapsed="false">
      <c r="A6294" s="5" t="s">
        <v>922</v>
      </c>
      <c r="B6294" s="0" t="s">
        <v>52</v>
      </c>
      <c r="C6294" s="13" t="n">
        <f aca="false">Sens!$C$6292/Sens!$C$6293</f>
        <v>0.787344680334726</v>
      </c>
    </row>
    <row r="6295" customFormat="false" ht="17.15" hidden="false" customHeight="false" outlineLevel="0" collapsed="false">
      <c r="A6295" s="5" t="s">
        <v>923</v>
      </c>
      <c r="B6295" s="0" t="s">
        <v>86</v>
      </c>
      <c r="C6295" s="38" t="n">
        <f aca="false">Sens!$G$6271+fin_debt</f>
        <v>96.5114130116072</v>
      </c>
    </row>
    <row r="6296" customFormat="false" ht="17.15" hidden="false" customHeight="false" outlineLevel="0" collapsed="false">
      <c r="A6296" s="5" t="s">
        <v>924</v>
      </c>
      <c r="B6296" s="0" t="s">
        <v>86</v>
      </c>
      <c r="C6296" s="38" t="n">
        <f aca="false">(ant_val*ant_sh+oai_val*oai_sh)*(1-liq_disc)</f>
        <v>178.944</v>
      </c>
    </row>
    <row r="6297" customFormat="false" ht="15" hidden="false" customHeight="false" outlineLevel="0" collapsed="false">
      <c r="A6297" s="5" t="s">
        <v>925</v>
      </c>
      <c r="B6297" s="0" t="s">
        <v>86</v>
      </c>
      <c r="C6297" s="38" t="n">
        <f aca="false">Sens!$C$6293-Sens!$C$6295+Sens!$C$6296</f>
        <v>1371.69336565874</v>
      </c>
    </row>
    <row r="6298" customFormat="false" ht="17.15" hidden="false" customHeight="false" outlineLevel="0" collapsed="false">
      <c r="A6298" s="5" t="s">
        <v>926</v>
      </c>
      <c r="B6298" s="0" t="s">
        <v>27</v>
      </c>
      <c r="C6298" s="30" t="n">
        <f aca="false">Sens!$C$6297/sh_out</f>
        <v>127.169797361614</v>
      </c>
    </row>
    <row r="6299" customFormat="false" ht="17.15" hidden="false" customHeight="false" outlineLevel="0" collapsed="false">
      <c r="A6299" s="1" t="s">
        <v>927</v>
      </c>
      <c r="B6299" s="8" t="s">
        <v>27</v>
      </c>
      <c r="C6299" s="30" t="n">
        <f aca="false">Sens!$C$6298*(1+ke)^tp_yf-dps*tp_yf</f>
        <v>139.297834242404</v>
      </c>
    </row>
    <row r="6300" customFormat="false" ht="17.15" hidden="false" customHeight="false" outlineLevel="0" collapsed="false">
      <c r="A6300" s="3" t="s">
        <v>928</v>
      </c>
    </row>
    <row r="6301" customFormat="false" ht="17.15" hidden="false" customHeight="false" outlineLevel="0" collapsed="false">
      <c r="A6301" s="5" t="s">
        <v>929</v>
      </c>
      <c r="B6301" s="0" t="s">
        <v>86</v>
      </c>
      <c r="C6301" s="38" t="n">
        <f aca="false">(1-tp_yf)*(Sens!$H$6228+Sens!$H$6252*Sens!$H$6094/Sens!$H$6169)+tp_yf*(Sens!$I$6228+Sens!$I$6252*Sens!$I$6094/Sens!$I$6169)</f>
        <v>59.634664536349</v>
      </c>
    </row>
    <row r="6302" customFormat="false" ht="15" hidden="false" customHeight="false" outlineLevel="0" collapsed="false">
      <c r="A6302" s="5" t="s">
        <v>930</v>
      </c>
      <c r="B6302" s="0" t="s">
        <v>57</v>
      </c>
      <c r="C6302" s="30" t="n">
        <f aca="false">m_ads*m_x_lo</f>
        <v>7.288</v>
      </c>
    </row>
    <row r="6303" customFormat="false" ht="17.15" hidden="false" customHeight="false" outlineLevel="0" collapsed="false">
      <c r="A6303" s="5" t="s">
        <v>931</v>
      </c>
      <c r="B6303" s="0" t="s">
        <v>86</v>
      </c>
      <c r="C6303" s="38" t="n">
        <f aca="false">Sens!$C$6301*Sens!$C$6302</f>
        <v>434.617435140911</v>
      </c>
    </row>
    <row r="6304" customFormat="false" ht="17.15" hidden="false" customHeight="false" outlineLevel="0" collapsed="false">
      <c r="A6304" s="5" t="s">
        <v>932</v>
      </c>
      <c r="B6304" s="0" t="s">
        <v>86</v>
      </c>
      <c r="C6304" s="38" t="n">
        <f aca="false">(1-tp_yf)*(Sens!$H$6229+Sens!$H$6252*(Sens!$H$6101-Sens!$H$6094)/Sens!$H$6169+IF(internal_ai_reading=2,1,0)*(1-ext_sh)*Sens!$H$6131)+tp_yf*(Sens!$I$6229+Sens!$I$6252*(Sens!$I$6101-Sens!$I$6094)/Sens!$I$6169+IF(internal_ai_reading=2,1,0)*(1-ext_sh)*Sens!$I$6131)</f>
        <v>51.7770728324773</v>
      </c>
    </row>
    <row r="6305" customFormat="false" ht="17.15" hidden="false" customHeight="false" outlineLevel="0" collapsed="false">
      <c r="A6305" s="5" t="s">
        <v>933</v>
      </c>
      <c r="B6305" s="0" t="s">
        <v>57</v>
      </c>
      <c r="C6305" s="30" t="n">
        <f aca="false">m_retail*m_x_lo</f>
        <v>14.176</v>
      </c>
    </row>
    <row r="6306" customFormat="false" ht="17.15" hidden="false" customHeight="false" outlineLevel="0" collapsed="false">
      <c r="A6306" s="5" t="s">
        <v>934</v>
      </c>
      <c r="B6306" s="0" t="s">
        <v>86</v>
      </c>
      <c r="C6306" s="38" t="n">
        <f aca="false">Sens!$C$6304*Sens!$C$6305</f>
        <v>733.991784473198</v>
      </c>
    </row>
    <row r="6307" customFormat="false" ht="17.15" hidden="false" customHeight="false" outlineLevel="0" collapsed="false">
      <c r="A6307" s="0" t="s">
        <v>935</v>
      </c>
      <c r="B6307" s="0" t="s">
        <v>86</v>
      </c>
      <c r="C6307" s="38" t="n">
        <f aca="false">(1-tp_yf)*(Sens!$H$6230+Sens!$H$6252*Sens!$H$6167/Sens!$H$6169)+tp_yf*(Sens!$I$6230+Sens!$I$6252*Sens!$I$6167/Sens!$I$6169)</f>
        <v>97.3363031479074</v>
      </c>
    </row>
    <row r="6308" customFormat="false" ht="17.15" hidden="false" customHeight="false" outlineLevel="0" collapsed="false">
      <c r="A6308" s="0" t="s">
        <v>936</v>
      </c>
      <c r="B6308" s="0" t="s">
        <v>57</v>
      </c>
      <c r="C6308" s="30" t="n">
        <f aca="false">m_cloud*m_x_lo</f>
        <v>11.056</v>
      </c>
    </row>
    <row r="6309" customFormat="false" ht="17.15" hidden="false" customHeight="false" outlineLevel="0" collapsed="false">
      <c r="A6309" s="0" t="s">
        <v>937</v>
      </c>
      <c r="B6309" s="0" t="s">
        <v>86</v>
      </c>
      <c r="C6309" s="38" t="n">
        <f aca="false">Sens!$C$6307*Sens!$C$6308</f>
        <v>1076.15016760327</v>
      </c>
    </row>
    <row r="6310" customFormat="false" ht="17.15" hidden="false" customHeight="false" outlineLevel="0" collapsed="false">
      <c r="A6310" s="0" t="s">
        <v>938</v>
      </c>
      <c r="B6310" s="0" t="s">
        <v>86</v>
      </c>
      <c r="H6310" s="38" t="n">
        <f aca="false">Sens!$H$6148-tax*Sens!$H$6149-ext_sh*Sens!$H$6138</f>
        <v>-114.686944664267</v>
      </c>
      <c r="I6310" s="38" t="n">
        <f aca="false">Sens!$I$6148-tax*Sens!$I$6149-ext_sh*Sens!$I$6138</f>
        <v>-88.3950641557111</v>
      </c>
      <c r="J6310" s="38" t="n">
        <f aca="false">Sens!$J$6148-tax*Sens!$J$6149-ext_sh*Sens!$J$6138</f>
        <v>-61.1526151740695</v>
      </c>
      <c r="K6310" s="38" t="n">
        <f aca="false">Sens!$K$6148-tax*Sens!$K$6149-ext_sh*Sens!$K$6138</f>
        <v>10.057774712684</v>
      </c>
      <c r="L6310" s="38" t="n">
        <f aca="false">Sens!$L$6148-tax*Sens!$L$6149-ext_sh*Sens!$L$6138</f>
        <v>46.6587675560356</v>
      </c>
      <c r="M6310" s="38" t="n">
        <f aca="false">Sens!$M$6148-tax*Sens!$M$6149-ext_sh*Sens!$M$6138</f>
        <v>55.3915455321129</v>
      </c>
    </row>
    <row r="6311" customFormat="false" ht="17.15" hidden="false" customHeight="false" outlineLevel="0" collapsed="false">
      <c r="A6311" s="5" t="s">
        <v>939</v>
      </c>
      <c r="B6311" s="0" t="s">
        <v>86</v>
      </c>
      <c r="H6311" s="38" t="n">
        <f aca="false">Sens!$H$6310*Sens!$H$6288</f>
        <v>-108.694703235934</v>
      </c>
      <c r="I6311" s="38" t="n">
        <f aca="false">Sens!$I$6310*Sens!$I$6288</f>
        <v>-75.2508153286695</v>
      </c>
      <c r="J6311" s="38" t="n">
        <f aca="false">Sens!$J$6310*Sens!$J$6288</f>
        <v>-46.761348301567</v>
      </c>
      <c r="K6311" s="38" t="n">
        <f aca="false">Sens!$K$6310*Sens!$K$6288</f>
        <v>6.90816481651338</v>
      </c>
      <c r="L6311" s="38" t="n">
        <f aca="false">Sens!$L$6310*Sens!$L$6288</f>
        <v>28.7861011080981</v>
      </c>
      <c r="M6311" s="38" t="n">
        <f aca="false">Sens!$M$6310*Sens!$M$6288</f>
        <v>30.6960053992735</v>
      </c>
    </row>
    <row r="6312" customFormat="false" ht="17.15" hidden="false" customHeight="false" outlineLevel="0" collapsed="false">
      <c r="A6312" s="5" t="s">
        <v>940</v>
      </c>
      <c r="B6312" s="0" t="s">
        <v>86</v>
      </c>
      <c r="C6312" s="38" t="n">
        <f aca="false">Sens!$M$6149*(1-tax)*(1+tg)*(1-tg/ronic)/(wacc-tg)</f>
        <v>363.621782500497</v>
      </c>
    </row>
    <row r="6313" customFormat="false" ht="17.15" hidden="false" customHeight="false" outlineLevel="0" collapsed="false">
      <c r="A6313" s="0" t="s">
        <v>941</v>
      </c>
      <c r="B6313" s="0" t="s">
        <v>86</v>
      </c>
      <c r="C6313" s="38" t="n">
        <f aca="false">(SUM(Sens!$H$6311:$M$6311)+Sens!$C$6312/(1+wacc)^6)*(1+wacc)^tp_yf</f>
        <v>29.1198269558345</v>
      </c>
    </row>
    <row r="6314" customFormat="false" ht="17.15" hidden="false" customHeight="false" outlineLevel="0" collapsed="false">
      <c r="A6314" s="5" t="s">
        <v>942</v>
      </c>
      <c r="B6314" s="0" t="s">
        <v>86</v>
      </c>
      <c r="C6314" s="38" t="n">
        <f aca="false">(1-tp_yf)*(Sens!$H$6231)+tp_yf*(Sens!$I$6231)</f>
        <v>74.6707041238437</v>
      </c>
    </row>
    <row r="6315" customFormat="false" ht="17.15" hidden="false" customHeight="false" outlineLevel="0" collapsed="false">
      <c r="A6315" s="5" t="s">
        <v>943</v>
      </c>
      <c r="B6315" s="0" t="s">
        <v>86</v>
      </c>
      <c r="C6315" s="38" t="n">
        <f aca="false">Sens!$C$6314*m_ai</f>
        <v>448.024224743062</v>
      </c>
    </row>
    <row r="6316" customFormat="false" ht="17.15" hidden="false" customHeight="false" outlineLevel="0" collapsed="false">
      <c r="A6316" s="0" t="s">
        <v>944</v>
      </c>
      <c r="B6316" s="0" t="s">
        <v>86</v>
      </c>
      <c r="C6316" s="38" t="n">
        <f aca="false">IF(ai_leg=1,Sens!$C$6313,Sens!$C$6315)</f>
        <v>29.1198269558345</v>
      </c>
    </row>
    <row r="6317" customFormat="false" ht="17.15" hidden="false" customHeight="false" outlineLevel="0" collapsed="false">
      <c r="A6317" s="5" t="s">
        <v>945</v>
      </c>
      <c r="B6317" s="0" t="s">
        <v>86</v>
      </c>
      <c r="C6317" s="38" t="n">
        <f aca="false">Sens!$C$6303+Sens!$C$6306+Sens!$C$6309+Sens!$C$6316</f>
        <v>2273.87921417321</v>
      </c>
    </row>
    <row r="6318" customFormat="false" ht="17.15" hidden="false" customHeight="false" outlineLevel="0" collapsed="false">
      <c r="A6318" s="5" t="s">
        <v>946</v>
      </c>
      <c r="B6318" s="0" t="s">
        <v>86</v>
      </c>
      <c r="C6318" s="38" t="n">
        <f aca="false">Sens!$H$6271+fin_debt</f>
        <v>150.504277655109</v>
      </c>
    </row>
    <row r="6319" customFormat="false" ht="15" hidden="false" customHeight="false" outlineLevel="0" collapsed="false">
      <c r="A6319" s="5" t="s">
        <v>947</v>
      </c>
      <c r="B6319" s="0" t="s">
        <v>86</v>
      </c>
      <c r="C6319" s="38" t="n">
        <f aca="false">Sens!$C$6317-Sens!$C$6318+Sens!$C$6296</f>
        <v>2302.3189365181</v>
      </c>
    </row>
    <row r="6320" customFormat="false" ht="15" hidden="false" customHeight="false" outlineLevel="0" collapsed="false">
      <c r="A6320" s="3" t="s">
        <v>948</v>
      </c>
      <c r="B6320" s="8" t="s">
        <v>27</v>
      </c>
      <c r="C6320" s="30" t="n">
        <f aca="false">Sens!$C$6319/sh_val</f>
        <v>208.726509192585</v>
      </c>
    </row>
    <row r="6321" customFormat="false" ht="17.15" hidden="false" customHeight="false" outlineLevel="0" collapsed="false">
      <c r="A6321" s="47" t="s">
        <v>949</v>
      </c>
      <c r="B6321" s="14" t="s">
        <v>27</v>
      </c>
      <c r="C6321" s="44" t="n">
        <f aca="false">w_dcf*Sens!$C$6299+(1-w_dcf)*Sens!$C$6320</f>
        <v>174.012171717495</v>
      </c>
      <c r="D6321" s="14"/>
      <c r="E6321" s="14"/>
      <c r="F6321" s="14"/>
      <c r="G6321" s="14"/>
      <c r="H6321" s="14"/>
      <c r="I6321" s="14"/>
      <c r="J6321" s="14"/>
      <c r="K6321" s="14"/>
      <c r="L6321" s="14"/>
      <c r="M6321" s="14"/>
      <c r="N6321" s="14"/>
      <c r="O6321" s="14"/>
    </row>
    <row r="6322" customFormat="false" ht="17.15" hidden="false" customHeight="false" outlineLevel="0" collapsed="false">
      <c r="A6322" s="5" t="s">
        <v>950</v>
      </c>
      <c r="B6322" s="0" t="s">
        <v>27</v>
      </c>
      <c r="C6322" s="30" t="n">
        <f aca="false">v022_wdcf*Sens!$C$6299+(1-v022_wdcf)*Sens!$C$6320</f>
        <v>177.483605465004</v>
      </c>
    </row>
    <row r="6323" customFormat="false" ht="17.15" hidden="false" customHeight="false" outlineLevel="0" collapsed="false">
      <c r="A6323" s="5" t="s">
        <v>951</v>
      </c>
      <c r="B6323" s="0" t="s">
        <v>27</v>
      </c>
      <c r="C6323" s="30" t="n">
        <f aca="false">(Sens!$C$6319-Sens!$C$6316+Sens!$C$6315)/sh_val</f>
        <v>246.704067926383</v>
      </c>
    </row>
    <row r="6326" customFormat="false" ht="19.4" hidden="false" customHeight="false" outlineLevel="0" collapsed="false">
      <c r="A6326" s="31" t="s">
        <v>1257</v>
      </c>
    </row>
    <row r="6327" customFormat="false" ht="17.15" hidden="false" customHeight="false" outlineLevel="0" collapsed="false">
      <c r="A6327" s="6" t="s">
        <v>16</v>
      </c>
      <c r="B6327" s="6" t="s">
        <v>17</v>
      </c>
      <c r="C6327" s="20" t="s">
        <v>494</v>
      </c>
      <c r="D6327" s="20" t="s">
        <v>495</v>
      </c>
      <c r="E6327" s="20" t="s">
        <v>577</v>
      </c>
      <c r="F6327" s="20" t="s">
        <v>578</v>
      </c>
      <c r="G6327" s="20" t="s">
        <v>579</v>
      </c>
      <c r="H6327" s="20" t="s">
        <v>580</v>
      </c>
      <c r="I6327" s="20" t="s">
        <v>581</v>
      </c>
      <c r="J6327" s="20" t="s">
        <v>582</v>
      </c>
      <c r="K6327" s="20" t="s">
        <v>583</v>
      </c>
      <c r="L6327" s="20" t="s">
        <v>584</v>
      </c>
      <c r="M6327" s="20" t="s">
        <v>585</v>
      </c>
      <c r="N6327" s="20" t="s">
        <v>586</v>
      </c>
      <c r="O6327" s="20" t="s">
        <v>587</v>
      </c>
      <c r="P6327" s="6" t="s">
        <v>23</v>
      </c>
      <c r="R6327" s="20" t="n">
        <v>2023</v>
      </c>
      <c r="S6327" s="20" t="n">
        <v>2024</v>
      </c>
      <c r="T6327" s="20" t="n">
        <v>2025</v>
      </c>
      <c r="U6327" s="20" t="n">
        <v>2026</v>
      </c>
      <c r="V6327" s="20" t="n">
        <v>2027</v>
      </c>
      <c r="W6327" s="20" t="n">
        <v>2028</v>
      </c>
      <c r="X6327" s="20" t="n">
        <v>2029</v>
      </c>
      <c r="Y6327" s="20" t="n">
        <v>2030</v>
      </c>
      <c r="Z6327" s="20" t="n">
        <v>2031</v>
      </c>
      <c r="AA6327" s="20" t="n">
        <v>2032</v>
      </c>
    </row>
    <row r="6328" customFormat="false" ht="17.15" hidden="false" customHeight="false" outlineLevel="0" collapsed="false">
      <c r="A6328" s="1" t="s">
        <v>660</v>
      </c>
    </row>
    <row r="6329" customFormat="false" ht="17.15" hidden="false" customHeight="false" outlineLevel="0" collapsed="false">
      <c r="A6329" s="0" t="s">
        <v>516</v>
      </c>
      <c r="B6329" s="0" t="s">
        <v>86</v>
      </c>
      <c r="C6329" s="38" t="n">
        <f aca="false">Q!$D$10</f>
        <v>247.029</v>
      </c>
      <c r="D6329" s="38" t="n">
        <f aca="false">Q!$E$10</f>
        <v>269.287</v>
      </c>
      <c r="E6329" s="38" t="n">
        <f aca="false">Q!$P$10</f>
        <v>134.686</v>
      </c>
      <c r="F6329" s="38" t="n">
        <f aca="false">Sens!$O$6329*(1+Sens!$F$6330)*Sens!$F$6341</f>
        <v>158.293876822267</v>
      </c>
      <c r="G6329" s="38" t="n">
        <f aca="false">Sens!$E$6329+Sens!$F$6329</f>
        <v>292.979876822267</v>
      </c>
      <c r="H6329" s="38" t="n">
        <f aca="false">Sens!$G$6329*(1+Sens!$H$6330)</f>
        <v>318.184543087396</v>
      </c>
      <c r="I6329" s="38" t="n">
        <f aca="false">Sens!$H$6329*(1+Sens!$I$6330)</f>
        <v>341.736278761793</v>
      </c>
      <c r="J6329" s="38" t="n">
        <f aca="false">Sens!$I$6329*(1+Sens!$J$6330)</f>
        <v>362.927192787048</v>
      </c>
      <c r="K6329" s="38" t="n">
        <f aca="false">Sens!$J$6329*(1+Sens!$K$6330)</f>
        <v>381.0735524264</v>
      </c>
      <c r="L6329" s="38" t="n">
        <f aca="false">Sens!$K$6329*(1+Sens!$L$6330)</f>
        <v>400.12723004772</v>
      </c>
      <c r="M6329" s="38" t="n">
        <f aca="false">Sens!$L$6329*(1+Sens!$M$6330)</f>
        <v>420.133591550106</v>
      </c>
      <c r="N6329" s="38" t="n">
        <f aca="false">Q!$N$10</f>
        <v>118.892</v>
      </c>
      <c r="O6329" s="38" t="n">
        <f aca="false">Q!$O$10</f>
        <v>150.395</v>
      </c>
      <c r="P6329" s="8" t="s">
        <v>661</v>
      </c>
    </row>
    <row r="6330" customFormat="false" ht="17.15" hidden="false" customHeight="false" outlineLevel="0" collapsed="false">
      <c r="A6330" s="0" t="s">
        <v>662</v>
      </c>
      <c r="B6330" s="0" t="s">
        <v>52</v>
      </c>
      <c r="E6330" s="13" t="n">
        <f aca="false">Sens!$E$6329/Sens!$N$6329-1</f>
        <v>0.132843252699929</v>
      </c>
      <c r="F6330" s="13" t="n">
        <f aca="false">Sens!$O$6329/(Q!$F$10+Q!$G$10)-1</f>
        <v>0.0980382135842941</v>
      </c>
      <c r="G6330" s="13" t="n">
        <f aca="false">Sens!$G$6329/Sens!$D$6329-1</f>
        <v>0.0879837378791657</v>
      </c>
      <c r="H6330" s="13" t="n">
        <f aca="false">Sens!$F$6330+(g_os-Sens!$F$6330)*1/4</f>
        <v>0.0860286601882206</v>
      </c>
      <c r="I6330" s="13" t="n">
        <f aca="false">Sens!$F$6330+(g_os-Sens!$F$6330)*2/4</f>
        <v>0.074019106792147</v>
      </c>
      <c r="J6330" s="13" t="n">
        <f aca="false">Sens!$F$6330+(g_os-Sens!$F$6330)*3/4</f>
        <v>0.0620095533960735</v>
      </c>
      <c r="K6330" s="13" t="n">
        <f aca="false">Sens!$F$6330+(g_os-Sens!$F$6330)*4/4</f>
        <v>0.05</v>
      </c>
      <c r="L6330" s="13" t="n">
        <f aca="false">g_os</f>
        <v>0.05</v>
      </c>
      <c r="M6330" s="13" t="n">
        <f aca="false">g_os</f>
        <v>0.05</v>
      </c>
      <c r="P6330" s="8" t="s">
        <v>663</v>
      </c>
    </row>
    <row r="6331" customFormat="false" ht="17.15" hidden="false" customHeight="false" outlineLevel="0" collapsed="false">
      <c r="A6331" s="0" t="s">
        <v>517</v>
      </c>
      <c r="B6331" s="0" t="s">
        <v>86</v>
      </c>
      <c r="C6331" s="38" t="n">
        <f aca="false">Q!$D$11</f>
        <v>21.215</v>
      </c>
      <c r="D6331" s="38" t="n">
        <f aca="false">Q!$E$11</f>
        <v>22.561</v>
      </c>
      <c r="E6331" s="38" t="n">
        <f aca="false">Q!$P$11</f>
        <v>11.579</v>
      </c>
      <c r="F6331" s="38" t="n">
        <f aca="false">Sens!$O$6331*(1+Sens!$F$6332)*Sens!$F$6341</f>
        <v>11.5938724610325</v>
      </c>
      <c r="G6331" s="38" t="n">
        <f aca="false">Sens!$E$6331+Sens!$F$6331</f>
        <v>23.1728724610325</v>
      </c>
      <c r="H6331" s="38" t="n">
        <f aca="false">Sens!$G$6331*(1+Sens!$H$6332)</f>
        <v>24.353392759506</v>
      </c>
      <c r="I6331" s="38" t="n">
        <f aca="false">Sens!$H$6331*(1+Sens!$I$6332)</f>
        <v>25.4240338872015</v>
      </c>
      <c r="J6331" s="38" t="n">
        <f aca="false">Sens!$I$6331*(1+Sens!$J$6332)</f>
        <v>26.3642491017174</v>
      </c>
      <c r="K6331" s="38" t="n">
        <f aca="false">Sens!$J$6331*(1+Sens!$K$6332)</f>
        <v>27.155176574769</v>
      </c>
      <c r="L6331" s="38" t="n">
        <f aca="false">Sens!$K$6331*(1+Sens!$L$6332)</f>
        <v>27.969831872012</v>
      </c>
      <c r="M6331" s="38" t="n">
        <f aca="false">Sens!$L$6331*(1+Sens!$M$6332)</f>
        <v>28.8089268281724</v>
      </c>
      <c r="N6331" s="38" t="n">
        <f aca="false">Q!$N$11</f>
        <v>11.128</v>
      </c>
      <c r="O6331" s="38" t="n">
        <f aca="false">Q!$O$11</f>
        <v>11.433</v>
      </c>
      <c r="P6331" s="8" t="s">
        <v>661</v>
      </c>
    </row>
    <row r="6332" customFormat="false" ht="17.15" hidden="false" customHeight="false" outlineLevel="0" collapsed="false">
      <c r="A6332" s="0" t="s">
        <v>664</v>
      </c>
      <c r="B6332" s="0" t="s">
        <v>52</v>
      </c>
      <c r="E6332" s="13" t="n">
        <f aca="false">Sens!$E$6331/Sens!$N$6331-1</f>
        <v>0.0405283968368082</v>
      </c>
      <c r="F6332" s="13" t="n">
        <f aca="false">Sens!$O$6331/(Q!$F$11+Q!$G$11)-1</f>
        <v>0.0579254187100955</v>
      </c>
      <c r="G6332" s="13" t="n">
        <f aca="false">Sens!$G$6331/Sens!$D$6331-1</f>
        <v>0.0271208040881397</v>
      </c>
      <c r="H6332" s="13" t="n">
        <f aca="false">Sens!$F$6332+(g_ps-Sens!$F$6332)*1/4</f>
        <v>0.0509440640325716</v>
      </c>
      <c r="I6332" s="13" t="n">
        <f aca="false">Sens!$F$6332+(g_ps-Sens!$F$6332)*2/4</f>
        <v>0.0439627093550477</v>
      </c>
      <c r="J6332" s="13" t="n">
        <f aca="false">Sens!$F$6332+(g_ps-Sens!$F$6332)*3/4</f>
        <v>0.0369813546775239</v>
      </c>
      <c r="K6332" s="13" t="n">
        <f aca="false">Sens!$F$6332+(g_ps-Sens!$F$6332)*4/4</f>
        <v>0.03</v>
      </c>
      <c r="L6332" s="13" t="n">
        <f aca="false">g_ps</f>
        <v>0.03</v>
      </c>
      <c r="M6332" s="13" t="n">
        <f aca="false">g_ps</f>
        <v>0.03</v>
      </c>
      <c r="P6332" s="8" t="s">
        <v>665</v>
      </c>
    </row>
    <row r="6333" customFormat="false" ht="17.15" hidden="false" customHeight="false" outlineLevel="0" collapsed="false">
      <c r="A6333" s="0" t="s">
        <v>518</v>
      </c>
      <c r="B6333" s="0" t="s">
        <v>86</v>
      </c>
      <c r="C6333" s="38" t="n">
        <f aca="false">Q!$D$12</f>
        <v>156.146</v>
      </c>
      <c r="D6333" s="38" t="n">
        <f aca="false">Q!$E$12</f>
        <v>172.162</v>
      </c>
      <c r="E6333" s="38" t="n">
        <f aca="false">Q!$P$12</f>
        <v>88.358</v>
      </c>
      <c r="F6333" s="38" t="n">
        <f aca="false">Sens!$O$6333*(1+Sens!$F$6334)*Sens!$F$6341</f>
        <v>102.004388260171</v>
      </c>
      <c r="G6333" s="38" t="n">
        <f aca="false">Sens!$E$6333+Sens!$F$6333</f>
        <v>190.362388260171</v>
      </c>
      <c r="H6333" s="38" t="n">
        <f aca="false">Sens!$G$6333*(1+Sens!$H$6334)</f>
        <v>210.343106588311</v>
      </c>
      <c r="I6333" s="38" t="n">
        <f aca="false">Sens!$H$6333*(1+Sens!$I$6334)</f>
        <v>229.969728494648</v>
      </c>
      <c r="J6333" s="38" t="n">
        <f aca="false">Sens!$I$6333*(1+Sens!$J$6334)</f>
        <v>248.747636972598</v>
      </c>
      <c r="K6333" s="38" t="n">
        <f aca="false">Sens!$J$6333*(1+Sens!$K$6334)</f>
        <v>266.15997156068</v>
      </c>
      <c r="L6333" s="38" t="n">
        <f aca="false">Sens!$K$6333*(1+Sens!$L$6334)</f>
        <v>284.791169569927</v>
      </c>
      <c r="M6333" s="38" t="n">
        <f aca="false">Sens!$L$6333*(1+Sens!$M$6334)</f>
        <v>304.726551439822</v>
      </c>
      <c r="N6333" s="38" t="n">
        <f aca="false">Q!$N$12</f>
        <v>76.86</v>
      </c>
      <c r="O6333" s="38" t="n">
        <f aca="false">Q!$O$12</f>
        <v>95.302</v>
      </c>
      <c r="P6333" s="8" t="s">
        <v>661</v>
      </c>
    </row>
    <row r="6334" customFormat="false" ht="17.15" hidden="false" customHeight="false" outlineLevel="0" collapsed="false">
      <c r="A6334" s="0" t="s">
        <v>666</v>
      </c>
      <c r="B6334" s="0" t="s">
        <v>52</v>
      </c>
      <c r="E6334" s="13" t="n">
        <f aca="false">Sens!$E$6333/Sens!$N$6333-1</f>
        <v>0.1495966692688</v>
      </c>
      <c r="F6334" s="13" t="n">
        <f aca="false">Sens!$O$6333/(Q!$F$12+Q!$G$12)-1</f>
        <v>0.11661530890813</v>
      </c>
      <c r="G6334" s="13" t="n">
        <f aca="false">Sens!$G$6333/Sens!$D$6333-1</f>
        <v>0.105716640490767</v>
      </c>
      <c r="H6334" s="13" t="n">
        <f aca="false">Sens!$F$6334+(g_sp-Sens!$F$6334)*1/4</f>
        <v>0.104961481681098</v>
      </c>
      <c r="I6334" s="13" t="n">
        <f aca="false">Sens!$F$6334+(g_sp-Sens!$F$6334)*2/4</f>
        <v>0.0933076544540651</v>
      </c>
      <c r="J6334" s="13" t="n">
        <f aca="false">Sens!$F$6334+(g_sp-Sens!$F$6334)*3/4</f>
        <v>0.0816538272270325</v>
      </c>
      <c r="K6334" s="13" t="n">
        <f aca="false">Sens!$F$6334+(g_sp-Sens!$F$6334)*4/4</f>
        <v>0.07</v>
      </c>
      <c r="L6334" s="13" t="n">
        <f aca="false">g_sp</f>
        <v>0.07</v>
      </c>
      <c r="M6334" s="13" t="n">
        <f aca="false">g_sp</f>
        <v>0.07</v>
      </c>
      <c r="P6334" s="8" t="s">
        <v>667</v>
      </c>
    </row>
    <row r="6335" customFormat="false" ht="17.15" hidden="false" customHeight="false" outlineLevel="0" collapsed="false">
      <c r="A6335" s="0" t="s">
        <v>519</v>
      </c>
      <c r="B6335" s="0" t="s">
        <v>86</v>
      </c>
      <c r="C6335" s="38" t="n">
        <f aca="false">Q!$D$13</f>
        <v>56.214</v>
      </c>
      <c r="D6335" s="38" t="n">
        <f aca="false">Q!$E$13</f>
        <v>68.635</v>
      </c>
      <c r="E6335" s="38" t="n">
        <f aca="false">Q!$P$13</f>
        <v>37.052</v>
      </c>
      <c r="F6335" s="38" t="n">
        <f aca="false">Sens!$O$6335*(1+Sens!$F$6336)*Sens!$F$6341</f>
        <v>46.1572219944148</v>
      </c>
      <c r="G6335" s="38" t="n">
        <f aca="false">Sens!$E$6335+Sens!$F$6335</f>
        <v>83.2092219944148</v>
      </c>
      <c r="H6335" s="38" t="n">
        <f aca="false">Sens!$G$6335*(1+Sens!$H$6336)</f>
        <v>99.8969223878976</v>
      </c>
      <c r="I6335" s="38" t="n">
        <f aca="false">Sens!$H$6335*(1+Sens!$I$6336)</f>
        <v>116.583111095496</v>
      </c>
      <c r="J6335" s="38" t="n">
        <f aca="false">Sens!$I$6335*(1+Sens!$J$6336)</f>
        <v>132.148941941952</v>
      </c>
      <c r="K6335" s="38" t="n">
        <f aca="false">Sens!$J$6335*(1+Sens!$K$6336)</f>
        <v>145.363836136147</v>
      </c>
      <c r="L6335" s="38" t="n">
        <f aca="false">Sens!$K$6335*(1+Sens!$L$6336)</f>
        <v>159.900219749762</v>
      </c>
      <c r="M6335" s="38" t="n">
        <f aca="false">Sens!$L$6335*(1+Sens!$M$6336)</f>
        <v>175.890241724738</v>
      </c>
      <c r="N6335" s="38" t="n">
        <f aca="false">Q!$N$13</f>
        <v>29.615</v>
      </c>
      <c r="O6335" s="38" t="n">
        <f aca="false">Q!$O$13</f>
        <v>39.02</v>
      </c>
      <c r="P6335" s="8" t="s">
        <v>661</v>
      </c>
    </row>
    <row r="6336" customFormat="false" ht="17.15" hidden="false" customHeight="false" outlineLevel="0" collapsed="false">
      <c r="A6336" s="0" t="s">
        <v>668</v>
      </c>
      <c r="B6336" s="0" t="s">
        <v>52</v>
      </c>
      <c r="E6336" s="13" t="n">
        <f aca="false">Sens!$E$6335/Sens!$N$6335-1</f>
        <v>0.25112274185379</v>
      </c>
      <c r="F6336" s="13" t="n">
        <f aca="false">Sens!$O$6335/(Q!$F$13+Q!$G$13)-1</f>
        <v>0.234068123596572</v>
      </c>
      <c r="G6336" s="13" t="n">
        <f aca="false">Sens!$G$6335/Sens!$D$6335-1</f>
        <v>0.212343876949294</v>
      </c>
      <c r="H6336" s="13" t="n">
        <f aca="false">Sens!$F$6336+(g_ad-Sens!$F$6336)*1/4</f>
        <v>0.200551092697429</v>
      </c>
      <c r="I6336" s="13" t="n">
        <f aca="false">Sens!$F$6336+(g_ad-Sens!$F$6336)*2/4</f>
        <v>0.167034061798286</v>
      </c>
      <c r="J6336" s="13" t="n">
        <f aca="false">Sens!$F$6336+(g_ad-Sens!$F$6336)*3/4</f>
        <v>0.133517030899143</v>
      </c>
      <c r="K6336" s="13" t="n">
        <f aca="false">Sens!$F$6336+(g_ad-Sens!$F$6336)*4/4</f>
        <v>0.1</v>
      </c>
      <c r="L6336" s="13" t="n">
        <f aca="false">g_ad</f>
        <v>0.1</v>
      </c>
      <c r="M6336" s="13" t="n">
        <f aca="false">g_ad</f>
        <v>0.1</v>
      </c>
      <c r="P6336" s="8" t="s">
        <v>669</v>
      </c>
    </row>
    <row r="6337" customFormat="false" ht="17.15" hidden="false" customHeight="false" outlineLevel="0" collapsed="false">
      <c r="A6337" s="0" t="s">
        <v>520</v>
      </c>
      <c r="B6337" s="0" t="s">
        <v>86</v>
      </c>
      <c r="C6337" s="38" t="n">
        <f aca="false">Q!$D$14</f>
        <v>44.374</v>
      </c>
      <c r="D6337" s="38" t="n">
        <f aca="false">Q!$E$14</f>
        <v>49.619</v>
      </c>
      <c r="E6337" s="38" t="n">
        <f aca="false">Q!$P$14</f>
        <v>27.157</v>
      </c>
      <c r="F6337" s="38" t="n">
        <f aca="false">Sens!$O$6337*(1+Sens!$F$6338)*Sens!$F$6341</f>
        <v>27.7764165988154</v>
      </c>
      <c r="G6337" s="38" t="n">
        <f aca="false">Sens!$E$6337+Sens!$F$6337</f>
        <v>54.9334165988154</v>
      </c>
      <c r="H6337" s="38" t="n">
        <f aca="false">Sens!$G$6337*(1+Sens!$H$6338)</f>
        <v>61.1564112561829</v>
      </c>
      <c r="I6337" s="38" t="n">
        <f aca="false">Sens!$H$6337*(1+Sens!$I$6338)</f>
        <v>67.2020282103945</v>
      </c>
      <c r="J6337" s="38" t="n">
        <f aca="false">Sens!$I$6337*(1+Sens!$J$6338)</f>
        <v>72.8757274028885</v>
      </c>
      <c r="K6337" s="38" t="n">
        <f aca="false">Sens!$J$6337*(1+Sens!$K$6338)</f>
        <v>77.9770283210907</v>
      </c>
      <c r="L6337" s="38" t="n">
        <f aca="false">Sens!$K$6337*(1+Sens!$L$6338)</f>
        <v>83.4354203035671</v>
      </c>
      <c r="M6337" s="38" t="n">
        <f aca="false">Sens!$L$6337*(1+Sens!$M$6338)</f>
        <v>89.2758997248168</v>
      </c>
      <c r="N6337" s="38" t="n">
        <f aca="false">Q!$N$14</f>
        <v>23.923</v>
      </c>
      <c r="O6337" s="38" t="n">
        <f aca="false">Q!$O$14</f>
        <v>25.696</v>
      </c>
      <c r="P6337" s="8" t="s">
        <v>661</v>
      </c>
    </row>
    <row r="6338" customFormat="false" ht="17.15" hidden="false" customHeight="false" outlineLevel="0" collapsed="false">
      <c r="A6338" s="0" t="s">
        <v>670</v>
      </c>
      <c r="B6338" s="0" t="s">
        <v>52</v>
      </c>
      <c r="E6338" s="13" t="n">
        <f aca="false">Sens!$E$6337/Sens!$N$6337-1</f>
        <v>0.135183714417088</v>
      </c>
      <c r="F6338" s="13" t="n">
        <f aca="false">Sens!$O$6337/(Q!$F$14+Q!$G$14)-1</f>
        <v>0.127709997366804</v>
      </c>
      <c r="G6338" s="13" t="n">
        <f aca="false">Sens!$G$6337/Sens!$D$6337-1</f>
        <v>0.107104468022641</v>
      </c>
      <c r="H6338" s="13" t="n">
        <f aca="false">Sens!$F$6338+(g_sub-Sens!$F$6338)*1/4</f>
        <v>0.113282498025103</v>
      </c>
      <c r="I6338" s="13" t="n">
        <f aca="false">Sens!$F$6338+(g_sub-Sens!$F$6338)*2/4</f>
        <v>0.0988549986834021</v>
      </c>
      <c r="J6338" s="13" t="n">
        <f aca="false">Sens!$F$6338+(g_sub-Sens!$F$6338)*3/4</f>
        <v>0.084427499341701</v>
      </c>
      <c r="K6338" s="13" t="n">
        <f aca="false">Sens!$F$6338+(g_sub-Sens!$F$6338)*4/4</f>
        <v>0.07</v>
      </c>
      <c r="L6338" s="13" t="n">
        <f aca="false">g_sub</f>
        <v>0.07</v>
      </c>
      <c r="M6338" s="13" t="n">
        <f aca="false">g_sub</f>
        <v>0.07</v>
      </c>
      <c r="P6338" s="8" t="s">
        <v>671</v>
      </c>
    </row>
    <row r="6339" customFormat="false" ht="17.15" hidden="false" customHeight="false" outlineLevel="0" collapsed="false">
      <c r="A6339" s="0" t="s">
        <v>521</v>
      </c>
      <c r="B6339" s="0" t="s">
        <v>86</v>
      </c>
      <c r="C6339" s="38" t="n">
        <f aca="false">Q!$D$15</f>
        <v>5.425</v>
      </c>
      <c r="D6339" s="38" t="n">
        <f aca="false">Q!$E$15</f>
        <v>5.935</v>
      </c>
      <c r="E6339" s="38" t="n">
        <f aca="false">Q!$P$15</f>
        <v>3.474</v>
      </c>
      <c r="F6339" s="38" t="n">
        <f aca="false">Sens!$O$6339*(1+Sens!$F$6340)*Sens!$F$6341</f>
        <v>3.22246550883619</v>
      </c>
      <c r="G6339" s="38" t="n">
        <f aca="false">Sens!$E$6339+Sens!$F$6339</f>
        <v>6.69646550883619</v>
      </c>
      <c r="H6339" s="38" t="n">
        <f aca="false">Sens!$G$6339*(1+Sens!$H$6340)</f>
        <v>7.16251344209196</v>
      </c>
      <c r="I6339" s="38" t="n">
        <f aca="false">Sens!$H$6339*(1+Sens!$I$6340)</f>
        <v>7.61421070299826</v>
      </c>
      <c r="J6339" s="38" t="n">
        <f aca="false">Sens!$I$6339*(1+Sens!$J$6340)</f>
        <v>8.04465753523932</v>
      </c>
      <c r="K6339" s="38" t="n">
        <f aca="false">Sens!$J$6339*(1+Sens!$K$6340)</f>
        <v>8.44689041200128</v>
      </c>
      <c r="L6339" s="38" t="n">
        <f aca="false">Sens!$K$6339*(1+Sens!$L$6340)</f>
        <v>8.86923493260135</v>
      </c>
      <c r="M6339" s="38" t="n">
        <f aca="false">Sens!$L$6339*(1+Sens!$M$6340)</f>
        <v>9.31269667923142</v>
      </c>
      <c r="N6339" s="38" t="n">
        <f aca="false">Q!$N$15</f>
        <v>2.811</v>
      </c>
      <c r="O6339" s="38" t="n">
        <f aca="false">Q!$O$15</f>
        <v>3.124</v>
      </c>
      <c r="P6339" s="8" t="s">
        <v>661</v>
      </c>
    </row>
    <row r="6340" customFormat="false" ht="17.15" hidden="false" customHeight="false" outlineLevel="0" collapsed="false">
      <c r="A6340" s="0" t="s">
        <v>672</v>
      </c>
      <c r="B6340" s="0" t="s">
        <v>52</v>
      </c>
      <c r="E6340" s="13" t="n">
        <f aca="false">Sens!$E$6339/Sens!$N$6339-1</f>
        <v>0.235859124866596</v>
      </c>
      <c r="F6340" s="13" t="n">
        <f aca="false">Sens!$O$6339/(Q!$F$15+Q!$G$15)-1</f>
        <v>0.0761281433000345</v>
      </c>
      <c r="G6340" s="13" t="n">
        <f aca="false">Sens!$G$6339/Sens!$D$6339-1</f>
        <v>0.128300843948811</v>
      </c>
      <c r="H6340" s="13" t="n">
        <f aca="false">Sens!$F$6340+(g_ot-Sens!$F$6340)*1/4</f>
        <v>0.0695961074750259</v>
      </c>
      <c r="I6340" s="13" t="n">
        <f aca="false">Sens!$F$6340+(g_ot-Sens!$F$6340)*2/4</f>
        <v>0.0630640716500172</v>
      </c>
      <c r="J6340" s="13" t="n">
        <f aca="false">Sens!$F$6340+(g_ot-Sens!$F$6340)*3/4</f>
        <v>0.0565320358250086</v>
      </c>
      <c r="K6340" s="13" t="n">
        <f aca="false">Sens!$F$6340+(g_ot-Sens!$F$6340)*4/4</f>
        <v>0.05</v>
      </c>
      <c r="L6340" s="13" t="n">
        <f aca="false">g_ot</f>
        <v>0.05</v>
      </c>
      <c r="M6340" s="13" t="n">
        <f aca="false">g_ot</f>
        <v>0.05</v>
      </c>
      <c r="P6340" s="8" t="s">
        <v>673</v>
      </c>
    </row>
    <row r="6341" customFormat="false" ht="17.15" hidden="false" customHeight="false" outlineLevel="0" collapsed="false">
      <c r="A6341" s="0" t="s">
        <v>674</v>
      </c>
      <c r="B6341" s="0" t="s">
        <v>57</v>
      </c>
      <c r="F6341" s="40" t="n">
        <f aca="false">(g26q3_mid*Q!$O$8/Q!$J$8-Sens!$F$6370-Sens!$F$6374)/(Sens!$O$6329*(1+Sens!$F$6330)+Sens!$O$6331*(1+Sens!$F$6332)+Sens!$O$6333*(1+Sens!$F$6334)+Sens!$O$6335*(1+Sens!$F$6336)+Sens!$O$6337*(1+Sens!$F$6338)+Sens!$O$6339*(1+Sens!$F$6340))</f>
        <v>0.958546670622329</v>
      </c>
      <c r="P6341" s="8" t="s">
        <v>675</v>
      </c>
    </row>
    <row r="6342" customFormat="false" ht="17.15" hidden="false" customHeight="false" outlineLevel="0" collapsed="false">
      <c r="A6342" s="3" t="s">
        <v>676</v>
      </c>
      <c r="B6342" s="8" t="s">
        <v>86</v>
      </c>
      <c r="C6342" s="38" t="n">
        <f aca="false">Sens!$C$6329+Sens!$C$6331+Sens!$C$6333+Sens!$C$6335+Sens!$C$6337+Sens!$C$6339</f>
        <v>530.403</v>
      </c>
      <c r="D6342" s="38" t="n">
        <f aca="false">Sens!$D$6329+Sens!$D$6331+Sens!$D$6333+Sens!$D$6335+Sens!$D$6337+Sens!$D$6339</f>
        <v>588.199</v>
      </c>
      <c r="E6342" s="38" t="n">
        <f aca="false">Sens!$E$6329+Sens!$E$6331+Sens!$E$6333+Sens!$E$6335+Sens!$E$6337+Sens!$E$6339</f>
        <v>302.306</v>
      </c>
      <c r="F6342" s="38" t="n">
        <f aca="false">Sens!$F$6329+Sens!$F$6331+Sens!$F$6333+Sens!$F$6335+Sens!$F$6337+Sens!$F$6339</f>
        <v>349.048241645537</v>
      </c>
      <c r="G6342" s="38" t="n">
        <f aca="false">Sens!$G$6329+Sens!$G$6331+Sens!$G$6333+Sens!$G$6335+Sens!$G$6337+Sens!$G$6339</f>
        <v>651.354241645537</v>
      </c>
      <c r="H6342" s="38" t="n">
        <f aca="false">Sens!$H$6329+Sens!$H$6331+Sens!$H$6333+Sens!$H$6335+Sens!$H$6337+Sens!$H$6339</f>
        <v>721.096889521386</v>
      </c>
      <c r="I6342" s="38" t="n">
        <f aca="false">Sens!$I$6329+Sens!$I$6331+Sens!$I$6333+Sens!$I$6335+Sens!$I$6337+Sens!$I$6339</f>
        <v>788.529391152531</v>
      </c>
      <c r="J6342" s="38" t="n">
        <f aca="false">Sens!$J$6329+Sens!$J$6331+Sens!$J$6333+Sens!$J$6335+Sens!$J$6337+Sens!$J$6339</f>
        <v>851.108405741443</v>
      </c>
      <c r="K6342" s="38" t="n">
        <f aca="false">Sens!$K$6329+Sens!$K$6331+Sens!$K$6333+Sens!$K$6335+Sens!$K$6337+Sens!$K$6339</f>
        <v>906.176455431088</v>
      </c>
      <c r="L6342" s="38" t="n">
        <f aca="false">Sens!$L$6329+Sens!$L$6331+Sens!$L$6333+Sens!$L$6335+Sens!$L$6337+Sens!$L$6339</f>
        <v>965.093106475589</v>
      </c>
      <c r="M6342" s="38" t="n">
        <f aca="false">Sens!$M$6329+Sens!$M$6331+Sens!$M$6333+Sens!$M$6335+Sens!$M$6337+Sens!$M$6339</f>
        <v>1028.14790794689</v>
      </c>
      <c r="N6342" s="38" t="n">
        <f aca="false">Sens!$N$6329+Sens!$N$6331+Sens!$N$6333+Sens!$N$6335+Sens!$N$6337+Sens!$N$6339</f>
        <v>263.229</v>
      </c>
      <c r="O6342" s="38" t="n">
        <f aca="false">Sens!$O$6329+Sens!$O$6331+Sens!$O$6333+Sens!$O$6335+Sens!$O$6337+Sens!$O$6339</f>
        <v>324.97</v>
      </c>
    </row>
    <row r="6343" customFormat="false" ht="17.15" hidden="false" customHeight="false" outlineLevel="0" collapsed="false">
      <c r="A6343" s="5" t="s">
        <v>677</v>
      </c>
      <c r="B6343" s="0" t="s">
        <v>52</v>
      </c>
      <c r="C6343" s="13" t="n">
        <f aca="false">Q!$D$5/(Q!$D$5+Q!$D$6)</f>
        <v>0.730570905519011</v>
      </c>
      <c r="D6343" s="13" t="n">
        <f aca="false">Q!$E$5/(Q!$E$5+Q!$E$6)</f>
        <v>0.724763217890544</v>
      </c>
      <c r="E6343" s="13" t="n">
        <f aca="false">Q!$P$5/(Q!$P$5+Q!$P$6)</f>
        <v>0.728797972914861</v>
      </c>
      <c r="F6343" s="13" t="n">
        <f aca="false">Sens!$O$6343</f>
        <v>0.718066283041511</v>
      </c>
      <c r="G6343" s="13" t="n">
        <f aca="false">Sens!$G$6344/Sens!$G$6342</f>
        <v>0.723047066202847</v>
      </c>
      <c r="H6343" s="13" t="n">
        <f aca="false">Sens!$G$6343</f>
        <v>0.723047066202847</v>
      </c>
      <c r="I6343" s="13" t="n">
        <f aca="false">Sens!$G$6343</f>
        <v>0.723047066202847</v>
      </c>
      <c r="J6343" s="13" t="n">
        <f aca="false">Sens!$G$6343</f>
        <v>0.723047066202847</v>
      </c>
      <c r="K6343" s="13" t="n">
        <f aca="false">Sens!$G$6343</f>
        <v>0.723047066202847</v>
      </c>
      <c r="L6343" s="13" t="n">
        <f aca="false">Sens!$G$6343</f>
        <v>0.723047066202847</v>
      </c>
      <c r="M6343" s="13" t="n">
        <f aca="false">Sens!$G$6343</f>
        <v>0.723047066202847</v>
      </c>
      <c r="N6343" s="13" t="n">
        <f aca="false">Q!$N$5/(Q!$N$5+Q!$N$6)</f>
        <v>0.733030935041352</v>
      </c>
      <c r="O6343" s="13" t="n">
        <f aca="false">Q!$O$5/(Q!$O$5+Q!$O$6)</f>
        <v>0.718066283041511</v>
      </c>
      <c r="P6343" s="8" t="s">
        <v>678</v>
      </c>
    </row>
    <row r="6344" customFormat="false" ht="17.15" hidden="false" customHeight="false" outlineLevel="0" collapsed="false">
      <c r="A6344" s="1" t="s">
        <v>509</v>
      </c>
      <c r="B6344" s="8" t="s">
        <v>86</v>
      </c>
      <c r="C6344" s="38" t="n">
        <f aca="false">Q!$D$5</f>
        <v>387.497</v>
      </c>
      <c r="D6344" s="38" t="n">
        <f aca="false">Q!$E$5</f>
        <v>426.305</v>
      </c>
      <c r="E6344" s="38" t="n">
        <f aca="false">Q!$P$5</f>
        <v>220.32</v>
      </c>
      <c r="F6344" s="38" t="n">
        <f aca="false">Sens!$F$6342*Sens!$F$6343</f>
        <v>250.639773480586</v>
      </c>
      <c r="G6344" s="38" t="n">
        <f aca="false">Sens!$E$6344+Sens!$F$6344</f>
        <v>470.959773480586</v>
      </c>
      <c r="H6344" s="38" t="n">
        <f aca="false">Sens!$H$6342*Sens!$H$6343</f>
        <v>521.386990416437</v>
      </c>
      <c r="I6344" s="38" t="n">
        <f aca="false">Sens!$I$6342*Sens!$I$6343</f>
        <v>570.143862887555</v>
      </c>
      <c r="J6344" s="38" t="n">
        <f aca="false">Sens!$J$6342*Sens!$J$6343</f>
        <v>615.391435791933</v>
      </c>
      <c r="K6344" s="38" t="n">
        <f aca="false">Sens!$K$6342*Sens!$K$6343</f>
        <v>655.208227561543</v>
      </c>
      <c r="L6344" s="38" t="n">
        <f aca="false">Sens!$L$6342*Sens!$L$6343</f>
        <v>697.807739249767</v>
      </c>
      <c r="M6344" s="38" t="n">
        <f aca="false">Sens!$M$6342*Sens!$M$6343</f>
        <v>743.399328463592</v>
      </c>
      <c r="N6344" s="38" t="n">
        <f aca="false">Q!$N$5</f>
        <v>192.955</v>
      </c>
      <c r="O6344" s="38" t="n">
        <f aca="false">Q!$O$5</f>
        <v>233.35</v>
      </c>
      <c r="P6344" s="5" t="s">
        <v>679</v>
      </c>
    </row>
    <row r="6345" customFormat="false" ht="17.15" hidden="false" customHeight="false" outlineLevel="0" collapsed="false">
      <c r="A6345" s="1" t="s">
        <v>512</v>
      </c>
      <c r="B6345" s="8" t="s">
        <v>86</v>
      </c>
      <c r="C6345" s="38" t="n">
        <f aca="false">Q!$D$6</f>
        <v>142.906</v>
      </c>
      <c r="D6345" s="38" t="n">
        <f aca="false">Q!$E$6</f>
        <v>161.894</v>
      </c>
      <c r="E6345" s="38" t="n">
        <f aca="false">Q!$P$6</f>
        <v>81.986</v>
      </c>
      <c r="F6345" s="38" t="n">
        <f aca="false">Sens!$F$6342*(1-Sens!$F$6343)</f>
        <v>98.408468164951</v>
      </c>
      <c r="G6345" s="38" t="n">
        <f aca="false">Sens!$E$6345+Sens!$F$6345</f>
        <v>180.394468164951</v>
      </c>
      <c r="H6345" s="38" t="n">
        <f aca="false">Sens!$H$6342*(1-Sens!$H$6343)</f>
        <v>199.709899104949</v>
      </c>
      <c r="I6345" s="38" t="n">
        <f aca="false">Sens!$I$6342*(1-Sens!$I$6343)</f>
        <v>218.385528264976</v>
      </c>
      <c r="J6345" s="38" t="n">
        <f aca="false">Sens!$J$6342*(1-Sens!$J$6343)</f>
        <v>235.71696994951</v>
      </c>
      <c r="K6345" s="38" t="n">
        <f aca="false">Sens!$K$6342*(1-Sens!$K$6343)</f>
        <v>250.968227869545</v>
      </c>
      <c r="L6345" s="38" t="n">
        <f aca="false">Sens!$L$6342*(1-Sens!$L$6343)</f>
        <v>267.285367225822</v>
      </c>
      <c r="M6345" s="38" t="n">
        <f aca="false">Sens!$M$6342*(1-Sens!$M$6343)</f>
        <v>284.748579483295</v>
      </c>
      <c r="N6345" s="38" t="n">
        <f aca="false">Q!$N$6</f>
        <v>70.274</v>
      </c>
      <c r="O6345" s="38" t="n">
        <f aca="false">Q!$O$6</f>
        <v>91.62</v>
      </c>
      <c r="P6345" s="5" t="s">
        <v>680</v>
      </c>
    </row>
    <row r="6346" customFormat="false" ht="17.15" hidden="false" customHeight="false" outlineLevel="0" collapsed="false">
      <c r="A6346" s="5" t="s">
        <v>681</v>
      </c>
      <c r="B6346" s="0" t="s">
        <v>86</v>
      </c>
      <c r="C6346" s="38" t="n">
        <f aca="false">Sens!$C$6335*Sens!$C$6343</f>
        <v>41.0683128828457</v>
      </c>
      <c r="D6346" s="38" t="n">
        <f aca="false">Sens!$D$6335*Sens!$D$6343</f>
        <v>49.7441234599175</v>
      </c>
      <c r="E6346" s="38" t="n">
        <f aca="false">Sens!$E$6335*Sens!$E$6343</f>
        <v>27.0034224924414</v>
      </c>
      <c r="F6346" s="38" t="n">
        <f aca="false">Sens!$F$6335*Sens!$F$6343</f>
        <v>33.1439448330513</v>
      </c>
      <c r="G6346" s="38" t="n">
        <f aca="false">Sens!$G$6335*Sens!$G$6343</f>
        <v>60.164183844083</v>
      </c>
      <c r="H6346" s="38" t="n">
        <f aca="false">Sens!$H$6335*Sens!$H$6343</f>
        <v>72.2301766552629</v>
      </c>
      <c r="I6346" s="38" t="n">
        <f aca="false">Sens!$I$6335*Sens!$I$6343</f>
        <v>84.2950764463991</v>
      </c>
      <c r="J6346" s="38" t="n">
        <f aca="false">Sens!$J$6335*Sens!$J$6343</f>
        <v>95.5499047729386</v>
      </c>
      <c r="K6346" s="38" t="n">
        <f aca="false">Sens!$K$6335*Sens!$K$6343</f>
        <v>105.104895250232</v>
      </c>
      <c r="L6346" s="38" t="n">
        <f aca="false">Sens!$L$6335*Sens!$L$6343</f>
        <v>115.615384775256</v>
      </c>
      <c r="M6346" s="38" t="n">
        <f aca="false">Sens!$M$6335*Sens!$M$6343</f>
        <v>127.176923252781</v>
      </c>
      <c r="N6346" s="38" t="n">
        <f aca="false">Sens!$N$6335*Sens!$N$6343</f>
        <v>21.7087111412496</v>
      </c>
      <c r="O6346" s="38" t="n">
        <f aca="false">Sens!$O$6335*Sens!$O$6343</f>
        <v>28.0189463642798</v>
      </c>
      <c r="P6346" s="5" t="s">
        <v>682</v>
      </c>
    </row>
    <row r="6347" customFormat="false" ht="15" hidden="false" customHeight="false" outlineLevel="0" collapsed="false">
      <c r="A6347" s="5" t="s">
        <v>683</v>
      </c>
      <c r="B6347" s="0" t="s">
        <v>86</v>
      </c>
      <c r="C6347" s="38" t="n">
        <f aca="false">Sens!$C$6335-Sens!$C$6346</f>
        <v>15.1456871171543</v>
      </c>
      <c r="D6347" s="38" t="n">
        <f aca="false">Sens!$D$6335-Sens!$D$6346</f>
        <v>18.8908765400825</v>
      </c>
      <c r="E6347" s="38" t="n">
        <f aca="false">Sens!$E$6335-Sens!$E$6346</f>
        <v>10.0485775075586</v>
      </c>
      <c r="F6347" s="38" t="n">
        <f aca="false">Sens!$F$6335-Sens!$F$6346</f>
        <v>13.0132771613635</v>
      </c>
      <c r="G6347" s="38" t="n">
        <f aca="false">Sens!$G$6335-Sens!$G$6346</f>
        <v>23.0450381503318</v>
      </c>
      <c r="H6347" s="38" t="n">
        <f aca="false">Sens!$H$6335-Sens!$H$6346</f>
        <v>27.6667457326347</v>
      </c>
      <c r="I6347" s="38" t="n">
        <f aca="false">Sens!$I$6335-Sens!$I$6346</f>
        <v>32.2880346490971</v>
      </c>
      <c r="J6347" s="38" t="n">
        <f aca="false">Sens!$J$6335-Sens!$J$6346</f>
        <v>36.5990371690132</v>
      </c>
      <c r="K6347" s="38" t="n">
        <f aca="false">Sens!$K$6335-Sens!$K$6346</f>
        <v>40.2589408859145</v>
      </c>
      <c r="L6347" s="38" t="n">
        <f aca="false">Sens!$L$6335-Sens!$L$6346</f>
        <v>44.2848349745059</v>
      </c>
      <c r="M6347" s="38" t="n">
        <f aca="false">Sens!$M$6335-Sens!$M$6346</f>
        <v>48.7133184719565</v>
      </c>
      <c r="N6347" s="38" t="n">
        <f aca="false">Sens!$N$6335-Sens!$N$6346</f>
        <v>7.90628885875037</v>
      </c>
      <c r="O6347" s="38" t="n">
        <f aca="false">Sens!$O$6335-Sens!$O$6346</f>
        <v>11.0010536357202</v>
      </c>
    </row>
    <row r="6348" customFormat="false" ht="19.4" hidden="false" customHeight="false" outlineLevel="0" collapsed="false">
      <c r="A6348" s="31" t="s">
        <v>1258</v>
      </c>
    </row>
    <row r="6349" customFormat="false" ht="17.15" hidden="false" customHeight="false" outlineLevel="0" collapsed="false">
      <c r="A6349" s="6" t="s">
        <v>16</v>
      </c>
      <c r="B6349" s="6" t="s">
        <v>17</v>
      </c>
      <c r="C6349" s="20" t="s">
        <v>494</v>
      </c>
      <c r="D6349" s="20" t="s">
        <v>495</v>
      </c>
      <c r="E6349" s="20" t="s">
        <v>577</v>
      </c>
      <c r="F6349" s="20" t="s">
        <v>578</v>
      </c>
      <c r="G6349" s="20" t="s">
        <v>579</v>
      </c>
      <c r="H6349" s="20" t="s">
        <v>580</v>
      </c>
      <c r="I6349" s="20" t="s">
        <v>581</v>
      </c>
      <c r="J6349" s="20" t="s">
        <v>582</v>
      </c>
      <c r="K6349" s="20" t="s">
        <v>583</v>
      </c>
      <c r="L6349" s="20" t="s">
        <v>584</v>
      </c>
      <c r="M6349" s="20" t="s">
        <v>585</v>
      </c>
      <c r="N6349" s="20" t="s">
        <v>586</v>
      </c>
      <c r="O6349" s="20" t="s">
        <v>587</v>
      </c>
      <c r="P6349" s="6" t="s">
        <v>23</v>
      </c>
      <c r="R6349" s="20" t="n">
        <v>2023</v>
      </c>
      <c r="S6349" s="20" t="n">
        <v>2024</v>
      </c>
      <c r="T6349" s="20" t="n">
        <v>2025</v>
      </c>
      <c r="U6349" s="20" t="n">
        <v>2026</v>
      </c>
      <c r="V6349" s="20" t="n">
        <v>2027</v>
      </c>
      <c r="W6349" s="20" t="n">
        <v>2028</v>
      </c>
      <c r="X6349" s="20" t="n">
        <v>2029</v>
      </c>
      <c r="Y6349" s="20" t="n">
        <v>2030</v>
      </c>
      <c r="Z6349" s="20" t="n">
        <v>2031</v>
      </c>
      <c r="AA6349" s="20" t="n">
        <v>2032</v>
      </c>
    </row>
    <row r="6350" customFormat="false" ht="17.15" hidden="false" customHeight="false" outlineLevel="0" collapsed="false">
      <c r="A6350" s="1" t="s">
        <v>588</v>
      </c>
    </row>
    <row r="6351" customFormat="false" ht="17.15" hidden="false" customHeight="false" outlineLevel="0" collapsed="false">
      <c r="A6351" s="5" t="s">
        <v>589</v>
      </c>
      <c r="B6351" s="0" t="s">
        <v>144</v>
      </c>
      <c r="H6351" s="32" t="n">
        <f aca="false">pace_B</f>
        <v>3634.3</v>
      </c>
      <c r="I6351" s="32" t="n">
        <f aca="false">pace_B</f>
        <v>3634.3</v>
      </c>
      <c r="J6351" s="32" t="n">
        <f aca="false">pace_B</f>
        <v>3634.3</v>
      </c>
      <c r="K6351" s="32" t="n">
        <f aca="false">pace_B+(Sens!$J$6352*tg-pace_B)*1/3</f>
        <v>2570.86716666667</v>
      </c>
      <c r="L6351" s="32" t="n">
        <f aca="false">pace_B+(Sens!$J$6352*tg-pace_B)*2/3</f>
        <v>1507.43433333333</v>
      </c>
      <c r="M6351" s="32" t="n">
        <f aca="false">pace_B+(Sens!$J$6352*tg-pace_B)*3/3</f>
        <v>444.0015</v>
      </c>
      <c r="P6351" s="5" t="s">
        <v>590</v>
      </c>
    </row>
    <row r="6352" customFormat="false" ht="17.15" hidden="false" customHeight="false" outlineLevel="0" collapsed="false">
      <c r="A6352" s="15" t="s">
        <v>591</v>
      </c>
      <c r="B6352" s="14" t="s">
        <v>129</v>
      </c>
      <c r="C6352" s="33" t="n">
        <f aca="false">mw_ye24</f>
        <v>360</v>
      </c>
      <c r="D6352" s="33" t="n">
        <f aca="false">mw_ye25</f>
        <v>1440</v>
      </c>
      <c r="E6352" s="33" t="n">
        <f aca="false">mw_open</f>
        <v>2080</v>
      </c>
      <c r="F6352" s="33" t="n">
        <f aca="false">Sens!$E$6352+pace_B*0.5</f>
        <v>3897.15</v>
      </c>
      <c r="G6352" s="33" t="n">
        <f aca="false">Sens!$F$6352</f>
        <v>3897.15</v>
      </c>
      <c r="H6352" s="33" t="n">
        <f aca="false">Sens!$G$6352+Sens!$H$6351</f>
        <v>7531.45</v>
      </c>
      <c r="I6352" s="33" t="n">
        <f aca="false">Sens!$H$6352+Sens!$I$6351</f>
        <v>11165.75</v>
      </c>
      <c r="J6352" s="33" t="n">
        <f aca="false">Sens!$I$6352+Sens!$J$6351</f>
        <v>14800.05</v>
      </c>
      <c r="K6352" s="33" t="n">
        <f aca="false">Sens!$J$6352+Sens!$K$6351</f>
        <v>17370.9171666667</v>
      </c>
      <c r="L6352" s="33" t="n">
        <f aca="false">Sens!$K$6352+Sens!$L$6351</f>
        <v>18878.3515</v>
      </c>
      <c r="M6352" s="33" t="n">
        <f aca="false">Sens!$L$6352+Sens!$M$6351</f>
        <v>19322.353</v>
      </c>
      <c r="N6352" s="33" t="n">
        <f aca="false">(mw_ye24+mw_ye25)/2</f>
        <v>900</v>
      </c>
      <c r="O6352" s="33" t="n">
        <f aca="false">mw_ye25</f>
        <v>1440</v>
      </c>
      <c r="P6352" s="5" t="s">
        <v>592</v>
      </c>
    </row>
    <row r="6353" customFormat="false" ht="17.15" hidden="false" customHeight="false" outlineLevel="0" collapsed="false">
      <c r="A6353" s="5" t="s">
        <v>593</v>
      </c>
      <c r="B6353" s="0" t="s">
        <v>129</v>
      </c>
      <c r="C6353" s="32" t="n">
        <f aca="false">(mw_ye23+mw_ye24)/2</f>
        <v>240</v>
      </c>
      <c r="D6353" s="32" t="n">
        <f aca="false">(Sens!$C$6352+Sens!$D$6352)/2</f>
        <v>900</v>
      </c>
      <c r="E6353" s="32" t="n">
        <f aca="false">(Sens!$D$6352+Sens!$E$6352)/2</f>
        <v>1760</v>
      </c>
      <c r="F6353" s="32" t="n">
        <f aca="false">(Sens!$E$6352+Sens!$F$6352)/2</f>
        <v>2988.575</v>
      </c>
      <c r="G6353" s="32" t="n">
        <f aca="false">(Sens!$E$6353+Sens!$F$6353)/2</f>
        <v>2374.2875</v>
      </c>
      <c r="H6353" s="32" t="n">
        <f aca="false">(Sens!$G$6352+Sens!$H$6352)/2</f>
        <v>5714.3</v>
      </c>
      <c r="I6353" s="32" t="n">
        <f aca="false">(Sens!$H$6352+Sens!$I$6352)/2</f>
        <v>9348.6</v>
      </c>
      <c r="J6353" s="32" t="n">
        <f aca="false">(Sens!$I$6352+Sens!$J$6352)/2</f>
        <v>12982.9</v>
      </c>
      <c r="K6353" s="32" t="n">
        <f aca="false">(Sens!$J$6352+Sens!$K$6352)/2</f>
        <v>16085.4835833333</v>
      </c>
      <c r="L6353" s="32" t="n">
        <f aca="false">(Sens!$K$6352+Sens!$L$6352)/2</f>
        <v>18124.6343333333</v>
      </c>
      <c r="M6353" s="32" t="n">
        <f aca="false">(Sens!$L$6352+Sens!$M$6352)/2</f>
        <v>19100.35225</v>
      </c>
      <c r="N6353" s="32" t="n">
        <f aca="false">(Sens!$C$6352+Sens!$N$6352)/2</f>
        <v>630</v>
      </c>
      <c r="O6353" s="32" t="n">
        <f aca="false">(Sens!$N$6352+Sens!$O$6352)/2</f>
        <v>1170</v>
      </c>
    </row>
    <row r="6354" customFormat="false" ht="15" hidden="false" customHeight="false" outlineLevel="0" collapsed="false">
      <c r="A6354" s="5" t="s">
        <v>594</v>
      </c>
      <c r="B6354" s="5" t="s">
        <v>123</v>
      </c>
      <c r="C6354" s="34" t="n">
        <v>1</v>
      </c>
      <c r="D6354" s="34" t="n">
        <v>1</v>
      </c>
      <c r="E6354" s="34" t="n">
        <v>0.5</v>
      </c>
      <c r="F6354" s="34" t="n">
        <v>0.5</v>
      </c>
      <c r="G6354" s="34" t="n">
        <v>1</v>
      </c>
      <c r="H6354" s="34" t="n">
        <v>1</v>
      </c>
      <c r="I6354" s="34" t="n">
        <v>1</v>
      </c>
      <c r="J6354" s="34" t="n">
        <v>1</v>
      </c>
      <c r="K6354" s="34" t="n">
        <v>1</v>
      </c>
      <c r="L6354" s="34" t="n">
        <v>1</v>
      </c>
      <c r="M6354" s="34" t="n">
        <v>1</v>
      </c>
      <c r="N6354" s="34" t="n">
        <v>0.5</v>
      </c>
      <c r="O6354" s="34" t="n">
        <v>0.5</v>
      </c>
    </row>
    <row r="6355" customFormat="false" ht="17.15" hidden="false" customHeight="false" outlineLevel="0" collapsed="false">
      <c r="A6355" s="5" t="s">
        <v>595</v>
      </c>
      <c r="B6355" s="0" t="s">
        <v>129</v>
      </c>
      <c r="C6355" s="32" t="n">
        <f aca="false">Sens!$C$6352-mw_ye23</f>
        <v>240</v>
      </c>
      <c r="D6355" s="32" t="n">
        <f aca="false">Sens!$D$6352-Sens!$C$6352</f>
        <v>1080</v>
      </c>
      <c r="E6355" s="32" t="n">
        <f aca="false">Sens!$E$6352-Sens!$D$6352</f>
        <v>640</v>
      </c>
      <c r="F6355" s="32" t="n">
        <f aca="false">Sens!$F$6352-Sens!$E$6352</f>
        <v>1817.15</v>
      </c>
      <c r="G6355" s="32" t="n">
        <f aca="false">Sens!$E$6355+Sens!$F$6355</f>
        <v>2457.15</v>
      </c>
      <c r="H6355" s="32" t="n">
        <f aca="false">Sens!$H$6352-Sens!$G$6352</f>
        <v>3634.3</v>
      </c>
      <c r="I6355" s="32" t="n">
        <f aca="false">Sens!$I$6352-Sens!$H$6352</f>
        <v>3634.3</v>
      </c>
      <c r="J6355" s="32" t="n">
        <f aca="false">Sens!$J$6352-Sens!$I$6352</f>
        <v>3634.3</v>
      </c>
      <c r="K6355" s="32" t="n">
        <f aca="false">Sens!$K$6352-Sens!$J$6352</f>
        <v>2570.86716666667</v>
      </c>
      <c r="L6355" s="32" t="n">
        <f aca="false">Sens!$L$6352-Sens!$K$6352</f>
        <v>1507.43433333333</v>
      </c>
      <c r="M6355" s="32" t="n">
        <f aca="false">Sens!$M$6352-Sens!$L$6352</f>
        <v>444.001499999999</v>
      </c>
      <c r="N6355" s="32" t="n">
        <f aca="false">Sens!$N$6352-Sens!$C$6352</f>
        <v>540</v>
      </c>
      <c r="O6355" s="32" t="n">
        <f aca="false">Sens!$O$6352-Sens!$N$6352</f>
        <v>540</v>
      </c>
    </row>
    <row r="6356" customFormat="false" ht="17.15" hidden="false" customHeight="false" outlineLevel="0" collapsed="false">
      <c r="A6356" s="5" t="s">
        <v>596</v>
      </c>
      <c r="B6356" s="0" t="s">
        <v>129</v>
      </c>
      <c r="C6356" s="32" t="n">
        <f aca="false">Sens!$C$6355/ext_sh</f>
        <v>300</v>
      </c>
      <c r="D6356" s="32" t="n">
        <f aca="false">Sens!$D$6355/ext_sh</f>
        <v>1350</v>
      </c>
      <c r="E6356" s="32" t="n">
        <f aca="false">Sens!$E$6355/ext_sh</f>
        <v>800</v>
      </c>
      <c r="F6356" s="32" t="n">
        <f aca="false">Sens!$F$6355/ext_sh</f>
        <v>2271.4375</v>
      </c>
      <c r="G6356" s="32" t="n">
        <f aca="false">Sens!$G$6355/ext_sh</f>
        <v>3071.4375</v>
      </c>
      <c r="H6356" s="32" t="n">
        <f aca="false">Sens!$H$6355/ext_sh</f>
        <v>4542.875</v>
      </c>
      <c r="I6356" s="32" t="n">
        <f aca="false">Sens!$I$6355/ext_sh</f>
        <v>4542.875</v>
      </c>
      <c r="J6356" s="32" t="n">
        <f aca="false">Sens!$J$6355/ext_sh</f>
        <v>4542.875</v>
      </c>
      <c r="K6356" s="32" t="n">
        <f aca="false">Sens!$K$6355/ext_sh</f>
        <v>3213.58395833333</v>
      </c>
      <c r="L6356" s="32" t="n">
        <f aca="false">Sens!$L$6355/ext_sh</f>
        <v>1884.29291666667</v>
      </c>
      <c r="M6356" s="32" t="n">
        <f aca="false">Sens!$M$6355/ext_sh</f>
        <v>555.001874999998</v>
      </c>
      <c r="N6356" s="32" t="n">
        <f aca="false">Sens!$N$6355/ext_sh</f>
        <v>675</v>
      </c>
      <c r="O6356" s="32" t="n">
        <f aca="false">Sens!$O$6355/ext_sh</f>
        <v>675</v>
      </c>
      <c r="P6356" s="8" t="s">
        <v>597</v>
      </c>
      <c r="R6356" s="32" t="n">
        <f aca="false">mw_ye23/ext_sh</f>
        <v>150</v>
      </c>
      <c r="S6356" s="32" t="n">
        <f aca="false">Sens!$C$6356</f>
        <v>300</v>
      </c>
      <c r="T6356" s="32" t="n">
        <f aca="false">Sens!$D$6356</f>
        <v>1350</v>
      </c>
      <c r="U6356" s="32" t="n">
        <f aca="false">Sens!$G$6356</f>
        <v>3071.4375</v>
      </c>
      <c r="V6356" s="32" t="n">
        <f aca="false">Sens!$H$6356</f>
        <v>4542.875</v>
      </c>
      <c r="W6356" s="32" t="n">
        <f aca="false">Sens!$I$6356</f>
        <v>4542.875</v>
      </c>
      <c r="X6356" s="32" t="n">
        <f aca="false">Sens!$J$6356</f>
        <v>4542.875</v>
      </c>
      <c r="Y6356" s="32" t="n">
        <f aca="false">Sens!$K$6356</f>
        <v>3213.58395833333</v>
      </c>
      <c r="Z6356" s="32" t="n">
        <f aca="false">Sens!$L$6356</f>
        <v>1884.29291666667</v>
      </c>
      <c r="AA6356" s="32" t="n">
        <f aca="false">Sens!$M$6356</f>
        <v>555.001874999998</v>
      </c>
    </row>
    <row r="6357" customFormat="false" ht="17.15" hidden="false" customHeight="false" outlineLevel="0" collapsed="false">
      <c r="A6357" s="1" t="s">
        <v>598</v>
      </c>
    </row>
    <row r="6358" customFormat="false" ht="17.15" hidden="false" customHeight="false" outlineLevel="0" collapsed="false">
      <c r="A6358" s="0" t="s">
        <v>599</v>
      </c>
      <c r="B6358" s="0" t="s">
        <v>52</v>
      </c>
      <c r="F6358" s="35" t="n">
        <f aca="false">na_vr26</f>
        <v>0</v>
      </c>
      <c r="G6358" s="35" t="n">
        <f aca="false">na_vr26</f>
        <v>0</v>
      </c>
      <c r="H6358" s="35" t="n">
        <f aca="false">na_vr27</f>
        <v>0.5</v>
      </c>
      <c r="I6358" s="35" t="n">
        <f aca="false">na_vr28</f>
        <v>1</v>
      </c>
      <c r="J6358" s="35" t="n">
        <f aca="false">na_vr28</f>
        <v>1</v>
      </c>
      <c r="K6358" s="35" t="n">
        <f aca="false">na_vr28</f>
        <v>1</v>
      </c>
      <c r="L6358" s="35" t="n">
        <f aca="false">na_vr28</f>
        <v>1</v>
      </c>
      <c r="M6358" s="35" t="n">
        <f aca="false">na_vr28</f>
        <v>1</v>
      </c>
    </row>
    <row r="6359" customFormat="false" ht="17.15" hidden="false" customHeight="false" outlineLevel="0" collapsed="false">
      <c r="A6359" s="5" t="s">
        <v>600</v>
      </c>
      <c r="B6359" s="0" t="s">
        <v>173</v>
      </c>
      <c r="F6359" s="36" t="n">
        <f aca="false">cust_sh*tk_he_gb300*cf_chip+(1-cust_sh)*((1-Sens!$F$6358)*tk_he_gb300+Sens!$F$6358*tk_he_vr200)</f>
        <v>10.8864110021101</v>
      </c>
      <c r="G6359" s="36" t="n">
        <f aca="false">cust_sh*tk_he_gb300*cf_chip+(1-cust_sh)*((1-Sens!$G$6358)*tk_he_gb300+Sens!$G$6358*tk_he_vr200)</f>
        <v>10.8864110021101</v>
      </c>
      <c r="H6359" s="36" t="n">
        <f aca="false">cust_sh*tk_he_gb300*cf_chip+(1-cust_sh)*((1-Sens!$H$6358)*tk_he_gb300+Sens!$H$6358*tk_he_vr200)</f>
        <v>11.2211760027286</v>
      </c>
      <c r="I6359" s="36" t="n">
        <f aca="false">cust_sh*tk_he_gb300*cf_chip+(1-cust_sh)*((1-Sens!$I$6358)*tk_he_gb300+Sens!$I$6358*tk_he_vr200)</f>
        <v>11.5559410033471</v>
      </c>
      <c r="J6359" s="36" t="n">
        <f aca="false">cust_sh*tk_he_gb300*cf_chip+(1-cust_sh)*((1-Sens!$J$6358)*tk_he_gb300+Sens!$J$6358*tk_he_vr200)</f>
        <v>11.5559410033471</v>
      </c>
      <c r="K6359" s="36" t="n">
        <f aca="false">cust_sh*tk_he_gb300*cf_chip+(1-cust_sh)*((1-Sens!$K$6358)*tk_he_gb300+Sens!$K$6358*tk_he_vr200)</f>
        <v>11.5559410033471</v>
      </c>
      <c r="L6359" s="36" t="n">
        <f aca="false">cust_sh*tk_he_gb300*cf_chip+(1-cust_sh)*((1-Sens!$L$6358)*tk_he_gb300+Sens!$L$6358*tk_he_vr200)</f>
        <v>11.5559410033471</v>
      </c>
      <c r="M6359" s="36" t="n">
        <f aca="false">cust_sh*tk_he_gb300*cf_chip+(1-cust_sh)*((1-Sens!$M$6358)*tk_he_gb300+Sens!$M$6358*tk_he_vr200)</f>
        <v>11.5559410033471</v>
      </c>
    </row>
    <row r="6360" customFormat="false" ht="17.15" hidden="false" customHeight="false" outlineLevel="0" collapsed="false">
      <c r="A6360" s="5" t="s">
        <v>601</v>
      </c>
      <c r="B6360" s="0" t="s">
        <v>173</v>
      </c>
      <c r="F6360" s="36" t="n">
        <f aca="false">cust_sh*tk_ox_gb300+(1-cust_sh)*((1-Sens!$F$6358)*tk_ox_gb300+Sens!$F$6358*tk_ox_vr200)</f>
        <v>1.98263481314457</v>
      </c>
      <c r="G6360" s="36" t="n">
        <f aca="false">cust_sh*tk_ox_gb300+(1-cust_sh)*((1-Sens!$G$6358)*tk_ox_gb300+Sens!$G$6358*tk_ox_vr200)</f>
        <v>1.98263481314457</v>
      </c>
      <c r="H6360" s="36" t="n">
        <f aca="false">cust_sh*tk_ox_gb300+(1-cust_sh)*((1-Sens!$H$6358)*tk_ox_gb300+Sens!$H$6358*tk_ox_vr200)</f>
        <v>2.01034999693694</v>
      </c>
      <c r="I6360" s="36" t="n">
        <f aca="false">cust_sh*tk_ox_gb300+(1-cust_sh)*((1-Sens!$I$6358)*tk_ox_gb300+Sens!$I$6358*tk_ox_vr200)</f>
        <v>2.0380651807293</v>
      </c>
      <c r="J6360" s="36" t="n">
        <f aca="false">cust_sh*tk_ox_gb300+(1-cust_sh)*((1-Sens!$J$6358)*tk_ox_gb300+Sens!$J$6358*tk_ox_vr200)</f>
        <v>2.0380651807293</v>
      </c>
      <c r="K6360" s="36" t="n">
        <f aca="false">cust_sh*tk_ox_gb300+(1-cust_sh)*((1-Sens!$K$6358)*tk_ox_gb300+Sens!$K$6358*tk_ox_vr200)</f>
        <v>2.0380651807293</v>
      </c>
      <c r="L6360" s="36" t="n">
        <f aca="false">cust_sh*tk_ox_gb300+(1-cust_sh)*((1-Sens!$L$6358)*tk_ox_gb300+Sens!$L$6358*tk_ox_vr200)</f>
        <v>2.0380651807293</v>
      </c>
      <c r="M6360" s="36" t="n">
        <f aca="false">cust_sh*tk_ox_gb300+(1-cust_sh)*((1-Sens!$M$6358)*tk_ox_gb300+Sens!$M$6358*tk_ox_vr200)</f>
        <v>2.0380651807293</v>
      </c>
    </row>
    <row r="6361" customFormat="false" ht="17.15" hidden="false" customHeight="false" outlineLevel="0" collapsed="false">
      <c r="A6361" s="5" t="s">
        <v>602</v>
      </c>
      <c r="B6361" s="0" t="s">
        <v>192</v>
      </c>
      <c r="F6361" s="36" t="n">
        <f aca="false">cust_sh*tk_cx_gb300*cf_cx+(1-cust_sh)*((1-Sens!$F$6358)*tk_cx_gb300+Sens!$F$6358*tk_cx_vr200)</f>
        <v>32.237224</v>
      </c>
      <c r="G6361" s="36" t="n">
        <f aca="false">cust_sh*tk_cx_gb300*cf_cx+(1-cust_sh)*((1-Sens!$G$6358)*tk_cx_gb300+Sens!$G$6358*tk_cx_vr200)</f>
        <v>32.237224</v>
      </c>
      <c r="H6361" s="36" t="n">
        <f aca="false">cust_sh*tk_cx_gb300*cf_cx+(1-cust_sh)*((1-Sens!$H$6358)*tk_cx_gb300+Sens!$H$6358*tk_cx_vr200)</f>
        <v>33.574506</v>
      </c>
      <c r="I6361" s="36" t="n">
        <f aca="false">cust_sh*tk_cx_gb300*cf_cx+(1-cust_sh)*((1-Sens!$I$6358)*tk_cx_gb300+Sens!$I$6358*tk_cx_vr200)</f>
        <v>34.911788</v>
      </c>
      <c r="J6361" s="36" t="n">
        <f aca="false">cust_sh*tk_cx_gb300*cf_cx+(1-cust_sh)*((1-Sens!$J$6358)*tk_cx_gb300+Sens!$J$6358*tk_cx_vr200)</f>
        <v>34.911788</v>
      </c>
      <c r="K6361" s="36" t="n">
        <f aca="false">cust_sh*tk_cx_gb300*cf_cx+(1-cust_sh)*((1-Sens!$K$6358)*tk_cx_gb300+Sens!$K$6358*tk_cx_vr200)</f>
        <v>34.911788</v>
      </c>
      <c r="L6361" s="36" t="n">
        <f aca="false">cust_sh*tk_cx_gb300*cf_cx+(1-cust_sh)*((1-Sens!$L$6358)*tk_cx_gb300+Sens!$L$6358*tk_cx_vr200)</f>
        <v>34.911788</v>
      </c>
      <c r="M6361" s="36" t="n">
        <f aca="false">cust_sh*tk_cx_gb300*cf_cx+(1-cust_sh)*((1-Sens!$M$6358)*tk_cx_gb300+Sens!$M$6358*tk_cx_vr200)</f>
        <v>34.911788</v>
      </c>
    </row>
    <row r="6362" customFormat="false" ht="17.15" hidden="false" customHeight="false" outlineLevel="0" collapsed="false">
      <c r="A6362" s="5" t="s">
        <v>603</v>
      </c>
      <c r="B6362" s="0" t="s">
        <v>129</v>
      </c>
      <c r="F6362" s="32" t="n">
        <f aca="false">Sens!$F$6352-mw_open</f>
        <v>1817.15</v>
      </c>
      <c r="G6362" s="32" t="n">
        <f aca="false">Sens!$F$6362</f>
        <v>1817.15</v>
      </c>
      <c r="H6362" s="32" t="n">
        <f aca="false">Sens!$H$6352-mw_open</f>
        <v>5451.45</v>
      </c>
      <c r="I6362" s="32" t="n">
        <f aca="false">Sens!$I$6352-mw_open</f>
        <v>9085.75</v>
      </c>
      <c r="J6362" s="32" t="n">
        <f aca="false">Sens!$J$6352-mw_open</f>
        <v>12720.05</v>
      </c>
      <c r="K6362" s="32" t="n">
        <f aca="false">Sens!$K$6352-mw_open</f>
        <v>15290.9171666667</v>
      </c>
      <c r="L6362" s="32" t="n">
        <f aca="false">Sens!$L$6352-mw_open</f>
        <v>16798.3515</v>
      </c>
      <c r="M6362" s="32" t="n">
        <f aca="false">Sens!$M$6352-mw_open</f>
        <v>17242.353</v>
      </c>
    </row>
    <row r="6363" customFormat="false" ht="17.15" hidden="false" customHeight="false" outlineLevel="0" collapsed="false">
      <c r="A6363" s="0" t="s">
        <v>604</v>
      </c>
      <c r="B6363" s="0" t="s">
        <v>605</v>
      </c>
      <c r="F6363" s="32" t="n">
        <f aca="false">Sens!$F$6355*Sens!$F$6359</f>
        <v>19782.2417524844</v>
      </c>
      <c r="G6363" s="32" t="n">
        <f aca="false">Sens!$F$6363</f>
        <v>19782.2417524844</v>
      </c>
      <c r="H6363" s="32" t="n">
        <f aca="false">Sens!$G$6363+Sens!$H$6355*Sens!$H$6359</f>
        <v>60563.3616992009</v>
      </c>
      <c r="I6363" s="32" t="n">
        <f aca="false">Sens!$H$6363+Sens!$I$6355*Sens!$I$6359</f>
        <v>102561.118087665</v>
      </c>
      <c r="J6363" s="32" t="n">
        <f aca="false">Sens!$I$6363+Sens!$J$6355*Sens!$J$6359</f>
        <v>144558.87447613</v>
      </c>
      <c r="K6363" s="32" t="n">
        <f aca="false">Sens!$J$6363+Sens!$K$6355*Sens!$K$6359</f>
        <v>174267.663781572</v>
      </c>
      <c r="L6363" s="32" t="n">
        <f aca="false">Sens!$K$6363+Sens!$L$6355*Sens!$L$6359</f>
        <v>191687.486003992</v>
      </c>
      <c r="M6363" s="32" t="n">
        <f aca="false">Sens!$L$6363+Sens!$M$6355*Sens!$M$6359</f>
        <v>196818.341143389</v>
      </c>
    </row>
    <row r="6364" customFormat="false" ht="17.15" hidden="false" customHeight="false" outlineLevel="0" collapsed="false">
      <c r="A6364" s="0" t="s">
        <v>606</v>
      </c>
      <c r="B6364" s="0" t="s">
        <v>605</v>
      </c>
      <c r="F6364" s="32" t="n">
        <f aca="false">Sens!$F$6355*Sens!$F$6360</f>
        <v>3602.74485070566</v>
      </c>
      <c r="G6364" s="32" t="n">
        <f aca="false">Sens!$F$6364</f>
        <v>3602.74485070566</v>
      </c>
      <c r="H6364" s="32" t="n">
        <f aca="false">Sens!$G$6364+Sens!$H$6355*Sens!$H$6360</f>
        <v>10908.9598445736</v>
      </c>
      <c r="I6364" s="32" t="n">
        <f aca="false">Sens!$H$6364+Sens!$I$6355*Sens!$I$6360</f>
        <v>18315.9001308981</v>
      </c>
      <c r="J6364" s="32" t="n">
        <f aca="false">Sens!$I$6364+Sens!$J$6355*Sens!$J$6360</f>
        <v>25722.8404172225</v>
      </c>
      <c r="K6364" s="32" t="n">
        <f aca="false">Sens!$J$6364+Sens!$K$6355*Sens!$K$6360</f>
        <v>30962.4352738861</v>
      </c>
      <c r="L6364" s="32" t="n">
        <f aca="false">Sens!$K$6364+Sens!$L$6355*Sens!$L$6360</f>
        <v>34034.6847008886</v>
      </c>
      <c r="M6364" s="32" t="n">
        <f aca="false">Sens!$L$6364+Sens!$M$6355*Sens!$M$6360</f>
        <v>34939.5886982302</v>
      </c>
    </row>
    <row r="6365" customFormat="false" ht="17.15" hidden="false" customHeight="false" outlineLevel="0" collapsed="false">
      <c r="A6365" s="5" t="s">
        <v>607</v>
      </c>
      <c r="B6365" s="0" t="s">
        <v>173</v>
      </c>
      <c r="F6365" s="36" t="n">
        <f aca="false">IF(Sens!$F$6362&gt;0,Sens!$F$6363/Sens!$F$6362,Sens!$F$6359)</f>
        <v>10.8864110021101</v>
      </c>
      <c r="G6365" s="36" t="n">
        <f aca="false">IF(Sens!$G$6362&gt;0,Sens!$G$6363/Sens!$G$6362,Sens!$G$6359)</f>
        <v>10.8864110021101</v>
      </c>
      <c r="H6365" s="36" t="n">
        <f aca="false">IF(Sens!$H$6362&gt;0,Sens!$H$6363/Sens!$H$6362,Sens!$H$6359)</f>
        <v>11.1095876691891</v>
      </c>
      <c r="I6365" s="36" t="n">
        <f aca="false">IF(Sens!$I$6362&gt;0,Sens!$I$6363/Sens!$I$6362,Sens!$I$6359)</f>
        <v>11.2881290028523</v>
      </c>
      <c r="J6365" s="36" t="n">
        <f aca="false">IF(Sens!$J$6362&gt;0,Sens!$J$6363/Sens!$J$6362,Sens!$J$6359)</f>
        <v>11.3646467172794</v>
      </c>
      <c r="K6365" s="36" t="n">
        <f aca="false">IF(Sens!$K$6362&gt;0,Sens!$K$6363/Sens!$K$6362,Sens!$K$6359)</f>
        <v>11.3968090914432</v>
      </c>
      <c r="L6365" s="36" t="n">
        <f aca="false">IF(Sens!$L$6362&gt;0,Sens!$L$6363/Sens!$L$6362,Sens!$L$6359)</f>
        <v>11.4110891181192</v>
      </c>
      <c r="M6365" s="36" t="n">
        <f aca="false">IF(Sens!$M$6362&gt;0,Sens!$M$6363/Sens!$M$6362,Sens!$M$6359)</f>
        <v>11.4148191458201</v>
      </c>
    </row>
    <row r="6366" customFormat="false" ht="17.15" hidden="false" customHeight="false" outlineLevel="0" collapsed="false">
      <c r="A6366" s="5" t="s">
        <v>608</v>
      </c>
      <c r="B6366" s="0" t="s">
        <v>173</v>
      </c>
      <c r="F6366" s="36" t="n">
        <f aca="false">IF(Sens!$F$6362&gt;0,Sens!$F$6364/Sens!$F$6362,Sens!$F$6360)</f>
        <v>1.98263481314457</v>
      </c>
      <c r="G6366" s="36" t="n">
        <f aca="false">IF(Sens!$G$6362&gt;0,Sens!$G$6364/Sens!$G$6362,Sens!$G$6360)</f>
        <v>1.98263481314457</v>
      </c>
      <c r="H6366" s="36" t="n">
        <f aca="false">IF(Sens!$H$6362&gt;0,Sens!$H$6364/Sens!$H$6362,Sens!$H$6360)</f>
        <v>2.00111160233948</v>
      </c>
      <c r="I6366" s="36" t="n">
        <f aca="false">IF(Sens!$I$6362&gt;0,Sens!$I$6364/Sens!$I$6362,Sens!$I$6360)</f>
        <v>2.01589303369541</v>
      </c>
      <c r="J6366" s="36" t="n">
        <f aca="false">IF(Sens!$J$6362&gt;0,Sens!$J$6364/Sens!$J$6362,Sens!$J$6360)</f>
        <v>2.02222793284795</v>
      </c>
      <c r="K6366" s="36" t="n">
        <f aca="false">IF(Sens!$K$6362&gt;0,Sens!$K$6364/Sens!$K$6362,Sens!$K$6360)</f>
        <v>2.02489065478573</v>
      </c>
      <c r="L6366" s="36" t="n">
        <f aca="false">IF(Sens!$L$6362&gt;0,Sens!$L$6364/Sens!$L$6362,Sens!$L$6360)</f>
        <v>2.0260728977417</v>
      </c>
      <c r="M6366" s="36" t="n">
        <f aca="false">IF(Sens!$M$6362&gt;0,Sens!$M$6364/Sens!$M$6362,Sens!$M$6360)</f>
        <v>2.02638170661685</v>
      </c>
    </row>
    <row r="6367" customFormat="false" ht="17.15" hidden="false" customHeight="false" outlineLevel="0" collapsed="false">
      <c r="A6367" s="15" t="s">
        <v>609</v>
      </c>
      <c r="B6367" s="14" t="s">
        <v>173</v>
      </c>
      <c r="C6367" s="14"/>
      <c r="D6367" s="14"/>
      <c r="E6367" s="14"/>
      <c r="F6367" s="37" t="n">
        <f aca="false">Sens!$F$6365*k_B</f>
        <v>10.7987645808025</v>
      </c>
      <c r="G6367" s="37" t="n">
        <f aca="false">Sens!$G$6365*k_B</f>
        <v>10.7987645808025</v>
      </c>
      <c r="H6367" s="37" t="n">
        <f aca="false">Sens!$H$6365*k_B</f>
        <v>11.0201444540452</v>
      </c>
      <c r="I6367" s="37" t="n">
        <f aca="false">Sens!$I$6365*k_B</f>
        <v>11.1972483526393</v>
      </c>
      <c r="J6367" s="37" t="n">
        <f aca="false">Sens!$J$6365*k_B</f>
        <v>11.2731500234653</v>
      </c>
      <c r="K6367" s="37" t="n">
        <f aca="false">Sens!$K$6365*k_B</f>
        <v>11.3050534585724</v>
      </c>
      <c r="L6367" s="37" t="n">
        <f aca="false">Sens!$L$6365*k_B</f>
        <v>11.3192185168503</v>
      </c>
      <c r="M6367" s="37" t="n">
        <f aca="false">Sens!$M$6365*k_B</f>
        <v>11.3229185141234</v>
      </c>
      <c r="N6367" s="14"/>
      <c r="O6367" s="14"/>
      <c r="P6367" s="5" t="s">
        <v>610</v>
      </c>
    </row>
    <row r="6368" customFormat="false" ht="17.15" hidden="false" customHeight="false" outlineLevel="0" collapsed="false">
      <c r="A6368" s="5" t="s">
        <v>611</v>
      </c>
      <c r="B6368" s="0" t="s">
        <v>129</v>
      </c>
      <c r="F6368" s="32" t="n">
        <f aca="false">Sens!$F$6362/2</f>
        <v>908.575</v>
      </c>
      <c r="H6368" s="32" t="n">
        <f aca="false">(Sens!$G$6362+Sens!$H$6362)/2</f>
        <v>3634.3</v>
      </c>
      <c r="I6368" s="32" t="n">
        <f aca="false">(Sens!$H$6362+Sens!$I$6362)/2</f>
        <v>7268.6</v>
      </c>
      <c r="J6368" s="32" t="n">
        <f aca="false">(Sens!$I$6362+Sens!$J$6362)/2</f>
        <v>10902.9</v>
      </c>
      <c r="K6368" s="32" t="n">
        <f aca="false">(Sens!$J$6362+Sens!$K$6362)/2</f>
        <v>14005.4835833333</v>
      </c>
      <c r="L6368" s="32" t="n">
        <f aca="false">(Sens!$K$6362+Sens!$L$6362)/2</f>
        <v>16044.6343333333</v>
      </c>
      <c r="M6368" s="32" t="n">
        <f aca="false">(Sens!$L$6362+Sens!$M$6362)/2</f>
        <v>17020.35225</v>
      </c>
    </row>
    <row r="6369" customFormat="false" ht="17.15" hidden="false" customHeight="false" outlineLevel="0" collapsed="false">
      <c r="A6369" s="1" t="s">
        <v>612</v>
      </c>
    </row>
    <row r="6370" customFormat="false" ht="17.15" hidden="false" customHeight="false" outlineLevel="0" collapsed="false">
      <c r="A6370" s="1" t="s">
        <v>613</v>
      </c>
      <c r="B6370" s="8" t="s">
        <v>86</v>
      </c>
      <c r="C6370" s="38" t="n">
        <f aca="false">Sens!$C$6353*rpm_open*Sens!$C$6354/1000</f>
        <v>2.32100535697364</v>
      </c>
      <c r="D6370" s="38" t="n">
        <f aca="false">Sens!$D$6353*rpm_open*Sens!$D$6354/1000</f>
        <v>8.70377008865116</v>
      </c>
      <c r="E6370" s="38" t="n">
        <f aca="false">Sens!$E$6353*rpm_open*Sens!$E$6354/1000</f>
        <v>8.51035297557002</v>
      </c>
      <c r="F6370" s="38" t="n">
        <f aca="false">(mw_open*rpm_open+Sens!$F$6368*Sens!$F$6367)*Sens!$F$6354/1000</f>
        <v>14.9634336447205</v>
      </c>
      <c r="G6370" s="38" t="n">
        <f aca="false">Sens!$E$6370+Sens!$F$6370</f>
        <v>23.4737866202905</v>
      </c>
      <c r="H6370" s="38" t="n">
        <f aca="false">(mw_open*rpm_open+Sens!$H$6368*Sens!$H$6367)/1000</f>
        <v>60.1658907497746</v>
      </c>
      <c r="I6370" s="38" t="n">
        <f aca="false">(mw_open*rpm_open+Sens!$I$6368*Sens!$I$6367)/1000</f>
        <v>101.503699136432</v>
      </c>
      <c r="J6370" s="38" t="n">
        <f aca="false">(mw_open*rpm_open+Sens!$J$6368*Sens!$J$6367)/1000</f>
        <v>143.025407151278</v>
      </c>
      <c r="K6370" s="38" t="n">
        <f aca="false">(mw_open*rpm_open+Sens!$K$6368*Sens!$K$6367)/1000</f>
        <v>178.44812038318</v>
      </c>
      <c r="L6370" s="38" t="n">
        <f aca="false">(mw_open*rpm_open+Sens!$L$6368*Sens!$L$6367)/1000</f>
        <v>201.728101802396</v>
      </c>
      <c r="M6370" s="38" t="n">
        <f aca="false">(mw_open*rpm_open+Sens!$M$6368*Sens!$M$6367)/1000</f>
        <v>212.835441368865</v>
      </c>
      <c r="N6370" s="38" t="n">
        <f aca="false">Sens!$N$6353*rpm_open*Sens!$N$6354/1000</f>
        <v>3.04631953102791</v>
      </c>
      <c r="O6370" s="38" t="n">
        <f aca="false">Sens!$O$6353*rpm_open*Sens!$O$6354/1000</f>
        <v>5.65745055762326</v>
      </c>
      <c r="P6370" s="5" t="s">
        <v>614</v>
      </c>
    </row>
    <row r="6371" customFormat="false" ht="17.15" hidden="false" customHeight="false" outlineLevel="0" collapsed="false">
      <c r="A6371" s="5" t="s">
        <v>615</v>
      </c>
      <c r="B6371" s="0" t="s">
        <v>173</v>
      </c>
      <c r="C6371" s="36" t="n">
        <f aca="false">Sens!$C$6370*1000/(Sens!$C$6353*Sens!$C$6354)</f>
        <v>9.67085565405685</v>
      </c>
      <c r="D6371" s="36" t="n">
        <f aca="false">Sens!$D$6370*1000/(Sens!$D$6353*Sens!$D$6354)</f>
        <v>9.67085565405685</v>
      </c>
      <c r="E6371" s="36" t="n">
        <f aca="false">Sens!$E$6370*1000/(Sens!$E$6353*Sens!$E$6354)</f>
        <v>9.67085565405685</v>
      </c>
      <c r="F6371" s="36" t="n">
        <f aca="false">Sens!$F$6370*1000/(Sens!$F$6353*Sens!$F$6354)</f>
        <v>10.0137581588017</v>
      </c>
      <c r="G6371" s="36" t="n">
        <f aca="false">Sens!$G$6370*1000/(Sens!$G$6353*Sens!$G$6354)</f>
        <v>9.88666562928478</v>
      </c>
      <c r="H6371" s="36" t="n">
        <f aca="false">Sens!$H$6370*1000/(Sens!$H$6353*Sens!$H$6354)</f>
        <v>10.5290045586992</v>
      </c>
      <c r="I6371" s="36" t="n">
        <f aca="false">Sens!$I$6370*1000/(Sens!$I$6353*Sens!$I$6354)</f>
        <v>10.8576363451674</v>
      </c>
      <c r="J6371" s="36" t="n">
        <f aca="false">Sens!$J$6370*1000/(Sens!$J$6353*Sens!$J$6354)</f>
        <v>11.0164452588619</v>
      </c>
      <c r="K6371" s="36" t="n">
        <f aca="false">Sens!$K$6370*1000/(Sens!$K$6353*Sens!$K$6354)</f>
        <v>11.0937367508227</v>
      </c>
      <c r="L6371" s="36" t="n">
        <f aca="false">Sens!$L$6370*1000/(Sens!$L$6353*Sens!$L$6354)</f>
        <v>11.1300508519168</v>
      </c>
      <c r="M6371" s="36" t="n">
        <f aca="false">Sens!$M$6370*1000/(Sens!$M$6353*Sens!$M$6354)</f>
        <v>11.1430113216297</v>
      </c>
      <c r="N6371" s="36" t="n">
        <f aca="false">Sens!$N$6370*1000/(Sens!$N$6353*Sens!$N$6354)</f>
        <v>9.67085565405685</v>
      </c>
      <c r="O6371" s="36" t="n">
        <f aca="false">Sens!$O$6370*1000/(Sens!$O$6353*Sens!$O$6354)</f>
        <v>9.67085565405685</v>
      </c>
    </row>
    <row r="6372" customFormat="false" ht="17.15" hidden="false" customHeight="false" outlineLevel="0" collapsed="false">
      <c r="A6372" s="0" t="s">
        <v>616</v>
      </c>
      <c r="B6372" s="0" t="s">
        <v>86</v>
      </c>
      <c r="C6372" s="38" t="n">
        <f aca="false">Sens!$C$6353/ext_sh*(ox_open+rent_mw)*Sens!$C$6354/1000</f>
        <v>0.642569210675032</v>
      </c>
      <c r="D6372" s="38" t="n">
        <f aca="false">Sens!$D$6353/ext_sh*(ox_open+rent_mw)*Sens!$D$6354/1000</f>
        <v>2.40963454003137</v>
      </c>
      <c r="E6372" s="38" t="n">
        <f aca="false">Sens!$E$6353/ext_sh*(ox_open+rent_mw)*Sens!$E$6354/1000</f>
        <v>2.35608710580845</v>
      </c>
      <c r="F6372" s="38" t="n">
        <f aca="false">((mw_open*ox_open+Sens!$F$6368*Sens!$F$6366)/ext_sh+Sens!$F$6353/ext_sh*rent_mw)*Sens!$F$6354/1000</f>
        <v>4.05421991106232</v>
      </c>
      <c r="G6372" s="38" t="n">
        <f aca="false">Sens!$E$6372+Sens!$F$6372</f>
        <v>6.41030701687077</v>
      </c>
      <c r="H6372" s="38" t="n">
        <f aca="false">((mw_open*ox_open+Sens!$H$6368*Sens!$H$6366)/ext_sh+Sens!$H$6353/ext_sh*rent_mw)*Sens!$H$6354/1000</f>
        <v>15.8108975546616</v>
      </c>
      <c r="I6372" s="38" t="n">
        <f aca="false">((mw_open*ox_open+Sens!$I$6368*Sens!$I$6366)/ext_sh+Sens!$I$6353/ext_sh*rent_mw)*Sens!$I$6354/1000</f>
        <v>26.1871623400817</v>
      </c>
      <c r="J6372" s="38" t="n">
        <f aca="false">((mw_open*ox_open+Sens!$J$6368*Sens!$J$6366)/ext_sh+Sens!$J$6353/ext_sh*rent_mw)*Sens!$J$6354/1000</f>
        <v>36.5826128954935</v>
      </c>
      <c r="K6372" s="38" t="n">
        <f aca="false">((mw_open*ox_open+Sens!$K$6368*Sens!$K$6366)/ext_sh+Sens!$K$6353/ext_sh*rent_mw)*Sens!$K$6354/1000</f>
        <v>45.4546361137628</v>
      </c>
      <c r="L6372" s="38" t="n">
        <f aca="false">((mw_open*ox_open+Sens!$L$6368*Sens!$L$6366)/ext_sh+Sens!$L$6353/ext_sh*rent_mw)*Sens!$L$6354/1000</f>
        <v>51.2855695554452</v>
      </c>
      <c r="M6372" s="38" t="n">
        <f aca="false">((mw_open*ox_open+Sens!$M$6368*Sens!$M$6366)/ext_sh+Sens!$M$6353/ext_sh*rent_mw)*Sens!$M$6354/1000</f>
        <v>54.0722927838398</v>
      </c>
      <c r="N6372" s="38" t="n">
        <f aca="false">Sens!$N$6353/ext_sh*(ox_open+rent_mw)*Sens!$N$6354/1000</f>
        <v>0.84337208901098</v>
      </c>
      <c r="O6372" s="38" t="n">
        <f aca="false">Sens!$O$6353/ext_sh*(ox_open+rent_mw)*Sens!$O$6354/1000</f>
        <v>1.56626245102039</v>
      </c>
    </row>
    <row r="6373" customFormat="false" ht="17.15" hidden="false" customHeight="false" outlineLevel="0" collapsed="false">
      <c r="A6373" s="0" t="s">
        <v>617</v>
      </c>
      <c r="B6373" s="0" t="s">
        <v>86</v>
      </c>
      <c r="C6373" s="38" t="n">
        <f aca="false">Q!$D$7</f>
        <v>107.556</v>
      </c>
      <c r="D6373" s="38" t="n">
        <f aca="false">Q!$E$7</f>
        <v>128.725</v>
      </c>
      <c r="E6373" s="38" t="n">
        <f aca="false">Q!$P$7</f>
        <v>79.819</v>
      </c>
      <c r="N6373" s="38" t="n">
        <f aca="false">Q!$N$7</f>
        <v>60.14</v>
      </c>
      <c r="O6373" s="38" t="n">
        <f aca="false">Q!$O$7</f>
        <v>68.585</v>
      </c>
    </row>
    <row r="6374" customFormat="false" ht="17.15" hidden="false" customHeight="false" outlineLevel="0" collapsed="false">
      <c r="A6374" s="1" t="s">
        <v>618</v>
      </c>
      <c r="B6374" s="8" t="s">
        <v>86</v>
      </c>
      <c r="C6374" s="38" t="n">
        <f aca="false">Sens!$C$6373-Sens!$C$6370</f>
        <v>105.234994643026</v>
      </c>
      <c r="D6374" s="38" t="n">
        <f aca="false">Sens!$D$6373-Sens!$D$6370</f>
        <v>120.021229911349</v>
      </c>
      <c r="E6374" s="38" t="n">
        <f aca="false">Sens!$E$6373-Sens!$E$6370</f>
        <v>71.30864702443</v>
      </c>
      <c r="F6374" s="38" t="n">
        <f aca="false">Sens!$O$6374*(1+Sens!$F$6375)</f>
        <v>71.7692997942464</v>
      </c>
      <c r="G6374" s="38" t="n">
        <f aca="false">Sens!$E$6374+Sens!$F$6374</f>
        <v>143.077946818676</v>
      </c>
      <c r="H6374" s="38" t="n">
        <f aca="false">Sens!$G$6374*(1+Sens!$H$6375)</f>
        <v>161.017077079203</v>
      </c>
      <c r="I6374" s="38" t="n">
        <f aca="false">Sens!$H$6374*(1+Sens!$I$6375)</f>
        <v>178.769759521457</v>
      </c>
      <c r="J6374" s="38" t="n">
        <f aca="false">Sens!$I$6374*(1+Sens!$J$6375)</f>
        <v>195.775538045907</v>
      </c>
      <c r="K6374" s="38" t="n">
        <f aca="false">Sens!$J$6374*(1+Sens!$K$6375)</f>
        <v>211.43758108958</v>
      </c>
      <c r="L6374" s="38" t="n">
        <f aca="false">Sens!$K$6374*(1+Sens!$L$6375)</f>
        <v>228.352587576746</v>
      </c>
      <c r="M6374" s="38" t="n">
        <f aca="false">Sens!$L$6374*(1+Sens!$M$6375)</f>
        <v>246.620794582886</v>
      </c>
      <c r="N6374" s="38" t="n">
        <f aca="false">Sens!$N$6373-Sens!$N$6370</f>
        <v>57.0936804689721</v>
      </c>
      <c r="O6374" s="38" t="n">
        <f aca="false">Sens!$O$6373-Sens!$O$6370</f>
        <v>62.9275494423768</v>
      </c>
      <c r="P6374" s="5" t="s">
        <v>619</v>
      </c>
    </row>
    <row r="6375" customFormat="false" ht="17.15" hidden="false" customHeight="false" outlineLevel="0" collapsed="false">
      <c r="A6375" s="0" t="s">
        <v>620</v>
      </c>
      <c r="B6375" s="0" t="s">
        <v>52</v>
      </c>
      <c r="D6375" s="13" t="n">
        <f aca="false">Sens!$D$6374/Sens!$C$6374-1</f>
        <v>0.140506827776062</v>
      </c>
      <c r="E6375" s="13" t="n">
        <f aca="false">Sens!$E$6374/Sens!$N$6374-1</f>
        <v>0.248976181579029</v>
      </c>
      <c r="F6375" s="13" t="n">
        <f aca="false">Sens!$D$6375</f>
        <v>0.140506827776062</v>
      </c>
      <c r="G6375" s="13" t="n">
        <f aca="false">Sens!$G$6374/Sens!$D$6374-1</f>
        <v>0.19210532106993</v>
      </c>
      <c r="H6375" s="13" t="n">
        <f aca="false">Sens!$F$6375+(g_awso_lt-Sens!$F$6375)*1/4</f>
        <v>0.125380120832046</v>
      </c>
      <c r="I6375" s="13" t="n">
        <f aca="false">Sens!$F$6375+(g_awso_lt-Sens!$F$6375)*2/4</f>
        <v>0.110253413888031</v>
      </c>
      <c r="J6375" s="13" t="n">
        <f aca="false">Sens!$F$6375+(g_awso_lt-Sens!$F$6375)*3/4</f>
        <v>0.0951267069440154</v>
      </c>
      <c r="K6375" s="13" t="n">
        <f aca="false">Sens!$F$6375+(g_awso_lt-Sens!$F$6375)*4/4</f>
        <v>0.08</v>
      </c>
      <c r="L6375" s="13" t="n">
        <f aca="false">g_awso_lt</f>
        <v>0.08</v>
      </c>
      <c r="M6375" s="13" t="n">
        <f aca="false">g_awso_lt</f>
        <v>0.08</v>
      </c>
      <c r="P6375" s="5" t="s">
        <v>621</v>
      </c>
    </row>
    <row r="6376" customFormat="false" ht="17.15" hidden="false" customHeight="false" outlineLevel="0" collapsed="false">
      <c r="A6376" s="1" t="s">
        <v>622</v>
      </c>
    </row>
    <row r="6377" customFormat="false" ht="17.15" hidden="false" customHeight="false" outlineLevel="0" collapsed="false">
      <c r="A6377" s="0" t="s">
        <v>623</v>
      </c>
      <c r="B6377" s="0" t="s">
        <v>86</v>
      </c>
      <c r="F6377" s="38" t="n">
        <f aca="false">cx_rt*Sens!$F$6342+cx_awso*Sens!$F$6374</f>
        <v>34.9734495387866</v>
      </c>
    </row>
    <row r="6378" customFormat="false" ht="17.15" hidden="false" customHeight="false" outlineLevel="0" collapsed="false">
      <c r="A6378" s="0" t="s">
        <v>624</v>
      </c>
      <c r="B6378" s="0" t="s">
        <v>52</v>
      </c>
      <c r="C6378" s="13" t="n">
        <f aca="false">tk_cx_h100/(tk_cx_h100+tk_fac*(1-colo_sh))</f>
        <v>0.730756458006641</v>
      </c>
      <c r="D6378" s="13" t="n">
        <f aca="false">tk_cx_h100/(tk_cx_h100+tk_fac*(1-colo_sh))</f>
        <v>0.730756458006641</v>
      </c>
      <c r="E6378" s="13" t="n">
        <f aca="false">Sens!$F$6378</f>
        <v>0.760792334328868</v>
      </c>
      <c r="F6378" s="13" t="n">
        <f aca="false">Sens!$F$6361/(Sens!$F$6361+tk_fac*(1-colo_sh))</f>
        <v>0.760792334328868</v>
      </c>
      <c r="G6378" s="13" t="n">
        <f aca="false">Sens!$G$6361/(Sens!$G$6361+tk_fac*(1-colo_sh))</f>
        <v>0.760792334328868</v>
      </c>
      <c r="H6378" s="13" t="n">
        <f aca="false">Sens!$H$6361/(Sens!$H$6361+tk_fac*(1-colo_sh))</f>
        <v>0.768110668862996</v>
      </c>
      <c r="I6378" s="13" t="n">
        <f aca="false">Sens!$I$6361/(Sens!$I$6361+tk_fac*(1-colo_sh))</f>
        <v>0.77499450139483</v>
      </c>
      <c r="J6378" s="13" t="n">
        <f aca="false">Sens!$J$6361/(Sens!$J$6361+tk_fac*(1-colo_sh))</f>
        <v>0.77499450139483</v>
      </c>
      <c r="K6378" s="13" t="n">
        <f aca="false">Sens!$K$6361/(Sens!$K$6361+tk_fac*(1-colo_sh))</f>
        <v>0.77499450139483</v>
      </c>
      <c r="L6378" s="13" t="n">
        <f aca="false">Sens!$L$6361/(Sens!$L$6361+tk_fac*(1-colo_sh))</f>
        <v>0.77499450139483</v>
      </c>
      <c r="M6378" s="13" t="n">
        <f aca="false">Sens!$M$6361/(Sens!$M$6361+tk_fac*(1-colo_sh))</f>
        <v>0.77499450139483</v>
      </c>
    </row>
    <row r="6379" customFormat="false" ht="17.15" hidden="false" customHeight="false" outlineLevel="0" collapsed="false">
      <c r="A6379" s="1" t="s">
        <v>625</v>
      </c>
      <c r="B6379" s="8" t="s">
        <v>86</v>
      </c>
      <c r="C6379" s="38" t="n">
        <f aca="false">Q!$D$46-cx_rt*Q!$D$16-cx_awso*Sens!$C$6374</f>
        <v>25.2781053077374</v>
      </c>
      <c r="D6379" s="38" t="n">
        <f aca="false">Q!$E$46-cx_rt*Q!$E$16-cx_awso*Sens!$D$6374</f>
        <v>69.5686316310026</v>
      </c>
      <c r="E6379" s="38" t="n">
        <f aca="false">Q!$P$46-cx_rt*Q!$P$16-cx_awso*Sens!$E$6374</f>
        <v>64.1899206485108</v>
      </c>
      <c r="F6379" s="38" t="n">
        <f aca="false">MAX(Sens!$F$6356*(Sens!$F$6361+tk_fac*(1-colo_sh))/1000,capex_g26-Q!$P$46-Sens!$F$6377)</f>
        <v>96.2481299895</v>
      </c>
      <c r="G6379" s="38" t="n">
        <f aca="false">Sens!$E$6379+Sens!$F$6379</f>
        <v>160.438050638011</v>
      </c>
      <c r="H6379" s="38" t="n">
        <f aca="false">Sens!$H$6356*(Sens!$H$6361+tk_fac*(1-colo_sh))/1000+Sens!$H$6380</f>
        <v>198.57136494475</v>
      </c>
      <c r="I6379" s="38" t="n">
        <f aca="false">Sens!$I$6356*(Sens!$I$6361+tk_fac*(1-colo_sh))/1000+Sens!$I$6380</f>
        <v>204.6464699105</v>
      </c>
      <c r="J6379" s="38" t="n">
        <f aca="false">Sens!$J$6356*(Sens!$J$6361+tk_fac*(1-colo_sh))/1000+Sens!$J$6380</f>
        <v>209.8832381105</v>
      </c>
      <c r="K6379" s="38" t="n">
        <f aca="false">Sens!$K$6356*(Sens!$K$6361+tk_fac*(1-colo_sh))/1000+Sens!$K$6380</f>
        <v>155.238385275201</v>
      </c>
      <c r="L6379" s="38" t="n">
        <f aca="false">Sens!$L$6356*(Sens!$L$6361+tk_fac*(1-colo_sh))/1000+Sens!$L$6380</f>
        <v>132.014141639902</v>
      </c>
      <c r="M6379" s="38" t="n">
        <f aca="false">Sens!$M$6356*(Sens!$M$6361+tk_fac*(1-colo_sh))/1000+Sens!$M$6380</f>
        <v>132.230981659852</v>
      </c>
      <c r="P6379" s="5" t="s">
        <v>626</v>
      </c>
      <c r="R6379" s="38" t="n">
        <f aca="false">Q!$C$46-cx_rt*Q!$C$16-cx_awso*(Q!$C$7-mw_ye23/2*rpm_open/1000)</f>
        <v>1.50429979529945</v>
      </c>
      <c r="S6379" s="38" t="n">
        <f aca="false">Sens!$C$6379</f>
        <v>25.2781053077374</v>
      </c>
      <c r="T6379" s="38" t="n">
        <f aca="false">Sens!$D$6379</f>
        <v>69.5686316310026</v>
      </c>
      <c r="U6379" s="38" t="n">
        <f aca="false">Sens!$G$6379</f>
        <v>160.438050638011</v>
      </c>
      <c r="V6379" s="38" t="n">
        <f aca="false">Sens!$H$6379</f>
        <v>198.57136494475</v>
      </c>
      <c r="W6379" s="38" t="n">
        <f aca="false">Sens!$I$6379</f>
        <v>204.6464699105</v>
      </c>
      <c r="X6379" s="38" t="n">
        <f aca="false">Sens!$J$6379</f>
        <v>209.8832381105</v>
      </c>
      <c r="Y6379" s="38" t="n">
        <f aca="false">Sens!$K$6379</f>
        <v>155.238385275201</v>
      </c>
      <c r="Z6379" s="38" t="n">
        <f aca="false">Sens!$L$6379</f>
        <v>132.014141639902</v>
      </c>
      <c r="AA6379" s="38" t="n">
        <f aca="false">Sens!$M$6379</f>
        <v>132.230981659852</v>
      </c>
    </row>
    <row r="6380" customFormat="false" ht="17.15" hidden="false" customHeight="false" outlineLevel="0" collapsed="false">
      <c r="A6380" s="0" t="s">
        <v>627</v>
      </c>
      <c r="B6380" s="0" t="s">
        <v>86</v>
      </c>
      <c r="H6380" s="38" t="n">
        <f aca="false">SUMPRODUCT(--(Sens!$R$6349:$AA$6349=2027-tk_life),Sens!$R$6356:$AA$6356)*Sens!$H$6361/1000</f>
        <v>0</v>
      </c>
      <c r="I6380" s="38" t="n">
        <f aca="false">SUMPRODUCT(--(Sens!$R$6349:$AA$6349=2028-tk_life),Sens!$R$6356:$AA$6356)*Sens!$I$6361/1000</f>
        <v>0</v>
      </c>
      <c r="J6380" s="38" t="n">
        <f aca="false">SUMPRODUCT(--(Sens!$R$6349:$AA$6349=2029-tk_life),Sens!$R$6356:$AA$6356)*Sens!$J$6361/1000</f>
        <v>5.2367682</v>
      </c>
      <c r="K6380" s="38" t="n">
        <f aca="false">SUMPRODUCT(--(Sens!$R$6349:$AA$6349=2030-tk_life),Sens!$R$6356:$AA$6356)*Sens!$K$6361/1000</f>
        <v>10.4735364</v>
      </c>
      <c r="L6380" s="38" t="n">
        <f aca="false">SUMPRODUCT(--(Sens!$R$6349:$AA$6349=2031-tk_life),Sens!$R$6356:$AA$6356)*Sens!$L$6361/1000</f>
        <v>47.1309138</v>
      </c>
      <c r="M6380" s="38" t="n">
        <f aca="false">SUMPRODUCT(--(Sens!$R$6349:$AA$6349=2032-tk_life),Sens!$R$6356:$AA$6356)*Sens!$M$6361/1000</f>
        <v>107.22937485525</v>
      </c>
    </row>
    <row r="6381" customFormat="false" ht="17.15" hidden="false" customHeight="false" outlineLevel="0" collapsed="false">
      <c r="A6381" s="5" t="s">
        <v>628</v>
      </c>
      <c r="B6381" s="0" t="s">
        <v>86</v>
      </c>
      <c r="C6381" s="38" t="n">
        <f aca="false">Sens!$C$6379*Sens!$C$6378</f>
        <v>18.472138699801</v>
      </c>
      <c r="D6381" s="38" t="n">
        <f aca="false">Sens!$D$6379*Sens!$D$6378</f>
        <v>50.8377268390402</v>
      </c>
      <c r="E6381" s="38" t="n">
        <f aca="false">Sens!$E$6379*Sens!$E$6378</f>
        <v>48.8351995705653</v>
      </c>
      <c r="F6381" s="38" t="n">
        <f aca="false">Sens!$F$6379*Sens!$F$6378</f>
        <v>73.2248394895</v>
      </c>
      <c r="G6381" s="38" t="n">
        <f aca="false">Sens!$E$6381+Sens!$F$6381</f>
        <v>122.060039060065</v>
      </c>
      <c r="H6381" s="38" t="n">
        <f aca="false">(Sens!$H$6379-Sens!$H$6380)*Sens!$H$6378+Sens!$H$6380</f>
        <v>152.52478394475</v>
      </c>
      <c r="I6381" s="38" t="n">
        <f aca="false">(Sens!$I$6379-Sens!$I$6380)*Sens!$I$6378+Sens!$I$6380</f>
        <v>158.5998889105</v>
      </c>
      <c r="J6381" s="38" t="n">
        <f aca="false">(Sens!$J$6379-Sens!$J$6380)*Sens!$J$6378+Sens!$J$6380</f>
        <v>163.8366571105</v>
      </c>
      <c r="K6381" s="38" t="n">
        <f aca="false">(Sens!$K$6379-Sens!$K$6380)*Sens!$K$6378+Sens!$K$6380</f>
        <v>122.665498273534</v>
      </c>
      <c r="L6381" s="38" t="n">
        <f aca="false">(Sens!$L$6379-Sens!$L$6380)*Sens!$L$6378+Sens!$L$6380</f>
        <v>112.914948636568</v>
      </c>
      <c r="M6381" s="38" t="n">
        <f aca="false">(Sens!$M$6379-Sens!$M$6380)*Sens!$M$6378+Sens!$M$6380</f>
        <v>126.605482654852</v>
      </c>
      <c r="R6381" s="38" t="n">
        <f aca="false">Sens!$R$6379*Sens!$C$6378</f>
        <v>1.09927679019314</v>
      </c>
      <c r="S6381" s="38" t="n">
        <f aca="false">Sens!$C$6381</f>
        <v>18.472138699801</v>
      </c>
      <c r="T6381" s="38" t="n">
        <f aca="false">Sens!$D$6381</f>
        <v>50.8377268390402</v>
      </c>
      <c r="U6381" s="38" t="n">
        <f aca="false">Sens!$G$6381</f>
        <v>122.060039060065</v>
      </c>
      <c r="V6381" s="38" t="n">
        <f aca="false">Sens!$H$6381</f>
        <v>152.52478394475</v>
      </c>
      <c r="W6381" s="38" t="n">
        <f aca="false">Sens!$I$6381</f>
        <v>158.5998889105</v>
      </c>
      <c r="X6381" s="38" t="n">
        <f aca="false">Sens!$J$6381</f>
        <v>163.8366571105</v>
      </c>
      <c r="Y6381" s="38" t="n">
        <f aca="false">Sens!$K$6381</f>
        <v>122.665498273534</v>
      </c>
      <c r="Z6381" s="38" t="n">
        <f aca="false">Sens!$L$6381</f>
        <v>112.914948636568</v>
      </c>
      <c r="AA6381" s="38" t="n">
        <f aca="false">Sens!$M$6381</f>
        <v>126.605482654852</v>
      </c>
    </row>
    <row r="6382" customFormat="false" ht="15" hidden="false" customHeight="false" outlineLevel="0" collapsed="false">
      <c r="A6382" s="5" t="s">
        <v>629</v>
      </c>
      <c r="B6382" s="0" t="s">
        <v>86</v>
      </c>
      <c r="C6382" s="38" t="n">
        <f aca="false">Sens!$C$6379-Sens!$C$6381</f>
        <v>6.80596660793636</v>
      </c>
      <c r="D6382" s="38" t="n">
        <f aca="false">Sens!$D$6379-Sens!$D$6381</f>
        <v>18.7309047919624</v>
      </c>
      <c r="E6382" s="38" t="n">
        <f aca="false">Sens!$E$6379-Sens!$E$6381</f>
        <v>15.3547210779455</v>
      </c>
      <c r="F6382" s="38" t="n">
        <f aca="false">Sens!$F$6379-Sens!$F$6381</f>
        <v>23.0232905</v>
      </c>
      <c r="G6382" s="38" t="n">
        <f aca="false">Sens!$G$6379-Sens!$G$6381</f>
        <v>38.3780115779455</v>
      </c>
      <c r="H6382" s="38" t="n">
        <f aca="false">Sens!$H$6379-Sens!$H$6381</f>
        <v>46.046581</v>
      </c>
      <c r="I6382" s="38" t="n">
        <f aca="false">Sens!$I$6379-Sens!$I$6381</f>
        <v>46.046581</v>
      </c>
      <c r="J6382" s="38" t="n">
        <f aca="false">Sens!$J$6379-Sens!$J$6381</f>
        <v>46.046581</v>
      </c>
      <c r="K6382" s="38" t="n">
        <f aca="false">Sens!$K$6379-Sens!$K$6381</f>
        <v>32.5728870016667</v>
      </c>
      <c r="L6382" s="38" t="n">
        <f aca="false">Sens!$L$6379-Sens!$L$6381</f>
        <v>19.0991930033334</v>
      </c>
      <c r="M6382" s="38" t="n">
        <f aca="false">Sens!$M$6379-Sens!$M$6381</f>
        <v>5.62549900499998</v>
      </c>
      <c r="R6382" s="38" t="n">
        <f aca="false">Sens!$R$6379-Sens!$R$6381</f>
        <v>0.405023005106309</v>
      </c>
      <c r="S6382" s="38" t="n">
        <f aca="false">Sens!$S$6379-Sens!$S$6381</f>
        <v>6.80596660793636</v>
      </c>
      <c r="T6382" s="38" t="n">
        <f aca="false">Sens!$T$6379-Sens!$T$6381</f>
        <v>18.7309047919624</v>
      </c>
      <c r="U6382" s="38" t="n">
        <f aca="false">Sens!$U$6379-Sens!$U$6381</f>
        <v>38.3780115779455</v>
      </c>
      <c r="V6382" s="38" t="n">
        <f aca="false">Sens!$V$6379-Sens!$V$6381</f>
        <v>46.046581</v>
      </c>
      <c r="W6382" s="38" t="n">
        <f aca="false">Sens!$W$6379-Sens!$W$6381</f>
        <v>46.046581</v>
      </c>
      <c r="X6382" s="38" t="n">
        <f aca="false">Sens!$X$6379-Sens!$X$6381</f>
        <v>46.046581</v>
      </c>
      <c r="Y6382" s="38" t="n">
        <f aca="false">Sens!$Y$6379-Sens!$Y$6381</f>
        <v>32.5728870016667</v>
      </c>
      <c r="Z6382" s="38" t="n">
        <f aca="false">Sens!$Z$6379-Sens!$Z$6381</f>
        <v>19.0991930033334</v>
      </c>
      <c r="AA6382" s="38" t="n">
        <f aca="false">Sens!$AA$6379-Sens!$AA$6381</f>
        <v>5.62549900499998</v>
      </c>
    </row>
    <row r="6383" customFormat="false" ht="17.15" hidden="false" customHeight="false" outlineLevel="0" collapsed="false">
      <c r="A6383" s="0" t="s">
        <v>630</v>
      </c>
      <c r="B6383" s="0" t="s">
        <v>52</v>
      </c>
      <c r="C6383" s="13" t="n">
        <f aca="false">Sens!$C$6379/Sens!$C$6499</f>
        <v>0.325505489553393</v>
      </c>
      <c r="D6383" s="13" t="n">
        <f aca="false">Sens!$D$6379/Sens!$D$6499</f>
        <v>0.54214956071542</v>
      </c>
      <c r="E6383" s="13" t="n">
        <f aca="false">Sens!$E$6379/Sens!$E$6499</f>
        <v>0.666492790452817</v>
      </c>
      <c r="F6383" s="13" t="n">
        <f aca="false">Sens!$F$6379/Sens!$F$6499</f>
        <v>0.733477910687338</v>
      </c>
      <c r="G6383" s="13" t="n">
        <f aca="false">Sens!$G$6379/Sens!$G$6499</f>
        <v>0.705124321514523</v>
      </c>
      <c r="H6383" s="13" t="n">
        <f aca="false">Sens!$H$6379/Sens!$H$6499</f>
        <v>0.726376041178204</v>
      </c>
      <c r="I6383" s="13" t="n">
        <f aca="false">Sens!$I$6379/Sens!$I$6499</f>
        <v>0.713099092661699</v>
      </c>
      <c r="J6383" s="13" t="n">
        <f aca="false">Sens!$J$6379/Sens!$J$6499</f>
        <v>0.701208348786245</v>
      </c>
      <c r="K6383" s="13" t="n">
        <f aca="false">Sens!$K$6379/Sens!$K$6499</f>
        <v>0.618338844562383</v>
      </c>
      <c r="L6383" s="13" t="n">
        <f aca="false">Sens!$L$6379/Sens!$L$6499</f>
        <v>0.562489158462506</v>
      </c>
      <c r="M6383" s="13" t="n">
        <f aca="false">Sens!$M$6379/Sens!$M$6499</f>
        <v>0.545751190895923</v>
      </c>
    </row>
    <row r="6384" customFormat="false" ht="17.15" hidden="false" customHeight="false" outlineLevel="0" collapsed="false">
      <c r="A6384" s="0" t="s">
        <v>631</v>
      </c>
      <c r="B6384" s="0" t="s">
        <v>86</v>
      </c>
      <c r="C6384" s="38" t="n">
        <f aca="false">Sens!$S$6384</f>
        <v>0.183212798365523</v>
      </c>
      <c r="D6384" s="38" t="n">
        <f aca="false">Sens!$T$6384</f>
        <v>3.2619025816657</v>
      </c>
      <c r="E6384" s="38" t="n">
        <f aca="false">Sens!$G$6384/2</f>
        <v>5.86742852741953</v>
      </c>
      <c r="F6384" s="38" t="n">
        <f aca="false">Sens!$G$6384/2</f>
        <v>5.86742852741953</v>
      </c>
      <c r="G6384" s="38" t="n">
        <f aca="false">Sens!$U$6384</f>
        <v>11.7348570548391</v>
      </c>
      <c r="H6384" s="38" t="n">
        <f aca="false">Sens!$V$6384</f>
        <v>32.0781968981833</v>
      </c>
      <c r="I6384" s="38" t="n">
        <f aca="false">Sens!$W$6384</f>
        <v>57.4989942223083</v>
      </c>
      <c r="J6384" s="38" t="n">
        <f aca="false">Sens!$X$6384</f>
        <v>83.932309040725</v>
      </c>
      <c r="K6384" s="38" t="n">
        <f aca="false">Sens!$Y$6384</f>
        <v>111.055205760776</v>
      </c>
      <c r="L6384" s="38" t="n">
        <f aca="false">Sens!$Z$6384</f>
        <v>128.420765689732</v>
      </c>
      <c r="M6384" s="38" t="n">
        <f aca="false">Sens!$AA$6384</f>
        <v>138.766969322653</v>
      </c>
      <c r="N6384" s="38" t="n">
        <f aca="false">Sens!$D$6384/2</f>
        <v>1.63095129083285</v>
      </c>
      <c r="O6384" s="38" t="n">
        <f aca="false">Sens!$D$6384/2</f>
        <v>1.63095129083285</v>
      </c>
      <c r="R6384" s="38" t="n">
        <f aca="false">SUMPRODUCT(--(Sens!$R$6349:$AA$6349&lt;Sens!R$6349),--(Sens!$R$6349:$AA$6349&gt;=Sens!R$6349-tk_life),Sens!$R$6381:$AA$6381)/tk_life</f>
        <v>0</v>
      </c>
      <c r="S6384" s="38" t="n">
        <f aca="false">SUMPRODUCT(--(Sens!$R$6349:$AA$6349&lt;Sens!S$6349),--(Sens!$R$6349:$AA$6349&gt;=Sens!S$6349-tk_life),Sens!$R$6381:$AA$6381)/tk_life</f>
        <v>0.183212798365523</v>
      </c>
      <c r="T6384" s="38" t="n">
        <f aca="false">SUMPRODUCT(--(Sens!$R$6349:$AA$6349&lt;Sens!T$6349),--(Sens!$R$6349:$AA$6349&gt;=Sens!T$6349-tk_life),Sens!$R$6381:$AA$6381)/tk_life</f>
        <v>3.2619025816657</v>
      </c>
      <c r="U6384" s="38" t="n">
        <f aca="false">SUMPRODUCT(--(Sens!$R$6349:$AA$6349&lt;Sens!U$6349),--(Sens!$R$6349:$AA$6349&gt;=Sens!U$6349-tk_life),Sens!$R$6381:$AA$6381)/tk_life</f>
        <v>11.7348570548391</v>
      </c>
      <c r="V6384" s="38" t="n">
        <f aca="false">SUMPRODUCT(--(Sens!$R$6349:$AA$6349&lt;Sens!V$6349),--(Sens!$R$6349:$AA$6349&gt;=Sens!V$6349-tk_life),Sens!$R$6381:$AA$6381)/tk_life</f>
        <v>32.0781968981833</v>
      </c>
      <c r="W6384" s="38" t="n">
        <f aca="false">SUMPRODUCT(--(Sens!$R$6349:$AA$6349&lt;Sens!W$6349),--(Sens!$R$6349:$AA$6349&gt;=Sens!W$6349-tk_life),Sens!$R$6381:$AA$6381)/tk_life</f>
        <v>57.4989942223083</v>
      </c>
      <c r="X6384" s="38" t="n">
        <f aca="false">SUMPRODUCT(--(Sens!$R$6349:$AA$6349&lt;Sens!X$6349),--(Sens!$R$6349:$AA$6349&gt;=Sens!X$6349-tk_life),Sens!$R$6381:$AA$6381)/tk_life</f>
        <v>83.932309040725</v>
      </c>
      <c r="Y6384" s="38" t="n">
        <f aca="false">SUMPRODUCT(--(Sens!$R$6349:$AA$6349&lt;Sens!Y$6349),--(Sens!$R$6349:$AA$6349&gt;=Sens!Y$6349-tk_life),Sens!$R$6381:$AA$6381)/tk_life</f>
        <v>111.055205760776</v>
      </c>
      <c r="Z6384" s="38" t="n">
        <f aca="false">SUMPRODUCT(--(Sens!$R$6349:$AA$6349&lt;Sens!Z$6349),--(Sens!$R$6349:$AA$6349&gt;=Sens!Z$6349-tk_life),Sens!$R$6381:$AA$6381)/tk_life</f>
        <v>128.420765689732</v>
      </c>
      <c r="AA6384" s="38" t="n">
        <f aca="false">SUMPRODUCT(--(Sens!$R$6349:$AA$6349&lt;Sens!AA$6349),--(Sens!$R$6349:$AA$6349&gt;=Sens!AA$6349-tk_life),Sens!$R$6381:$AA$6381)/tk_life</f>
        <v>138.766969322653</v>
      </c>
    </row>
    <row r="6385" customFormat="false" ht="17.15" hidden="false" customHeight="false" outlineLevel="0" collapsed="false">
      <c r="A6385" s="0" t="s">
        <v>632</v>
      </c>
      <c r="B6385" s="0" t="s">
        <v>86</v>
      </c>
      <c r="C6385" s="38" t="n">
        <f aca="false">Sens!$S$6385</f>
        <v>0.0202511502553155</v>
      </c>
      <c r="D6385" s="38" t="n">
        <f aca="false">Sens!$T$6385</f>
        <v>0.360549480652134</v>
      </c>
      <c r="E6385" s="38" t="n">
        <f aca="false">Sens!$G$6385/2</f>
        <v>0.648547360125127</v>
      </c>
      <c r="F6385" s="38" t="n">
        <f aca="false">Sens!$G$6385/2</f>
        <v>0.648547360125127</v>
      </c>
      <c r="G6385" s="38" t="n">
        <f aca="false">Sens!$U$6385</f>
        <v>1.29709472025025</v>
      </c>
      <c r="H6385" s="38" t="n">
        <f aca="false">Sens!$V$6385</f>
        <v>3.21599529914753</v>
      </c>
      <c r="I6385" s="38" t="n">
        <f aca="false">Sens!$W$6385</f>
        <v>5.51832434914753</v>
      </c>
      <c r="J6385" s="38" t="n">
        <f aca="false">Sens!$X$6385</f>
        <v>7.82065339914753</v>
      </c>
      <c r="K6385" s="38" t="n">
        <f aca="false">Sens!$Y$6385</f>
        <v>10.1229824491475</v>
      </c>
      <c r="L6385" s="38" t="n">
        <f aca="false">Sens!$Z$6385</f>
        <v>11.7516267992309</v>
      </c>
      <c r="M6385" s="38" t="n">
        <f aca="false">Sens!$AA$6385</f>
        <v>12.7065864493975</v>
      </c>
      <c r="N6385" s="38" t="n">
        <f aca="false">Sens!$D$6385/2</f>
        <v>0.180274740326067</v>
      </c>
      <c r="O6385" s="38" t="n">
        <f aca="false">Sens!$D$6385/2</f>
        <v>0.180274740326067</v>
      </c>
      <c r="R6385" s="38" t="n">
        <f aca="false">SUMPRODUCT(--(Sens!$R$6349:$AA$6349&lt;Sens!R$6349),Sens!$R$6382:$AA$6382)/fac_life</f>
        <v>0</v>
      </c>
      <c r="S6385" s="38" t="n">
        <f aca="false">SUMPRODUCT(--(Sens!$R$6349:$AA$6349&lt;Sens!S$6349),Sens!$R$6382:$AA$6382)/fac_life</f>
        <v>0.0202511502553155</v>
      </c>
      <c r="T6385" s="38" t="n">
        <f aca="false">SUMPRODUCT(--(Sens!$R$6349:$AA$6349&lt;Sens!T$6349),Sens!$R$6382:$AA$6382)/fac_life</f>
        <v>0.360549480652134</v>
      </c>
      <c r="U6385" s="38" t="n">
        <f aca="false">SUMPRODUCT(--(Sens!$R$6349:$AA$6349&lt;Sens!U$6349),Sens!$R$6382:$AA$6382)/fac_life</f>
        <v>1.29709472025025</v>
      </c>
      <c r="V6385" s="38" t="n">
        <f aca="false">SUMPRODUCT(--(Sens!$R$6349:$AA$6349&lt;Sens!V$6349),Sens!$R$6382:$AA$6382)/fac_life</f>
        <v>3.21599529914753</v>
      </c>
      <c r="W6385" s="38" t="n">
        <f aca="false">SUMPRODUCT(--(Sens!$R$6349:$AA$6349&lt;Sens!W$6349),Sens!$R$6382:$AA$6382)/fac_life</f>
        <v>5.51832434914753</v>
      </c>
      <c r="X6385" s="38" t="n">
        <f aca="false">SUMPRODUCT(--(Sens!$R$6349:$AA$6349&lt;Sens!X$6349),Sens!$R$6382:$AA$6382)/fac_life</f>
        <v>7.82065339914753</v>
      </c>
      <c r="Y6385" s="38" t="n">
        <f aca="false">SUMPRODUCT(--(Sens!$R$6349:$AA$6349&lt;Sens!Y$6349),Sens!$R$6382:$AA$6382)/fac_life</f>
        <v>10.1229824491475</v>
      </c>
      <c r="Z6385" s="38" t="n">
        <f aca="false">SUMPRODUCT(--(Sens!$R$6349:$AA$6349&lt;Sens!Z$6349),Sens!$R$6382:$AA$6382)/fac_life</f>
        <v>11.7516267992309</v>
      </c>
      <c r="AA6385" s="38" t="n">
        <f aca="false">SUMPRODUCT(--(Sens!$R$6349:$AA$6349&lt;Sens!AA$6349),Sens!$R$6382:$AA$6382)/fac_life</f>
        <v>12.7065864493975</v>
      </c>
    </row>
    <row r="6386" customFormat="false" ht="17.15" hidden="false" customHeight="false" outlineLevel="0" collapsed="false">
      <c r="A6386" s="1" t="s">
        <v>633</v>
      </c>
      <c r="B6386" s="8" t="s">
        <v>86</v>
      </c>
      <c r="C6386" s="38" t="n">
        <f aca="false">Sens!$C$6384+Sens!$C$6385</f>
        <v>0.203463948620839</v>
      </c>
      <c r="D6386" s="38" t="n">
        <f aca="false">Sens!$D$6384+Sens!$D$6385</f>
        <v>3.62245206231783</v>
      </c>
      <c r="E6386" s="38" t="n">
        <f aca="false">Sens!$E$6384+Sens!$E$6385</f>
        <v>6.51597588754466</v>
      </c>
      <c r="F6386" s="38" t="n">
        <f aca="false">Sens!$F$6384+Sens!$F$6385</f>
        <v>6.51597588754466</v>
      </c>
      <c r="G6386" s="38" t="n">
        <f aca="false">Sens!$G$6384+Sens!$G$6385</f>
        <v>13.0319517750893</v>
      </c>
      <c r="H6386" s="38" t="n">
        <f aca="false">Sens!$H$6384+Sens!$H$6385</f>
        <v>35.2941921973308</v>
      </c>
      <c r="I6386" s="38" t="n">
        <f aca="false">Sens!$I$6384+Sens!$I$6385</f>
        <v>63.0173185714558</v>
      </c>
      <c r="J6386" s="38" t="n">
        <f aca="false">Sens!$J$6384+Sens!$J$6385</f>
        <v>91.7529624398725</v>
      </c>
      <c r="K6386" s="38" t="n">
        <f aca="false">Sens!$K$6384+Sens!$K$6385</f>
        <v>121.178188209924</v>
      </c>
      <c r="L6386" s="38" t="n">
        <f aca="false">Sens!$L$6384+Sens!$L$6385</f>
        <v>140.172392488963</v>
      </c>
      <c r="M6386" s="38" t="n">
        <f aca="false">Sens!$M$6384+Sens!$M$6385</f>
        <v>151.473555772051</v>
      </c>
      <c r="N6386" s="38" t="n">
        <f aca="false">Sens!$N$6384+Sens!$N$6385</f>
        <v>1.81122603115892</v>
      </c>
      <c r="O6386" s="38" t="n">
        <f aca="false">Sens!$O$6384+Sens!$O$6385</f>
        <v>1.81122603115892</v>
      </c>
      <c r="R6386" s="38" t="n">
        <f aca="false">Sens!$R$6384+Sens!$R$6385</f>
        <v>0</v>
      </c>
      <c r="S6386" s="38" t="n">
        <f aca="false">Sens!$S$6384+Sens!$S$6385</f>
        <v>0.203463948620839</v>
      </c>
      <c r="T6386" s="38" t="n">
        <f aca="false">Sens!$T$6384+Sens!$T$6385</f>
        <v>3.62245206231783</v>
      </c>
      <c r="U6386" s="38" t="n">
        <f aca="false">Sens!$U$6384+Sens!$U$6385</f>
        <v>13.0319517750893</v>
      </c>
      <c r="V6386" s="38" t="n">
        <f aca="false">Sens!$V$6384+Sens!$V$6385</f>
        <v>35.2941921973308</v>
      </c>
      <c r="W6386" s="38" t="n">
        <f aca="false">Sens!$W$6384+Sens!$W$6385</f>
        <v>63.0173185714558</v>
      </c>
      <c r="X6386" s="38" t="n">
        <f aca="false">Sens!$X$6384+Sens!$X$6385</f>
        <v>91.7529624398725</v>
      </c>
      <c r="Y6386" s="38" t="n">
        <f aca="false">Sens!$Y$6384+Sens!$Y$6385</f>
        <v>121.178188209924</v>
      </c>
      <c r="Z6386" s="38" t="n">
        <f aca="false">Sens!$Z$6384+Sens!$Z$6385</f>
        <v>140.172392488963</v>
      </c>
      <c r="AA6386" s="38" t="n">
        <f aca="false">Sens!$AA$6384+Sens!$AA$6385</f>
        <v>151.473555772051</v>
      </c>
    </row>
    <row r="6387" customFormat="false" ht="17.15" hidden="false" customHeight="false" outlineLevel="0" collapsed="false">
      <c r="A6387" s="0" t="s">
        <v>634</v>
      </c>
      <c r="B6387" s="0" t="s">
        <v>86</v>
      </c>
      <c r="C6387" s="38" t="n">
        <f aca="false">Sens!$S$6387</f>
        <v>26.578941154416</v>
      </c>
      <c r="D6387" s="38" t="n">
        <f aca="false">Sens!$T$6387</f>
        <v>92.5251207231008</v>
      </c>
      <c r="G6387" s="38" t="n">
        <f aca="false">Sens!$U$6387</f>
        <v>239.931219586022</v>
      </c>
      <c r="H6387" s="38" t="n">
        <f aca="false">Sens!$V$6387</f>
        <v>403.208392333442</v>
      </c>
      <c r="I6387" s="38" t="n">
        <f aca="false">Sens!$W$6387</f>
        <v>544.837543672486</v>
      </c>
      <c r="J6387" s="38" t="n">
        <f aca="false">Sens!$X$6387</f>
        <v>662.967819343113</v>
      </c>
      <c r="K6387" s="38" t="n">
        <f aca="false">Sens!$Y$6387</f>
        <v>697.028016408391</v>
      </c>
      <c r="L6387" s="38" t="n">
        <f aca="false">Sens!$Z$6387</f>
        <v>688.86976555933</v>
      </c>
      <c r="M6387" s="38" t="n">
        <f aca="false">Sens!$AA$6387</f>
        <v>669.627191447132</v>
      </c>
      <c r="R6387" s="38" t="n">
        <f aca="false">SUM(Sens!$R$6379:$R$6379)-SUM(Sens!$R$6386:$R$6386)</f>
        <v>1.50429979529945</v>
      </c>
      <c r="S6387" s="38" t="n">
        <f aca="false">SUM(Sens!$R$6379:$S$6379)-SUM(Sens!$R$6386:$S$6386)</f>
        <v>26.578941154416</v>
      </c>
      <c r="T6387" s="38" t="n">
        <f aca="false">SUM(Sens!$R$6379:$T$6379)-SUM(Sens!$R$6386:$T$6386)</f>
        <v>92.5251207231008</v>
      </c>
      <c r="U6387" s="38" t="n">
        <f aca="false">SUM(Sens!$R$6379:$U$6379)-SUM(Sens!$R$6386:$U$6386)</f>
        <v>239.931219586022</v>
      </c>
      <c r="V6387" s="38" t="n">
        <f aca="false">SUM(Sens!$R$6379:$V$6379)-SUM(Sens!$R$6386:$V$6386)</f>
        <v>403.208392333442</v>
      </c>
      <c r="W6387" s="38" t="n">
        <f aca="false">SUM(Sens!$R$6379:$W$6379)-SUM(Sens!$R$6386:$W$6386)</f>
        <v>544.837543672486</v>
      </c>
      <c r="X6387" s="38" t="n">
        <f aca="false">SUM(Sens!$R$6379:$X$6379)-SUM(Sens!$R$6386:$X$6386)</f>
        <v>662.967819343113</v>
      </c>
      <c r="Y6387" s="38" t="n">
        <f aca="false">SUM(Sens!$R$6379:$Y$6379)-SUM(Sens!$R$6386:$Y$6386)</f>
        <v>697.028016408391</v>
      </c>
      <c r="Z6387" s="38" t="n">
        <f aca="false">SUM(Sens!$R$6379:$Z$6379)-SUM(Sens!$R$6386:$Z$6386)</f>
        <v>688.86976555933</v>
      </c>
      <c r="AA6387" s="38" t="n">
        <f aca="false">SUM(Sens!$R$6379:$AA$6379)-SUM(Sens!$R$6386:$AA$6386)</f>
        <v>669.627191447132</v>
      </c>
    </row>
    <row r="6388" customFormat="false" ht="17.15" hidden="false" customHeight="false" outlineLevel="0" collapsed="false">
      <c r="A6388" s="1" t="s">
        <v>635</v>
      </c>
    </row>
    <row r="6389" customFormat="false" ht="17.15" hidden="false" customHeight="false" outlineLevel="0" collapsed="false">
      <c r="A6389" s="0" t="s">
        <v>636</v>
      </c>
      <c r="B6389" s="0" t="s">
        <v>86</v>
      </c>
      <c r="C6389" s="38" t="n">
        <f aca="false">Sens!$C$6370-ext_sh*Sens!$C$6372</f>
        <v>1.80694998843362</v>
      </c>
      <c r="D6389" s="38" t="n">
        <f aca="false">Sens!$D$6370-ext_sh*Sens!$D$6372</f>
        <v>6.77606245662607</v>
      </c>
      <c r="E6389" s="38" t="n">
        <f aca="false">Sens!$E$6370-ext_sh*Sens!$E$6372</f>
        <v>6.62548329092326</v>
      </c>
      <c r="F6389" s="38" t="n">
        <f aca="false">Sens!$F$6370-ext_sh*Sens!$F$6372</f>
        <v>11.7200577158706</v>
      </c>
      <c r="G6389" s="38" t="n">
        <f aca="false">Sens!$G$6370-ext_sh*Sens!$G$6372</f>
        <v>18.3455410067939</v>
      </c>
      <c r="H6389" s="38" t="n">
        <f aca="false">Sens!$H$6370-ext_sh*Sens!$H$6372</f>
        <v>47.5171727060453</v>
      </c>
      <c r="I6389" s="38" t="n">
        <f aca="false">Sens!$I$6370-ext_sh*Sens!$I$6372</f>
        <v>80.5539692643667</v>
      </c>
      <c r="J6389" s="38" t="n">
        <f aca="false">Sens!$J$6370-ext_sh*Sens!$J$6372</f>
        <v>113.759316834883</v>
      </c>
      <c r="K6389" s="38" t="n">
        <f aca="false">Sens!$K$6370-ext_sh*Sens!$K$6372</f>
        <v>142.084411492169</v>
      </c>
      <c r="L6389" s="38" t="n">
        <f aca="false">Sens!$L$6370-ext_sh*Sens!$L$6372</f>
        <v>160.69964615804</v>
      </c>
      <c r="M6389" s="38" t="n">
        <f aca="false">Sens!$M$6370-ext_sh*Sens!$M$6372</f>
        <v>169.577607141793</v>
      </c>
      <c r="N6389" s="38" t="n">
        <f aca="false">Sens!$N$6370-ext_sh*Sens!$N$6372</f>
        <v>2.37162185981912</v>
      </c>
      <c r="O6389" s="38" t="n">
        <f aca="false">Sens!$O$6370-ext_sh*Sens!$O$6372</f>
        <v>4.40444059680694</v>
      </c>
    </row>
    <row r="6390" customFormat="false" ht="17.15" hidden="false" customHeight="false" outlineLevel="0" collapsed="false">
      <c r="A6390" s="1" t="s">
        <v>637</v>
      </c>
      <c r="B6390" s="8" t="s">
        <v>86</v>
      </c>
      <c r="C6390" s="38" t="n">
        <f aca="false">Sens!$C$6389-ext_sh*Sens!$C$6386</f>
        <v>1.64417882953695</v>
      </c>
      <c r="D6390" s="38" t="n">
        <f aca="false">Sens!$D$6389-ext_sh*Sens!$D$6386</f>
        <v>3.8781008067718</v>
      </c>
      <c r="E6390" s="38" t="n">
        <f aca="false">Sens!$E$6389-ext_sh*Sens!$E$6386</f>
        <v>1.41270258088753</v>
      </c>
      <c r="F6390" s="38" t="n">
        <f aca="false">Sens!$F$6389-ext_sh*Sens!$F$6386</f>
        <v>6.50727700583486</v>
      </c>
      <c r="G6390" s="38" t="n">
        <f aca="false">Sens!$G$6389-ext_sh*Sens!$G$6386</f>
        <v>7.9199795867224</v>
      </c>
      <c r="H6390" s="38" t="n">
        <f aca="false">Sens!$H$6389-ext_sh*Sens!$H$6386</f>
        <v>19.2818189481807</v>
      </c>
      <c r="I6390" s="38" t="n">
        <f aca="false">Sens!$I$6389-ext_sh*Sens!$I$6386</f>
        <v>30.140114407202</v>
      </c>
      <c r="J6390" s="38" t="n">
        <f aca="false">Sens!$J$6389-ext_sh*Sens!$J$6386</f>
        <v>40.3569468829854</v>
      </c>
      <c r="K6390" s="38" t="n">
        <f aca="false">Sens!$K$6389-ext_sh*Sens!$K$6386</f>
        <v>45.1418609242305</v>
      </c>
      <c r="L6390" s="38" t="n">
        <f aca="false">Sens!$L$6389-ext_sh*Sens!$L$6386</f>
        <v>48.5617321668703</v>
      </c>
      <c r="M6390" s="38" t="n">
        <f aca="false">Sens!$M$6389-ext_sh*Sens!$M$6386</f>
        <v>48.3987625241529</v>
      </c>
      <c r="N6390" s="38" t="n">
        <f aca="false">Sens!$N$6389-ext_sh*Sens!$N$6386</f>
        <v>0.92264103489199</v>
      </c>
      <c r="O6390" s="38" t="n">
        <f aca="false">Sens!$O$6389-ext_sh*Sens!$O$6386</f>
        <v>2.95545977187981</v>
      </c>
    </row>
    <row r="6391" customFormat="false" ht="17.15" hidden="false" customHeight="false" outlineLevel="0" collapsed="false">
      <c r="A6391" s="0" t="s">
        <v>638</v>
      </c>
      <c r="B6391" s="0" t="s">
        <v>52</v>
      </c>
      <c r="C6391" s="13" t="n">
        <f aca="false">Sens!$C$6390/Sens!$C$6370</f>
        <v>0.708390794789371</v>
      </c>
      <c r="D6391" s="13" t="n">
        <f aca="false">Sens!$D$6390/Sens!$D$6370</f>
        <v>0.445565630441968</v>
      </c>
      <c r="E6391" s="13" t="n">
        <f aca="false">Sens!$E$6390/Sens!$E$6370</f>
        <v>0.165998118402711</v>
      </c>
      <c r="F6391" s="13" t="n">
        <f aca="false">Sens!$F$6390/Sens!$F$6370</f>
        <v>0.434878595403858</v>
      </c>
      <c r="G6391" s="13" t="n">
        <f aca="false">Sens!$G$6390/Sens!$G$6370</f>
        <v>0.3373967615381</v>
      </c>
      <c r="H6391" s="13" t="n">
        <f aca="false">Sens!$H$6390/Sens!$H$6370</f>
        <v>0.320477578041224</v>
      </c>
      <c r="I6391" s="13" t="n">
        <f aca="false">Sens!$I$6390/Sens!$I$6370</f>
        <v>0.296936118226494</v>
      </c>
      <c r="J6391" s="13" t="n">
        <f aca="false">Sens!$J$6390/Sens!$J$6370</f>
        <v>0.282166278613001</v>
      </c>
      <c r="K6391" s="13" t="n">
        <f aca="false">Sens!$K$6390/Sens!$K$6370</f>
        <v>0.252969102881543</v>
      </c>
      <c r="L6391" s="13" t="n">
        <f aca="false">Sens!$L$6390/Sens!$L$6370</f>
        <v>0.240728642826566</v>
      </c>
      <c r="M6391" s="13" t="n">
        <f aca="false">Sens!$M$6390/Sens!$M$6370</f>
        <v>0.227399920863147</v>
      </c>
      <c r="N6391" s="13" t="n">
        <f aca="false">Sens!$N$6390/Sens!$N$6370</f>
        <v>0.302870734830849</v>
      </c>
      <c r="O6391" s="13" t="n">
        <f aca="false">Sens!$O$6390/Sens!$O$6370</f>
        <v>0.52240134346334</v>
      </c>
    </row>
    <row r="6392" customFormat="false" ht="17.15" hidden="false" customHeight="false" outlineLevel="0" collapsed="false">
      <c r="A6392" s="5" t="s">
        <v>639</v>
      </c>
      <c r="B6392" s="0" t="s">
        <v>86</v>
      </c>
      <c r="C6392" s="39" t="n">
        <v>0</v>
      </c>
      <c r="D6392" s="39" t="n">
        <v>0</v>
      </c>
      <c r="E6392" s="39" t="n">
        <v>0</v>
      </c>
      <c r="F6392" s="38" t="n">
        <f aca="false">IF(internal_ai_reading=2,1,0)*(1-ext_sh)/ext_sh*(mw_open*he_open+Sens!$F$6368*Sens!$F$6365)*Sens!$F$6354/1000</f>
        <v>3.77122048175818</v>
      </c>
      <c r="G6392" s="38" t="n">
        <f aca="false">Sens!$E$6392+Sens!$F$6392</f>
        <v>3.77122048175818</v>
      </c>
      <c r="H6392" s="38" t="n">
        <f aca="false">IF(internal_ai_reading=2,1,0)*(1-ext_sh)/ext_sh*(mw_open*he_open+Sens!$H$6368*Sens!$H$6365)*Sens!$H$6354/1000</f>
        <v>15.1635543609893</v>
      </c>
      <c r="I6392" s="38" t="n">
        <f aca="false">IF(internal_ai_reading=2,1,0)*(1-ext_sh)/ext_sh*(mw_open*he_open+Sens!$I$6368*Sens!$I$6365)*Sens!$I$6354/1000</f>
        <v>25.5818843619889</v>
      </c>
      <c r="J6392" s="38" t="n">
        <f aca="false">IF(internal_ai_reading=2,1,0)*(1-ext_sh)/ext_sh*(mw_open*he_open+Sens!$J$6368*Sens!$J$6365)*Sens!$J$6354/1000</f>
        <v>36.0465624179122</v>
      </c>
      <c r="K6392" s="38" t="n">
        <f aca="false">IF(internal_ai_reading=2,1,0)*(1-ext_sh)/ext_sh*(mw_open*he_open+Sens!$K$6368*Sens!$K$6365)*Sens!$K$6354/1000</f>
        <v>44.9741164026038</v>
      </c>
      <c r="L6392" s="38" t="n">
        <f aca="false">IF(internal_ai_reading=2,1,0)*(1-ext_sh)/ext_sh*(mw_open*he_open+Sens!$L$6368*Sens!$L$6365)*Sens!$L$6354/1000</f>
        <v>50.8413488057813</v>
      </c>
      <c r="M6392" s="38" t="n">
        <f aca="false">IF(internal_ai_reading=2,1,0)*(1-ext_sh)/ext_sh*(mw_open*he_open+Sens!$M$6368*Sens!$M$6365)*Sens!$M$6354/1000</f>
        <v>53.6407214274315</v>
      </c>
      <c r="N6392" s="39" t="n">
        <v>0</v>
      </c>
      <c r="O6392" s="39" t="n">
        <v>0</v>
      </c>
      <c r="P6392" s="8" t="s">
        <v>640</v>
      </c>
    </row>
    <row r="6393" customFormat="false" ht="17.15" hidden="false" customHeight="false" outlineLevel="0" collapsed="false">
      <c r="A6393" s="5" t="s">
        <v>641</v>
      </c>
      <c r="B6393" s="0" t="s">
        <v>86</v>
      </c>
      <c r="C6393" s="38" t="n">
        <f aca="false">(1-ext_sh)*(Sens!$C$6372+Sens!$C$6386)</f>
        <v>0.169206631859174</v>
      </c>
      <c r="D6393" s="38" t="n">
        <f aca="false">(1-ext_sh)*(Sens!$D$6372+Sens!$D$6386)</f>
        <v>1.20641732046984</v>
      </c>
      <c r="E6393" s="38" t="n">
        <f aca="false">(1-ext_sh)*(Sens!$E$6372+Sens!$E$6386)</f>
        <v>1.77441259867062</v>
      </c>
      <c r="F6393" s="38" t="n">
        <f aca="false">(1-ext_sh)*(Sens!$F$6372+Sens!$F$6386)</f>
        <v>2.1140391597214</v>
      </c>
      <c r="G6393" s="38" t="n">
        <f aca="false">(1-ext_sh)*(Sens!$G$6372+Sens!$G$6386)</f>
        <v>3.88845175839202</v>
      </c>
      <c r="H6393" s="38" t="n">
        <f aca="false">(1-ext_sh)*(Sens!$H$6372+Sens!$H$6386)</f>
        <v>10.2210179503985</v>
      </c>
      <c r="I6393" s="38" t="n">
        <f aca="false">(1-ext_sh)*(Sens!$I$6372+Sens!$I$6386)</f>
        <v>17.8408961823075</v>
      </c>
      <c r="J6393" s="38" t="n">
        <f aca="false">(1-ext_sh)*(Sens!$J$6372+Sens!$J$6386)</f>
        <v>25.6671150670732</v>
      </c>
      <c r="K6393" s="38" t="n">
        <f aca="false">(1-ext_sh)*(Sens!$K$6372+Sens!$K$6386)</f>
        <v>33.3265648647373</v>
      </c>
      <c r="L6393" s="38" t="n">
        <f aca="false">(1-ext_sh)*(Sens!$L$6372+Sens!$L$6386)</f>
        <v>38.2915924088815</v>
      </c>
      <c r="M6393" s="38" t="n">
        <f aca="false">(1-ext_sh)*(Sens!$M$6372+Sens!$M$6386)</f>
        <v>41.1091697111781</v>
      </c>
      <c r="N6393" s="38" t="n">
        <f aca="false">(1-ext_sh)*(Sens!$N$6372+Sens!$N$6386)</f>
        <v>0.530919624033979</v>
      </c>
      <c r="O6393" s="38" t="n">
        <f aca="false">(1-ext_sh)*(Sens!$O$6372+Sens!$O$6386)</f>
        <v>0.675497696435861</v>
      </c>
    </row>
    <row r="6394" customFormat="false" ht="17.15" hidden="false" customHeight="false" outlineLevel="0" collapsed="false">
      <c r="A6394" s="0" t="s">
        <v>642</v>
      </c>
      <c r="B6394" s="0" t="s">
        <v>86</v>
      </c>
      <c r="C6394" s="38" t="n">
        <f aca="false">Q!$D$24</f>
        <v>39.834</v>
      </c>
      <c r="D6394" s="38" t="n">
        <f aca="false">Q!$E$24</f>
        <v>45.606</v>
      </c>
      <c r="E6394" s="38" t="n">
        <f aca="false">Q!$P$24</f>
        <v>30.782</v>
      </c>
      <c r="N6394" s="38" t="n">
        <f aca="false">Q!$N$24</f>
        <v>21.707</v>
      </c>
      <c r="O6394" s="38" t="n">
        <f aca="false">Q!$O$24</f>
        <v>23.899</v>
      </c>
    </row>
    <row r="6395" customFormat="false" ht="17.15" hidden="false" customHeight="false" outlineLevel="0" collapsed="false">
      <c r="A6395" s="0" t="s">
        <v>643</v>
      </c>
      <c r="B6395" s="0" t="s">
        <v>86</v>
      </c>
      <c r="C6395" s="38" t="n">
        <f aca="false">Sens!$C$6394-Sens!$C$6390</f>
        <v>38.1898211704631</v>
      </c>
      <c r="D6395" s="38" t="n">
        <f aca="false">Sens!$D$6394-Sens!$D$6390</f>
        <v>41.7278991932282</v>
      </c>
      <c r="E6395" s="38" t="n">
        <f aca="false">Sens!$E$6394-Sens!$E$6390</f>
        <v>29.3692974191125</v>
      </c>
      <c r="F6395" s="38" t="n">
        <f aca="false">Sens!$F$6374*Sens!$F$6396</f>
        <v>26.8997276714137</v>
      </c>
      <c r="G6395" s="38" t="n">
        <f aca="false">Sens!$E$6395+Sens!$F$6395</f>
        <v>56.2690250905262</v>
      </c>
      <c r="H6395" s="38" t="n">
        <f aca="false">Sens!$H$6374*Sens!$H$6396</f>
        <v>60.3505333937343</v>
      </c>
      <c r="I6395" s="38" t="n">
        <f aca="false">Sens!$I$6374*Sens!$I$6396</f>
        <v>67.0043857303571</v>
      </c>
      <c r="J6395" s="38" t="n">
        <f aca="false">Sens!$J$6374*Sens!$J$6396</f>
        <v>73.3782922956925</v>
      </c>
      <c r="K6395" s="38" t="n">
        <f aca="false">Sens!$K$6374*Sens!$K$6396</f>
        <v>79.2485556793479</v>
      </c>
      <c r="L6395" s="38" t="n">
        <f aca="false">Sens!$L$6374*Sens!$L$6396</f>
        <v>85.5884401336958</v>
      </c>
      <c r="M6395" s="38" t="n">
        <f aca="false">Sens!$M$6374*Sens!$M$6396</f>
        <v>92.4355153443914</v>
      </c>
      <c r="N6395" s="38" t="n">
        <f aca="false">Sens!$N$6394-Sens!$N$6390</f>
        <v>20.784358965108</v>
      </c>
      <c r="O6395" s="38" t="n">
        <f aca="false">Sens!$O$6394-Sens!$O$6390</f>
        <v>20.9435402281202</v>
      </c>
      <c r="P6395" s="5" t="s">
        <v>644</v>
      </c>
    </row>
    <row r="6396" customFormat="false" ht="17.15" hidden="false" customHeight="false" outlineLevel="0" collapsed="false">
      <c r="A6396" s="0" t="s">
        <v>645</v>
      </c>
      <c r="B6396" s="0" t="s">
        <v>52</v>
      </c>
      <c r="C6396" s="13" t="n">
        <f aca="false">Sens!$C$6395/Sens!$C$6374</f>
        <v>0.362900395443635</v>
      </c>
      <c r="D6396" s="13" t="n">
        <f aca="false">Sens!$D$6395/Sens!$D$6374</f>
        <v>0.34767098474203</v>
      </c>
      <c r="E6396" s="13" t="n">
        <f aca="false">Sens!$E$6395/Sens!$E$6374</f>
        <v>0.411861655558416</v>
      </c>
      <c r="F6396" s="13" t="n">
        <f aca="false">(Sens!$O$6395+Sens!$E$6395)/(Sens!$O$6374+Sens!$E$6374)</f>
        <v>0.37480827803158</v>
      </c>
      <c r="G6396" s="13" t="n">
        <f aca="false">Sens!$G$6395/Sens!$G$6374</f>
        <v>0.393275318395757</v>
      </c>
      <c r="H6396" s="13" t="n">
        <f aca="false">Sens!$F$6396</f>
        <v>0.37480827803158</v>
      </c>
      <c r="I6396" s="13" t="n">
        <f aca="false">Sens!$F$6396</f>
        <v>0.37480827803158</v>
      </c>
      <c r="J6396" s="13" t="n">
        <f aca="false">Sens!$F$6396</f>
        <v>0.37480827803158</v>
      </c>
      <c r="K6396" s="13" t="n">
        <f aca="false">Sens!$F$6396</f>
        <v>0.37480827803158</v>
      </c>
      <c r="L6396" s="13" t="n">
        <f aca="false">Sens!$F$6396</f>
        <v>0.37480827803158</v>
      </c>
      <c r="M6396" s="13" t="n">
        <f aca="false">Sens!$F$6396</f>
        <v>0.37480827803158</v>
      </c>
      <c r="N6396" s="13" t="n">
        <f aca="false">Sens!$N$6395/Sens!$N$6374</f>
        <v>0.364039571356823</v>
      </c>
      <c r="O6396" s="13" t="n">
        <f aca="false">Sens!$O$6395/Sens!$O$6374</f>
        <v>0.332819892300086</v>
      </c>
      <c r="P6396" s="8" t="s">
        <v>646</v>
      </c>
    </row>
    <row r="6397" customFormat="false" ht="17.15" hidden="false" customHeight="false" outlineLevel="0" collapsed="false">
      <c r="A6397" s="0" t="s">
        <v>647</v>
      </c>
      <c r="B6397" s="0" t="s">
        <v>52</v>
      </c>
      <c r="D6397" s="13" t="n">
        <f aca="false">(Q!$E$31-ext_sh*Sens!$D$6386)/Sens!$D$6374</f>
        <v>0.154572973163571</v>
      </c>
    </row>
    <row r="6398" customFormat="false" ht="17.15" hidden="false" customHeight="false" outlineLevel="0" collapsed="false">
      <c r="A6398" s="0" t="s">
        <v>648</v>
      </c>
      <c r="B6398" s="0" t="s">
        <v>86</v>
      </c>
      <c r="C6398" s="38" t="n">
        <f aca="false">Q!$D$31</f>
        <v>13.32</v>
      </c>
      <c r="D6398" s="38" t="n">
        <f aca="false">Q!$E$31</f>
        <v>21.45</v>
      </c>
      <c r="E6398" s="38" t="n">
        <f aca="false">Q!$P$31</f>
        <v>15.353</v>
      </c>
      <c r="F6398" s="38" t="n">
        <f aca="false">ext_sh*Sens!$F$6386+Sens!$D$6397*Sens!$F$6374</f>
        <v>16.3063747611001</v>
      </c>
      <c r="G6398" s="38" t="n">
        <f aca="false">Sens!$E$6398+Sens!$F$6398</f>
        <v>31.6593747611001</v>
      </c>
      <c r="H6398" s="38" t="n">
        <f aca="false">ext_sh*Sens!$H$6386+Sens!$D$6397*Sens!$H$6374</f>
        <v>53.124242092105</v>
      </c>
      <c r="I6398" s="38" t="n">
        <f aca="false">ext_sh*Sens!$I$6386+Sens!$D$6397*Sens!$I$6374</f>
        <v>78.046828098133</v>
      </c>
      <c r="J6398" s="38" t="n">
        <f aca="false">ext_sh*Sens!$J$6386+Sens!$D$6397*Sens!$J$6374</f>
        <v>103.663976940352</v>
      </c>
      <c r="K6398" s="38" t="n">
        <f aca="false">ext_sh*Sens!$K$6386+Sens!$D$6397*Sens!$K$6374</f>
        <v>129.625086115469</v>
      </c>
      <c r="L6398" s="38" t="n">
        <f aca="false">ext_sh*Sens!$L$6386+Sens!$D$6397*Sens!$L$6374</f>
        <v>147.435052382502</v>
      </c>
      <c r="M6398" s="38" t="n">
        <f aca="false">ext_sh*Sens!$M$6386+Sens!$D$6397*Sens!$M$6374</f>
        <v>159.299754080279</v>
      </c>
      <c r="N6398" s="38" t="n">
        <f aca="false">Q!$N$31</f>
        <v>9.234</v>
      </c>
      <c r="O6398" s="38" t="n">
        <f aca="false">Q!$O$31</f>
        <v>12.216</v>
      </c>
    </row>
    <row r="6399" customFormat="false" ht="17.15" hidden="false" customHeight="false" outlineLevel="0" collapsed="false">
      <c r="A6399" s="1" t="s">
        <v>649</v>
      </c>
    </row>
    <row r="6400" customFormat="false" ht="17.15" hidden="false" customHeight="false" outlineLevel="0" collapsed="false">
      <c r="A6400" s="15" t="s">
        <v>650</v>
      </c>
      <c r="B6400" s="14" t="s">
        <v>52</v>
      </c>
      <c r="C6400" s="14"/>
      <c r="D6400" s="14"/>
      <c r="E6400" s="14"/>
      <c r="F6400" s="14"/>
      <c r="G6400" s="17" t="n">
        <f aca="false">Sens!$G$6390*(1-tax)/(ext_sh*(Sens!$D$6387+Sens!$G$6387)/2)</f>
        <v>0.0492184452944045</v>
      </c>
      <c r="H6400" s="17" t="n">
        <f aca="false">Sens!$H$6390*(1-tax)/(ext_sh*(Sens!$G$6387+Sens!$H$6387)/2)</f>
        <v>0.0619414246858107</v>
      </c>
      <c r="I6400" s="17" t="n">
        <f aca="false">Sens!$I$6390*(1-tax)/(ext_sh*(Sens!$H$6387+Sens!$I$6387)/2)</f>
        <v>0.0656831488051666</v>
      </c>
      <c r="J6400" s="17" t="n">
        <f aca="false">Sens!$J$6390*(1-tax)/(ext_sh*(Sens!$I$6387+Sens!$J$6387)/2)</f>
        <v>0.0690334849962116</v>
      </c>
      <c r="K6400" s="17" t="n">
        <f aca="false">Sens!$K$6390*(1-tax)/(ext_sh*(Sens!$J$6387+Sens!$K$6387)/2)</f>
        <v>0.0685772915331967</v>
      </c>
      <c r="L6400" s="17" t="n">
        <f aca="false">Sens!$L$6390*(1-tax)/(ext_sh*(Sens!$K$6387+Sens!$L$6387)/2)</f>
        <v>0.0723938074635756</v>
      </c>
      <c r="M6400" s="17" t="n">
        <f aca="false">Sens!$M$6390*(1-tax)/(ext_sh*(Sens!$L$6387+Sens!$M$6387)/2)</f>
        <v>0.0736061388214139</v>
      </c>
      <c r="N6400" s="14"/>
      <c r="O6400" s="14"/>
      <c r="P6400" s="8" t="s">
        <v>651</v>
      </c>
    </row>
    <row r="6401" customFormat="false" ht="17.15" hidden="false" customHeight="false" outlineLevel="0" collapsed="false">
      <c r="A6401" s="5" t="s">
        <v>652</v>
      </c>
      <c r="B6401" s="0" t="s">
        <v>57</v>
      </c>
      <c r="H6401" s="36" t="n">
        <f aca="false">Sens!$H$6370*1000/(mw_open*he_open+Sens!$H$6368*Sens!$H$6365)</f>
        <v>0.991949006767191</v>
      </c>
      <c r="I6401" s="36" t="n">
        <f aca="false">Sens!$I$6370*1000/(mw_open*he_open+Sens!$I$6368*Sens!$I$6365)</f>
        <v>0.991949006767191</v>
      </c>
      <c r="J6401" s="36" t="n">
        <f aca="false">Sens!$J$6370*1000/(mw_open*he_open+Sens!$J$6368*Sens!$J$6365)</f>
        <v>0.991949006767191</v>
      </c>
      <c r="K6401" s="36" t="n">
        <f aca="false">Sens!$K$6370*1000/(mw_open*he_open+Sens!$K$6368*Sens!$K$6365)</f>
        <v>0.991949006767191</v>
      </c>
      <c r="L6401" s="36" t="n">
        <f aca="false">Sens!$L$6370*1000/(mw_open*he_open+Sens!$L$6368*Sens!$L$6365)</f>
        <v>0.991949006767191</v>
      </c>
      <c r="M6401" s="36" t="n">
        <f aca="false">Sens!$M$6370*1000/(mw_open*he_open+Sens!$M$6368*Sens!$M$6365)</f>
        <v>0.991949006767191</v>
      </c>
    </row>
    <row r="6402" customFormat="false" ht="17.15" hidden="false" customHeight="false" outlineLevel="0" collapsed="false">
      <c r="A6402" s="5" t="s">
        <v>653</v>
      </c>
      <c r="B6402" s="0" t="s">
        <v>57</v>
      </c>
      <c r="H6402" s="36" t="n">
        <f aca="false">Sens!$H$6401*(Sens!$H$6370+wacc*ext_sh*(Sens!$G$6387+Sens!$H$6387)/2/(1-tax)-Sens!$H$6390)/Sens!$H$6370</f>
        <v>1.25551961623259</v>
      </c>
      <c r="I6402" s="36" t="n">
        <f aca="false">Sens!$I$6401*(Sens!$I$6370+wacc*ext_sh*(Sens!$H$6387+Sens!$I$6387)/2/(1-tax)-Sens!$I$6390)/Sens!$I$6370</f>
        <v>1.2054675393263</v>
      </c>
      <c r="J6402" s="36" t="n">
        <f aca="false">Sens!$J$6401*(Sens!$J$6370+wacc*ext_sh*(Sens!$I$6387+Sens!$J$6387)/2/(1-tax)-Sens!$J$6390)/Sens!$J$6370</f>
        <v>1.17141604927023</v>
      </c>
      <c r="K6402" s="36" t="n">
        <f aca="false">Sens!$K$6401*(Sens!$K$6370+wacc*ext_sh*(Sens!$J$6387+Sens!$K$6387)/2/(1-tax)-Sens!$K$6390)/Sens!$K$6370</f>
        <v>1.15558527566281</v>
      </c>
      <c r="L6402" s="36" t="n">
        <f aca="false">Sens!$L$6401*(Sens!$L$6370+wacc*ext_sh*(Sens!$K$6387+Sens!$L$6387)/2/(1-tax)-Sens!$L$6390)/Sens!$L$6370</f>
        <v>1.12686933572495</v>
      </c>
      <c r="M6402" s="36" t="n">
        <f aca="false">Sens!$M$6401*(Sens!$M$6370+wacc*ext_sh*(Sens!$L$6387+Sens!$M$6387)/2/(1-tax)-Sens!$M$6390)/Sens!$M$6370</f>
        <v>1.11358462527531</v>
      </c>
    </row>
    <row r="6403" customFormat="false" ht="17.15" hidden="false" customHeight="false" outlineLevel="0" collapsed="false">
      <c r="A6403" s="5" t="s">
        <v>654</v>
      </c>
      <c r="B6403" s="0" t="s">
        <v>52</v>
      </c>
      <c r="C6403" s="13" t="n">
        <f aca="false">Sens!$C$6371/tk_pq</f>
        <v>0.195316432429398</v>
      </c>
      <c r="D6403" s="13" t="n">
        <f aca="false">Sens!$D$6371/tk_pq</f>
        <v>0.195316432429398</v>
      </c>
      <c r="E6403" s="13" t="n">
        <f aca="false">Sens!$E$6371/tk_pq</f>
        <v>0.195316432429398</v>
      </c>
      <c r="F6403" s="13" t="n">
        <f aca="false">Sens!$F$6371/tk_pq</f>
        <v>0.202241827274866</v>
      </c>
      <c r="G6403" s="13" t="n">
        <f aca="false">Sens!$G$6371/tk_pq</f>
        <v>0.199675016194063</v>
      </c>
      <c r="H6403" s="13" t="n">
        <f aca="false">Sens!$H$6371/tk_pq</f>
        <v>0.212647947710325</v>
      </c>
      <c r="I6403" s="13" t="n">
        <f aca="false">Sens!$I$6371/tk_pq</f>
        <v>0.219285125475351</v>
      </c>
      <c r="J6403" s="13" t="n">
        <f aca="false">Sens!$J$6371/tk_pq</f>
        <v>0.222492493217189</v>
      </c>
      <c r="K6403" s="13" t="n">
        <f aca="false">Sens!$K$6371/tk_pq</f>
        <v>0.224053502812094</v>
      </c>
      <c r="L6403" s="13" t="n">
        <f aca="false">Sens!$L$6371/tk_pq</f>
        <v>0.224786916785614</v>
      </c>
      <c r="M6403" s="13" t="n">
        <f aca="false">Sens!$M$6371/tk_pq</f>
        <v>0.225048671566937</v>
      </c>
      <c r="N6403" s="13" t="n">
        <f aca="false">Sens!$N$6371/tk_pq</f>
        <v>0.195316432429398</v>
      </c>
      <c r="O6403" s="13" t="n">
        <f aca="false">Sens!$O$6371/tk_pq</f>
        <v>0.195316432429398</v>
      </c>
      <c r="P6403" s="5" t="s">
        <v>655</v>
      </c>
    </row>
    <row r="6406" customFormat="false" ht="17.15" hidden="false" customHeight="false" outlineLevel="0" collapsed="false">
      <c r="A6406" s="1" t="s">
        <v>684</v>
      </c>
    </row>
    <row r="6407" customFormat="false" ht="17.15" hidden="false" customHeight="false" outlineLevel="0" collapsed="false">
      <c r="A6407" s="0" t="s">
        <v>685</v>
      </c>
      <c r="B6407" s="0" t="s">
        <v>86</v>
      </c>
      <c r="C6407" s="38" t="n">
        <f aca="false">Sens!$C$6370</f>
        <v>2.32100535697364</v>
      </c>
      <c r="D6407" s="38" t="n">
        <f aca="false">Sens!$D$6370</f>
        <v>8.70377008865116</v>
      </c>
      <c r="E6407" s="38" t="n">
        <f aca="false">Sens!$E$6370</f>
        <v>8.51035297557002</v>
      </c>
      <c r="F6407" s="38" t="n">
        <f aca="false">Sens!$F$6370</f>
        <v>14.9634336447205</v>
      </c>
      <c r="G6407" s="38" t="n">
        <f aca="false">Sens!$G$6370</f>
        <v>23.4737866202905</v>
      </c>
      <c r="H6407" s="38" t="n">
        <f aca="false">Sens!$H$6370</f>
        <v>60.1658907497746</v>
      </c>
      <c r="I6407" s="38" t="n">
        <f aca="false">Sens!$I$6370</f>
        <v>101.503699136432</v>
      </c>
      <c r="J6407" s="38" t="n">
        <f aca="false">Sens!$J$6370</f>
        <v>143.025407151278</v>
      </c>
      <c r="K6407" s="38" t="n">
        <f aca="false">Sens!$K$6370</f>
        <v>178.44812038318</v>
      </c>
      <c r="L6407" s="38" t="n">
        <f aca="false">Sens!$L$6370</f>
        <v>201.728101802396</v>
      </c>
      <c r="M6407" s="38" t="n">
        <f aca="false">Sens!$M$6370</f>
        <v>212.835441368865</v>
      </c>
      <c r="N6407" s="38" t="n">
        <f aca="false">Sens!$N$6370</f>
        <v>3.04631953102791</v>
      </c>
      <c r="O6407" s="38" t="n">
        <f aca="false">Sens!$O$6370</f>
        <v>5.65745055762326</v>
      </c>
      <c r="P6407" s="8" t="s">
        <v>686</v>
      </c>
    </row>
    <row r="6408" customFormat="false" ht="17.15" hidden="false" customHeight="false" outlineLevel="0" collapsed="false">
      <c r="A6408" s="0" t="s">
        <v>687</v>
      </c>
      <c r="B6408" s="0" t="s">
        <v>86</v>
      </c>
      <c r="C6408" s="38" t="n">
        <f aca="false">Sens!$C$6374</f>
        <v>105.234994643026</v>
      </c>
      <c r="D6408" s="38" t="n">
        <f aca="false">Sens!$D$6374</f>
        <v>120.021229911349</v>
      </c>
      <c r="E6408" s="38" t="n">
        <f aca="false">Sens!$E$6374</f>
        <v>71.30864702443</v>
      </c>
      <c r="F6408" s="38" t="n">
        <f aca="false">Sens!$F$6374</f>
        <v>71.7692997942464</v>
      </c>
      <c r="G6408" s="38" t="n">
        <f aca="false">Sens!$G$6374</f>
        <v>143.077946818676</v>
      </c>
      <c r="H6408" s="38" t="n">
        <f aca="false">Sens!$H$6374</f>
        <v>161.017077079203</v>
      </c>
      <c r="I6408" s="38" t="n">
        <f aca="false">Sens!$I$6374</f>
        <v>178.769759521457</v>
      </c>
      <c r="J6408" s="38" t="n">
        <f aca="false">Sens!$J$6374</f>
        <v>195.775538045907</v>
      </c>
      <c r="K6408" s="38" t="n">
        <f aca="false">Sens!$K$6374</f>
        <v>211.43758108958</v>
      </c>
      <c r="L6408" s="38" t="n">
        <f aca="false">Sens!$L$6374</f>
        <v>228.352587576746</v>
      </c>
      <c r="M6408" s="38" t="n">
        <f aca="false">Sens!$M$6374</f>
        <v>246.620794582886</v>
      </c>
      <c r="N6408" s="38" t="n">
        <f aca="false">Sens!$N$6374</f>
        <v>57.0936804689721</v>
      </c>
      <c r="O6408" s="38" t="n">
        <f aca="false">Sens!$O$6374</f>
        <v>62.9275494423768</v>
      </c>
      <c r="P6408" s="8" t="s">
        <v>686</v>
      </c>
    </row>
    <row r="6409" customFormat="false" ht="17.15" hidden="false" customHeight="false" outlineLevel="0" collapsed="false">
      <c r="A6409" s="1" t="s">
        <v>513</v>
      </c>
      <c r="B6409" s="8" t="s">
        <v>86</v>
      </c>
      <c r="C6409" s="38" t="n">
        <f aca="false">Q!$D$7</f>
        <v>107.556</v>
      </c>
      <c r="D6409" s="38" t="n">
        <f aca="false">Q!$E$7</f>
        <v>128.725</v>
      </c>
      <c r="E6409" s="38" t="n">
        <f aca="false">Q!$P$7</f>
        <v>79.819</v>
      </c>
      <c r="F6409" s="38" t="n">
        <f aca="false">Sens!$F$6407+Sens!$F$6408</f>
        <v>86.7327334389669</v>
      </c>
      <c r="G6409" s="38" t="n">
        <f aca="false">Sens!$G$6407+Sens!$G$6408</f>
        <v>166.551733438967</v>
      </c>
      <c r="H6409" s="38" t="n">
        <f aca="false">Sens!$H$6407+Sens!$H$6408</f>
        <v>221.182967828978</v>
      </c>
      <c r="I6409" s="38" t="n">
        <f aca="false">Sens!$I$6407+Sens!$I$6408</f>
        <v>280.27345865789</v>
      </c>
      <c r="J6409" s="38" t="n">
        <f aca="false">Sens!$J$6407+Sens!$J$6408</f>
        <v>338.800945197185</v>
      </c>
      <c r="K6409" s="38" t="n">
        <f aca="false">Sens!$K$6407+Sens!$K$6408</f>
        <v>389.88570147276</v>
      </c>
      <c r="L6409" s="38" t="n">
        <f aca="false">Sens!$L$6407+Sens!$L$6408</f>
        <v>430.080689379143</v>
      </c>
      <c r="M6409" s="38" t="n">
        <f aca="false">Sens!$M$6407+Sens!$M$6408</f>
        <v>459.456235951751</v>
      </c>
      <c r="N6409" s="38" t="n">
        <f aca="false">Q!$N$7</f>
        <v>60.14</v>
      </c>
      <c r="O6409" s="38" t="n">
        <f aca="false">Q!$O$7</f>
        <v>68.585</v>
      </c>
      <c r="P6409" s="5" t="s">
        <v>688</v>
      </c>
    </row>
    <row r="6410" customFormat="false" ht="15" hidden="false" customHeight="false" outlineLevel="0" collapsed="false">
      <c r="A6410" s="3" t="s">
        <v>689</v>
      </c>
      <c r="B6410" s="8" t="s">
        <v>86</v>
      </c>
      <c r="C6410" s="38" t="n">
        <f aca="false">Q!$D$8</f>
        <v>637.959</v>
      </c>
      <c r="D6410" s="38" t="n">
        <f aca="false">Q!$E$8</f>
        <v>716.924</v>
      </c>
      <c r="E6410" s="38" t="n">
        <f aca="false">Q!$P$8</f>
        <v>382.125</v>
      </c>
      <c r="F6410" s="38" t="n">
        <f aca="false">Sens!$F$6342+Sens!$F$6409</f>
        <v>435.780975084504</v>
      </c>
      <c r="G6410" s="38" t="n">
        <f aca="false">Sens!$G$6342+Sens!$G$6409</f>
        <v>817.905975084504</v>
      </c>
      <c r="H6410" s="38" t="n">
        <f aca="false">Sens!$H$6342+Sens!$H$6409</f>
        <v>942.279857350364</v>
      </c>
      <c r="I6410" s="38" t="n">
        <f aca="false">Sens!$I$6342+Sens!$I$6409</f>
        <v>1068.80284981042</v>
      </c>
      <c r="J6410" s="38" t="n">
        <f aca="false">Sens!$J$6342+Sens!$J$6409</f>
        <v>1189.90935093863</v>
      </c>
      <c r="K6410" s="38" t="n">
        <f aca="false">Sens!$K$6342+Sens!$K$6409</f>
        <v>1296.06215690385</v>
      </c>
      <c r="L6410" s="38" t="n">
        <f aca="false">Sens!$L$6342+Sens!$L$6409</f>
        <v>1395.17379585473</v>
      </c>
      <c r="M6410" s="38" t="n">
        <f aca="false">Sens!$M$6342+Sens!$M$6409</f>
        <v>1487.60414389864</v>
      </c>
      <c r="N6410" s="38" t="n">
        <f aca="false">Q!$N$8</f>
        <v>323.369</v>
      </c>
      <c r="O6410" s="38" t="n">
        <f aca="false">Q!$O$8</f>
        <v>393.555</v>
      </c>
    </row>
    <row r="6411" customFormat="false" ht="17.15" hidden="false" customHeight="false" outlineLevel="0" collapsed="false">
      <c r="A6411" s="24" t="s">
        <v>697</v>
      </c>
      <c r="B6411" s="25" t="s">
        <v>86</v>
      </c>
      <c r="C6411" s="41" t="n">
        <f aca="false">Sens!$C$6342-(Sens!$C$6344+Sens!$C$6345)</f>
        <v>0</v>
      </c>
      <c r="D6411" s="41" t="n">
        <f aca="false">Sens!$D$6342-(Sens!$D$6344+Sens!$D$6345)</f>
        <v>0</v>
      </c>
      <c r="E6411" s="41" t="n">
        <f aca="false">Sens!$E$6342-(Sens!$E$6344+Sens!$E$6345)</f>
        <v>0</v>
      </c>
      <c r="F6411" s="41" t="n">
        <f aca="false">Sens!$F$6342-(Sens!$F$6344+Sens!$F$6345)</f>
        <v>0</v>
      </c>
      <c r="G6411" s="41" t="n">
        <f aca="false">Sens!$G$6342-(Sens!$G$6344+Sens!$G$6345)</f>
        <v>0</v>
      </c>
      <c r="H6411" s="41" t="n">
        <f aca="false">Sens!$H$6342-(Sens!$H$6344+Sens!$H$6345)</f>
        <v>0</v>
      </c>
      <c r="I6411" s="41" t="n">
        <f aca="false">Sens!$I$6342-(Sens!$I$6344+Sens!$I$6345)</f>
        <v>0</v>
      </c>
      <c r="J6411" s="41" t="n">
        <f aca="false">Sens!$J$6342-(Sens!$J$6344+Sens!$J$6345)</f>
        <v>0</v>
      </c>
      <c r="K6411" s="41" t="n">
        <f aca="false">Sens!$K$6342-(Sens!$K$6344+Sens!$K$6345)</f>
        <v>0</v>
      </c>
      <c r="L6411" s="41" t="n">
        <f aca="false">Sens!$L$6342-(Sens!$L$6344+Sens!$L$6345)</f>
        <v>0</v>
      </c>
      <c r="M6411" s="41" t="n">
        <f aca="false">Sens!$M$6342-(Sens!$M$6344+Sens!$M$6345)</f>
        <v>0</v>
      </c>
      <c r="N6411" s="41" t="n">
        <f aca="false">Sens!$N$6342-(Sens!$N$6344+Sens!$N$6345)</f>
        <v>0</v>
      </c>
      <c r="O6411" s="41" t="n">
        <f aca="false">Sens!$O$6342-(Sens!$O$6344+Sens!$O$6345)</f>
        <v>0</v>
      </c>
    </row>
    <row r="6412" customFormat="false" ht="17.15" hidden="false" customHeight="false" outlineLevel="0" collapsed="false">
      <c r="A6412" s="24" t="s">
        <v>698</v>
      </c>
      <c r="B6412" s="25" t="s">
        <v>86</v>
      </c>
      <c r="C6412" s="41" t="n">
        <f aca="false">Sens!$C$6407+Sens!$C$6408-Sens!$C$6409</f>
        <v>0</v>
      </c>
      <c r="D6412" s="41" t="n">
        <f aca="false">Sens!$D$6407+Sens!$D$6408-Sens!$D$6409</f>
        <v>0</v>
      </c>
      <c r="E6412" s="41" t="n">
        <f aca="false">Sens!$E$6407+Sens!$E$6408-Sens!$E$6409</f>
        <v>0</v>
      </c>
      <c r="F6412" s="41" t="n">
        <f aca="false">Sens!$F$6407+Sens!$F$6408-Sens!$F$6409</f>
        <v>0</v>
      </c>
      <c r="G6412" s="41" t="n">
        <f aca="false">Sens!$G$6407+Sens!$G$6408-Sens!$G$6409</f>
        <v>0</v>
      </c>
      <c r="H6412" s="41" t="n">
        <f aca="false">Sens!$H$6407+Sens!$H$6408-Sens!$H$6409</f>
        <v>0</v>
      </c>
      <c r="I6412" s="41" t="n">
        <f aca="false">Sens!$I$6407+Sens!$I$6408-Sens!$I$6409</f>
        <v>0</v>
      </c>
      <c r="J6412" s="41" t="n">
        <f aca="false">Sens!$J$6407+Sens!$J$6408-Sens!$J$6409</f>
        <v>0</v>
      </c>
      <c r="K6412" s="41" t="n">
        <f aca="false">Sens!$K$6407+Sens!$K$6408-Sens!$K$6409</f>
        <v>0</v>
      </c>
      <c r="L6412" s="41" t="n">
        <f aca="false">Sens!$L$6407+Sens!$L$6408-Sens!$L$6409</f>
        <v>0</v>
      </c>
      <c r="M6412" s="41" t="n">
        <f aca="false">Sens!$M$6407+Sens!$M$6408-Sens!$M$6409</f>
        <v>0</v>
      </c>
      <c r="N6412" s="41" t="n">
        <f aca="false">Sens!$N$6407+Sens!$N$6408-Sens!$N$6409</f>
        <v>0</v>
      </c>
      <c r="O6412" s="41" t="n">
        <f aca="false">Sens!$O$6407+Sens!$O$6408-Sens!$O$6409</f>
        <v>0</v>
      </c>
    </row>
    <row r="6413" customFormat="false" ht="17.15" hidden="false" customHeight="false" outlineLevel="0" collapsed="false">
      <c r="A6413" s="24" t="s">
        <v>699</v>
      </c>
      <c r="B6413" s="25" t="s">
        <v>86</v>
      </c>
      <c r="C6413" s="41" t="n">
        <f aca="false">Sens!$C$6344+Sens!$C$6345+Sens!$C$6409-Sens!$C$6410</f>
        <v>0</v>
      </c>
      <c r="D6413" s="41" t="n">
        <f aca="false">Sens!$D$6344+Sens!$D$6345+Sens!$D$6409-Sens!$D$6410</f>
        <v>0</v>
      </c>
      <c r="E6413" s="41" t="n">
        <f aca="false">Sens!$E$6344+Sens!$E$6345+Sens!$E$6409-Sens!$E$6410</f>
        <v>0</v>
      </c>
      <c r="F6413" s="41" t="n">
        <f aca="false">Sens!$F$6344+Sens!$F$6345+Sens!$F$6409-Sens!$F$6410</f>
        <v>0</v>
      </c>
      <c r="G6413" s="41" t="n">
        <f aca="false">Sens!$G$6344+Sens!$G$6345+Sens!$G$6409-Sens!$G$6410</f>
        <v>0</v>
      </c>
      <c r="H6413" s="41" t="n">
        <f aca="false">Sens!$H$6344+Sens!$H$6345+Sens!$H$6409-Sens!$H$6410</f>
        <v>0</v>
      </c>
      <c r="I6413" s="41" t="n">
        <f aca="false">Sens!$I$6344+Sens!$I$6345+Sens!$I$6409-Sens!$I$6410</f>
        <v>0</v>
      </c>
      <c r="J6413" s="41" t="n">
        <f aca="false">Sens!$J$6344+Sens!$J$6345+Sens!$J$6409-Sens!$J$6410</f>
        <v>0</v>
      </c>
      <c r="K6413" s="41" t="n">
        <f aca="false">Sens!$K$6344+Sens!$K$6345+Sens!$K$6409-Sens!$K$6410</f>
        <v>0</v>
      </c>
      <c r="L6413" s="41" t="n">
        <f aca="false">Sens!$L$6344+Sens!$L$6345+Sens!$L$6409-Sens!$L$6410</f>
        <v>0</v>
      </c>
      <c r="M6413" s="41" t="n">
        <f aca="false">Sens!$M$6344+Sens!$M$6345+Sens!$M$6409-Sens!$M$6410</f>
        <v>0</v>
      </c>
      <c r="N6413" s="41" t="n">
        <f aca="false">Sens!$N$6344+Sens!$N$6345+Sens!$N$6409-Sens!$N$6410</f>
        <v>0</v>
      </c>
      <c r="O6413" s="41" t="n">
        <f aca="false">Sens!$O$6344+Sens!$O$6345+Sens!$O$6409-Sens!$O$6410</f>
        <v>0</v>
      </c>
    </row>
    <row r="6414" customFormat="false" ht="15" hidden="false" customHeight="false" outlineLevel="0" collapsed="false">
      <c r="A6414" s="5" t="s">
        <v>693</v>
      </c>
      <c r="B6414" s="0" t="s">
        <v>52</v>
      </c>
      <c r="G6414" s="13" t="n">
        <f aca="false">Sens!$G$6410/Sens!$D$6410-1</f>
        <v>0.140854504918937</v>
      </c>
      <c r="H6414" s="13" t="n">
        <f aca="false">Sens!$H$6410/Sens!$G$6410-1</f>
        <v>0.152063789793209</v>
      </c>
      <c r="I6414" s="13" t="n">
        <f aca="false">Sens!$I$6410/Sens!$H$6410-1</f>
        <v>0.134273264437417</v>
      </c>
      <c r="J6414" s="13" t="n">
        <f aca="false">Sens!$J$6410/Sens!$I$6410-1</f>
        <v>0.113310421234083</v>
      </c>
      <c r="K6414" s="13" t="n">
        <f aca="false">Sens!$K$6410/Sens!$J$6410-1</f>
        <v>0.0892108343223652</v>
      </c>
      <c r="L6414" s="13" t="n">
        <f aca="false">Sens!$L$6410/Sens!$K$6410-1</f>
        <v>0.076471362444261</v>
      </c>
      <c r="M6414" s="13" t="n">
        <f aca="false">Sens!$M$6410/Sens!$L$6410-1</f>
        <v>0.066250060256672</v>
      </c>
    </row>
    <row r="6415" customFormat="false" ht="17.15" hidden="false" customHeight="false" outlineLevel="0" collapsed="false">
      <c r="A6415" s="0" t="s">
        <v>694</v>
      </c>
      <c r="B6415" s="0" t="s">
        <v>52</v>
      </c>
      <c r="C6415" s="13" t="n">
        <f aca="false">Sens!$C$6409/Sens!$C$6410</f>
        <v>0.168593906504964</v>
      </c>
      <c r="D6415" s="13" t="n">
        <f aca="false">Sens!$D$6409/Sens!$D$6410</f>
        <v>0.179551807444025</v>
      </c>
      <c r="E6415" s="13" t="n">
        <f aca="false">Sens!$E$6409/Sens!$E$6410</f>
        <v>0.208881910369643</v>
      </c>
      <c r="F6415" s="13" t="n">
        <f aca="false">Sens!$F$6409/Sens!$F$6410</f>
        <v>0.199028269699356</v>
      </c>
      <c r="G6415" s="13" t="n">
        <f aca="false">Sens!$G$6409/Sens!$G$6410</f>
        <v>0.203631882529968</v>
      </c>
      <c r="H6415" s="13" t="n">
        <f aca="false">Sens!$H$6409/Sens!$H$6410</f>
        <v>0.234731715958496</v>
      </c>
      <c r="I6415" s="13" t="n">
        <f aca="false">Sens!$I$6409/Sens!$I$6410</f>
        <v>0.262231204480418</v>
      </c>
      <c r="J6415" s="13" t="n">
        <f aca="false">Sens!$J$6409/Sens!$J$6410</f>
        <v>0.284728366013706</v>
      </c>
      <c r="K6415" s="13" t="n">
        <f aca="false">Sens!$K$6409/Sens!$K$6410</f>
        <v>0.300823304959505</v>
      </c>
      <c r="L6415" s="13" t="n">
        <f aca="false">Sens!$L$6409/Sens!$L$6410</f>
        <v>0.308263164529735</v>
      </c>
      <c r="M6415" s="13" t="n">
        <f aca="false">Sens!$M$6409/Sens!$M$6410</f>
        <v>0.308856517936036</v>
      </c>
      <c r="N6415" s="13" t="n">
        <f aca="false">Sens!$N$6409/Sens!$N$6410</f>
        <v>0.185979484737251</v>
      </c>
      <c r="O6415" s="13" t="n">
        <f aca="false">Sens!$O$6409/Sens!$O$6410</f>
        <v>0.174270432341096</v>
      </c>
    </row>
    <row r="6416" customFormat="false" ht="17.15" hidden="false" customHeight="false" outlineLevel="0" collapsed="false">
      <c r="A6416" s="0" t="s">
        <v>695</v>
      </c>
      <c r="B6416" s="0" t="s">
        <v>52</v>
      </c>
      <c r="C6416" s="13" t="n">
        <f aca="false">Sens!$C$6407/Sens!$C$6409</f>
        <v>0.0215795060896058</v>
      </c>
      <c r="D6416" s="13" t="n">
        <f aca="false">Sens!$D$6407/Sens!$D$6409</f>
        <v>0.0676152269462122</v>
      </c>
      <c r="E6416" s="13" t="n">
        <f aca="false">Sens!$E$6407/Sens!$E$6409</f>
        <v>0.106620641395783</v>
      </c>
      <c r="F6416" s="13" t="n">
        <f aca="false">Sens!$F$6407/Sens!$F$6409</f>
        <v>0.172523487401099</v>
      </c>
      <c r="G6416" s="13" t="n">
        <f aca="false">Sens!$G$6407/Sens!$G$6409</f>
        <v>0.140939911795589</v>
      </c>
      <c r="H6416" s="13" t="n">
        <f aca="false">Sens!$H$6407/Sens!$H$6409</f>
        <v>0.272018642937714</v>
      </c>
      <c r="I6416" s="13" t="n">
        <f aca="false">Sens!$I$6407/Sens!$I$6409</f>
        <v>0.362159512436497</v>
      </c>
      <c r="J6416" s="13" t="n">
        <f aca="false">Sens!$J$6407/Sens!$J$6409</f>
        <v>0.422151735934609</v>
      </c>
      <c r="K6416" s="13" t="n">
        <f aca="false">Sens!$K$6407/Sens!$K$6409</f>
        <v>0.45769342068485</v>
      </c>
      <c r="L6416" s="13" t="n">
        <f aca="false">Sens!$L$6407/Sens!$L$6409</f>
        <v>0.469047103913472</v>
      </c>
      <c r="M6416" s="13" t="n">
        <f aca="false">Sens!$M$6407/Sens!$M$6409</f>
        <v>0.463233328258093</v>
      </c>
      <c r="N6416" s="13" t="n">
        <f aca="false">Sens!$N$6407/Sens!$N$6409</f>
        <v>0.0506537999838362</v>
      </c>
      <c r="O6416" s="13" t="n">
        <f aca="false">Sens!$O$6407/Sens!$O$6409</f>
        <v>0.0824881615167056</v>
      </c>
    </row>
    <row r="6419" customFormat="false" ht="19.4" hidden="false" customHeight="false" outlineLevel="0" collapsed="false">
      <c r="A6419" s="31" t="s">
        <v>1259</v>
      </c>
    </row>
    <row r="6420" customFormat="false" ht="17.15" hidden="false" customHeight="false" outlineLevel="0" collapsed="false">
      <c r="A6420" s="6" t="s">
        <v>16</v>
      </c>
      <c r="B6420" s="6" t="s">
        <v>17</v>
      </c>
      <c r="C6420" s="20" t="s">
        <v>494</v>
      </c>
      <c r="D6420" s="20" t="s">
        <v>495</v>
      </c>
      <c r="E6420" s="20" t="s">
        <v>577</v>
      </c>
      <c r="F6420" s="20" t="s">
        <v>578</v>
      </c>
      <c r="G6420" s="20" t="s">
        <v>579</v>
      </c>
      <c r="H6420" s="20" t="s">
        <v>580</v>
      </c>
      <c r="I6420" s="20" t="s">
        <v>581</v>
      </c>
      <c r="J6420" s="20" t="s">
        <v>582</v>
      </c>
      <c r="K6420" s="20" t="s">
        <v>583</v>
      </c>
      <c r="L6420" s="20" t="s">
        <v>584</v>
      </c>
      <c r="M6420" s="20" t="s">
        <v>585</v>
      </c>
      <c r="N6420" s="20" t="s">
        <v>586</v>
      </c>
      <c r="O6420" s="20" t="s">
        <v>587</v>
      </c>
      <c r="P6420" s="6" t="s">
        <v>23</v>
      </c>
      <c r="R6420" s="20" t="n">
        <v>2023</v>
      </c>
      <c r="S6420" s="20" t="n">
        <v>2024</v>
      </c>
      <c r="T6420" s="20" t="n">
        <v>2025</v>
      </c>
      <c r="U6420" s="20" t="n">
        <v>2026</v>
      </c>
      <c r="V6420" s="20" t="n">
        <v>2027</v>
      </c>
      <c r="W6420" s="20" t="n">
        <v>2028</v>
      </c>
      <c r="X6420" s="20" t="n">
        <v>2029</v>
      </c>
      <c r="Y6420" s="20" t="n">
        <v>2030</v>
      </c>
      <c r="Z6420" s="20" t="n">
        <v>2031</v>
      </c>
      <c r="AA6420" s="20" t="n">
        <v>2032</v>
      </c>
    </row>
    <row r="6421" customFormat="false" ht="17.15" hidden="false" customHeight="false" outlineLevel="0" collapsed="false">
      <c r="A6421" s="1" t="s">
        <v>710</v>
      </c>
    </row>
    <row r="6422" customFormat="false" ht="15" hidden="false" customHeight="false" outlineLevel="0" collapsed="false">
      <c r="A6422" s="0" t="s">
        <v>516</v>
      </c>
      <c r="B6422" s="0" t="s">
        <v>86</v>
      </c>
      <c r="C6422" s="38" t="n">
        <f aca="false">Sens!$C$6329</f>
        <v>247.029</v>
      </c>
      <c r="D6422" s="38" t="n">
        <f aca="false">Sens!$D$6329</f>
        <v>269.287</v>
      </c>
      <c r="E6422" s="38" t="n">
        <f aca="false">Sens!$E$6329</f>
        <v>134.686</v>
      </c>
      <c r="F6422" s="38" t="n">
        <f aca="false">Sens!$F$6329</f>
        <v>158.293876822267</v>
      </c>
      <c r="G6422" s="38" t="n">
        <f aca="false">Sens!$G$6329</f>
        <v>292.979876822267</v>
      </c>
      <c r="H6422" s="38" t="n">
        <f aca="false">Sens!$H$6329</f>
        <v>318.184543087396</v>
      </c>
      <c r="I6422" s="38" t="n">
        <f aca="false">Sens!$I$6329</f>
        <v>341.736278761793</v>
      </c>
      <c r="J6422" s="38" t="n">
        <f aca="false">Sens!$J$6329</f>
        <v>362.927192787048</v>
      </c>
      <c r="K6422" s="38" t="n">
        <f aca="false">Sens!$K$6329</f>
        <v>381.0735524264</v>
      </c>
      <c r="L6422" s="38" t="n">
        <f aca="false">Sens!$L$6329</f>
        <v>400.12723004772</v>
      </c>
      <c r="M6422" s="38" t="n">
        <f aca="false">Sens!$M$6329</f>
        <v>420.133591550106</v>
      </c>
      <c r="N6422" s="38" t="n">
        <f aca="false">Sens!$N$6329</f>
        <v>118.892</v>
      </c>
      <c r="O6422" s="38" t="n">
        <f aca="false">Sens!$O$6329</f>
        <v>150.395</v>
      </c>
    </row>
    <row r="6423" customFormat="false" ht="15" hidden="false" customHeight="false" outlineLevel="0" collapsed="false">
      <c r="A6423" s="0" t="s">
        <v>517</v>
      </c>
      <c r="B6423" s="0" t="s">
        <v>86</v>
      </c>
      <c r="C6423" s="38" t="n">
        <f aca="false">Sens!$C$6331</f>
        <v>21.215</v>
      </c>
      <c r="D6423" s="38" t="n">
        <f aca="false">Sens!$D$6331</f>
        <v>22.561</v>
      </c>
      <c r="E6423" s="38" t="n">
        <f aca="false">Sens!$E$6331</f>
        <v>11.579</v>
      </c>
      <c r="F6423" s="38" t="n">
        <f aca="false">Sens!$F$6331</f>
        <v>11.5938724610325</v>
      </c>
      <c r="G6423" s="38" t="n">
        <f aca="false">Sens!$G$6331</f>
        <v>23.1728724610325</v>
      </c>
      <c r="H6423" s="38" t="n">
        <f aca="false">Sens!$H$6331</f>
        <v>24.353392759506</v>
      </c>
      <c r="I6423" s="38" t="n">
        <f aca="false">Sens!$I$6331</f>
        <v>25.4240338872015</v>
      </c>
      <c r="J6423" s="38" t="n">
        <f aca="false">Sens!$J$6331</f>
        <v>26.3642491017174</v>
      </c>
      <c r="K6423" s="38" t="n">
        <f aca="false">Sens!$K$6331</f>
        <v>27.155176574769</v>
      </c>
      <c r="L6423" s="38" t="n">
        <f aca="false">Sens!$L$6331</f>
        <v>27.969831872012</v>
      </c>
      <c r="M6423" s="38" t="n">
        <f aca="false">Sens!$M$6331</f>
        <v>28.8089268281724</v>
      </c>
      <c r="N6423" s="38" t="n">
        <f aca="false">Sens!$N$6331</f>
        <v>11.128</v>
      </c>
      <c r="O6423" s="38" t="n">
        <f aca="false">Sens!$O$6331</f>
        <v>11.433</v>
      </c>
    </row>
    <row r="6424" customFormat="false" ht="15" hidden="false" customHeight="false" outlineLevel="0" collapsed="false">
      <c r="A6424" s="0" t="s">
        <v>518</v>
      </c>
      <c r="B6424" s="0" t="s">
        <v>86</v>
      </c>
      <c r="C6424" s="38" t="n">
        <f aca="false">Sens!$C$6333</f>
        <v>156.146</v>
      </c>
      <c r="D6424" s="38" t="n">
        <f aca="false">Sens!$D$6333</f>
        <v>172.162</v>
      </c>
      <c r="E6424" s="38" t="n">
        <f aca="false">Sens!$E$6333</f>
        <v>88.358</v>
      </c>
      <c r="F6424" s="38" t="n">
        <f aca="false">Sens!$F$6333</f>
        <v>102.004388260171</v>
      </c>
      <c r="G6424" s="38" t="n">
        <f aca="false">Sens!$G$6333</f>
        <v>190.362388260171</v>
      </c>
      <c r="H6424" s="38" t="n">
        <f aca="false">Sens!$H$6333</f>
        <v>210.343106588311</v>
      </c>
      <c r="I6424" s="38" t="n">
        <f aca="false">Sens!$I$6333</f>
        <v>229.969728494648</v>
      </c>
      <c r="J6424" s="38" t="n">
        <f aca="false">Sens!$J$6333</f>
        <v>248.747636972598</v>
      </c>
      <c r="K6424" s="38" t="n">
        <f aca="false">Sens!$K$6333</f>
        <v>266.15997156068</v>
      </c>
      <c r="L6424" s="38" t="n">
        <f aca="false">Sens!$L$6333</f>
        <v>284.791169569927</v>
      </c>
      <c r="M6424" s="38" t="n">
        <f aca="false">Sens!$M$6333</f>
        <v>304.726551439822</v>
      </c>
      <c r="N6424" s="38" t="n">
        <f aca="false">Sens!$N$6333</f>
        <v>76.86</v>
      </c>
      <c r="O6424" s="38" t="n">
        <f aca="false">Sens!$O$6333</f>
        <v>95.302</v>
      </c>
    </row>
    <row r="6425" customFormat="false" ht="15" hidden="false" customHeight="false" outlineLevel="0" collapsed="false">
      <c r="A6425" s="0" t="s">
        <v>519</v>
      </c>
      <c r="B6425" s="0" t="s">
        <v>86</v>
      </c>
      <c r="C6425" s="38" t="n">
        <f aca="false">Sens!$C$6335</f>
        <v>56.214</v>
      </c>
      <c r="D6425" s="38" t="n">
        <f aca="false">Sens!$D$6335</f>
        <v>68.635</v>
      </c>
      <c r="E6425" s="38" t="n">
        <f aca="false">Sens!$E$6335</f>
        <v>37.052</v>
      </c>
      <c r="F6425" s="38" t="n">
        <f aca="false">Sens!$F$6335</f>
        <v>46.1572219944148</v>
      </c>
      <c r="G6425" s="38" t="n">
        <f aca="false">Sens!$G$6335</f>
        <v>83.2092219944148</v>
      </c>
      <c r="H6425" s="38" t="n">
        <f aca="false">Sens!$H$6335</f>
        <v>99.8969223878976</v>
      </c>
      <c r="I6425" s="38" t="n">
        <f aca="false">Sens!$I$6335</f>
        <v>116.583111095496</v>
      </c>
      <c r="J6425" s="38" t="n">
        <f aca="false">Sens!$J$6335</f>
        <v>132.148941941952</v>
      </c>
      <c r="K6425" s="38" t="n">
        <f aca="false">Sens!$K$6335</f>
        <v>145.363836136147</v>
      </c>
      <c r="L6425" s="38" t="n">
        <f aca="false">Sens!$L$6335</f>
        <v>159.900219749762</v>
      </c>
      <c r="M6425" s="38" t="n">
        <f aca="false">Sens!$M$6335</f>
        <v>175.890241724738</v>
      </c>
      <c r="N6425" s="38" t="n">
        <f aca="false">Sens!$N$6335</f>
        <v>29.615</v>
      </c>
      <c r="O6425" s="38" t="n">
        <f aca="false">Sens!$O$6335</f>
        <v>39.02</v>
      </c>
    </row>
    <row r="6426" customFormat="false" ht="15" hidden="false" customHeight="false" outlineLevel="0" collapsed="false">
      <c r="A6426" s="0" t="s">
        <v>520</v>
      </c>
      <c r="B6426" s="0" t="s">
        <v>86</v>
      </c>
      <c r="C6426" s="38" t="n">
        <f aca="false">Sens!$C$6337</f>
        <v>44.374</v>
      </c>
      <c r="D6426" s="38" t="n">
        <f aca="false">Sens!$D$6337</f>
        <v>49.619</v>
      </c>
      <c r="E6426" s="38" t="n">
        <f aca="false">Sens!$E$6337</f>
        <v>27.157</v>
      </c>
      <c r="F6426" s="38" t="n">
        <f aca="false">Sens!$F$6337</f>
        <v>27.7764165988154</v>
      </c>
      <c r="G6426" s="38" t="n">
        <f aca="false">Sens!$G$6337</f>
        <v>54.9334165988154</v>
      </c>
      <c r="H6426" s="38" t="n">
        <f aca="false">Sens!$H$6337</f>
        <v>61.1564112561829</v>
      </c>
      <c r="I6426" s="38" t="n">
        <f aca="false">Sens!$I$6337</f>
        <v>67.2020282103945</v>
      </c>
      <c r="J6426" s="38" t="n">
        <f aca="false">Sens!$J$6337</f>
        <v>72.8757274028885</v>
      </c>
      <c r="K6426" s="38" t="n">
        <f aca="false">Sens!$K$6337</f>
        <v>77.9770283210907</v>
      </c>
      <c r="L6426" s="38" t="n">
        <f aca="false">Sens!$L$6337</f>
        <v>83.4354203035671</v>
      </c>
      <c r="M6426" s="38" t="n">
        <f aca="false">Sens!$M$6337</f>
        <v>89.2758997248168</v>
      </c>
      <c r="N6426" s="38" t="n">
        <f aca="false">Sens!$N$6337</f>
        <v>23.923</v>
      </c>
      <c r="O6426" s="38" t="n">
        <f aca="false">Sens!$O$6337</f>
        <v>25.696</v>
      </c>
    </row>
    <row r="6427" customFormat="false" ht="15" hidden="false" customHeight="false" outlineLevel="0" collapsed="false">
      <c r="A6427" s="0" t="s">
        <v>521</v>
      </c>
      <c r="B6427" s="0" t="s">
        <v>86</v>
      </c>
      <c r="C6427" s="38" t="n">
        <f aca="false">Sens!$C$6339</f>
        <v>5.425</v>
      </c>
      <c r="D6427" s="38" t="n">
        <f aca="false">Sens!$D$6339</f>
        <v>5.935</v>
      </c>
      <c r="E6427" s="38" t="n">
        <f aca="false">Sens!$E$6339</f>
        <v>3.474</v>
      </c>
      <c r="F6427" s="38" t="n">
        <f aca="false">Sens!$F$6339</f>
        <v>3.22246550883619</v>
      </c>
      <c r="G6427" s="38" t="n">
        <f aca="false">Sens!$G$6339</f>
        <v>6.69646550883619</v>
      </c>
      <c r="H6427" s="38" t="n">
        <f aca="false">Sens!$H$6339</f>
        <v>7.16251344209196</v>
      </c>
      <c r="I6427" s="38" t="n">
        <f aca="false">Sens!$I$6339</f>
        <v>7.61421070299826</v>
      </c>
      <c r="J6427" s="38" t="n">
        <f aca="false">Sens!$J$6339</f>
        <v>8.04465753523932</v>
      </c>
      <c r="K6427" s="38" t="n">
        <f aca="false">Sens!$K$6339</f>
        <v>8.44689041200128</v>
      </c>
      <c r="L6427" s="38" t="n">
        <f aca="false">Sens!$L$6339</f>
        <v>8.86923493260135</v>
      </c>
      <c r="M6427" s="38" t="n">
        <f aca="false">Sens!$M$6339</f>
        <v>9.31269667923142</v>
      </c>
      <c r="N6427" s="38" t="n">
        <f aca="false">Sens!$N$6339</f>
        <v>2.811</v>
      </c>
      <c r="O6427" s="38" t="n">
        <f aca="false">Sens!$O$6339</f>
        <v>3.124</v>
      </c>
    </row>
    <row r="6428" customFormat="false" ht="17.15" hidden="false" customHeight="false" outlineLevel="0" collapsed="false">
      <c r="A6428" s="0" t="s">
        <v>711</v>
      </c>
      <c r="B6428" s="0" t="s">
        <v>86</v>
      </c>
      <c r="C6428" s="38" t="n">
        <f aca="false">Sens!$C$6409</f>
        <v>107.556</v>
      </c>
      <c r="D6428" s="38" t="n">
        <f aca="false">Sens!$D$6409</f>
        <v>128.725</v>
      </c>
      <c r="E6428" s="38" t="n">
        <f aca="false">Sens!$E$6409</f>
        <v>79.819</v>
      </c>
      <c r="F6428" s="38" t="n">
        <f aca="false">Sens!$F$6409</f>
        <v>86.7327334389669</v>
      </c>
      <c r="G6428" s="38" t="n">
        <f aca="false">Sens!$G$6409</f>
        <v>166.551733438967</v>
      </c>
      <c r="H6428" s="38" t="n">
        <f aca="false">Sens!$H$6409</f>
        <v>221.182967828978</v>
      </c>
      <c r="I6428" s="38" t="n">
        <f aca="false">Sens!$I$6409</f>
        <v>280.27345865789</v>
      </c>
      <c r="J6428" s="38" t="n">
        <f aca="false">Sens!$J$6409</f>
        <v>338.800945197185</v>
      </c>
      <c r="K6428" s="38" t="n">
        <f aca="false">Sens!$K$6409</f>
        <v>389.88570147276</v>
      </c>
      <c r="L6428" s="38" t="n">
        <f aca="false">Sens!$L$6409</f>
        <v>430.080689379143</v>
      </c>
      <c r="M6428" s="38" t="n">
        <f aca="false">Sens!$M$6409</f>
        <v>459.456235951751</v>
      </c>
      <c r="N6428" s="38" t="n">
        <f aca="false">Sens!$N$6409</f>
        <v>60.14</v>
      </c>
      <c r="O6428" s="38" t="n">
        <f aca="false">Sens!$O$6409</f>
        <v>68.585</v>
      </c>
    </row>
    <row r="6429" customFormat="false" ht="15" hidden="false" customHeight="false" outlineLevel="0" collapsed="false">
      <c r="A6429" s="1" t="s">
        <v>509</v>
      </c>
      <c r="B6429" s="8" t="s">
        <v>86</v>
      </c>
      <c r="C6429" s="38" t="n">
        <f aca="false">Sens!$C$6344</f>
        <v>387.497</v>
      </c>
      <c r="D6429" s="38" t="n">
        <f aca="false">Sens!$D$6344</f>
        <v>426.305</v>
      </c>
      <c r="E6429" s="38" t="n">
        <f aca="false">Sens!$E$6344</f>
        <v>220.32</v>
      </c>
      <c r="F6429" s="38" t="n">
        <f aca="false">Sens!$F$6344</f>
        <v>250.639773480586</v>
      </c>
      <c r="G6429" s="38" t="n">
        <f aca="false">Sens!$G$6344</f>
        <v>470.959773480586</v>
      </c>
      <c r="H6429" s="38" t="n">
        <f aca="false">Sens!$H$6344</f>
        <v>521.386990416437</v>
      </c>
      <c r="I6429" s="38" t="n">
        <f aca="false">Sens!$I$6344</f>
        <v>570.143862887555</v>
      </c>
      <c r="J6429" s="38" t="n">
        <f aca="false">Sens!$J$6344</f>
        <v>615.391435791933</v>
      </c>
      <c r="K6429" s="38" t="n">
        <f aca="false">Sens!$K$6344</f>
        <v>655.208227561543</v>
      </c>
      <c r="L6429" s="38" t="n">
        <f aca="false">Sens!$L$6344</f>
        <v>697.807739249767</v>
      </c>
      <c r="M6429" s="38" t="n">
        <f aca="false">Sens!$M$6344</f>
        <v>743.399328463592</v>
      </c>
      <c r="N6429" s="38" t="n">
        <f aca="false">Sens!$N$6344</f>
        <v>192.955</v>
      </c>
      <c r="O6429" s="38" t="n">
        <f aca="false">Sens!$O$6344</f>
        <v>233.35</v>
      </c>
    </row>
    <row r="6430" customFormat="false" ht="15" hidden="false" customHeight="false" outlineLevel="0" collapsed="false">
      <c r="A6430" s="1" t="s">
        <v>512</v>
      </c>
      <c r="B6430" s="8" t="s">
        <v>86</v>
      </c>
      <c r="C6430" s="38" t="n">
        <f aca="false">Sens!$C$6345</f>
        <v>142.906</v>
      </c>
      <c r="D6430" s="38" t="n">
        <f aca="false">Sens!$D$6345</f>
        <v>161.894</v>
      </c>
      <c r="E6430" s="38" t="n">
        <f aca="false">Sens!$E$6345</f>
        <v>81.986</v>
      </c>
      <c r="F6430" s="38" t="n">
        <f aca="false">Sens!$F$6345</f>
        <v>98.408468164951</v>
      </c>
      <c r="G6430" s="38" t="n">
        <f aca="false">Sens!$G$6345</f>
        <v>180.394468164951</v>
      </c>
      <c r="H6430" s="38" t="n">
        <f aca="false">Sens!$H$6345</f>
        <v>199.709899104949</v>
      </c>
      <c r="I6430" s="38" t="n">
        <f aca="false">Sens!$I$6345</f>
        <v>218.385528264976</v>
      </c>
      <c r="J6430" s="38" t="n">
        <f aca="false">Sens!$J$6345</f>
        <v>235.71696994951</v>
      </c>
      <c r="K6430" s="38" t="n">
        <f aca="false">Sens!$K$6345</f>
        <v>250.968227869545</v>
      </c>
      <c r="L6430" s="38" t="n">
        <f aca="false">Sens!$L$6345</f>
        <v>267.285367225822</v>
      </c>
      <c r="M6430" s="38" t="n">
        <f aca="false">Sens!$M$6345</f>
        <v>284.748579483295</v>
      </c>
      <c r="N6430" s="38" t="n">
        <f aca="false">Sens!$N$6345</f>
        <v>70.274</v>
      </c>
      <c r="O6430" s="38" t="n">
        <f aca="false">Sens!$O$6345</f>
        <v>91.62</v>
      </c>
    </row>
    <row r="6431" customFormat="false" ht="15" hidden="false" customHeight="false" outlineLevel="0" collapsed="false">
      <c r="A6431" s="1" t="s">
        <v>513</v>
      </c>
      <c r="B6431" s="8" t="s">
        <v>86</v>
      </c>
      <c r="C6431" s="38" t="n">
        <f aca="false">Sens!$C$6409</f>
        <v>107.556</v>
      </c>
      <c r="D6431" s="38" t="n">
        <f aca="false">Sens!$D$6409</f>
        <v>128.725</v>
      </c>
      <c r="E6431" s="38" t="n">
        <f aca="false">Sens!$E$6409</f>
        <v>79.819</v>
      </c>
      <c r="F6431" s="38" t="n">
        <f aca="false">Sens!$F$6409</f>
        <v>86.7327334389669</v>
      </c>
      <c r="G6431" s="38" t="n">
        <f aca="false">Sens!$G$6409</f>
        <v>166.551733438967</v>
      </c>
      <c r="H6431" s="38" t="n">
        <f aca="false">Sens!$H$6409</f>
        <v>221.182967828978</v>
      </c>
      <c r="I6431" s="38" t="n">
        <f aca="false">Sens!$I$6409</f>
        <v>280.27345865789</v>
      </c>
      <c r="J6431" s="38" t="n">
        <f aca="false">Sens!$J$6409</f>
        <v>338.800945197185</v>
      </c>
      <c r="K6431" s="38" t="n">
        <f aca="false">Sens!$K$6409</f>
        <v>389.88570147276</v>
      </c>
      <c r="L6431" s="38" t="n">
        <f aca="false">Sens!$L$6409</f>
        <v>430.080689379143</v>
      </c>
      <c r="M6431" s="38" t="n">
        <f aca="false">Sens!$M$6409</f>
        <v>459.456235951751</v>
      </c>
      <c r="N6431" s="38" t="n">
        <f aca="false">Sens!$N$6409</f>
        <v>60.14</v>
      </c>
      <c r="O6431" s="38" t="n">
        <f aca="false">Sens!$O$6409</f>
        <v>68.585</v>
      </c>
    </row>
    <row r="6432" customFormat="false" ht="17.15" hidden="false" customHeight="false" outlineLevel="0" collapsed="false">
      <c r="A6432" s="0" t="s">
        <v>685</v>
      </c>
      <c r="B6432" s="0" t="s">
        <v>86</v>
      </c>
      <c r="C6432" s="38" t="n">
        <f aca="false">Sens!$C$6407</f>
        <v>2.32100535697364</v>
      </c>
      <c r="D6432" s="38" t="n">
        <f aca="false">Sens!$D$6407</f>
        <v>8.70377008865116</v>
      </c>
      <c r="E6432" s="38" t="n">
        <f aca="false">Sens!$E$6407</f>
        <v>8.51035297557002</v>
      </c>
      <c r="F6432" s="38" t="n">
        <f aca="false">Sens!$F$6407</f>
        <v>14.9634336447205</v>
      </c>
      <c r="G6432" s="38" t="n">
        <f aca="false">Sens!$G$6407</f>
        <v>23.4737866202905</v>
      </c>
      <c r="H6432" s="38" t="n">
        <f aca="false">Sens!$H$6407</f>
        <v>60.1658907497746</v>
      </c>
      <c r="I6432" s="38" t="n">
        <f aca="false">Sens!$I$6407</f>
        <v>101.503699136432</v>
      </c>
      <c r="J6432" s="38" t="n">
        <f aca="false">Sens!$J$6407</f>
        <v>143.025407151278</v>
      </c>
      <c r="K6432" s="38" t="n">
        <f aca="false">Sens!$K$6407</f>
        <v>178.44812038318</v>
      </c>
      <c r="L6432" s="38" t="n">
        <f aca="false">Sens!$L$6407</f>
        <v>201.728101802396</v>
      </c>
      <c r="M6432" s="38" t="n">
        <f aca="false">Sens!$M$6407</f>
        <v>212.835441368865</v>
      </c>
      <c r="N6432" s="38" t="n">
        <f aca="false">Sens!$N$6407</f>
        <v>3.04631953102791</v>
      </c>
      <c r="O6432" s="38" t="n">
        <f aca="false">Sens!$O$6407</f>
        <v>5.65745055762326</v>
      </c>
    </row>
    <row r="6433" customFormat="false" ht="17.15" hidden="false" customHeight="false" outlineLevel="0" collapsed="false">
      <c r="A6433" s="0" t="s">
        <v>687</v>
      </c>
      <c r="B6433" s="0" t="s">
        <v>86</v>
      </c>
      <c r="C6433" s="38" t="n">
        <f aca="false">Sens!$C$6408</f>
        <v>105.234994643026</v>
      </c>
      <c r="D6433" s="38" t="n">
        <f aca="false">Sens!$D$6408</f>
        <v>120.021229911349</v>
      </c>
      <c r="E6433" s="38" t="n">
        <f aca="false">Sens!$E$6408</f>
        <v>71.30864702443</v>
      </c>
      <c r="F6433" s="38" t="n">
        <f aca="false">Sens!$F$6408</f>
        <v>71.7692997942464</v>
      </c>
      <c r="G6433" s="38" t="n">
        <f aca="false">Sens!$G$6408</f>
        <v>143.077946818676</v>
      </c>
      <c r="H6433" s="38" t="n">
        <f aca="false">Sens!$H$6408</f>
        <v>161.017077079203</v>
      </c>
      <c r="I6433" s="38" t="n">
        <f aca="false">Sens!$I$6408</f>
        <v>178.769759521457</v>
      </c>
      <c r="J6433" s="38" t="n">
        <f aca="false">Sens!$J$6408</f>
        <v>195.775538045907</v>
      </c>
      <c r="K6433" s="38" t="n">
        <f aca="false">Sens!$K$6408</f>
        <v>211.43758108958</v>
      </c>
      <c r="L6433" s="38" t="n">
        <f aca="false">Sens!$L$6408</f>
        <v>228.352587576746</v>
      </c>
      <c r="M6433" s="38" t="n">
        <f aca="false">Sens!$M$6408</f>
        <v>246.620794582886</v>
      </c>
      <c r="N6433" s="38" t="n">
        <f aca="false">Sens!$N$6408</f>
        <v>57.0936804689721</v>
      </c>
      <c r="O6433" s="38" t="n">
        <f aca="false">Sens!$O$6408</f>
        <v>62.9275494423768</v>
      </c>
    </row>
    <row r="6434" customFormat="false" ht="15" hidden="false" customHeight="false" outlineLevel="0" collapsed="false">
      <c r="A6434" s="3" t="s">
        <v>514</v>
      </c>
      <c r="B6434" s="8" t="s">
        <v>86</v>
      </c>
      <c r="C6434" s="38" t="n">
        <f aca="false">Sens!$C$6410</f>
        <v>637.959</v>
      </c>
      <c r="D6434" s="38" t="n">
        <f aca="false">Sens!$D$6410</f>
        <v>716.924</v>
      </c>
      <c r="E6434" s="38" t="n">
        <f aca="false">Sens!$E$6410</f>
        <v>382.125</v>
      </c>
      <c r="F6434" s="38" t="n">
        <f aca="false">Sens!$F$6410</f>
        <v>435.780975084504</v>
      </c>
      <c r="G6434" s="38" t="n">
        <f aca="false">Sens!$G$6410</f>
        <v>817.905975084504</v>
      </c>
      <c r="H6434" s="38" t="n">
        <f aca="false">Sens!$H$6410</f>
        <v>942.279857350364</v>
      </c>
      <c r="I6434" s="38" t="n">
        <f aca="false">Sens!$I$6410</f>
        <v>1068.80284981042</v>
      </c>
      <c r="J6434" s="38" t="n">
        <f aca="false">Sens!$J$6410</f>
        <v>1189.90935093863</v>
      </c>
      <c r="K6434" s="38" t="n">
        <f aca="false">Sens!$K$6410</f>
        <v>1296.06215690385</v>
      </c>
      <c r="L6434" s="38" t="n">
        <f aca="false">Sens!$L$6410</f>
        <v>1395.17379585473</v>
      </c>
      <c r="M6434" s="38" t="n">
        <f aca="false">Sens!$M$6410</f>
        <v>1487.60414389864</v>
      </c>
      <c r="N6434" s="38" t="n">
        <f aca="false">Sens!$N$6410</f>
        <v>323.369</v>
      </c>
      <c r="O6434" s="38" t="n">
        <f aca="false">Sens!$O$6410</f>
        <v>393.555</v>
      </c>
    </row>
    <row r="6435" customFormat="false" ht="17.15" hidden="false" customHeight="false" outlineLevel="0" collapsed="false">
      <c r="A6435" s="24" t="s">
        <v>697</v>
      </c>
      <c r="B6435" s="25" t="s">
        <v>86</v>
      </c>
      <c r="C6435" s="41" t="n">
        <f aca="false">Sens!$C$6422+Sens!$C$6423+Sens!$C$6424+Sens!$C$6425+Sens!$C$6426+Sens!$C$6427-(Sens!$C$6429+Sens!$C$6430)</f>
        <v>0</v>
      </c>
      <c r="D6435" s="41" t="n">
        <f aca="false">Sens!$D$6422+Sens!$D$6423+Sens!$D$6424+Sens!$D$6425+Sens!$D$6426+Sens!$D$6427-(Sens!$D$6429+Sens!$D$6430)</f>
        <v>0</v>
      </c>
      <c r="E6435" s="41" t="n">
        <f aca="false">Sens!$E$6422+Sens!$E$6423+Sens!$E$6424+Sens!$E$6425+Sens!$E$6426+Sens!$E$6427-(Sens!$E$6429+Sens!$E$6430)</f>
        <v>0</v>
      </c>
      <c r="F6435" s="41" t="n">
        <f aca="false">Sens!$F$6422+Sens!$F$6423+Sens!$F$6424+Sens!$F$6425+Sens!$F$6426+Sens!$F$6427-(Sens!$F$6429+Sens!$F$6430)</f>
        <v>0</v>
      </c>
      <c r="G6435" s="41" t="n">
        <f aca="false">Sens!$G$6422+Sens!$G$6423+Sens!$G$6424+Sens!$G$6425+Sens!$G$6426+Sens!$G$6427-(Sens!$G$6429+Sens!$G$6430)</f>
        <v>0</v>
      </c>
      <c r="H6435" s="41" t="n">
        <f aca="false">Sens!$H$6422+Sens!$H$6423+Sens!$H$6424+Sens!$H$6425+Sens!$H$6426+Sens!$H$6427-(Sens!$H$6429+Sens!$H$6430)</f>
        <v>0</v>
      </c>
      <c r="I6435" s="41" t="n">
        <f aca="false">Sens!$I$6422+Sens!$I$6423+Sens!$I$6424+Sens!$I$6425+Sens!$I$6426+Sens!$I$6427-(Sens!$I$6429+Sens!$I$6430)</f>
        <v>0</v>
      </c>
      <c r="J6435" s="41" t="n">
        <f aca="false">Sens!$J$6422+Sens!$J$6423+Sens!$J$6424+Sens!$J$6425+Sens!$J$6426+Sens!$J$6427-(Sens!$J$6429+Sens!$J$6430)</f>
        <v>0</v>
      </c>
      <c r="K6435" s="41" t="n">
        <f aca="false">Sens!$K$6422+Sens!$K$6423+Sens!$K$6424+Sens!$K$6425+Sens!$K$6426+Sens!$K$6427-(Sens!$K$6429+Sens!$K$6430)</f>
        <v>0</v>
      </c>
      <c r="L6435" s="41" t="n">
        <f aca="false">Sens!$L$6422+Sens!$L$6423+Sens!$L$6424+Sens!$L$6425+Sens!$L$6426+Sens!$L$6427-(Sens!$L$6429+Sens!$L$6430)</f>
        <v>0</v>
      </c>
      <c r="M6435" s="41" t="n">
        <f aca="false">Sens!$M$6422+Sens!$M$6423+Sens!$M$6424+Sens!$M$6425+Sens!$M$6426+Sens!$M$6427-(Sens!$M$6429+Sens!$M$6430)</f>
        <v>0</v>
      </c>
      <c r="N6435" s="41" t="n">
        <f aca="false">Sens!$N$6422+Sens!$N$6423+Sens!$N$6424+Sens!$N$6425+Sens!$N$6426+Sens!$N$6427-(Sens!$N$6429+Sens!$N$6430)</f>
        <v>0</v>
      </c>
      <c r="O6435" s="41" t="n">
        <f aca="false">Sens!$O$6422+Sens!$O$6423+Sens!$O$6424+Sens!$O$6425+Sens!$O$6426+Sens!$O$6427-(Sens!$O$6429+Sens!$O$6430)</f>
        <v>0</v>
      </c>
    </row>
    <row r="6436" customFormat="false" ht="17.15" hidden="false" customHeight="false" outlineLevel="0" collapsed="false">
      <c r="A6436" s="24" t="s">
        <v>698</v>
      </c>
      <c r="B6436" s="25" t="s">
        <v>86</v>
      </c>
      <c r="C6436" s="41" t="n">
        <f aca="false">Sens!$C$6432+Sens!$C$6433-Sens!$C$6431</f>
        <v>0</v>
      </c>
      <c r="D6436" s="41" t="n">
        <f aca="false">Sens!$D$6432+Sens!$D$6433-Sens!$D$6431</f>
        <v>0</v>
      </c>
      <c r="E6436" s="41" t="n">
        <f aca="false">Sens!$E$6432+Sens!$E$6433-Sens!$E$6431</f>
        <v>0</v>
      </c>
      <c r="F6436" s="41" t="n">
        <f aca="false">Sens!$F$6432+Sens!$F$6433-Sens!$F$6431</f>
        <v>0</v>
      </c>
      <c r="G6436" s="41" t="n">
        <f aca="false">Sens!$G$6432+Sens!$G$6433-Sens!$G$6431</f>
        <v>0</v>
      </c>
      <c r="H6436" s="41" t="n">
        <f aca="false">Sens!$H$6432+Sens!$H$6433-Sens!$H$6431</f>
        <v>0</v>
      </c>
      <c r="I6436" s="41" t="n">
        <f aca="false">Sens!$I$6432+Sens!$I$6433-Sens!$I$6431</f>
        <v>0</v>
      </c>
      <c r="J6436" s="41" t="n">
        <f aca="false">Sens!$J$6432+Sens!$J$6433-Sens!$J$6431</f>
        <v>0</v>
      </c>
      <c r="K6436" s="41" t="n">
        <f aca="false">Sens!$K$6432+Sens!$K$6433-Sens!$K$6431</f>
        <v>0</v>
      </c>
      <c r="L6436" s="41" t="n">
        <f aca="false">Sens!$L$6432+Sens!$L$6433-Sens!$L$6431</f>
        <v>0</v>
      </c>
      <c r="M6436" s="41" t="n">
        <f aca="false">Sens!$M$6432+Sens!$M$6433-Sens!$M$6431</f>
        <v>0</v>
      </c>
      <c r="N6436" s="41" t="n">
        <f aca="false">Sens!$N$6432+Sens!$N$6433-Sens!$N$6431</f>
        <v>0</v>
      </c>
      <c r="O6436" s="41" t="n">
        <f aca="false">Sens!$O$6432+Sens!$O$6433-Sens!$O$6431</f>
        <v>0</v>
      </c>
    </row>
    <row r="6437" customFormat="false" ht="17.15" hidden="false" customHeight="false" outlineLevel="0" collapsed="false">
      <c r="A6437" s="24" t="s">
        <v>757</v>
      </c>
      <c r="B6437" s="25" t="s">
        <v>86</v>
      </c>
      <c r="C6437" s="41" t="n">
        <f aca="false">Sens!$C$6422+Sens!$C$6423+Sens!$C$6424+Sens!$C$6425+Sens!$C$6426+Sens!$C$6427+Sens!$C$6428-Sens!$C$6434</f>
        <v>0</v>
      </c>
      <c r="D6437" s="41" t="n">
        <f aca="false">Sens!$D$6422+Sens!$D$6423+Sens!$D$6424+Sens!$D$6425+Sens!$D$6426+Sens!$D$6427+Sens!$D$6428-Sens!$D$6434</f>
        <v>0</v>
      </c>
      <c r="E6437" s="41" t="n">
        <f aca="false">Sens!$E$6422+Sens!$E$6423+Sens!$E$6424+Sens!$E$6425+Sens!$E$6426+Sens!$E$6427+Sens!$E$6428-Sens!$E$6434</f>
        <v>0</v>
      </c>
      <c r="F6437" s="41" t="n">
        <f aca="false">Sens!$F$6422+Sens!$F$6423+Sens!$F$6424+Sens!$F$6425+Sens!$F$6426+Sens!$F$6427+Sens!$F$6428-Sens!$F$6434</f>
        <v>0</v>
      </c>
      <c r="G6437" s="41" t="n">
        <f aca="false">Sens!$G$6422+Sens!$G$6423+Sens!$G$6424+Sens!$G$6425+Sens!$G$6426+Sens!$G$6427+Sens!$G$6428-Sens!$G$6434</f>
        <v>0</v>
      </c>
      <c r="H6437" s="41" t="n">
        <f aca="false">Sens!$H$6422+Sens!$H$6423+Sens!$H$6424+Sens!$H$6425+Sens!$H$6426+Sens!$H$6427+Sens!$H$6428-Sens!$H$6434</f>
        <v>0</v>
      </c>
      <c r="I6437" s="41" t="n">
        <f aca="false">Sens!$I$6422+Sens!$I$6423+Sens!$I$6424+Sens!$I$6425+Sens!$I$6426+Sens!$I$6427+Sens!$I$6428-Sens!$I$6434</f>
        <v>0</v>
      </c>
      <c r="J6437" s="41" t="n">
        <f aca="false">Sens!$J$6422+Sens!$J$6423+Sens!$J$6424+Sens!$J$6425+Sens!$J$6426+Sens!$J$6427+Sens!$J$6428-Sens!$J$6434</f>
        <v>0</v>
      </c>
      <c r="K6437" s="41" t="n">
        <f aca="false">Sens!$K$6422+Sens!$K$6423+Sens!$K$6424+Sens!$K$6425+Sens!$K$6426+Sens!$K$6427+Sens!$K$6428-Sens!$K$6434</f>
        <v>0</v>
      </c>
      <c r="L6437" s="41" t="n">
        <f aca="false">Sens!$L$6422+Sens!$L$6423+Sens!$L$6424+Sens!$L$6425+Sens!$L$6426+Sens!$L$6427+Sens!$L$6428-Sens!$L$6434</f>
        <v>0</v>
      </c>
      <c r="M6437" s="41" t="n">
        <f aca="false">Sens!$M$6422+Sens!$M$6423+Sens!$M$6424+Sens!$M$6425+Sens!$M$6426+Sens!$M$6427+Sens!$M$6428-Sens!$M$6434</f>
        <v>0</v>
      </c>
      <c r="N6437" s="41" t="n">
        <f aca="false">Sens!$N$6422+Sens!$N$6423+Sens!$N$6424+Sens!$N$6425+Sens!$N$6426+Sens!$N$6427+Sens!$N$6428-Sens!$N$6434</f>
        <v>0</v>
      </c>
      <c r="O6437" s="41" t="n">
        <f aca="false">Sens!$O$6422+Sens!$O$6423+Sens!$O$6424+Sens!$O$6425+Sens!$O$6426+Sens!$O$6427+Sens!$O$6428-Sens!$O$6434</f>
        <v>0</v>
      </c>
    </row>
    <row r="6438" customFormat="false" ht="17.15" hidden="false" customHeight="false" outlineLevel="0" collapsed="false">
      <c r="A6438" s="24" t="s">
        <v>699</v>
      </c>
      <c r="B6438" s="25" t="s">
        <v>86</v>
      </c>
      <c r="C6438" s="41" t="n">
        <f aca="false">Sens!$C$6429+Sens!$C$6430+Sens!$C$6431-Sens!$C$6434</f>
        <v>0</v>
      </c>
      <c r="D6438" s="41" t="n">
        <f aca="false">Sens!$D$6429+Sens!$D$6430+Sens!$D$6431-Sens!$D$6434</f>
        <v>0</v>
      </c>
      <c r="E6438" s="41" t="n">
        <f aca="false">Sens!$E$6429+Sens!$E$6430+Sens!$E$6431-Sens!$E$6434</f>
        <v>0</v>
      </c>
      <c r="F6438" s="41" t="n">
        <f aca="false">Sens!$F$6429+Sens!$F$6430+Sens!$F$6431-Sens!$F$6434</f>
        <v>0</v>
      </c>
      <c r="G6438" s="41" t="n">
        <f aca="false">Sens!$G$6429+Sens!$G$6430+Sens!$G$6431-Sens!$G$6434</f>
        <v>0</v>
      </c>
      <c r="H6438" s="41" t="n">
        <f aca="false">Sens!$H$6429+Sens!$H$6430+Sens!$H$6431-Sens!$H$6434</f>
        <v>0</v>
      </c>
      <c r="I6438" s="41" t="n">
        <f aca="false">Sens!$I$6429+Sens!$I$6430+Sens!$I$6431-Sens!$I$6434</f>
        <v>0</v>
      </c>
      <c r="J6438" s="41" t="n">
        <f aca="false">Sens!$J$6429+Sens!$J$6430+Sens!$J$6431-Sens!$J$6434</f>
        <v>0</v>
      </c>
      <c r="K6438" s="41" t="n">
        <f aca="false">Sens!$K$6429+Sens!$K$6430+Sens!$K$6431-Sens!$K$6434</f>
        <v>0</v>
      </c>
      <c r="L6438" s="41" t="n">
        <f aca="false">Sens!$L$6429+Sens!$L$6430+Sens!$L$6431-Sens!$L$6434</f>
        <v>0</v>
      </c>
      <c r="M6438" s="41" t="n">
        <f aca="false">Sens!$M$6429+Sens!$M$6430+Sens!$M$6431-Sens!$M$6434</f>
        <v>0</v>
      </c>
      <c r="N6438" s="41" t="n">
        <f aca="false">Sens!$N$6429+Sens!$N$6430+Sens!$N$6431-Sens!$N$6434</f>
        <v>0</v>
      </c>
      <c r="O6438" s="41" t="n">
        <f aca="false">Sens!$O$6429+Sens!$O$6430+Sens!$O$6431-Sens!$O$6434</f>
        <v>0</v>
      </c>
    </row>
    <row r="6439" customFormat="false" ht="17.15" hidden="false" customHeight="false" outlineLevel="0" collapsed="false">
      <c r="A6439" s="1" t="s">
        <v>713</v>
      </c>
    </row>
    <row r="6440" customFormat="false" ht="17.15" hidden="false" customHeight="false" outlineLevel="0" collapsed="false">
      <c r="A6440" s="0" t="s">
        <v>714</v>
      </c>
      <c r="B6440" s="0" t="s">
        <v>86</v>
      </c>
      <c r="C6440" s="38" t="n">
        <f aca="false">Sens!$C$6346*m_ad</f>
        <v>20.5341564414228</v>
      </c>
      <c r="D6440" s="38" t="n">
        <f aca="false">Sens!$D$6346*m_ad</f>
        <v>24.8720617299587</v>
      </c>
      <c r="E6440" s="38" t="n">
        <f aca="false">Sens!$E$6346*m_ad</f>
        <v>13.5017112462207</v>
      </c>
      <c r="F6440" s="38" t="n">
        <f aca="false">Sens!$F$6346*m_ad</f>
        <v>16.5719724165257</v>
      </c>
      <c r="G6440" s="38" t="n">
        <f aca="false">Sens!$G$6346*m_ad</f>
        <v>30.0820919220415</v>
      </c>
      <c r="H6440" s="38" t="n">
        <f aca="false">Sens!$H$6346*m_ad</f>
        <v>36.1150883276314</v>
      </c>
      <c r="I6440" s="38" t="n">
        <f aca="false">Sens!$I$6346*m_ad</f>
        <v>42.1475382231996</v>
      </c>
      <c r="J6440" s="38" t="n">
        <f aca="false">Sens!$J$6346*m_ad</f>
        <v>47.7749523864693</v>
      </c>
      <c r="K6440" s="38" t="n">
        <f aca="false">Sens!$K$6346*m_ad</f>
        <v>52.5524476251162</v>
      </c>
      <c r="L6440" s="38" t="n">
        <f aca="false">Sens!$L$6346*m_ad</f>
        <v>57.8076923876279</v>
      </c>
      <c r="M6440" s="38" t="n">
        <f aca="false">Sens!$M$6346*m_ad</f>
        <v>63.5884616263907</v>
      </c>
      <c r="N6440" s="38" t="n">
        <f aca="false">Sens!$N$6346*m_ad</f>
        <v>10.8543555706248</v>
      </c>
      <c r="O6440" s="38" t="n">
        <f aca="false">Sens!$O$6346*m_ad</f>
        <v>14.0094731821399</v>
      </c>
    </row>
    <row r="6441" customFormat="false" ht="17.15" hidden="false" customHeight="false" outlineLevel="0" collapsed="false">
      <c r="A6441" s="0" t="s">
        <v>715</v>
      </c>
      <c r="B6441" s="0" t="s">
        <v>86</v>
      </c>
      <c r="C6441" s="38" t="n">
        <f aca="false">Sens!$C$6344-Sens!$C$6346</f>
        <v>346.428687117154</v>
      </c>
      <c r="D6441" s="38" t="n">
        <f aca="false">Sens!$D$6344-Sens!$D$6346</f>
        <v>376.560876540083</v>
      </c>
      <c r="E6441" s="38" t="n">
        <f aca="false">Sens!$E$6344-Sens!$E$6346</f>
        <v>193.316577507559</v>
      </c>
      <c r="F6441" s="38" t="n">
        <f aca="false">Sens!$F$6344-Sens!$F$6346</f>
        <v>217.495828647535</v>
      </c>
      <c r="G6441" s="38" t="n">
        <f aca="false">Sens!$G$6344-Sens!$G$6346</f>
        <v>410.795589636503</v>
      </c>
      <c r="H6441" s="38" t="n">
        <f aca="false">Sens!$H$6344-Sens!$H$6346</f>
        <v>449.156813761174</v>
      </c>
      <c r="I6441" s="38" t="n">
        <f aca="false">Sens!$I$6344-Sens!$I$6346</f>
        <v>485.848786441156</v>
      </c>
      <c r="J6441" s="38" t="n">
        <f aca="false">Sens!$J$6344-Sens!$J$6346</f>
        <v>519.841531018994</v>
      </c>
      <c r="K6441" s="38" t="n">
        <f aca="false">Sens!$K$6344-Sens!$K$6346</f>
        <v>550.103332311311</v>
      </c>
      <c r="L6441" s="38" t="n">
        <f aca="false">Sens!$L$6344-Sens!$L$6346</f>
        <v>582.192354474511</v>
      </c>
      <c r="M6441" s="38" t="n">
        <f aca="false">Sens!$M$6344-Sens!$M$6346</f>
        <v>616.22240521081</v>
      </c>
      <c r="N6441" s="38" t="n">
        <f aca="false">Sens!$N$6344-Sens!$N$6346</f>
        <v>171.24628885875</v>
      </c>
      <c r="O6441" s="38" t="n">
        <f aca="false">Sens!$O$6344-Sens!$O$6346</f>
        <v>205.33105363572</v>
      </c>
    </row>
    <row r="6442" customFormat="false" ht="17.15" hidden="false" customHeight="false" outlineLevel="0" collapsed="false">
      <c r="A6442" s="0" t="s">
        <v>716</v>
      </c>
      <c r="B6442" s="0" t="s">
        <v>86</v>
      </c>
      <c r="C6442" s="38" t="n">
        <f aca="false">Sens!$C$6393*Sens!$C$6343</f>
        <v>0.123617442257179</v>
      </c>
      <c r="D6442" s="38" t="n">
        <f aca="false">Sens!$D$6393*Sens!$D$6343</f>
        <v>0.874366899302609</v>
      </c>
      <c r="E6442" s="38" t="n">
        <f aca="false">Sens!$E$6393*Sens!$E$6343</f>
        <v>1.29318830502574</v>
      </c>
      <c r="F6442" s="38" t="n">
        <f aca="false">Sens!$F$6393*Sens!$F$6343</f>
        <v>1.51802024162534</v>
      </c>
      <c r="G6442" s="38" t="n">
        <f aca="false">Sens!$G$6393*Sens!$G$6343</f>
        <v>2.81153363597665</v>
      </c>
      <c r="H6442" s="38" t="n">
        <f aca="false">Sens!$H$6393*Sens!$H$6343</f>
        <v>7.39027704264226</v>
      </c>
      <c r="I6442" s="38" t="n">
        <f aca="false">Sens!$I$6393*Sens!$I$6343</f>
        <v>12.899807643047</v>
      </c>
      <c r="J6442" s="38" t="n">
        <f aca="false">Sens!$J$6393*Sens!$J$6343</f>
        <v>18.5585322471382</v>
      </c>
      <c r="K6442" s="38" t="n">
        <f aca="false">Sens!$K$6393*Sens!$K$6343</f>
        <v>24.0966749520672</v>
      </c>
      <c r="L6442" s="38" t="n">
        <f aca="false">Sens!$L$6393*Sens!$L$6343</f>
        <v>27.686623551477</v>
      </c>
      <c r="M6442" s="38" t="n">
        <f aca="false">Sens!$M$6393*Sens!$M$6343</f>
        <v>29.7238645537022</v>
      </c>
      <c r="N6442" s="38" t="n">
        <f aca="false">Sens!$N$6393*Sens!$N$6343</f>
        <v>0.389180508437431</v>
      </c>
      <c r="O6442" s="38" t="n">
        <f aca="false">Sens!$O$6393*Sens!$O$6343</f>
        <v>0.485052120082802</v>
      </c>
    </row>
    <row r="6443" customFormat="false" ht="17.15" hidden="false" customHeight="false" outlineLevel="0" collapsed="false">
      <c r="A6443" s="0" t="s">
        <v>717</v>
      </c>
      <c r="B6443" s="0" t="s">
        <v>52</v>
      </c>
      <c r="C6443" s="28" t="n">
        <f aca="false">(Sens!$C$6444-Sens!$C$6440+Sens!$C$6442)/Sens!$C$6441</f>
        <v>0.0131526665379575</v>
      </c>
      <c r="D6443" s="28" t="n">
        <f aca="false">(Sens!$D$6444-Sens!$D$6440+Sens!$D$6442)/Sens!$D$6441</f>
        <v>0.0149280116962589</v>
      </c>
      <c r="E6443" s="28" t="n">
        <f aca="false">(Sens!$E$6444-Sens!$E$6440+Sens!$E$6442)/Sens!$E$6441</f>
        <v>0.0268030663774938</v>
      </c>
      <c r="F6443" s="28" t="n">
        <f aca="false">Sens!$O$6443+(Sens!$E$6443-Sens!$N$6443)</f>
        <v>0.0232379346966962</v>
      </c>
      <c r="G6443" s="28" t="n">
        <f aca="false">(Sens!$G$6444-Sens!$G$6440+Sens!$G$6442)/Sens!$G$6441</f>
        <v>0.0248969268652583</v>
      </c>
      <c r="H6443" s="28" t="n">
        <f aca="false">Sens!$G$6443+step_na</f>
        <v>0.0278969268652583</v>
      </c>
      <c r="I6443" s="28" t="n">
        <f aca="false">Sens!$H$6443+step_na</f>
        <v>0.0308969268652583</v>
      </c>
      <c r="J6443" s="28" t="n">
        <f aca="false">Sens!$I$6443+step_na</f>
        <v>0.0338969268652583</v>
      </c>
      <c r="K6443" s="28" t="n">
        <f aca="false">Sens!$J$6443+step_na</f>
        <v>0.0368969268652584</v>
      </c>
      <c r="L6443" s="28" t="n">
        <f aca="false">Sens!$K$6443</f>
        <v>0.0368969268652584</v>
      </c>
      <c r="M6443" s="28" t="n">
        <f aca="false">Sens!$L$6443</f>
        <v>0.0368969268652584</v>
      </c>
      <c r="N6443" s="28" t="n">
        <f aca="false">(Sens!$N$6444-Sens!$N$6440+Sens!$N$6442)/Sens!$N$6441</f>
        <v>0.0168927744775755</v>
      </c>
      <c r="O6443" s="28" t="n">
        <f aca="false">(Sens!$O$6444-Sens!$O$6440+Sens!$O$6442)/Sens!$O$6441</f>
        <v>0.0133276427967779</v>
      </c>
      <c r="P6443" s="8" t="s">
        <v>718</v>
      </c>
    </row>
    <row r="6444" customFormat="false" ht="17.15" hidden="false" customHeight="false" outlineLevel="0" collapsed="false">
      <c r="A6444" s="1" t="s">
        <v>719</v>
      </c>
      <c r="B6444" s="8" t="s">
        <v>86</v>
      </c>
      <c r="C6444" s="38" t="n">
        <f aca="false">Q!$D$22</f>
        <v>24.967</v>
      </c>
      <c r="D6444" s="38" t="n">
        <f aca="false">Q!$E$22</f>
        <v>29.619</v>
      </c>
      <c r="E6444" s="38" t="n">
        <f aca="false">Q!$P$22</f>
        <v>17.39</v>
      </c>
      <c r="F6444" s="38" t="n">
        <f aca="false">Sens!$F$6440+Sens!$F$6441*Sens!$F$6443-Sens!$F$6442</f>
        <v>20.1081060378156</v>
      </c>
      <c r="G6444" s="38" t="n">
        <f aca="false">Sens!$E$6444+Sens!$F$6444</f>
        <v>37.4981060378156</v>
      </c>
      <c r="H6444" s="38" t="n">
        <f aca="false">Sens!$H$6440+Sens!$H$6441*Sens!$H$6443-Sens!$H$6442</f>
        <v>41.2549060695171</v>
      </c>
      <c r="I6444" s="38" t="n">
        <f aca="false">Sens!$I$6440+Sens!$I$6441*Sens!$I$6443-Sens!$I$6442</f>
        <v>44.2589650023995</v>
      </c>
      <c r="J6444" s="38" t="n">
        <f aca="false">Sens!$J$6440+Sens!$J$6441*Sens!$J$6443-Sens!$J$6442</f>
        <v>46.8374504978059</v>
      </c>
      <c r="K6444" s="38" t="n">
        <f aca="false">Sens!$K$6440+Sens!$K$6441*Sens!$K$6443-Sens!$K$6442</f>
        <v>48.7528950936744</v>
      </c>
      <c r="L6444" s="38" t="n">
        <f aca="false">Sens!$L$6440+Sens!$L$6441*Sens!$L$6443-Sens!$L$6442</f>
        <v>51.6021775607095</v>
      </c>
      <c r="M6444" s="38" t="n">
        <f aca="false">Sens!$M$6440+Sens!$M$6441*Sens!$M$6443-Sens!$M$6442</f>
        <v>56.6013100904853</v>
      </c>
      <c r="N6444" s="38" t="n">
        <f aca="false">Q!$N$22</f>
        <v>13.358</v>
      </c>
      <c r="O6444" s="38" t="n">
        <f aca="false">Q!$O$22</f>
        <v>16.261</v>
      </c>
    </row>
    <row r="6445" customFormat="false" ht="17.15" hidden="false" customHeight="false" outlineLevel="0" collapsed="false">
      <c r="A6445" s="0" t="s">
        <v>720</v>
      </c>
      <c r="B6445" s="0" t="s">
        <v>86</v>
      </c>
      <c r="C6445" s="38" t="n">
        <f aca="false">Sens!$C$6347*m_ad</f>
        <v>7.57284355857716</v>
      </c>
      <c r="D6445" s="38" t="n">
        <f aca="false">Sens!$D$6347*m_ad</f>
        <v>9.44543827004127</v>
      </c>
      <c r="E6445" s="38" t="n">
        <f aca="false">Sens!$E$6347*m_ad</f>
        <v>5.02428875377928</v>
      </c>
      <c r="F6445" s="38" t="n">
        <f aca="false">Sens!$F$6347*m_ad</f>
        <v>6.50663858068173</v>
      </c>
      <c r="G6445" s="38" t="n">
        <f aca="false">Sens!$G$6347*m_ad</f>
        <v>11.5225190751659</v>
      </c>
      <c r="H6445" s="38" t="n">
        <f aca="false">Sens!$H$6347*m_ad</f>
        <v>13.8333728663174</v>
      </c>
      <c r="I6445" s="38" t="n">
        <f aca="false">Sens!$I$6347*m_ad</f>
        <v>16.1440173245485</v>
      </c>
      <c r="J6445" s="38" t="n">
        <f aca="false">Sens!$J$6347*m_ad</f>
        <v>18.2995185845066</v>
      </c>
      <c r="K6445" s="38" t="n">
        <f aca="false">Sens!$K$6347*m_ad</f>
        <v>20.1294704429572</v>
      </c>
      <c r="L6445" s="38" t="n">
        <f aca="false">Sens!$L$6347*m_ad</f>
        <v>22.142417487253</v>
      </c>
      <c r="M6445" s="38" t="n">
        <f aca="false">Sens!$M$6347*m_ad</f>
        <v>24.3566592359783</v>
      </c>
      <c r="N6445" s="38" t="n">
        <f aca="false">Sens!$N$6347*m_ad</f>
        <v>3.95314442937518</v>
      </c>
      <c r="O6445" s="38" t="n">
        <f aca="false">Sens!$O$6347*m_ad</f>
        <v>5.50052681786011</v>
      </c>
    </row>
    <row r="6446" customFormat="false" ht="17.15" hidden="false" customHeight="false" outlineLevel="0" collapsed="false">
      <c r="A6446" s="0" t="s">
        <v>721</v>
      </c>
      <c r="B6446" s="0" t="s">
        <v>86</v>
      </c>
      <c r="C6446" s="38" t="n">
        <f aca="false">Sens!$C$6345-Sens!$C$6347</f>
        <v>127.760312882846</v>
      </c>
      <c r="D6446" s="38" t="n">
        <f aca="false">Sens!$D$6345-Sens!$D$6347</f>
        <v>143.003123459917</v>
      </c>
      <c r="E6446" s="38" t="n">
        <f aca="false">Sens!$E$6345-Sens!$E$6347</f>
        <v>71.9374224924414</v>
      </c>
      <c r="F6446" s="38" t="n">
        <f aca="false">Sens!$F$6345-Sens!$F$6347</f>
        <v>85.3951910035875</v>
      </c>
      <c r="G6446" s="38" t="n">
        <f aca="false">Sens!$G$6345-Sens!$G$6347</f>
        <v>157.349430014619</v>
      </c>
      <c r="H6446" s="38" t="n">
        <f aca="false">Sens!$H$6345-Sens!$H$6347</f>
        <v>172.043153372315</v>
      </c>
      <c r="I6446" s="38" t="n">
        <f aca="false">Sens!$I$6345-Sens!$I$6347</f>
        <v>186.097493615879</v>
      </c>
      <c r="J6446" s="38" t="n">
        <f aca="false">Sens!$J$6345-Sens!$J$6347</f>
        <v>199.117932780497</v>
      </c>
      <c r="K6446" s="38" t="n">
        <f aca="false">Sens!$K$6345-Sens!$K$6347</f>
        <v>210.70928698363</v>
      </c>
      <c r="L6446" s="38" t="n">
        <f aca="false">Sens!$L$6345-Sens!$L$6347</f>
        <v>223.000532251316</v>
      </c>
      <c r="M6446" s="38" t="n">
        <f aca="false">Sens!$M$6345-Sens!$M$6347</f>
        <v>236.035261011339</v>
      </c>
      <c r="N6446" s="38" t="n">
        <f aca="false">Sens!$N$6345-Sens!$N$6347</f>
        <v>62.3677111412496</v>
      </c>
      <c r="O6446" s="38" t="n">
        <f aca="false">Sens!$O$6345-Sens!$O$6347</f>
        <v>80.6189463642798</v>
      </c>
    </row>
    <row r="6447" customFormat="false" ht="17.15" hidden="false" customHeight="false" outlineLevel="0" collapsed="false">
      <c r="A6447" s="0" t="s">
        <v>722</v>
      </c>
      <c r="B6447" s="0" t="s">
        <v>86</v>
      </c>
      <c r="C6447" s="38" t="n">
        <f aca="false">Sens!$C$6393*(1-Sens!$C$6343)</f>
        <v>0.0455891896019953</v>
      </c>
      <c r="D6447" s="38" t="n">
        <f aca="false">Sens!$D$6393*(1-Sens!$D$6343)</f>
        <v>0.332050421167231</v>
      </c>
      <c r="E6447" s="38" t="n">
        <f aca="false">Sens!$E$6393*(1-Sens!$E$6343)</f>
        <v>0.481224293644882</v>
      </c>
      <c r="F6447" s="38" t="n">
        <f aca="false">Sens!$F$6393*(1-Sens!$F$6343)</f>
        <v>0.596018918096053</v>
      </c>
      <c r="G6447" s="38" t="n">
        <f aca="false">Sens!$G$6393*(1-Sens!$G$6343)</f>
        <v>1.07691812241537</v>
      </c>
      <c r="H6447" s="38" t="n">
        <f aca="false">Sens!$H$6393*(1-Sens!$H$6343)</f>
        <v>2.83074090775622</v>
      </c>
      <c r="I6447" s="38" t="n">
        <f aca="false">Sens!$I$6393*(1-Sens!$I$6343)</f>
        <v>4.94108853926048</v>
      </c>
      <c r="J6447" s="38" t="n">
        <f aca="false">Sens!$J$6393*(1-Sens!$J$6343)</f>
        <v>7.10858281993502</v>
      </c>
      <c r="K6447" s="38" t="n">
        <f aca="false">Sens!$K$6393*(1-Sens!$K$6343)</f>
        <v>9.2298899126701</v>
      </c>
      <c r="L6447" s="38" t="n">
        <f aca="false">Sens!$L$6393*(1-Sens!$L$6343)</f>
        <v>10.6049688574045</v>
      </c>
      <c r="M6447" s="38" t="n">
        <f aca="false">Sens!$M$6393*(1-Sens!$M$6343)</f>
        <v>11.3853051574758</v>
      </c>
      <c r="N6447" s="38" t="n">
        <f aca="false">Sens!$N$6393*(1-Sens!$N$6343)</f>
        <v>0.141739115596548</v>
      </c>
      <c r="O6447" s="38" t="n">
        <f aca="false">Sens!$O$6393*(1-Sens!$O$6343)</f>
        <v>0.190445576353059</v>
      </c>
    </row>
    <row r="6448" customFormat="false" ht="17.15" hidden="false" customHeight="false" outlineLevel="0" collapsed="false">
      <c r="A6448" s="0" t="s">
        <v>723</v>
      </c>
      <c r="B6448" s="0" t="s">
        <v>52</v>
      </c>
      <c r="C6448" s="28" t="n">
        <f aca="false">(Sens!$C$6449-Sens!$C$6445+Sens!$C$6447)/Sens!$C$6446</f>
        <v>-0.0292364215826579</v>
      </c>
      <c r="D6448" s="28" t="n">
        <f aca="false">(Sens!$D$6449-Sens!$D$6445+Sens!$D$6447)/Sens!$D$6446</f>
        <v>-0.0305125352740778</v>
      </c>
      <c r="E6448" s="28" t="n">
        <f aca="false">(Sens!$E$6449-Sens!$E$6445+Sens!$E$6447)/Sens!$E$6446</f>
        <v>-0.019490056934994</v>
      </c>
      <c r="F6448" s="28" t="n">
        <f aca="false">Sens!$O$6448+(Sens!$E$6448-Sens!$N$6448)</f>
        <v>-0.0367332293992226</v>
      </c>
      <c r="G6448" s="28" t="n">
        <f aca="false">(Sens!$G$6449-Sens!$G$6445+Sens!$G$6447)/Sens!$G$6446</f>
        <v>-0.0287946542321067</v>
      </c>
      <c r="H6448" s="28" t="n">
        <f aca="false">Sens!$G$6448+step_in</f>
        <v>-0.0287946542321067</v>
      </c>
      <c r="I6448" s="28" t="n">
        <f aca="false">Sens!$H$6448+step_in</f>
        <v>-0.0287946542321067</v>
      </c>
      <c r="J6448" s="28" t="n">
        <f aca="false">Sens!$I$6448+step_in</f>
        <v>-0.0287946542321067</v>
      </c>
      <c r="K6448" s="28" t="n">
        <f aca="false">Sens!$J$6448+step_in</f>
        <v>-0.0287946542321067</v>
      </c>
      <c r="L6448" s="28" t="n">
        <f aca="false">Sens!$K$6448</f>
        <v>-0.0287946542321067</v>
      </c>
      <c r="M6448" s="28" t="n">
        <f aca="false">Sens!$L$6448</f>
        <v>-0.0287946542321067</v>
      </c>
      <c r="N6448" s="28" t="n">
        <f aca="false">(Sens!$N$6449-Sens!$N$6445+Sens!$N$6447)/Sens!$N$6446</f>
        <v>-0.02085061789158</v>
      </c>
      <c r="O6448" s="28" t="n">
        <f aca="false">(Sens!$O$6449-Sens!$O$6445+Sens!$O$6447)/Sens!$O$6446</f>
        <v>-0.0380937903558086</v>
      </c>
      <c r="P6448" s="8" t="s">
        <v>718</v>
      </c>
    </row>
    <row r="6449" customFormat="false" ht="17.15" hidden="false" customHeight="false" outlineLevel="0" collapsed="false">
      <c r="A6449" s="1" t="s">
        <v>724</v>
      </c>
      <c r="B6449" s="8" t="s">
        <v>86</v>
      </c>
      <c r="C6449" s="38" t="n">
        <f aca="false">Q!$D$23</f>
        <v>3.792</v>
      </c>
      <c r="D6449" s="38" t="n">
        <f aca="false">Q!$E$23</f>
        <v>4.75</v>
      </c>
      <c r="E6449" s="38" t="n">
        <f aca="false">Q!$P$23</f>
        <v>3.141</v>
      </c>
      <c r="F6449" s="38" t="n">
        <f aca="false">Sens!$F$6445+Sens!$F$6446*Sens!$F$6448-Sens!$F$6447</f>
        <v>2.77377852186047</v>
      </c>
      <c r="G6449" s="38" t="n">
        <f aca="false">Sens!$E$6449+Sens!$F$6449</f>
        <v>5.91477852186047</v>
      </c>
      <c r="H6449" s="38" t="n">
        <f aca="false">Sens!$H$6445+Sens!$H$6446*Sens!$H$6448-Sens!$H$6447</f>
        <v>6.04870884420403</v>
      </c>
      <c r="I6449" s="38" t="n">
        <f aca="false">Sens!$I$6445+Sens!$I$6446*Sens!$I$6448-Sens!$I$6447</f>
        <v>5.84431580315713</v>
      </c>
      <c r="J6449" s="38" t="n">
        <f aca="false">Sens!$J$6445+Sens!$J$6446*Sens!$J$6448-Sens!$J$6447</f>
        <v>5.45740373874528</v>
      </c>
      <c r="K6449" s="38" t="n">
        <f aca="false">Sens!$K$6445+Sens!$K$6446*Sens!$K$6448-Sens!$K$6447</f>
        <v>4.83227946809976</v>
      </c>
      <c r="L6449" s="38" t="n">
        <f aca="false">Sens!$L$6445+Sens!$L$6446*Sens!$L$6448-Sens!$L$6447</f>
        <v>5.11622541009601</v>
      </c>
      <c r="M6449" s="38" t="n">
        <f aca="false">Sens!$M$6445+Sens!$M$6446*Sens!$M$6448-Sens!$M$6447</f>
        <v>6.17480035109588</v>
      </c>
      <c r="N6449" s="38" t="n">
        <f aca="false">Q!$N$23</f>
        <v>2.511</v>
      </c>
      <c r="O6449" s="38" t="n">
        <f aca="false">Q!$O$23</f>
        <v>2.239</v>
      </c>
    </row>
    <row r="6450" customFormat="false" ht="17.15" hidden="false" customHeight="false" outlineLevel="0" collapsed="false">
      <c r="A6450" s="0" t="s">
        <v>725</v>
      </c>
      <c r="B6450" s="0" t="s">
        <v>86</v>
      </c>
      <c r="C6450" s="38" t="n">
        <f aca="false">Sens!$C$6390</f>
        <v>1.64417882953695</v>
      </c>
      <c r="D6450" s="38" t="n">
        <f aca="false">Sens!$D$6390</f>
        <v>3.8781008067718</v>
      </c>
      <c r="E6450" s="38" t="n">
        <f aca="false">Sens!$E$6390</f>
        <v>1.41270258088753</v>
      </c>
      <c r="F6450" s="38" t="n">
        <f aca="false">Sens!$F$6390</f>
        <v>6.50727700583486</v>
      </c>
      <c r="G6450" s="38" t="n">
        <f aca="false">Sens!$G$6390</f>
        <v>7.9199795867224</v>
      </c>
      <c r="H6450" s="38" t="n">
        <f aca="false">Sens!$H$6390</f>
        <v>19.2818189481807</v>
      </c>
      <c r="I6450" s="38" t="n">
        <f aca="false">Sens!$I$6390</f>
        <v>30.140114407202</v>
      </c>
      <c r="J6450" s="38" t="n">
        <f aca="false">Sens!$J$6390</f>
        <v>40.3569468829854</v>
      </c>
      <c r="K6450" s="38" t="n">
        <f aca="false">Sens!$K$6390</f>
        <v>45.1418609242305</v>
      </c>
      <c r="L6450" s="38" t="n">
        <f aca="false">Sens!$L$6390</f>
        <v>48.5617321668703</v>
      </c>
      <c r="M6450" s="38" t="n">
        <f aca="false">Sens!$M$6390</f>
        <v>48.3987625241529</v>
      </c>
      <c r="N6450" s="38" t="n">
        <f aca="false">Sens!$N$6390</f>
        <v>0.92264103489199</v>
      </c>
      <c r="O6450" s="38" t="n">
        <f aca="false">Sens!$O$6390</f>
        <v>2.95545977187981</v>
      </c>
    </row>
    <row r="6451" customFormat="false" ht="17.15" hidden="false" customHeight="false" outlineLevel="0" collapsed="false">
      <c r="A6451" s="0" t="s">
        <v>643</v>
      </c>
      <c r="B6451" s="0" t="s">
        <v>86</v>
      </c>
      <c r="C6451" s="38" t="n">
        <f aca="false">Sens!$C$6395</f>
        <v>38.1898211704631</v>
      </c>
      <c r="D6451" s="38" t="n">
        <f aca="false">Sens!$D$6395</f>
        <v>41.7278991932282</v>
      </c>
      <c r="E6451" s="38" t="n">
        <f aca="false">Sens!$E$6395</f>
        <v>29.3692974191125</v>
      </c>
      <c r="F6451" s="38" t="n">
        <f aca="false">Sens!$F$6395</f>
        <v>26.8997276714137</v>
      </c>
      <c r="G6451" s="38" t="n">
        <f aca="false">Sens!$G$6395</f>
        <v>56.2690250905262</v>
      </c>
      <c r="H6451" s="38" t="n">
        <f aca="false">Sens!$H$6395</f>
        <v>60.3505333937343</v>
      </c>
      <c r="I6451" s="38" t="n">
        <f aca="false">Sens!$I$6395</f>
        <v>67.0043857303571</v>
      </c>
      <c r="J6451" s="38" t="n">
        <f aca="false">Sens!$J$6395</f>
        <v>73.3782922956925</v>
      </c>
      <c r="K6451" s="38" t="n">
        <f aca="false">Sens!$K$6395</f>
        <v>79.2485556793479</v>
      </c>
      <c r="L6451" s="38" t="n">
        <f aca="false">Sens!$L$6395</f>
        <v>85.5884401336958</v>
      </c>
      <c r="M6451" s="38" t="n">
        <f aca="false">Sens!$M$6395</f>
        <v>92.4355153443914</v>
      </c>
      <c r="N6451" s="38" t="n">
        <f aca="false">Sens!$N$6395</f>
        <v>20.784358965108</v>
      </c>
      <c r="O6451" s="38" t="n">
        <f aca="false">Sens!$O$6395</f>
        <v>20.9435402281202</v>
      </c>
    </row>
    <row r="6452" customFormat="false" ht="17.15" hidden="false" customHeight="false" outlineLevel="0" collapsed="false">
      <c r="A6452" s="1" t="s">
        <v>726</v>
      </c>
      <c r="B6452" s="8" t="s">
        <v>86</v>
      </c>
      <c r="C6452" s="38" t="n">
        <f aca="false">Q!$D$24</f>
        <v>39.834</v>
      </c>
      <c r="D6452" s="38" t="n">
        <f aca="false">Q!$E$24</f>
        <v>45.606</v>
      </c>
      <c r="E6452" s="38" t="n">
        <f aca="false">Q!$P$24</f>
        <v>30.782</v>
      </c>
      <c r="F6452" s="38" t="n">
        <f aca="false">Sens!$F$6450+Sens!$F$6451</f>
        <v>33.4070046772486</v>
      </c>
      <c r="G6452" s="38" t="n">
        <f aca="false">Sens!$G$6450+Sens!$G$6451</f>
        <v>64.1890046772486</v>
      </c>
      <c r="H6452" s="38" t="n">
        <f aca="false">Sens!$H$6450+Sens!$H$6451</f>
        <v>79.6323523419149</v>
      </c>
      <c r="I6452" s="38" t="n">
        <f aca="false">Sens!$I$6450+Sens!$I$6451</f>
        <v>97.1445001375591</v>
      </c>
      <c r="J6452" s="38" t="n">
        <f aca="false">Sens!$J$6450+Sens!$J$6451</f>
        <v>113.735239178678</v>
      </c>
      <c r="K6452" s="38" t="n">
        <f aca="false">Sens!$K$6450+Sens!$K$6451</f>
        <v>124.390416603578</v>
      </c>
      <c r="L6452" s="38" t="n">
        <f aca="false">Sens!$L$6450+Sens!$L$6451</f>
        <v>134.150172300566</v>
      </c>
      <c r="M6452" s="38" t="n">
        <f aca="false">Sens!$M$6450+Sens!$M$6451</f>
        <v>140.834277868544</v>
      </c>
      <c r="N6452" s="38" t="n">
        <f aca="false">Q!$N$24</f>
        <v>21.707</v>
      </c>
      <c r="O6452" s="38" t="n">
        <f aca="false">Q!$O$24</f>
        <v>23.899</v>
      </c>
    </row>
    <row r="6453" customFormat="false" ht="17.15" hidden="false" customHeight="false" outlineLevel="0" collapsed="false">
      <c r="A6453" s="5" t="s">
        <v>727</v>
      </c>
      <c r="B6453" s="0" t="s">
        <v>86</v>
      </c>
      <c r="C6453" s="38" t="n">
        <f aca="false">Q!$D$26</f>
        <v>0</v>
      </c>
      <c r="D6453" s="38" t="n">
        <f aca="false">Q!$E$26</f>
        <v>0</v>
      </c>
      <c r="E6453" s="38" t="n">
        <f aca="false">Q!$P$26</f>
        <v>0</v>
      </c>
      <c r="F6453" s="39" t="n">
        <v>0</v>
      </c>
      <c r="G6453" s="38" t="n">
        <f aca="false">Sens!$E$6453+Sens!$F$6453</f>
        <v>0</v>
      </c>
      <c r="H6453" s="39" t="n">
        <v>0</v>
      </c>
      <c r="I6453" s="39" t="n">
        <v>0</v>
      </c>
      <c r="J6453" s="39" t="n">
        <v>0</v>
      </c>
      <c r="K6453" s="39" t="n">
        <v>0</v>
      </c>
      <c r="L6453" s="39" t="n">
        <v>0</v>
      </c>
      <c r="M6453" s="39" t="n">
        <v>0</v>
      </c>
      <c r="N6453" s="38" t="n">
        <f aca="false">Q!$N$26</f>
        <v>0</v>
      </c>
      <c r="O6453" s="38" t="n">
        <f aca="false">Q!$O$26</f>
        <v>0</v>
      </c>
    </row>
    <row r="6454" customFormat="false" ht="15" hidden="false" customHeight="false" outlineLevel="0" collapsed="false">
      <c r="A6454" s="3" t="s">
        <v>531</v>
      </c>
      <c r="B6454" s="8" t="s">
        <v>86</v>
      </c>
      <c r="C6454" s="38" t="n">
        <f aca="false">Q!$D$25</f>
        <v>68.593</v>
      </c>
      <c r="D6454" s="38" t="n">
        <f aca="false">Q!$E$25</f>
        <v>79.975</v>
      </c>
      <c r="E6454" s="38" t="n">
        <f aca="false">Q!$P$25</f>
        <v>51.313</v>
      </c>
      <c r="F6454" s="38" t="n">
        <f aca="false">Sens!$F$6444+Sens!$F$6449+Sens!$F$6452+Sens!$F$6453</f>
        <v>56.2888892369246</v>
      </c>
      <c r="G6454" s="38" t="n">
        <f aca="false">Sens!$G$6444+Sens!$G$6449+Sens!$G$6452+Sens!$G$6453</f>
        <v>107.601889236925</v>
      </c>
      <c r="H6454" s="38" t="n">
        <f aca="false">Sens!$H$6444+Sens!$H$6449+Sens!$H$6452+Sens!$H$6453</f>
        <v>126.935967255636</v>
      </c>
      <c r="I6454" s="38" t="n">
        <f aca="false">Sens!$I$6444+Sens!$I$6449+Sens!$I$6452+Sens!$I$6453</f>
        <v>147.247780943116</v>
      </c>
      <c r="J6454" s="38" t="n">
        <f aca="false">Sens!$J$6444+Sens!$J$6449+Sens!$J$6452+Sens!$J$6453</f>
        <v>166.030093415229</v>
      </c>
      <c r="K6454" s="38" t="n">
        <f aca="false">Sens!$K$6444+Sens!$K$6449+Sens!$K$6452+Sens!$K$6453</f>
        <v>177.975591165353</v>
      </c>
      <c r="L6454" s="38" t="n">
        <f aca="false">Sens!$L$6444+Sens!$L$6449+Sens!$L$6452+Sens!$L$6453</f>
        <v>190.868575271371</v>
      </c>
      <c r="M6454" s="38" t="n">
        <f aca="false">Sens!$M$6444+Sens!$M$6449+Sens!$M$6452+Sens!$M$6453</f>
        <v>203.610388310126</v>
      </c>
      <c r="N6454" s="38" t="n">
        <f aca="false">Q!$N$25</f>
        <v>37.576</v>
      </c>
      <c r="O6454" s="38" t="n">
        <f aca="false">Q!$O$25</f>
        <v>42.399</v>
      </c>
    </row>
    <row r="6455" customFormat="false" ht="17.15" hidden="false" customHeight="false" outlineLevel="0" collapsed="false">
      <c r="A6455" s="24" t="s">
        <v>758</v>
      </c>
      <c r="B6455" s="25" t="s">
        <v>86</v>
      </c>
      <c r="C6455" s="41" t="n">
        <f aca="false">Sens!$C$6444+Sens!$C$6449+Sens!$C$6452+Sens!$C$6453-Sens!$C$6454</f>
        <v>0</v>
      </c>
      <c r="D6455" s="41" t="n">
        <f aca="false">Sens!$D$6444+Sens!$D$6449+Sens!$D$6452+Sens!$D$6453-Sens!$D$6454</f>
        <v>0</v>
      </c>
      <c r="E6455" s="41" t="n">
        <f aca="false">Sens!$E$6444+Sens!$E$6449+Sens!$E$6452+Sens!$E$6453-Sens!$E$6454</f>
        <v>0</v>
      </c>
      <c r="F6455" s="41" t="n">
        <f aca="false">Sens!$F$6444+Sens!$F$6449+Sens!$F$6452+Sens!$F$6453-Sens!$F$6454</f>
        <v>0</v>
      </c>
      <c r="G6455" s="41" t="n">
        <f aca="false">Sens!$G$6444+Sens!$G$6449+Sens!$G$6452+Sens!$G$6453-Sens!$G$6454</f>
        <v>0</v>
      </c>
      <c r="H6455" s="41" t="n">
        <f aca="false">Sens!$H$6444+Sens!$H$6449+Sens!$H$6452+Sens!$H$6453-Sens!$H$6454</f>
        <v>0</v>
      </c>
      <c r="I6455" s="41" t="n">
        <f aca="false">Sens!$I$6444+Sens!$I$6449+Sens!$I$6452+Sens!$I$6453-Sens!$I$6454</f>
        <v>0</v>
      </c>
      <c r="J6455" s="41" t="n">
        <f aca="false">Sens!$J$6444+Sens!$J$6449+Sens!$J$6452+Sens!$J$6453-Sens!$J$6454</f>
        <v>0</v>
      </c>
      <c r="K6455" s="41" t="n">
        <f aca="false">Sens!$K$6444+Sens!$K$6449+Sens!$K$6452+Sens!$K$6453-Sens!$K$6454</f>
        <v>0</v>
      </c>
      <c r="L6455" s="41" t="n">
        <f aca="false">Sens!$L$6444+Sens!$L$6449+Sens!$L$6452+Sens!$L$6453-Sens!$L$6454</f>
        <v>0</v>
      </c>
      <c r="M6455" s="41" t="n">
        <f aca="false">Sens!$M$6444+Sens!$M$6449+Sens!$M$6452+Sens!$M$6453-Sens!$M$6454</f>
        <v>0</v>
      </c>
      <c r="N6455" s="41" t="n">
        <f aca="false">Sens!$N$6444+Sens!$N$6449+Sens!$N$6452+Sens!$N$6453-Sens!$N$6454</f>
        <v>0</v>
      </c>
      <c r="O6455" s="41" t="n">
        <f aca="false">Sens!$O$6444+Sens!$O$6449+Sens!$O$6452+Sens!$O$6453-Sens!$O$6454</f>
        <v>0</v>
      </c>
    </row>
    <row r="6456" customFormat="false" ht="17.15" hidden="false" customHeight="false" outlineLevel="0" collapsed="false">
      <c r="A6456" s="5" t="s">
        <v>729</v>
      </c>
      <c r="B6456" s="0" t="s">
        <v>86</v>
      </c>
      <c r="C6456" s="38" t="n">
        <f aca="false">Sens!$C$6392</f>
        <v>0</v>
      </c>
      <c r="D6456" s="38" t="n">
        <f aca="false">Sens!$D$6392</f>
        <v>0</v>
      </c>
      <c r="E6456" s="38" t="n">
        <f aca="false">Sens!$E$6392</f>
        <v>0</v>
      </c>
      <c r="F6456" s="38" t="n">
        <f aca="false">Sens!$F$6392</f>
        <v>3.77122048175818</v>
      </c>
      <c r="G6456" s="38" t="n">
        <f aca="false">Sens!$G$6392</f>
        <v>3.77122048175818</v>
      </c>
      <c r="H6456" s="38" t="n">
        <f aca="false">Sens!$H$6392</f>
        <v>15.1635543609893</v>
      </c>
      <c r="I6456" s="38" t="n">
        <f aca="false">Sens!$I$6392</f>
        <v>25.5818843619889</v>
      </c>
      <c r="J6456" s="38" t="n">
        <f aca="false">Sens!$J$6392</f>
        <v>36.0465624179122</v>
      </c>
      <c r="K6456" s="38" t="n">
        <f aca="false">Sens!$K$6392</f>
        <v>44.9741164026038</v>
      </c>
      <c r="L6456" s="38" t="n">
        <f aca="false">Sens!$L$6392</f>
        <v>50.8413488057813</v>
      </c>
      <c r="M6456" s="38" t="n">
        <f aca="false">Sens!$M$6392</f>
        <v>53.6407214274315</v>
      </c>
      <c r="N6456" s="38" t="n">
        <f aca="false">Sens!$N$6392</f>
        <v>0</v>
      </c>
      <c r="O6456" s="38" t="n">
        <f aca="false">Sens!$O$6392</f>
        <v>0</v>
      </c>
      <c r="P6456" s="5" t="s">
        <v>730</v>
      </c>
    </row>
    <row r="6457" customFormat="false" ht="17.15" hidden="false" customHeight="false" outlineLevel="0" collapsed="false">
      <c r="A6457" s="5" t="s">
        <v>731</v>
      </c>
      <c r="B6457" s="0" t="s">
        <v>86</v>
      </c>
      <c r="C6457" s="38" t="n">
        <f aca="false">Sens!$C$6454+Sens!$C$6456</f>
        <v>68.593</v>
      </c>
      <c r="D6457" s="38" t="n">
        <f aca="false">Sens!$D$6454+Sens!$D$6456</f>
        <v>79.975</v>
      </c>
      <c r="E6457" s="38" t="n">
        <f aca="false">Sens!$E$6454+Sens!$E$6456</f>
        <v>51.313</v>
      </c>
      <c r="F6457" s="38" t="n">
        <f aca="false">Sens!$F$6454+Sens!$F$6456</f>
        <v>60.0601097186828</v>
      </c>
      <c r="G6457" s="38" t="n">
        <f aca="false">Sens!$G$6454+Sens!$G$6456</f>
        <v>111.373109718683</v>
      </c>
      <c r="H6457" s="38" t="n">
        <f aca="false">Sens!$H$6454+Sens!$H$6456</f>
        <v>142.099521616625</v>
      </c>
      <c r="I6457" s="38" t="n">
        <f aca="false">Sens!$I$6454+Sens!$I$6456</f>
        <v>172.829665305105</v>
      </c>
      <c r="J6457" s="38" t="n">
        <f aca="false">Sens!$J$6454+Sens!$J$6456</f>
        <v>202.076655833141</v>
      </c>
      <c r="K6457" s="38" t="n">
        <f aca="false">Sens!$K$6454+Sens!$K$6456</f>
        <v>222.949707567956</v>
      </c>
      <c r="L6457" s="38" t="n">
        <f aca="false">Sens!$L$6454+Sens!$L$6456</f>
        <v>241.709924077153</v>
      </c>
      <c r="M6457" s="38" t="n">
        <f aca="false">Sens!$M$6454+Sens!$M$6456</f>
        <v>257.251109737557</v>
      </c>
      <c r="N6457" s="38" t="n">
        <f aca="false">Sens!$N$6454+Sens!$N$6456</f>
        <v>37.576</v>
      </c>
      <c r="O6457" s="38" t="n">
        <f aca="false">Sens!$O$6454+Sens!$O$6456</f>
        <v>42.399</v>
      </c>
    </row>
    <row r="6458" customFormat="false" ht="17.15" hidden="false" customHeight="false" outlineLevel="0" collapsed="false">
      <c r="A6458" s="0" t="s">
        <v>732</v>
      </c>
      <c r="B6458" s="0" t="s">
        <v>52</v>
      </c>
      <c r="C6458" s="13" t="n">
        <f aca="false">Sens!$C$6444/Sens!$C$6429</f>
        <v>0.0644314665661928</v>
      </c>
      <c r="D6458" s="13" t="n">
        <f aca="false">Sens!$D$6444/Sens!$D$6429</f>
        <v>0.0694784250712518</v>
      </c>
      <c r="E6458" s="13" t="n">
        <f aca="false">Sens!$E$6444/Sens!$E$6429</f>
        <v>0.0789306463326071</v>
      </c>
      <c r="F6458" s="13" t="n">
        <f aca="false">Sens!$F$6444/Sens!$F$6429</f>
        <v>0.0802271154277638</v>
      </c>
      <c r="G6458" s="13" t="n">
        <f aca="false">Sens!$G$6444/Sens!$G$6429</f>
        <v>0.0796206133714758</v>
      </c>
      <c r="H6458" s="13" t="n">
        <f aca="false">Sens!$H$6444/Sens!$H$6429</f>
        <v>0.0791253077422711</v>
      </c>
      <c r="I6458" s="13" t="n">
        <f aca="false">Sens!$I$6444/Sens!$I$6429</f>
        <v>0.0776277144828766</v>
      </c>
      <c r="J6458" s="13" t="n">
        <f aca="false">Sens!$J$6444/Sens!$J$6429</f>
        <v>0.0761100135193333</v>
      </c>
      <c r="K6458" s="13" t="n">
        <f aca="false">Sens!$K$6444/Sens!$K$6429</f>
        <v>0.074408246177121</v>
      </c>
      <c r="L6458" s="13" t="n">
        <f aca="false">Sens!$L$6444/Sens!$L$6429</f>
        <v>0.0739489900415671</v>
      </c>
      <c r="M6458" s="13" t="n">
        <f aca="false">Sens!$M$6444/Sens!$M$6429</f>
        <v>0.076138500430805</v>
      </c>
      <c r="N6458" s="13" t="n">
        <f aca="false">Sens!$N$6444/Sens!$N$6429</f>
        <v>0.069228576611127</v>
      </c>
      <c r="O6458" s="13" t="n">
        <f aca="false">Sens!$O$6444/Sens!$O$6429</f>
        <v>0.069685022498393</v>
      </c>
    </row>
    <row r="6459" customFormat="false" ht="17.15" hidden="false" customHeight="false" outlineLevel="0" collapsed="false">
      <c r="A6459" s="0" t="s">
        <v>733</v>
      </c>
      <c r="B6459" s="0" t="s">
        <v>52</v>
      </c>
      <c r="C6459" s="13" t="n">
        <f aca="false">Sens!$C$6449/Sens!$C$6430</f>
        <v>0.026534925055631</v>
      </c>
      <c r="D6459" s="13" t="n">
        <f aca="false">Sens!$D$6449/Sens!$D$6430</f>
        <v>0.0293401855535103</v>
      </c>
      <c r="E6459" s="13" t="n">
        <f aca="false">Sens!$E$6449/Sens!$E$6430</f>
        <v>0.03831141902276</v>
      </c>
      <c r="F6459" s="13" t="n">
        <f aca="false">Sens!$F$6449/Sens!$F$6430</f>
        <v>0.028186380436398</v>
      </c>
      <c r="G6459" s="13" t="n">
        <f aca="false">Sens!$G$6449/Sens!$G$6430</f>
        <v>0.0327880260521739</v>
      </c>
      <c r="H6459" s="13" t="n">
        <f aca="false">Sens!$H$6449/Sens!$H$6430</f>
        <v>0.0302874763409969</v>
      </c>
      <c r="I6459" s="13" t="n">
        <f aca="false">Sens!$I$6449/Sens!$I$6430</f>
        <v>0.0267614610253202</v>
      </c>
      <c r="J6459" s="13" t="n">
        <f aca="false">Sens!$J$6449/Sens!$J$6430</f>
        <v>0.0231523582706593</v>
      </c>
      <c r="K6459" s="13" t="n">
        <f aca="false">Sens!$K$6449/Sens!$K$6430</f>
        <v>0.0192545467174101</v>
      </c>
      <c r="L6459" s="13" t="n">
        <f aca="false">Sens!$L$6449/Sens!$L$6430</f>
        <v>0.0191414347264789</v>
      </c>
      <c r="M6459" s="13" t="n">
        <f aca="false">Sens!$M$6449/Sens!$M$6430</f>
        <v>0.0216850962428001</v>
      </c>
      <c r="N6459" s="13" t="n">
        <f aca="false">Sens!$N$6449/Sens!$N$6430</f>
        <v>0.0357315650169337</v>
      </c>
      <c r="O6459" s="13" t="n">
        <f aca="false">Sens!$O$6449/Sens!$O$6430</f>
        <v>0.0244378956559703</v>
      </c>
    </row>
    <row r="6460" customFormat="false" ht="17.15" hidden="false" customHeight="false" outlineLevel="0" collapsed="false">
      <c r="A6460" s="14" t="s">
        <v>734</v>
      </c>
      <c r="B6460" s="14" t="s">
        <v>52</v>
      </c>
      <c r="C6460" s="17" t="n">
        <f aca="false">Sens!$C$6452/Sens!$C$6431</f>
        <v>0.370355907620217</v>
      </c>
      <c r="D6460" s="17" t="n">
        <f aca="false">Sens!$D$6452/Sens!$D$6431</f>
        <v>0.35429015342785</v>
      </c>
      <c r="E6460" s="17" t="n">
        <f aca="false">Sens!$E$6452/Sens!$E$6431</f>
        <v>0.385647527531039</v>
      </c>
      <c r="F6460" s="17" t="n">
        <f aca="false">Sens!$F$6452/Sens!$F$6431</f>
        <v>0.385171818673936</v>
      </c>
      <c r="G6460" s="17" t="n">
        <f aca="false">Sens!$G$6452/Sens!$G$6431</f>
        <v>0.385399799520974</v>
      </c>
      <c r="H6460" s="17" t="n">
        <f aca="false">Sens!$H$6452/Sens!$H$6431</f>
        <v>0.360029314750347</v>
      </c>
      <c r="I6460" s="17" t="n">
        <f aca="false">Sens!$I$6452/Sens!$I$6431</f>
        <v>0.346606134604193</v>
      </c>
      <c r="J6460" s="17" t="n">
        <f aca="false">Sens!$J$6452/Sens!$J$6431</f>
        <v>0.335699297156574</v>
      </c>
      <c r="K6460" s="17" t="n">
        <f aca="false">Sens!$K$6452/Sens!$K$6431</f>
        <v>0.319043289183739</v>
      </c>
      <c r="L6460" s="17" t="n">
        <f aca="false">Sens!$L$6452/Sens!$L$6431</f>
        <v>0.311918613444893</v>
      </c>
      <c r="M6460" s="17" t="n">
        <f aca="false">Sens!$M$6452/Sens!$M$6431</f>
        <v>0.306523814127389</v>
      </c>
      <c r="N6460" s="17" t="n">
        <f aca="false">Sens!$N$6452/Sens!$N$6431</f>
        <v>0.360941137346192</v>
      </c>
      <c r="O6460" s="17" t="n">
        <f aca="false">Sens!$O$6452/Sens!$O$6431</f>
        <v>0.348458117664212</v>
      </c>
    </row>
    <row r="6461" customFormat="false" ht="17.15" hidden="false" customHeight="false" outlineLevel="0" collapsed="false">
      <c r="A6461" s="0" t="s">
        <v>735</v>
      </c>
      <c r="B6461" s="0" t="s">
        <v>52</v>
      </c>
      <c r="C6461" s="13" t="n">
        <f aca="false">Sens!$C$6450/Sens!$C$6432</f>
        <v>0.708390794789371</v>
      </c>
      <c r="D6461" s="13" t="n">
        <f aca="false">Sens!$D$6450/Sens!$D$6432</f>
        <v>0.445565630441968</v>
      </c>
      <c r="E6461" s="13" t="n">
        <f aca="false">Sens!$E$6450/Sens!$E$6432</f>
        <v>0.165998118402711</v>
      </c>
      <c r="F6461" s="13" t="n">
        <f aca="false">Sens!$F$6450/Sens!$F$6432</f>
        <v>0.434878595403858</v>
      </c>
      <c r="G6461" s="13" t="n">
        <f aca="false">Sens!$G$6450/Sens!$G$6432</f>
        <v>0.3373967615381</v>
      </c>
      <c r="H6461" s="13" t="n">
        <f aca="false">Sens!$H$6450/Sens!$H$6432</f>
        <v>0.320477578041224</v>
      </c>
      <c r="I6461" s="13" t="n">
        <f aca="false">Sens!$I$6450/Sens!$I$6432</f>
        <v>0.296936118226494</v>
      </c>
      <c r="J6461" s="13" t="n">
        <f aca="false">Sens!$J$6450/Sens!$J$6432</f>
        <v>0.282166278613001</v>
      </c>
      <c r="K6461" s="13" t="n">
        <f aca="false">Sens!$K$6450/Sens!$K$6432</f>
        <v>0.252969102881543</v>
      </c>
      <c r="L6461" s="13" t="n">
        <f aca="false">Sens!$L$6450/Sens!$L$6432</f>
        <v>0.240728642826566</v>
      </c>
      <c r="M6461" s="13" t="n">
        <f aca="false">Sens!$M$6450/Sens!$M$6432</f>
        <v>0.227399920863147</v>
      </c>
      <c r="N6461" s="13" t="n">
        <f aca="false">Sens!$N$6450/Sens!$N$6432</f>
        <v>0.302870734830849</v>
      </c>
      <c r="O6461" s="13" t="n">
        <f aca="false">Sens!$O$6450/Sens!$O$6432</f>
        <v>0.52240134346334</v>
      </c>
    </row>
    <row r="6462" customFormat="false" ht="15" hidden="false" customHeight="false" outlineLevel="0" collapsed="false">
      <c r="A6462" s="5" t="s">
        <v>736</v>
      </c>
      <c r="B6462" s="0" t="s">
        <v>52</v>
      </c>
      <c r="C6462" s="13" t="n">
        <f aca="false">Sens!$C$6454/Sens!$C$6434</f>
        <v>0.107519448742004</v>
      </c>
      <c r="D6462" s="13" t="n">
        <f aca="false">Sens!$D$6454/Sens!$D$6434</f>
        <v>0.111552967957552</v>
      </c>
      <c r="E6462" s="13" t="n">
        <f aca="false">Sens!$E$6454/Sens!$E$6434</f>
        <v>0.13428328426562</v>
      </c>
      <c r="F6462" s="13" t="n">
        <f aca="false">Sens!$F$6454/Sens!$F$6434</f>
        <v>0.129167844525589</v>
      </c>
      <c r="G6462" s="13" t="n">
        <f aca="false">Sens!$G$6454/Sens!$G$6434</f>
        <v>0.131557773771988</v>
      </c>
      <c r="H6462" s="13" t="n">
        <f aca="false">Sens!$H$6454/Sens!$H$6434</f>
        <v>0.134711536350329</v>
      </c>
      <c r="I6462" s="13" t="n">
        <f aca="false">Sens!$I$6454/Sens!$I$6434</f>
        <v>0.137768888779847</v>
      </c>
      <c r="J6462" s="13" t="n">
        <f aca="false">Sens!$J$6454/Sens!$J$6434</f>
        <v>0.139531715827143</v>
      </c>
      <c r="K6462" s="13" t="n">
        <f aca="false">Sens!$K$6454/Sens!$K$6434</f>
        <v>0.137320259076553</v>
      </c>
      <c r="L6462" s="13" t="n">
        <f aca="false">Sens!$L$6454/Sens!$L$6434</f>
        <v>0.136806307456799</v>
      </c>
      <c r="M6462" s="13" t="n">
        <f aca="false">Sens!$M$6454/Sens!$M$6434</f>
        <v>0.136871350584245</v>
      </c>
      <c r="N6462" s="13" t="n">
        <f aca="false">Sens!$N$6454/Sens!$N$6434</f>
        <v>0.116201614873411</v>
      </c>
      <c r="O6462" s="13" t="n">
        <f aca="false">Sens!$O$6454/Sens!$O$6434</f>
        <v>0.107733353660861</v>
      </c>
    </row>
    <row r="6463" customFormat="false" ht="17.15" hidden="false" customHeight="false" outlineLevel="0" collapsed="false">
      <c r="A6463" s="1" t="s">
        <v>737</v>
      </c>
    </row>
    <row r="6464" customFormat="false" ht="17.15" hidden="false" customHeight="false" outlineLevel="0" collapsed="false">
      <c r="A6464" s="5" t="s">
        <v>738</v>
      </c>
      <c r="B6464" s="0" t="s">
        <v>52</v>
      </c>
      <c r="D6464" s="28" t="n">
        <f aca="false">(Q!$E$29+Q!$E$30-(1-ext_sh)*Sens!$D$6386)/Sens!$D$6342</f>
        <v>0.0334674312393194</v>
      </c>
    </row>
    <row r="6465" customFormat="false" ht="17.15" hidden="false" customHeight="false" outlineLevel="0" collapsed="false">
      <c r="A6465" s="0" t="s">
        <v>535</v>
      </c>
      <c r="B6465" s="0" t="s">
        <v>86</v>
      </c>
      <c r="C6465" s="38" t="n">
        <f aca="false">Q!$D$29</f>
        <v>14.285</v>
      </c>
      <c r="D6465" s="38" t="n">
        <f aca="false">Q!$E$29</f>
        <v>15.503</v>
      </c>
      <c r="E6465" s="38" t="n">
        <f aca="false">Q!$P$29</f>
        <v>8.78</v>
      </c>
      <c r="F6465" s="38" t="n">
        <f aca="false">(Sens!$D$6464*Sens!$F$6342+(1-ext_sh)*Sens!$F$6386)*Sens!$F$6343</f>
        <v>9.32404990199157</v>
      </c>
      <c r="G6465" s="38" t="n">
        <f aca="false">Sens!$E$6465+Sens!$F$6465</f>
        <v>18.1040499019916</v>
      </c>
      <c r="H6465" s="38" t="n">
        <f aca="false">(Sens!$D$6464*Sens!$H$6342+(1-ext_sh)*Sens!$H$6386)*Sens!$H$6343</f>
        <v>22.5533556752937</v>
      </c>
      <c r="I6465" s="38" t="n">
        <f aca="false">(Sens!$D$6464*Sens!$I$6342+(1-ext_sh)*Sens!$I$6386)*Sens!$I$6343</f>
        <v>28.1941479903215</v>
      </c>
      <c r="J6465" s="38" t="n">
        <f aca="false">(Sens!$D$6464*Sens!$J$6342+(1-ext_sh)*Sens!$J$6386)*Sens!$J$6343</f>
        <v>33.8639126241465</v>
      </c>
      <c r="K6465" s="38" t="n">
        <f aca="false">(Sens!$D$6464*Sens!$K$6342+(1-ext_sh)*Sens!$K$6386)*Sens!$K$6343</f>
        <v>39.4516429979446</v>
      </c>
      <c r="L6465" s="38" t="n">
        <f aca="false">(Sens!$D$6464*Sens!$L$6342+(1-ext_sh)*Sens!$L$6386)*Sens!$L$6343</f>
        <v>43.6240799619622</v>
      </c>
      <c r="M6465" s="38" t="n">
        <f aca="false">(Sens!$D$6464*Sens!$M$6342+(1-ext_sh)*Sens!$M$6386)*Sens!$M$6343</f>
        <v>46.7841679303704</v>
      </c>
      <c r="N6465" s="38" t="n">
        <f aca="false">Q!$N$29</f>
        <v>7.272</v>
      </c>
      <c r="O6465" s="38" t="n">
        <f aca="false">Q!$O$29</f>
        <v>8.231</v>
      </c>
    </row>
    <row r="6466" customFormat="false" ht="17.15" hidden="false" customHeight="false" outlineLevel="0" collapsed="false">
      <c r="A6466" s="0" t="s">
        <v>537</v>
      </c>
      <c r="B6466" s="0" t="s">
        <v>86</v>
      </c>
      <c r="C6466" s="38" t="n">
        <f aca="false">Q!$D$30</f>
        <v>4.462</v>
      </c>
      <c r="D6466" s="38" t="n">
        <f aca="false">Q!$E$30</f>
        <v>4.907</v>
      </c>
      <c r="E6466" s="38" t="n">
        <f aca="false">Q!$P$30</f>
        <v>2.57</v>
      </c>
      <c r="F6466" s="38" t="n">
        <f aca="false">(Sens!$D$6464*Sens!$F$6342+(1-ext_sh)*Sens!$F$6386)*(1-Sens!$F$6343)</f>
        <v>3.66089330199472</v>
      </c>
      <c r="G6466" s="38" t="n">
        <f aca="false">Sens!$E$6466+Sens!$F$6466</f>
        <v>6.23089330199472</v>
      </c>
      <c r="H6466" s="38" t="n">
        <f aca="false">(Sens!$D$6464*Sens!$H$6342+(1-ext_sh)*Sens!$H$6386)*(1-Sens!$H$6343)</f>
        <v>8.63874333111657</v>
      </c>
      <c r="I6466" s="38" t="n">
        <f aca="false">(Sens!$D$6464*Sens!$I$6342+(1-ext_sh)*Sens!$I$6386)*(1-Sens!$I$6343)</f>
        <v>10.7993689025494</v>
      </c>
      <c r="J6466" s="38" t="n">
        <f aca="false">(Sens!$D$6464*Sens!$J$6342+(1-ext_sh)*Sens!$J$6386)*(1-Sens!$J$6343)</f>
        <v>12.9710919101865</v>
      </c>
      <c r="K6466" s="38" t="n">
        <f aca="false">(Sens!$D$6464*Sens!$K$6342+(1-ext_sh)*Sens!$K$6386)*(1-Sens!$K$6343)</f>
        <v>15.1113928568702</v>
      </c>
      <c r="L6466" s="38" t="n">
        <f aca="false">(Sens!$D$6464*Sens!$L$6342+(1-ext_sh)*Sens!$L$6386)*(1-Sens!$L$6343)</f>
        <v>16.7095857163433</v>
      </c>
      <c r="M6466" s="38" t="n">
        <f aca="false">(Sens!$D$6464*Sens!$M$6342+(1-ext_sh)*Sens!$M$6386)*(1-Sens!$M$6343)</f>
        <v>17.9200126371023</v>
      </c>
      <c r="N6466" s="38" t="n">
        <f aca="false">Q!$N$30</f>
        <v>2.316</v>
      </c>
      <c r="O6466" s="38" t="n">
        <f aca="false">Q!$O$30</f>
        <v>2.591</v>
      </c>
    </row>
    <row r="6467" customFormat="false" ht="17.15" hidden="false" customHeight="false" outlineLevel="0" collapsed="false">
      <c r="A6467" s="0" t="s">
        <v>538</v>
      </c>
      <c r="B6467" s="0" t="s">
        <v>86</v>
      </c>
      <c r="C6467" s="38" t="n">
        <f aca="false">Sens!$C$6398</f>
        <v>13.32</v>
      </c>
      <c r="D6467" s="38" t="n">
        <f aca="false">Sens!$D$6398</f>
        <v>21.45</v>
      </c>
      <c r="E6467" s="38" t="n">
        <f aca="false">Sens!$E$6398</f>
        <v>15.353</v>
      </c>
      <c r="F6467" s="38" t="n">
        <f aca="false">Sens!$F$6398</f>
        <v>16.3063747611001</v>
      </c>
      <c r="G6467" s="38" t="n">
        <f aca="false">Sens!$G$6398</f>
        <v>31.6593747611001</v>
      </c>
      <c r="H6467" s="38" t="n">
        <f aca="false">Sens!$H$6398</f>
        <v>53.124242092105</v>
      </c>
      <c r="I6467" s="38" t="n">
        <f aca="false">Sens!$I$6398</f>
        <v>78.046828098133</v>
      </c>
      <c r="J6467" s="38" t="n">
        <f aca="false">Sens!$J$6398</f>
        <v>103.663976940352</v>
      </c>
      <c r="K6467" s="38" t="n">
        <f aca="false">Sens!$K$6398</f>
        <v>129.625086115469</v>
      </c>
      <c r="L6467" s="38" t="n">
        <f aca="false">Sens!$L$6398</f>
        <v>147.435052382502</v>
      </c>
      <c r="M6467" s="38" t="n">
        <f aca="false">Sens!$M$6398</f>
        <v>159.299754080279</v>
      </c>
      <c r="N6467" s="38" t="n">
        <f aca="false">Sens!$N$6398</f>
        <v>9.234</v>
      </c>
      <c r="O6467" s="38" t="n">
        <f aca="false">Sens!$O$6398</f>
        <v>12.216</v>
      </c>
    </row>
    <row r="6468" customFormat="false" ht="17.15" hidden="false" customHeight="false" outlineLevel="0" collapsed="false">
      <c r="A6468" s="5" t="s">
        <v>739</v>
      </c>
      <c r="B6468" s="0" t="s">
        <v>86</v>
      </c>
      <c r="C6468" s="38" t="n">
        <f aca="false">Sens!$C$6465+Sens!$C$6466+Sens!$C$6467</f>
        <v>32.067</v>
      </c>
      <c r="D6468" s="38" t="n">
        <f aca="false">Sens!$D$6465+Sens!$D$6466+Sens!$D$6467</f>
        <v>41.86</v>
      </c>
      <c r="E6468" s="38" t="n">
        <f aca="false">Sens!$E$6465+Sens!$E$6466+Sens!$E$6467</f>
        <v>26.703</v>
      </c>
      <c r="F6468" s="38" t="n">
        <f aca="false">Sens!$F$6465+Sens!$F$6466+Sens!$F$6467</f>
        <v>29.2913179650864</v>
      </c>
      <c r="G6468" s="38" t="n">
        <f aca="false">Sens!$G$6465+Sens!$G$6466+Sens!$G$6467</f>
        <v>55.9943179650864</v>
      </c>
      <c r="H6468" s="38" t="n">
        <f aca="false">Sens!$H$6465+Sens!$H$6466+Sens!$H$6467</f>
        <v>84.3163410985152</v>
      </c>
      <c r="I6468" s="38" t="n">
        <f aca="false">Sens!$I$6465+Sens!$I$6466+Sens!$I$6467</f>
        <v>117.040344991004</v>
      </c>
      <c r="J6468" s="38" t="n">
        <f aca="false">Sens!$J$6465+Sens!$J$6466+Sens!$J$6467</f>
        <v>150.498981474685</v>
      </c>
      <c r="K6468" s="38" t="n">
        <f aca="false">Sens!$K$6465+Sens!$K$6466+Sens!$K$6467</f>
        <v>184.188121970284</v>
      </c>
      <c r="L6468" s="38" t="n">
        <f aca="false">Sens!$L$6465+Sens!$L$6466+Sens!$L$6467</f>
        <v>207.768718060808</v>
      </c>
      <c r="M6468" s="38" t="n">
        <f aca="false">Sens!$M$6465+Sens!$M$6466+Sens!$M$6467</f>
        <v>224.003934647752</v>
      </c>
      <c r="N6468" s="38" t="n">
        <f aca="false">Sens!$N$6465+Sens!$N$6466+Sens!$N$6467</f>
        <v>18.822</v>
      </c>
      <c r="O6468" s="38" t="n">
        <f aca="false">Sens!$O$6465+Sens!$O$6466+Sens!$O$6467</f>
        <v>23.038</v>
      </c>
    </row>
    <row r="6469" customFormat="false" ht="17.15" hidden="false" customHeight="false" outlineLevel="0" collapsed="false">
      <c r="A6469" s="0" t="s">
        <v>740</v>
      </c>
      <c r="B6469" s="0" t="s">
        <v>86</v>
      </c>
      <c r="C6469" s="38" t="n">
        <f aca="false">Sens!$C$6440+Sens!$C$6445</f>
        <v>28.107</v>
      </c>
      <c r="D6469" s="38" t="n">
        <f aca="false">Sens!$D$6440+Sens!$D$6445</f>
        <v>34.3175</v>
      </c>
      <c r="E6469" s="38" t="n">
        <f aca="false">Sens!$E$6440+Sens!$E$6445</f>
        <v>18.526</v>
      </c>
      <c r="F6469" s="38" t="n">
        <f aca="false">Sens!$F$6440+Sens!$F$6445</f>
        <v>23.0786109972074</v>
      </c>
      <c r="G6469" s="38" t="n">
        <f aca="false">Sens!$G$6440+Sens!$G$6445</f>
        <v>41.6046109972074</v>
      </c>
      <c r="H6469" s="38" t="n">
        <f aca="false">Sens!$H$6440+Sens!$H$6445</f>
        <v>49.9484611939488</v>
      </c>
      <c r="I6469" s="38" t="n">
        <f aca="false">Sens!$I$6440+Sens!$I$6445</f>
        <v>58.2915555477481</v>
      </c>
      <c r="J6469" s="38" t="n">
        <f aca="false">Sens!$J$6440+Sens!$J$6445</f>
        <v>66.0744709709759</v>
      </c>
      <c r="K6469" s="38" t="n">
        <f aca="false">Sens!$K$6440+Sens!$K$6445</f>
        <v>72.6819180680735</v>
      </c>
      <c r="L6469" s="38" t="n">
        <f aca="false">Sens!$L$6440+Sens!$L$6445</f>
        <v>79.9501098748808</v>
      </c>
      <c r="M6469" s="38" t="n">
        <f aca="false">Sens!$M$6440+Sens!$M$6445</f>
        <v>87.9451208623689</v>
      </c>
      <c r="N6469" s="38" t="n">
        <f aca="false">Sens!$N$6440+Sens!$N$6445</f>
        <v>14.8075</v>
      </c>
      <c r="O6469" s="38" t="n">
        <f aca="false">Sens!$O$6440+Sens!$O$6445</f>
        <v>19.51</v>
      </c>
    </row>
    <row r="6470" customFormat="false" ht="17.15" hidden="false" customHeight="false" outlineLevel="0" collapsed="false">
      <c r="A6470" s="0" t="s">
        <v>741</v>
      </c>
      <c r="B6470" s="0" t="s">
        <v>86</v>
      </c>
      <c r="C6470" s="38" t="n">
        <f aca="false">Sens!$C$6444+Sens!$C$6449+Sens!$C$6465+Sens!$C$6466-Sens!$C$6469</f>
        <v>19.399</v>
      </c>
      <c r="D6470" s="38" t="n">
        <f aca="false">Sens!$D$6444+Sens!$D$6449+Sens!$D$6465+Sens!$D$6466-Sens!$D$6469</f>
        <v>20.4615</v>
      </c>
      <c r="E6470" s="38" t="n">
        <f aca="false">Sens!$E$6444+Sens!$E$6449+Sens!$E$6465+Sens!$E$6466-Sens!$E$6469</f>
        <v>13.355</v>
      </c>
      <c r="F6470" s="38" t="n">
        <f aca="false">Sens!$F$6444+Sens!$F$6449+Sens!$F$6465+Sens!$F$6466-Sens!$F$6469</f>
        <v>12.7882167664549</v>
      </c>
      <c r="G6470" s="38" t="n">
        <f aca="false">Sens!$G$6444+Sens!$G$6449+Sens!$G$6465+Sens!$G$6466-Sens!$G$6469</f>
        <v>26.1432167664549</v>
      </c>
      <c r="H6470" s="38" t="n">
        <f aca="false">Sens!$H$6444+Sens!$H$6449+Sens!$H$6465+Sens!$H$6466-Sens!$H$6469</f>
        <v>28.5472527261826</v>
      </c>
      <c r="I6470" s="38" t="n">
        <f aca="false">Sens!$I$6444+Sens!$I$6449+Sens!$I$6465+Sens!$I$6466-Sens!$I$6469</f>
        <v>30.8052421506794</v>
      </c>
      <c r="J6470" s="38" t="n">
        <f aca="false">Sens!$J$6444+Sens!$J$6449+Sens!$J$6465+Sens!$J$6466-Sens!$J$6469</f>
        <v>33.0553877999083</v>
      </c>
      <c r="K6470" s="38" t="n">
        <f aca="false">Sens!$K$6444+Sens!$K$6449+Sens!$K$6465+Sens!$K$6466-Sens!$K$6469</f>
        <v>35.4662923485155</v>
      </c>
      <c r="L6470" s="38" t="n">
        <f aca="false">Sens!$L$6444+Sens!$L$6449+Sens!$L$6465+Sens!$L$6466-Sens!$L$6469</f>
        <v>37.1019587742301</v>
      </c>
      <c r="M6470" s="38" t="n">
        <f aca="false">Sens!$M$6444+Sens!$M$6449+Sens!$M$6465+Sens!$M$6466-Sens!$M$6469</f>
        <v>39.5351701466849</v>
      </c>
      <c r="N6470" s="38" t="n">
        <f aca="false">Sens!$N$6444+Sens!$N$6449+Sens!$N$6465+Sens!$N$6466-Sens!$N$6469</f>
        <v>10.6495</v>
      </c>
      <c r="O6470" s="38" t="n">
        <f aca="false">Sens!$O$6444+Sens!$O$6449+Sens!$O$6465+Sens!$O$6466-Sens!$O$6469</f>
        <v>9.81200000000001</v>
      </c>
    </row>
    <row r="6471" customFormat="false" ht="17.15" hidden="false" customHeight="false" outlineLevel="0" collapsed="false">
      <c r="A6471" s="0" t="s">
        <v>742</v>
      </c>
      <c r="B6471" s="0" t="s">
        <v>86</v>
      </c>
      <c r="C6471" s="38" t="n">
        <f aca="false">Sens!$C$6451+Sens!$C$6467-ext_sh*Sens!$C$6386</f>
        <v>51.3470500115664</v>
      </c>
      <c r="D6471" s="38" t="n">
        <f aca="false">Sens!$D$6451+Sens!$D$6467-ext_sh*Sens!$D$6386</f>
        <v>60.2799375433739</v>
      </c>
      <c r="E6471" s="38" t="n">
        <f aca="false">Sens!$E$6451+Sens!$E$6467-ext_sh*Sens!$E$6386</f>
        <v>39.5095167090767</v>
      </c>
      <c r="F6471" s="38" t="n">
        <f aca="false">Sens!$F$6451+Sens!$F$6467-ext_sh*Sens!$F$6386</f>
        <v>37.993321722478</v>
      </c>
      <c r="G6471" s="38" t="n">
        <f aca="false">Sens!$G$6451+Sens!$G$6467-ext_sh*Sens!$G$6386</f>
        <v>77.5028384315548</v>
      </c>
      <c r="H6471" s="38" t="n">
        <f aca="false">Sens!$H$6451+Sens!$H$6467-ext_sh*Sens!$H$6386</f>
        <v>85.2394217279746</v>
      </c>
      <c r="I6471" s="38" t="n">
        <f aca="false">Sens!$I$6451+Sens!$I$6467-ext_sh*Sens!$I$6386</f>
        <v>94.6373589713254</v>
      </c>
      <c r="J6471" s="38" t="n">
        <f aca="false">Sens!$J$6451+Sens!$J$6467-ext_sh*Sens!$J$6386</f>
        <v>103.639899284146</v>
      </c>
      <c r="K6471" s="38" t="n">
        <f aca="false">Sens!$K$6451+Sens!$K$6467-ext_sh*Sens!$K$6386</f>
        <v>111.931091226878</v>
      </c>
      <c r="L6471" s="38" t="n">
        <f aca="false">Sens!$L$6451+Sens!$L$6467-ext_sh*Sens!$L$6386</f>
        <v>120.885578525028</v>
      </c>
      <c r="M6471" s="38" t="n">
        <f aca="false">Sens!$M$6451+Sens!$M$6467-ext_sh*Sens!$M$6386</f>
        <v>130.55642480703</v>
      </c>
      <c r="N6471" s="38" t="n">
        <f aca="false">Sens!$N$6451+Sens!$N$6467-ext_sh*Sens!$N$6386</f>
        <v>28.5693781401809</v>
      </c>
      <c r="O6471" s="38" t="n">
        <f aca="false">Sens!$O$6451+Sens!$O$6467-ext_sh*Sens!$O$6386</f>
        <v>31.7105594031931</v>
      </c>
    </row>
    <row r="6472" customFormat="false" ht="17.15" hidden="false" customHeight="false" outlineLevel="0" collapsed="false">
      <c r="A6472" s="0" t="s">
        <v>743</v>
      </c>
      <c r="B6472" s="0" t="s">
        <v>86</v>
      </c>
      <c r="C6472" s="38" t="n">
        <f aca="false">Sens!$C$6389</f>
        <v>1.80694998843362</v>
      </c>
      <c r="D6472" s="38" t="n">
        <f aca="false">Sens!$D$6389</f>
        <v>6.77606245662607</v>
      </c>
      <c r="E6472" s="38" t="n">
        <f aca="false">Sens!$E$6389</f>
        <v>6.62548329092326</v>
      </c>
      <c r="F6472" s="38" t="n">
        <f aca="false">Sens!$F$6389</f>
        <v>11.7200577158706</v>
      </c>
      <c r="G6472" s="38" t="n">
        <f aca="false">Sens!$G$6389</f>
        <v>18.3455410067939</v>
      </c>
      <c r="H6472" s="38" t="n">
        <f aca="false">Sens!$H$6389</f>
        <v>47.5171727060453</v>
      </c>
      <c r="I6472" s="38" t="n">
        <f aca="false">Sens!$I$6389</f>
        <v>80.5539692643667</v>
      </c>
      <c r="J6472" s="38" t="n">
        <f aca="false">Sens!$J$6389</f>
        <v>113.759316834883</v>
      </c>
      <c r="K6472" s="38" t="n">
        <f aca="false">Sens!$K$6389</f>
        <v>142.084411492169</v>
      </c>
      <c r="L6472" s="38" t="n">
        <f aca="false">Sens!$L$6389</f>
        <v>160.69964615804</v>
      </c>
      <c r="M6472" s="38" t="n">
        <f aca="false">Sens!$M$6389</f>
        <v>169.577607141793</v>
      </c>
      <c r="N6472" s="38" t="n">
        <f aca="false">Sens!$N$6389</f>
        <v>2.37162185981912</v>
      </c>
      <c r="O6472" s="38" t="n">
        <f aca="false">Sens!$O$6389</f>
        <v>4.40444059680694</v>
      </c>
    </row>
    <row r="6473" customFormat="false" ht="17.15" hidden="false" customHeight="false" outlineLevel="0" collapsed="false">
      <c r="A6473" s="0" t="s">
        <v>744</v>
      </c>
      <c r="B6473" s="0" t="s">
        <v>86</v>
      </c>
      <c r="C6473" s="38" t="n">
        <f aca="false">Sens!$C$6454+Sens!$C$6468</f>
        <v>100.66</v>
      </c>
      <c r="D6473" s="38" t="n">
        <f aca="false">Sens!$D$6454+Sens!$D$6468</f>
        <v>121.835</v>
      </c>
      <c r="E6473" s="38" t="n">
        <f aca="false">Sens!$E$6454+Sens!$E$6468</f>
        <v>78.016</v>
      </c>
      <c r="F6473" s="38" t="n">
        <f aca="false">Sens!$F$6454+Sens!$F$6468</f>
        <v>85.580207202011</v>
      </c>
      <c r="G6473" s="38" t="n">
        <f aca="false">Sens!$G$6454+Sens!$G$6468</f>
        <v>163.596207202011</v>
      </c>
      <c r="H6473" s="38" t="n">
        <f aca="false">Sens!$H$6454+Sens!$H$6468</f>
        <v>211.252308354151</v>
      </c>
      <c r="I6473" s="38" t="n">
        <f aca="false">Sens!$I$6454+Sens!$I$6468</f>
        <v>264.28812593412</v>
      </c>
      <c r="J6473" s="38" t="n">
        <f aca="false">Sens!$J$6454+Sens!$J$6468</f>
        <v>316.529074889914</v>
      </c>
      <c r="K6473" s="38" t="n">
        <f aca="false">Sens!$K$6454+Sens!$K$6468</f>
        <v>362.163713135636</v>
      </c>
      <c r="L6473" s="38" t="n">
        <f aca="false">Sens!$L$6454+Sens!$L$6468</f>
        <v>398.637293332179</v>
      </c>
      <c r="M6473" s="38" t="n">
        <f aca="false">Sens!$M$6454+Sens!$M$6468</f>
        <v>427.614322957878</v>
      </c>
      <c r="N6473" s="38" t="n">
        <f aca="false">Sens!$N$6454+Sens!$N$6468</f>
        <v>56.398</v>
      </c>
      <c r="O6473" s="38" t="n">
        <f aca="false">Sens!$O$6454+Sens!$O$6468</f>
        <v>65.437</v>
      </c>
    </row>
    <row r="6474" customFormat="false" ht="17.15" hidden="false" customHeight="false" outlineLevel="0" collapsed="false">
      <c r="A6474" s="1" t="s">
        <v>745</v>
      </c>
    </row>
    <row r="6475" customFormat="false" ht="15" hidden="false" customHeight="false" outlineLevel="0" collapsed="false">
      <c r="A6475" s="5" t="s">
        <v>541</v>
      </c>
      <c r="B6475" s="0" t="s">
        <v>86</v>
      </c>
      <c r="C6475" s="38" t="n">
        <f aca="false">Q!$D$34</f>
        <v>2.406</v>
      </c>
      <c r="D6475" s="38" t="n">
        <f aca="false">Q!$E$34</f>
        <v>2.274</v>
      </c>
      <c r="E6475" s="38" t="n">
        <f aca="false">Q!$P$34</f>
        <v>2.114</v>
      </c>
      <c r="F6475" s="38" t="n">
        <f aca="false">Sens!$F$6513</f>
        <v>3.24888962733561</v>
      </c>
      <c r="G6475" s="38" t="n">
        <f aca="false">Sens!$E$6475+Sens!$F$6475</f>
        <v>5.36288962733561</v>
      </c>
      <c r="H6475" s="38" t="n">
        <f aca="false">Sens!$H$6513</f>
        <v>7.42354172302123</v>
      </c>
      <c r="I6475" s="38" t="n">
        <f aca="false">Sens!$I$6513</f>
        <v>8.2931747618896</v>
      </c>
      <c r="J6475" s="38" t="n">
        <f aca="false">Sens!$J$6513</f>
        <v>9.27718179522602</v>
      </c>
      <c r="K6475" s="38" t="n">
        <f aca="false">Sens!$K$6513</f>
        <v>9.27718179522602</v>
      </c>
      <c r="L6475" s="38" t="n">
        <f aca="false">Sens!$L$6513</f>
        <v>9.27718179522602</v>
      </c>
      <c r="M6475" s="38" t="n">
        <f aca="false">Sens!$M$6513</f>
        <v>9.27718179522602</v>
      </c>
      <c r="N6475" s="38" t="n">
        <f aca="false">Q!$N$34</f>
        <v>1.057</v>
      </c>
      <c r="O6475" s="38" t="n">
        <f aca="false">Q!$O$34</f>
        <v>1.217</v>
      </c>
    </row>
    <row r="6476" customFormat="false" ht="15" hidden="false" customHeight="false" outlineLevel="0" collapsed="false">
      <c r="A6476" s="5" t="s">
        <v>746</v>
      </c>
      <c r="B6476" s="0" t="s">
        <v>86</v>
      </c>
      <c r="F6476" s="38" t="n">
        <f aca="false">Sens!$F$6514</f>
        <v>2.59</v>
      </c>
      <c r="H6476" s="38" t="n">
        <f aca="false">Sens!$H$6514</f>
        <v>3.80133635330174</v>
      </c>
      <c r="I6476" s="38" t="n">
        <f aca="false">Sens!$I$6514</f>
        <v>2.10589651022864</v>
      </c>
      <c r="J6476" s="38" t="n">
        <f aca="false">Sens!$J$6514</f>
        <v>2.10589651022864</v>
      </c>
      <c r="K6476" s="38" t="n">
        <f aca="false">Sens!$K$6514</f>
        <v>3.14850442073996</v>
      </c>
      <c r="L6476" s="38" t="n">
        <f aca="false">Sens!$L$6514</f>
        <v>8.25959583122945</v>
      </c>
      <c r="M6476" s="38" t="n">
        <f aca="false">Sens!$M$6514</f>
        <v>15.8335708401143</v>
      </c>
    </row>
    <row r="6477" customFormat="false" ht="17.15" hidden="false" customHeight="false" outlineLevel="0" collapsed="false">
      <c r="A6477" s="5" t="s">
        <v>747</v>
      </c>
      <c r="B6477" s="0" t="s">
        <v>86</v>
      </c>
      <c r="C6477" s="38" t="n">
        <f aca="false">Q!$D$39</f>
        <v>2.427</v>
      </c>
      <c r="D6477" s="38" t="n">
        <f aca="false">Q!$E$39</f>
        <v>19.61</v>
      </c>
      <c r="E6477" s="38" t="n">
        <f aca="false">Q!$P$39</f>
        <v>71.492</v>
      </c>
      <c r="F6477" s="39" t="n">
        <v>0</v>
      </c>
      <c r="G6477" s="38" t="n">
        <f aca="false">Sens!$E$6477+Sens!$F$6477</f>
        <v>71.492</v>
      </c>
      <c r="H6477" s="39" t="n">
        <v>0</v>
      </c>
      <c r="I6477" s="39" t="n">
        <v>0</v>
      </c>
      <c r="J6477" s="39" t="n">
        <v>0</v>
      </c>
      <c r="K6477" s="39" t="n">
        <v>0</v>
      </c>
      <c r="L6477" s="39" t="n">
        <v>0</v>
      </c>
      <c r="M6477" s="39" t="n">
        <v>0</v>
      </c>
      <c r="N6477" s="38" t="n">
        <f aca="false">Q!$N$39</f>
        <v>6.017</v>
      </c>
      <c r="O6477" s="38" t="n">
        <f aca="false">Q!$O$39</f>
        <v>13.593</v>
      </c>
      <c r="P6477" s="5" t="s">
        <v>748</v>
      </c>
    </row>
    <row r="6478" customFormat="false" ht="15" hidden="false" customHeight="false" outlineLevel="0" collapsed="false">
      <c r="A6478" s="5" t="s">
        <v>544</v>
      </c>
      <c r="B6478" s="0" t="s">
        <v>86</v>
      </c>
      <c r="C6478" s="38" t="n">
        <f aca="false">Q!$D$36</f>
        <v>68.614</v>
      </c>
      <c r="D6478" s="38" t="n">
        <f aca="false">Q!$E$36</f>
        <v>97.311</v>
      </c>
      <c r="E6478" s="38" t="n">
        <f aca="false">Q!$P$36</f>
        <v>120.691</v>
      </c>
      <c r="F6478" s="38" t="n">
        <f aca="false">Sens!$F$6454-Sens!$F$6475+Sens!$F$6476+Sens!$F$6477</f>
        <v>55.629999609589</v>
      </c>
      <c r="G6478" s="38" t="n">
        <f aca="false">Sens!$E$6478+Sens!$F$6478</f>
        <v>176.320999609589</v>
      </c>
      <c r="H6478" s="38" t="n">
        <f aca="false">Sens!$H$6454-Sens!$H$6475+Sens!$H$6476+Sens!$H$6477</f>
        <v>123.313761885917</v>
      </c>
      <c r="I6478" s="38" t="n">
        <f aca="false">Sens!$I$6454-Sens!$I$6475+Sens!$I$6476+Sens!$I$6477</f>
        <v>141.060502691455</v>
      </c>
      <c r="J6478" s="38" t="n">
        <f aca="false">Sens!$J$6454-Sens!$J$6475+Sens!$J$6476+Sens!$J$6477</f>
        <v>158.858808130232</v>
      </c>
      <c r="K6478" s="38" t="n">
        <f aca="false">Sens!$K$6454-Sens!$K$6475+Sens!$K$6476+Sens!$K$6477</f>
        <v>171.846913790867</v>
      </c>
      <c r="L6478" s="38" t="n">
        <f aca="false">Sens!$L$6454-Sens!$L$6475+Sens!$L$6476+Sens!$L$6477</f>
        <v>189.850989307375</v>
      </c>
      <c r="M6478" s="38" t="n">
        <f aca="false">Sens!$M$6454-Sens!$M$6475+Sens!$M$6476+Sens!$M$6477</f>
        <v>210.166777355014</v>
      </c>
      <c r="N6478" s="38" t="n">
        <f aca="false">Q!$N$36</f>
        <v>42.536</v>
      </c>
      <c r="O6478" s="38" t="n">
        <f aca="false">Q!$O$36</f>
        <v>54.775</v>
      </c>
    </row>
    <row r="6479" customFormat="false" ht="15" hidden="false" customHeight="false" outlineLevel="0" collapsed="false">
      <c r="A6479" s="5" t="s">
        <v>545</v>
      </c>
      <c r="B6479" s="0" t="s">
        <v>86</v>
      </c>
      <c r="C6479" s="38" t="n">
        <f aca="false">Q!$D$37</f>
        <v>9.265</v>
      </c>
      <c r="D6479" s="38" t="n">
        <f aca="false">Q!$E$37</f>
        <v>19.087</v>
      </c>
      <c r="E6479" s="38" t="n">
        <f aca="false">Q!$P$37</f>
        <v>27.759</v>
      </c>
      <c r="F6479" s="38" t="n">
        <f aca="false">Sens!$F$6478*tax</f>
        <v>9.65650714815835</v>
      </c>
      <c r="G6479" s="38" t="n">
        <f aca="false">Sens!$E$6479+Sens!$F$6479</f>
        <v>37.4155071481584</v>
      </c>
      <c r="H6479" s="38" t="n">
        <f aca="false">Sens!$H$6478*tax</f>
        <v>21.4053609828247</v>
      </c>
      <c r="I6479" s="38" t="n">
        <f aca="false">Sens!$I$6478*tax</f>
        <v>24.4859205846201</v>
      </c>
      <c r="J6479" s="38" t="n">
        <f aca="false">Sens!$J$6478*tax</f>
        <v>27.5754310088666</v>
      </c>
      <c r="K6479" s="38" t="n">
        <f aca="false">Sens!$K$6478*tax</f>
        <v>29.8299651816718</v>
      </c>
      <c r="L6479" s="38" t="n">
        <f aca="false">Sens!$L$6478*tax</f>
        <v>32.9551941074541</v>
      </c>
      <c r="M6479" s="38" t="n">
        <f aca="false">Sens!$M$6478*tax</f>
        <v>36.4817005586366</v>
      </c>
      <c r="N6479" s="38" t="n">
        <f aca="false">Q!$N$37</f>
        <v>7.231</v>
      </c>
      <c r="O6479" s="38" t="n">
        <f aca="false">Q!$O$37</f>
        <v>11.856</v>
      </c>
    </row>
    <row r="6480" customFormat="false" ht="15" hidden="false" customHeight="false" outlineLevel="0" collapsed="false">
      <c r="A6480" s="3" t="s">
        <v>546</v>
      </c>
      <c r="B6480" s="8" t="s">
        <v>86</v>
      </c>
      <c r="C6480" s="38" t="n">
        <f aca="false">Q!$D$38</f>
        <v>59.248</v>
      </c>
      <c r="D6480" s="38" t="n">
        <f aca="false">Q!$E$38</f>
        <v>77.67</v>
      </c>
      <c r="E6480" s="38" t="n">
        <f aca="false">Q!$P$38</f>
        <v>92.902</v>
      </c>
      <c r="F6480" s="38" t="n">
        <f aca="false">Sens!$F$6478-Sens!$F$6479</f>
        <v>45.9734924614306</v>
      </c>
      <c r="G6480" s="38" t="n">
        <f aca="false">Sens!$E$6480+Sens!$F$6480</f>
        <v>138.875492461431</v>
      </c>
      <c r="H6480" s="38" t="n">
        <f aca="false">Sens!$H$6478-Sens!$H$6479</f>
        <v>101.908400903092</v>
      </c>
      <c r="I6480" s="38" t="n">
        <f aca="false">Sens!$I$6478-Sens!$I$6479</f>
        <v>116.574582106835</v>
      </c>
      <c r="J6480" s="38" t="n">
        <f aca="false">Sens!$J$6478-Sens!$J$6479</f>
        <v>131.283377121365</v>
      </c>
      <c r="K6480" s="38" t="n">
        <f aca="false">Sens!$K$6478-Sens!$K$6479</f>
        <v>142.016948609195</v>
      </c>
      <c r="L6480" s="38" t="n">
        <f aca="false">Sens!$L$6478-Sens!$L$6479</f>
        <v>156.895795199921</v>
      </c>
      <c r="M6480" s="38" t="n">
        <f aca="false">Sens!$M$6478-Sens!$M$6479</f>
        <v>173.685076796377</v>
      </c>
      <c r="N6480" s="38" t="n">
        <f aca="false">Q!$N$38</f>
        <v>35.291</v>
      </c>
      <c r="O6480" s="38" t="n">
        <f aca="false">Q!$O$38</f>
        <v>42.379</v>
      </c>
    </row>
    <row r="6481" customFormat="false" ht="17.15" hidden="false" customHeight="false" outlineLevel="0" collapsed="false">
      <c r="A6481" s="5" t="s">
        <v>549</v>
      </c>
      <c r="B6481" s="5" t="s">
        <v>33</v>
      </c>
      <c r="C6481" s="22" t="n">
        <f aca="false">Q!$D$41</f>
        <v>10.721</v>
      </c>
      <c r="D6481" s="22" t="n">
        <f aca="false">Q!$E$41</f>
        <v>10.827</v>
      </c>
      <c r="E6481" s="22" t="n">
        <f aca="false">(Q!$L$41+Q!$M$41)/2</f>
        <v>10.8885</v>
      </c>
      <c r="F6481" s="22" t="n">
        <f aca="false">Sens!$G$6481</f>
        <v>10.924806</v>
      </c>
      <c r="G6481" s="22" t="n">
        <f aca="false">Q!$M$41*(1+sh_g*0.25)</f>
        <v>10.924806</v>
      </c>
      <c r="H6481" s="22" t="n">
        <f aca="false">Sens!$G$6481*(1+sh_g)</f>
        <v>11.012204448</v>
      </c>
      <c r="I6481" s="22" t="n">
        <f aca="false">Sens!$H$6481*(1+sh_g)</f>
        <v>11.100302083584</v>
      </c>
      <c r="J6481" s="22" t="n">
        <f aca="false">Sens!$I$6481*(1+sh_g)</f>
        <v>11.1891045002527</v>
      </c>
      <c r="K6481" s="22" t="n">
        <f aca="false">Sens!$J$6481*(1+sh_g)</f>
        <v>11.2786173362547</v>
      </c>
      <c r="L6481" s="22" t="n">
        <f aca="false">Sens!$K$6481*(1+sh_g)</f>
        <v>11.3688462749447</v>
      </c>
      <c r="M6481" s="22" t="n">
        <f aca="false">Sens!$L$6481*(1+sh_g)</f>
        <v>11.4597970451443</v>
      </c>
      <c r="P6481" s="5" t="s">
        <v>749</v>
      </c>
    </row>
    <row r="6482" customFormat="false" ht="17.15" hidden="false" customHeight="false" outlineLevel="0" collapsed="false">
      <c r="A6482" s="5" t="s">
        <v>750</v>
      </c>
      <c r="B6482" s="0" t="s">
        <v>86</v>
      </c>
      <c r="C6482" s="38" t="n">
        <f aca="false">Sens!$C$6480+Sens!$C$6456*(1-tax)</f>
        <v>59.248</v>
      </c>
      <c r="D6482" s="38" t="n">
        <f aca="false">Sens!$D$6480+Sens!$D$6456*(1-tax)</f>
        <v>77.67</v>
      </c>
      <c r="E6482" s="38" t="n">
        <f aca="false">Sens!$E$6480+Sens!$E$6456*(1-tax)</f>
        <v>92.902</v>
      </c>
      <c r="F6482" s="38" t="n">
        <f aca="false">Sens!$F$6480+Sens!$F$6456*(1-tax)</f>
        <v>49.0900874210793</v>
      </c>
      <c r="G6482" s="38" t="n">
        <f aca="false">Sens!$G$6480+Sens!$G$6456*(1-tax)</f>
        <v>141.992087421079</v>
      </c>
      <c r="H6482" s="38" t="n">
        <f aca="false">Sens!$H$6480+Sens!$H$6456*(1-tax)</f>
        <v>114.439796858437</v>
      </c>
      <c r="I6482" s="38" t="n">
        <f aca="false">Sens!$I$6480+Sens!$I$6456*(1-tax)</f>
        <v>137.715847181774</v>
      </c>
      <c r="J6482" s="38" t="n">
        <f aca="false">Sens!$J$6480+Sens!$J$6456*(1-tax)</f>
        <v>161.072814065649</v>
      </c>
      <c r="K6482" s="38" t="n">
        <f aca="false">Sens!$K$6480+Sens!$K$6456*(1-tax)</f>
        <v>179.184254305854</v>
      </c>
      <c r="L6482" s="38" t="n">
        <f aca="false">Sens!$L$6480+Sens!$L$6456*(1-tax)</f>
        <v>198.911872540476</v>
      </c>
      <c r="M6482" s="38" t="n">
        <f aca="false">Sens!$M$6480+Sens!$M$6456*(1-tax)</f>
        <v>218.014598987218</v>
      </c>
      <c r="N6482" s="38" t="n">
        <f aca="false">Sens!$N$6480+Sens!$N$6456*(1-tax)</f>
        <v>35.291</v>
      </c>
      <c r="O6482" s="38" t="n">
        <f aca="false">Sens!$O$6480+Sens!$O$6456*(1-tax)</f>
        <v>42.379</v>
      </c>
    </row>
    <row r="6483" customFormat="false" ht="17.15" hidden="false" customHeight="false" outlineLevel="0" collapsed="false">
      <c r="A6483" s="43" t="s">
        <v>751</v>
      </c>
      <c r="B6483" s="14" t="s">
        <v>27</v>
      </c>
      <c r="C6483" s="44" t="n">
        <f aca="false">Sens!$C$6482/Sens!$C$6481</f>
        <v>5.52635015390355</v>
      </c>
      <c r="D6483" s="44" t="n">
        <f aca="false">Sens!$D$6482/Sens!$D$6481</f>
        <v>7.1737323358271</v>
      </c>
      <c r="E6483" s="44" t="n">
        <f aca="false">Sens!$E$6482/Sens!$E$6481</f>
        <v>8.53212104513937</v>
      </c>
      <c r="F6483" s="14"/>
      <c r="G6483" s="44" t="n">
        <f aca="false">Sens!$G$6482/Sens!$G$6481</f>
        <v>12.9972182042481</v>
      </c>
      <c r="H6483" s="44" t="n">
        <f aca="false">Sens!$H$6482/Sens!$H$6481</f>
        <v>10.3920879237963</v>
      </c>
      <c r="I6483" s="44" t="n">
        <f aca="false">Sens!$I$6482/Sens!$I$6481</f>
        <v>12.4064954399249</v>
      </c>
      <c r="J6483" s="44" t="n">
        <f aca="false">Sens!$J$6482/Sens!$J$6481</f>
        <v>14.3955053831172</v>
      </c>
      <c r="K6483" s="44" t="n">
        <f aca="false">Sens!$K$6482/Sens!$K$6481</f>
        <v>15.8870763111957</v>
      </c>
      <c r="L6483" s="44" t="n">
        <f aca="false">Sens!$L$6482/Sens!$L$6481</f>
        <v>17.4962232516811</v>
      </c>
      <c r="M6483" s="44" t="n">
        <f aca="false">Sens!$M$6482/Sens!$M$6481</f>
        <v>19.0242984346389</v>
      </c>
      <c r="N6483" s="14"/>
      <c r="O6483" s="14"/>
    </row>
    <row r="6484" customFormat="false" ht="17.15" hidden="false" customHeight="false" outlineLevel="0" collapsed="false">
      <c r="A6484" s="0" t="s">
        <v>752</v>
      </c>
      <c r="B6484" s="0" t="s">
        <v>27</v>
      </c>
      <c r="C6484" s="30" t="n">
        <f aca="false">Sens!$C$6480/Sens!$C$6481</f>
        <v>5.52635015390355</v>
      </c>
      <c r="D6484" s="30" t="n">
        <f aca="false">Sens!$D$6480/Sens!$D$6481</f>
        <v>7.1737323358271</v>
      </c>
      <c r="E6484" s="30" t="n">
        <f aca="false">Sens!$E$6480/Sens!$E$6481</f>
        <v>8.53212104513937</v>
      </c>
      <c r="G6484" s="30" t="n">
        <f aca="false">Sens!$G$6480/Sens!$G$6481</f>
        <v>12.7119412886078</v>
      </c>
      <c r="H6484" s="30" t="n">
        <f aca="false">Sens!$H$6480/Sens!$H$6481</f>
        <v>9.25413266565353</v>
      </c>
      <c r="I6484" s="30" t="n">
        <f aca="false">Sens!$I$6480/Sens!$I$6481</f>
        <v>10.501928796986</v>
      </c>
      <c r="J6484" s="30" t="n">
        <f aca="false">Sens!$J$6480/Sens!$J$6481</f>
        <v>11.7331442492472</v>
      </c>
      <c r="K6484" s="30" t="n">
        <f aca="false">Sens!$K$6480/Sens!$K$6481</f>
        <v>12.5916984657939</v>
      </c>
      <c r="L6484" s="30" t="n">
        <f aca="false">Sens!$L$6480/Sens!$L$6481</f>
        <v>13.8005028307662</v>
      </c>
      <c r="M6484" s="30" t="n">
        <f aca="false">Sens!$M$6480/Sens!$M$6481</f>
        <v>15.1560342746184</v>
      </c>
    </row>
    <row r="6485" customFormat="false" ht="17.15" hidden="false" customHeight="false" outlineLevel="0" collapsed="false">
      <c r="A6485" s="0" t="s">
        <v>753</v>
      </c>
      <c r="B6485" s="0" t="s">
        <v>27</v>
      </c>
      <c r="C6485" s="30" t="n">
        <f aca="false">(Sens!$C$6480-Sens!$C$6477*(1-tax))/Sens!$C$6481</f>
        <v>5.33926775917445</v>
      </c>
      <c r="D6485" s="30" t="n">
        <f aca="false">(Sens!$D$6480-Sens!$D$6477*(1-tax))/Sens!$D$6481</f>
        <v>5.67691812755503</v>
      </c>
      <c r="E6485" s="30" t="n">
        <f aca="false">(Sens!$E$6480-Sens!$E$6477*(1-tax))/Sens!$E$6481</f>
        <v>3.10602057006846</v>
      </c>
      <c r="G6485" s="30" t="n">
        <f aca="false">(Sens!$G$6480-Sens!$G$6477*(1-tax))/Sens!$G$6481</f>
        <v>7.30387317071086</v>
      </c>
      <c r="H6485" s="30" t="n">
        <f aca="false">(Sens!$H$6480-Sens!$H$6477*(1-tax))/Sens!$H$6481</f>
        <v>9.25413266565353</v>
      </c>
      <c r="I6485" s="30" t="n">
        <f aca="false">(Sens!$I$6480-Sens!$I$6477*(1-tax))/Sens!$I$6481</f>
        <v>10.501928796986</v>
      </c>
      <c r="J6485" s="30" t="n">
        <f aca="false">(Sens!$J$6480-Sens!$J$6477*(1-tax))/Sens!$J$6481</f>
        <v>11.7331442492472</v>
      </c>
      <c r="K6485" s="30" t="n">
        <f aca="false">(Sens!$K$6480-Sens!$K$6477*(1-tax))/Sens!$K$6481</f>
        <v>12.5916984657939</v>
      </c>
      <c r="L6485" s="30" t="n">
        <f aca="false">(Sens!$L$6480-Sens!$L$6477*(1-tax))/Sens!$L$6481</f>
        <v>13.8005028307662</v>
      </c>
      <c r="M6485" s="30" t="n">
        <f aca="false">(Sens!$M$6480-Sens!$M$6477*(1-tax))/Sens!$M$6481</f>
        <v>15.1560342746184</v>
      </c>
      <c r="P6485" s="5" t="s">
        <v>754</v>
      </c>
    </row>
    <row r="6486" customFormat="false" ht="17.15" hidden="false" customHeight="false" outlineLevel="0" collapsed="false">
      <c r="A6486" s="0" t="s">
        <v>755</v>
      </c>
      <c r="B6486" s="0" t="s">
        <v>52</v>
      </c>
      <c r="H6486" s="13" t="n">
        <f aca="false">Sens!$H$6483/Sens!$G$6483-1</f>
        <v>-0.200437527439553</v>
      </c>
      <c r="I6486" s="13" t="n">
        <f aca="false">Sens!$I$6483/Sens!$H$6483-1</f>
        <v>0.193840499705158</v>
      </c>
      <c r="J6486" s="13" t="n">
        <f aca="false">Sens!$J$6483/Sens!$I$6483-1</f>
        <v>0.160320047899391</v>
      </c>
      <c r="K6486" s="13" t="n">
        <f aca="false">Sens!$K$6483/Sens!$J$6483-1</f>
        <v>0.103613654983436</v>
      </c>
      <c r="L6486" s="13" t="n">
        <f aca="false">Sens!$L$6483/Sens!$K$6483-1</f>
        <v>0.101286536865904</v>
      </c>
      <c r="M6486" s="13" t="n">
        <f aca="false">Sens!$M$6483/Sens!$L$6483-1</f>
        <v>0.0873374305400994</v>
      </c>
    </row>
    <row r="6489" customFormat="false" ht="19.4" hidden="false" customHeight="false" outlineLevel="0" collapsed="false">
      <c r="A6489" s="31" t="s">
        <v>1260</v>
      </c>
    </row>
    <row r="6490" customFormat="false" ht="17.15" hidden="false" customHeight="false" outlineLevel="0" collapsed="false">
      <c r="A6490" s="6" t="s">
        <v>16</v>
      </c>
      <c r="B6490" s="6" t="s">
        <v>17</v>
      </c>
      <c r="C6490" s="20" t="s">
        <v>494</v>
      </c>
      <c r="D6490" s="20" t="s">
        <v>495</v>
      </c>
      <c r="E6490" s="20" t="s">
        <v>577</v>
      </c>
      <c r="F6490" s="20" t="s">
        <v>578</v>
      </c>
      <c r="G6490" s="20" t="s">
        <v>579</v>
      </c>
      <c r="H6490" s="20" t="s">
        <v>580</v>
      </c>
      <c r="I6490" s="20" t="s">
        <v>581</v>
      </c>
      <c r="J6490" s="20" t="s">
        <v>582</v>
      </c>
      <c r="K6490" s="20" t="s">
        <v>583</v>
      </c>
      <c r="L6490" s="20" t="s">
        <v>584</v>
      </c>
      <c r="M6490" s="20" t="s">
        <v>585</v>
      </c>
      <c r="N6490" s="20" t="s">
        <v>586</v>
      </c>
      <c r="O6490" s="20" t="s">
        <v>587</v>
      </c>
      <c r="P6490" s="6" t="s">
        <v>23</v>
      </c>
      <c r="R6490" s="20" t="n">
        <v>2023</v>
      </c>
      <c r="S6490" s="20" t="n">
        <v>2024</v>
      </c>
      <c r="T6490" s="20" t="n">
        <v>2025</v>
      </c>
      <c r="U6490" s="20" t="n">
        <v>2026</v>
      </c>
      <c r="V6490" s="20" t="n">
        <v>2027</v>
      </c>
      <c r="W6490" s="20" t="n">
        <v>2028</v>
      </c>
      <c r="X6490" s="20" t="n">
        <v>2029</v>
      </c>
      <c r="Y6490" s="20" t="n">
        <v>2030</v>
      </c>
      <c r="Z6490" s="20" t="n">
        <v>2031</v>
      </c>
      <c r="AA6490" s="20" t="n">
        <v>2032</v>
      </c>
    </row>
    <row r="6491" customFormat="false" ht="15" hidden="false" customHeight="false" outlineLevel="0" collapsed="false">
      <c r="A6491" s="5" t="s">
        <v>546</v>
      </c>
      <c r="B6491" s="0" t="s">
        <v>86</v>
      </c>
      <c r="C6491" s="38" t="n">
        <f aca="false">Sens!$C$6480</f>
        <v>59.248</v>
      </c>
      <c r="D6491" s="38" t="n">
        <f aca="false">Sens!$D$6480</f>
        <v>77.67</v>
      </c>
      <c r="E6491" s="38" t="n">
        <f aca="false">Sens!$E$6480</f>
        <v>92.902</v>
      </c>
      <c r="F6491" s="38" t="n">
        <f aca="false">Sens!$F$6480</f>
        <v>45.9734924614306</v>
      </c>
      <c r="G6491" s="38" t="n">
        <f aca="false">Sens!$G$6480</f>
        <v>138.875492461431</v>
      </c>
      <c r="H6491" s="38" t="n">
        <f aca="false">Sens!$H$6480</f>
        <v>101.908400903092</v>
      </c>
      <c r="I6491" s="38" t="n">
        <f aca="false">Sens!$I$6480</f>
        <v>116.574582106835</v>
      </c>
      <c r="J6491" s="38" t="n">
        <f aca="false">Sens!$J$6480</f>
        <v>131.283377121365</v>
      </c>
      <c r="K6491" s="38" t="n">
        <f aca="false">Sens!$K$6480</f>
        <v>142.016948609195</v>
      </c>
      <c r="L6491" s="38" t="n">
        <f aca="false">Sens!$L$6480</f>
        <v>156.895795199921</v>
      </c>
      <c r="M6491" s="38" t="n">
        <f aca="false">Sens!$M$6480</f>
        <v>173.685076796377</v>
      </c>
    </row>
    <row r="6492" customFormat="false" ht="17.15" hidden="false" customHeight="false" outlineLevel="0" collapsed="false">
      <c r="A6492" s="5" t="s">
        <v>778</v>
      </c>
      <c r="B6492" s="0" t="s">
        <v>86</v>
      </c>
      <c r="C6492" s="38" t="n">
        <f aca="false">Sens!$C$6468</f>
        <v>32.067</v>
      </c>
      <c r="D6492" s="38" t="n">
        <f aca="false">Sens!$D$6468</f>
        <v>41.86</v>
      </c>
      <c r="E6492" s="38" t="n">
        <f aca="false">Sens!$E$6468</f>
        <v>26.703</v>
      </c>
      <c r="F6492" s="38" t="n">
        <f aca="false">Sens!$F$6468</f>
        <v>29.2913179650864</v>
      </c>
      <c r="G6492" s="38" t="n">
        <f aca="false">Sens!$G$6468</f>
        <v>55.9943179650864</v>
      </c>
      <c r="H6492" s="38" t="n">
        <f aca="false">Sens!$H$6468</f>
        <v>84.3163410985152</v>
      </c>
      <c r="I6492" s="38" t="n">
        <f aca="false">Sens!$I$6468</f>
        <v>117.040344991004</v>
      </c>
      <c r="J6492" s="38" t="n">
        <f aca="false">Sens!$J$6468</f>
        <v>150.498981474685</v>
      </c>
      <c r="K6492" s="38" t="n">
        <f aca="false">Sens!$K$6468</f>
        <v>184.188121970284</v>
      </c>
      <c r="L6492" s="38" t="n">
        <f aca="false">Sens!$L$6468</f>
        <v>207.768718060808</v>
      </c>
      <c r="M6492" s="38" t="n">
        <f aca="false">Sens!$M$6468</f>
        <v>224.003934647752</v>
      </c>
    </row>
    <row r="6493" customFormat="false" ht="15" hidden="false" customHeight="false" outlineLevel="0" collapsed="false">
      <c r="A6493" s="5" t="s">
        <v>779</v>
      </c>
      <c r="B6493" s="0" t="s">
        <v>86</v>
      </c>
      <c r="C6493" s="38" t="n">
        <f aca="false">Q!$D$48</f>
        <v>22.011</v>
      </c>
      <c r="D6493" s="38" t="n">
        <f aca="false">Q!$E$48</f>
        <v>19.467</v>
      </c>
      <c r="E6493" s="38" t="n">
        <f aca="false">Q!$P$48</f>
        <v>10.07</v>
      </c>
      <c r="F6493" s="38" t="n">
        <f aca="false">sbc_r*Sens!$F$6410</f>
        <v>10.8507035798037</v>
      </c>
      <c r="G6493" s="38" t="n">
        <f aca="false">Sens!$E$6493+Sens!$F$6493</f>
        <v>20.9207035798037</v>
      </c>
      <c r="H6493" s="38" t="n">
        <f aca="false">sbc_r*Sens!$H$6410</f>
        <v>23.46224366345</v>
      </c>
      <c r="I6493" s="38" t="n">
        <f aca="false">sbc_r*Sens!$I$6410</f>
        <v>26.6125957111676</v>
      </c>
      <c r="J6493" s="38" t="n">
        <f aca="false">sbc_r*Sens!$J$6410</f>
        <v>29.6280801413323</v>
      </c>
      <c r="K6493" s="38" t="n">
        <f aca="false">sbc_r*Sens!$K$6410</f>
        <v>32.2712258901105</v>
      </c>
      <c r="L6493" s="38" t="n">
        <f aca="false">sbc_r*Sens!$L$6410</f>
        <v>34.7390505016737</v>
      </c>
      <c r="M6493" s="38" t="n">
        <f aca="false">sbc_r*Sens!$M$6410</f>
        <v>37.0405146906692</v>
      </c>
    </row>
    <row r="6494" customFormat="false" ht="17.15" hidden="false" customHeight="false" outlineLevel="0" collapsed="false">
      <c r="A6494" s="5" t="s">
        <v>780</v>
      </c>
      <c r="B6494" s="0" t="s">
        <v>86</v>
      </c>
      <c r="C6494" s="38" t="n">
        <f aca="false">Q!$D$44-Sens!$C$6491-Sens!$C$6492-Sens!$C$6493</f>
        <v>2.551</v>
      </c>
      <c r="D6494" s="38" t="n">
        <f aca="false">Q!$E$44-Sens!$D$6491-Sens!$D$6492-Sens!$D$6493</f>
        <v>0.51700000000001</v>
      </c>
      <c r="E6494" s="38" t="n">
        <f aca="false">Q!$P$44-Sens!$E$6491-Sens!$E$6492-Sens!$E$6493</f>
        <v>-58.256</v>
      </c>
      <c r="F6494" s="38" t="n">
        <f aca="false">oth_r*Sens!$F$6410</f>
        <v>5.22265251035878</v>
      </c>
      <c r="G6494" s="38" t="n">
        <f aca="false">Sens!$E$6494+Sens!$F$6494</f>
        <v>-53.0333474896412</v>
      </c>
      <c r="H6494" s="38" t="n">
        <f aca="false">oth_r*Sens!$H$6410</f>
        <v>11.2928295263397</v>
      </c>
      <c r="I6494" s="38" t="n">
        <f aca="false">oth_r*Sens!$I$6410</f>
        <v>12.8091546115766</v>
      </c>
      <c r="J6494" s="38" t="n">
        <f aca="false">oth_r*Sens!$J$6410</f>
        <v>14.2605653162668</v>
      </c>
      <c r="K6494" s="38" t="n">
        <f aca="false">oth_r*Sens!$K$6410</f>
        <v>15.5327622460396</v>
      </c>
      <c r="L6494" s="38" t="n">
        <f aca="false">oth_r*Sens!$L$6410</f>
        <v>16.720573737517</v>
      </c>
      <c r="M6494" s="38" t="n">
        <f aca="false">oth_r*Sens!$M$6410</f>
        <v>17.8283127551536</v>
      </c>
      <c r="P6494" s="8" t="s">
        <v>781</v>
      </c>
    </row>
    <row r="6495" customFormat="false" ht="15" hidden="false" customHeight="false" outlineLevel="0" collapsed="false">
      <c r="A6495" s="3" t="s">
        <v>552</v>
      </c>
      <c r="B6495" s="8" t="s">
        <v>86</v>
      </c>
      <c r="C6495" s="38" t="n">
        <f aca="false">Q!$D$44</f>
        <v>115.877</v>
      </c>
      <c r="D6495" s="38" t="n">
        <f aca="false">Q!$E$44</f>
        <v>139.514</v>
      </c>
      <c r="E6495" s="38" t="n">
        <f aca="false">Q!$P$44</f>
        <v>71.419</v>
      </c>
      <c r="F6495" s="38" t="n">
        <f aca="false">Sens!$F$6491+Sens!$F$6492+Sens!$F$6493+Sens!$F$6494</f>
        <v>91.3381665166794</v>
      </c>
      <c r="G6495" s="38" t="n">
        <f aca="false">Sens!$E$6495+Sens!$F$6495</f>
        <v>162.757166516679</v>
      </c>
      <c r="H6495" s="38" t="n">
        <f aca="false">Sens!$H$6491+Sens!$H$6492+Sens!$H$6493+Sens!$H$6494</f>
        <v>220.979815191397</v>
      </c>
      <c r="I6495" s="38" t="n">
        <f aca="false">Sens!$I$6491+Sens!$I$6492+Sens!$I$6493+Sens!$I$6494</f>
        <v>273.036677420583</v>
      </c>
      <c r="J6495" s="38" t="n">
        <f aca="false">Sens!$J$6491+Sens!$J$6492+Sens!$J$6493+Sens!$J$6494</f>
        <v>325.671004053649</v>
      </c>
      <c r="K6495" s="38" t="n">
        <f aca="false">Sens!$K$6491+Sens!$K$6492+Sens!$K$6493+Sens!$K$6494</f>
        <v>374.009058715629</v>
      </c>
      <c r="L6495" s="38" t="n">
        <f aca="false">Sens!$L$6491+Sens!$L$6492+Sens!$L$6493+Sens!$L$6494</f>
        <v>416.124137499919</v>
      </c>
      <c r="M6495" s="38" t="n">
        <f aca="false">Sens!$M$6491+Sens!$M$6492+Sens!$M$6493+Sens!$M$6494</f>
        <v>452.557838889952</v>
      </c>
    </row>
    <row r="6496" customFormat="false" ht="17.15" hidden="false" customHeight="false" outlineLevel="0" collapsed="false">
      <c r="A6496" s="5" t="s">
        <v>782</v>
      </c>
      <c r="B6496" s="0" t="s">
        <v>86</v>
      </c>
      <c r="C6496" s="38" t="n">
        <f aca="false">Sens!$C$6379</f>
        <v>25.2781053077374</v>
      </c>
      <c r="D6496" s="38" t="n">
        <f aca="false">Sens!$D$6379</f>
        <v>69.5686316310026</v>
      </c>
      <c r="E6496" s="38" t="n">
        <f aca="false">Sens!$E$6379</f>
        <v>64.1899206485108</v>
      </c>
      <c r="F6496" s="38" t="n">
        <f aca="false">Sens!$F$6379</f>
        <v>96.2481299895</v>
      </c>
      <c r="G6496" s="38" t="n">
        <f aca="false">Sens!$G$6379</f>
        <v>160.438050638011</v>
      </c>
      <c r="H6496" s="38" t="n">
        <f aca="false">Sens!$H$6379</f>
        <v>198.57136494475</v>
      </c>
      <c r="I6496" s="38" t="n">
        <f aca="false">Sens!$I$6379</f>
        <v>204.6464699105</v>
      </c>
      <c r="J6496" s="38" t="n">
        <f aca="false">Sens!$J$6379</f>
        <v>209.8832381105</v>
      </c>
      <c r="K6496" s="38" t="n">
        <f aca="false">Sens!$K$6379</f>
        <v>155.238385275201</v>
      </c>
      <c r="L6496" s="38" t="n">
        <f aca="false">Sens!$L$6379</f>
        <v>132.014141639902</v>
      </c>
      <c r="M6496" s="38" t="n">
        <f aca="false">Sens!$M$6379</f>
        <v>132.230981659852</v>
      </c>
    </row>
    <row r="6497" customFormat="false" ht="17.15" hidden="false" customHeight="false" outlineLevel="0" collapsed="false">
      <c r="A6497" s="5" t="s">
        <v>783</v>
      </c>
      <c r="B6497" s="0" t="s">
        <v>86</v>
      </c>
      <c r="C6497" s="38" t="n">
        <f aca="false">cx_awso*Sens!$C$6408</f>
        <v>21.0469989286053</v>
      </c>
      <c r="D6497" s="38" t="n">
        <f aca="false">cx_awso*Sens!$D$6408</f>
        <v>24.0042459822698</v>
      </c>
      <c r="E6497" s="38" t="n">
        <f aca="false">cx_awso*Sens!$E$6408</f>
        <v>14.261729404886</v>
      </c>
      <c r="F6497" s="38" t="n">
        <f aca="false">cx_awso*Sens!$F$6408</f>
        <v>14.3538599588493</v>
      </c>
      <c r="G6497" s="38" t="n">
        <f aca="false">Sens!$E$6497+Sens!$F$6497</f>
        <v>28.6155893637353</v>
      </c>
      <c r="H6497" s="38" t="n">
        <f aca="false">cx_awso*Sens!$H$6408</f>
        <v>32.2034154158406</v>
      </c>
      <c r="I6497" s="38" t="n">
        <f aca="false">cx_awso*Sens!$I$6408</f>
        <v>35.7539519042915</v>
      </c>
      <c r="J6497" s="38" t="n">
        <f aca="false">cx_awso*Sens!$J$6408</f>
        <v>39.1551076091815</v>
      </c>
      <c r="K6497" s="38" t="n">
        <f aca="false">cx_awso*Sens!$K$6408</f>
        <v>42.287516217916</v>
      </c>
      <c r="L6497" s="38" t="n">
        <f aca="false">cx_awso*Sens!$L$6408</f>
        <v>45.6705175153492</v>
      </c>
      <c r="M6497" s="38" t="n">
        <f aca="false">cx_awso*Sens!$M$6408</f>
        <v>49.3241589165772</v>
      </c>
    </row>
    <row r="6498" customFormat="false" ht="17.15" hidden="false" customHeight="false" outlineLevel="0" collapsed="false">
      <c r="A6498" s="5" t="s">
        <v>784</v>
      </c>
      <c r="B6498" s="0" t="s">
        <v>86</v>
      </c>
      <c r="C6498" s="38" t="n">
        <f aca="false">Q!$D$46-Sens!$C$6496-Sens!$C$6497</f>
        <v>31.3328957636573</v>
      </c>
      <c r="D6498" s="38" t="n">
        <f aca="false">Q!$E$46-Sens!$D$6496-Sens!$D$6497</f>
        <v>34.7471223867276</v>
      </c>
      <c r="E6498" s="38" t="n">
        <f aca="false">Q!$P$46-Sens!$E$6496-Sens!$E$6497</f>
        <v>17.8583499466032</v>
      </c>
      <c r="F6498" s="38" t="n">
        <f aca="false">cx_rt*Sens!$F$6342</f>
        <v>20.6195895799373</v>
      </c>
      <c r="G6498" s="38" t="n">
        <f aca="false">Sens!$E$6498+Sens!$F$6498</f>
        <v>38.4779395265405</v>
      </c>
      <c r="H6498" s="38" t="n">
        <f aca="false">cx_rt*Sens!$H$6342</f>
        <v>42.5978994743075</v>
      </c>
      <c r="I6498" s="38" t="n">
        <f aca="false">cx_rt*Sens!$I$6342</f>
        <v>46.5813904136335</v>
      </c>
      <c r="J6498" s="38" t="n">
        <f aca="false">cx_rt*Sens!$J$6342</f>
        <v>50.2781676586844</v>
      </c>
      <c r="K6498" s="38" t="n">
        <f aca="false">cx_rt*Sens!$K$6342</f>
        <v>53.5312440191755</v>
      </c>
      <c r="L6498" s="38" t="n">
        <f aca="false">cx_rt*Sens!$L$6342</f>
        <v>57.0116717051447</v>
      </c>
      <c r="M6498" s="38" t="n">
        <f aca="false">cx_rt*Sens!$M$6342</f>
        <v>60.7365554669226</v>
      </c>
    </row>
    <row r="6499" customFormat="false" ht="15" hidden="false" customHeight="false" outlineLevel="0" collapsed="false">
      <c r="A6499" s="3" t="s">
        <v>785</v>
      </c>
      <c r="B6499" s="8" t="s">
        <v>86</v>
      </c>
      <c r="C6499" s="38" t="n">
        <f aca="false">Q!$D$46</f>
        <v>77.658</v>
      </c>
      <c r="D6499" s="38" t="n">
        <f aca="false">Q!$E$46</f>
        <v>128.32</v>
      </c>
      <c r="E6499" s="38" t="n">
        <f aca="false">Q!$P$46</f>
        <v>96.31</v>
      </c>
      <c r="F6499" s="38" t="n">
        <f aca="false">Sens!$F$6496+Sens!$F$6497+Sens!$F$6498</f>
        <v>131.221579528287</v>
      </c>
      <c r="G6499" s="38" t="n">
        <f aca="false">Sens!$E$6499+Sens!$F$6499</f>
        <v>227.531579528287</v>
      </c>
      <c r="H6499" s="38" t="n">
        <f aca="false">Sens!$H$6496+Sens!$H$6497+Sens!$H$6498</f>
        <v>273.372679834898</v>
      </c>
      <c r="I6499" s="38" t="n">
        <f aca="false">Sens!$I$6496+Sens!$I$6497+Sens!$I$6498</f>
        <v>286.981812228425</v>
      </c>
      <c r="J6499" s="38" t="n">
        <f aca="false">Sens!$J$6496+Sens!$J$6497+Sens!$J$6498</f>
        <v>299.316513378366</v>
      </c>
      <c r="K6499" s="38" t="n">
        <f aca="false">Sens!$K$6496+Sens!$K$6497+Sens!$K$6498</f>
        <v>251.057145512292</v>
      </c>
      <c r="L6499" s="38" t="n">
        <f aca="false">Sens!$L$6496+Sens!$L$6497+Sens!$L$6498</f>
        <v>234.696330860396</v>
      </c>
      <c r="M6499" s="38" t="n">
        <f aca="false">Sens!$M$6496+Sens!$M$6497+Sens!$M$6498</f>
        <v>242.291696043352</v>
      </c>
    </row>
    <row r="6500" customFormat="false" ht="17.15" hidden="false" customHeight="false" outlineLevel="0" collapsed="false">
      <c r="A6500" s="5" t="s">
        <v>560</v>
      </c>
      <c r="B6500" s="0" t="s">
        <v>86</v>
      </c>
      <c r="C6500" s="38" t="n">
        <f aca="false">Q!$D$50</f>
        <v>2.043</v>
      </c>
      <c r="D6500" s="38" t="n">
        <f aca="false">Q!$E$50</f>
        <v>1.557</v>
      </c>
      <c r="E6500" s="38" t="n">
        <f aca="false">lease_pr/2</f>
        <v>0.8</v>
      </c>
      <c r="F6500" s="38" t="n">
        <f aca="false">lease_pr/2</f>
        <v>0.8</v>
      </c>
      <c r="G6500" s="38" t="n">
        <f aca="false">Sens!$E$6500+Sens!$F$6500</f>
        <v>1.6</v>
      </c>
      <c r="H6500" s="38" t="n">
        <f aca="false">lease_pr</f>
        <v>1.6</v>
      </c>
      <c r="I6500" s="38" t="n">
        <f aca="false">lease_pr</f>
        <v>1.6</v>
      </c>
      <c r="J6500" s="38" t="n">
        <f aca="false">lease_pr</f>
        <v>1.6</v>
      </c>
      <c r="K6500" s="38" t="n">
        <f aca="false">lease_pr</f>
        <v>1.6</v>
      </c>
      <c r="L6500" s="38" t="n">
        <f aca="false">lease_pr</f>
        <v>1.6</v>
      </c>
      <c r="M6500" s="38" t="n">
        <f aca="false">lease_pr</f>
        <v>1.6</v>
      </c>
      <c r="P6500" s="8" t="s">
        <v>786</v>
      </c>
    </row>
    <row r="6501" customFormat="false" ht="15" hidden="false" customHeight="false" outlineLevel="0" collapsed="false">
      <c r="A6501" s="47" t="s">
        <v>787</v>
      </c>
      <c r="B6501" s="14" t="s">
        <v>86</v>
      </c>
      <c r="C6501" s="48" t="n">
        <f aca="false">Sens!$C$6495-Sens!$C$6499-Sens!$C$6500</f>
        <v>36.176</v>
      </c>
      <c r="D6501" s="48" t="n">
        <f aca="false">Sens!$D$6495-Sens!$D$6499-Sens!$D$6500</f>
        <v>9.63700000000002</v>
      </c>
      <c r="E6501" s="48" t="n">
        <f aca="false">Sens!$E$6495-Sens!$E$6499-Sens!$E$6500</f>
        <v>-25.691</v>
      </c>
      <c r="F6501" s="48" t="n">
        <f aca="false">Sens!$F$6495-Sens!$F$6499-Sens!$F$6500</f>
        <v>-40.6834130116072</v>
      </c>
      <c r="G6501" s="48" t="n">
        <f aca="false">Sens!$G$6495-Sens!$G$6499-Sens!$G$6500</f>
        <v>-66.3744130116072</v>
      </c>
      <c r="H6501" s="48" t="n">
        <f aca="false">Sens!$H$6495-Sens!$H$6499-Sens!$H$6500</f>
        <v>-53.9928646435014</v>
      </c>
      <c r="I6501" s="48" t="n">
        <f aca="false">Sens!$I$6495-Sens!$I$6499-Sens!$I$6500</f>
        <v>-15.5451348078424</v>
      </c>
      <c r="J6501" s="48" t="n">
        <f aca="false">Sens!$J$6495-Sens!$J$6499-Sens!$J$6500</f>
        <v>24.754490675283</v>
      </c>
      <c r="K6501" s="48" t="n">
        <f aca="false">Sens!$K$6495-Sens!$K$6499-Sens!$K$6500</f>
        <v>121.351913203336</v>
      </c>
      <c r="L6501" s="48" t="n">
        <f aca="false">Sens!$L$6495-Sens!$L$6499-Sens!$L$6500</f>
        <v>179.827806639524</v>
      </c>
      <c r="M6501" s="48" t="n">
        <f aca="false">Sens!$M$6495-Sens!$M$6499-Sens!$M$6500</f>
        <v>208.6661428466</v>
      </c>
      <c r="N6501" s="14"/>
      <c r="O6501" s="14"/>
    </row>
    <row r="6502" customFormat="false" ht="17.15" hidden="false" customHeight="false" outlineLevel="0" collapsed="false">
      <c r="A6502" s="5" t="s">
        <v>788</v>
      </c>
      <c r="B6502" s="0" t="s">
        <v>86</v>
      </c>
      <c r="C6502" s="38" t="n">
        <f aca="false">dps*Sens!$C$6481</f>
        <v>0</v>
      </c>
      <c r="D6502" s="38" t="n">
        <f aca="false">dps*Sens!$D$6481</f>
        <v>0</v>
      </c>
      <c r="E6502" s="38" t="n">
        <f aca="false">dps*Sens!$E$6481</f>
        <v>0</v>
      </c>
      <c r="F6502" s="38" t="n">
        <f aca="false">0</f>
        <v>0</v>
      </c>
      <c r="G6502" s="38" t="n">
        <f aca="false">dps*Sens!$G$6481</f>
        <v>0</v>
      </c>
      <c r="H6502" s="38" t="n">
        <f aca="false">dps*Sens!$H$6481</f>
        <v>0</v>
      </c>
      <c r="I6502" s="38" t="n">
        <f aca="false">dps*Sens!$I$6481</f>
        <v>0</v>
      </c>
      <c r="J6502" s="38" t="n">
        <f aca="false">dps*Sens!$J$6481</f>
        <v>0</v>
      </c>
      <c r="K6502" s="38" t="n">
        <f aca="false">dps*Sens!$K$6481</f>
        <v>0</v>
      </c>
      <c r="L6502" s="38" t="n">
        <f aca="false">dps*Sens!$L$6481</f>
        <v>0</v>
      </c>
      <c r="M6502" s="38" t="n">
        <f aca="false">dps*Sens!$M$6481</f>
        <v>0</v>
      </c>
      <c r="P6502" s="8" t="s">
        <v>789</v>
      </c>
    </row>
    <row r="6503" customFormat="false" ht="17.15" hidden="false" customHeight="false" outlineLevel="0" collapsed="false">
      <c r="A6503" s="5" t="s">
        <v>790</v>
      </c>
      <c r="B6503" s="0" t="s">
        <v>86</v>
      </c>
      <c r="C6503" s="38" t="n">
        <f aca="false">0</f>
        <v>0</v>
      </c>
      <c r="D6503" s="38" t="n">
        <f aca="false">0</f>
        <v>0</v>
      </c>
      <c r="E6503" s="38" t="n">
        <f aca="false">0</f>
        <v>0</v>
      </c>
      <c r="F6503" s="38" t="n">
        <f aca="false">0</f>
        <v>0</v>
      </c>
      <c r="G6503" s="38" t="n">
        <f aca="false">0</f>
        <v>0</v>
      </c>
      <c r="H6503" s="38" t="n">
        <f aca="false">0</f>
        <v>0</v>
      </c>
      <c r="I6503" s="38" t="n">
        <f aca="false">0</f>
        <v>0</v>
      </c>
      <c r="J6503" s="38" t="n">
        <f aca="false">0</f>
        <v>0</v>
      </c>
      <c r="K6503" s="38" t="n">
        <f aca="false">0</f>
        <v>0</v>
      </c>
      <c r="L6503" s="38" t="n">
        <f aca="false">0</f>
        <v>0</v>
      </c>
      <c r="M6503" s="38" t="n">
        <f aca="false">0</f>
        <v>0</v>
      </c>
      <c r="P6503" s="8" t="s">
        <v>791</v>
      </c>
    </row>
    <row r="6504" customFormat="false" ht="15" hidden="false" customHeight="false" outlineLevel="0" collapsed="false">
      <c r="A6504" s="3" t="s">
        <v>792</v>
      </c>
      <c r="B6504" s="8" t="s">
        <v>86</v>
      </c>
      <c r="C6504" s="38" t="n">
        <f aca="false">Sens!$C$6501-Sens!$C$6502</f>
        <v>36.176</v>
      </c>
      <c r="D6504" s="38" t="n">
        <f aca="false">Sens!$D$6501-Sens!$D$6502</f>
        <v>9.63700000000002</v>
      </c>
      <c r="E6504" s="38" t="n">
        <f aca="false">Sens!$E$6501-Sens!$E$6502</f>
        <v>-25.691</v>
      </c>
      <c r="F6504" s="38" t="n">
        <f aca="false">Sens!$F$6501-Sens!$F$6502</f>
        <v>-40.6834130116072</v>
      </c>
      <c r="G6504" s="38" t="n">
        <f aca="false">Sens!$G$6501-Sens!$G$6502</f>
        <v>-66.3744130116072</v>
      </c>
      <c r="H6504" s="38" t="n">
        <f aca="false">Sens!$H$6501-Sens!$H$6502</f>
        <v>-53.9928646435014</v>
      </c>
      <c r="I6504" s="38" t="n">
        <f aca="false">Sens!$I$6501-Sens!$I$6502</f>
        <v>-15.5451348078424</v>
      </c>
      <c r="J6504" s="38" t="n">
        <f aca="false">Sens!$J$6501-Sens!$J$6502</f>
        <v>24.754490675283</v>
      </c>
      <c r="K6504" s="38" t="n">
        <f aca="false">Sens!$K$6501-Sens!$K$6502</f>
        <v>121.351913203336</v>
      </c>
      <c r="L6504" s="38" t="n">
        <f aca="false">Sens!$L$6501-Sens!$L$6502</f>
        <v>179.827806639524</v>
      </c>
      <c r="M6504" s="38" t="n">
        <f aca="false">Sens!$M$6501-Sens!$M$6502</f>
        <v>208.6661428466</v>
      </c>
    </row>
    <row r="6505" customFormat="false" ht="17.15" hidden="false" customHeight="false" outlineLevel="0" collapsed="false">
      <c r="A6505" s="5" t="s">
        <v>793</v>
      </c>
      <c r="B6505" s="0" t="s">
        <v>86</v>
      </c>
      <c r="E6505" s="38" t="n">
        <f aca="false">Q!$P$53</f>
        <v>39.767</v>
      </c>
      <c r="F6505" s="38" t="n">
        <f aca="false">inv_2h26</f>
        <v>21.3</v>
      </c>
      <c r="G6505" s="38" t="n">
        <f aca="false">Sens!$E$6505+Sens!$F$6505</f>
        <v>61.067</v>
      </c>
      <c r="H6505" s="39" t="n">
        <v>0</v>
      </c>
      <c r="I6505" s="39" t="n">
        <v>0</v>
      </c>
      <c r="J6505" s="39" t="n">
        <v>0</v>
      </c>
      <c r="K6505" s="39" t="n">
        <v>0</v>
      </c>
      <c r="L6505" s="39" t="n">
        <v>0</v>
      </c>
      <c r="M6505" s="39" t="n">
        <v>0</v>
      </c>
    </row>
    <row r="6506" customFormat="false" ht="17.15" hidden="false" customHeight="false" outlineLevel="0" collapsed="false">
      <c r="A6506" s="5" t="s">
        <v>794</v>
      </c>
      <c r="B6506" s="0" t="s">
        <v>86</v>
      </c>
      <c r="F6506" s="38" t="n">
        <f aca="false">iss_2h26</f>
        <v>29.249999</v>
      </c>
      <c r="G6506" s="38" t="n">
        <f aca="false">Sens!$F$6506</f>
        <v>29.249999</v>
      </c>
      <c r="H6506" s="39" t="n">
        <v>0</v>
      </c>
      <c r="I6506" s="39" t="n">
        <v>0</v>
      </c>
      <c r="J6506" s="39" t="n">
        <v>0</v>
      </c>
      <c r="K6506" s="39" t="n">
        <v>0</v>
      </c>
      <c r="L6506" s="39" t="n">
        <v>0</v>
      </c>
      <c r="M6506" s="39" t="n">
        <v>0</v>
      </c>
    </row>
    <row r="6507" customFormat="false" ht="17.15" hidden="false" customHeight="false" outlineLevel="0" collapsed="false">
      <c r="A6507" s="5" t="s">
        <v>795</v>
      </c>
      <c r="B6507" s="0" t="s">
        <v>86</v>
      </c>
      <c r="F6507" s="38" t="n">
        <f aca="false">cash_q2</f>
        <v>122.988</v>
      </c>
      <c r="G6507" s="38" t="n">
        <f aca="false">cash_q2</f>
        <v>122.988</v>
      </c>
      <c r="H6507" s="38" t="n">
        <f aca="false">Sens!$G$6510</f>
        <v>90.2545859883928</v>
      </c>
      <c r="I6507" s="38" t="n">
        <f aca="false">Sens!$H$6510</f>
        <v>50</v>
      </c>
      <c r="J6507" s="38" t="n">
        <f aca="false">Sens!$I$6510</f>
        <v>50</v>
      </c>
      <c r="K6507" s="38" t="n">
        <f aca="false">Sens!$J$6510</f>
        <v>74.7544906752831</v>
      </c>
      <c r="L6507" s="38" t="n">
        <f aca="false">Sens!$K$6510</f>
        <v>196.106403878619</v>
      </c>
      <c r="M6507" s="38" t="n">
        <f aca="false">Sens!$L$6510</f>
        <v>375.934210518143</v>
      </c>
    </row>
    <row r="6508" customFormat="false" ht="15" hidden="false" customHeight="false" outlineLevel="0" collapsed="false">
      <c r="A6508" s="5" t="s">
        <v>796</v>
      </c>
      <c r="B6508" s="0" t="s">
        <v>86</v>
      </c>
      <c r="F6508" s="38" t="n">
        <f aca="false">Sens!$F$6507+Sens!$F$6504-Sens!$F$6503-Sens!$F$6505+Sens!$F$6506</f>
        <v>90.2545859883928</v>
      </c>
      <c r="H6508" s="38" t="n">
        <f aca="false">Sens!$H$6507+Sens!$H$6504-Sens!$H$6503-Sens!$H$6505+Sens!$H$6506</f>
        <v>36.2617213448915</v>
      </c>
      <c r="I6508" s="38" t="n">
        <f aca="false">Sens!$I$6507+Sens!$I$6504-Sens!$I$6503-Sens!$I$6505+Sens!$I$6506</f>
        <v>34.4548651921577</v>
      </c>
      <c r="J6508" s="38" t="n">
        <f aca="false">Sens!$J$6507+Sens!$J$6504-Sens!$J$6503-Sens!$J$6505+Sens!$J$6506</f>
        <v>74.7544906752831</v>
      </c>
      <c r="K6508" s="38" t="n">
        <f aca="false">Sens!$K$6507+Sens!$K$6504-Sens!$K$6503-Sens!$K$6505+Sens!$K$6506</f>
        <v>196.106403878619</v>
      </c>
      <c r="L6508" s="38" t="n">
        <f aca="false">Sens!$L$6507+Sens!$L$6504-Sens!$L$6503-Sens!$L$6505+Sens!$L$6506</f>
        <v>375.934210518143</v>
      </c>
      <c r="M6508" s="38" t="n">
        <f aca="false">Sens!$M$6507+Sens!$M$6504-Sens!$M$6503-Sens!$M$6505+Sens!$M$6506</f>
        <v>584.600353364743</v>
      </c>
    </row>
    <row r="6509" customFormat="false" ht="17.15" hidden="false" customHeight="false" outlineLevel="0" collapsed="false">
      <c r="A6509" s="5" t="s">
        <v>797</v>
      </c>
      <c r="B6509" s="0" t="s">
        <v>86</v>
      </c>
      <c r="F6509" s="38" t="n">
        <f aca="false">MAX(0,min_cash-Sens!$F$6508)</f>
        <v>0</v>
      </c>
      <c r="G6509" s="38" t="n">
        <f aca="false">Sens!$F$6509</f>
        <v>0</v>
      </c>
      <c r="H6509" s="38" t="n">
        <f aca="false">MAX(0,min_cash-Sens!$H$6508)</f>
        <v>13.7382786551085</v>
      </c>
      <c r="I6509" s="38" t="n">
        <f aca="false">MAX(0,min_cash-Sens!$I$6508)</f>
        <v>15.5451348078424</v>
      </c>
      <c r="J6509" s="38" t="n">
        <f aca="false">MAX(0,min_cash-Sens!$J$6508)</f>
        <v>0</v>
      </c>
      <c r="K6509" s="38" t="n">
        <f aca="false">MAX(0,min_cash-Sens!$K$6508)</f>
        <v>0</v>
      </c>
      <c r="L6509" s="38" t="n">
        <f aca="false">MAX(0,min_cash-Sens!$L$6508)</f>
        <v>0</v>
      </c>
      <c r="M6509" s="38" t="n">
        <f aca="false">MAX(0,min_cash-Sens!$M$6508)</f>
        <v>0</v>
      </c>
      <c r="P6509" s="5" t="s">
        <v>798</v>
      </c>
    </row>
    <row r="6510" customFormat="false" ht="15" hidden="false" customHeight="false" outlineLevel="0" collapsed="false">
      <c r="A6510" s="5" t="s">
        <v>799</v>
      </c>
      <c r="B6510" s="0" t="s">
        <v>86</v>
      </c>
      <c r="D6510" s="38" t="n">
        <f aca="false">Q!$E$61</f>
        <v>123.029</v>
      </c>
      <c r="E6510" s="38" t="n">
        <f aca="false">Q!$M$61</f>
        <v>122.988</v>
      </c>
      <c r="F6510" s="38" t="n">
        <f aca="false">Sens!$F$6508+Sens!$F$6509</f>
        <v>90.2545859883928</v>
      </c>
      <c r="G6510" s="38" t="n">
        <f aca="false">Sens!$F$6510</f>
        <v>90.2545859883928</v>
      </c>
      <c r="H6510" s="38" t="n">
        <f aca="false">Sens!$H$6508+Sens!$H$6509</f>
        <v>50</v>
      </c>
      <c r="I6510" s="38" t="n">
        <f aca="false">Sens!$I$6508+Sens!$I$6509</f>
        <v>50</v>
      </c>
      <c r="J6510" s="38" t="n">
        <f aca="false">Sens!$J$6508+Sens!$J$6509</f>
        <v>74.7544906752831</v>
      </c>
      <c r="K6510" s="38" t="n">
        <f aca="false">Sens!$K$6508+Sens!$K$6509</f>
        <v>196.106403878619</v>
      </c>
      <c r="L6510" s="38" t="n">
        <f aca="false">Sens!$L$6508+Sens!$L$6509</f>
        <v>375.934210518143</v>
      </c>
      <c r="M6510" s="38" t="n">
        <f aca="false">Sens!$M$6508+Sens!$M$6509</f>
        <v>584.600353364743</v>
      </c>
    </row>
    <row r="6511" customFormat="false" ht="15" hidden="false" customHeight="false" outlineLevel="0" collapsed="false">
      <c r="A6511" s="5" t="s">
        <v>800</v>
      </c>
      <c r="B6511" s="0" t="s">
        <v>86</v>
      </c>
      <c r="D6511" s="38" t="n">
        <f aca="false">Q!$E$62</f>
        <v>68.836</v>
      </c>
      <c r="E6511" s="38" t="n">
        <f aca="false">Q!$M$62</f>
        <v>132.995</v>
      </c>
      <c r="F6511" s="38" t="n">
        <f aca="false">debt_q2+Sens!$F$6506+Sens!$F$6509</f>
        <v>162.244999</v>
      </c>
      <c r="G6511" s="38" t="n">
        <f aca="false">Sens!$F$6511</f>
        <v>162.244999</v>
      </c>
      <c r="H6511" s="38" t="n">
        <f aca="false">Sens!$G$6511+Sens!$H$6509</f>
        <v>175.983277655109</v>
      </c>
      <c r="I6511" s="38" t="n">
        <f aca="false">Sens!$H$6511+Sens!$I$6509</f>
        <v>191.528412462951</v>
      </c>
      <c r="J6511" s="38" t="n">
        <f aca="false">Sens!$I$6511+Sens!$J$6509</f>
        <v>191.528412462951</v>
      </c>
      <c r="K6511" s="38" t="n">
        <f aca="false">Sens!$J$6511+Sens!$K$6509</f>
        <v>191.528412462951</v>
      </c>
      <c r="L6511" s="38" t="n">
        <f aca="false">Sens!$K$6511+Sens!$L$6509</f>
        <v>191.528412462951</v>
      </c>
      <c r="M6511" s="38" t="n">
        <f aca="false">Sens!$L$6511+Sens!$M$6509</f>
        <v>191.528412462951</v>
      </c>
    </row>
    <row r="6512" customFormat="false" ht="15" hidden="false" customHeight="false" outlineLevel="0" collapsed="false">
      <c r="A6512" s="5" t="s">
        <v>801</v>
      </c>
      <c r="B6512" s="0" t="s">
        <v>86</v>
      </c>
      <c r="D6512" s="38" t="n">
        <f aca="false">Sens!$D$6511-Sens!$D$6510</f>
        <v>-54.193</v>
      </c>
      <c r="E6512" s="38" t="n">
        <f aca="false">Sens!$E$6511-Sens!$E$6510</f>
        <v>10.007</v>
      </c>
      <c r="F6512" s="38" t="n">
        <f aca="false">Sens!$F$6511-Sens!$F$6510</f>
        <v>71.9904130116072</v>
      </c>
      <c r="G6512" s="38" t="n">
        <f aca="false">Sens!$G$6511-Sens!$G$6510</f>
        <v>71.9904130116072</v>
      </c>
      <c r="H6512" s="38" t="n">
        <f aca="false">Sens!$H$6511-Sens!$H$6510</f>
        <v>125.983277655109</v>
      </c>
      <c r="I6512" s="38" t="n">
        <f aca="false">Sens!$I$6511-Sens!$I$6510</f>
        <v>141.528412462951</v>
      </c>
      <c r="J6512" s="38" t="n">
        <f aca="false">Sens!$J$6511-Sens!$J$6510</f>
        <v>116.773921787668</v>
      </c>
      <c r="K6512" s="38" t="n">
        <f aca="false">Sens!$K$6511-Sens!$K$6510</f>
        <v>-4.57799141566841</v>
      </c>
      <c r="L6512" s="38" t="n">
        <f aca="false">Sens!$L$6511-Sens!$L$6510</f>
        <v>-184.405798055192</v>
      </c>
      <c r="M6512" s="38" t="n">
        <f aca="false">Sens!$M$6511-Sens!$M$6510</f>
        <v>-393.071940901792</v>
      </c>
    </row>
    <row r="6513" customFormat="false" ht="17.15" hidden="false" customHeight="false" outlineLevel="0" collapsed="false">
      <c r="A6513" s="5" t="s">
        <v>802</v>
      </c>
      <c r="B6513" s="0" t="s">
        <v>86</v>
      </c>
      <c r="F6513" s="38" t="n">
        <f aca="false">debt_q2*kd_book*0.5+iss_2h26*kd_new*iss_t</f>
        <v>3.24888962733561</v>
      </c>
      <c r="H6513" s="38" t="n">
        <f aca="false">debt_q2*kd_book+(Sens!$G$6511-debt_q2)*kd_new</f>
        <v>7.42354172302123</v>
      </c>
      <c r="I6513" s="38" t="n">
        <f aca="false">debt_q2*kd_book+(Sens!$H$6511-debt_q2)*kd_new</f>
        <v>8.2931747618896</v>
      </c>
      <c r="J6513" s="38" t="n">
        <f aca="false">debt_q2*kd_book+(Sens!$I$6511-debt_q2)*kd_new</f>
        <v>9.27718179522602</v>
      </c>
      <c r="K6513" s="38" t="n">
        <f aca="false">debt_q2*kd_book+(Sens!$J$6511-debt_q2)*kd_new</f>
        <v>9.27718179522602</v>
      </c>
      <c r="L6513" s="38" t="n">
        <f aca="false">debt_q2*kd_book+(Sens!$K$6511-debt_q2)*kd_new</f>
        <v>9.27718179522602</v>
      </c>
      <c r="M6513" s="38" t="n">
        <f aca="false">debt_q2*kd_book+(Sens!$L$6511-debt_q2)*kd_new</f>
        <v>9.27718179522602</v>
      </c>
    </row>
    <row r="6514" customFormat="false" ht="17.15" hidden="false" customHeight="false" outlineLevel="0" collapsed="false">
      <c r="A6514" s="5" t="s">
        <v>803</v>
      </c>
      <c r="B6514" s="0" t="s">
        <v>86</v>
      </c>
      <c r="F6514" s="38" t="n">
        <f aca="false">cash_q2*y_cash*0.5</f>
        <v>2.59</v>
      </c>
      <c r="H6514" s="38" t="n">
        <f aca="false">Sens!$G$6510*y_cash</f>
        <v>3.80133635330174</v>
      </c>
      <c r="I6514" s="38" t="n">
        <f aca="false">Sens!$H$6510*y_cash</f>
        <v>2.10589651022864</v>
      </c>
      <c r="J6514" s="38" t="n">
        <f aca="false">Sens!$I$6510*y_cash</f>
        <v>2.10589651022864</v>
      </c>
      <c r="K6514" s="38" t="n">
        <f aca="false">Sens!$J$6510*y_cash</f>
        <v>3.14850442073996</v>
      </c>
      <c r="L6514" s="38" t="n">
        <f aca="false">Sens!$K$6510*y_cash</f>
        <v>8.25959583122945</v>
      </c>
      <c r="M6514" s="38" t="n">
        <f aca="false">Sens!$L$6510*y_cash</f>
        <v>15.8335708401143</v>
      </c>
    </row>
    <row r="6515" customFormat="false" ht="17.15" hidden="false" customHeight="false" outlineLevel="0" collapsed="false">
      <c r="A6515" s="47" t="s">
        <v>804</v>
      </c>
      <c r="B6515" s="14" t="s">
        <v>86</v>
      </c>
      <c r="C6515" s="14"/>
      <c r="D6515" s="14"/>
      <c r="E6515" s="14"/>
      <c r="F6515" s="14"/>
      <c r="G6515" s="48" t="n">
        <f aca="false">SUM(Sens!$G$6504:$K$6504)</f>
        <v>10.1939914156684</v>
      </c>
      <c r="H6515" s="14"/>
      <c r="I6515" s="14"/>
      <c r="J6515" s="14"/>
      <c r="K6515" s="14"/>
      <c r="L6515" s="14"/>
      <c r="M6515" s="14"/>
      <c r="N6515" s="14"/>
      <c r="O6515" s="14"/>
    </row>
    <row r="6516" customFormat="false" ht="17.15" hidden="false" customHeight="false" outlineLevel="0" collapsed="false">
      <c r="A6516" s="0" t="s">
        <v>770</v>
      </c>
      <c r="B6516" s="0" t="s">
        <v>86</v>
      </c>
      <c r="G6516" s="38" t="n">
        <f aca="false">SUM(Sens!$G$6509:$K$6509)</f>
        <v>29.2834134629509</v>
      </c>
    </row>
    <row r="6517" customFormat="false" ht="17.15" hidden="false" customHeight="false" outlineLevel="0" collapsed="false">
      <c r="A6517" s="24" t="s">
        <v>807</v>
      </c>
      <c r="B6517" s="25" t="s">
        <v>86</v>
      </c>
      <c r="C6517" s="25"/>
      <c r="D6517" s="25"/>
      <c r="E6517" s="25"/>
      <c r="F6517" s="25"/>
      <c r="G6517" s="41" t="n">
        <f aca="false">Sens!$G$6515-(Sens!$G$6504+Sens!$H$6504+Sens!$I$6504+Sens!$J$6504+Sens!$K$6504)</f>
        <v>0</v>
      </c>
      <c r="H6517" s="25"/>
      <c r="I6517" s="25"/>
      <c r="J6517" s="25"/>
      <c r="K6517" s="25"/>
      <c r="L6517" s="25"/>
      <c r="M6517" s="25"/>
      <c r="N6517" s="25"/>
      <c r="O6517" s="25"/>
    </row>
    <row r="6520" customFormat="false" ht="19.4" hidden="false" customHeight="false" outlineLevel="0" collapsed="false">
      <c r="A6520" s="31" t="s">
        <v>1261</v>
      </c>
    </row>
    <row r="6521" customFormat="false" ht="17.15" hidden="false" customHeight="false" outlineLevel="0" collapsed="false">
      <c r="A6521" s="6" t="s">
        <v>16</v>
      </c>
      <c r="B6521" s="6" t="s">
        <v>17</v>
      </c>
      <c r="C6521" s="20" t="s">
        <v>494</v>
      </c>
      <c r="D6521" s="20" t="s">
        <v>495</v>
      </c>
      <c r="E6521" s="20" t="s">
        <v>577</v>
      </c>
      <c r="F6521" s="20" t="s">
        <v>578</v>
      </c>
      <c r="G6521" s="20" t="s">
        <v>579</v>
      </c>
      <c r="H6521" s="20" t="s">
        <v>580</v>
      </c>
      <c r="I6521" s="20" t="s">
        <v>581</v>
      </c>
      <c r="J6521" s="20" t="s">
        <v>582</v>
      </c>
      <c r="K6521" s="20" t="s">
        <v>583</v>
      </c>
      <c r="L6521" s="20" t="s">
        <v>584</v>
      </c>
      <c r="M6521" s="20" t="s">
        <v>585</v>
      </c>
      <c r="N6521" s="20" t="s">
        <v>586</v>
      </c>
      <c r="O6521" s="20" t="s">
        <v>587</v>
      </c>
      <c r="P6521" s="6" t="s">
        <v>23</v>
      </c>
      <c r="R6521" s="20" t="n">
        <v>2023</v>
      </c>
      <c r="S6521" s="20" t="n">
        <v>2024</v>
      </c>
      <c r="T6521" s="20" t="n">
        <v>2025</v>
      </c>
      <c r="U6521" s="20" t="n">
        <v>2026</v>
      </c>
      <c r="V6521" s="20" t="n">
        <v>2027</v>
      </c>
      <c r="W6521" s="20" t="n">
        <v>2028</v>
      </c>
      <c r="X6521" s="20" t="n">
        <v>2029</v>
      </c>
      <c r="Y6521" s="20" t="n">
        <v>2030</v>
      </c>
      <c r="Z6521" s="20" t="n">
        <v>2031</v>
      </c>
      <c r="AA6521" s="20" t="n">
        <v>2032</v>
      </c>
    </row>
    <row r="6522" customFormat="false" ht="17.15" hidden="false" customHeight="false" outlineLevel="0" collapsed="false">
      <c r="A6522" s="1" t="s">
        <v>909</v>
      </c>
    </row>
    <row r="6523" customFormat="false" ht="17.15" hidden="false" customHeight="false" outlineLevel="0" collapsed="false">
      <c r="A6523" s="0" t="s">
        <v>910</v>
      </c>
      <c r="B6523" s="0" t="s">
        <v>86</v>
      </c>
      <c r="H6523" s="38" t="n">
        <f aca="false">Sens!$H$6457*(1-tax)</f>
        <v>117.433243423729</v>
      </c>
      <c r="I6523" s="38" t="n">
        <f aca="false">Sens!$I$6457*(1-tax)</f>
        <v>142.829109667048</v>
      </c>
      <c r="J6523" s="38" t="n">
        <f aca="false">Sens!$J$6457*(1-tax)</f>
        <v>166.999275189185</v>
      </c>
      <c r="K6523" s="38" t="n">
        <f aca="false">Sens!$K$6457*(1-tax)</f>
        <v>184.249088119477</v>
      </c>
      <c r="L6523" s="38" t="n">
        <f aca="false">Sens!$L$6457*(1-tax)</f>
        <v>199.752821326616</v>
      </c>
      <c r="M6523" s="38" t="n">
        <f aca="false">Sens!$M$6457*(1-tax)</f>
        <v>212.59629763103</v>
      </c>
    </row>
    <row r="6524" customFormat="false" ht="15" hidden="false" customHeight="false" outlineLevel="0" collapsed="false">
      <c r="A6524" s="5" t="s">
        <v>911</v>
      </c>
      <c r="B6524" s="0" t="s">
        <v>86</v>
      </c>
      <c r="H6524" s="38" t="n">
        <f aca="false">Sens!$H$6468</f>
        <v>84.3163410985152</v>
      </c>
      <c r="I6524" s="38" t="n">
        <f aca="false">Sens!$I$6468</f>
        <v>117.040344991004</v>
      </c>
      <c r="J6524" s="38" t="n">
        <f aca="false">Sens!$J$6468</f>
        <v>150.498981474685</v>
      </c>
      <c r="K6524" s="38" t="n">
        <f aca="false">Sens!$K$6468</f>
        <v>184.188121970284</v>
      </c>
      <c r="L6524" s="38" t="n">
        <f aca="false">Sens!$L$6468</f>
        <v>207.768718060808</v>
      </c>
      <c r="M6524" s="38" t="n">
        <f aca="false">Sens!$M$6468</f>
        <v>224.003934647752</v>
      </c>
    </row>
    <row r="6525" customFormat="false" ht="15" hidden="false" customHeight="false" outlineLevel="0" collapsed="false">
      <c r="A6525" s="5" t="s">
        <v>912</v>
      </c>
      <c r="B6525" s="0" t="s">
        <v>86</v>
      </c>
      <c r="H6525" s="38" t="n">
        <f aca="false">Sens!$H$6499</f>
        <v>273.372679834898</v>
      </c>
      <c r="I6525" s="38" t="n">
        <f aca="false">Sens!$I$6499</f>
        <v>286.981812228425</v>
      </c>
      <c r="J6525" s="38" t="n">
        <f aca="false">Sens!$J$6499</f>
        <v>299.316513378366</v>
      </c>
      <c r="K6525" s="38" t="n">
        <f aca="false">Sens!$K$6499</f>
        <v>251.057145512292</v>
      </c>
      <c r="L6525" s="38" t="n">
        <f aca="false">Sens!$L$6499</f>
        <v>234.696330860396</v>
      </c>
      <c r="M6525" s="38" t="n">
        <f aca="false">Sens!$M$6499</f>
        <v>242.291696043352</v>
      </c>
    </row>
    <row r="6526" customFormat="false" ht="15" hidden="false" customHeight="false" outlineLevel="0" collapsed="false">
      <c r="A6526" s="5" t="s">
        <v>913</v>
      </c>
      <c r="B6526" s="0" t="s">
        <v>86</v>
      </c>
      <c r="H6526" s="38" t="n">
        <f aca="false">Sens!$H$6500</f>
        <v>1.6</v>
      </c>
      <c r="I6526" s="38" t="n">
        <f aca="false">Sens!$I$6500</f>
        <v>1.6</v>
      </c>
      <c r="J6526" s="38" t="n">
        <f aca="false">Sens!$J$6500</f>
        <v>1.6</v>
      </c>
      <c r="K6526" s="38" t="n">
        <f aca="false">Sens!$K$6500</f>
        <v>1.6</v>
      </c>
      <c r="L6526" s="38" t="n">
        <f aca="false">Sens!$L$6500</f>
        <v>1.6</v>
      </c>
      <c r="M6526" s="38" t="n">
        <f aca="false">Sens!$M$6500</f>
        <v>1.6</v>
      </c>
    </row>
    <row r="6527" customFormat="false" ht="15" hidden="false" customHeight="false" outlineLevel="0" collapsed="false">
      <c r="A6527" s="5" t="s">
        <v>914</v>
      </c>
      <c r="B6527" s="0" t="s">
        <v>86</v>
      </c>
      <c r="H6527" s="38" t="n">
        <f aca="false">Sens!$H$6494</f>
        <v>11.2928295263397</v>
      </c>
      <c r="I6527" s="38" t="n">
        <f aca="false">Sens!$I$6494</f>
        <v>12.8091546115766</v>
      </c>
      <c r="J6527" s="38" t="n">
        <f aca="false">Sens!$J$6494</f>
        <v>14.2605653162668</v>
      </c>
      <c r="K6527" s="38" t="n">
        <f aca="false">Sens!$K$6494</f>
        <v>15.5327622460396</v>
      </c>
      <c r="L6527" s="38" t="n">
        <f aca="false">Sens!$L$6494</f>
        <v>16.720573737517</v>
      </c>
      <c r="M6527" s="38" t="n">
        <f aca="false">Sens!$M$6494</f>
        <v>17.8283127551536</v>
      </c>
    </row>
    <row r="6528" customFormat="false" ht="17.15" hidden="false" customHeight="false" outlineLevel="0" collapsed="false">
      <c r="A6528" s="1" t="s">
        <v>915</v>
      </c>
      <c r="B6528" s="8" t="s">
        <v>86</v>
      </c>
      <c r="H6528" s="38" t="n">
        <f aca="false">Sens!$H$6523+Sens!$H$6524-Sens!$H$6525-Sens!$H$6526+Sens!$H$6527</f>
        <v>-61.930265786314</v>
      </c>
      <c r="I6528" s="38" t="n">
        <f aca="false">Sens!$I$6523+Sens!$I$6524-Sens!$I$6525-Sens!$I$6526+Sens!$I$6527</f>
        <v>-15.9032029587969</v>
      </c>
      <c r="J6528" s="38" t="n">
        <f aca="false">Sens!$J$6523+Sens!$J$6524-Sens!$J$6525-Sens!$J$6526+Sens!$J$6527</f>
        <v>30.8423086017711</v>
      </c>
      <c r="K6528" s="38" t="n">
        <f aca="false">Sens!$K$6523+Sens!$K$6524-Sens!$K$6525-Sens!$K$6526+Sens!$K$6527</f>
        <v>131.312826823508</v>
      </c>
      <c r="L6528" s="38" t="n">
        <f aca="false">Sens!$L$6523+Sens!$L$6524-Sens!$L$6525-Sens!$L$6526+Sens!$L$6527</f>
        <v>187.945782264545</v>
      </c>
      <c r="M6528" s="38" t="n">
        <f aca="false">Sens!$M$6523+Sens!$M$6524-Sens!$M$6525-Sens!$M$6526+Sens!$M$6527</f>
        <v>210.536848990583</v>
      </c>
    </row>
    <row r="6529" customFormat="false" ht="15" hidden="false" customHeight="false" outlineLevel="0" collapsed="false">
      <c r="A6529" s="5" t="s">
        <v>916</v>
      </c>
      <c r="B6529" s="0" t="s">
        <v>57</v>
      </c>
      <c r="H6529" s="40" t="n">
        <f aca="false">1/(1+wacc)^(2027-2026-0.5)</f>
        <v>0.947751320380232</v>
      </c>
      <c r="I6529" s="40" t="n">
        <f aca="false">1/(1+wacc)^(2028-2026-0.5)</f>
        <v>0.851301099754987</v>
      </c>
      <c r="J6529" s="40" t="n">
        <f aca="false">1/(1+wacc)^(2029-2026-0.5)</f>
        <v>0.764666370660713</v>
      </c>
      <c r="K6529" s="40" t="n">
        <f aca="false">1/(1+wacc)^(2030-2026-0.5)</f>
        <v>0.686848235703811</v>
      </c>
      <c r="L6529" s="40" t="n">
        <f aca="false">1/(1+wacc)^(2031-2026-0.5)</f>
        <v>0.616949452715975</v>
      </c>
      <c r="M6529" s="40" t="n">
        <f aca="false">1/(1+wacc)^(2032-2026-0.5)</f>
        <v>0.554164089562688</v>
      </c>
    </row>
    <row r="6530" customFormat="false" ht="15" hidden="false" customHeight="false" outlineLevel="0" collapsed="false">
      <c r="A6530" s="5" t="s">
        <v>917</v>
      </c>
      <c r="B6530" s="0" t="s">
        <v>86</v>
      </c>
      <c r="H6530" s="38" t="n">
        <f aca="false">Sens!$H$6528*Sens!$H$6529</f>
        <v>-58.6944911704778</v>
      </c>
      <c r="I6530" s="38" t="n">
        <f aca="false">Sens!$I$6528*Sens!$I$6529</f>
        <v>-13.5384141684505</v>
      </c>
      <c r="J6530" s="38" t="n">
        <f aca="false">Sens!$J$6528*Sens!$J$6529</f>
        <v>23.584076181314</v>
      </c>
      <c r="K6530" s="38" t="n">
        <f aca="false">Sens!$K$6528*Sens!$K$6529</f>
        <v>90.1919834290062</v>
      </c>
      <c r="L6530" s="38" t="n">
        <f aca="false">Sens!$L$6528*Sens!$L$6529</f>
        <v>115.953047508387</v>
      </c>
      <c r="M6530" s="38" t="n">
        <f aca="false">Sens!$M$6528*Sens!$M$6529</f>
        <v>116.671961240264</v>
      </c>
    </row>
    <row r="6531" customFormat="false" ht="15" hidden="false" customHeight="false" outlineLevel="0" collapsed="false">
      <c r="A6531" s="5" t="s">
        <v>918</v>
      </c>
      <c r="B6531" s="0" t="s">
        <v>86</v>
      </c>
      <c r="C6531" s="38" t="n">
        <f aca="false">SUM(Sens!$H$6530:$M$6530)</f>
        <v>274.168163020043</v>
      </c>
    </row>
    <row r="6532" customFormat="false" ht="17.15" hidden="false" customHeight="false" outlineLevel="0" collapsed="false">
      <c r="A6532" s="5" t="s">
        <v>919</v>
      </c>
      <c r="B6532" s="0" t="s">
        <v>86</v>
      </c>
      <c r="C6532" s="38" t="n">
        <f aca="false">Sens!$M$6523*(1+tg)*(1-tg/ronic)/(wacc-tg)</f>
        <v>1932.73757828664</v>
      </c>
    </row>
    <row r="6533" customFormat="false" ht="15" hidden="false" customHeight="false" outlineLevel="0" collapsed="false">
      <c r="A6533" s="5" t="s">
        <v>920</v>
      </c>
      <c r="B6533" s="0" t="s">
        <v>86</v>
      </c>
      <c r="C6533" s="38" t="n">
        <f aca="false">Sens!$C$6532/(1+wacc)^6</f>
        <v>1015.09261565031</v>
      </c>
    </row>
    <row r="6534" customFormat="false" ht="17.15" hidden="false" customHeight="false" outlineLevel="0" collapsed="false">
      <c r="A6534" s="5" t="s">
        <v>921</v>
      </c>
      <c r="B6534" s="0" t="s">
        <v>86</v>
      </c>
      <c r="C6534" s="38" t="n">
        <f aca="false">Sens!$C$6531+Sens!$C$6533</f>
        <v>1289.26077867035</v>
      </c>
    </row>
    <row r="6535" customFormat="false" ht="17.15" hidden="false" customHeight="false" outlineLevel="0" collapsed="false">
      <c r="A6535" s="5" t="s">
        <v>922</v>
      </c>
      <c r="B6535" s="0" t="s">
        <v>52</v>
      </c>
      <c r="C6535" s="13" t="n">
        <f aca="false">Sens!$C$6533/Sens!$C$6534</f>
        <v>0.787344680334726</v>
      </c>
    </row>
    <row r="6536" customFormat="false" ht="17.15" hidden="false" customHeight="false" outlineLevel="0" collapsed="false">
      <c r="A6536" s="5" t="s">
        <v>923</v>
      </c>
      <c r="B6536" s="0" t="s">
        <v>86</v>
      </c>
      <c r="C6536" s="38" t="n">
        <f aca="false">Sens!$G$6512+fin_debt</f>
        <v>96.5114130116072</v>
      </c>
    </row>
    <row r="6537" customFormat="false" ht="17.15" hidden="false" customHeight="false" outlineLevel="0" collapsed="false">
      <c r="A6537" s="5" t="s">
        <v>924</v>
      </c>
      <c r="B6537" s="0" t="s">
        <v>86</v>
      </c>
      <c r="C6537" s="38" t="n">
        <f aca="false">(ant_val*ant_sh+oai_val*oai_sh)*(1-liq_disc)</f>
        <v>178.944</v>
      </c>
    </row>
    <row r="6538" customFormat="false" ht="15" hidden="false" customHeight="false" outlineLevel="0" collapsed="false">
      <c r="A6538" s="5" t="s">
        <v>925</v>
      </c>
      <c r="B6538" s="0" t="s">
        <v>86</v>
      </c>
      <c r="C6538" s="38" t="n">
        <f aca="false">Sens!$C$6534-Sens!$C$6536+Sens!$C$6537</f>
        <v>1371.69336565874</v>
      </c>
    </row>
    <row r="6539" customFormat="false" ht="17.15" hidden="false" customHeight="false" outlineLevel="0" collapsed="false">
      <c r="A6539" s="5" t="s">
        <v>926</v>
      </c>
      <c r="B6539" s="0" t="s">
        <v>27</v>
      </c>
      <c r="C6539" s="30" t="n">
        <f aca="false">Sens!$C$6538/sh_out</f>
        <v>127.169797361614</v>
      </c>
    </row>
    <row r="6540" customFormat="false" ht="17.15" hidden="false" customHeight="false" outlineLevel="0" collapsed="false">
      <c r="A6540" s="1" t="s">
        <v>927</v>
      </c>
      <c r="B6540" s="8" t="s">
        <v>27</v>
      </c>
      <c r="C6540" s="30" t="n">
        <f aca="false">Sens!$C$6539*(1+ke)^tp_yf-dps*tp_yf</f>
        <v>139.297834242404</v>
      </c>
    </row>
    <row r="6541" customFormat="false" ht="17.15" hidden="false" customHeight="false" outlineLevel="0" collapsed="false">
      <c r="A6541" s="3" t="s">
        <v>928</v>
      </c>
    </row>
    <row r="6542" customFormat="false" ht="17.15" hidden="false" customHeight="false" outlineLevel="0" collapsed="false">
      <c r="A6542" s="5" t="s">
        <v>929</v>
      </c>
      <c r="B6542" s="0" t="s">
        <v>86</v>
      </c>
      <c r="C6542" s="38" t="n">
        <f aca="false">(1-tp_yf)*(Sens!$H$6469+Sens!$H$6493*Sens!$H$6335/Sens!$H$6410)+tp_yf*(Sens!$I$6469+Sens!$I$6493*Sens!$I$6335/Sens!$I$6410)</f>
        <v>59.634664536349</v>
      </c>
    </row>
    <row r="6543" customFormat="false" ht="15" hidden="false" customHeight="false" outlineLevel="0" collapsed="false">
      <c r="A6543" s="5" t="s">
        <v>930</v>
      </c>
      <c r="B6543" s="0" t="s">
        <v>57</v>
      </c>
      <c r="C6543" s="30" t="n">
        <f aca="false">m_ads*m_x_hi</f>
        <v>10.932</v>
      </c>
    </row>
    <row r="6544" customFormat="false" ht="17.15" hidden="false" customHeight="false" outlineLevel="0" collapsed="false">
      <c r="A6544" s="5" t="s">
        <v>931</v>
      </c>
      <c r="B6544" s="0" t="s">
        <v>86</v>
      </c>
      <c r="C6544" s="38" t="n">
        <f aca="false">Sens!$C$6542*Sens!$C$6543</f>
        <v>651.926152711367</v>
      </c>
    </row>
    <row r="6545" customFormat="false" ht="17.15" hidden="false" customHeight="false" outlineLevel="0" collapsed="false">
      <c r="A6545" s="5" t="s">
        <v>932</v>
      </c>
      <c r="B6545" s="0" t="s">
        <v>86</v>
      </c>
      <c r="C6545" s="38" t="n">
        <f aca="false">(1-tp_yf)*(Sens!$H$6470+Sens!$H$6493*(Sens!$H$6342-Sens!$H$6335)/Sens!$H$6410+IF(internal_ai_reading=2,1,0)*(1-ext_sh)*Sens!$H$6372)+tp_yf*(Sens!$I$6470+Sens!$I$6493*(Sens!$I$6342-Sens!$I$6335)/Sens!$I$6410+IF(internal_ai_reading=2,1,0)*(1-ext_sh)*Sens!$I$6372)</f>
        <v>51.7770728324773</v>
      </c>
    </row>
    <row r="6546" customFormat="false" ht="17.15" hidden="false" customHeight="false" outlineLevel="0" collapsed="false">
      <c r="A6546" s="5" t="s">
        <v>933</v>
      </c>
      <c r="B6546" s="0" t="s">
        <v>57</v>
      </c>
      <c r="C6546" s="30" t="n">
        <f aca="false">m_retail*m_x_hi</f>
        <v>21.264</v>
      </c>
    </row>
    <row r="6547" customFormat="false" ht="17.15" hidden="false" customHeight="false" outlineLevel="0" collapsed="false">
      <c r="A6547" s="5" t="s">
        <v>934</v>
      </c>
      <c r="B6547" s="0" t="s">
        <v>86</v>
      </c>
      <c r="C6547" s="38" t="n">
        <f aca="false">Sens!$C$6545*Sens!$C$6546</f>
        <v>1100.9876767098</v>
      </c>
    </row>
    <row r="6548" customFormat="false" ht="17.15" hidden="false" customHeight="false" outlineLevel="0" collapsed="false">
      <c r="A6548" s="0" t="s">
        <v>935</v>
      </c>
      <c r="B6548" s="0" t="s">
        <v>86</v>
      </c>
      <c r="C6548" s="38" t="n">
        <f aca="false">(1-tp_yf)*(Sens!$H$6471+Sens!$H$6493*Sens!$H$6408/Sens!$H$6410)+tp_yf*(Sens!$I$6471+Sens!$I$6493*Sens!$I$6408/Sens!$I$6410)</f>
        <v>97.3363031479074</v>
      </c>
    </row>
    <row r="6549" customFormat="false" ht="17.15" hidden="false" customHeight="false" outlineLevel="0" collapsed="false">
      <c r="A6549" s="0" t="s">
        <v>936</v>
      </c>
      <c r="B6549" s="0" t="s">
        <v>57</v>
      </c>
      <c r="C6549" s="30" t="n">
        <f aca="false">m_cloud*m_x_hi</f>
        <v>16.584</v>
      </c>
    </row>
    <row r="6550" customFormat="false" ht="17.15" hidden="false" customHeight="false" outlineLevel="0" collapsed="false">
      <c r="A6550" s="0" t="s">
        <v>937</v>
      </c>
      <c r="B6550" s="0" t="s">
        <v>86</v>
      </c>
      <c r="C6550" s="38" t="n">
        <f aca="false">Sens!$C$6548*Sens!$C$6549</f>
        <v>1614.2252514049</v>
      </c>
    </row>
    <row r="6551" customFormat="false" ht="17.15" hidden="false" customHeight="false" outlineLevel="0" collapsed="false">
      <c r="A6551" s="0" t="s">
        <v>938</v>
      </c>
      <c r="B6551" s="0" t="s">
        <v>86</v>
      </c>
      <c r="H6551" s="38" t="n">
        <f aca="false">Sens!$H$6389-tax*Sens!$H$6390-ext_sh*Sens!$H$6379</f>
        <v>-114.686944664267</v>
      </c>
      <c r="I6551" s="38" t="n">
        <f aca="false">Sens!$I$6389-tax*Sens!$I$6390-ext_sh*Sens!$I$6379</f>
        <v>-88.3950641557111</v>
      </c>
      <c r="J6551" s="38" t="n">
        <f aca="false">Sens!$J$6389-tax*Sens!$J$6390-ext_sh*Sens!$J$6379</f>
        <v>-61.1526151740695</v>
      </c>
      <c r="K6551" s="38" t="n">
        <f aca="false">Sens!$K$6389-tax*Sens!$K$6390-ext_sh*Sens!$K$6379</f>
        <v>10.057774712684</v>
      </c>
      <c r="L6551" s="38" t="n">
        <f aca="false">Sens!$L$6389-tax*Sens!$L$6390-ext_sh*Sens!$L$6379</f>
        <v>46.6587675560356</v>
      </c>
      <c r="M6551" s="38" t="n">
        <f aca="false">Sens!$M$6389-tax*Sens!$M$6390-ext_sh*Sens!$M$6379</f>
        <v>55.3915455321129</v>
      </c>
    </row>
    <row r="6552" customFormat="false" ht="17.15" hidden="false" customHeight="false" outlineLevel="0" collapsed="false">
      <c r="A6552" s="5" t="s">
        <v>939</v>
      </c>
      <c r="B6552" s="0" t="s">
        <v>86</v>
      </c>
      <c r="H6552" s="38" t="n">
        <f aca="false">Sens!$H$6551*Sens!$H$6529</f>
        <v>-108.694703235934</v>
      </c>
      <c r="I6552" s="38" t="n">
        <f aca="false">Sens!$I$6551*Sens!$I$6529</f>
        <v>-75.2508153286695</v>
      </c>
      <c r="J6552" s="38" t="n">
        <f aca="false">Sens!$J$6551*Sens!$J$6529</f>
        <v>-46.761348301567</v>
      </c>
      <c r="K6552" s="38" t="n">
        <f aca="false">Sens!$K$6551*Sens!$K$6529</f>
        <v>6.90816481651338</v>
      </c>
      <c r="L6552" s="38" t="n">
        <f aca="false">Sens!$L$6551*Sens!$L$6529</f>
        <v>28.7861011080981</v>
      </c>
      <c r="M6552" s="38" t="n">
        <f aca="false">Sens!$M$6551*Sens!$M$6529</f>
        <v>30.6960053992735</v>
      </c>
    </row>
    <row r="6553" customFormat="false" ht="17.15" hidden="false" customHeight="false" outlineLevel="0" collapsed="false">
      <c r="A6553" s="5" t="s">
        <v>940</v>
      </c>
      <c r="B6553" s="0" t="s">
        <v>86</v>
      </c>
      <c r="C6553" s="38" t="n">
        <f aca="false">Sens!$M$6390*(1-tax)*(1+tg)*(1-tg/ronic)/(wacc-tg)</f>
        <v>363.621782500497</v>
      </c>
    </row>
    <row r="6554" customFormat="false" ht="17.15" hidden="false" customHeight="false" outlineLevel="0" collapsed="false">
      <c r="A6554" s="0" t="s">
        <v>941</v>
      </c>
      <c r="B6554" s="0" t="s">
        <v>86</v>
      </c>
      <c r="C6554" s="38" t="n">
        <f aca="false">(SUM(Sens!$H$6552:$M$6552)+Sens!$C$6553/(1+wacc)^6)*(1+wacc)^tp_yf</f>
        <v>29.1198269558345</v>
      </c>
    </row>
    <row r="6555" customFormat="false" ht="17.15" hidden="false" customHeight="false" outlineLevel="0" collapsed="false">
      <c r="A6555" s="5" t="s">
        <v>942</v>
      </c>
      <c r="B6555" s="0" t="s">
        <v>86</v>
      </c>
      <c r="C6555" s="38" t="n">
        <f aca="false">(1-tp_yf)*(Sens!$H$6472)+tp_yf*(Sens!$I$6472)</f>
        <v>74.6707041238437</v>
      </c>
    </row>
    <row r="6556" customFormat="false" ht="17.15" hidden="false" customHeight="false" outlineLevel="0" collapsed="false">
      <c r="A6556" s="5" t="s">
        <v>943</v>
      </c>
      <c r="B6556" s="0" t="s">
        <v>86</v>
      </c>
      <c r="C6556" s="38" t="n">
        <f aca="false">Sens!$C$6555*m_ai</f>
        <v>448.024224743062</v>
      </c>
    </row>
    <row r="6557" customFormat="false" ht="17.15" hidden="false" customHeight="false" outlineLevel="0" collapsed="false">
      <c r="A6557" s="0" t="s">
        <v>944</v>
      </c>
      <c r="B6557" s="0" t="s">
        <v>86</v>
      </c>
      <c r="C6557" s="38" t="n">
        <f aca="false">IF(ai_leg=1,Sens!$C$6554,Sens!$C$6556)</f>
        <v>29.1198269558345</v>
      </c>
    </row>
    <row r="6558" customFormat="false" ht="17.15" hidden="false" customHeight="false" outlineLevel="0" collapsed="false">
      <c r="A6558" s="5" t="s">
        <v>945</v>
      </c>
      <c r="B6558" s="0" t="s">
        <v>86</v>
      </c>
      <c r="C6558" s="38" t="n">
        <f aca="false">Sens!$C$6544+Sens!$C$6547+Sens!$C$6550+Sens!$C$6557</f>
        <v>3396.2589077819</v>
      </c>
    </row>
    <row r="6559" customFormat="false" ht="17.15" hidden="false" customHeight="false" outlineLevel="0" collapsed="false">
      <c r="A6559" s="5" t="s">
        <v>946</v>
      </c>
      <c r="B6559" s="0" t="s">
        <v>86</v>
      </c>
      <c r="C6559" s="38" t="n">
        <f aca="false">Sens!$H$6512+fin_debt</f>
        <v>150.504277655109</v>
      </c>
    </row>
    <row r="6560" customFormat="false" ht="15" hidden="false" customHeight="false" outlineLevel="0" collapsed="false">
      <c r="A6560" s="5" t="s">
        <v>947</v>
      </c>
      <c r="B6560" s="0" t="s">
        <v>86</v>
      </c>
      <c r="C6560" s="38" t="n">
        <f aca="false">Sens!$C$6558-Sens!$C$6559+Sens!$C$6537</f>
        <v>3424.69863012679</v>
      </c>
    </row>
    <row r="6561" customFormat="false" ht="15" hidden="false" customHeight="false" outlineLevel="0" collapsed="false">
      <c r="A6561" s="3" t="s">
        <v>948</v>
      </c>
      <c r="B6561" s="8" t="s">
        <v>27</v>
      </c>
      <c r="C6561" s="30" t="n">
        <f aca="false">Sens!$C$6560/sh_val</f>
        <v>310.480610989568</v>
      </c>
    </row>
    <row r="6562" customFormat="false" ht="17.15" hidden="false" customHeight="false" outlineLevel="0" collapsed="false">
      <c r="A6562" s="47" t="s">
        <v>949</v>
      </c>
      <c r="B6562" s="14" t="s">
        <v>27</v>
      </c>
      <c r="C6562" s="44" t="n">
        <f aca="false">w_dcf*Sens!$C$6540+(1-w_dcf)*Sens!$C$6561</f>
        <v>224.889222615986</v>
      </c>
      <c r="D6562" s="14"/>
      <c r="E6562" s="14"/>
      <c r="F6562" s="14"/>
      <c r="G6562" s="14"/>
      <c r="H6562" s="14"/>
      <c r="I6562" s="14"/>
      <c r="J6562" s="14"/>
      <c r="K6562" s="14"/>
      <c r="L6562" s="14"/>
      <c r="M6562" s="14"/>
      <c r="N6562" s="14"/>
      <c r="O6562" s="14"/>
    </row>
    <row r="6563" customFormat="false" ht="17.15" hidden="false" customHeight="false" outlineLevel="0" collapsed="false">
      <c r="A6563" s="5" t="s">
        <v>950</v>
      </c>
      <c r="B6563" s="0" t="s">
        <v>27</v>
      </c>
      <c r="C6563" s="30" t="n">
        <f aca="false">v022_wdcf*Sens!$C$6540+(1-v022_wdcf)*Sens!$C$6561</f>
        <v>233.448361453344</v>
      </c>
    </row>
    <row r="6564" customFormat="false" ht="17.15" hidden="false" customHeight="false" outlineLevel="0" collapsed="false">
      <c r="A6564" s="5" t="s">
        <v>951</v>
      </c>
      <c r="B6564" s="0" t="s">
        <v>27</v>
      </c>
      <c r="C6564" s="30" t="n">
        <f aca="false">(Sens!$C$6560-Sens!$C$6557+Sens!$C$6556)/sh_val</f>
        <v>348.458169723366</v>
      </c>
    </row>
    <row r="6567" customFormat="false" ht="19.4" hidden="false" customHeight="false" outlineLevel="0" collapsed="false">
      <c r="A6567" s="31" t="s">
        <v>1262</v>
      </c>
    </row>
    <row r="6568" customFormat="false" ht="17.15" hidden="false" customHeight="false" outlineLevel="0" collapsed="false">
      <c r="A6568" s="6" t="s">
        <v>16</v>
      </c>
      <c r="B6568" s="6" t="s">
        <v>17</v>
      </c>
      <c r="C6568" s="20" t="s">
        <v>494</v>
      </c>
      <c r="D6568" s="20" t="s">
        <v>495</v>
      </c>
      <c r="E6568" s="20" t="s">
        <v>577</v>
      </c>
      <c r="F6568" s="20" t="s">
        <v>578</v>
      </c>
      <c r="G6568" s="20" t="s">
        <v>579</v>
      </c>
      <c r="H6568" s="20" t="s">
        <v>580</v>
      </c>
      <c r="I6568" s="20" t="s">
        <v>581</v>
      </c>
      <c r="J6568" s="20" t="s">
        <v>582</v>
      </c>
      <c r="K6568" s="20" t="s">
        <v>583</v>
      </c>
      <c r="L6568" s="20" t="s">
        <v>584</v>
      </c>
      <c r="M6568" s="20" t="s">
        <v>585</v>
      </c>
      <c r="N6568" s="20" t="s">
        <v>586</v>
      </c>
      <c r="O6568" s="20" t="s">
        <v>587</v>
      </c>
      <c r="P6568" s="6" t="s">
        <v>23</v>
      </c>
      <c r="R6568" s="20" t="n">
        <v>2023</v>
      </c>
      <c r="S6568" s="20" t="n">
        <v>2024</v>
      </c>
      <c r="T6568" s="20" t="n">
        <v>2025</v>
      </c>
      <c r="U6568" s="20" t="n">
        <v>2026</v>
      </c>
      <c r="V6568" s="20" t="n">
        <v>2027</v>
      </c>
      <c r="W6568" s="20" t="n">
        <v>2028</v>
      </c>
      <c r="X6568" s="20" t="n">
        <v>2029</v>
      </c>
      <c r="Y6568" s="20" t="n">
        <v>2030</v>
      </c>
      <c r="Z6568" s="20" t="n">
        <v>2031</v>
      </c>
      <c r="AA6568" s="20" t="n">
        <v>2032</v>
      </c>
    </row>
    <row r="6569" customFormat="false" ht="17.15" hidden="false" customHeight="false" outlineLevel="0" collapsed="false">
      <c r="A6569" s="1" t="s">
        <v>660</v>
      </c>
    </row>
    <row r="6570" customFormat="false" ht="17.15" hidden="false" customHeight="false" outlineLevel="0" collapsed="false">
      <c r="A6570" s="0" t="s">
        <v>516</v>
      </c>
      <c r="B6570" s="0" t="s">
        <v>86</v>
      </c>
      <c r="C6570" s="38" t="n">
        <f aca="false">Q!$D$10</f>
        <v>247.029</v>
      </c>
      <c r="D6570" s="38" t="n">
        <f aca="false">Q!$E$10</f>
        <v>269.287</v>
      </c>
      <c r="E6570" s="38" t="n">
        <f aca="false">Q!$P$10</f>
        <v>134.686</v>
      </c>
      <c r="F6570" s="38" t="n">
        <f aca="false">Sens!$O$6570*(1+Sens!$F$6571)*Sens!$F$6582</f>
        <v>158.293876822267</v>
      </c>
      <c r="G6570" s="38" t="n">
        <f aca="false">Sens!$E$6570+Sens!$F$6570</f>
        <v>292.979876822267</v>
      </c>
      <c r="H6570" s="38" t="n">
        <f aca="false">Sens!$G$6570*(1+Sens!$H$6571)</f>
        <v>318.184543087396</v>
      </c>
      <c r="I6570" s="38" t="n">
        <f aca="false">Sens!$H$6570*(1+Sens!$I$6571)</f>
        <v>341.736278761793</v>
      </c>
      <c r="J6570" s="38" t="n">
        <f aca="false">Sens!$I$6570*(1+Sens!$J$6571)</f>
        <v>362.927192787048</v>
      </c>
      <c r="K6570" s="38" t="n">
        <f aca="false">Sens!$J$6570*(1+Sens!$K$6571)</f>
        <v>381.0735524264</v>
      </c>
      <c r="L6570" s="38" t="n">
        <f aca="false">Sens!$K$6570*(1+Sens!$L$6571)</f>
        <v>400.12723004772</v>
      </c>
      <c r="M6570" s="38" t="n">
        <f aca="false">Sens!$L$6570*(1+Sens!$M$6571)</f>
        <v>420.133591550106</v>
      </c>
      <c r="N6570" s="38" t="n">
        <f aca="false">Q!$N$10</f>
        <v>118.892</v>
      </c>
      <c r="O6570" s="38" t="n">
        <f aca="false">Q!$O$10</f>
        <v>150.395</v>
      </c>
      <c r="P6570" s="8" t="s">
        <v>661</v>
      </c>
    </row>
    <row r="6571" customFormat="false" ht="17.15" hidden="false" customHeight="false" outlineLevel="0" collapsed="false">
      <c r="A6571" s="0" t="s">
        <v>662</v>
      </c>
      <c r="B6571" s="0" t="s">
        <v>52</v>
      </c>
      <c r="E6571" s="13" t="n">
        <f aca="false">Sens!$E$6570/Sens!$N$6570-1</f>
        <v>0.132843252699929</v>
      </c>
      <c r="F6571" s="13" t="n">
        <f aca="false">Sens!$O$6570/(Q!$F$10+Q!$G$10)-1</f>
        <v>0.0980382135842941</v>
      </c>
      <c r="G6571" s="13" t="n">
        <f aca="false">Sens!$G$6570/Sens!$D$6570-1</f>
        <v>0.0879837378791657</v>
      </c>
      <c r="H6571" s="13" t="n">
        <f aca="false">Sens!$F$6571+(g_os-Sens!$F$6571)*1/4</f>
        <v>0.0860286601882206</v>
      </c>
      <c r="I6571" s="13" t="n">
        <f aca="false">Sens!$F$6571+(g_os-Sens!$F$6571)*2/4</f>
        <v>0.074019106792147</v>
      </c>
      <c r="J6571" s="13" t="n">
        <f aca="false">Sens!$F$6571+(g_os-Sens!$F$6571)*3/4</f>
        <v>0.0620095533960735</v>
      </c>
      <c r="K6571" s="13" t="n">
        <f aca="false">Sens!$F$6571+(g_os-Sens!$F$6571)*4/4</f>
        <v>0.05</v>
      </c>
      <c r="L6571" s="13" t="n">
        <f aca="false">g_os</f>
        <v>0.05</v>
      </c>
      <c r="M6571" s="13" t="n">
        <f aca="false">g_os</f>
        <v>0.05</v>
      </c>
      <c r="P6571" s="8" t="s">
        <v>663</v>
      </c>
    </row>
    <row r="6572" customFormat="false" ht="17.15" hidden="false" customHeight="false" outlineLevel="0" collapsed="false">
      <c r="A6572" s="0" t="s">
        <v>517</v>
      </c>
      <c r="B6572" s="0" t="s">
        <v>86</v>
      </c>
      <c r="C6572" s="38" t="n">
        <f aca="false">Q!$D$11</f>
        <v>21.215</v>
      </c>
      <c r="D6572" s="38" t="n">
        <f aca="false">Q!$E$11</f>
        <v>22.561</v>
      </c>
      <c r="E6572" s="38" t="n">
        <f aca="false">Q!$P$11</f>
        <v>11.579</v>
      </c>
      <c r="F6572" s="38" t="n">
        <f aca="false">Sens!$O$6572*(1+Sens!$F$6573)*Sens!$F$6582</f>
        <v>11.5938724610325</v>
      </c>
      <c r="G6572" s="38" t="n">
        <f aca="false">Sens!$E$6572+Sens!$F$6572</f>
        <v>23.1728724610325</v>
      </c>
      <c r="H6572" s="38" t="n">
        <f aca="false">Sens!$G$6572*(1+Sens!$H$6573)</f>
        <v>24.353392759506</v>
      </c>
      <c r="I6572" s="38" t="n">
        <f aca="false">Sens!$H$6572*(1+Sens!$I$6573)</f>
        <v>25.4240338872015</v>
      </c>
      <c r="J6572" s="38" t="n">
        <f aca="false">Sens!$I$6572*(1+Sens!$J$6573)</f>
        <v>26.3642491017174</v>
      </c>
      <c r="K6572" s="38" t="n">
        <f aca="false">Sens!$J$6572*(1+Sens!$K$6573)</f>
        <v>27.155176574769</v>
      </c>
      <c r="L6572" s="38" t="n">
        <f aca="false">Sens!$K$6572*(1+Sens!$L$6573)</f>
        <v>27.969831872012</v>
      </c>
      <c r="M6572" s="38" t="n">
        <f aca="false">Sens!$L$6572*(1+Sens!$M$6573)</f>
        <v>28.8089268281724</v>
      </c>
      <c r="N6572" s="38" t="n">
        <f aca="false">Q!$N$11</f>
        <v>11.128</v>
      </c>
      <c r="O6572" s="38" t="n">
        <f aca="false">Q!$O$11</f>
        <v>11.433</v>
      </c>
      <c r="P6572" s="8" t="s">
        <v>661</v>
      </c>
    </row>
    <row r="6573" customFormat="false" ht="17.15" hidden="false" customHeight="false" outlineLevel="0" collapsed="false">
      <c r="A6573" s="0" t="s">
        <v>664</v>
      </c>
      <c r="B6573" s="0" t="s">
        <v>52</v>
      </c>
      <c r="E6573" s="13" t="n">
        <f aca="false">Sens!$E$6572/Sens!$N$6572-1</f>
        <v>0.0405283968368082</v>
      </c>
      <c r="F6573" s="13" t="n">
        <f aca="false">Sens!$O$6572/(Q!$F$11+Q!$G$11)-1</f>
        <v>0.0579254187100955</v>
      </c>
      <c r="G6573" s="13" t="n">
        <f aca="false">Sens!$G$6572/Sens!$D$6572-1</f>
        <v>0.0271208040881397</v>
      </c>
      <c r="H6573" s="13" t="n">
        <f aca="false">Sens!$F$6573+(g_ps-Sens!$F$6573)*1/4</f>
        <v>0.0509440640325716</v>
      </c>
      <c r="I6573" s="13" t="n">
        <f aca="false">Sens!$F$6573+(g_ps-Sens!$F$6573)*2/4</f>
        <v>0.0439627093550477</v>
      </c>
      <c r="J6573" s="13" t="n">
        <f aca="false">Sens!$F$6573+(g_ps-Sens!$F$6573)*3/4</f>
        <v>0.0369813546775239</v>
      </c>
      <c r="K6573" s="13" t="n">
        <f aca="false">Sens!$F$6573+(g_ps-Sens!$F$6573)*4/4</f>
        <v>0.03</v>
      </c>
      <c r="L6573" s="13" t="n">
        <f aca="false">g_ps</f>
        <v>0.03</v>
      </c>
      <c r="M6573" s="13" t="n">
        <f aca="false">g_ps</f>
        <v>0.03</v>
      </c>
      <c r="P6573" s="8" t="s">
        <v>665</v>
      </c>
    </row>
    <row r="6574" customFormat="false" ht="17.15" hidden="false" customHeight="false" outlineLevel="0" collapsed="false">
      <c r="A6574" s="0" t="s">
        <v>518</v>
      </c>
      <c r="B6574" s="0" t="s">
        <v>86</v>
      </c>
      <c r="C6574" s="38" t="n">
        <f aca="false">Q!$D$12</f>
        <v>156.146</v>
      </c>
      <c r="D6574" s="38" t="n">
        <f aca="false">Q!$E$12</f>
        <v>172.162</v>
      </c>
      <c r="E6574" s="38" t="n">
        <f aca="false">Q!$P$12</f>
        <v>88.358</v>
      </c>
      <c r="F6574" s="38" t="n">
        <f aca="false">Sens!$O$6574*(1+Sens!$F$6575)*Sens!$F$6582</f>
        <v>102.004388260171</v>
      </c>
      <c r="G6574" s="38" t="n">
        <f aca="false">Sens!$E$6574+Sens!$F$6574</f>
        <v>190.362388260171</v>
      </c>
      <c r="H6574" s="38" t="n">
        <f aca="false">Sens!$G$6574*(1+Sens!$H$6575)</f>
        <v>210.343106588311</v>
      </c>
      <c r="I6574" s="38" t="n">
        <f aca="false">Sens!$H$6574*(1+Sens!$I$6575)</f>
        <v>229.969728494648</v>
      </c>
      <c r="J6574" s="38" t="n">
        <f aca="false">Sens!$I$6574*(1+Sens!$J$6575)</f>
        <v>248.747636972598</v>
      </c>
      <c r="K6574" s="38" t="n">
        <f aca="false">Sens!$J$6574*(1+Sens!$K$6575)</f>
        <v>266.15997156068</v>
      </c>
      <c r="L6574" s="38" t="n">
        <f aca="false">Sens!$K$6574*(1+Sens!$L$6575)</f>
        <v>284.791169569927</v>
      </c>
      <c r="M6574" s="38" t="n">
        <f aca="false">Sens!$L$6574*(1+Sens!$M$6575)</f>
        <v>304.726551439822</v>
      </c>
      <c r="N6574" s="38" t="n">
        <f aca="false">Q!$N$12</f>
        <v>76.86</v>
      </c>
      <c r="O6574" s="38" t="n">
        <f aca="false">Q!$O$12</f>
        <v>95.302</v>
      </c>
      <c r="P6574" s="8" t="s">
        <v>661</v>
      </c>
    </row>
    <row r="6575" customFormat="false" ht="17.15" hidden="false" customHeight="false" outlineLevel="0" collapsed="false">
      <c r="A6575" s="0" t="s">
        <v>666</v>
      </c>
      <c r="B6575" s="0" t="s">
        <v>52</v>
      </c>
      <c r="E6575" s="13" t="n">
        <f aca="false">Sens!$E$6574/Sens!$N$6574-1</f>
        <v>0.1495966692688</v>
      </c>
      <c r="F6575" s="13" t="n">
        <f aca="false">Sens!$O$6574/(Q!$F$12+Q!$G$12)-1</f>
        <v>0.11661530890813</v>
      </c>
      <c r="G6575" s="13" t="n">
        <f aca="false">Sens!$G$6574/Sens!$D$6574-1</f>
        <v>0.105716640490767</v>
      </c>
      <c r="H6575" s="13" t="n">
        <f aca="false">Sens!$F$6575+(g_sp-Sens!$F$6575)*1/4</f>
        <v>0.104961481681098</v>
      </c>
      <c r="I6575" s="13" t="n">
        <f aca="false">Sens!$F$6575+(g_sp-Sens!$F$6575)*2/4</f>
        <v>0.0933076544540651</v>
      </c>
      <c r="J6575" s="13" t="n">
        <f aca="false">Sens!$F$6575+(g_sp-Sens!$F$6575)*3/4</f>
        <v>0.0816538272270325</v>
      </c>
      <c r="K6575" s="13" t="n">
        <f aca="false">Sens!$F$6575+(g_sp-Sens!$F$6575)*4/4</f>
        <v>0.07</v>
      </c>
      <c r="L6575" s="13" t="n">
        <f aca="false">g_sp</f>
        <v>0.07</v>
      </c>
      <c r="M6575" s="13" t="n">
        <f aca="false">g_sp</f>
        <v>0.07</v>
      </c>
      <c r="P6575" s="8" t="s">
        <v>667</v>
      </c>
    </row>
    <row r="6576" customFormat="false" ht="17.15" hidden="false" customHeight="false" outlineLevel="0" collapsed="false">
      <c r="A6576" s="0" t="s">
        <v>519</v>
      </c>
      <c r="B6576" s="0" t="s">
        <v>86</v>
      </c>
      <c r="C6576" s="38" t="n">
        <f aca="false">Q!$D$13</f>
        <v>56.214</v>
      </c>
      <c r="D6576" s="38" t="n">
        <f aca="false">Q!$E$13</f>
        <v>68.635</v>
      </c>
      <c r="E6576" s="38" t="n">
        <f aca="false">Q!$P$13</f>
        <v>37.052</v>
      </c>
      <c r="F6576" s="38" t="n">
        <f aca="false">Sens!$O$6576*(1+Sens!$F$6577)*Sens!$F$6582</f>
        <v>46.1572219944148</v>
      </c>
      <c r="G6576" s="38" t="n">
        <f aca="false">Sens!$E$6576+Sens!$F$6576</f>
        <v>83.2092219944148</v>
      </c>
      <c r="H6576" s="38" t="n">
        <f aca="false">Sens!$G$6576*(1+Sens!$H$6577)</f>
        <v>99.8969223878976</v>
      </c>
      <c r="I6576" s="38" t="n">
        <f aca="false">Sens!$H$6576*(1+Sens!$I$6577)</f>
        <v>116.583111095496</v>
      </c>
      <c r="J6576" s="38" t="n">
        <f aca="false">Sens!$I$6576*(1+Sens!$J$6577)</f>
        <v>132.148941941952</v>
      </c>
      <c r="K6576" s="38" t="n">
        <f aca="false">Sens!$J$6576*(1+Sens!$K$6577)</f>
        <v>145.363836136147</v>
      </c>
      <c r="L6576" s="38" t="n">
        <f aca="false">Sens!$K$6576*(1+Sens!$L$6577)</f>
        <v>159.900219749762</v>
      </c>
      <c r="M6576" s="38" t="n">
        <f aca="false">Sens!$L$6576*(1+Sens!$M$6577)</f>
        <v>175.890241724738</v>
      </c>
      <c r="N6576" s="38" t="n">
        <f aca="false">Q!$N$13</f>
        <v>29.615</v>
      </c>
      <c r="O6576" s="38" t="n">
        <f aca="false">Q!$O$13</f>
        <v>39.02</v>
      </c>
      <c r="P6576" s="8" t="s">
        <v>661</v>
      </c>
    </row>
    <row r="6577" customFormat="false" ht="17.15" hidden="false" customHeight="false" outlineLevel="0" collapsed="false">
      <c r="A6577" s="0" t="s">
        <v>668</v>
      </c>
      <c r="B6577" s="0" t="s">
        <v>52</v>
      </c>
      <c r="E6577" s="13" t="n">
        <f aca="false">Sens!$E$6576/Sens!$N$6576-1</f>
        <v>0.25112274185379</v>
      </c>
      <c r="F6577" s="13" t="n">
        <f aca="false">Sens!$O$6576/(Q!$F$13+Q!$G$13)-1</f>
        <v>0.234068123596572</v>
      </c>
      <c r="G6577" s="13" t="n">
        <f aca="false">Sens!$G$6576/Sens!$D$6576-1</f>
        <v>0.212343876949294</v>
      </c>
      <c r="H6577" s="13" t="n">
        <f aca="false">Sens!$F$6577+(g_ad-Sens!$F$6577)*1/4</f>
        <v>0.200551092697429</v>
      </c>
      <c r="I6577" s="13" t="n">
        <f aca="false">Sens!$F$6577+(g_ad-Sens!$F$6577)*2/4</f>
        <v>0.167034061798286</v>
      </c>
      <c r="J6577" s="13" t="n">
        <f aca="false">Sens!$F$6577+(g_ad-Sens!$F$6577)*3/4</f>
        <v>0.133517030899143</v>
      </c>
      <c r="K6577" s="13" t="n">
        <f aca="false">Sens!$F$6577+(g_ad-Sens!$F$6577)*4/4</f>
        <v>0.1</v>
      </c>
      <c r="L6577" s="13" t="n">
        <f aca="false">g_ad</f>
        <v>0.1</v>
      </c>
      <c r="M6577" s="13" t="n">
        <f aca="false">g_ad</f>
        <v>0.1</v>
      </c>
      <c r="P6577" s="8" t="s">
        <v>669</v>
      </c>
    </row>
    <row r="6578" customFormat="false" ht="17.15" hidden="false" customHeight="false" outlineLevel="0" collapsed="false">
      <c r="A6578" s="0" t="s">
        <v>520</v>
      </c>
      <c r="B6578" s="0" t="s">
        <v>86</v>
      </c>
      <c r="C6578" s="38" t="n">
        <f aca="false">Q!$D$14</f>
        <v>44.374</v>
      </c>
      <c r="D6578" s="38" t="n">
        <f aca="false">Q!$E$14</f>
        <v>49.619</v>
      </c>
      <c r="E6578" s="38" t="n">
        <f aca="false">Q!$P$14</f>
        <v>27.157</v>
      </c>
      <c r="F6578" s="38" t="n">
        <f aca="false">Sens!$O$6578*(1+Sens!$F$6579)*Sens!$F$6582</f>
        <v>27.7764165988154</v>
      </c>
      <c r="G6578" s="38" t="n">
        <f aca="false">Sens!$E$6578+Sens!$F$6578</f>
        <v>54.9334165988154</v>
      </c>
      <c r="H6578" s="38" t="n">
        <f aca="false">Sens!$G$6578*(1+Sens!$H$6579)</f>
        <v>61.1564112561829</v>
      </c>
      <c r="I6578" s="38" t="n">
        <f aca="false">Sens!$H$6578*(1+Sens!$I$6579)</f>
        <v>67.2020282103945</v>
      </c>
      <c r="J6578" s="38" t="n">
        <f aca="false">Sens!$I$6578*(1+Sens!$J$6579)</f>
        <v>72.8757274028885</v>
      </c>
      <c r="K6578" s="38" t="n">
        <f aca="false">Sens!$J$6578*(1+Sens!$K$6579)</f>
        <v>77.9770283210907</v>
      </c>
      <c r="L6578" s="38" t="n">
        <f aca="false">Sens!$K$6578*(1+Sens!$L$6579)</f>
        <v>83.4354203035671</v>
      </c>
      <c r="M6578" s="38" t="n">
        <f aca="false">Sens!$L$6578*(1+Sens!$M$6579)</f>
        <v>89.2758997248168</v>
      </c>
      <c r="N6578" s="38" t="n">
        <f aca="false">Q!$N$14</f>
        <v>23.923</v>
      </c>
      <c r="O6578" s="38" t="n">
        <f aca="false">Q!$O$14</f>
        <v>25.696</v>
      </c>
      <c r="P6578" s="8" t="s">
        <v>661</v>
      </c>
    </row>
    <row r="6579" customFormat="false" ht="17.15" hidden="false" customHeight="false" outlineLevel="0" collapsed="false">
      <c r="A6579" s="0" t="s">
        <v>670</v>
      </c>
      <c r="B6579" s="0" t="s">
        <v>52</v>
      </c>
      <c r="E6579" s="13" t="n">
        <f aca="false">Sens!$E$6578/Sens!$N$6578-1</f>
        <v>0.135183714417088</v>
      </c>
      <c r="F6579" s="13" t="n">
        <f aca="false">Sens!$O$6578/(Q!$F$14+Q!$G$14)-1</f>
        <v>0.127709997366804</v>
      </c>
      <c r="G6579" s="13" t="n">
        <f aca="false">Sens!$G$6578/Sens!$D$6578-1</f>
        <v>0.107104468022641</v>
      </c>
      <c r="H6579" s="13" t="n">
        <f aca="false">Sens!$F$6579+(g_sub-Sens!$F$6579)*1/4</f>
        <v>0.113282498025103</v>
      </c>
      <c r="I6579" s="13" t="n">
        <f aca="false">Sens!$F$6579+(g_sub-Sens!$F$6579)*2/4</f>
        <v>0.0988549986834021</v>
      </c>
      <c r="J6579" s="13" t="n">
        <f aca="false">Sens!$F$6579+(g_sub-Sens!$F$6579)*3/4</f>
        <v>0.084427499341701</v>
      </c>
      <c r="K6579" s="13" t="n">
        <f aca="false">Sens!$F$6579+(g_sub-Sens!$F$6579)*4/4</f>
        <v>0.07</v>
      </c>
      <c r="L6579" s="13" t="n">
        <f aca="false">g_sub</f>
        <v>0.07</v>
      </c>
      <c r="M6579" s="13" t="n">
        <f aca="false">g_sub</f>
        <v>0.07</v>
      </c>
      <c r="P6579" s="8" t="s">
        <v>671</v>
      </c>
    </row>
    <row r="6580" customFormat="false" ht="17.15" hidden="false" customHeight="false" outlineLevel="0" collapsed="false">
      <c r="A6580" s="0" t="s">
        <v>521</v>
      </c>
      <c r="B6580" s="0" t="s">
        <v>86</v>
      </c>
      <c r="C6580" s="38" t="n">
        <f aca="false">Q!$D$15</f>
        <v>5.425</v>
      </c>
      <c r="D6580" s="38" t="n">
        <f aca="false">Q!$E$15</f>
        <v>5.935</v>
      </c>
      <c r="E6580" s="38" t="n">
        <f aca="false">Q!$P$15</f>
        <v>3.474</v>
      </c>
      <c r="F6580" s="38" t="n">
        <f aca="false">Sens!$O$6580*(1+Sens!$F$6581)*Sens!$F$6582</f>
        <v>3.22246550883619</v>
      </c>
      <c r="G6580" s="38" t="n">
        <f aca="false">Sens!$E$6580+Sens!$F$6580</f>
        <v>6.69646550883619</v>
      </c>
      <c r="H6580" s="38" t="n">
        <f aca="false">Sens!$G$6580*(1+Sens!$H$6581)</f>
        <v>7.16251344209196</v>
      </c>
      <c r="I6580" s="38" t="n">
        <f aca="false">Sens!$H$6580*(1+Sens!$I$6581)</f>
        <v>7.61421070299826</v>
      </c>
      <c r="J6580" s="38" t="n">
        <f aca="false">Sens!$I$6580*(1+Sens!$J$6581)</f>
        <v>8.04465753523932</v>
      </c>
      <c r="K6580" s="38" t="n">
        <f aca="false">Sens!$J$6580*(1+Sens!$K$6581)</f>
        <v>8.44689041200128</v>
      </c>
      <c r="L6580" s="38" t="n">
        <f aca="false">Sens!$K$6580*(1+Sens!$L$6581)</f>
        <v>8.86923493260135</v>
      </c>
      <c r="M6580" s="38" t="n">
        <f aca="false">Sens!$L$6580*(1+Sens!$M$6581)</f>
        <v>9.31269667923142</v>
      </c>
      <c r="N6580" s="38" t="n">
        <f aca="false">Q!$N$15</f>
        <v>2.811</v>
      </c>
      <c r="O6580" s="38" t="n">
        <f aca="false">Q!$O$15</f>
        <v>3.124</v>
      </c>
      <c r="P6580" s="8" t="s">
        <v>661</v>
      </c>
    </row>
    <row r="6581" customFormat="false" ht="17.15" hidden="false" customHeight="false" outlineLevel="0" collapsed="false">
      <c r="A6581" s="0" t="s">
        <v>672</v>
      </c>
      <c r="B6581" s="0" t="s">
        <v>52</v>
      </c>
      <c r="E6581" s="13" t="n">
        <f aca="false">Sens!$E$6580/Sens!$N$6580-1</f>
        <v>0.235859124866596</v>
      </c>
      <c r="F6581" s="13" t="n">
        <f aca="false">Sens!$O$6580/(Q!$F$15+Q!$G$15)-1</f>
        <v>0.0761281433000345</v>
      </c>
      <c r="G6581" s="13" t="n">
        <f aca="false">Sens!$G$6580/Sens!$D$6580-1</f>
        <v>0.128300843948811</v>
      </c>
      <c r="H6581" s="13" t="n">
        <f aca="false">Sens!$F$6581+(g_ot-Sens!$F$6581)*1/4</f>
        <v>0.0695961074750259</v>
      </c>
      <c r="I6581" s="13" t="n">
        <f aca="false">Sens!$F$6581+(g_ot-Sens!$F$6581)*2/4</f>
        <v>0.0630640716500172</v>
      </c>
      <c r="J6581" s="13" t="n">
        <f aca="false">Sens!$F$6581+(g_ot-Sens!$F$6581)*3/4</f>
        <v>0.0565320358250086</v>
      </c>
      <c r="K6581" s="13" t="n">
        <f aca="false">Sens!$F$6581+(g_ot-Sens!$F$6581)*4/4</f>
        <v>0.05</v>
      </c>
      <c r="L6581" s="13" t="n">
        <f aca="false">g_ot</f>
        <v>0.05</v>
      </c>
      <c r="M6581" s="13" t="n">
        <f aca="false">g_ot</f>
        <v>0.05</v>
      </c>
      <c r="P6581" s="8" t="s">
        <v>673</v>
      </c>
    </row>
    <row r="6582" customFormat="false" ht="17.15" hidden="false" customHeight="false" outlineLevel="0" collapsed="false">
      <c r="A6582" s="0" t="s">
        <v>674</v>
      </c>
      <c r="B6582" s="0" t="s">
        <v>57</v>
      </c>
      <c r="F6582" s="40" t="n">
        <f aca="false">(g26q3_mid*Q!$O$8/Q!$J$8-Sens!$F$6611-Sens!$F$6615)/(Sens!$O$6570*(1+Sens!$F$6571)+Sens!$O$6572*(1+Sens!$F$6573)+Sens!$O$6574*(1+Sens!$F$6575)+Sens!$O$6576*(1+Sens!$F$6577)+Sens!$O$6578*(1+Sens!$F$6579)+Sens!$O$6580*(1+Sens!$F$6581))</f>
        <v>0.958546670622329</v>
      </c>
      <c r="P6582" s="8" t="s">
        <v>675</v>
      </c>
    </row>
    <row r="6583" customFormat="false" ht="17.15" hidden="false" customHeight="false" outlineLevel="0" collapsed="false">
      <c r="A6583" s="3" t="s">
        <v>676</v>
      </c>
      <c r="B6583" s="8" t="s">
        <v>86</v>
      </c>
      <c r="C6583" s="38" t="n">
        <f aca="false">Sens!$C$6570+Sens!$C$6572+Sens!$C$6574+Sens!$C$6576+Sens!$C$6578+Sens!$C$6580</f>
        <v>530.403</v>
      </c>
      <c r="D6583" s="38" t="n">
        <f aca="false">Sens!$D$6570+Sens!$D$6572+Sens!$D$6574+Sens!$D$6576+Sens!$D$6578+Sens!$D$6580</f>
        <v>588.199</v>
      </c>
      <c r="E6583" s="38" t="n">
        <f aca="false">Sens!$E$6570+Sens!$E$6572+Sens!$E$6574+Sens!$E$6576+Sens!$E$6578+Sens!$E$6580</f>
        <v>302.306</v>
      </c>
      <c r="F6583" s="38" t="n">
        <f aca="false">Sens!$F$6570+Sens!$F$6572+Sens!$F$6574+Sens!$F$6576+Sens!$F$6578+Sens!$F$6580</f>
        <v>349.048241645537</v>
      </c>
      <c r="G6583" s="38" t="n">
        <f aca="false">Sens!$G$6570+Sens!$G$6572+Sens!$G$6574+Sens!$G$6576+Sens!$G$6578+Sens!$G$6580</f>
        <v>651.354241645537</v>
      </c>
      <c r="H6583" s="38" t="n">
        <f aca="false">Sens!$H$6570+Sens!$H$6572+Sens!$H$6574+Sens!$H$6576+Sens!$H$6578+Sens!$H$6580</f>
        <v>721.096889521386</v>
      </c>
      <c r="I6583" s="38" t="n">
        <f aca="false">Sens!$I$6570+Sens!$I$6572+Sens!$I$6574+Sens!$I$6576+Sens!$I$6578+Sens!$I$6580</f>
        <v>788.529391152531</v>
      </c>
      <c r="J6583" s="38" t="n">
        <f aca="false">Sens!$J$6570+Sens!$J$6572+Sens!$J$6574+Sens!$J$6576+Sens!$J$6578+Sens!$J$6580</f>
        <v>851.108405741443</v>
      </c>
      <c r="K6583" s="38" t="n">
        <f aca="false">Sens!$K$6570+Sens!$K$6572+Sens!$K$6574+Sens!$K$6576+Sens!$K$6578+Sens!$K$6580</f>
        <v>906.176455431088</v>
      </c>
      <c r="L6583" s="38" t="n">
        <f aca="false">Sens!$L$6570+Sens!$L$6572+Sens!$L$6574+Sens!$L$6576+Sens!$L$6578+Sens!$L$6580</f>
        <v>965.093106475589</v>
      </c>
      <c r="M6583" s="38" t="n">
        <f aca="false">Sens!$M$6570+Sens!$M$6572+Sens!$M$6574+Sens!$M$6576+Sens!$M$6578+Sens!$M$6580</f>
        <v>1028.14790794689</v>
      </c>
      <c r="N6583" s="38" t="n">
        <f aca="false">Sens!$N$6570+Sens!$N$6572+Sens!$N$6574+Sens!$N$6576+Sens!$N$6578+Sens!$N$6580</f>
        <v>263.229</v>
      </c>
      <c r="O6583" s="38" t="n">
        <f aca="false">Sens!$O$6570+Sens!$O$6572+Sens!$O$6574+Sens!$O$6576+Sens!$O$6578+Sens!$O$6580</f>
        <v>324.97</v>
      </c>
    </row>
    <row r="6584" customFormat="false" ht="17.15" hidden="false" customHeight="false" outlineLevel="0" collapsed="false">
      <c r="A6584" s="5" t="s">
        <v>677</v>
      </c>
      <c r="B6584" s="0" t="s">
        <v>52</v>
      </c>
      <c r="C6584" s="13" t="n">
        <f aca="false">Q!$D$5/(Q!$D$5+Q!$D$6)</f>
        <v>0.730570905519011</v>
      </c>
      <c r="D6584" s="13" t="n">
        <f aca="false">Q!$E$5/(Q!$E$5+Q!$E$6)</f>
        <v>0.724763217890544</v>
      </c>
      <c r="E6584" s="13" t="n">
        <f aca="false">Q!$P$5/(Q!$P$5+Q!$P$6)</f>
        <v>0.728797972914861</v>
      </c>
      <c r="F6584" s="13" t="n">
        <f aca="false">Sens!$O$6584</f>
        <v>0.718066283041511</v>
      </c>
      <c r="G6584" s="13" t="n">
        <f aca="false">Sens!$G$6585/Sens!$G$6583</f>
        <v>0.723047066202847</v>
      </c>
      <c r="H6584" s="13" t="n">
        <f aca="false">Sens!$G$6584</f>
        <v>0.723047066202847</v>
      </c>
      <c r="I6584" s="13" t="n">
        <f aca="false">Sens!$G$6584</f>
        <v>0.723047066202847</v>
      </c>
      <c r="J6584" s="13" t="n">
        <f aca="false">Sens!$G$6584</f>
        <v>0.723047066202847</v>
      </c>
      <c r="K6584" s="13" t="n">
        <f aca="false">Sens!$G$6584</f>
        <v>0.723047066202847</v>
      </c>
      <c r="L6584" s="13" t="n">
        <f aca="false">Sens!$G$6584</f>
        <v>0.723047066202847</v>
      </c>
      <c r="M6584" s="13" t="n">
        <f aca="false">Sens!$G$6584</f>
        <v>0.723047066202847</v>
      </c>
      <c r="N6584" s="13" t="n">
        <f aca="false">Q!$N$5/(Q!$N$5+Q!$N$6)</f>
        <v>0.733030935041352</v>
      </c>
      <c r="O6584" s="13" t="n">
        <f aca="false">Q!$O$5/(Q!$O$5+Q!$O$6)</f>
        <v>0.718066283041511</v>
      </c>
      <c r="P6584" s="8" t="s">
        <v>678</v>
      </c>
    </row>
    <row r="6585" customFormat="false" ht="17.15" hidden="false" customHeight="false" outlineLevel="0" collapsed="false">
      <c r="A6585" s="1" t="s">
        <v>509</v>
      </c>
      <c r="B6585" s="8" t="s">
        <v>86</v>
      </c>
      <c r="C6585" s="38" t="n">
        <f aca="false">Q!$D$5</f>
        <v>387.497</v>
      </c>
      <c r="D6585" s="38" t="n">
        <f aca="false">Q!$E$5</f>
        <v>426.305</v>
      </c>
      <c r="E6585" s="38" t="n">
        <f aca="false">Q!$P$5</f>
        <v>220.32</v>
      </c>
      <c r="F6585" s="38" t="n">
        <f aca="false">Sens!$F$6583*Sens!$F$6584</f>
        <v>250.639773480586</v>
      </c>
      <c r="G6585" s="38" t="n">
        <f aca="false">Sens!$E$6585+Sens!$F$6585</f>
        <v>470.959773480586</v>
      </c>
      <c r="H6585" s="38" t="n">
        <f aca="false">Sens!$H$6583*Sens!$H$6584</f>
        <v>521.386990416437</v>
      </c>
      <c r="I6585" s="38" t="n">
        <f aca="false">Sens!$I$6583*Sens!$I$6584</f>
        <v>570.143862887555</v>
      </c>
      <c r="J6585" s="38" t="n">
        <f aca="false">Sens!$J$6583*Sens!$J$6584</f>
        <v>615.391435791933</v>
      </c>
      <c r="K6585" s="38" t="n">
        <f aca="false">Sens!$K$6583*Sens!$K$6584</f>
        <v>655.208227561543</v>
      </c>
      <c r="L6585" s="38" t="n">
        <f aca="false">Sens!$L$6583*Sens!$L$6584</f>
        <v>697.807739249767</v>
      </c>
      <c r="M6585" s="38" t="n">
        <f aca="false">Sens!$M$6583*Sens!$M$6584</f>
        <v>743.399328463592</v>
      </c>
      <c r="N6585" s="38" t="n">
        <f aca="false">Q!$N$5</f>
        <v>192.955</v>
      </c>
      <c r="O6585" s="38" t="n">
        <f aca="false">Q!$O$5</f>
        <v>233.35</v>
      </c>
      <c r="P6585" s="5" t="s">
        <v>679</v>
      </c>
    </row>
    <row r="6586" customFormat="false" ht="17.15" hidden="false" customHeight="false" outlineLevel="0" collapsed="false">
      <c r="A6586" s="1" t="s">
        <v>512</v>
      </c>
      <c r="B6586" s="8" t="s">
        <v>86</v>
      </c>
      <c r="C6586" s="38" t="n">
        <f aca="false">Q!$D$6</f>
        <v>142.906</v>
      </c>
      <c r="D6586" s="38" t="n">
        <f aca="false">Q!$E$6</f>
        <v>161.894</v>
      </c>
      <c r="E6586" s="38" t="n">
        <f aca="false">Q!$P$6</f>
        <v>81.986</v>
      </c>
      <c r="F6586" s="38" t="n">
        <f aca="false">Sens!$F$6583*(1-Sens!$F$6584)</f>
        <v>98.408468164951</v>
      </c>
      <c r="G6586" s="38" t="n">
        <f aca="false">Sens!$E$6586+Sens!$F$6586</f>
        <v>180.394468164951</v>
      </c>
      <c r="H6586" s="38" t="n">
        <f aca="false">Sens!$H$6583*(1-Sens!$H$6584)</f>
        <v>199.709899104949</v>
      </c>
      <c r="I6586" s="38" t="n">
        <f aca="false">Sens!$I$6583*(1-Sens!$I$6584)</f>
        <v>218.385528264976</v>
      </c>
      <c r="J6586" s="38" t="n">
        <f aca="false">Sens!$J$6583*(1-Sens!$J$6584)</f>
        <v>235.71696994951</v>
      </c>
      <c r="K6586" s="38" t="n">
        <f aca="false">Sens!$K$6583*(1-Sens!$K$6584)</f>
        <v>250.968227869545</v>
      </c>
      <c r="L6586" s="38" t="n">
        <f aca="false">Sens!$L$6583*(1-Sens!$L$6584)</f>
        <v>267.285367225822</v>
      </c>
      <c r="M6586" s="38" t="n">
        <f aca="false">Sens!$M$6583*(1-Sens!$M$6584)</f>
        <v>284.748579483295</v>
      </c>
      <c r="N6586" s="38" t="n">
        <f aca="false">Q!$N$6</f>
        <v>70.274</v>
      </c>
      <c r="O6586" s="38" t="n">
        <f aca="false">Q!$O$6</f>
        <v>91.62</v>
      </c>
      <c r="P6586" s="5" t="s">
        <v>680</v>
      </c>
    </row>
    <row r="6587" customFormat="false" ht="17.15" hidden="false" customHeight="false" outlineLevel="0" collapsed="false">
      <c r="A6587" s="5" t="s">
        <v>681</v>
      </c>
      <c r="B6587" s="0" t="s">
        <v>86</v>
      </c>
      <c r="C6587" s="38" t="n">
        <f aca="false">Sens!$C$6576*Sens!$C$6584</f>
        <v>41.0683128828457</v>
      </c>
      <c r="D6587" s="38" t="n">
        <f aca="false">Sens!$D$6576*Sens!$D$6584</f>
        <v>49.7441234599175</v>
      </c>
      <c r="E6587" s="38" t="n">
        <f aca="false">Sens!$E$6576*Sens!$E$6584</f>
        <v>27.0034224924414</v>
      </c>
      <c r="F6587" s="38" t="n">
        <f aca="false">Sens!$F$6576*Sens!$F$6584</f>
        <v>33.1439448330513</v>
      </c>
      <c r="G6587" s="38" t="n">
        <f aca="false">Sens!$G$6576*Sens!$G$6584</f>
        <v>60.164183844083</v>
      </c>
      <c r="H6587" s="38" t="n">
        <f aca="false">Sens!$H$6576*Sens!$H$6584</f>
        <v>72.2301766552629</v>
      </c>
      <c r="I6587" s="38" t="n">
        <f aca="false">Sens!$I$6576*Sens!$I$6584</f>
        <v>84.2950764463991</v>
      </c>
      <c r="J6587" s="38" t="n">
        <f aca="false">Sens!$J$6576*Sens!$J$6584</f>
        <v>95.5499047729386</v>
      </c>
      <c r="K6587" s="38" t="n">
        <f aca="false">Sens!$K$6576*Sens!$K$6584</f>
        <v>105.104895250232</v>
      </c>
      <c r="L6587" s="38" t="n">
        <f aca="false">Sens!$L$6576*Sens!$L$6584</f>
        <v>115.615384775256</v>
      </c>
      <c r="M6587" s="38" t="n">
        <f aca="false">Sens!$M$6576*Sens!$M$6584</f>
        <v>127.176923252781</v>
      </c>
      <c r="N6587" s="38" t="n">
        <f aca="false">Sens!$N$6576*Sens!$N$6584</f>
        <v>21.7087111412496</v>
      </c>
      <c r="O6587" s="38" t="n">
        <f aca="false">Sens!$O$6576*Sens!$O$6584</f>
        <v>28.0189463642798</v>
      </c>
      <c r="P6587" s="5" t="s">
        <v>682</v>
      </c>
    </row>
    <row r="6588" customFormat="false" ht="15" hidden="false" customHeight="false" outlineLevel="0" collapsed="false">
      <c r="A6588" s="5" t="s">
        <v>683</v>
      </c>
      <c r="B6588" s="0" t="s">
        <v>86</v>
      </c>
      <c r="C6588" s="38" t="n">
        <f aca="false">Sens!$C$6576-Sens!$C$6587</f>
        <v>15.1456871171543</v>
      </c>
      <c r="D6588" s="38" t="n">
        <f aca="false">Sens!$D$6576-Sens!$D$6587</f>
        <v>18.8908765400825</v>
      </c>
      <c r="E6588" s="38" t="n">
        <f aca="false">Sens!$E$6576-Sens!$E$6587</f>
        <v>10.0485775075586</v>
      </c>
      <c r="F6588" s="38" t="n">
        <f aca="false">Sens!$F$6576-Sens!$F$6587</f>
        <v>13.0132771613635</v>
      </c>
      <c r="G6588" s="38" t="n">
        <f aca="false">Sens!$G$6576-Sens!$G$6587</f>
        <v>23.0450381503318</v>
      </c>
      <c r="H6588" s="38" t="n">
        <f aca="false">Sens!$H$6576-Sens!$H$6587</f>
        <v>27.6667457326347</v>
      </c>
      <c r="I6588" s="38" t="n">
        <f aca="false">Sens!$I$6576-Sens!$I$6587</f>
        <v>32.2880346490971</v>
      </c>
      <c r="J6588" s="38" t="n">
        <f aca="false">Sens!$J$6576-Sens!$J$6587</f>
        <v>36.5990371690132</v>
      </c>
      <c r="K6588" s="38" t="n">
        <f aca="false">Sens!$K$6576-Sens!$K$6587</f>
        <v>40.2589408859145</v>
      </c>
      <c r="L6588" s="38" t="n">
        <f aca="false">Sens!$L$6576-Sens!$L$6587</f>
        <v>44.2848349745059</v>
      </c>
      <c r="M6588" s="38" t="n">
        <f aca="false">Sens!$M$6576-Sens!$M$6587</f>
        <v>48.7133184719565</v>
      </c>
      <c r="N6588" s="38" t="n">
        <f aca="false">Sens!$N$6576-Sens!$N$6587</f>
        <v>7.90628885875037</v>
      </c>
      <c r="O6588" s="38" t="n">
        <f aca="false">Sens!$O$6576-Sens!$O$6587</f>
        <v>11.0010536357202</v>
      </c>
    </row>
    <row r="6589" customFormat="false" ht="19.4" hidden="false" customHeight="false" outlineLevel="0" collapsed="false">
      <c r="A6589" s="31" t="s">
        <v>1263</v>
      </c>
    </row>
    <row r="6590" customFormat="false" ht="17.15" hidden="false" customHeight="false" outlineLevel="0" collapsed="false">
      <c r="A6590" s="6" t="s">
        <v>16</v>
      </c>
      <c r="B6590" s="6" t="s">
        <v>17</v>
      </c>
      <c r="C6590" s="20" t="s">
        <v>494</v>
      </c>
      <c r="D6590" s="20" t="s">
        <v>495</v>
      </c>
      <c r="E6590" s="20" t="s">
        <v>577</v>
      </c>
      <c r="F6590" s="20" t="s">
        <v>578</v>
      </c>
      <c r="G6590" s="20" t="s">
        <v>579</v>
      </c>
      <c r="H6590" s="20" t="s">
        <v>580</v>
      </c>
      <c r="I6590" s="20" t="s">
        <v>581</v>
      </c>
      <c r="J6590" s="20" t="s">
        <v>582</v>
      </c>
      <c r="K6590" s="20" t="s">
        <v>583</v>
      </c>
      <c r="L6590" s="20" t="s">
        <v>584</v>
      </c>
      <c r="M6590" s="20" t="s">
        <v>585</v>
      </c>
      <c r="N6590" s="20" t="s">
        <v>586</v>
      </c>
      <c r="O6590" s="20" t="s">
        <v>587</v>
      </c>
      <c r="P6590" s="6" t="s">
        <v>23</v>
      </c>
      <c r="R6590" s="20" t="n">
        <v>2023</v>
      </c>
      <c r="S6590" s="20" t="n">
        <v>2024</v>
      </c>
      <c r="T6590" s="20" t="n">
        <v>2025</v>
      </c>
      <c r="U6590" s="20" t="n">
        <v>2026</v>
      </c>
      <c r="V6590" s="20" t="n">
        <v>2027</v>
      </c>
      <c r="W6590" s="20" t="n">
        <v>2028</v>
      </c>
      <c r="X6590" s="20" t="n">
        <v>2029</v>
      </c>
      <c r="Y6590" s="20" t="n">
        <v>2030</v>
      </c>
      <c r="Z6590" s="20" t="n">
        <v>2031</v>
      </c>
      <c r="AA6590" s="20" t="n">
        <v>2032</v>
      </c>
    </row>
    <row r="6591" customFormat="false" ht="17.15" hidden="false" customHeight="false" outlineLevel="0" collapsed="false">
      <c r="A6591" s="1" t="s">
        <v>588</v>
      </c>
    </row>
    <row r="6592" customFormat="false" ht="17.15" hidden="false" customHeight="false" outlineLevel="0" collapsed="false">
      <c r="A6592" s="5" t="s">
        <v>589</v>
      </c>
      <c r="B6592" s="0" t="s">
        <v>144</v>
      </c>
      <c r="H6592" s="32" t="n">
        <f aca="false">pace_B</f>
        <v>3634.3</v>
      </c>
      <c r="I6592" s="32" t="n">
        <f aca="false">pace_B</f>
        <v>3634.3</v>
      </c>
      <c r="J6592" s="32" t="n">
        <f aca="false">pace_B</f>
        <v>3634.3</v>
      </c>
      <c r="K6592" s="32" t="n">
        <f aca="false">pace_B+(Sens!$J$6593*tg-pace_B)*1/3</f>
        <v>2570.86716666667</v>
      </c>
      <c r="L6592" s="32" t="n">
        <f aca="false">pace_B+(Sens!$J$6593*tg-pace_B)*2/3</f>
        <v>1507.43433333333</v>
      </c>
      <c r="M6592" s="32" t="n">
        <f aca="false">pace_B+(Sens!$J$6593*tg-pace_B)*3/3</f>
        <v>444.0015</v>
      </c>
      <c r="P6592" s="5" t="s">
        <v>590</v>
      </c>
    </row>
    <row r="6593" customFormat="false" ht="17.15" hidden="false" customHeight="false" outlineLevel="0" collapsed="false">
      <c r="A6593" s="15" t="s">
        <v>591</v>
      </c>
      <c r="B6593" s="14" t="s">
        <v>129</v>
      </c>
      <c r="C6593" s="33" t="n">
        <f aca="false">mw_ye24</f>
        <v>360</v>
      </c>
      <c r="D6593" s="33" t="n">
        <f aca="false">mw_ye25</f>
        <v>1440</v>
      </c>
      <c r="E6593" s="33" t="n">
        <f aca="false">mw_open</f>
        <v>2080</v>
      </c>
      <c r="F6593" s="33" t="n">
        <f aca="false">Sens!$E$6593+pace_B*0.5</f>
        <v>3897.15</v>
      </c>
      <c r="G6593" s="33" t="n">
        <f aca="false">Sens!$F$6593</f>
        <v>3897.15</v>
      </c>
      <c r="H6593" s="33" t="n">
        <f aca="false">Sens!$G$6593+Sens!$H$6592</f>
        <v>7531.45</v>
      </c>
      <c r="I6593" s="33" t="n">
        <f aca="false">Sens!$H$6593+Sens!$I$6592</f>
        <v>11165.75</v>
      </c>
      <c r="J6593" s="33" t="n">
        <f aca="false">Sens!$I$6593+Sens!$J$6592</f>
        <v>14800.05</v>
      </c>
      <c r="K6593" s="33" t="n">
        <f aca="false">Sens!$J$6593+Sens!$K$6592</f>
        <v>17370.9171666667</v>
      </c>
      <c r="L6593" s="33" t="n">
        <f aca="false">Sens!$K$6593+Sens!$L$6592</f>
        <v>18878.3515</v>
      </c>
      <c r="M6593" s="33" t="n">
        <f aca="false">Sens!$L$6593+Sens!$M$6592</f>
        <v>19322.353</v>
      </c>
      <c r="N6593" s="33" t="n">
        <f aca="false">(mw_ye24+mw_ye25)/2</f>
        <v>900</v>
      </c>
      <c r="O6593" s="33" t="n">
        <f aca="false">mw_ye25</f>
        <v>1440</v>
      </c>
      <c r="P6593" s="5" t="s">
        <v>592</v>
      </c>
    </row>
    <row r="6594" customFormat="false" ht="17.15" hidden="false" customHeight="false" outlineLevel="0" collapsed="false">
      <c r="A6594" s="5" t="s">
        <v>593</v>
      </c>
      <c r="B6594" s="0" t="s">
        <v>129</v>
      </c>
      <c r="C6594" s="32" t="n">
        <f aca="false">(mw_ye23+mw_ye24)/2</f>
        <v>240</v>
      </c>
      <c r="D6594" s="32" t="n">
        <f aca="false">(Sens!$C$6593+Sens!$D$6593)/2</f>
        <v>900</v>
      </c>
      <c r="E6594" s="32" t="n">
        <f aca="false">(Sens!$D$6593+Sens!$E$6593)/2</f>
        <v>1760</v>
      </c>
      <c r="F6594" s="32" t="n">
        <f aca="false">(Sens!$E$6593+Sens!$F$6593)/2</f>
        <v>2988.575</v>
      </c>
      <c r="G6594" s="32" t="n">
        <f aca="false">(Sens!$E$6594+Sens!$F$6594)/2</f>
        <v>2374.2875</v>
      </c>
      <c r="H6594" s="32" t="n">
        <f aca="false">(Sens!$G$6593+Sens!$H$6593)/2</f>
        <v>5714.3</v>
      </c>
      <c r="I6594" s="32" t="n">
        <f aca="false">(Sens!$H$6593+Sens!$I$6593)/2</f>
        <v>9348.6</v>
      </c>
      <c r="J6594" s="32" t="n">
        <f aca="false">(Sens!$I$6593+Sens!$J$6593)/2</f>
        <v>12982.9</v>
      </c>
      <c r="K6594" s="32" t="n">
        <f aca="false">(Sens!$J$6593+Sens!$K$6593)/2</f>
        <v>16085.4835833333</v>
      </c>
      <c r="L6594" s="32" t="n">
        <f aca="false">(Sens!$K$6593+Sens!$L$6593)/2</f>
        <v>18124.6343333333</v>
      </c>
      <c r="M6594" s="32" t="n">
        <f aca="false">(Sens!$L$6593+Sens!$M$6593)/2</f>
        <v>19100.35225</v>
      </c>
      <c r="N6594" s="32" t="n">
        <f aca="false">(Sens!$C$6593+Sens!$N$6593)/2</f>
        <v>630</v>
      </c>
      <c r="O6594" s="32" t="n">
        <f aca="false">(Sens!$N$6593+Sens!$O$6593)/2</f>
        <v>1170</v>
      </c>
    </row>
    <row r="6595" customFormat="false" ht="15" hidden="false" customHeight="false" outlineLevel="0" collapsed="false">
      <c r="A6595" s="5" t="s">
        <v>594</v>
      </c>
      <c r="B6595" s="5" t="s">
        <v>123</v>
      </c>
      <c r="C6595" s="34" t="n">
        <v>1</v>
      </c>
      <c r="D6595" s="34" t="n">
        <v>1</v>
      </c>
      <c r="E6595" s="34" t="n">
        <v>0.5</v>
      </c>
      <c r="F6595" s="34" t="n">
        <v>0.5</v>
      </c>
      <c r="G6595" s="34" t="n">
        <v>1</v>
      </c>
      <c r="H6595" s="34" t="n">
        <v>1</v>
      </c>
      <c r="I6595" s="34" t="n">
        <v>1</v>
      </c>
      <c r="J6595" s="34" t="n">
        <v>1</v>
      </c>
      <c r="K6595" s="34" t="n">
        <v>1</v>
      </c>
      <c r="L6595" s="34" t="n">
        <v>1</v>
      </c>
      <c r="M6595" s="34" t="n">
        <v>1</v>
      </c>
      <c r="N6595" s="34" t="n">
        <v>0.5</v>
      </c>
      <c r="O6595" s="34" t="n">
        <v>0.5</v>
      </c>
    </row>
    <row r="6596" customFormat="false" ht="17.15" hidden="false" customHeight="false" outlineLevel="0" collapsed="false">
      <c r="A6596" s="5" t="s">
        <v>595</v>
      </c>
      <c r="B6596" s="0" t="s">
        <v>129</v>
      </c>
      <c r="C6596" s="32" t="n">
        <f aca="false">Sens!$C$6593-mw_ye23</f>
        <v>240</v>
      </c>
      <c r="D6596" s="32" t="n">
        <f aca="false">Sens!$D$6593-Sens!$C$6593</f>
        <v>1080</v>
      </c>
      <c r="E6596" s="32" t="n">
        <f aca="false">Sens!$E$6593-Sens!$D$6593</f>
        <v>640</v>
      </c>
      <c r="F6596" s="32" t="n">
        <f aca="false">Sens!$F$6593-Sens!$E$6593</f>
        <v>1817.15</v>
      </c>
      <c r="G6596" s="32" t="n">
        <f aca="false">Sens!$E$6596+Sens!$F$6596</f>
        <v>2457.15</v>
      </c>
      <c r="H6596" s="32" t="n">
        <f aca="false">Sens!$H$6593-Sens!$G$6593</f>
        <v>3634.3</v>
      </c>
      <c r="I6596" s="32" t="n">
        <f aca="false">Sens!$I$6593-Sens!$H$6593</f>
        <v>3634.3</v>
      </c>
      <c r="J6596" s="32" t="n">
        <f aca="false">Sens!$J$6593-Sens!$I$6593</f>
        <v>3634.3</v>
      </c>
      <c r="K6596" s="32" t="n">
        <f aca="false">Sens!$K$6593-Sens!$J$6593</f>
        <v>2570.86716666667</v>
      </c>
      <c r="L6596" s="32" t="n">
        <f aca="false">Sens!$L$6593-Sens!$K$6593</f>
        <v>1507.43433333333</v>
      </c>
      <c r="M6596" s="32" t="n">
        <f aca="false">Sens!$M$6593-Sens!$L$6593</f>
        <v>444.001499999999</v>
      </c>
      <c r="N6596" s="32" t="n">
        <f aca="false">Sens!$N$6593-Sens!$C$6593</f>
        <v>540</v>
      </c>
      <c r="O6596" s="32" t="n">
        <f aca="false">Sens!$O$6593-Sens!$N$6593</f>
        <v>540</v>
      </c>
    </row>
    <row r="6597" customFormat="false" ht="17.15" hidden="false" customHeight="false" outlineLevel="0" collapsed="false">
      <c r="A6597" s="5" t="s">
        <v>596</v>
      </c>
      <c r="B6597" s="0" t="s">
        <v>129</v>
      </c>
      <c r="C6597" s="32" t="n">
        <f aca="false">Sens!$C$6596/ext_sh</f>
        <v>300</v>
      </c>
      <c r="D6597" s="32" t="n">
        <f aca="false">Sens!$D$6596/ext_sh</f>
        <v>1350</v>
      </c>
      <c r="E6597" s="32" t="n">
        <f aca="false">Sens!$E$6596/ext_sh</f>
        <v>800</v>
      </c>
      <c r="F6597" s="32" t="n">
        <f aca="false">Sens!$F$6596/ext_sh</f>
        <v>2271.4375</v>
      </c>
      <c r="G6597" s="32" t="n">
        <f aca="false">Sens!$G$6596/ext_sh</f>
        <v>3071.4375</v>
      </c>
      <c r="H6597" s="32" t="n">
        <f aca="false">Sens!$H$6596/ext_sh</f>
        <v>4542.875</v>
      </c>
      <c r="I6597" s="32" t="n">
        <f aca="false">Sens!$I$6596/ext_sh</f>
        <v>4542.875</v>
      </c>
      <c r="J6597" s="32" t="n">
        <f aca="false">Sens!$J$6596/ext_sh</f>
        <v>4542.875</v>
      </c>
      <c r="K6597" s="32" t="n">
        <f aca="false">Sens!$K$6596/ext_sh</f>
        <v>3213.58395833333</v>
      </c>
      <c r="L6597" s="32" t="n">
        <f aca="false">Sens!$L$6596/ext_sh</f>
        <v>1884.29291666667</v>
      </c>
      <c r="M6597" s="32" t="n">
        <f aca="false">Sens!$M$6596/ext_sh</f>
        <v>555.001874999998</v>
      </c>
      <c r="N6597" s="32" t="n">
        <f aca="false">Sens!$N$6596/ext_sh</f>
        <v>675</v>
      </c>
      <c r="O6597" s="32" t="n">
        <f aca="false">Sens!$O$6596/ext_sh</f>
        <v>675</v>
      </c>
      <c r="P6597" s="8" t="s">
        <v>597</v>
      </c>
      <c r="R6597" s="32" t="n">
        <f aca="false">mw_ye23/ext_sh</f>
        <v>150</v>
      </c>
      <c r="S6597" s="32" t="n">
        <f aca="false">Sens!$C$6597</f>
        <v>300</v>
      </c>
      <c r="T6597" s="32" t="n">
        <f aca="false">Sens!$D$6597</f>
        <v>1350</v>
      </c>
      <c r="U6597" s="32" t="n">
        <f aca="false">Sens!$G$6597</f>
        <v>3071.4375</v>
      </c>
      <c r="V6597" s="32" t="n">
        <f aca="false">Sens!$H$6597</f>
        <v>4542.875</v>
      </c>
      <c r="W6597" s="32" t="n">
        <f aca="false">Sens!$I$6597</f>
        <v>4542.875</v>
      </c>
      <c r="X6597" s="32" t="n">
        <f aca="false">Sens!$J$6597</f>
        <v>4542.875</v>
      </c>
      <c r="Y6597" s="32" t="n">
        <f aca="false">Sens!$K$6597</f>
        <v>3213.58395833333</v>
      </c>
      <c r="Z6597" s="32" t="n">
        <f aca="false">Sens!$L$6597</f>
        <v>1884.29291666667</v>
      </c>
      <c r="AA6597" s="32" t="n">
        <f aca="false">Sens!$M$6597</f>
        <v>555.001874999998</v>
      </c>
    </row>
    <row r="6598" customFormat="false" ht="17.15" hidden="false" customHeight="false" outlineLevel="0" collapsed="false">
      <c r="A6598" s="1" t="s">
        <v>598</v>
      </c>
    </row>
    <row r="6599" customFormat="false" ht="17.15" hidden="false" customHeight="false" outlineLevel="0" collapsed="false">
      <c r="A6599" s="0" t="s">
        <v>599</v>
      </c>
      <c r="B6599" s="0" t="s">
        <v>52</v>
      </c>
      <c r="F6599" s="35" t="n">
        <f aca="false">na_vr26</f>
        <v>0</v>
      </c>
      <c r="G6599" s="35" t="n">
        <f aca="false">na_vr26</f>
        <v>0</v>
      </c>
      <c r="H6599" s="35" t="n">
        <f aca="false">na_vr27</f>
        <v>0.5</v>
      </c>
      <c r="I6599" s="35" t="n">
        <f aca="false">na_vr28</f>
        <v>1</v>
      </c>
      <c r="J6599" s="35" t="n">
        <f aca="false">na_vr28</f>
        <v>1</v>
      </c>
      <c r="K6599" s="35" t="n">
        <f aca="false">na_vr28</f>
        <v>1</v>
      </c>
      <c r="L6599" s="35" t="n">
        <f aca="false">na_vr28</f>
        <v>1</v>
      </c>
      <c r="M6599" s="35" t="n">
        <f aca="false">na_vr28</f>
        <v>1</v>
      </c>
    </row>
    <row r="6600" customFormat="false" ht="17.15" hidden="false" customHeight="false" outlineLevel="0" collapsed="false">
      <c r="A6600" s="5" t="s">
        <v>600</v>
      </c>
      <c r="B6600" s="0" t="s">
        <v>173</v>
      </c>
      <c r="F6600" s="36" t="n">
        <f aca="false">cust_sh*tk_he_gb300*cf_chip+(1-cust_sh)*((1-Sens!$F$6599)*tk_he_gb300+Sens!$F$6599*tk_he_vr200)</f>
        <v>10.8864110021101</v>
      </c>
      <c r="G6600" s="36" t="n">
        <f aca="false">cust_sh*tk_he_gb300*cf_chip+(1-cust_sh)*((1-Sens!$G$6599)*tk_he_gb300+Sens!$G$6599*tk_he_vr200)</f>
        <v>10.8864110021101</v>
      </c>
      <c r="H6600" s="36" t="n">
        <f aca="false">cust_sh*tk_he_gb300*cf_chip+(1-cust_sh)*((1-Sens!$H$6599)*tk_he_gb300+Sens!$H$6599*tk_he_vr200)</f>
        <v>11.2211760027286</v>
      </c>
      <c r="I6600" s="36" t="n">
        <f aca="false">cust_sh*tk_he_gb300*cf_chip+(1-cust_sh)*((1-Sens!$I$6599)*tk_he_gb300+Sens!$I$6599*tk_he_vr200)</f>
        <v>11.5559410033471</v>
      </c>
      <c r="J6600" s="36" t="n">
        <f aca="false">cust_sh*tk_he_gb300*cf_chip+(1-cust_sh)*((1-Sens!$J$6599)*tk_he_gb300+Sens!$J$6599*tk_he_vr200)</f>
        <v>11.5559410033471</v>
      </c>
      <c r="K6600" s="36" t="n">
        <f aca="false">cust_sh*tk_he_gb300*cf_chip+(1-cust_sh)*((1-Sens!$K$6599)*tk_he_gb300+Sens!$K$6599*tk_he_vr200)</f>
        <v>11.5559410033471</v>
      </c>
      <c r="L6600" s="36" t="n">
        <f aca="false">cust_sh*tk_he_gb300*cf_chip+(1-cust_sh)*((1-Sens!$L$6599)*tk_he_gb300+Sens!$L$6599*tk_he_vr200)</f>
        <v>11.5559410033471</v>
      </c>
      <c r="M6600" s="36" t="n">
        <f aca="false">cust_sh*tk_he_gb300*cf_chip+(1-cust_sh)*((1-Sens!$M$6599)*tk_he_gb300+Sens!$M$6599*tk_he_vr200)</f>
        <v>11.5559410033471</v>
      </c>
    </row>
    <row r="6601" customFormat="false" ht="17.15" hidden="false" customHeight="false" outlineLevel="0" collapsed="false">
      <c r="A6601" s="5" t="s">
        <v>601</v>
      </c>
      <c r="B6601" s="0" t="s">
        <v>173</v>
      </c>
      <c r="F6601" s="36" t="n">
        <f aca="false">cust_sh*tk_ox_gb300+(1-cust_sh)*((1-Sens!$F$6599)*tk_ox_gb300+Sens!$F$6599*tk_ox_vr200)</f>
        <v>1.98263481314457</v>
      </c>
      <c r="G6601" s="36" t="n">
        <f aca="false">cust_sh*tk_ox_gb300+(1-cust_sh)*((1-Sens!$G$6599)*tk_ox_gb300+Sens!$G$6599*tk_ox_vr200)</f>
        <v>1.98263481314457</v>
      </c>
      <c r="H6601" s="36" t="n">
        <f aca="false">cust_sh*tk_ox_gb300+(1-cust_sh)*((1-Sens!$H$6599)*tk_ox_gb300+Sens!$H$6599*tk_ox_vr200)</f>
        <v>2.01034999693694</v>
      </c>
      <c r="I6601" s="36" t="n">
        <f aca="false">cust_sh*tk_ox_gb300+(1-cust_sh)*((1-Sens!$I$6599)*tk_ox_gb300+Sens!$I$6599*tk_ox_vr200)</f>
        <v>2.0380651807293</v>
      </c>
      <c r="J6601" s="36" t="n">
        <f aca="false">cust_sh*tk_ox_gb300+(1-cust_sh)*((1-Sens!$J$6599)*tk_ox_gb300+Sens!$J$6599*tk_ox_vr200)</f>
        <v>2.0380651807293</v>
      </c>
      <c r="K6601" s="36" t="n">
        <f aca="false">cust_sh*tk_ox_gb300+(1-cust_sh)*((1-Sens!$K$6599)*tk_ox_gb300+Sens!$K$6599*tk_ox_vr200)</f>
        <v>2.0380651807293</v>
      </c>
      <c r="L6601" s="36" t="n">
        <f aca="false">cust_sh*tk_ox_gb300+(1-cust_sh)*((1-Sens!$L$6599)*tk_ox_gb300+Sens!$L$6599*tk_ox_vr200)</f>
        <v>2.0380651807293</v>
      </c>
      <c r="M6601" s="36" t="n">
        <f aca="false">cust_sh*tk_ox_gb300+(1-cust_sh)*((1-Sens!$M$6599)*tk_ox_gb300+Sens!$M$6599*tk_ox_vr200)</f>
        <v>2.0380651807293</v>
      </c>
    </row>
    <row r="6602" customFormat="false" ht="17.15" hidden="false" customHeight="false" outlineLevel="0" collapsed="false">
      <c r="A6602" s="5" t="s">
        <v>602</v>
      </c>
      <c r="B6602" s="0" t="s">
        <v>192</v>
      </c>
      <c r="F6602" s="36" t="n">
        <f aca="false">cust_sh*tk_cx_gb300*cf_cx+(1-cust_sh)*((1-Sens!$F$6599)*tk_cx_gb300+Sens!$F$6599*tk_cx_vr200)</f>
        <v>32.237224</v>
      </c>
      <c r="G6602" s="36" t="n">
        <f aca="false">cust_sh*tk_cx_gb300*cf_cx+(1-cust_sh)*((1-Sens!$G$6599)*tk_cx_gb300+Sens!$G$6599*tk_cx_vr200)</f>
        <v>32.237224</v>
      </c>
      <c r="H6602" s="36" t="n">
        <f aca="false">cust_sh*tk_cx_gb300*cf_cx+(1-cust_sh)*((1-Sens!$H$6599)*tk_cx_gb300+Sens!$H$6599*tk_cx_vr200)</f>
        <v>33.574506</v>
      </c>
      <c r="I6602" s="36" t="n">
        <f aca="false">cust_sh*tk_cx_gb300*cf_cx+(1-cust_sh)*((1-Sens!$I$6599)*tk_cx_gb300+Sens!$I$6599*tk_cx_vr200)</f>
        <v>34.911788</v>
      </c>
      <c r="J6602" s="36" t="n">
        <f aca="false">cust_sh*tk_cx_gb300*cf_cx+(1-cust_sh)*((1-Sens!$J$6599)*tk_cx_gb300+Sens!$J$6599*tk_cx_vr200)</f>
        <v>34.911788</v>
      </c>
      <c r="K6602" s="36" t="n">
        <f aca="false">cust_sh*tk_cx_gb300*cf_cx+(1-cust_sh)*((1-Sens!$K$6599)*tk_cx_gb300+Sens!$K$6599*tk_cx_vr200)</f>
        <v>34.911788</v>
      </c>
      <c r="L6602" s="36" t="n">
        <f aca="false">cust_sh*tk_cx_gb300*cf_cx+(1-cust_sh)*((1-Sens!$L$6599)*tk_cx_gb300+Sens!$L$6599*tk_cx_vr200)</f>
        <v>34.911788</v>
      </c>
      <c r="M6602" s="36" t="n">
        <f aca="false">cust_sh*tk_cx_gb300*cf_cx+(1-cust_sh)*((1-Sens!$M$6599)*tk_cx_gb300+Sens!$M$6599*tk_cx_vr200)</f>
        <v>34.911788</v>
      </c>
    </row>
    <row r="6603" customFormat="false" ht="17.15" hidden="false" customHeight="false" outlineLevel="0" collapsed="false">
      <c r="A6603" s="5" t="s">
        <v>603</v>
      </c>
      <c r="B6603" s="0" t="s">
        <v>129</v>
      </c>
      <c r="F6603" s="32" t="n">
        <f aca="false">Sens!$F$6593-mw_open</f>
        <v>1817.15</v>
      </c>
      <c r="G6603" s="32" t="n">
        <f aca="false">Sens!$F$6603</f>
        <v>1817.15</v>
      </c>
      <c r="H6603" s="32" t="n">
        <f aca="false">Sens!$H$6593-mw_open</f>
        <v>5451.45</v>
      </c>
      <c r="I6603" s="32" t="n">
        <f aca="false">Sens!$I$6593-mw_open</f>
        <v>9085.75</v>
      </c>
      <c r="J6603" s="32" t="n">
        <f aca="false">Sens!$J$6593-mw_open</f>
        <v>12720.05</v>
      </c>
      <c r="K6603" s="32" t="n">
        <f aca="false">Sens!$K$6593-mw_open</f>
        <v>15290.9171666667</v>
      </c>
      <c r="L6603" s="32" t="n">
        <f aca="false">Sens!$L$6593-mw_open</f>
        <v>16798.3515</v>
      </c>
      <c r="M6603" s="32" t="n">
        <f aca="false">Sens!$M$6593-mw_open</f>
        <v>17242.353</v>
      </c>
    </row>
    <row r="6604" customFormat="false" ht="17.15" hidden="false" customHeight="false" outlineLevel="0" collapsed="false">
      <c r="A6604" s="0" t="s">
        <v>604</v>
      </c>
      <c r="B6604" s="0" t="s">
        <v>605</v>
      </c>
      <c r="F6604" s="32" t="n">
        <f aca="false">Sens!$F$6596*Sens!$F$6600</f>
        <v>19782.2417524844</v>
      </c>
      <c r="G6604" s="32" t="n">
        <f aca="false">Sens!$F$6604</f>
        <v>19782.2417524844</v>
      </c>
      <c r="H6604" s="32" t="n">
        <f aca="false">Sens!$G$6604+Sens!$H$6596*Sens!$H$6600</f>
        <v>60563.3616992009</v>
      </c>
      <c r="I6604" s="32" t="n">
        <f aca="false">Sens!$H$6604+Sens!$I$6596*Sens!$I$6600</f>
        <v>102561.118087665</v>
      </c>
      <c r="J6604" s="32" t="n">
        <f aca="false">Sens!$I$6604+Sens!$J$6596*Sens!$J$6600</f>
        <v>144558.87447613</v>
      </c>
      <c r="K6604" s="32" t="n">
        <f aca="false">Sens!$J$6604+Sens!$K$6596*Sens!$K$6600</f>
        <v>174267.663781572</v>
      </c>
      <c r="L6604" s="32" t="n">
        <f aca="false">Sens!$K$6604+Sens!$L$6596*Sens!$L$6600</f>
        <v>191687.486003992</v>
      </c>
      <c r="M6604" s="32" t="n">
        <f aca="false">Sens!$L$6604+Sens!$M$6596*Sens!$M$6600</f>
        <v>196818.341143389</v>
      </c>
    </row>
    <row r="6605" customFormat="false" ht="17.15" hidden="false" customHeight="false" outlineLevel="0" collapsed="false">
      <c r="A6605" s="0" t="s">
        <v>606</v>
      </c>
      <c r="B6605" s="0" t="s">
        <v>605</v>
      </c>
      <c r="F6605" s="32" t="n">
        <f aca="false">Sens!$F$6596*Sens!$F$6601</f>
        <v>3602.74485070566</v>
      </c>
      <c r="G6605" s="32" t="n">
        <f aca="false">Sens!$F$6605</f>
        <v>3602.74485070566</v>
      </c>
      <c r="H6605" s="32" t="n">
        <f aca="false">Sens!$G$6605+Sens!$H$6596*Sens!$H$6601</f>
        <v>10908.9598445736</v>
      </c>
      <c r="I6605" s="32" t="n">
        <f aca="false">Sens!$H$6605+Sens!$I$6596*Sens!$I$6601</f>
        <v>18315.9001308981</v>
      </c>
      <c r="J6605" s="32" t="n">
        <f aca="false">Sens!$I$6605+Sens!$J$6596*Sens!$J$6601</f>
        <v>25722.8404172225</v>
      </c>
      <c r="K6605" s="32" t="n">
        <f aca="false">Sens!$J$6605+Sens!$K$6596*Sens!$K$6601</f>
        <v>30962.4352738861</v>
      </c>
      <c r="L6605" s="32" t="n">
        <f aca="false">Sens!$K$6605+Sens!$L$6596*Sens!$L$6601</f>
        <v>34034.6847008886</v>
      </c>
      <c r="M6605" s="32" t="n">
        <f aca="false">Sens!$L$6605+Sens!$M$6596*Sens!$M$6601</f>
        <v>34939.5886982302</v>
      </c>
    </row>
    <row r="6606" customFormat="false" ht="17.15" hidden="false" customHeight="false" outlineLevel="0" collapsed="false">
      <c r="A6606" s="5" t="s">
        <v>607</v>
      </c>
      <c r="B6606" s="0" t="s">
        <v>173</v>
      </c>
      <c r="F6606" s="36" t="n">
        <f aca="false">IF(Sens!$F$6603&gt;0,Sens!$F$6604/Sens!$F$6603,Sens!$F$6600)</f>
        <v>10.8864110021101</v>
      </c>
      <c r="G6606" s="36" t="n">
        <f aca="false">IF(Sens!$G$6603&gt;0,Sens!$G$6604/Sens!$G$6603,Sens!$G$6600)</f>
        <v>10.8864110021101</v>
      </c>
      <c r="H6606" s="36" t="n">
        <f aca="false">IF(Sens!$H$6603&gt;0,Sens!$H$6604/Sens!$H$6603,Sens!$H$6600)</f>
        <v>11.1095876691891</v>
      </c>
      <c r="I6606" s="36" t="n">
        <f aca="false">IF(Sens!$I$6603&gt;0,Sens!$I$6604/Sens!$I$6603,Sens!$I$6600)</f>
        <v>11.2881290028523</v>
      </c>
      <c r="J6606" s="36" t="n">
        <f aca="false">IF(Sens!$J$6603&gt;0,Sens!$J$6604/Sens!$J$6603,Sens!$J$6600)</f>
        <v>11.3646467172794</v>
      </c>
      <c r="K6606" s="36" t="n">
        <f aca="false">IF(Sens!$K$6603&gt;0,Sens!$K$6604/Sens!$K$6603,Sens!$K$6600)</f>
        <v>11.3968090914432</v>
      </c>
      <c r="L6606" s="36" t="n">
        <f aca="false">IF(Sens!$L$6603&gt;0,Sens!$L$6604/Sens!$L$6603,Sens!$L$6600)</f>
        <v>11.4110891181192</v>
      </c>
      <c r="M6606" s="36" t="n">
        <f aca="false">IF(Sens!$M$6603&gt;0,Sens!$M$6604/Sens!$M$6603,Sens!$M$6600)</f>
        <v>11.4148191458201</v>
      </c>
    </row>
    <row r="6607" customFormat="false" ht="17.15" hidden="false" customHeight="false" outlineLevel="0" collapsed="false">
      <c r="A6607" s="5" t="s">
        <v>608</v>
      </c>
      <c r="B6607" s="0" t="s">
        <v>173</v>
      </c>
      <c r="F6607" s="36" t="n">
        <f aca="false">IF(Sens!$F$6603&gt;0,Sens!$F$6605/Sens!$F$6603,Sens!$F$6601)</f>
        <v>1.98263481314457</v>
      </c>
      <c r="G6607" s="36" t="n">
        <f aca="false">IF(Sens!$G$6603&gt;0,Sens!$G$6605/Sens!$G$6603,Sens!$G$6601)</f>
        <v>1.98263481314457</v>
      </c>
      <c r="H6607" s="36" t="n">
        <f aca="false">IF(Sens!$H$6603&gt;0,Sens!$H$6605/Sens!$H$6603,Sens!$H$6601)</f>
        <v>2.00111160233948</v>
      </c>
      <c r="I6607" s="36" t="n">
        <f aca="false">IF(Sens!$I$6603&gt;0,Sens!$I$6605/Sens!$I$6603,Sens!$I$6601)</f>
        <v>2.01589303369541</v>
      </c>
      <c r="J6607" s="36" t="n">
        <f aca="false">IF(Sens!$J$6603&gt;0,Sens!$J$6605/Sens!$J$6603,Sens!$J$6601)</f>
        <v>2.02222793284795</v>
      </c>
      <c r="K6607" s="36" t="n">
        <f aca="false">IF(Sens!$K$6603&gt;0,Sens!$K$6605/Sens!$K$6603,Sens!$K$6601)</f>
        <v>2.02489065478573</v>
      </c>
      <c r="L6607" s="36" t="n">
        <f aca="false">IF(Sens!$L$6603&gt;0,Sens!$L$6605/Sens!$L$6603,Sens!$L$6601)</f>
        <v>2.0260728977417</v>
      </c>
      <c r="M6607" s="36" t="n">
        <f aca="false">IF(Sens!$M$6603&gt;0,Sens!$M$6605/Sens!$M$6603,Sens!$M$6601)</f>
        <v>2.02638170661685</v>
      </c>
    </row>
    <row r="6608" customFormat="false" ht="17.15" hidden="false" customHeight="false" outlineLevel="0" collapsed="false">
      <c r="A6608" s="15" t="s">
        <v>609</v>
      </c>
      <c r="B6608" s="14" t="s">
        <v>173</v>
      </c>
      <c r="C6608" s="14"/>
      <c r="D6608" s="14"/>
      <c r="E6608" s="14"/>
      <c r="F6608" s="37" t="n">
        <f aca="false">Sens!$F$6606*k_B</f>
        <v>10.7987645808025</v>
      </c>
      <c r="G6608" s="37" t="n">
        <f aca="false">Sens!$G$6606*k_B</f>
        <v>10.7987645808025</v>
      </c>
      <c r="H6608" s="37" t="n">
        <f aca="false">Sens!$H$6606*k_B</f>
        <v>11.0201444540452</v>
      </c>
      <c r="I6608" s="37" t="n">
        <f aca="false">Sens!$I$6606*k_B</f>
        <v>11.1972483526393</v>
      </c>
      <c r="J6608" s="37" t="n">
        <f aca="false">Sens!$J$6606*k_B</f>
        <v>11.2731500234653</v>
      </c>
      <c r="K6608" s="37" t="n">
        <f aca="false">Sens!$K$6606*k_B</f>
        <v>11.3050534585724</v>
      </c>
      <c r="L6608" s="37" t="n">
        <f aca="false">Sens!$L$6606*k_B</f>
        <v>11.3192185168503</v>
      </c>
      <c r="M6608" s="37" t="n">
        <f aca="false">Sens!$M$6606*k_B</f>
        <v>11.3229185141234</v>
      </c>
      <c r="N6608" s="14"/>
      <c r="O6608" s="14"/>
      <c r="P6608" s="5" t="s">
        <v>610</v>
      </c>
    </row>
    <row r="6609" customFormat="false" ht="17.15" hidden="false" customHeight="false" outlineLevel="0" collapsed="false">
      <c r="A6609" s="5" t="s">
        <v>611</v>
      </c>
      <c r="B6609" s="0" t="s">
        <v>129</v>
      </c>
      <c r="F6609" s="32" t="n">
        <f aca="false">Sens!$F$6603/2</f>
        <v>908.575</v>
      </c>
      <c r="H6609" s="32" t="n">
        <f aca="false">(Sens!$G$6603+Sens!$H$6603)/2</f>
        <v>3634.3</v>
      </c>
      <c r="I6609" s="32" t="n">
        <f aca="false">(Sens!$H$6603+Sens!$I$6603)/2</f>
        <v>7268.6</v>
      </c>
      <c r="J6609" s="32" t="n">
        <f aca="false">(Sens!$I$6603+Sens!$J$6603)/2</f>
        <v>10902.9</v>
      </c>
      <c r="K6609" s="32" t="n">
        <f aca="false">(Sens!$J$6603+Sens!$K$6603)/2</f>
        <v>14005.4835833333</v>
      </c>
      <c r="L6609" s="32" t="n">
        <f aca="false">(Sens!$K$6603+Sens!$L$6603)/2</f>
        <v>16044.6343333333</v>
      </c>
      <c r="M6609" s="32" t="n">
        <f aca="false">(Sens!$L$6603+Sens!$M$6603)/2</f>
        <v>17020.35225</v>
      </c>
    </row>
    <row r="6610" customFormat="false" ht="17.15" hidden="false" customHeight="false" outlineLevel="0" collapsed="false">
      <c r="A6610" s="1" t="s">
        <v>612</v>
      </c>
    </row>
    <row r="6611" customFormat="false" ht="17.15" hidden="false" customHeight="false" outlineLevel="0" collapsed="false">
      <c r="A6611" s="1" t="s">
        <v>613</v>
      </c>
      <c r="B6611" s="8" t="s">
        <v>86</v>
      </c>
      <c r="C6611" s="38" t="n">
        <f aca="false">Sens!$C$6594*rpm_open*Sens!$C$6595/1000</f>
        <v>2.32100535697364</v>
      </c>
      <c r="D6611" s="38" t="n">
        <f aca="false">Sens!$D$6594*rpm_open*Sens!$D$6595/1000</f>
        <v>8.70377008865116</v>
      </c>
      <c r="E6611" s="38" t="n">
        <f aca="false">Sens!$E$6594*rpm_open*Sens!$E$6595/1000</f>
        <v>8.51035297557002</v>
      </c>
      <c r="F6611" s="38" t="n">
        <f aca="false">(mw_open*rpm_open+Sens!$F$6609*Sens!$F$6608)*Sens!$F$6595/1000</f>
        <v>14.9634336447205</v>
      </c>
      <c r="G6611" s="38" t="n">
        <f aca="false">Sens!$E$6611+Sens!$F$6611</f>
        <v>23.4737866202905</v>
      </c>
      <c r="H6611" s="38" t="n">
        <f aca="false">(mw_open*rpm_open+Sens!$H$6609*Sens!$H$6608)/1000</f>
        <v>60.1658907497746</v>
      </c>
      <c r="I6611" s="38" t="n">
        <f aca="false">(mw_open*rpm_open+Sens!$I$6609*Sens!$I$6608)/1000</f>
        <v>101.503699136432</v>
      </c>
      <c r="J6611" s="38" t="n">
        <f aca="false">(mw_open*rpm_open+Sens!$J$6609*Sens!$J$6608)/1000</f>
        <v>143.025407151278</v>
      </c>
      <c r="K6611" s="38" t="n">
        <f aca="false">(mw_open*rpm_open+Sens!$K$6609*Sens!$K$6608)/1000</f>
        <v>178.44812038318</v>
      </c>
      <c r="L6611" s="38" t="n">
        <f aca="false">(mw_open*rpm_open+Sens!$L$6609*Sens!$L$6608)/1000</f>
        <v>201.728101802396</v>
      </c>
      <c r="M6611" s="38" t="n">
        <f aca="false">(mw_open*rpm_open+Sens!$M$6609*Sens!$M$6608)/1000</f>
        <v>212.835441368865</v>
      </c>
      <c r="N6611" s="38" t="n">
        <f aca="false">Sens!$N$6594*rpm_open*Sens!$N$6595/1000</f>
        <v>3.04631953102791</v>
      </c>
      <c r="O6611" s="38" t="n">
        <f aca="false">Sens!$O$6594*rpm_open*Sens!$O$6595/1000</f>
        <v>5.65745055762326</v>
      </c>
      <c r="P6611" s="5" t="s">
        <v>614</v>
      </c>
    </row>
    <row r="6612" customFormat="false" ht="17.15" hidden="false" customHeight="false" outlineLevel="0" collapsed="false">
      <c r="A6612" s="5" t="s">
        <v>615</v>
      </c>
      <c r="B6612" s="0" t="s">
        <v>173</v>
      </c>
      <c r="C6612" s="36" t="n">
        <f aca="false">Sens!$C$6611*1000/(Sens!$C$6594*Sens!$C$6595)</f>
        <v>9.67085565405685</v>
      </c>
      <c r="D6612" s="36" t="n">
        <f aca="false">Sens!$D$6611*1000/(Sens!$D$6594*Sens!$D$6595)</f>
        <v>9.67085565405685</v>
      </c>
      <c r="E6612" s="36" t="n">
        <f aca="false">Sens!$E$6611*1000/(Sens!$E$6594*Sens!$E$6595)</f>
        <v>9.67085565405685</v>
      </c>
      <c r="F6612" s="36" t="n">
        <f aca="false">Sens!$F$6611*1000/(Sens!$F$6594*Sens!$F$6595)</f>
        <v>10.0137581588017</v>
      </c>
      <c r="G6612" s="36" t="n">
        <f aca="false">Sens!$G$6611*1000/(Sens!$G$6594*Sens!$G$6595)</f>
        <v>9.88666562928478</v>
      </c>
      <c r="H6612" s="36" t="n">
        <f aca="false">Sens!$H$6611*1000/(Sens!$H$6594*Sens!$H$6595)</f>
        <v>10.5290045586992</v>
      </c>
      <c r="I6612" s="36" t="n">
        <f aca="false">Sens!$I$6611*1000/(Sens!$I$6594*Sens!$I$6595)</f>
        <v>10.8576363451674</v>
      </c>
      <c r="J6612" s="36" t="n">
        <f aca="false">Sens!$J$6611*1000/(Sens!$J$6594*Sens!$J$6595)</f>
        <v>11.0164452588619</v>
      </c>
      <c r="K6612" s="36" t="n">
        <f aca="false">Sens!$K$6611*1000/(Sens!$K$6594*Sens!$K$6595)</f>
        <v>11.0937367508227</v>
      </c>
      <c r="L6612" s="36" t="n">
        <f aca="false">Sens!$L$6611*1000/(Sens!$L$6594*Sens!$L$6595)</f>
        <v>11.1300508519168</v>
      </c>
      <c r="M6612" s="36" t="n">
        <f aca="false">Sens!$M$6611*1000/(Sens!$M$6594*Sens!$M$6595)</f>
        <v>11.1430113216297</v>
      </c>
      <c r="N6612" s="36" t="n">
        <f aca="false">Sens!$N$6611*1000/(Sens!$N$6594*Sens!$N$6595)</f>
        <v>9.67085565405685</v>
      </c>
      <c r="O6612" s="36" t="n">
        <f aca="false">Sens!$O$6611*1000/(Sens!$O$6594*Sens!$O$6595)</f>
        <v>9.67085565405685</v>
      </c>
    </row>
    <row r="6613" customFormat="false" ht="17.15" hidden="false" customHeight="false" outlineLevel="0" collapsed="false">
      <c r="A6613" s="0" t="s">
        <v>616</v>
      </c>
      <c r="B6613" s="0" t="s">
        <v>86</v>
      </c>
      <c r="C6613" s="38" t="n">
        <f aca="false">Sens!$C$6594/ext_sh*(ox_open+rent_mw)*Sens!$C$6595/1000</f>
        <v>0.642569210675032</v>
      </c>
      <c r="D6613" s="38" t="n">
        <f aca="false">Sens!$D$6594/ext_sh*(ox_open+rent_mw)*Sens!$D$6595/1000</f>
        <v>2.40963454003137</v>
      </c>
      <c r="E6613" s="38" t="n">
        <f aca="false">Sens!$E$6594/ext_sh*(ox_open+rent_mw)*Sens!$E$6595/1000</f>
        <v>2.35608710580845</v>
      </c>
      <c r="F6613" s="38" t="n">
        <f aca="false">((mw_open*ox_open+Sens!$F$6609*Sens!$F$6607)/ext_sh+Sens!$F$6594/ext_sh*rent_mw)*Sens!$F$6595/1000</f>
        <v>4.05421991106232</v>
      </c>
      <c r="G6613" s="38" t="n">
        <f aca="false">Sens!$E$6613+Sens!$F$6613</f>
        <v>6.41030701687077</v>
      </c>
      <c r="H6613" s="38" t="n">
        <f aca="false">((mw_open*ox_open+Sens!$H$6609*Sens!$H$6607)/ext_sh+Sens!$H$6594/ext_sh*rent_mw)*Sens!$H$6595/1000</f>
        <v>15.8108975546616</v>
      </c>
      <c r="I6613" s="38" t="n">
        <f aca="false">((mw_open*ox_open+Sens!$I$6609*Sens!$I$6607)/ext_sh+Sens!$I$6594/ext_sh*rent_mw)*Sens!$I$6595/1000</f>
        <v>26.1871623400817</v>
      </c>
      <c r="J6613" s="38" t="n">
        <f aca="false">((mw_open*ox_open+Sens!$J$6609*Sens!$J$6607)/ext_sh+Sens!$J$6594/ext_sh*rent_mw)*Sens!$J$6595/1000</f>
        <v>36.5826128954935</v>
      </c>
      <c r="K6613" s="38" t="n">
        <f aca="false">((mw_open*ox_open+Sens!$K$6609*Sens!$K$6607)/ext_sh+Sens!$K$6594/ext_sh*rent_mw)*Sens!$K$6595/1000</f>
        <v>45.4546361137628</v>
      </c>
      <c r="L6613" s="38" t="n">
        <f aca="false">((mw_open*ox_open+Sens!$L$6609*Sens!$L$6607)/ext_sh+Sens!$L$6594/ext_sh*rent_mw)*Sens!$L$6595/1000</f>
        <v>51.2855695554452</v>
      </c>
      <c r="M6613" s="38" t="n">
        <f aca="false">((mw_open*ox_open+Sens!$M$6609*Sens!$M$6607)/ext_sh+Sens!$M$6594/ext_sh*rent_mw)*Sens!$M$6595/1000</f>
        <v>54.0722927838398</v>
      </c>
      <c r="N6613" s="38" t="n">
        <f aca="false">Sens!$N$6594/ext_sh*(ox_open+rent_mw)*Sens!$N$6595/1000</f>
        <v>0.84337208901098</v>
      </c>
      <c r="O6613" s="38" t="n">
        <f aca="false">Sens!$O$6594/ext_sh*(ox_open+rent_mw)*Sens!$O$6595/1000</f>
        <v>1.56626245102039</v>
      </c>
    </row>
    <row r="6614" customFormat="false" ht="17.15" hidden="false" customHeight="false" outlineLevel="0" collapsed="false">
      <c r="A6614" s="0" t="s">
        <v>617</v>
      </c>
      <c r="B6614" s="0" t="s">
        <v>86</v>
      </c>
      <c r="C6614" s="38" t="n">
        <f aca="false">Q!$D$7</f>
        <v>107.556</v>
      </c>
      <c r="D6614" s="38" t="n">
        <f aca="false">Q!$E$7</f>
        <v>128.725</v>
      </c>
      <c r="E6614" s="38" t="n">
        <f aca="false">Q!$P$7</f>
        <v>79.819</v>
      </c>
      <c r="N6614" s="38" t="n">
        <f aca="false">Q!$N$7</f>
        <v>60.14</v>
      </c>
      <c r="O6614" s="38" t="n">
        <f aca="false">Q!$O$7</f>
        <v>68.585</v>
      </c>
    </row>
    <row r="6615" customFormat="false" ht="17.15" hidden="false" customHeight="false" outlineLevel="0" collapsed="false">
      <c r="A6615" s="1" t="s">
        <v>618</v>
      </c>
      <c r="B6615" s="8" t="s">
        <v>86</v>
      </c>
      <c r="C6615" s="38" t="n">
        <f aca="false">Sens!$C$6614-Sens!$C$6611</f>
        <v>105.234994643026</v>
      </c>
      <c r="D6615" s="38" t="n">
        <f aca="false">Sens!$D$6614-Sens!$D$6611</f>
        <v>120.021229911349</v>
      </c>
      <c r="E6615" s="38" t="n">
        <f aca="false">Sens!$E$6614-Sens!$E$6611</f>
        <v>71.30864702443</v>
      </c>
      <c r="F6615" s="38" t="n">
        <f aca="false">Sens!$O$6615*(1+Sens!$F$6616)</f>
        <v>71.7692997942464</v>
      </c>
      <c r="G6615" s="38" t="n">
        <f aca="false">Sens!$E$6615+Sens!$F$6615</f>
        <v>143.077946818676</v>
      </c>
      <c r="H6615" s="38" t="n">
        <f aca="false">Sens!$G$6615*(1+Sens!$H$6616)</f>
        <v>161.017077079203</v>
      </c>
      <c r="I6615" s="38" t="n">
        <f aca="false">Sens!$H$6615*(1+Sens!$I$6616)</f>
        <v>178.769759521457</v>
      </c>
      <c r="J6615" s="38" t="n">
        <f aca="false">Sens!$I$6615*(1+Sens!$J$6616)</f>
        <v>195.775538045907</v>
      </c>
      <c r="K6615" s="38" t="n">
        <f aca="false">Sens!$J$6615*(1+Sens!$K$6616)</f>
        <v>211.43758108958</v>
      </c>
      <c r="L6615" s="38" t="n">
        <f aca="false">Sens!$K$6615*(1+Sens!$L$6616)</f>
        <v>228.352587576746</v>
      </c>
      <c r="M6615" s="38" t="n">
        <f aca="false">Sens!$L$6615*(1+Sens!$M$6616)</f>
        <v>246.620794582886</v>
      </c>
      <c r="N6615" s="38" t="n">
        <f aca="false">Sens!$N$6614-Sens!$N$6611</f>
        <v>57.0936804689721</v>
      </c>
      <c r="O6615" s="38" t="n">
        <f aca="false">Sens!$O$6614-Sens!$O$6611</f>
        <v>62.9275494423768</v>
      </c>
      <c r="P6615" s="5" t="s">
        <v>619</v>
      </c>
    </row>
    <row r="6616" customFormat="false" ht="17.15" hidden="false" customHeight="false" outlineLevel="0" collapsed="false">
      <c r="A6616" s="0" t="s">
        <v>620</v>
      </c>
      <c r="B6616" s="0" t="s">
        <v>52</v>
      </c>
      <c r="D6616" s="13" t="n">
        <f aca="false">Sens!$D$6615/Sens!$C$6615-1</f>
        <v>0.140506827776062</v>
      </c>
      <c r="E6616" s="13" t="n">
        <f aca="false">Sens!$E$6615/Sens!$N$6615-1</f>
        <v>0.248976181579029</v>
      </c>
      <c r="F6616" s="13" t="n">
        <f aca="false">Sens!$D$6616</f>
        <v>0.140506827776062</v>
      </c>
      <c r="G6616" s="13" t="n">
        <f aca="false">Sens!$G$6615/Sens!$D$6615-1</f>
        <v>0.19210532106993</v>
      </c>
      <c r="H6616" s="13" t="n">
        <f aca="false">Sens!$F$6616+(g_awso_lt-Sens!$F$6616)*1/4</f>
        <v>0.125380120832046</v>
      </c>
      <c r="I6616" s="13" t="n">
        <f aca="false">Sens!$F$6616+(g_awso_lt-Sens!$F$6616)*2/4</f>
        <v>0.110253413888031</v>
      </c>
      <c r="J6616" s="13" t="n">
        <f aca="false">Sens!$F$6616+(g_awso_lt-Sens!$F$6616)*3/4</f>
        <v>0.0951267069440154</v>
      </c>
      <c r="K6616" s="13" t="n">
        <f aca="false">Sens!$F$6616+(g_awso_lt-Sens!$F$6616)*4/4</f>
        <v>0.08</v>
      </c>
      <c r="L6616" s="13" t="n">
        <f aca="false">g_awso_lt</f>
        <v>0.08</v>
      </c>
      <c r="M6616" s="13" t="n">
        <f aca="false">g_awso_lt</f>
        <v>0.08</v>
      </c>
      <c r="P6616" s="5" t="s">
        <v>621</v>
      </c>
    </row>
    <row r="6617" customFormat="false" ht="17.15" hidden="false" customHeight="false" outlineLevel="0" collapsed="false">
      <c r="A6617" s="1" t="s">
        <v>622</v>
      </c>
    </row>
    <row r="6618" customFormat="false" ht="17.15" hidden="false" customHeight="false" outlineLevel="0" collapsed="false">
      <c r="A6618" s="0" t="s">
        <v>623</v>
      </c>
      <c r="B6618" s="0" t="s">
        <v>86</v>
      </c>
      <c r="F6618" s="38" t="n">
        <f aca="false">cx_rt*Sens!$F$6583+cx_awso*Sens!$F$6615</f>
        <v>34.9734495387866</v>
      </c>
    </row>
    <row r="6619" customFormat="false" ht="17.15" hidden="false" customHeight="false" outlineLevel="0" collapsed="false">
      <c r="A6619" s="0" t="s">
        <v>624</v>
      </c>
      <c r="B6619" s="0" t="s">
        <v>52</v>
      </c>
      <c r="C6619" s="13" t="n">
        <f aca="false">tk_cx_h100/(tk_cx_h100+tk_fac*(1-colo_sh))</f>
        <v>0.730756458006641</v>
      </c>
      <c r="D6619" s="13" t="n">
        <f aca="false">tk_cx_h100/(tk_cx_h100+tk_fac*(1-colo_sh))</f>
        <v>0.730756458006641</v>
      </c>
      <c r="E6619" s="13" t="n">
        <f aca="false">Sens!$F$6619</f>
        <v>0.760792334328868</v>
      </c>
      <c r="F6619" s="13" t="n">
        <f aca="false">Sens!$F$6602/(Sens!$F$6602+tk_fac*(1-colo_sh))</f>
        <v>0.760792334328868</v>
      </c>
      <c r="G6619" s="13" t="n">
        <f aca="false">Sens!$G$6602/(Sens!$G$6602+tk_fac*(1-colo_sh))</f>
        <v>0.760792334328868</v>
      </c>
      <c r="H6619" s="13" t="n">
        <f aca="false">Sens!$H$6602/(Sens!$H$6602+tk_fac*(1-colo_sh))</f>
        <v>0.768110668862996</v>
      </c>
      <c r="I6619" s="13" t="n">
        <f aca="false">Sens!$I$6602/(Sens!$I$6602+tk_fac*(1-colo_sh))</f>
        <v>0.77499450139483</v>
      </c>
      <c r="J6619" s="13" t="n">
        <f aca="false">Sens!$J$6602/(Sens!$J$6602+tk_fac*(1-colo_sh))</f>
        <v>0.77499450139483</v>
      </c>
      <c r="K6619" s="13" t="n">
        <f aca="false">Sens!$K$6602/(Sens!$K$6602+tk_fac*(1-colo_sh))</f>
        <v>0.77499450139483</v>
      </c>
      <c r="L6619" s="13" t="n">
        <f aca="false">Sens!$L$6602/(Sens!$L$6602+tk_fac*(1-colo_sh))</f>
        <v>0.77499450139483</v>
      </c>
      <c r="M6619" s="13" t="n">
        <f aca="false">Sens!$M$6602/(Sens!$M$6602+tk_fac*(1-colo_sh))</f>
        <v>0.77499450139483</v>
      </c>
    </row>
    <row r="6620" customFormat="false" ht="17.15" hidden="false" customHeight="false" outlineLevel="0" collapsed="false">
      <c r="A6620" s="1" t="s">
        <v>625</v>
      </c>
      <c r="B6620" s="8" t="s">
        <v>86</v>
      </c>
      <c r="C6620" s="38" t="n">
        <f aca="false">Q!$D$46-cx_rt*Q!$D$16-cx_awso*Sens!$C$6615</f>
        <v>25.2781053077374</v>
      </c>
      <c r="D6620" s="38" t="n">
        <f aca="false">Q!$E$46-cx_rt*Q!$E$16-cx_awso*Sens!$D$6615</f>
        <v>69.5686316310026</v>
      </c>
      <c r="E6620" s="38" t="n">
        <f aca="false">Q!$P$46-cx_rt*Q!$P$16-cx_awso*Sens!$E$6615</f>
        <v>64.1899206485108</v>
      </c>
      <c r="F6620" s="38" t="n">
        <f aca="false">MAX(Sens!$F$6597*(Sens!$F$6602+tk_fac*(1-colo_sh))/1000,capex_g26-Q!$P$46-Sens!$F$6618)</f>
        <v>96.2481299895</v>
      </c>
      <c r="G6620" s="38" t="n">
        <f aca="false">Sens!$E$6620+Sens!$F$6620</f>
        <v>160.438050638011</v>
      </c>
      <c r="H6620" s="38" t="n">
        <f aca="false">Sens!$H$6597*(Sens!$H$6602+tk_fac*(1-colo_sh))/1000+Sens!$H$6621</f>
        <v>198.57136494475</v>
      </c>
      <c r="I6620" s="38" t="n">
        <f aca="false">Sens!$I$6597*(Sens!$I$6602+tk_fac*(1-colo_sh))/1000+Sens!$I$6621</f>
        <v>204.6464699105</v>
      </c>
      <c r="J6620" s="38" t="n">
        <f aca="false">Sens!$J$6597*(Sens!$J$6602+tk_fac*(1-colo_sh))/1000+Sens!$J$6621</f>
        <v>209.8832381105</v>
      </c>
      <c r="K6620" s="38" t="n">
        <f aca="false">Sens!$K$6597*(Sens!$K$6602+tk_fac*(1-colo_sh))/1000+Sens!$K$6621</f>
        <v>155.238385275201</v>
      </c>
      <c r="L6620" s="38" t="n">
        <f aca="false">Sens!$L$6597*(Sens!$L$6602+tk_fac*(1-colo_sh))/1000+Sens!$L$6621</f>
        <v>132.014141639902</v>
      </c>
      <c r="M6620" s="38" t="n">
        <f aca="false">Sens!$M$6597*(Sens!$M$6602+tk_fac*(1-colo_sh))/1000+Sens!$M$6621</f>
        <v>132.230981659852</v>
      </c>
      <c r="P6620" s="5" t="s">
        <v>626</v>
      </c>
      <c r="R6620" s="38" t="n">
        <f aca="false">Q!$C$46-cx_rt*Q!$C$16-cx_awso*(Q!$C$7-mw_ye23/2*rpm_open/1000)</f>
        <v>1.50429979529945</v>
      </c>
      <c r="S6620" s="38" t="n">
        <f aca="false">Sens!$C$6620</f>
        <v>25.2781053077374</v>
      </c>
      <c r="T6620" s="38" t="n">
        <f aca="false">Sens!$D$6620</f>
        <v>69.5686316310026</v>
      </c>
      <c r="U6620" s="38" t="n">
        <f aca="false">Sens!$G$6620</f>
        <v>160.438050638011</v>
      </c>
      <c r="V6620" s="38" t="n">
        <f aca="false">Sens!$H$6620</f>
        <v>198.57136494475</v>
      </c>
      <c r="W6620" s="38" t="n">
        <f aca="false">Sens!$I$6620</f>
        <v>204.6464699105</v>
      </c>
      <c r="X6620" s="38" t="n">
        <f aca="false">Sens!$J$6620</f>
        <v>209.8832381105</v>
      </c>
      <c r="Y6620" s="38" t="n">
        <f aca="false">Sens!$K$6620</f>
        <v>155.238385275201</v>
      </c>
      <c r="Z6620" s="38" t="n">
        <f aca="false">Sens!$L$6620</f>
        <v>132.014141639902</v>
      </c>
      <c r="AA6620" s="38" t="n">
        <f aca="false">Sens!$M$6620</f>
        <v>132.230981659852</v>
      </c>
    </row>
    <row r="6621" customFormat="false" ht="17.15" hidden="false" customHeight="false" outlineLevel="0" collapsed="false">
      <c r="A6621" s="0" t="s">
        <v>627</v>
      </c>
      <c r="B6621" s="0" t="s">
        <v>86</v>
      </c>
      <c r="H6621" s="38" t="n">
        <f aca="false">SUMPRODUCT(--(Sens!$R$6590:$AA$6590=2027-tk_life),Sens!$R$6597:$AA$6597)*Sens!$H$6602/1000</f>
        <v>0</v>
      </c>
      <c r="I6621" s="38" t="n">
        <f aca="false">SUMPRODUCT(--(Sens!$R$6590:$AA$6590=2028-tk_life),Sens!$R$6597:$AA$6597)*Sens!$I$6602/1000</f>
        <v>0</v>
      </c>
      <c r="J6621" s="38" t="n">
        <f aca="false">SUMPRODUCT(--(Sens!$R$6590:$AA$6590=2029-tk_life),Sens!$R$6597:$AA$6597)*Sens!$J$6602/1000</f>
        <v>5.2367682</v>
      </c>
      <c r="K6621" s="38" t="n">
        <f aca="false">SUMPRODUCT(--(Sens!$R$6590:$AA$6590=2030-tk_life),Sens!$R$6597:$AA$6597)*Sens!$K$6602/1000</f>
        <v>10.4735364</v>
      </c>
      <c r="L6621" s="38" t="n">
        <f aca="false">SUMPRODUCT(--(Sens!$R$6590:$AA$6590=2031-tk_life),Sens!$R$6597:$AA$6597)*Sens!$L$6602/1000</f>
        <v>47.1309138</v>
      </c>
      <c r="M6621" s="38" t="n">
        <f aca="false">SUMPRODUCT(--(Sens!$R$6590:$AA$6590=2032-tk_life),Sens!$R$6597:$AA$6597)*Sens!$M$6602/1000</f>
        <v>107.22937485525</v>
      </c>
    </row>
    <row r="6622" customFormat="false" ht="17.15" hidden="false" customHeight="false" outlineLevel="0" collapsed="false">
      <c r="A6622" s="5" t="s">
        <v>628</v>
      </c>
      <c r="B6622" s="0" t="s">
        <v>86</v>
      </c>
      <c r="C6622" s="38" t="n">
        <f aca="false">Sens!$C$6620*Sens!$C$6619</f>
        <v>18.472138699801</v>
      </c>
      <c r="D6622" s="38" t="n">
        <f aca="false">Sens!$D$6620*Sens!$D$6619</f>
        <v>50.8377268390402</v>
      </c>
      <c r="E6622" s="38" t="n">
        <f aca="false">Sens!$E$6620*Sens!$E$6619</f>
        <v>48.8351995705653</v>
      </c>
      <c r="F6622" s="38" t="n">
        <f aca="false">Sens!$F$6620*Sens!$F$6619</f>
        <v>73.2248394895</v>
      </c>
      <c r="G6622" s="38" t="n">
        <f aca="false">Sens!$E$6622+Sens!$F$6622</f>
        <v>122.060039060065</v>
      </c>
      <c r="H6622" s="38" t="n">
        <f aca="false">(Sens!$H$6620-Sens!$H$6621)*Sens!$H$6619+Sens!$H$6621</f>
        <v>152.52478394475</v>
      </c>
      <c r="I6622" s="38" t="n">
        <f aca="false">(Sens!$I$6620-Sens!$I$6621)*Sens!$I$6619+Sens!$I$6621</f>
        <v>158.5998889105</v>
      </c>
      <c r="J6622" s="38" t="n">
        <f aca="false">(Sens!$J$6620-Sens!$J$6621)*Sens!$J$6619+Sens!$J$6621</f>
        <v>163.8366571105</v>
      </c>
      <c r="K6622" s="38" t="n">
        <f aca="false">(Sens!$K$6620-Sens!$K$6621)*Sens!$K$6619+Sens!$K$6621</f>
        <v>122.665498273534</v>
      </c>
      <c r="L6622" s="38" t="n">
        <f aca="false">(Sens!$L$6620-Sens!$L$6621)*Sens!$L$6619+Sens!$L$6621</f>
        <v>112.914948636568</v>
      </c>
      <c r="M6622" s="38" t="n">
        <f aca="false">(Sens!$M$6620-Sens!$M$6621)*Sens!$M$6619+Sens!$M$6621</f>
        <v>126.605482654852</v>
      </c>
      <c r="R6622" s="38" t="n">
        <f aca="false">Sens!$R$6620*Sens!$C$6619</f>
        <v>1.09927679019314</v>
      </c>
      <c r="S6622" s="38" t="n">
        <f aca="false">Sens!$C$6622</f>
        <v>18.472138699801</v>
      </c>
      <c r="T6622" s="38" t="n">
        <f aca="false">Sens!$D$6622</f>
        <v>50.8377268390402</v>
      </c>
      <c r="U6622" s="38" t="n">
        <f aca="false">Sens!$G$6622</f>
        <v>122.060039060065</v>
      </c>
      <c r="V6622" s="38" t="n">
        <f aca="false">Sens!$H$6622</f>
        <v>152.52478394475</v>
      </c>
      <c r="W6622" s="38" t="n">
        <f aca="false">Sens!$I$6622</f>
        <v>158.5998889105</v>
      </c>
      <c r="X6622" s="38" t="n">
        <f aca="false">Sens!$J$6622</f>
        <v>163.8366571105</v>
      </c>
      <c r="Y6622" s="38" t="n">
        <f aca="false">Sens!$K$6622</f>
        <v>122.665498273534</v>
      </c>
      <c r="Z6622" s="38" t="n">
        <f aca="false">Sens!$L$6622</f>
        <v>112.914948636568</v>
      </c>
      <c r="AA6622" s="38" t="n">
        <f aca="false">Sens!$M$6622</f>
        <v>126.605482654852</v>
      </c>
    </row>
    <row r="6623" customFormat="false" ht="15" hidden="false" customHeight="false" outlineLevel="0" collapsed="false">
      <c r="A6623" s="5" t="s">
        <v>629</v>
      </c>
      <c r="B6623" s="0" t="s">
        <v>86</v>
      </c>
      <c r="C6623" s="38" t="n">
        <f aca="false">Sens!$C$6620-Sens!$C$6622</f>
        <v>6.80596660793636</v>
      </c>
      <c r="D6623" s="38" t="n">
        <f aca="false">Sens!$D$6620-Sens!$D$6622</f>
        <v>18.7309047919624</v>
      </c>
      <c r="E6623" s="38" t="n">
        <f aca="false">Sens!$E$6620-Sens!$E$6622</f>
        <v>15.3547210779455</v>
      </c>
      <c r="F6623" s="38" t="n">
        <f aca="false">Sens!$F$6620-Sens!$F$6622</f>
        <v>23.0232905</v>
      </c>
      <c r="G6623" s="38" t="n">
        <f aca="false">Sens!$G$6620-Sens!$G$6622</f>
        <v>38.3780115779455</v>
      </c>
      <c r="H6623" s="38" t="n">
        <f aca="false">Sens!$H$6620-Sens!$H$6622</f>
        <v>46.046581</v>
      </c>
      <c r="I6623" s="38" t="n">
        <f aca="false">Sens!$I$6620-Sens!$I$6622</f>
        <v>46.046581</v>
      </c>
      <c r="J6623" s="38" t="n">
        <f aca="false">Sens!$J$6620-Sens!$J$6622</f>
        <v>46.046581</v>
      </c>
      <c r="K6623" s="38" t="n">
        <f aca="false">Sens!$K$6620-Sens!$K$6622</f>
        <v>32.5728870016667</v>
      </c>
      <c r="L6623" s="38" t="n">
        <f aca="false">Sens!$L$6620-Sens!$L$6622</f>
        <v>19.0991930033334</v>
      </c>
      <c r="M6623" s="38" t="n">
        <f aca="false">Sens!$M$6620-Sens!$M$6622</f>
        <v>5.62549900499998</v>
      </c>
      <c r="R6623" s="38" t="n">
        <f aca="false">Sens!$R$6620-Sens!$R$6622</f>
        <v>0.405023005106309</v>
      </c>
      <c r="S6623" s="38" t="n">
        <f aca="false">Sens!$S$6620-Sens!$S$6622</f>
        <v>6.80596660793636</v>
      </c>
      <c r="T6623" s="38" t="n">
        <f aca="false">Sens!$T$6620-Sens!$T$6622</f>
        <v>18.7309047919624</v>
      </c>
      <c r="U6623" s="38" t="n">
        <f aca="false">Sens!$U$6620-Sens!$U$6622</f>
        <v>38.3780115779455</v>
      </c>
      <c r="V6623" s="38" t="n">
        <f aca="false">Sens!$V$6620-Sens!$V$6622</f>
        <v>46.046581</v>
      </c>
      <c r="W6623" s="38" t="n">
        <f aca="false">Sens!$W$6620-Sens!$W$6622</f>
        <v>46.046581</v>
      </c>
      <c r="X6623" s="38" t="n">
        <f aca="false">Sens!$X$6620-Sens!$X$6622</f>
        <v>46.046581</v>
      </c>
      <c r="Y6623" s="38" t="n">
        <f aca="false">Sens!$Y$6620-Sens!$Y$6622</f>
        <v>32.5728870016667</v>
      </c>
      <c r="Z6623" s="38" t="n">
        <f aca="false">Sens!$Z$6620-Sens!$Z$6622</f>
        <v>19.0991930033334</v>
      </c>
      <c r="AA6623" s="38" t="n">
        <f aca="false">Sens!$AA$6620-Sens!$AA$6622</f>
        <v>5.62549900499998</v>
      </c>
    </row>
    <row r="6624" customFormat="false" ht="17.15" hidden="false" customHeight="false" outlineLevel="0" collapsed="false">
      <c r="A6624" s="0" t="s">
        <v>630</v>
      </c>
      <c r="B6624" s="0" t="s">
        <v>52</v>
      </c>
      <c r="C6624" s="13" t="n">
        <f aca="false">Sens!$C$6620/Sens!$C$6740</f>
        <v>0.325505489553393</v>
      </c>
      <c r="D6624" s="13" t="n">
        <f aca="false">Sens!$D$6620/Sens!$D$6740</f>
        <v>0.54214956071542</v>
      </c>
      <c r="E6624" s="13" t="n">
        <f aca="false">Sens!$E$6620/Sens!$E$6740</f>
        <v>0.666492790452817</v>
      </c>
      <c r="F6624" s="13" t="n">
        <f aca="false">Sens!$F$6620/Sens!$F$6740</f>
        <v>0.733477910687338</v>
      </c>
      <c r="G6624" s="13" t="n">
        <f aca="false">Sens!$G$6620/Sens!$G$6740</f>
        <v>0.705124321514523</v>
      </c>
      <c r="H6624" s="13" t="n">
        <f aca="false">Sens!$H$6620/Sens!$H$6740</f>
        <v>0.726376041178204</v>
      </c>
      <c r="I6624" s="13" t="n">
        <f aca="false">Sens!$I$6620/Sens!$I$6740</f>
        <v>0.713099092661699</v>
      </c>
      <c r="J6624" s="13" t="n">
        <f aca="false">Sens!$J$6620/Sens!$J$6740</f>
        <v>0.701208348786245</v>
      </c>
      <c r="K6624" s="13" t="n">
        <f aca="false">Sens!$K$6620/Sens!$K$6740</f>
        <v>0.618338844562383</v>
      </c>
      <c r="L6624" s="13" t="n">
        <f aca="false">Sens!$L$6620/Sens!$L$6740</f>
        <v>0.562489158462506</v>
      </c>
      <c r="M6624" s="13" t="n">
        <f aca="false">Sens!$M$6620/Sens!$M$6740</f>
        <v>0.545751190895923</v>
      </c>
    </row>
    <row r="6625" customFormat="false" ht="17.15" hidden="false" customHeight="false" outlineLevel="0" collapsed="false">
      <c r="A6625" s="0" t="s">
        <v>631</v>
      </c>
      <c r="B6625" s="0" t="s">
        <v>86</v>
      </c>
      <c r="C6625" s="38" t="n">
        <f aca="false">Sens!$S$6625</f>
        <v>0.183212798365523</v>
      </c>
      <c r="D6625" s="38" t="n">
        <f aca="false">Sens!$T$6625</f>
        <v>3.2619025816657</v>
      </c>
      <c r="E6625" s="38" t="n">
        <f aca="false">Sens!$G$6625/2</f>
        <v>5.86742852741953</v>
      </c>
      <c r="F6625" s="38" t="n">
        <f aca="false">Sens!$G$6625/2</f>
        <v>5.86742852741953</v>
      </c>
      <c r="G6625" s="38" t="n">
        <f aca="false">Sens!$U$6625</f>
        <v>11.7348570548391</v>
      </c>
      <c r="H6625" s="38" t="n">
        <f aca="false">Sens!$V$6625</f>
        <v>32.0781968981833</v>
      </c>
      <c r="I6625" s="38" t="n">
        <f aca="false">Sens!$W$6625</f>
        <v>57.4989942223083</v>
      </c>
      <c r="J6625" s="38" t="n">
        <f aca="false">Sens!$X$6625</f>
        <v>83.932309040725</v>
      </c>
      <c r="K6625" s="38" t="n">
        <f aca="false">Sens!$Y$6625</f>
        <v>111.055205760776</v>
      </c>
      <c r="L6625" s="38" t="n">
        <f aca="false">Sens!$Z$6625</f>
        <v>128.420765689732</v>
      </c>
      <c r="M6625" s="38" t="n">
        <f aca="false">Sens!$AA$6625</f>
        <v>138.766969322653</v>
      </c>
      <c r="N6625" s="38" t="n">
        <f aca="false">Sens!$D$6625/2</f>
        <v>1.63095129083285</v>
      </c>
      <c r="O6625" s="38" t="n">
        <f aca="false">Sens!$D$6625/2</f>
        <v>1.63095129083285</v>
      </c>
      <c r="R6625" s="38" t="n">
        <f aca="false">SUMPRODUCT(--(Sens!$R$6590:$AA$6590&lt;Sens!R$6590),--(Sens!$R$6590:$AA$6590&gt;=Sens!R$6590-tk_life),Sens!$R$6622:$AA$6622)/tk_life</f>
        <v>0</v>
      </c>
      <c r="S6625" s="38" t="n">
        <f aca="false">SUMPRODUCT(--(Sens!$R$6590:$AA$6590&lt;Sens!S$6590),--(Sens!$R$6590:$AA$6590&gt;=Sens!S$6590-tk_life),Sens!$R$6622:$AA$6622)/tk_life</f>
        <v>0.183212798365523</v>
      </c>
      <c r="T6625" s="38" t="n">
        <f aca="false">SUMPRODUCT(--(Sens!$R$6590:$AA$6590&lt;Sens!T$6590),--(Sens!$R$6590:$AA$6590&gt;=Sens!T$6590-tk_life),Sens!$R$6622:$AA$6622)/tk_life</f>
        <v>3.2619025816657</v>
      </c>
      <c r="U6625" s="38" t="n">
        <f aca="false">SUMPRODUCT(--(Sens!$R$6590:$AA$6590&lt;Sens!U$6590),--(Sens!$R$6590:$AA$6590&gt;=Sens!U$6590-tk_life),Sens!$R$6622:$AA$6622)/tk_life</f>
        <v>11.7348570548391</v>
      </c>
      <c r="V6625" s="38" t="n">
        <f aca="false">SUMPRODUCT(--(Sens!$R$6590:$AA$6590&lt;Sens!V$6590),--(Sens!$R$6590:$AA$6590&gt;=Sens!V$6590-tk_life),Sens!$R$6622:$AA$6622)/tk_life</f>
        <v>32.0781968981833</v>
      </c>
      <c r="W6625" s="38" t="n">
        <f aca="false">SUMPRODUCT(--(Sens!$R$6590:$AA$6590&lt;Sens!W$6590),--(Sens!$R$6590:$AA$6590&gt;=Sens!W$6590-tk_life),Sens!$R$6622:$AA$6622)/tk_life</f>
        <v>57.4989942223083</v>
      </c>
      <c r="X6625" s="38" t="n">
        <f aca="false">SUMPRODUCT(--(Sens!$R$6590:$AA$6590&lt;Sens!X$6590),--(Sens!$R$6590:$AA$6590&gt;=Sens!X$6590-tk_life),Sens!$R$6622:$AA$6622)/tk_life</f>
        <v>83.932309040725</v>
      </c>
      <c r="Y6625" s="38" t="n">
        <f aca="false">SUMPRODUCT(--(Sens!$R$6590:$AA$6590&lt;Sens!Y$6590),--(Sens!$R$6590:$AA$6590&gt;=Sens!Y$6590-tk_life),Sens!$R$6622:$AA$6622)/tk_life</f>
        <v>111.055205760776</v>
      </c>
      <c r="Z6625" s="38" t="n">
        <f aca="false">SUMPRODUCT(--(Sens!$R$6590:$AA$6590&lt;Sens!Z$6590),--(Sens!$R$6590:$AA$6590&gt;=Sens!Z$6590-tk_life),Sens!$R$6622:$AA$6622)/tk_life</f>
        <v>128.420765689732</v>
      </c>
      <c r="AA6625" s="38" t="n">
        <f aca="false">SUMPRODUCT(--(Sens!$R$6590:$AA$6590&lt;Sens!AA$6590),--(Sens!$R$6590:$AA$6590&gt;=Sens!AA$6590-tk_life),Sens!$R$6622:$AA$6622)/tk_life</f>
        <v>138.766969322653</v>
      </c>
    </row>
    <row r="6626" customFormat="false" ht="17.15" hidden="false" customHeight="false" outlineLevel="0" collapsed="false">
      <c r="A6626" s="0" t="s">
        <v>632</v>
      </c>
      <c r="B6626" s="0" t="s">
        <v>86</v>
      </c>
      <c r="C6626" s="38" t="n">
        <f aca="false">Sens!$S$6626</f>
        <v>0.0202511502553155</v>
      </c>
      <c r="D6626" s="38" t="n">
        <f aca="false">Sens!$T$6626</f>
        <v>0.360549480652134</v>
      </c>
      <c r="E6626" s="38" t="n">
        <f aca="false">Sens!$G$6626/2</f>
        <v>0.648547360125127</v>
      </c>
      <c r="F6626" s="38" t="n">
        <f aca="false">Sens!$G$6626/2</f>
        <v>0.648547360125127</v>
      </c>
      <c r="G6626" s="38" t="n">
        <f aca="false">Sens!$U$6626</f>
        <v>1.29709472025025</v>
      </c>
      <c r="H6626" s="38" t="n">
        <f aca="false">Sens!$V$6626</f>
        <v>3.21599529914753</v>
      </c>
      <c r="I6626" s="38" t="n">
        <f aca="false">Sens!$W$6626</f>
        <v>5.51832434914753</v>
      </c>
      <c r="J6626" s="38" t="n">
        <f aca="false">Sens!$X$6626</f>
        <v>7.82065339914753</v>
      </c>
      <c r="K6626" s="38" t="n">
        <f aca="false">Sens!$Y$6626</f>
        <v>10.1229824491475</v>
      </c>
      <c r="L6626" s="38" t="n">
        <f aca="false">Sens!$Z$6626</f>
        <v>11.7516267992309</v>
      </c>
      <c r="M6626" s="38" t="n">
        <f aca="false">Sens!$AA$6626</f>
        <v>12.7065864493975</v>
      </c>
      <c r="N6626" s="38" t="n">
        <f aca="false">Sens!$D$6626/2</f>
        <v>0.180274740326067</v>
      </c>
      <c r="O6626" s="38" t="n">
        <f aca="false">Sens!$D$6626/2</f>
        <v>0.180274740326067</v>
      </c>
      <c r="R6626" s="38" t="n">
        <f aca="false">SUMPRODUCT(--(Sens!$R$6590:$AA$6590&lt;Sens!R$6590),Sens!$R$6623:$AA$6623)/fac_life</f>
        <v>0</v>
      </c>
      <c r="S6626" s="38" t="n">
        <f aca="false">SUMPRODUCT(--(Sens!$R$6590:$AA$6590&lt;Sens!S$6590),Sens!$R$6623:$AA$6623)/fac_life</f>
        <v>0.0202511502553155</v>
      </c>
      <c r="T6626" s="38" t="n">
        <f aca="false">SUMPRODUCT(--(Sens!$R$6590:$AA$6590&lt;Sens!T$6590),Sens!$R$6623:$AA$6623)/fac_life</f>
        <v>0.360549480652134</v>
      </c>
      <c r="U6626" s="38" t="n">
        <f aca="false">SUMPRODUCT(--(Sens!$R$6590:$AA$6590&lt;Sens!U$6590),Sens!$R$6623:$AA$6623)/fac_life</f>
        <v>1.29709472025025</v>
      </c>
      <c r="V6626" s="38" t="n">
        <f aca="false">SUMPRODUCT(--(Sens!$R$6590:$AA$6590&lt;Sens!V$6590),Sens!$R$6623:$AA$6623)/fac_life</f>
        <v>3.21599529914753</v>
      </c>
      <c r="W6626" s="38" t="n">
        <f aca="false">SUMPRODUCT(--(Sens!$R$6590:$AA$6590&lt;Sens!W$6590),Sens!$R$6623:$AA$6623)/fac_life</f>
        <v>5.51832434914753</v>
      </c>
      <c r="X6626" s="38" t="n">
        <f aca="false">SUMPRODUCT(--(Sens!$R$6590:$AA$6590&lt;Sens!X$6590),Sens!$R$6623:$AA$6623)/fac_life</f>
        <v>7.82065339914753</v>
      </c>
      <c r="Y6626" s="38" t="n">
        <f aca="false">SUMPRODUCT(--(Sens!$R$6590:$AA$6590&lt;Sens!Y$6590),Sens!$R$6623:$AA$6623)/fac_life</f>
        <v>10.1229824491475</v>
      </c>
      <c r="Z6626" s="38" t="n">
        <f aca="false">SUMPRODUCT(--(Sens!$R$6590:$AA$6590&lt;Sens!Z$6590),Sens!$R$6623:$AA$6623)/fac_life</f>
        <v>11.7516267992309</v>
      </c>
      <c r="AA6626" s="38" t="n">
        <f aca="false">SUMPRODUCT(--(Sens!$R$6590:$AA$6590&lt;Sens!AA$6590),Sens!$R$6623:$AA$6623)/fac_life</f>
        <v>12.7065864493975</v>
      </c>
    </row>
    <row r="6627" customFormat="false" ht="17.15" hidden="false" customHeight="false" outlineLevel="0" collapsed="false">
      <c r="A6627" s="1" t="s">
        <v>633</v>
      </c>
      <c r="B6627" s="8" t="s">
        <v>86</v>
      </c>
      <c r="C6627" s="38" t="n">
        <f aca="false">Sens!$C$6625+Sens!$C$6626</f>
        <v>0.203463948620839</v>
      </c>
      <c r="D6627" s="38" t="n">
        <f aca="false">Sens!$D$6625+Sens!$D$6626</f>
        <v>3.62245206231783</v>
      </c>
      <c r="E6627" s="38" t="n">
        <f aca="false">Sens!$E$6625+Sens!$E$6626</f>
        <v>6.51597588754466</v>
      </c>
      <c r="F6627" s="38" t="n">
        <f aca="false">Sens!$F$6625+Sens!$F$6626</f>
        <v>6.51597588754466</v>
      </c>
      <c r="G6627" s="38" t="n">
        <f aca="false">Sens!$G$6625+Sens!$G$6626</f>
        <v>13.0319517750893</v>
      </c>
      <c r="H6627" s="38" t="n">
        <f aca="false">Sens!$H$6625+Sens!$H$6626</f>
        <v>35.2941921973308</v>
      </c>
      <c r="I6627" s="38" t="n">
        <f aca="false">Sens!$I$6625+Sens!$I$6626</f>
        <v>63.0173185714558</v>
      </c>
      <c r="J6627" s="38" t="n">
        <f aca="false">Sens!$J$6625+Sens!$J$6626</f>
        <v>91.7529624398725</v>
      </c>
      <c r="K6627" s="38" t="n">
        <f aca="false">Sens!$K$6625+Sens!$K$6626</f>
        <v>121.178188209924</v>
      </c>
      <c r="L6627" s="38" t="n">
        <f aca="false">Sens!$L$6625+Sens!$L$6626</f>
        <v>140.172392488963</v>
      </c>
      <c r="M6627" s="38" t="n">
        <f aca="false">Sens!$M$6625+Sens!$M$6626</f>
        <v>151.473555772051</v>
      </c>
      <c r="N6627" s="38" t="n">
        <f aca="false">Sens!$N$6625+Sens!$N$6626</f>
        <v>1.81122603115892</v>
      </c>
      <c r="O6627" s="38" t="n">
        <f aca="false">Sens!$O$6625+Sens!$O$6626</f>
        <v>1.81122603115892</v>
      </c>
      <c r="R6627" s="38" t="n">
        <f aca="false">Sens!$R$6625+Sens!$R$6626</f>
        <v>0</v>
      </c>
      <c r="S6627" s="38" t="n">
        <f aca="false">Sens!$S$6625+Sens!$S$6626</f>
        <v>0.203463948620839</v>
      </c>
      <c r="T6627" s="38" t="n">
        <f aca="false">Sens!$T$6625+Sens!$T$6626</f>
        <v>3.62245206231783</v>
      </c>
      <c r="U6627" s="38" t="n">
        <f aca="false">Sens!$U$6625+Sens!$U$6626</f>
        <v>13.0319517750893</v>
      </c>
      <c r="V6627" s="38" t="n">
        <f aca="false">Sens!$V$6625+Sens!$V$6626</f>
        <v>35.2941921973308</v>
      </c>
      <c r="W6627" s="38" t="n">
        <f aca="false">Sens!$W$6625+Sens!$W$6626</f>
        <v>63.0173185714558</v>
      </c>
      <c r="X6627" s="38" t="n">
        <f aca="false">Sens!$X$6625+Sens!$X$6626</f>
        <v>91.7529624398725</v>
      </c>
      <c r="Y6627" s="38" t="n">
        <f aca="false">Sens!$Y$6625+Sens!$Y$6626</f>
        <v>121.178188209924</v>
      </c>
      <c r="Z6627" s="38" t="n">
        <f aca="false">Sens!$Z$6625+Sens!$Z$6626</f>
        <v>140.172392488963</v>
      </c>
      <c r="AA6627" s="38" t="n">
        <f aca="false">Sens!$AA$6625+Sens!$AA$6626</f>
        <v>151.473555772051</v>
      </c>
    </row>
    <row r="6628" customFormat="false" ht="17.15" hidden="false" customHeight="false" outlineLevel="0" collapsed="false">
      <c r="A6628" s="0" t="s">
        <v>634</v>
      </c>
      <c r="B6628" s="0" t="s">
        <v>86</v>
      </c>
      <c r="C6628" s="38" t="n">
        <f aca="false">Sens!$S$6628</f>
        <v>26.578941154416</v>
      </c>
      <c r="D6628" s="38" t="n">
        <f aca="false">Sens!$T$6628</f>
        <v>92.5251207231008</v>
      </c>
      <c r="G6628" s="38" t="n">
        <f aca="false">Sens!$U$6628</f>
        <v>239.931219586022</v>
      </c>
      <c r="H6628" s="38" t="n">
        <f aca="false">Sens!$V$6628</f>
        <v>403.208392333442</v>
      </c>
      <c r="I6628" s="38" t="n">
        <f aca="false">Sens!$W$6628</f>
        <v>544.837543672486</v>
      </c>
      <c r="J6628" s="38" t="n">
        <f aca="false">Sens!$X$6628</f>
        <v>662.967819343113</v>
      </c>
      <c r="K6628" s="38" t="n">
        <f aca="false">Sens!$Y$6628</f>
        <v>697.028016408391</v>
      </c>
      <c r="L6628" s="38" t="n">
        <f aca="false">Sens!$Z$6628</f>
        <v>688.86976555933</v>
      </c>
      <c r="M6628" s="38" t="n">
        <f aca="false">Sens!$AA$6628</f>
        <v>669.627191447132</v>
      </c>
      <c r="R6628" s="38" t="n">
        <f aca="false">SUM(Sens!$R$6620:$R$6620)-SUM(Sens!$R$6627:$R$6627)</f>
        <v>1.50429979529945</v>
      </c>
      <c r="S6628" s="38" t="n">
        <f aca="false">SUM(Sens!$R$6620:$S$6620)-SUM(Sens!$R$6627:$S$6627)</f>
        <v>26.578941154416</v>
      </c>
      <c r="T6628" s="38" t="n">
        <f aca="false">SUM(Sens!$R$6620:$T$6620)-SUM(Sens!$R$6627:$T$6627)</f>
        <v>92.5251207231008</v>
      </c>
      <c r="U6628" s="38" t="n">
        <f aca="false">SUM(Sens!$R$6620:$U$6620)-SUM(Sens!$R$6627:$U$6627)</f>
        <v>239.931219586022</v>
      </c>
      <c r="V6628" s="38" t="n">
        <f aca="false">SUM(Sens!$R$6620:$V$6620)-SUM(Sens!$R$6627:$V$6627)</f>
        <v>403.208392333442</v>
      </c>
      <c r="W6628" s="38" t="n">
        <f aca="false">SUM(Sens!$R$6620:$W$6620)-SUM(Sens!$R$6627:$W$6627)</f>
        <v>544.837543672486</v>
      </c>
      <c r="X6628" s="38" t="n">
        <f aca="false">SUM(Sens!$R$6620:$X$6620)-SUM(Sens!$R$6627:$X$6627)</f>
        <v>662.967819343113</v>
      </c>
      <c r="Y6628" s="38" t="n">
        <f aca="false">SUM(Sens!$R$6620:$Y$6620)-SUM(Sens!$R$6627:$Y$6627)</f>
        <v>697.028016408391</v>
      </c>
      <c r="Z6628" s="38" t="n">
        <f aca="false">SUM(Sens!$R$6620:$Z$6620)-SUM(Sens!$R$6627:$Z$6627)</f>
        <v>688.86976555933</v>
      </c>
      <c r="AA6628" s="38" t="n">
        <f aca="false">SUM(Sens!$R$6620:$AA$6620)-SUM(Sens!$R$6627:$AA$6627)</f>
        <v>669.627191447132</v>
      </c>
    </row>
    <row r="6629" customFormat="false" ht="17.15" hidden="false" customHeight="false" outlineLevel="0" collapsed="false">
      <c r="A6629" s="1" t="s">
        <v>635</v>
      </c>
    </row>
    <row r="6630" customFormat="false" ht="17.15" hidden="false" customHeight="false" outlineLevel="0" collapsed="false">
      <c r="A6630" s="0" t="s">
        <v>636</v>
      </c>
      <c r="B6630" s="0" t="s">
        <v>86</v>
      </c>
      <c r="C6630" s="38" t="n">
        <f aca="false">Sens!$C$6611-ext_sh*Sens!$C$6613</f>
        <v>1.80694998843362</v>
      </c>
      <c r="D6630" s="38" t="n">
        <f aca="false">Sens!$D$6611-ext_sh*Sens!$D$6613</f>
        <v>6.77606245662607</v>
      </c>
      <c r="E6630" s="38" t="n">
        <f aca="false">Sens!$E$6611-ext_sh*Sens!$E$6613</f>
        <v>6.62548329092326</v>
      </c>
      <c r="F6630" s="38" t="n">
        <f aca="false">Sens!$F$6611-ext_sh*Sens!$F$6613</f>
        <v>11.7200577158706</v>
      </c>
      <c r="G6630" s="38" t="n">
        <f aca="false">Sens!$G$6611-ext_sh*Sens!$G$6613</f>
        <v>18.3455410067939</v>
      </c>
      <c r="H6630" s="38" t="n">
        <f aca="false">Sens!$H$6611-ext_sh*Sens!$H$6613</f>
        <v>47.5171727060453</v>
      </c>
      <c r="I6630" s="38" t="n">
        <f aca="false">Sens!$I$6611-ext_sh*Sens!$I$6613</f>
        <v>80.5539692643667</v>
      </c>
      <c r="J6630" s="38" t="n">
        <f aca="false">Sens!$J$6611-ext_sh*Sens!$J$6613</f>
        <v>113.759316834883</v>
      </c>
      <c r="K6630" s="38" t="n">
        <f aca="false">Sens!$K$6611-ext_sh*Sens!$K$6613</f>
        <v>142.084411492169</v>
      </c>
      <c r="L6630" s="38" t="n">
        <f aca="false">Sens!$L$6611-ext_sh*Sens!$L$6613</f>
        <v>160.69964615804</v>
      </c>
      <c r="M6630" s="38" t="n">
        <f aca="false">Sens!$M$6611-ext_sh*Sens!$M$6613</f>
        <v>169.577607141793</v>
      </c>
      <c r="N6630" s="38" t="n">
        <f aca="false">Sens!$N$6611-ext_sh*Sens!$N$6613</f>
        <v>2.37162185981912</v>
      </c>
      <c r="O6630" s="38" t="n">
        <f aca="false">Sens!$O$6611-ext_sh*Sens!$O$6613</f>
        <v>4.40444059680694</v>
      </c>
    </row>
    <row r="6631" customFormat="false" ht="17.15" hidden="false" customHeight="false" outlineLevel="0" collapsed="false">
      <c r="A6631" s="1" t="s">
        <v>637</v>
      </c>
      <c r="B6631" s="8" t="s">
        <v>86</v>
      </c>
      <c r="C6631" s="38" t="n">
        <f aca="false">Sens!$C$6630-ext_sh*Sens!$C$6627</f>
        <v>1.64417882953695</v>
      </c>
      <c r="D6631" s="38" t="n">
        <f aca="false">Sens!$D$6630-ext_sh*Sens!$D$6627</f>
        <v>3.8781008067718</v>
      </c>
      <c r="E6631" s="38" t="n">
        <f aca="false">Sens!$E$6630-ext_sh*Sens!$E$6627</f>
        <v>1.41270258088753</v>
      </c>
      <c r="F6631" s="38" t="n">
        <f aca="false">Sens!$F$6630-ext_sh*Sens!$F$6627</f>
        <v>6.50727700583486</v>
      </c>
      <c r="G6631" s="38" t="n">
        <f aca="false">Sens!$G$6630-ext_sh*Sens!$G$6627</f>
        <v>7.9199795867224</v>
      </c>
      <c r="H6631" s="38" t="n">
        <f aca="false">Sens!$H$6630-ext_sh*Sens!$H$6627</f>
        <v>19.2818189481807</v>
      </c>
      <c r="I6631" s="38" t="n">
        <f aca="false">Sens!$I$6630-ext_sh*Sens!$I$6627</f>
        <v>30.140114407202</v>
      </c>
      <c r="J6631" s="38" t="n">
        <f aca="false">Sens!$J$6630-ext_sh*Sens!$J$6627</f>
        <v>40.3569468829854</v>
      </c>
      <c r="K6631" s="38" t="n">
        <f aca="false">Sens!$K$6630-ext_sh*Sens!$K$6627</f>
        <v>45.1418609242305</v>
      </c>
      <c r="L6631" s="38" t="n">
        <f aca="false">Sens!$L$6630-ext_sh*Sens!$L$6627</f>
        <v>48.5617321668703</v>
      </c>
      <c r="M6631" s="38" t="n">
        <f aca="false">Sens!$M$6630-ext_sh*Sens!$M$6627</f>
        <v>48.3987625241529</v>
      </c>
      <c r="N6631" s="38" t="n">
        <f aca="false">Sens!$N$6630-ext_sh*Sens!$N$6627</f>
        <v>0.92264103489199</v>
      </c>
      <c r="O6631" s="38" t="n">
        <f aca="false">Sens!$O$6630-ext_sh*Sens!$O$6627</f>
        <v>2.95545977187981</v>
      </c>
    </row>
    <row r="6632" customFormat="false" ht="17.15" hidden="false" customHeight="false" outlineLevel="0" collapsed="false">
      <c r="A6632" s="0" t="s">
        <v>638</v>
      </c>
      <c r="B6632" s="0" t="s">
        <v>52</v>
      </c>
      <c r="C6632" s="13" t="n">
        <f aca="false">Sens!$C$6631/Sens!$C$6611</f>
        <v>0.708390794789371</v>
      </c>
      <c r="D6632" s="13" t="n">
        <f aca="false">Sens!$D$6631/Sens!$D$6611</f>
        <v>0.445565630441968</v>
      </c>
      <c r="E6632" s="13" t="n">
        <f aca="false">Sens!$E$6631/Sens!$E$6611</f>
        <v>0.165998118402711</v>
      </c>
      <c r="F6632" s="13" t="n">
        <f aca="false">Sens!$F$6631/Sens!$F$6611</f>
        <v>0.434878595403858</v>
      </c>
      <c r="G6632" s="13" t="n">
        <f aca="false">Sens!$G$6631/Sens!$G$6611</f>
        <v>0.3373967615381</v>
      </c>
      <c r="H6632" s="13" t="n">
        <f aca="false">Sens!$H$6631/Sens!$H$6611</f>
        <v>0.320477578041224</v>
      </c>
      <c r="I6632" s="13" t="n">
        <f aca="false">Sens!$I$6631/Sens!$I$6611</f>
        <v>0.296936118226494</v>
      </c>
      <c r="J6632" s="13" t="n">
        <f aca="false">Sens!$J$6631/Sens!$J$6611</f>
        <v>0.282166278613001</v>
      </c>
      <c r="K6632" s="13" t="n">
        <f aca="false">Sens!$K$6631/Sens!$K$6611</f>
        <v>0.252969102881543</v>
      </c>
      <c r="L6632" s="13" t="n">
        <f aca="false">Sens!$L$6631/Sens!$L$6611</f>
        <v>0.240728642826566</v>
      </c>
      <c r="M6632" s="13" t="n">
        <f aca="false">Sens!$M$6631/Sens!$M$6611</f>
        <v>0.227399920863147</v>
      </c>
      <c r="N6632" s="13" t="n">
        <f aca="false">Sens!$N$6631/Sens!$N$6611</f>
        <v>0.302870734830849</v>
      </c>
      <c r="O6632" s="13" t="n">
        <f aca="false">Sens!$O$6631/Sens!$O$6611</f>
        <v>0.52240134346334</v>
      </c>
    </row>
    <row r="6633" customFormat="false" ht="17.15" hidden="false" customHeight="false" outlineLevel="0" collapsed="false">
      <c r="A6633" s="5" t="s">
        <v>639</v>
      </c>
      <c r="B6633" s="0" t="s">
        <v>86</v>
      </c>
      <c r="C6633" s="39" t="n">
        <v>0</v>
      </c>
      <c r="D6633" s="39" t="n">
        <v>0</v>
      </c>
      <c r="E6633" s="39" t="n">
        <v>0</v>
      </c>
      <c r="F6633" s="38" t="n">
        <f aca="false">IF(internal_ai_reading=2,1,0)*(1-ext_sh)/ext_sh*(mw_open*he_open+Sens!$F$6609*Sens!$F$6606)*Sens!$F$6595/1000</f>
        <v>3.77122048175818</v>
      </c>
      <c r="G6633" s="38" t="n">
        <f aca="false">Sens!$E$6633+Sens!$F$6633</f>
        <v>3.77122048175818</v>
      </c>
      <c r="H6633" s="38" t="n">
        <f aca="false">IF(internal_ai_reading=2,1,0)*(1-ext_sh)/ext_sh*(mw_open*he_open+Sens!$H$6609*Sens!$H$6606)*Sens!$H$6595/1000</f>
        <v>15.1635543609893</v>
      </c>
      <c r="I6633" s="38" t="n">
        <f aca="false">IF(internal_ai_reading=2,1,0)*(1-ext_sh)/ext_sh*(mw_open*he_open+Sens!$I$6609*Sens!$I$6606)*Sens!$I$6595/1000</f>
        <v>25.5818843619889</v>
      </c>
      <c r="J6633" s="38" t="n">
        <f aca="false">IF(internal_ai_reading=2,1,0)*(1-ext_sh)/ext_sh*(mw_open*he_open+Sens!$J$6609*Sens!$J$6606)*Sens!$J$6595/1000</f>
        <v>36.0465624179122</v>
      </c>
      <c r="K6633" s="38" t="n">
        <f aca="false">IF(internal_ai_reading=2,1,0)*(1-ext_sh)/ext_sh*(mw_open*he_open+Sens!$K$6609*Sens!$K$6606)*Sens!$K$6595/1000</f>
        <v>44.9741164026038</v>
      </c>
      <c r="L6633" s="38" t="n">
        <f aca="false">IF(internal_ai_reading=2,1,0)*(1-ext_sh)/ext_sh*(mw_open*he_open+Sens!$L$6609*Sens!$L$6606)*Sens!$L$6595/1000</f>
        <v>50.8413488057813</v>
      </c>
      <c r="M6633" s="38" t="n">
        <f aca="false">IF(internal_ai_reading=2,1,0)*(1-ext_sh)/ext_sh*(mw_open*he_open+Sens!$M$6609*Sens!$M$6606)*Sens!$M$6595/1000</f>
        <v>53.6407214274315</v>
      </c>
      <c r="N6633" s="39" t="n">
        <v>0</v>
      </c>
      <c r="O6633" s="39" t="n">
        <v>0</v>
      </c>
      <c r="P6633" s="8" t="s">
        <v>640</v>
      </c>
    </row>
    <row r="6634" customFormat="false" ht="17.15" hidden="false" customHeight="false" outlineLevel="0" collapsed="false">
      <c r="A6634" s="5" t="s">
        <v>641</v>
      </c>
      <c r="B6634" s="0" t="s">
        <v>86</v>
      </c>
      <c r="C6634" s="38" t="n">
        <f aca="false">(1-ext_sh)*(Sens!$C$6613+Sens!$C$6627)</f>
        <v>0.169206631859174</v>
      </c>
      <c r="D6634" s="38" t="n">
        <f aca="false">(1-ext_sh)*(Sens!$D$6613+Sens!$D$6627)</f>
        <v>1.20641732046984</v>
      </c>
      <c r="E6634" s="38" t="n">
        <f aca="false">(1-ext_sh)*(Sens!$E$6613+Sens!$E$6627)</f>
        <v>1.77441259867062</v>
      </c>
      <c r="F6634" s="38" t="n">
        <f aca="false">(1-ext_sh)*(Sens!$F$6613+Sens!$F$6627)</f>
        <v>2.1140391597214</v>
      </c>
      <c r="G6634" s="38" t="n">
        <f aca="false">(1-ext_sh)*(Sens!$G$6613+Sens!$G$6627)</f>
        <v>3.88845175839202</v>
      </c>
      <c r="H6634" s="38" t="n">
        <f aca="false">(1-ext_sh)*(Sens!$H$6613+Sens!$H$6627)</f>
        <v>10.2210179503985</v>
      </c>
      <c r="I6634" s="38" t="n">
        <f aca="false">(1-ext_sh)*(Sens!$I$6613+Sens!$I$6627)</f>
        <v>17.8408961823075</v>
      </c>
      <c r="J6634" s="38" t="n">
        <f aca="false">(1-ext_sh)*(Sens!$J$6613+Sens!$J$6627)</f>
        <v>25.6671150670732</v>
      </c>
      <c r="K6634" s="38" t="n">
        <f aca="false">(1-ext_sh)*(Sens!$K$6613+Sens!$K$6627)</f>
        <v>33.3265648647373</v>
      </c>
      <c r="L6634" s="38" t="n">
        <f aca="false">(1-ext_sh)*(Sens!$L$6613+Sens!$L$6627)</f>
        <v>38.2915924088815</v>
      </c>
      <c r="M6634" s="38" t="n">
        <f aca="false">(1-ext_sh)*(Sens!$M$6613+Sens!$M$6627)</f>
        <v>41.1091697111781</v>
      </c>
      <c r="N6634" s="38" t="n">
        <f aca="false">(1-ext_sh)*(Sens!$N$6613+Sens!$N$6627)</f>
        <v>0.530919624033979</v>
      </c>
      <c r="O6634" s="38" t="n">
        <f aca="false">(1-ext_sh)*(Sens!$O$6613+Sens!$O$6627)</f>
        <v>0.675497696435861</v>
      </c>
    </row>
    <row r="6635" customFormat="false" ht="17.15" hidden="false" customHeight="false" outlineLevel="0" collapsed="false">
      <c r="A6635" s="0" t="s">
        <v>642</v>
      </c>
      <c r="B6635" s="0" t="s">
        <v>86</v>
      </c>
      <c r="C6635" s="38" t="n">
        <f aca="false">Q!$D$24</f>
        <v>39.834</v>
      </c>
      <c r="D6635" s="38" t="n">
        <f aca="false">Q!$E$24</f>
        <v>45.606</v>
      </c>
      <c r="E6635" s="38" t="n">
        <f aca="false">Q!$P$24</f>
        <v>30.782</v>
      </c>
      <c r="N6635" s="38" t="n">
        <f aca="false">Q!$N$24</f>
        <v>21.707</v>
      </c>
      <c r="O6635" s="38" t="n">
        <f aca="false">Q!$O$24</f>
        <v>23.899</v>
      </c>
    </row>
    <row r="6636" customFormat="false" ht="17.15" hidden="false" customHeight="false" outlineLevel="0" collapsed="false">
      <c r="A6636" s="0" t="s">
        <v>643</v>
      </c>
      <c r="B6636" s="0" t="s">
        <v>86</v>
      </c>
      <c r="C6636" s="38" t="n">
        <f aca="false">Sens!$C$6635-Sens!$C$6631</f>
        <v>38.1898211704631</v>
      </c>
      <c r="D6636" s="38" t="n">
        <f aca="false">Sens!$D$6635-Sens!$D$6631</f>
        <v>41.7278991932282</v>
      </c>
      <c r="E6636" s="38" t="n">
        <f aca="false">Sens!$E$6635-Sens!$E$6631</f>
        <v>29.3692974191125</v>
      </c>
      <c r="F6636" s="38" t="n">
        <f aca="false">Sens!$F$6615*Sens!$F$6637</f>
        <v>26.8997276714137</v>
      </c>
      <c r="G6636" s="38" t="n">
        <f aca="false">Sens!$E$6636+Sens!$F$6636</f>
        <v>56.2690250905262</v>
      </c>
      <c r="H6636" s="38" t="n">
        <f aca="false">Sens!$H$6615*Sens!$H$6637</f>
        <v>60.3505333937343</v>
      </c>
      <c r="I6636" s="38" t="n">
        <f aca="false">Sens!$I$6615*Sens!$I$6637</f>
        <v>67.0043857303571</v>
      </c>
      <c r="J6636" s="38" t="n">
        <f aca="false">Sens!$J$6615*Sens!$J$6637</f>
        <v>73.3782922956925</v>
      </c>
      <c r="K6636" s="38" t="n">
        <f aca="false">Sens!$K$6615*Sens!$K$6637</f>
        <v>79.2485556793479</v>
      </c>
      <c r="L6636" s="38" t="n">
        <f aca="false">Sens!$L$6615*Sens!$L$6637</f>
        <v>85.5884401336958</v>
      </c>
      <c r="M6636" s="38" t="n">
        <f aca="false">Sens!$M$6615*Sens!$M$6637</f>
        <v>92.4355153443914</v>
      </c>
      <c r="N6636" s="38" t="n">
        <f aca="false">Sens!$N$6635-Sens!$N$6631</f>
        <v>20.784358965108</v>
      </c>
      <c r="O6636" s="38" t="n">
        <f aca="false">Sens!$O$6635-Sens!$O$6631</f>
        <v>20.9435402281202</v>
      </c>
      <c r="P6636" s="5" t="s">
        <v>644</v>
      </c>
    </row>
    <row r="6637" customFormat="false" ht="17.15" hidden="false" customHeight="false" outlineLevel="0" collapsed="false">
      <c r="A6637" s="0" t="s">
        <v>645</v>
      </c>
      <c r="B6637" s="0" t="s">
        <v>52</v>
      </c>
      <c r="C6637" s="13" t="n">
        <f aca="false">Sens!$C$6636/Sens!$C$6615</f>
        <v>0.362900395443635</v>
      </c>
      <c r="D6637" s="13" t="n">
        <f aca="false">Sens!$D$6636/Sens!$D$6615</f>
        <v>0.34767098474203</v>
      </c>
      <c r="E6637" s="13" t="n">
        <f aca="false">Sens!$E$6636/Sens!$E$6615</f>
        <v>0.411861655558416</v>
      </c>
      <c r="F6637" s="13" t="n">
        <f aca="false">(Sens!$O$6636+Sens!$E$6636)/(Sens!$O$6615+Sens!$E$6615)</f>
        <v>0.37480827803158</v>
      </c>
      <c r="G6637" s="13" t="n">
        <f aca="false">Sens!$G$6636/Sens!$G$6615</f>
        <v>0.393275318395757</v>
      </c>
      <c r="H6637" s="13" t="n">
        <f aca="false">Sens!$F$6637</f>
        <v>0.37480827803158</v>
      </c>
      <c r="I6637" s="13" t="n">
        <f aca="false">Sens!$F$6637</f>
        <v>0.37480827803158</v>
      </c>
      <c r="J6637" s="13" t="n">
        <f aca="false">Sens!$F$6637</f>
        <v>0.37480827803158</v>
      </c>
      <c r="K6637" s="13" t="n">
        <f aca="false">Sens!$F$6637</f>
        <v>0.37480827803158</v>
      </c>
      <c r="L6637" s="13" t="n">
        <f aca="false">Sens!$F$6637</f>
        <v>0.37480827803158</v>
      </c>
      <c r="M6637" s="13" t="n">
        <f aca="false">Sens!$F$6637</f>
        <v>0.37480827803158</v>
      </c>
      <c r="N6637" s="13" t="n">
        <f aca="false">Sens!$N$6636/Sens!$N$6615</f>
        <v>0.364039571356823</v>
      </c>
      <c r="O6637" s="13" t="n">
        <f aca="false">Sens!$O$6636/Sens!$O$6615</f>
        <v>0.332819892300086</v>
      </c>
      <c r="P6637" s="8" t="s">
        <v>646</v>
      </c>
    </row>
    <row r="6638" customFormat="false" ht="17.15" hidden="false" customHeight="false" outlineLevel="0" collapsed="false">
      <c r="A6638" s="0" t="s">
        <v>647</v>
      </c>
      <c r="B6638" s="0" t="s">
        <v>52</v>
      </c>
      <c r="D6638" s="13" t="n">
        <f aca="false">(Q!$E$31-ext_sh*Sens!$D$6627)/Sens!$D$6615</f>
        <v>0.154572973163571</v>
      </c>
    </row>
    <row r="6639" customFormat="false" ht="17.15" hidden="false" customHeight="false" outlineLevel="0" collapsed="false">
      <c r="A6639" s="0" t="s">
        <v>648</v>
      </c>
      <c r="B6639" s="0" t="s">
        <v>86</v>
      </c>
      <c r="C6639" s="38" t="n">
        <f aca="false">Q!$D$31</f>
        <v>13.32</v>
      </c>
      <c r="D6639" s="38" t="n">
        <f aca="false">Q!$E$31</f>
        <v>21.45</v>
      </c>
      <c r="E6639" s="38" t="n">
        <f aca="false">Q!$P$31</f>
        <v>15.353</v>
      </c>
      <c r="F6639" s="38" t="n">
        <f aca="false">ext_sh*Sens!$F$6627+Sens!$D$6638*Sens!$F$6615</f>
        <v>16.3063747611001</v>
      </c>
      <c r="G6639" s="38" t="n">
        <f aca="false">Sens!$E$6639+Sens!$F$6639</f>
        <v>31.6593747611001</v>
      </c>
      <c r="H6639" s="38" t="n">
        <f aca="false">ext_sh*Sens!$H$6627+Sens!$D$6638*Sens!$H$6615</f>
        <v>53.124242092105</v>
      </c>
      <c r="I6639" s="38" t="n">
        <f aca="false">ext_sh*Sens!$I$6627+Sens!$D$6638*Sens!$I$6615</f>
        <v>78.046828098133</v>
      </c>
      <c r="J6639" s="38" t="n">
        <f aca="false">ext_sh*Sens!$J$6627+Sens!$D$6638*Sens!$J$6615</f>
        <v>103.663976940352</v>
      </c>
      <c r="K6639" s="38" t="n">
        <f aca="false">ext_sh*Sens!$K$6627+Sens!$D$6638*Sens!$K$6615</f>
        <v>129.625086115469</v>
      </c>
      <c r="L6639" s="38" t="n">
        <f aca="false">ext_sh*Sens!$L$6627+Sens!$D$6638*Sens!$L$6615</f>
        <v>147.435052382502</v>
      </c>
      <c r="M6639" s="38" t="n">
        <f aca="false">ext_sh*Sens!$M$6627+Sens!$D$6638*Sens!$M$6615</f>
        <v>159.299754080279</v>
      </c>
      <c r="N6639" s="38" t="n">
        <f aca="false">Q!$N$31</f>
        <v>9.234</v>
      </c>
      <c r="O6639" s="38" t="n">
        <f aca="false">Q!$O$31</f>
        <v>12.216</v>
      </c>
    </row>
    <row r="6640" customFormat="false" ht="17.15" hidden="false" customHeight="false" outlineLevel="0" collapsed="false">
      <c r="A6640" s="1" t="s">
        <v>649</v>
      </c>
    </row>
    <row r="6641" customFormat="false" ht="17.15" hidden="false" customHeight="false" outlineLevel="0" collapsed="false">
      <c r="A6641" s="15" t="s">
        <v>650</v>
      </c>
      <c r="B6641" s="14" t="s">
        <v>52</v>
      </c>
      <c r="C6641" s="14"/>
      <c r="D6641" s="14"/>
      <c r="E6641" s="14"/>
      <c r="F6641" s="14"/>
      <c r="G6641" s="17" t="n">
        <f aca="false">Sens!$G$6631*(1-tax)/(ext_sh*(Sens!$D$6628+Sens!$G$6628)/2)</f>
        <v>0.0492184452944045</v>
      </c>
      <c r="H6641" s="17" t="n">
        <f aca="false">Sens!$H$6631*(1-tax)/(ext_sh*(Sens!$G$6628+Sens!$H$6628)/2)</f>
        <v>0.0619414246858107</v>
      </c>
      <c r="I6641" s="17" t="n">
        <f aca="false">Sens!$I$6631*(1-tax)/(ext_sh*(Sens!$H$6628+Sens!$I$6628)/2)</f>
        <v>0.0656831488051666</v>
      </c>
      <c r="J6641" s="17" t="n">
        <f aca="false">Sens!$J$6631*(1-tax)/(ext_sh*(Sens!$I$6628+Sens!$J$6628)/2)</f>
        <v>0.0690334849962116</v>
      </c>
      <c r="K6641" s="17" t="n">
        <f aca="false">Sens!$K$6631*(1-tax)/(ext_sh*(Sens!$J$6628+Sens!$K$6628)/2)</f>
        <v>0.0685772915331967</v>
      </c>
      <c r="L6641" s="17" t="n">
        <f aca="false">Sens!$L$6631*(1-tax)/(ext_sh*(Sens!$K$6628+Sens!$L$6628)/2)</f>
        <v>0.0723938074635756</v>
      </c>
      <c r="M6641" s="17" t="n">
        <f aca="false">Sens!$M$6631*(1-tax)/(ext_sh*(Sens!$L$6628+Sens!$M$6628)/2)</f>
        <v>0.0736061388214139</v>
      </c>
      <c r="N6641" s="14"/>
      <c r="O6641" s="14"/>
      <c r="P6641" s="8" t="s">
        <v>651</v>
      </c>
    </row>
    <row r="6642" customFormat="false" ht="17.15" hidden="false" customHeight="false" outlineLevel="0" collapsed="false">
      <c r="A6642" s="5" t="s">
        <v>652</v>
      </c>
      <c r="B6642" s="0" t="s">
        <v>57</v>
      </c>
      <c r="H6642" s="36" t="n">
        <f aca="false">Sens!$H$6611*1000/(mw_open*he_open+Sens!$H$6609*Sens!$H$6606)</f>
        <v>0.991949006767191</v>
      </c>
      <c r="I6642" s="36" t="n">
        <f aca="false">Sens!$I$6611*1000/(mw_open*he_open+Sens!$I$6609*Sens!$I$6606)</f>
        <v>0.991949006767191</v>
      </c>
      <c r="J6642" s="36" t="n">
        <f aca="false">Sens!$J$6611*1000/(mw_open*he_open+Sens!$J$6609*Sens!$J$6606)</f>
        <v>0.991949006767191</v>
      </c>
      <c r="K6642" s="36" t="n">
        <f aca="false">Sens!$K$6611*1000/(mw_open*he_open+Sens!$K$6609*Sens!$K$6606)</f>
        <v>0.991949006767191</v>
      </c>
      <c r="L6642" s="36" t="n">
        <f aca="false">Sens!$L$6611*1000/(mw_open*he_open+Sens!$L$6609*Sens!$L$6606)</f>
        <v>0.991949006767191</v>
      </c>
      <c r="M6642" s="36" t="n">
        <f aca="false">Sens!$M$6611*1000/(mw_open*he_open+Sens!$M$6609*Sens!$M$6606)</f>
        <v>0.991949006767191</v>
      </c>
    </row>
    <row r="6643" customFormat="false" ht="17.15" hidden="false" customHeight="false" outlineLevel="0" collapsed="false">
      <c r="A6643" s="5" t="s">
        <v>653</v>
      </c>
      <c r="B6643" s="0" t="s">
        <v>57</v>
      </c>
      <c r="H6643" s="36" t="n">
        <f aca="false">Sens!$H$6642*(Sens!$H$6611+wacc*ext_sh*(Sens!$G$6628+Sens!$H$6628)/2/(1-tax)-Sens!$H$6631)/Sens!$H$6611</f>
        <v>1.25551961623259</v>
      </c>
      <c r="I6643" s="36" t="n">
        <f aca="false">Sens!$I$6642*(Sens!$I$6611+wacc*ext_sh*(Sens!$H$6628+Sens!$I$6628)/2/(1-tax)-Sens!$I$6631)/Sens!$I$6611</f>
        <v>1.2054675393263</v>
      </c>
      <c r="J6643" s="36" t="n">
        <f aca="false">Sens!$J$6642*(Sens!$J$6611+wacc*ext_sh*(Sens!$I$6628+Sens!$J$6628)/2/(1-tax)-Sens!$J$6631)/Sens!$J$6611</f>
        <v>1.17141604927023</v>
      </c>
      <c r="K6643" s="36" t="n">
        <f aca="false">Sens!$K$6642*(Sens!$K$6611+wacc*ext_sh*(Sens!$J$6628+Sens!$K$6628)/2/(1-tax)-Sens!$K$6631)/Sens!$K$6611</f>
        <v>1.15558527566281</v>
      </c>
      <c r="L6643" s="36" t="n">
        <f aca="false">Sens!$L$6642*(Sens!$L$6611+wacc*ext_sh*(Sens!$K$6628+Sens!$L$6628)/2/(1-tax)-Sens!$L$6631)/Sens!$L$6611</f>
        <v>1.12686933572495</v>
      </c>
      <c r="M6643" s="36" t="n">
        <f aca="false">Sens!$M$6642*(Sens!$M$6611+wacc*ext_sh*(Sens!$L$6628+Sens!$M$6628)/2/(1-tax)-Sens!$M$6631)/Sens!$M$6611</f>
        <v>1.11358462527531</v>
      </c>
    </row>
    <row r="6644" customFormat="false" ht="17.15" hidden="false" customHeight="false" outlineLevel="0" collapsed="false">
      <c r="A6644" s="5" t="s">
        <v>654</v>
      </c>
      <c r="B6644" s="0" t="s">
        <v>52</v>
      </c>
      <c r="C6644" s="13" t="n">
        <f aca="false">Sens!$C$6612/tk_pq</f>
        <v>0.195316432429398</v>
      </c>
      <c r="D6644" s="13" t="n">
        <f aca="false">Sens!$D$6612/tk_pq</f>
        <v>0.195316432429398</v>
      </c>
      <c r="E6644" s="13" t="n">
        <f aca="false">Sens!$E$6612/tk_pq</f>
        <v>0.195316432429398</v>
      </c>
      <c r="F6644" s="13" t="n">
        <f aca="false">Sens!$F$6612/tk_pq</f>
        <v>0.202241827274866</v>
      </c>
      <c r="G6644" s="13" t="n">
        <f aca="false">Sens!$G$6612/tk_pq</f>
        <v>0.199675016194063</v>
      </c>
      <c r="H6644" s="13" t="n">
        <f aca="false">Sens!$H$6612/tk_pq</f>
        <v>0.212647947710325</v>
      </c>
      <c r="I6644" s="13" t="n">
        <f aca="false">Sens!$I$6612/tk_pq</f>
        <v>0.219285125475351</v>
      </c>
      <c r="J6644" s="13" t="n">
        <f aca="false">Sens!$J$6612/tk_pq</f>
        <v>0.222492493217189</v>
      </c>
      <c r="K6644" s="13" t="n">
        <f aca="false">Sens!$K$6612/tk_pq</f>
        <v>0.224053502812094</v>
      </c>
      <c r="L6644" s="13" t="n">
        <f aca="false">Sens!$L$6612/tk_pq</f>
        <v>0.224786916785614</v>
      </c>
      <c r="M6644" s="13" t="n">
        <f aca="false">Sens!$M$6612/tk_pq</f>
        <v>0.225048671566937</v>
      </c>
      <c r="N6644" s="13" t="n">
        <f aca="false">Sens!$N$6612/tk_pq</f>
        <v>0.195316432429398</v>
      </c>
      <c r="O6644" s="13" t="n">
        <f aca="false">Sens!$O$6612/tk_pq</f>
        <v>0.195316432429398</v>
      </c>
      <c r="P6644" s="5" t="s">
        <v>655</v>
      </c>
    </row>
    <row r="6647" customFormat="false" ht="17.15" hidden="false" customHeight="false" outlineLevel="0" collapsed="false">
      <c r="A6647" s="1" t="s">
        <v>684</v>
      </c>
    </row>
    <row r="6648" customFormat="false" ht="17.15" hidden="false" customHeight="false" outlineLevel="0" collapsed="false">
      <c r="A6648" s="0" t="s">
        <v>685</v>
      </c>
      <c r="B6648" s="0" t="s">
        <v>86</v>
      </c>
      <c r="C6648" s="38" t="n">
        <f aca="false">Sens!$C$6611</f>
        <v>2.32100535697364</v>
      </c>
      <c r="D6648" s="38" t="n">
        <f aca="false">Sens!$D$6611</f>
        <v>8.70377008865116</v>
      </c>
      <c r="E6648" s="38" t="n">
        <f aca="false">Sens!$E$6611</f>
        <v>8.51035297557002</v>
      </c>
      <c r="F6648" s="38" t="n">
        <f aca="false">Sens!$F$6611</f>
        <v>14.9634336447205</v>
      </c>
      <c r="G6648" s="38" t="n">
        <f aca="false">Sens!$G$6611</f>
        <v>23.4737866202905</v>
      </c>
      <c r="H6648" s="38" t="n">
        <f aca="false">Sens!$H$6611</f>
        <v>60.1658907497746</v>
      </c>
      <c r="I6648" s="38" t="n">
        <f aca="false">Sens!$I$6611</f>
        <v>101.503699136432</v>
      </c>
      <c r="J6648" s="38" t="n">
        <f aca="false">Sens!$J$6611</f>
        <v>143.025407151278</v>
      </c>
      <c r="K6648" s="38" t="n">
        <f aca="false">Sens!$K$6611</f>
        <v>178.44812038318</v>
      </c>
      <c r="L6648" s="38" t="n">
        <f aca="false">Sens!$L$6611</f>
        <v>201.728101802396</v>
      </c>
      <c r="M6648" s="38" t="n">
        <f aca="false">Sens!$M$6611</f>
        <v>212.835441368865</v>
      </c>
      <c r="N6648" s="38" t="n">
        <f aca="false">Sens!$N$6611</f>
        <v>3.04631953102791</v>
      </c>
      <c r="O6648" s="38" t="n">
        <f aca="false">Sens!$O$6611</f>
        <v>5.65745055762326</v>
      </c>
      <c r="P6648" s="8" t="s">
        <v>686</v>
      </c>
    </row>
    <row r="6649" customFormat="false" ht="17.15" hidden="false" customHeight="false" outlineLevel="0" collapsed="false">
      <c r="A6649" s="0" t="s">
        <v>687</v>
      </c>
      <c r="B6649" s="0" t="s">
        <v>86</v>
      </c>
      <c r="C6649" s="38" t="n">
        <f aca="false">Sens!$C$6615</f>
        <v>105.234994643026</v>
      </c>
      <c r="D6649" s="38" t="n">
        <f aca="false">Sens!$D$6615</f>
        <v>120.021229911349</v>
      </c>
      <c r="E6649" s="38" t="n">
        <f aca="false">Sens!$E$6615</f>
        <v>71.30864702443</v>
      </c>
      <c r="F6649" s="38" t="n">
        <f aca="false">Sens!$F$6615</f>
        <v>71.7692997942464</v>
      </c>
      <c r="G6649" s="38" t="n">
        <f aca="false">Sens!$G$6615</f>
        <v>143.077946818676</v>
      </c>
      <c r="H6649" s="38" t="n">
        <f aca="false">Sens!$H$6615</f>
        <v>161.017077079203</v>
      </c>
      <c r="I6649" s="38" t="n">
        <f aca="false">Sens!$I$6615</f>
        <v>178.769759521457</v>
      </c>
      <c r="J6649" s="38" t="n">
        <f aca="false">Sens!$J$6615</f>
        <v>195.775538045907</v>
      </c>
      <c r="K6649" s="38" t="n">
        <f aca="false">Sens!$K$6615</f>
        <v>211.43758108958</v>
      </c>
      <c r="L6649" s="38" t="n">
        <f aca="false">Sens!$L$6615</f>
        <v>228.352587576746</v>
      </c>
      <c r="M6649" s="38" t="n">
        <f aca="false">Sens!$M$6615</f>
        <v>246.620794582886</v>
      </c>
      <c r="N6649" s="38" t="n">
        <f aca="false">Sens!$N$6615</f>
        <v>57.0936804689721</v>
      </c>
      <c r="O6649" s="38" t="n">
        <f aca="false">Sens!$O$6615</f>
        <v>62.9275494423768</v>
      </c>
      <c r="P6649" s="8" t="s">
        <v>686</v>
      </c>
    </row>
    <row r="6650" customFormat="false" ht="17.15" hidden="false" customHeight="false" outlineLevel="0" collapsed="false">
      <c r="A6650" s="1" t="s">
        <v>513</v>
      </c>
      <c r="B6650" s="8" t="s">
        <v>86</v>
      </c>
      <c r="C6650" s="38" t="n">
        <f aca="false">Q!$D$7</f>
        <v>107.556</v>
      </c>
      <c r="D6650" s="38" t="n">
        <f aca="false">Q!$E$7</f>
        <v>128.725</v>
      </c>
      <c r="E6650" s="38" t="n">
        <f aca="false">Q!$P$7</f>
        <v>79.819</v>
      </c>
      <c r="F6650" s="38" t="n">
        <f aca="false">Sens!$F$6648+Sens!$F$6649</f>
        <v>86.7327334389669</v>
      </c>
      <c r="G6650" s="38" t="n">
        <f aca="false">Sens!$G$6648+Sens!$G$6649</f>
        <v>166.551733438967</v>
      </c>
      <c r="H6650" s="38" t="n">
        <f aca="false">Sens!$H$6648+Sens!$H$6649</f>
        <v>221.182967828978</v>
      </c>
      <c r="I6650" s="38" t="n">
        <f aca="false">Sens!$I$6648+Sens!$I$6649</f>
        <v>280.27345865789</v>
      </c>
      <c r="J6650" s="38" t="n">
        <f aca="false">Sens!$J$6648+Sens!$J$6649</f>
        <v>338.800945197185</v>
      </c>
      <c r="K6650" s="38" t="n">
        <f aca="false">Sens!$K$6648+Sens!$K$6649</f>
        <v>389.88570147276</v>
      </c>
      <c r="L6650" s="38" t="n">
        <f aca="false">Sens!$L$6648+Sens!$L$6649</f>
        <v>430.080689379143</v>
      </c>
      <c r="M6650" s="38" t="n">
        <f aca="false">Sens!$M$6648+Sens!$M$6649</f>
        <v>459.456235951751</v>
      </c>
      <c r="N6650" s="38" t="n">
        <f aca="false">Q!$N$7</f>
        <v>60.14</v>
      </c>
      <c r="O6650" s="38" t="n">
        <f aca="false">Q!$O$7</f>
        <v>68.585</v>
      </c>
      <c r="P6650" s="5" t="s">
        <v>688</v>
      </c>
    </row>
    <row r="6651" customFormat="false" ht="15" hidden="false" customHeight="false" outlineLevel="0" collapsed="false">
      <c r="A6651" s="3" t="s">
        <v>689</v>
      </c>
      <c r="B6651" s="8" t="s">
        <v>86</v>
      </c>
      <c r="C6651" s="38" t="n">
        <f aca="false">Q!$D$8</f>
        <v>637.959</v>
      </c>
      <c r="D6651" s="38" t="n">
        <f aca="false">Q!$E$8</f>
        <v>716.924</v>
      </c>
      <c r="E6651" s="38" t="n">
        <f aca="false">Q!$P$8</f>
        <v>382.125</v>
      </c>
      <c r="F6651" s="38" t="n">
        <f aca="false">Sens!$F$6583+Sens!$F$6650</f>
        <v>435.780975084504</v>
      </c>
      <c r="G6651" s="38" t="n">
        <f aca="false">Sens!$G$6583+Sens!$G$6650</f>
        <v>817.905975084504</v>
      </c>
      <c r="H6651" s="38" t="n">
        <f aca="false">Sens!$H$6583+Sens!$H$6650</f>
        <v>942.279857350364</v>
      </c>
      <c r="I6651" s="38" t="n">
        <f aca="false">Sens!$I$6583+Sens!$I$6650</f>
        <v>1068.80284981042</v>
      </c>
      <c r="J6651" s="38" t="n">
        <f aca="false">Sens!$J$6583+Sens!$J$6650</f>
        <v>1189.90935093863</v>
      </c>
      <c r="K6651" s="38" t="n">
        <f aca="false">Sens!$K$6583+Sens!$K$6650</f>
        <v>1296.06215690385</v>
      </c>
      <c r="L6651" s="38" t="n">
        <f aca="false">Sens!$L$6583+Sens!$L$6650</f>
        <v>1395.17379585473</v>
      </c>
      <c r="M6651" s="38" t="n">
        <f aca="false">Sens!$M$6583+Sens!$M$6650</f>
        <v>1487.60414389864</v>
      </c>
      <c r="N6651" s="38" t="n">
        <f aca="false">Q!$N$8</f>
        <v>323.369</v>
      </c>
      <c r="O6651" s="38" t="n">
        <f aca="false">Q!$O$8</f>
        <v>393.555</v>
      </c>
    </row>
    <row r="6652" customFormat="false" ht="17.15" hidden="false" customHeight="false" outlineLevel="0" collapsed="false">
      <c r="A6652" s="24" t="s">
        <v>697</v>
      </c>
      <c r="B6652" s="25" t="s">
        <v>86</v>
      </c>
      <c r="C6652" s="41" t="n">
        <f aca="false">Sens!$C$6583-(Sens!$C$6585+Sens!$C$6586)</f>
        <v>0</v>
      </c>
      <c r="D6652" s="41" t="n">
        <f aca="false">Sens!$D$6583-(Sens!$D$6585+Sens!$D$6586)</f>
        <v>0</v>
      </c>
      <c r="E6652" s="41" t="n">
        <f aca="false">Sens!$E$6583-(Sens!$E$6585+Sens!$E$6586)</f>
        <v>0</v>
      </c>
      <c r="F6652" s="41" t="n">
        <f aca="false">Sens!$F$6583-(Sens!$F$6585+Sens!$F$6586)</f>
        <v>0</v>
      </c>
      <c r="G6652" s="41" t="n">
        <f aca="false">Sens!$G$6583-(Sens!$G$6585+Sens!$G$6586)</f>
        <v>0</v>
      </c>
      <c r="H6652" s="41" t="n">
        <f aca="false">Sens!$H$6583-(Sens!$H$6585+Sens!$H$6586)</f>
        <v>0</v>
      </c>
      <c r="I6652" s="41" t="n">
        <f aca="false">Sens!$I$6583-(Sens!$I$6585+Sens!$I$6586)</f>
        <v>0</v>
      </c>
      <c r="J6652" s="41" t="n">
        <f aca="false">Sens!$J$6583-(Sens!$J$6585+Sens!$J$6586)</f>
        <v>0</v>
      </c>
      <c r="K6652" s="41" t="n">
        <f aca="false">Sens!$K$6583-(Sens!$K$6585+Sens!$K$6586)</f>
        <v>0</v>
      </c>
      <c r="L6652" s="41" t="n">
        <f aca="false">Sens!$L$6583-(Sens!$L$6585+Sens!$L$6586)</f>
        <v>0</v>
      </c>
      <c r="M6652" s="41" t="n">
        <f aca="false">Sens!$M$6583-(Sens!$M$6585+Sens!$M$6586)</f>
        <v>0</v>
      </c>
      <c r="N6652" s="41" t="n">
        <f aca="false">Sens!$N$6583-(Sens!$N$6585+Sens!$N$6586)</f>
        <v>0</v>
      </c>
      <c r="O6652" s="41" t="n">
        <f aca="false">Sens!$O$6583-(Sens!$O$6585+Sens!$O$6586)</f>
        <v>0</v>
      </c>
    </row>
    <row r="6653" customFormat="false" ht="17.15" hidden="false" customHeight="false" outlineLevel="0" collapsed="false">
      <c r="A6653" s="24" t="s">
        <v>698</v>
      </c>
      <c r="B6653" s="25" t="s">
        <v>86</v>
      </c>
      <c r="C6653" s="41" t="n">
        <f aca="false">Sens!$C$6648+Sens!$C$6649-Sens!$C$6650</f>
        <v>0</v>
      </c>
      <c r="D6653" s="41" t="n">
        <f aca="false">Sens!$D$6648+Sens!$D$6649-Sens!$D$6650</f>
        <v>0</v>
      </c>
      <c r="E6653" s="41" t="n">
        <f aca="false">Sens!$E$6648+Sens!$E$6649-Sens!$E$6650</f>
        <v>0</v>
      </c>
      <c r="F6653" s="41" t="n">
        <f aca="false">Sens!$F$6648+Sens!$F$6649-Sens!$F$6650</f>
        <v>0</v>
      </c>
      <c r="G6653" s="41" t="n">
        <f aca="false">Sens!$G$6648+Sens!$G$6649-Sens!$G$6650</f>
        <v>0</v>
      </c>
      <c r="H6653" s="41" t="n">
        <f aca="false">Sens!$H$6648+Sens!$H$6649-Sens!$H$6650</f>
        <v>0</v>
      </c>
      <c r="I6653" s="41" t="n">
        <f aca="false">Sens!$I$6648+Sens!$I$6649-Sens!$I$6650</f>
        <v>0</v>
      </c>
      <c r="J6653" s="41" t="n">
        <f aca="false">Sens!$J$6648+Sens!$J$6649-Sens!$J$6650</f>
        <v>0</v>
      </c>
      <c r="K6653" s="41" t="n">
        <f aca="false">Sens!$K$6648+Sens!$K$6649-Sens!$K$6650</f>
        <v>0</v>
      </c>
      <c r="L6653" s="41" t="n">
        <f aca="false">Sens!$L$6648+Sens!$L$6649-Sens!$L$6650</f>
        <v>0</v>
      </c>
      <c r="M6653" s="41" t="n">
        <f aca="false">Sens!$M$6648+Sens!$M$6649-Sens!$M$6650</f>
        <v>0</v>
      </c>
      <c r="N6653" s="41" t="n">
        <f aca="false">Sens!$N$6648+Sens!$N$6649-Sens!$N$6650</f>
        <v>0</v>
      </c>
      <c r="O6653" s="41" t="n">
        <f aca="false">Sens!$O$6648+Sens!$O$6649-Sens!$O$6650</f>
        <v>0</v>
      </c>
    </row>
    <row r="6654" customFormat="false" ht="17.15" hidden="false" customHeight="false" outlineLevel="0" collapsed="false">
      <c r="A6654" s="24" t="s">
        <v>699</v>
      </c>
      <c r="B6654" s="25" t="s">
        <v>86</v>
      </c>
      <c r="C6654" s="41" t="n">
        <f aca="false">Sens!$C$6585+Sens!$C$6586+Sens!$C$6650-Sens!$C$6651</f>
        <v>0</v>
      </c>
      <c r="D6654" s="41" t="n">
        <f aca="false">Sens!$D$6585+Sens!$D$6586+Sens!$D$6650-Sens!$D$6651</f>
        <v>0</v>
      </c>
      <c r="E6654" s="41" t="n">
        <f aca="false">Sens!$E$6585+Sens!$E$6586+Sens!$E$6650-Sens!$E$6651</f>
        <v>0</v>
      </c>
      <c r="F6654" s="41" t="n">
        <f aca="false">Sens!$F$6585+Sens!$F$6586+Sens!$F$6650-Sens!$F$6651</f>
        <v>0</v>
      </c>
      <c r="G6654" s="41" t="n">
        <f aca="false">Sens!$G$6585+Sens!$G$6586+Sens!$G$6650-Sens!$G$6651</f>
        <v>0</v>
      </c>
      <c r="H6654" s="41" t="n">
        <f aca="false">Sens!$H$6585+Sens!$H$6586+Sens!$H$6650-Sens!$H$6651</f>
        <v>0</v>
      </c>
      <c r="I6654" s="41" t="n">
        <f aca="false">Sens!$I$6585+Sens!$I$6586+Sens!$I$6650-Sens!$I$6651</f>
        <v>0</v>
      </c>
      <c r="J6654" s="41" t="n">
        <f aca="false">Sens!$J$6585+Sens!$J$6586+Sens!$J$6650-Sens!$J$6651</f>
        <v>0</v>
      </c>
      <c r="K6654" s="41" t="n">
        <f aca="false">Sens!$K$6585+Sens!$K$6586+Sens!$K$6650-Sens!$K$6651</f>
        <v>0</v>
      </c>
      <c r="L6654" s="41" t="n">
        <f aca="false">Sens!$L$6585+Sens!$L$6586+Sens!$L$6650-Sens!$L$6651</f>
        <v>0</v>
      </c>
      <c r="M6654" s="41" t="n">
        <f aca="false">Sens!$M$6585+Sens!$M$6586+Sens!$M$6650-Sens!$M$6651</f>
        <v>0</v>
      </c>
      <c r="N6654" s="41" t="n">
        <f aca="false">Sens!$N$6585+Sens!$N$6586+Sens!$N$6650-Sens!$N$6651</f>
        <v>0</v>
      </c>
      <c r="O6654" s="41" t="n">
        <f aca="false">Sens!$O$6585+Sens!$O$6586+Sens!$O$6650-Sens!$O$6651</f>
        <v>0</v>
      </c>
    </row>
    <row r="6655" customFormat="false" ht="15" hidden="false" customHeight="false" outlineLevel="0" collapsed="false">
      <c r="A6655" s="5" t="s">
        <v>693</v>
      </c>
      <c r="B6655" s="0" t="s">
        <v>52</v>
      </c>
      <c r="G6655" s="13" t="n">
        <f aca="false">Sens!$G$6651/Sens!$D$6651-1</f>
        <v>0.140854504918937</v>
      </c>
      <c r="H6655" s="13" t="n">
        <f aca="false">Sens!$H$6651/Sens!$G$6651-1</f>
        <v>0.152063789793209</v>
      </c>
      <c r="I6655" s="13" t="n">
        <f aca="false">Sens!$I$6651/Sens!$H$6651-1</f>
        <v>0.134273264437417</v>
      </c>
      <c r="J6655" s="13" t="n">
        <f aca="false">Sens!$J$6651/Sens!$I$6651-1</f>
        <v>0.113310421234083</v>
      </c>
      <c r="K6655" s="13" t="n">
        <f aca="false">Sens!$K$6651/Sens!$J$6651-1</f>
        <v>0.0892108343223652</v>
      </c>
      <c r="L6655" s="13" t="n">
        <f aca="false">Sens!$L$6651/Sens!$K$6651-1</f>
        <v>0.076471362444261</v>
      </c>
      <c r="M6655" s="13" t="n">
        <f aca="false">Sens!$M$6651/Sens!$L$6651-1</f>
        <v>0.066250060256672</v>
      </c>
    </row>
    <row r="6656" customFormat="false" ht="17.15" hidden="false" customHeight="false" outlineLevel="0" collapsed="false">
      <c r="A6656" s="0" t="s">
        <v>694</v>
      </c>
      <c r="B6656" s="0" t="s">
        <v>52</v>
      </c>
      <c r="C6656" s="13" t="n">
        <f aca="false">Sens!$C$6650/Sens!$C$6651</f>
        <v>0.168593906504964</v>
      </c>
      <c r="D6656" s="13" t="n">
        <f aca="false">Sens!$D$6650/Sens!$D$6651</f>
        <v>0.179551807444025</v>
      </c>
      <c r="E6656" s="13" t="n">
        <f aca="false">Sens!$E$6650/Sens!$E$6651</f>
        <v>0.208881910369643</v>
      </c>
      <c r="F6656" s="13" t="n">
        <f aca="false">Sens!$F$6650/Sens!$F$6651</f>
        <v>0.199028269699356</v>
      </c>
      <c r="G6656" s="13" t="n">
        <f aca="false">Sens!$G$6650/Sens!$G$6651</f>
        <v>0.203631882529968</v>
      </c>
      <c r="H6656" s="13" t="n">
        <f aca="false">Sens!$H$6650/Sens!$H$6651</f>
        <v>0.234731715958496</v>
      </c>
      <c r="I6656" s="13" t="n">
        <f aca="false">Sens!$I$6650/Sens!$I$6651</f>
        <v>0.262231204480418</v>
      </c>
      <c r="J6656" s="13" t="n">
        <f aca="false">Sens!$J$6650/Sens!$J$6651</f>
        <v>0.284728366013706</v>
      </c>
      <c r="K6656" s="13" t="n">
        <f aca="false">Sens!$K$6650/Sens!$K$6651</f>
        <v>0.300823304959505</v>
      </c>
      <c r="L6656" s="13" t="n">
        <f aca="false">Sens!$L$6650/Sens!$L$6651</f>
        <v>0.308263164529735</v>
      </c>
      <c r="M6656" s="13" t="n">
        <f aca="false">Sens!$M$6650/Sens!$M$6651</f>
        <v>0.308856517936036</v>
      </c>
      <c r="N6656" s="13" t="n">
        <f aca="false">Sens!$N$6650/Sens!$N$6651</f>
        <v>0.185979484737251</v>
      </c>
      <c r="O6656" s="13" t="n">
        <f aca="false">Sens!$O$6650/Sens!$O$6651</f>
        <v>0.174270432341096</v>
      </c>
    </row>
    <row r="6657" customFormat="false" ht="17.15" hidden="false" customHeight="false" outlineLevel="0" collapsed="false">
      <c r="A6657" s="0" t="s">
        <v>695</v>
      </c>
      <c r="B6657" s="0" t="s">
        <v>52</v>
      </c>
      <c r="C6657" s="13" t="n">
        <f aca="false">Sens!$C$6648/Sens!$C$6650</f>
        <v>0.0215795060896058</v>
      </c>
      <c r="D6657" s="13" t="n">
        <f aca="false">Sens!$D$6648/Sens!$D$6650</f>
        <v>0.0676152269462122</v>
      </c>
      <c r="E6657" s="13" t="n">
        <f aca="false">Sens!$E$6648/Sens!$E$6650</f>
        <v>0.106620641395783</v>
      </c>
      <c r="F6657" s="13" t="n">
        <f aca="false">Sens!$F$6648/Sens!$F$6650</f>
        <v>0.172523487401099</v>
      </c>
      <c r="G6657" s="13" t="n">
        <f aca="false">Sens!$G$6648/Sens!$G$6650</f>
        <v>0.140939911795589</v>
      </c>
      <c r="H6657" s="13" t="n">
        <f aca="false">Sens!$H$6648/Sens!$H$6650</f>
        <v>0.272018642937714</v>
      </c>
      <c r="I6657" s="13" t="n">
        <f aca="false">Sens!$I$6648/Sens!$I$6650</f>
        <v>0.362159512436497</v>
      </c>
      <c r="J6657" s="13" t="n">
        <f aca="false">Sens!$J$6648/Sens!$J$6650</f>
        <v>0.422151735934609</v>
      </c>
      <c r="K6657" s="13" t="n">
        <f aca="false">Sens!$K$6648/Sens!$K$6650</f>
        <v>0.45769342068485</v>
      </c>
      <c r="L6657" s="13" t="n">
        <f aca="false">Sens!$L$6648/Sens!$L$6650</f>
        <v>0.469047103913472</v>
      </c>
      <c r="M6657" s="13" t="n">
        <f aca="false">Sens!$M$6648/Sens!$M$6650</f>
        <v>0.463233328258093</v>
      </c>
      <c r="N6657" s="13" t="n">
        <f aca="false">Sens!$N$6648/Sens!$N$6650</f>
        <v>0.0506537999838362</v>
      </c>
      <c r="O6657" s="13" t="n">
        <f aca="false">Sens!$O$6648/Sens!$O$6650</f>
        <v>0.0824881615167056</v>
      </c>
    </row>
    <row r="6660" customFormat="false" ht="19.4" hidden="false" customHeight="false" outlineLevel="0" collapsed="false">
      <c r="A6660" s="31" t="s">
        <v>1264</v>
      </c>
    </row>
    <row r="6661" customFormat="false" ht="17.15" hidden="false" customHeight="false" outlineLevel="0" collapsed="false">
      <c r="A6661" s="6" t="s">
        <v>16</v>
      </c>
      <c r="B6661" s="6" t="s">
        <v>17</v>
      </c>
      <c r="C6661" s="20" t="s">
        <v>494</v>
      </c>
      <c r="D6661" s="20" t="s">
        <v>495</v>
      </c>
      <c r="E6661" s="20" t="s">
        <v>577</v>
      </c>
      <c r="F6661" s="20" t="s">
        <v>578</v>
      </c>
      <c r="G6661" s="20" t="s">
        <v>579</v>
      </c>
      <c r="H6661" s="20" t="s">
        <v>580</v>
      </c>
      <c r="I6661" s="20" t="s">
        <v>581</v>
      </c>
      <c r="J6661" s="20" t="s">
        <v>582</v>
      </c>
      <c r="K6661" s="20" t="s">
        <v>583</v>
      </c>
      <c r="L6661" s="20" t="s">
        <v>584</v>
      </c>
      <c r="M6661" s="20" t="s">
        <v>585</v>
      </c>
      <c r="N6661" s="20" t="s">
        <v>586</v>
      </c>
      <c r="O6661" s="20" t="s">
        <v>587</v>
      </c>
      <c r="P6661" s="6" t="s">
        <v>23</v>
      </c>
      <c r="R6661" s="20" t="n">
        <v>2023</v>
      </c>
      <c r="S6661" s="20" t="n">
        <v>2024</v>
      </c>
      <c r="T6661" s="20" t="n">
        <v>2025</v>
      </c>
      <c r="U6661" s="20" t="n">
        <v>2026</v>
      </c>
      <c r="V6661" s="20" t="n">
        <v>2027</v>
      </c>
      <c r="W6661" s="20" t="n">
        <v>2028</v>
      </c>
      <c r="X6661" s="20" t="n">
        <v>2029</v>
      </c>
      <c r="Y6661" s="20" t="n">
        <v>2030</v>
      </c>
      <c r="Z6661" s="20" t="n">
        <v>2031</v>
      </c>
      <c r="AA6661" s="20" t="n">
        <v>2032</v>
      </c>
    </row>
    <row r="6662" customFormat="false" ht="17.15" hidden="false" customHeight="false" outlineLevel="0" collapsed="false">
      <c r="A6662" s="1" t="s">
        <v>710</v>
      </c>
    </row>
    <row r="6663" customFormat="false" ht="15" hidden="false" customHeight="false" outlineLevel="0" collapsed="false">
      <c r="A6663" s="0" t="s">
        <v>516</v>
      </c>
      <c r="B6663" s="0" t="s">
        <v>86</v>
      </c>
      <c r="C6663" s="38" t="n">
        <f aca="false">Sens!$C$6570</f>
        <v>247.029</v>
      </c>
      <c r="D6663" s="38" t="n">
        <f aca="false">Sens!$D$6570</f>
        <v>269.287</v>
      </c>
      <c r="E6663" s="38" t="n">
        <f aca="false">Sens!$E$6570</f>
        <v>134.686</v>
      </c>
      <c r="F6663" s="38" t="n">
        <f aca="false">Sens!$F$6570</f>
        <v>158.293876822267</v>
      </c>
      <c r="G6663" s="38" t="n">
        <f aca="false">Sens!$G$6570</f>
        <v>292.979876822267</v>
      </c>
      <c r="H6663" s="38" t="n">
        <f aca="false">Sens!$H$6570</f>
        <v>318.184543087396</v>
      </c>
      <c r="I6663" s="38" t="n">
        <f aca="false">Sens!$I$6570</f>
        <v>341.736278761793</v>
      </c>
      <c r="J6663" s="38" t="n">
        <f aca="false">Sens!$J$6570</f>
        <v>362.927192787048</v>
      </c>
      <c r="K6663" s="38" t="n">
        <f aca="false">Sens!$K$6570</f>
        <v>381.0735524264</v>
      </c>
      <c r="L6663" s="38" t="n">
        <f aca="false">Sens!$L$6570</f>
        <v>400.12723004772</v>
      </c>
      <c r="M6663" s="38" t="n">
        <f aca="false">Sens!$M$6570</f>
        <v>420.133591550106</v>
      </c>
      <c r="N6663" s="38" t="n">
        <f aca="false">Sens!$N$6570</f>
        <v>118.892</v>
      </c>
      <c r="O6663" s="38" t="n">
        <f aca="false">Sens!$O$6570</f>
        <v>150.395</v>
      </c>
    </row>
    <row r="6664" customFormat="false" ht="15" hidden="false" customHeight="false" outlineLevel="0" collapsed="false">
      <c r="A6664" s="0" t="s">
        <v>517</v>
      </c>
      <c r="B6664" s="0" t="s">
        <v>86</v>
      </c>
      <c r="C6664" s="38" t="n">
        <f aca="false">Sens!$C$6572</f>
        <v>21.215</v>
      </c>
      <c r="D6664" s="38" t="n">
        <f aca="false">Sens!$D$6572</f>
        <v>22.561</v>
      </c>
      <c r="E6664" s="38" t="n">
        <f aca="false">Sens!$E$6572</f>
        <v>11.579</v>
      </c>
      <c r="F6664" s="38" t="n">
        <f aca="false">Sens!$F$6572</f>
        <v>11.5938724610325</v>
      </c>
      <c r="G6664" s="38" t="n">
        <f aca="false">Sens!$G$6572</f>
        <v>23.1728724610325</v>
      </c>
      <c r="H6664" s="38" t="n">
        <f aca="false">Sens!$H$6572</f>
        <v>24.353392759506</v>
      </c>
      <c r="I6664" s="38" t="n">
        <f aca="false">Sens!$I$6572</f>
        <v>25.4240338872015</v>
      </c>
      <c r="J6664" s="38" t="n">
        <f aca="false">Sens!$J$6572</f>
        <v>26.3642491017174</v>
      </c>
      <c r="K6664" s="38" t="n">
        <f aca="false">Sens!$K$6572</f>
        <v>27.155176574769</v>
      </c>
      <c r="L6664" s="38" t="n">
        <f aca="false">Sens!$L$6572</f>
        <v>27.969831872012</v>
      </c>
      <c r="M6664" s="38" t="n">
        <f aca="false">Sens!$M$6572</f>
        <v>28.8089268281724</v>
      </c>
      <c r="N6664" s="38" t="n">
        <f aca="false">Sens!$N$6572</f>
        <v>11.128</v>
      </c>
      <c r="O6664" s="38" t="n">
        <f aca="false">Sens!$O$6572</f>
        <v>11.433</v>
      </c>
    </row>
    <row r="6665" customFormat="false" ht="15" hidden="false" customHeight="false" outlineLevel="0" collapsed="false">
      <c r="A6665" s="0" t="s">
        <v>518</v>
      </c>
      <c r="B6665" s="0" t="s">
        <v>86</v>
      </c>
      <c r="C6665" s="38" t="n">
        <f aca="false">Sens!$C$6574</f>
        <v>156.146</v>
      </c>
      <c r="D6665" s="38" t="n">
        <f aca="false">Sens!$D$6574</f>
        <v>172.162</v>
      </c>
      <c r="E6665" s="38" t="n">
        <f aca="false">Sens!$E$6574</f>
        <v>88.358</v>
      </c>
      <c r="F6665" s="38" t="n">
        <f aca="false">Sens!$F$6574</f>
        <v>102.004388260171</v>
      </c>
      <c r="G6665" s="38" t="n">
        <f aca="false">Sens!$G$6574</f>
        <v>190.362388260171</v>
      </c>
      <c r="H6665" s="38" t="n">
        <f aca="false">Sens!$H$6574</f>
        <v>210.343106588311</v>
      </c>
      <c r="I6665" s="38" t="n">
        <f aca="false">Sens!$I$6574</f>
        <v>229.969728494648</v>
      </c>
      <c r="J6665" s="38" t="n">
        <f aca="false">Sens!$J$6574</f>
        <v>248.747636972598</v>
      </c>
      <c r="K6665" s="38" t="n">
        <f aca="false">Sens!$K$6574</f>
        <v>266.15997156068</v>
      </c>
      <c r="L6665" s="38" t="n">
        <f aca="false">Sens!$L$6574</f>
        <v>284.791169569927</v>
      </c>
      <c r="M6665" s="38" t="n">
        <f aca="false">Sens!$M$6574</f>
        <v>304.726551439822</v>
      </c>
      <c r="N6665" s="38" t="n">
        <f aca="false">Sens!$N$6574</f>
        <v>76.86</v>
      </c>
      <c r="O6665" s="38" t="n">
        <f aca="false">Sens!$O$6574</f>
        <v>95.302</v>
      </c>
    </row>
    <row r="6666" customFormat="false" ht="15" hidden="false" customHeight="false" outlineLevel="0" collapsed="false">
      <c r="A6666" s="0" t="s">
        <v>519</v>
      </c>
      <c r="B6666" s="0" t="s">
        <v>86</v>
      </c>
      <c r="C6666" s="38" t="n">
        <f aca="false">Sens!$C$6576</f>
        <v>56.214</v>
      </c>
      <c r="D6666" s="38" t="n">
        <f aca="false">Sens!$D$6576</f>
        <v>68.635</v>
      </c>
      <c r="E6666" s="38" t="n">
        <f aca="false">Sens!$E$6576</f>
        <v>37.052</v>
      </c>
      <c r="F6666" s="38" t="n">
        <f aca="false">Sens!$F$6576</f>
        <v>46.1572219944148</v>
      </c>
      <c r="G6666" s="38" t="n">
        <f aca="false">Sens!$G$6576</f>
        <v>83.2092219944148</v>
      </c>
      <c r="H6666" s="38" t="n">
        <f aca="false">Sens!$H$6576</f>
        <v>99.8969223878976</v>
      </c>
      <c r="I6666" s="38" t="n">
        <f aca="false">Sens!$I$6576</f>
        <v>116.583111095496</v>
      </c>
      <c r="J6666" s="38" t="n">
        <f aca="false">Sens!$J$6576</f>
        <v>132.148941941952</v>
      </c>
      <c r="K6666" s="38" t="n">
        <f aca="false">Sens!$K$6576</f>
        <v>145.363836136147</v>
      </c>
      <c r="L6666" s="38" t="n">
        <f aca="false">Sens!$L$6576</f>
        <v>159.900219749762</v>
      </c>
      <c r="M6666" s="38" t="n">
        <f aca="false">Sens!$M$6576</f>
        <v>175.890241724738</v>
      </c>
      <c r="N6666" s="38" t="n">
        <f aca="false">Sens!$N$6576</f>
        <v>29.615</v>
      </c>
      <c r="O6666" s="38" t="n">
        <f aca="false">Sens!$O$6576</f>
        <v>39.02</v>
      </c>
    </row>
    <row r="6667" customFormat="false" ht="15" hidden="false" customHeight="false" outlineLevel="0" collapsed="false">
      <c r="A6667" s="0" t="s">
        <v>520</v>
      </c>
      <c r="B6667" s="0" t="s">
        <v>86</v>
      </c>
      <c r="C6667" s="38" t="n">
        <f aca="false">Sens!$C$6578</f>
        <v>44.374</v>
      </c>
      <c r="D6667" s="38" t="n">
        <f aca="false">Sens!$D$6578</f>
        <v>49.619</v>
      </c>
      <c r="E6667" s="38" t="n">
        <f aca="false">Sens!$E$6578</f>
        <v>27.157</v>
      </c>
      <c r="F6667" s="38" t="n">
        <f aca="false">Sens!$F$6578</f>
        <v>27.7764165988154</v>
      </c>
      <c r="G6667" s="38" t="n">
        <f aca="false">Sens!$G$6578</f>
        <v>54.9334165988154</v>
      </c>
      <c r="H6667" s="38" t="n">
        <f aca="false">Sens!$H$6578</f>
        <v>61.1564112561829</v>
      </c>
      <c r="I6667" s="38" t="n">
        <f aca="false">Sens!$I$6578</f>
        <v>67.2020282103945</v>
      </c>
      <c r="J6667" s="38" t="n">
        <f aca="false">Sens!$J$6578</f>
        <v>72.8757274028885</v>
      </c>
      <c r="K6667" s="38" t="n">
        <f aca="false">Sens!$K$6578</f>
        <v>77.9770283210907</v>
      </c>
      <c r="L6667" s="38" t="n">
        <f aca="false">Sens!$L$6578</f>
        <v>83.4354203035671</v>
      </c>
      <c r="M6667" s="38" t="n">
        <f aca="false">Sens!$M$6578</f>
        <v>89.2758997248168</v>
      </c>
      <c r="N6667" s="38" t="n">
        <f aca="false">Sens!$N$6578</f>
        <v>23.923</v>
      </c>
      <c r="O6667" s="38" t="n">
        <f aca="false">Sens!$O$6578</f>
        <v>25.696</v>
      </c>
    </row>
    <row r="6668" customFormat="false" ht="15" hidden="false" customHeight="false" outlineLevel="0" collapsed="false">
      <c r="A6668" s="0" t="s">
        <v>521</v>
      </c>
      <c r="B6668" s="0" t="s">
        <v>86</v>
      </c>
      <c r="C6668" s="38" t="n">
        <f aca="false">Sens!$C$6580</f>
        <v>5.425</v>
      </c>
      <c r="D6668" s="38" t="n">
        <f aca="false">Sens!$D$6580</f>
        <v>5.935</v>
      </c>
      <c r="E6668" s="38" t="n">
        <f aca="false">Sens!$E$6580</f>
        <v>3.474</v>
      </c>
      <c r="F6668" s="38" t="n">
        <f aca="false">Sens!$F$6580</f>
        <v>3.22246550883619</v>
      </c>
      <c r="G6668" s="38" t="n">
        <f aca="false">Sens!$G$6580</f>
        <v>6.69646550883619</v>
      </c>
      <c r="H6668" s="38" t="n">
        <f aca="false">Sens!$H$6580</f>
        <v>7.16251344209196</v>
      </c>
      <c r="I6668" s="38" t="n">
        <f aca="false">Sens!$I$6580</f>
        <v>7.61421070299826</v>
      </c>
      <c r="J6668" s="38" t="n">
        <f aca="false">Sens!$J$6580</f>
        <v>8.04465753523932</v>
      </c>
      <c r="K6668" s="38" t="n">
        <f aca="false">Sens!$K$6580</f>
        <v>8.44689041200128</v>
      </c>
      <c r="L6668" s="38" t="n">
        <f aca="false">Sens!$L$6580</f>
        <v>8.86923493260135</v>
      </c>
      <c r="M6668" s="38" t="n">
        <f aca="false">Sens!$M$6580</f>
        <v>9.31269667923142</v>
      </c>
      <c r="N6668" s="38" t="n">
        <f aca="false">Sens!$N$6580</f>
        <v>2.811</v>
      </c>
      <c r="O6668" s="38" t="n">
        <f aca="false">Sens!$O$6580</f>
        <v>3.124</v>
      </c>
    </row>
    <row r="6669" customFormat="false" ht="17.15" hidden="false" customHeight="false" outlineLevel="0" collapsed="false">
      <c r="A6669" s="0" t="s">
        <v>711</v>
      </c>
      <c r="B6669" s="0" t="s">
        <v>86</v>
      </c>
      <c r="C6669" s="38" t="n">
        <f aca="false">Sens!$C$6650</f>
        <v>107.556</v>
      </c>
      <c r="D6669" s="38" t="n">
        <f aca="false">Sens!$D$6650</f>
        <v>128.725</v>
      </c>
      <c r="E6669" s="38" t="n">
        <f aca="false">Sens!$E$6650</f>
        <v>79.819</v>
      </c>
      <c r="F6669" s="38" t="n">
        <f aca="false">Sens!$F$6650</f>
        <v>86.7327334389669</v>
      </c>
      <c r="G6669" s="38" t="n">
        <f aca="false">Sens!$G$6650</f>
        <v>166.551733438967</v>
      </c>
      <c r="H6669" s="38" t="n">
        <f aca="false">Sens!$H$6650</f>
        <v>221.182967828978</v>
      </c>
      <c r="I6669" s="38" t="n">
        <f aca="false">Sens!$I$6650</f>
        <v>280.27345865789</v>
      </c>
      <c r="J6669" s="38" t="n">
        <f aca="false">Sens!$J$6650</f>
        <v>338.800945197185</v>
      </c>
      <c r="K6669" s="38" t="n">
        <f aca="false">Sens!$K$6650</f>
        <v>389.88570147276</v>
      </c>
      <c r="L6669" s="38" t="n">
        <f aca="false">Sens!$L$6650</f>
        <v>430.080689379143</v>
      </c>
      <c r="M6669" s="38" t="n">
        <f aca="false">Sens!$M$6650</f>
        <v>459.456235951751</v>
      </c>
      <c r="N6669" s="38" t="n">
        <f aca="false">Sens!$N$6650</f>
        <v>60.14</v>
      </c>
      <c r="O6669" s="38" t="n">
        <f aca="false">Sens!$O$6650</f>
        <v>68.585</v>
      </c>
    </row>
    <row r="6670" customFormat="false" ht="15" hidden="false" customHeight="false" outlineLevel="0" collapsed="false">
      <c r="A6670" s="1" t="s">
        <v>509</v>
      </c>
      <c r="B6670" s="8" t="s">
        <v>86</v>
      </c>
      <c r="C6670" s="38" t="n">
        <f aca="false">Sens!$C$6585</f>
        <v>387.497</v>
      </c>
      <c r="D6670" s="38" t="n">
        <f aca="false">Sens!$D$6585</f>
        <v>426.305</v>
      </c>
      <c r="E6670" s="38" t="n">
        <f aca="false">Sens!$E$6585</f>
        <v>220.32</v>
      </c>
      <c r="F6670" s="38" t="n">
        <f aca="false">Sens!$F$6585</f>
        <v>250.639773480586</v>
      </c>
      <c r="G6670" s="38" t="n">
        <f aca="false">Sens!$G$6585</f>
        <v>470.959773480586</v>
      </c>
      <c r="H6670" s="38" t="n">
        <f aca="false">Sens!$H$6585</f>
        <v>521.386990416437</v>
      </c>
      <c r="I6670" s="38" t="n">
        <f aca="false">Sens!$I$6585</f>
        <v>570.143862887555</v>
      </c>
      <c r="J6670" s="38" t="n">
        <f aca="false">Sens!$J$6585</f>
        <v>615.391435791933</v>
      </c>
      <c r="K6670" s="38" t="n">
        <f aca="false">Sens!$K$6585</f>
        <v>655.208227561543</v>
      </c>
      <c r="L6670" s="38" t="n">
        <f aca="false">Sens!$L$6585</f>
        <v>697.807739249767</v>
      </c>
      <c r="M6670" s="38" t="n">
        <f aca="false">Sens!$M$6585</f>
        <v>743.399328463592</v>
      </c>
      <c r="N6670" s="38" t="n">
        <f aca="false">Sens!$N$6585</f>
        <v>192.955</v>
      </c>
      <c r="O6670" s="38" t="n">
        <f aca="false">Sens!$O$6585</f>
        <v>233.35</v>
      </c>
    </row>
    <row r="6671" customFormat="false" ht="15" hidden="false" customHeight="false" outlineLevel="0" collapsed="false">
      <c r="A6671" s="1" t="s">
        <v>512</v>
      </c>
      <c r="B6671" s="8" t="s">
        <v>86</v>
      </c>
      <c r="C6671" s="38" t="n">
        <f aca="false">Sens!$C$6586</f>
        <v>142.906</v>
      </c>
      <c r="D6671" s="38" t="n">
        <f aca="false">Sens!$D$6586</f>
        <v>161.894</v>
      </c>
      <c r="E6671" s="38" t="n">
        <f aca="false">Sens!$E$6586</f>
        <v>81.986</v>
      </c>
      <c r="F6671" s="38" t="n">
        <f aca="false">Sens!$F$6586</f>
        <v>98.408468164951</v>
      </c>
      <c r="G6671" s="38" t="n">
        <f aca="false">Sens!$G$6586</f>
        <v>180.394468164951</v>
      </c>
      <c r="H6671" s="38" t="n">
        <f aca="false">Sens!$H$6586</f>
        <v>199.709899104949</v>
      </c>
      <c r="I6671" s="38" t="n">
        <f aca="false">Sens!$I$6586</f>
        <v>218.385528264976</v>
      </c>
      <c r="J6671" s="38" t="n">
        <f aca="false">Sens!$J$6586</f>
        <v>235.71696994951</v>
      </c>
      <c r="K6671" s="38" t="n">
        <f aca="false">Sens!$K$6586</f>
        <v>250.968227869545</v>
      </c>
      <c r="L6671" s="38" t="n">
        <f aca="false">Sens!$L$6586</f>
        <v>267.285367225822</v>
      </c>
      <c r="M6671" s="38" t="n">
        <f aca="false">Sens!$M$6586</f>
        <v>284.748579483295</v>
      </c>
      <c r="N6671" s="38" t="n">
        <f aca="false">Sens!$N$6586</f>
        <v>70.274</v>
      </c>
      <c r="O6671" s="38" t="n">
        <f aca="false">Sens!$O$6586</f>
        <v>91.62</v>
      </c>
    </row>
    <row r="6672" customFormat="false" ht="15" hidden="false" customHeight="false" outlineLevel="0" collapsed="false">
      <c r="A6672" s="1" t="s">
        <v>513</v>
      </c>
      <c r="B6672" s="8" t="s">
        <v>86</v>
      </c>
      <c r="C6672" s="38" t="n">
        <f aca="false">Sens!$C$6650</f>
        <v>107.556</v>
      </c>
      <c r="D6672" s="38" t="n">
        <f aca="false">Sens!$D$6650</f>
        <v>128.725</v>
      </c>
      <c r="E6672" s="38" t="n">
        <f aca="false">Sens!$E$6650</f>
        <v>79.819</v>
      </c>
      <c r="F6672" s="38" t="n">
        <f aca="false">Sens!$F$6650</f>
        <v>86.7327334389669</v>
      </c>
      <c r="G6672" s="38" t="n">
        <f aca="false">Sens!$G$6650</f>
        <v>166.551733438967</v>
      </c>
      <c r="H6672" s="38" t="n">
        <f aca="false">Sens!$H$6650</f>
        <v>221.182967828978</v>
      </c>
      <c r="I6672" s="38" t="n">
        <f aca="false">Sens!$I$6650</f>
        <v>280.27345865789</v>
      </c>
      <c r="J6672" s="38" t="n">
        <f aca="false">Sens!$J$6650</f>
        <v>338.800945197185</v>
      </c>
      <c r="K6672" s="38" t="n">
        <f aca="false">Sens!$K$6650</f>
        <v>389.88570147276</v>
      </c>
      <c r="L6672" s="38" t="n">
        <f aca="false">Sens!$L$6650</f>
        <v>430.080689379143</v>
      </c>
      <c r="M6672" s="38" t="n">
        <f aca="false">Sens!$M$6650</f>
        <v>459.456235951751</v>
      </c>
      <c r="N6672" s="38" t="n">
        <f aca="false">Sens!$N$6650</f>
        <v>60.14</v>
      </c>
      <c r="O6672" s="38" t="n">
        <f aca="false">Sens!$O$6650</f>
        <v>68.585</v>
      </c>
    </row>
    <row r="6673" customFormat="false" ht="17.15" hidden="false" customHeight="false" outlineLevel="0" collapsed="false">
      <c r="A6673" s="0" t="s">
        <v>685</v>
      </c>
      <c r="B6673" s="0" t="s">
        <v>86</v>
      </c>
      <c r="C6673" s="38" t="n">
        <f aca="false">Sens!$C$6648</f>
        <v>2.32100535697364</v>
      </c>
      <c r="D6673" s="38" t="n">
        <f aca="false">Sens!$D$6648</f>
        <v>8.70377008865116</v>
      </c>
      <c r="E6673" s="38" t="n">
        <f aca="false">Sens!$E$6648</f>
        <v>8.51035297557002</v>
      </c>
      <c r="F6673" s="38" t="n">
        <f aca="false">Sens!$F$6648</f>
        <v>14.9634336447205</v>
      </c>
      <c r="G6673" s="38" t="n">
        <f aca="false">Sens!$G$6648</f>
        <v>23.4737866202905</v>
      </c>
      <c r="H6673" s="38" t="n">
        <f aca="false">Sens!$H$6648</f>
        <v>60.1658907497746</v>
      </c>
      <c r="I6673" s="38" t="n">
        <f aca="false">Sens!$I$6648</f>
        <v>101.503699136432</v>
      </c>
      <c r="J6673" s="38" t="n">
        <f aca="false">Sens!$J$6648</f>
        <v>143.025407151278</v>
      </c>
      <c r="K6673" s="38" t="n">
        <f aca="false">Sens!$K$6648</f>
        <v>178.44812038318</v>
      </c>
      <c r="L6673" s="38" t="n">
        <f aca="false">Sens!$L$6648</f>
        <v>201.728101802396</v>
      </c>
      <c r="M6673" s="38" t="n">
        <f aca="false">Sens!$M$6648</f>
        <v>212.835441368865</v>
      </c>
      <c r="N6673" s="38" t="n">
        <f aca="false">Sens!$N$6648</f>
        <v>3.04631953102791</v>
      </c>
      <c r="O6673" s="38" t="n">
        <f aca="false">Sens!$O$6648</f>
        <v>5.65745055762326</v>
      </c>
    </row>
    <row r="6674" customFormat="false" ht="17.15" hidden="false" customHeight="false" outlineLevel="0" collapsed="false">
      <c r="A6674" s="0" t="s">
        <v>687</v>
      </c>
      <c r="B6674" s="0" t="s">
        <v>86</v>
      </c>
      <c r="C6674" s="38" t="n">
        <f aca="false">Sens!$C$6649</f>
        <v>105.234994643026</v>
      </c>
      <c r="D6674" s="38" t="n">
        <f aca="false">Sens!$D$6649</f>
        <v>120.021229911349</v>
      </c>
      <c r="E6674" s="38" t="n">
        <f aca="false">Sens!$E$6649</f>
        <v>71.30864702443</v>
      </c>
      <c r="F6674" s="38" t="n">
        <f aca="false">Sens!$F$6649</f>
        <v>71.7692997942464</v>
      </c>
      <c r="G6674" s="38" t="n">
        <f aca="false">Sens!$G$6649</f>
        <v>143.077946818676</v>
      </c>
      <c r="H6674" s="38" t="n">
        <f aca="false">Sens!$H$6649</f>
        <v>161.017077079203</v>
      </c>
      <c r="I6674" s="38" t="n">
        <f aca="false">Sens!$I$6649</f>
        <v>178.769759521457</v>
      </c>
      <c r="J6674" s="38" t="n">
        <f aca="false">Sens!$J$6649</f>
        <v>195.775538045907</v>
      </c>
      <c r="K6674" s="38" t="n">
        <f aca="false">Sens!$K$6649</f>
        <v>211.43758108958</v>
      </c>
      <c r="L6674" s="38" t="n">
        <f aca="false">Sens!$L$6649</f>
        <v>228.352587576746</v>
      </c>
      <c r="M6674" s="38" t="n">
        <f aca="false">Sens!$M$6649</f>
        <v>246.620794582886</v>
      </c>
      <c r="N6674" s="38" t="n">
        <f aca="false">Sens!$N$6649</f>
        <v>57.0936804689721</v>
      </c>
      <c r="O6674" s="38" t="n">
        <f aca="false">Sens!$O$6649</f>
        <v>62.9275494423768</v>
      </c>
    </row>
    <row r="6675" customFormat="false" ht="15" hidden="false" customHeight="false" outlineLevel="0" collapsed="false">
      <c r="A6675" s="3" t="s">
        <v>514</v>
      </c>
      <c r="B6675" s="8" t="s">
        <v>86</v>
      </c>
      <c r="C6675" s="38" t="n">
        <f aca="false">Sens!$C$6651</f>
        <v>637.959</v>
      </c>
      <c r="D6675" s="38" t="n">
        <f aca="false">Sens!$D$6651</f>
        <v>716.924</v>
      </c>
      <c r="E6675" s="38" t="n">
        <f aca="false">Sens!$E$6651</f>
        <v>382.125</v>
      </c>
      <c r="F6675" s="38" t="n">
        <f aca="false">Sens!$F$6651</f>
        <v>435.780975084504</v>
      </c>
      <c r="G6675" s="38" t="n">
        <f aca="false">Sens!$G$6651</f>
        <v>817.905975084504</v>
      </c>
      <c r="H6675" s="38" t="n">
        <f aca="false">Sens!$H$6651</f>
        <v>942.279857350364</v>
      </c>
      <c r="I6675" s="38" t="n">
        <f aca="false">Sens!$I$6651</f>
        <v>1068.80284981042</v>
      </c>
      <c r="J6675" s="38" t="n">
        <f aca="false">Sens!$J$6651</f>
        <v>1189.90935093863</v>
      </c>
      <c r="K6675" s="38" t="n">
        <f aca="false">Sens!$K$6651</f>
        <v>1296.06215690385</v>
      </c>
      <c r="L6675" s="38" t="n">
        <f aca="false">Sens!$L$6651</f>
        <v>1395.17379585473</v>
      </c>
      <c r="M6675" s="38" t="n">
        <f aca="false">Sens!$M$6651</f>
        <v>1487.60414389864</v>
      </c>
      <c r="N6675" s="38" t="n">
        <f aca="false">Sens!$N$6651</f>
        <v>323.369</v>
      </c>
      <c r="O6675" s="38" t="n">
        <f aca="false">Sens!$O$6651</f>
        <v>393.555</v>
      </c>
    </row>
    <row r="6676" customFormat="false" ht="17.15" hidden="false" customHeight="false" outlineLevel="0" collapsed="false">
      <c r="A6676" s="24" t="s">
        <v>697</v>
      </c>
      <c r="B6676" s="25" t="s">
        <v>86</v>
      </c>
      <c r="C6676" s="41" t="n">
        <f aca="false">Sens!$C$6663+Sens!$C$6664+Sens!$C$6665+Sens!$C$6666+Sens!$C$6667+Sens!$C$6668-(Sens!$C$6670+Sens!$C$6671)</f>
        <v>0</v>
      </c>
      <c r="D6676" s="41" t="n">
        <f aca="false">Sens!$D$6663+Sens!$D$6664+Sens!$D$6665+Sens!$D$6666+Sens!$D$6667+Sens!$D$6668-(Sens!$D$6670+Sens!$D$6671)</f>
        <v>0</v>
      </c>
      <c r="E6676" s="41" t="n">
        <f aca="false">Sens!$E$6663+Sens!$E$6664+Sens!$E$6665+Sens!$E$6666+Sens!$E$6667+Sens!$E$6668-(Sens!$E$6670+Sens!$E$6671)</f>
        <v>0</v>
      </c>
      <c r="F6676" s="41" t="n">
        <f aca="false">Sens!$F$6663+Sens!$F$6664+Sens!$F$6665+Sens!$F$6666+Sens!$F$6667+Sens!$F$6668-(Sens!$F$6670+Sens!$F$6671)</f>
        <v>0</v>
      </c>
      <c r="G6676" s="41" t="n">
        <f aca="false">Sens!$G$6663+Sens!$G$6664+Sens!$G$6665+Sens!$G$6666+Sens!$G$6667+Sens!$G$6668-(Sens!$G$6670+Sens!$G$6671)</f>
        <v>0</v>
      </c>
      <c r="H6676" s="41" t="n">
        <f aca="false">Sens!$H$6663+Sens!$H$6664+Sens!$H$6665+Sens!$H$6666+Sens!$H$6667+Sens!$H$6668-(Sens!$H$6670+Sens!$H$6671)</f>
        <v>0</v>
      </c>
      <c r="I6676" s="41" t="n">
        <f aca="false">Sens!$I$6663+Sens!$I$6664+Sens!$I$6665+Sens!$I$6666+Sens!$I$6667+Sens!$I$6668-(Sens!$I$6670+Sens!$I$6671)</f>
        <v>0</v>
      </c>
      <c r="J6676" s="41" t="n">
        <f aca="false">Sens!$J$6663+Sens!$J$6664+Sens!$J$6665+Sens!$J$6666+Sens!$J$6667+Sens!$J$6668-(Sens!$J$6670+Sens!$J$6671)</f>
        <v>0</v>
      </c>
      <c r="K6676" s="41" t="n">
        <f aca="false">Sens!$K$6663+Sens!$K$6664+Sens!$K$6665+Sens!$K$6666+Sens!$K$6667+Sens!$K$6668-(Sens!$K$6670+Sens!$K$6671)</f>
        <v>0</v>
      </c>
      <c r="L6676" s="41" t="n">
        <f aca="false">Sens!$L$6663+Sens!$L$6664+Sens!$L$6665+Sens!$L$6666+Sens!$L$6667+Sens!$L$6668-(Sens!$L$6670+Sens!$L$6671)</f>
        <v>0</v>
      </c>
      <c r="M6676" s="41" t="n">
        <f aca="false">Sens!$M$6663+Sens!$M$6664+Sens!$M$6665+Sens!$M$6666+Sens!$M$6667+Sens!$M$6668-(Sens!$M$6670+Sens!$M$6671)</f>
        <v>0</v>
      </c>
      <c r="N6676" s="41" t="n">
        <f aca="false">Sens!$N$6663+Sens!$N$6664+Sens!$N$6665+Sens!$N$6666+Sens!$N$6667+Sens!$N$6668-(Sens!$N$6670+Sens!$N$6671)</f>
        <v>0</v>
      </c>
      <c r="O6676" s="41" t="n">
        <f aca="false">Sens!$O$6663+Sens!$O$6664+Sens!$O$6665+Sens!$O$6666+Sens!$O$6667+Sens!$O$6668-(Sens!$O$6670+Sens!$O$6671)</f>
        <v>0</v>
      </c>
    </row>
    <row r="6677" customFormat="false" ht="17.15" hidden="false" customHeight="false" outlineLevel="0" collapsed="false">
      <c r="A6677" s="24" t="s">
        <v>698</v>
      </c>
      <c r="B6677" s="25" t="s">
        <v>86</v>
      </c>
      <c r="C6677" s="41" t="n">
        <f aca="false">Sens!$C$6673+Sens!$C$6674-Sens!$C$6672</f>
        <v>0</v>
      </c>
      <c r="D6677" s="41" t="n">
        <f aca="false">Sens!$D$6673+Sens!$D$6674-Sens!$D$6672</f>
        <v>0</v>
      </c>
      <c r="E6677" s="41" t="n">
        <f aca="false">Sens!$E$6673+Sens!$E$6674-Sens!$E$6672</f>
        <v>0</v>
      </c>
      <c r="F6677" s="41" t="n">
        <f aca="false">Sens!$F$6673+Sens!$F$6674-Sens!$F$6672</f>
        <v>0</v>
      </c>
      <c r="G6677" s="41" t="n">
        <f aca="false">Sens!$G$6673+Sens!$G$6674-Sens!$G$6672</f>
        <v>0</v>
      </c>
      <c r="H6677" s="41" t="n">
        <f aca="false">Sens!$H$6673+Sens!$H$6674-Sens!$H$6672</f>
        <v>0</v>
      </c>
      <c r="I6677" s="41" t="n">
        <f aca="false">Sens!$I$6673+Sens!$I$6674-Sens!$I$6672</f>
        <v>0</v>
      </c>
      <c r="J6677" s="41" t="n">
        <f aca="false">Sens!$J$6673+Sens!$J$6674-Sens!$J$6672</f>
        <v>0</v>
      </c>
      <c r="K6677" s="41" t="n">
        <f aca="false">Sens!$K$6673+Sens!$K$6674-Sens!$K$6672</f>
        <v>0</v>
      </c>
      <c r="L6677" s="41" t="n">
        <f aca="false">Sens!$L$6673+Sens!$L$6674-Sens!$L$6672</f>
        <v>0</v>
      </c>
      <c r="M6677" s="41" t="n">
        <f aca="false">Sens!$M$6673+Sens!$M$6674-Sens!$M$6672</f>
        <v>0</v>
      </c>
      <c r="N6677" s="41" t="n">
        <f aca="false">Sens!$N$6673+Sens!$N$6674-Sens!$N$6672</f>
        <v>0</v>
      </c>
      <c r="O6677" s="41" t="n">
        <f aca="false">Sens!$O$6673+Sens!$O$6674-Sens!$O$6672</f>
        <v>0</v>
      </c>
    </row>
    <row r="6678" customFormat="false" ht="17.15" hidden="false" customHeight="false" outlineLevel="0" collapsed="false">
      <c r="A6678" s="24" t="s">
        <v>757</v>
      </c>
      <c r="B6678" s="25" t="s">
        <v>86</v>
      </c>
      <c r="C6678" s="41" t="n">
        <f aca="false">Sens!$C$6663+Sens!$C$6664+Sens!$C$6665+Sens!$C$6666+Sens!$C$6667+Sens!$C$6668+Sens!$C$6669-Sens!$C$6675</f>
        <v>0</v>
      </c>
      <c r="D6678" s="41" t="n">
        <f aca="false">Sens!$D$6663+Sens!$D$6664+Sens!$D$6665+Sens!$D$6666+Sens!$D$6667+Sens!$D$6668+Sens!$D$6669-Sens!$D$6675</f>
        <v>0</v>
      </c>
      <c r="E6678" s="41" t="n">
        <f aca="false">Sens!$E$6663+Sens!$E$6664+Sens!$E$6665+Sens!$E$6666+Sens!$E$6667+Sens!$E$6668+Sens!$E$6669-Sens!$E$6675</f>
        <v>0</v>
      </c>
      <c r="F6678" s="41" t="n">
        <f aca="false">Sens!$F$6663+Sens!$F$6664+Sens!$F$6665+Sens!$F$6666+Sens!$F$6667+Sens!$F$6668+Sens!$F$6669-Sens!$F$6675</f>
        <v>0</v>
      </c>
      <c r="G6678" s="41" t="n">
        <f aca="false">Sens!$G$6663+Sens!$G$6664+Sens!$G$6665+Sens!$G$6666+Sens!$G$6667+Sens!$G$6668+Sens!$G$6669-Sens!$G$6675</f>
        <v>0</v>
      </c>
      <c r="H6678" s="41" t="n">
        <f aca="false">Sens!$H$6663+Sens!$H$6664+Sens!$H$6665+Sens!$H$6666+Sens!$H$6667+Sens!$H$6668+Sens!$H$6669-Sens!$H$6675</f>
        <v>0</v>
      </c>
      <c r="I6678" s="41" t="n">
        <f aca="false">Sens!$I$6663+Sens!$I$6664+Sens!$I$6665+Sens!$I$6666+Sens!$I$6667+Sens!$I$6668+Sens!$I$6669-Sens!$I$6675</f>
        <v>0</v>
      </c>
      <c r="J6678" s="41" t="n">
        <f aca="false">Sens!$J$6663+Sens!$J$6664+Sens!$J$6665+Sens!$J$6666+Sens!$J$6667+Sens!$J$6668+Sens!$J$6669-Sens!$J$6675</f>
        <v>0</v>
      </c>
      <c r="K6678" s="41" t="n">
        <f aca="false">Sens!$K$6663+Sens!$K$6664+Sens!$K$6665+Sens!$K$6666+Sens!$K$6667+Sens!$K$6668+Sens!$K$6669-Sens!$K$6675</f>
        <v>0</v>
      </c>
      <c r="L6678" s="41" t="n">
        <f aca="false">Sens!$L$6663+Sens!$L$6664+Sens!$L$6665+Sens!$L$6666+Sens!$L$6667+Sens!$L$6668+Sens!$L$6669-Sens!$L$6675</f>
        <v>0</v>
      </c>
      <c r="M6678" s="41" t="n">
        <f aca="false">Sens!$M$6663+Sens!$M$6664+Sens!$M$6665+Sens!$M$6666+Sens!$M$6667+Sens!$M$6668+Sens!$M$6669-Sens!$M$6675</f>
        <v>0</v>
      </c>
      <c r="N6678" s="41" t="n">
        <f aca="false">Sens!$N$6663+Sens!$N$6664+Sens!$N$6665+Sens!$N$6666+Sens!$N$6667+Sens!$N$6668+Sens!$N$6669-Sens!$N$6675</f>
        <v>0</v>
      </c>
      <c r="O6678" s="41" t="n">
        <f aca="false">Sens!$O$6663+Sens!$O$6664+Sens!$O$6665+Sens!$O$6666+Sens!$O$6667+Sens!$O$6668+Sens!$O$6669-Sens!$O$6675</f>
        <v>0</v>
      </c>
    </row>
    <row r="6679" customFormat="false" ht="17.15" hidden="false" customHeight="false" outlineLevel="0" collapsed="false">
      <c r="A6679" s="24" t="s">
        <v>699</v>
      </c>
      <c r="B6679" s="25" t="s">
        <v>86</v>
      </c>
      <c r="C6679" s="41" t="n">
        <f aca="false">Sens!$C$6670+Sens!$C$6671+Sens!$C$6672-Sens!$C$6675</f>
        <v>0</v>
      </c>
      <c r="D6679" s="41" t="n">
        <f aca="false">Sens!$D$6670+Sens!$D$6671+Sens!$D$6672-Sens!$D$6675</f>
        <v>0</v>
      </c>
      <c r="E6679" s="41" t="n">
        <f aca="false">Sens!$E$6670+Sens!$E$6671+Sens!$E$6672-Sens!$E$6675</f>
        <v>0</v>
      </c>
      <c r="F6679" s="41" t="n">
        <f aca="false">Sens!$F$6670+Sens!$F$6671+Sens!$F$6672-Sens!$F$6675</f>
        <v>0</v>
      </c>
      <c r="G6679" s="41" t="n">
        <f aca="false">Sens!$G$6670+Sens!$G$6671+Sens!$G$6672-Sens!$G$6675</f>
        <v>0</v>
      </c>
      <c r="H6679" s="41" t="n">
        <f aca="false">Sens!$H$6670+Sens!$H$6671+Sens!$H$6672-Sens!$H$6675</f>
        <v>0</v>
      </c>
      <c r="I6679" s="41" t="n">
        <f aca="false">Sens!$I$6670+Sens!$I$6671+Sens!$I$6672-Sens!$I$6675</f>
        <v>0</v>
      </c>
      <c r="J6679" s="41" t="n">
        <f aca="false">Sens!$J$6670+Sens!$J$6671+Sens!$J$6672-Sens!$J$6675</f>
        <v>0</v>
      </c>
      <c r="K6679" s="41" t="n">
        <f aca="false">Sens!$K$6670+Sens!$K$6671+Sens!$K$6672-Sens!$K$6675</f>
        <v>0</v>
      </c>
      <c r="L6679" s="41" t="n">
        <f aca="false">Sens!$L$6670+Sens!$L$6671+Sens!$L$6672-Sens!$L$6675</f>
        <v>0</v>
      </c>
      <c r="M6679" s="41" t="n">
        <f aca="false">Sens!$M$6670+Sens!$M$6671+Sens!$M$6672-Sens!$M$6675</f>
        <v>0</v>
      </c>
      <c r="N6679" s="41" t="n">
        <f aca="false">Sens!$N$6670+Sens!$N$6671+Sens!$N$6672-Sens!$N$6675</f>
        <v>0</v>
      </c>
      <c r="O6679" s="41" t="n">
        <f aca="false">Sens!$O$6670+Sens!$O$6671+Sens!$O$6672-Sens!$O$6675</f>
        <v>0</v>
      </c>
    </row>
    <row r="6680" customFormat="false" ht="17.15" hidden="false" customHeight="false" outlineLevel="0" collapsed="false">
      <c r="A6680" s="1" t="s">
        <v>713</v>
      </c>
    </row>
    <row r="6681" customFormat="false" ht="17.15" hidden="false" customHeight="false" outlineLevel="0" collapsed="false">
      <c r="A6681" s="0" t="s">
        <v>714</v>
      </c>
      <c r="B6681" s="0" t="s">
        <v>86</v>
      </c>
      <c r="C6681" s="38" t="n">
        <f aca="false">Sens!$C$6587*m_ad</f>
        <v>20.5341564414228</v>
      </c>
      <c r="D6681" s="38" t="n">
        <f aca="false">Sens!$D$6587*m_ad</f>
        <v>24.8720617299587</v>
      </c>
      <c r="E6681" s="38" t="n">
        <f aca="false">Sens!$E$6587*m_ad</f>
        <v>13.5017112462207</v>
      </c>
      <c r="F6681" s="38" t="n">
        <f aca="false">Sens!$F$6587*m_ad</f>
        <v>16.5719724165257</v>
      </c>
      <c r="G6681" s="38" t="n">
        <f aca="false">Sens!$G$6587*m_ad</f>
        <v>30.0820919220415</v>
      </c>
      <c r="H6681" s="38" t="n">
        <f aca="false">Sens!$H$6587*m_ad</f>
        <v>36.1150883276314</v>
      </c>
      <c r="I6681" s="38" t="n">
        <f aca="false">Sens!$I$6587*m_ad</f>
        <v>42.1475382231996</v>
      </c>
      <c r="J6681" s="38" t="n">
        <f aca="false">Sens!$J$6587*m_ad</f>
        <v>47.7749523864693</v>
      </c>
      <c r="K6681" s="38" t="n">
        <f aca="false">Sens!$K$6587*m_ad</f>
        <v>52.5524476251162</v>
      </c>
      <c r="L6681" s="38" t="n">
        <f aca="false">Sens!$L$6587*m_ad</f>
        <v>57.8076923876279</v>
      </c>
      <c r="M6681" s="38" t="n">
        <f aca="false">Sens!$M$6587*m_ad</f>
        <v>63.5884616263907</v>
      </c>
      <c r="N6681" s="38" t="n">
        <f aca="false">Sens!$N$6587*m_ad</f>
        <v>10.8543555706248</v>
      </c>
      <c r="O6681" s="38" t="n">
        <f aca="false">Sens!$O$6587*m_ad</f>
        <v>14.0094731821399</v>
      </c>
    </row>
    <row r="6682" customFormat="false" ht="17.15" hidden="false" customHeight="false" outlineLevel="0" collapsed="false">
      <c r="A6682" s="0" t="s">
        <v>715</v>
      </c>
      <c r="B6682" s="0" t="s">
        <v>86</v>
      </c>
      <c r="C6682" s="38" t="n">
        <f aca="false">Sens!$C$6585-Sens!$C$6587</f>
        <v>346.428687117154</v>
      </c>
      <c r="D6682" s="38" t="n">
        <f aca="false">Sens!$D$6585-Sens!$D$6587</f>
        <v>376.560876540083</v>
      </c>
      <c r="E6682" s="38" t="n">
        <f aca="false">Sens!$E$6585-Sens!$E$6587</f>
        <v>193.316577507559</v>
      </c>
      <c r="F6682" s="38" t="n">
        <f aca="false">Sens!$F$6585-Sens!$F$6587</f>
        <v>217.495828647535</v>
      </c>
      <c r="G6682" s="38" t="n">
        <f aca="false">Sens!$G$6585-Sens!$G$6587</f>
        <v>410.795589636503</v>
      </c>
      <c r="H6682" s="38" t="n">
        <f aca="false">Sens!$H$6585-Sens!$H$6587</f>
        <v>449.156813761174</v>
      </c>
      <c r="I6682" s="38" t="n">
        <f aca="false">Sens!$I$6585-Sens!$I$6587</f>
        <v>485.848786441156</v>
      </c>
      <c r="J6682" s="38" t="n">
        <f aca="false">Sens!$J$6585-Sens!$J$6587</f>
        <v>519.841531018994</v>
      </c>
      <c r="K6682" s="38" t="n">
        <f aca="false">Sens!$K$6585-Sens!$K$6587</f>
        <v>550.103332311311</v>
      </c>
      <c r="L6682" s="38" t="n">
        <f aca="false">Sens!$L$6585-Sens!$L$6587</f>
        <v>582.192354474511</v>
      </c>
      <c r="M6682" s="38" t="n">
        <f aca="false">Sens!$M$6585-Sens!$M$6587</f>
        <v>616.22240521081</v>
      </c>
      <c r="N6682" s="38" t="n">
        <f aca="false">Sens!$N$6585-Sens!$N$6587</f>
        <v>171.24628885875</v>
      </c>
      <c r="O6682" s="38" t="n">
        <f aca="false">Sens!$O$6585-Sens!$O$6587</f>
        <v>205.33105363572</v>
      </c>
    </row>
    <row r="6683" customFormat="false" ht="17.15" hidden="false" customHeight="false" outlineLevel="0" collapsed="false">
      <c r="A6683" s="0" t="s">
        <v>716</v>
      </c>
      <c r="B6683" s="0" t="s">
        <v>86</v>
      </c>
      <c r="C6683" s="38" t="n">
        <f aca="false">Sens!$C$6634*Sens!$C$6584</f>
        <v>0.123617442257179</v>
      </c>
      <c r="D6683" s="38" t="n">
        <f aca="false">Sens!$D$6634*Sens!$D$6584</f>
        <v>0.874366899302609</v>
      </c>
      <c r="E6683" s="38" t="n">
        <f aca="false">Sens!$E$6634*Sens!$E$6584</f>
        <v>1.29318830502574</v>
      </c>
      <c r="F6683" s="38" t="n">
        <f aca="false">Sens!$F$6634*Sens!$F$6584</f>
        <v>1.51802024162534</v>
      </c>
      <c r="G6683" s="38" t="n">
        <f aca="false">Sens!$G$6634*Sens!$G$6584</f>
        <v>2.81153363597665</v>
      </c>
      <c r="H6683" s="38" t="n">
        <f aca="false">Sens!$H$6634*Sens!$H$6584</f>
        <v>7.39027704264226</v>
      </c>
      <c r="I6683" s="38" t="n">
        <f aca="false">Sens!$I$6634*Sens!$I$6584</f>
        <v>12.899807643047</v>
      </c>
      <c r="J6683" s="38" t="n">
        <f aca="false">Sens!$J$6634*Sens!$J$6584</f>
        <v>18.5585322471382</v>
      </c>
      <c r="K6683" s="38" t="n">
        <f aca="false">Sens!$K$6634*Sens!$K$6584</f>
        <v>24.0966749520672</v>
      </c>
      <c r="L6683" s="38" t="n">
        <f aca="false">Sens!$L$6634*Sens!$L$6584</f>
        <v>27.686623551477</v>
      </c>
      <c r="M6683" s="38" t="n">
        <f aca="false">Sens!$M$6634*Sens!$M$6584</f>
        <v>29.7238645537022</v>
      </c>
      <c r="N6683" s="38" t="n">
        <f aca="false">Sens!$N$6634*Sens!$N$6584</f>
        <v>0.389180508437431</v>
      </c>
      <c r="O6683" s="38" t="n">
        <f aca="false">Sens!$O$6634*Sens!$O$6584</f>
        <v>0.485052120082802</v>
      </c>
    </row>
    <row r="6684" customFormat="false" ht="17.15" hidden="false" customHeight="false" outlineLevel="0" collapsed="false">
      <c r="A6684" s="0" t="s">
        <v>717</v>
      </c>
      <c r="B6684" s="0" t="s">
        <v>52</v>
      </c>
      <c r="C6684" s="28" t="n">
        <f aca="false">(Sens!$C$6685-Sens!$C$6681+Sens!$C$6683)/Sens!$C$6682</f>
        <v>0.0131526665379575</v>
      </c>
      <c r="D6684" s="28" t="n">
        <f aca="false">(Sens!$D$6685-Sens!$D$6681+Sens!$D$6683)/Sens!$D$6682</f>
        <v>0.0149280116962589</v>
      </c>
      <c r="E6684" s="28" t="n">
        <f aca="false">(Sens!$E$6685-Sens!$E$6681+Sens!$E$6683)/Sens!$E$6682</f>
        <v>0.0268030663774938</v>
      </c>
      <c r="F6684" s="28" t="n">
        <f aca="false">Sens!$O$6684+(Sens!$E$6684-Sens!$N$6684)</f>
        <v>0.0232379346966962</v>
      </c>
      <c r="G6684" s="28" t="n">
        <f aca="false">(Sens!$G$6685-Sens!$G$6681+Sens!$G$6683)/Sens!$G$6682</f>
        <v>0.0248969268652583</v>
      </c>
      <c r="H6684" s="28" t="n">
        <f aca="false">Sens!$G$6684+step_na</f>
        <v>0.0278969268652583</v>
      </c>
      <c r="I6684" s="28" t="n">
        <f aca="false">Sens!$H$6684+step_na</f>
        <v>0.0308969268652583</v>
      </c>
      <c r="J6684" s="28" t="n">
        <f aca="false">Sens!$I$6684+step_na</f>
        <v>0.0338969268652583</v>
      </c>
      <c r="K6684" s="28" t="n">
        <f aca="false">Sens!$J$6684+step_na</f>
        <v>0.0368969268652584</v>
      </c>
      <c r="L6684" s="28" t="n">
        <f aca="false">Sens!$K$6684</f>
        <v>0.0368969268652584</v>
      </c>
      <c r="M6684" s="28" t="n">
        <f aca="false">Sens!$L$6684</f>
        <v>0.0368969268652584</v>
      </c>
      <c r="N6684" s="28" t="n">
        <f aca="false">(Sens!$N$6685-Sens!$N$6681+Sens!$N$6683)/Sens!$N$6682</f>
        <v>0.0168927744775755</v>
      </c>
      <c r="O6684" s="28" t="n">
        <f aca="false">(Sens!$O$6685-Sens!$O$6681+Sens!$O$6683)/Sens!$O$6682</f>
        <v>0.0133276427967779</v>
      </c>
      <c r="P6684" s="8" t="s">
        <v>718</v>
      </c>
    </row>
    <row r="6685" customFormat="false" ht="17.15" hidden="false" customHeight="false" outlineLevel="0" collapsed="false">
      <c r="A6685" s="1" t="s">
        <v>719</v>
      </c>
      <c r="B6685" s="8" t="s">
        <v>86</v>
      </c>
      <c r="C6685" s="38" t="n">
        <f aca="false">Q!$D$22</f>
        <v>24.967</v>
      </c>
      <c r="D6685" s="38" t="n">
        <f aca="false">Q!$E$22</f>
        <v>29.619</v>
      </c>
      <c r="E6685" s="38" t="n">
        <f aca="false">Q!$P$22</f>
        <v>17.39</v>
      </c>
      <c r="F6685" s="38" t="n">
        <f aca="false">Sens!$F$6681+Sens!$F$6682*Sens!$F$6684-Sens!$F$6683</f>
        <v>20.1081060378156</v>
      </c>
      <c r="G6685" s="38" t="n">
        <f aca="false">Sens!$E$6685+Sens!$F$6685</f>
        <v>37.4981060378156</v>
      </c>
      <c r="H6685" s="38" t="n">
        <f aca="false">Sens!$H$6681+Sens!$H$6682*Sens!$H$6684-Sens!$H$6683</f>
        <v>41.2549060695171</v>
      </c>
      <c r="I6685" s="38" t="n">
        <f aca="false">Sens!$I$6681+Sens!$I$6682*Sens!$I$6684-Sens!$I$6683</f>
        <v>44.2589650023995</v>
      </c>
      <c r="J6685" s="38" t="n">
        <f aca="false">Sens!$J$6681+Sens!$J$6682*Sens!$J$6684-Sens!$J$6683</f>
        <v>46.8374504978059</v>
      </c>
      <c r="K6685" s="38" t="n">
        <f aca="false">Sens!$K$6681+Sens!$K$6682*Sens!$K$6684-Sens!$K$6683</f>
        <v>48.7528950936744</v>
      </c>
      <c r="L6685" s="38" t="n">
        <f aca="false">Sens!$L$6681+Sens!$L$6682*Sens!$L$6684-Sens!$L$6683</f>
        <v>51.6021775607095</v>
      </c>
      <c r="M6685" s="38" t="n">
        <f aca="false">Sens!$M$6681+Sens!$M$6682*Sens!$M$6684-Sens!$M$6683</f>
        <v>56.6013100904853</v>
      </c>
      <c r="N6685" s="38" t="n">
        <f aca="false">Q!$N$22</f>
        <v>13.358</v>
      </c>
      <c r="O6685" s="38" t="n">
        <f aca="false">Q!$O$22</f>
        <v>16.261</v>
      </c>
    </row>
    <row r="6686" customFormat="false" ht="17.15" hidden="false" customHeight="false" outlineLevel="0" collapsed="false">
      <c r="A6686" s="0" t="s">
        <v>720</v>
      </c>
      <c r="B6686" s="0" t="s">
        <v>86</v>
      </c>
      <c r="C6686" s="38" t="n">
        <f aca="false">Sens!$C$6588*m_ad</f>
        <v>7.57284355857716</v>
      </c>
      <c r="D6686" s="38" t="n">
        <f aca="false">Sens!$D$6588*m_ad</f>
        <v>9.44543827004127</v>
      </c>
      <c r="E6686" s="38" t="n">
        <f aca="false">Sens!$E$6588*m_ad</f>
        <v>5.02428875377928</v>
      </c>
      <c r="F6686" s="38" t="n">
        <f aca="false">Sens!$F$6588*m_ad</f>
        <v>6.50663858068173</v>
      </c>
      <c r="G6686" s="38" t="n">
        <f aca="false">Sens!$G$6588*m_ad</f>
        <v>11.5225190751659</v>
      </c>
      <c r="H6686" s="38" t="n">
        <f aca="false">Sens!$H$6588*m_ad</f>
        <v>13.8333728663174</v>
      </c>
      <c r="I6686" s="38" t="n">
        <f aca="false">Sens!$I$6588*m_ad</f>
        <v>16.1440173245485</v>
      </c>
      <c r="J6686" s="38" t="n">
        <f aca="false">Sens!$J$6588*m_ad</f>
        <v>18.2995185845066</v>
      </c>
      <c r="K6686" s="38" t="n">
        <f aca="false">Sens!$K$6588*m_ad</f>
        <v>20.1294704429572</v>
      </c>
      <c r="L6686" s="38" t="n">
        <f aca="false">Sens!$L$6588*m_ad</f>
        <v>22.142417487253</v>
      </c>
      <c r="M6686" s="38" t="n">
        <f aca="false">Sens!$M$6588*m_ad</f>
        <v>24.3566592359783</v>
      </c>
      <c r="N6686" s="38" t="n">
        <f aca="false">Sens!$N$6588*m_ad</f>
        <v>3.95314442937518</v>
      </c>
      <c r="O6686" s="38" t="n">
        <f aca="false">Sens!$O$6588*m_ad</f>
        <v>5.50052681786011</v>
      </c>
    </row>
    <row r="6687" customFormat="false" ht="17.15" hidden="false" customHeight="false" outlineLevel="0" collapsed="false">
      <c r="A6687" s="0" t="s">
        <v>721</v>
      </c>
      <c r="B6687" s="0" t="s">
        <v>86</v>
      </c>
      <c r="C6687" s="38" t="n">
        <f aca="false">Sens!$C$6586-Sens!$C$6588</f>
        <v>127.760312882846</v>
      </c>
      <c r="D6687" s="38" t="n">
        <f aca="false">Sens!$D$6586-Sens!$D$6588</f>
        <v>143.003123459917</v>
      </c>
      <c r="E6687" s="38" t="n">
        <f aca="false">Sens!$E$6586-Sens!$E$6588</f>
        <v>71.9374224924414</v>
      </c>
      <c r="F6687" s="38" t="n">
        <f aca="false">Sens!$F$6586-Sens!$F$6588</f>
        <v>85.3951910035875</v>
      </c>
      <c r="G6687" s="38" t="n">
        <f aca="false">Sens!$G$6586-Sens!$G$6588</f>
        <v>157.349430014619</v>
      </c>
      <c r="H6687" s="38" t="n">
        <f aca="false">Sens!$H$6586-Sens!$H$6588</f>
        <v>172.043153372315</v>
      </c>
      <c r="I6687" s="38" t="n">
        <f aca="false">Sens!$I$6586-Sens!$I$6588</f>
        <v>186.097493615879</v>
      </c>
      <c r="J6687" s="38" t="n">
        <f aca="false">Sens!$J$6586-Sens!$J$6588</f>
        <v>199.117932780497</v>
      </c>
      <c r="K6687" s="38" t="n">
        <f aca="false">Sens!$K$6586-Sens!$K$6588</f>
        <v>210.70928698363</v>
      </c>
      <c r="L6687" s="38" t="n">
        <f aca="false">Sens!$L$6586-Sens!$L$6588</f>
        <v>223.000532251316</v>
      </c>
      <c r="M6687" s="38" t="n">
        <f aca="false">Sens!$M$6586-Sens!$M$6588</f>
        <v>236.035261011339</v>
      </c>
      <c r="N6687" s="38" t="n">
        <f aca="false">Sens!$N$6586-Sens!$N$6588</f>
        <v>62.3677111412496</v>
      </c>
      <c r="O6687" s="38" t="n">
        <f aca="false">Sens!$O$6586-Sens!$O$6588</f>
        <v>80.6189463642798</v>
      </c>
    </row>
    <row r="6688" customFormat="false" ht="17.15" hidden="false" customHeight="false" outlineLevel="0" collapsed="false">
      <c r="A6688" s="0" t="s">
        <v>722</v>
      </c>
      <c r="B6688" s="0" t="s">
        <v>86</v>
      </c>
      <c r="C6688" s="38" t="n">
        <f aca="false">Sens!$C$6634*(1-Sens!$C$6584)</f>
        <v>0.0455891896019953</v>
      </c>
      <c r="D6688" s="38" t="n">
        <f aca="false">Sens!$D$6634*(1-Sens!$D$6584)</f>
        <v>0.332050421167231</v>
      </c>
      <c r="E6688" s="38" t="n">
        <f aca="false">Sens!$E$6634*(1-Sens!$E$6584)</f>
        <v>0.481224293644882</v>
      </c>
      <c r="F6688" s="38" t="n">
        <f aca="false">Sens!$F$6634*(1-Sens!$F$6584)</f>
        <v>0.596018918096053</v>
      </c>
      <c r="G6688" s="38" t="n">
        <f aca="false">Sens!$G$6634*(1-Sens!$G$6584)</f>
        <v>1.07691812241537</v>
      </c>
      <c r="H6688" s="38" t="n">
        <f aca="false">Sens!$H$6634*(1-Sens!$H$6584)</f>
        <v>2.83074090775622</v>
      </c>
      <c r="I6688" s="38" t="n">
        <f aca="false">Sens!$I$6634*(1-Sens!$I$6584)</f>
        <v>4.94108853926048</v>
      </c>
      <c r="J6688" s="38" t="n">
        <f aca="false">Sens!$J$6634*(1-Sens!$J$6584)</f>
        <v>7.10858281993502</v>
      </c>
      <c r="K6688" s="38" t="n">
        <f aca="false">Sens!$K$6634*(1-Sens!$K$6584)</f>
        <v>9.2298899126701</v>
      </c>
      <c r="L6688" s="38" t="n">
        <f aca="false">Sens!$L$6634*(1-Sens!$L$6584)</f>
        <v>10.6049688574045</v>
      </c>
      <c r="M6688" s="38" t="n">
        <f aca="false">Sens!$M$6634*(1-Sens!$M$6584)</f>
        <v>11.3853051574758</v>
      </c>
      <c r="N6688" s="38" t="n">
        <f aca="false">Sens!$N$6634*(1-Sens!$N$6584)</f>
        <v>0.141739115596548</v>
      </c>
      <c r="O6688" s="38" t="n">
        <f aca="false">Sens!$O$6634*(1-Sens!$O$6584)</f>
        <v>0.190445576353059</v>
      </c>
    </row>
    <row r="6689" customFormat="false" ht="17.15" hidden="false" customHeight="false" outlineLevel="0" collapsed="false">
      <c r="A6689" s="0" t="s">
        <v>723</v>
      </c>
      <c r="B6689" s="0" t="s">
        <v>52</v>
      </c>
      <c r="C6689" s="28" t="n">
        <f aca="false">(Sens!$C$6690-Sens!$C$6686+Sens!$C$6688)/Sens!$C$6687</f>
        <v>-0.0292364215826579</v>
      </c>
      <c r="D6689" s="28" t="n">
        <f aca="false">(Sens!$D$6690-Sens!$D$6686+Sens!$D$6688)/Sens!$D$6687</f>
        <v>-0.0305125352740778</v>
      </c>
      <c r="E6689" s="28" t="n">
        <f aca="false">(Sens!$E$6690-Sens!$E$6686+Sens!$E$6688)/Sens!$E$6687</f>
        <v>-0.019490056934994</v>
      </c>
      <c r="F6689" s="28" t="n">
        <f aca="false">Sens!$O$6689+(Sens!$E$6689-Sens!$N$6689)</f>
        <v>-0.0367332293992226</v>
      </c>
      <c r="G6689" s="28" t="n">
        <f aca="false">(Sens!$G$6690-Sens!$G$6686+Sens!$G$6688)/Sens!$G$6687</f>
        <v>-0.0287946542321067</v>
      </c>
      <c r="H6689" s="28" t="n">
        <f aca="false">Sens!$G$6689+step_in</f>
        <v>-0.0287946542321067</v>
      </c>
      <c r="I6689" s="28" t="n">
        <f aca="false">Sens!$H$6689+step_in</f>
        <v>-0.0287946542321067</v>
      </c>
      <c r="J6689" s="28" t="n">
        <f aca="false">Sens!$I$6689+step_in</f>
        <v>-0.0287946542321067</v>
      </c>
      <c r="K6689" s="28" t="n">
        <f aca="false">Sens!$J$6689+step_in</f>
        <v>-0.0287946542321067</v>
      </c>
      <c r="L6689" s="28" t="n">
        <f aca="false">Sens!$K$6689</f>
        <v>-0.0287946542321067</v>
      </c>
      <c r="M6689" s="28" t="n">
        <f aca="false">Sens!$L$6689</f>
        <v>-0.0287946542321067</v>
      </c>
      <c r="N6689" s="28" t="n">
        <f aca="false">(Sens!$N$6690-Sens!$N$6686+Sens!$N$6688)/Sens!$N$6687</f>
        <v>-0.02085061789158</v>
      </c>
      <c r="O6689" s="28" t="n">
        <f aca="false">(Sens!$O$6690-Sens!$O$6686+Sens!$O$6688)/Sens!$O$6687</f>
        <v>-0.0380937903558086</v>
      </c>
      <c r="P6689" s="8" t="s">
        <v>718</v>
      </c>
    </row>
    <row r="6690" customFormat="false" ht="17.15" hidden="false" customHeight="false" outlineLevel="0" collapsed="false">
      <c r="A6690" s="1" t="s">
        <v>724</v>
      </c>
      <c r="B6690" s="8" t="s">
        <v>86</v>
      </c>
      <c r="C6690" s="38" t="n">
        <f aca="false">Q!$D$23</f>
        <v>3.792</v>
      </c>
      <c r="D6690" s="38" t="n">
        <f aca="false">Q!$E$23</f>
        <v>4.75</v>
      </c>
      <c r="E6690" s="38" t="n">
        <f aca="false">Q!$P$23</f>
        <v>3.141</v>
      </c>
      <c r="F6690" s="38" t="n">
        <f aca="false">Sens!$F$6686+Sens!$F$6687*Sens!$F$6689-Sens!$F$6688</f>
        <v>2.77377852186047</v>
      </c>
      <c r="G6690" s="38" t="n">
        <f aca="false">Sens!$E$6690+Sens!$F$6690</f>
        <v>5.91477852186047</v>
      </c>
      <c r="H6690" s="38" t="n">
        <f aca="false">Sens!$H$6686+Sens!$H$6687*Sens!$H$6689-Sens!$H$6688</f>
        <v>6.04870884420403</v>
      </c>
      <c r="I6690" s="38" t="n">
        <f aca="false">Sens!$I$6686+Sens!$I$6687*Sens!$I$6689-Sens!$I$6688</f>
        <v>5.84431580315713</v>
      </c>
      <c r="J6690" s="38" t="n">
        <f aca="false">Sens!$J$6686+Sens!$J$6687*Sens!$J$6689-Sens!$J$6688</f>
        <v>5.45740373874528</v>
      </c>
      <c r="K6690" s="38" t="n">
        <f aca="false">Sens!$K$6686+Sens!$K$6687*Sens!$K$6689-Sens!$K$6688</f>
        <v>4.83227946809976</v>
      </c>
      <c r="L6690" s="38" t="n">
        <f aca="false">Sens!$L$6686+Sens!$L$6687*Sens!$L$6689-Sens!$L$6688</f>
        <v>5.11622541009601</v>
      </c>
      <c r="M6690" s="38" t="n">
        <f aca="false">Sens!$M$6686+Sens!$M$6687*Sens!$M$6689-Sens!$M$6688</f>
        <v>6.17480035109588</v>
      </c>
      <c r="N6690" s="38" t="n">
        <f aca="false">Q!$N$23</f>
        <v>2.511</v>
      </c>
      <c r="O6690" s="38" t="n">
        <f aca="false">Q!$O$23</f>
        <v>2.239</v>
      </c>
    </row>
    <row r="6691" customFormat="false" ht="17.15" hidden="false" customHeight="false" outlineLevel="0" collapsed="false">
      <c r="A6691" s="0" t="s">
        <v>725</v>
      </c>
      <c r="B6691" s="0" t="s">
        <v>86</v>
      </c>
      <c r="C6691" s="38" t="n">
        <f aca="false">Sens!$C$6631</f>
        <v>1.64417882953695</v>
      </c>
      <c r="D6691" s="38" t="n">
        <f aca="false">Sens!$D$6631</f>
        <v>3.8781008067718</v>
      </c>
      <c r="E6691" s="38" t="n">
        <f aca="false">Sens!$E$6631</f>
        <v>1.41270258088753</v>
      </c>
      <c r="F6691" s="38" t="n">
        <f aca="false">Sens!$F$6631</f>
        <v>6.50727700583486</v>
      </c>
      <c r="G6691" s="38" t="n">
        <f aca="false">Sens!$G$6631</f>
        <v>7.9199795867224</v>
      </c>
      <c r="H6691" s="38" t="n">
        <f aca="false">Sens!$H$6631</f>
        <v>19.2818189481807</v>
      </c>
      <c r="I6691" s="38" t="n">
        <f aca="false">Sens!$I$6631</f>
        <v>30.140114407202</v>
      </c>
      <c r="J6691" s="38" t="n">
        <f aca="false">Sens!$J$6631</f>
        <v>40.3569468829854</v>
      </c>
      <c r="K6691" s="38" t="n">
        <f aca="false">Sens!$K$6631</f>
        <v>45.1418609242305</v>
      </c>
      <c r="L6691" s="38" t="n">
        <f aca="false">Sens!$L$6631</f>
        <v>48.5617321668703</v>
      </c>
      <c r="M6691" s="38" t="n">
        <f aca="false">Sens!$M$6631</f>
        <v>48.3987625241529</v>
      </c>
      <c r="N6691" s="38" t="n">
        <f aca="false">Sens!$N$6631</f>
        <v>0.92264103489199</v>
      </c>
      <c r="O6691" s="38" t="n">
        <f aca="false">Sens!$O$6631</f>
        <v>2.95545977187981</v>
      </c>
    </row>
    <row r="6692" customFormat="false" ht="17.15" hidden="false" customHeight="false" outlineLevel="0" collapsed="false">
      <c r="A6692" s="0" t="s">
        <v>643</v>
      </c>
      <c r="B6692" s="0" t="s">
        <v>86</v>
      </c>
      <c r="C6692" s="38" t="n">
        <f aca="false">Sens!$C$6636</f>
        <v>38.1898211704631</v>
      </c>
      <c r="D6692" s="38" t="n">
        <f aca="false">Sens!$D$6636</f>
        <v>41.7278991932282</v>
      </c>
      <c r="E6692" s="38" t="n">
        <f aca="false">Sens!$E$6636</f>
        <v>29.3692974191125</v>
      </c>
      <c r="F6692" s="38" t="n">
        <f aca="false">Sens!$F$6636</f>
        <v>26.8997276714137</v>
      </c>
      <c r="G6692" s="38" t="n">
        <f aca="false">Sens!$G$6636</f>
        <v>56.2690250905262</v>
      </c>
      <c r="H6692" s="38" t="n">
        <f aca="false">Sens!$H$6636</f>
        <v>60.3505333937343</v>
      </c>
      <c r="I6692" s="38" t="n">
        <f aca="false">Sens!$I$6636</f>
        <v>67.0043857303571</v>
      </c>
      <c r="J6692" s="38" t="n">
        <f aca="false">Sens!$J$6636</f>
        <v>73.3782922956925</v>
      </c>
      <c r="K6692" s="38" t="n">
        <f aca="false">Sens!$K$6636</f>
        <v>79.2485556793479</v>
      </c>
      <c r="L6692" s="38" t="n">
        <f aca="false">Sens!$L$6636</f>
        <v>85.5884401336958</v>
      </c>
      <c r="M6692" s="38" t="n">
        <f aca="false">Sens!$M$6636</f>
        <v>92.4355153443914</v>
      </c>
      <c r="N6692" s="38" t="n">
        <f aca="false">Sens!$N$6636</f>
        <v>20.784358965108</v>
      </c>
      <c r="O6692" s="38" t="n">
        <f aca="false">Sens!$O$6636</f>
        <v>20.9435402281202</v>
      </c>
    </row>
    <row r="6693" customFormat="false" ht="17.15" hidden="false" customHeight="false" outlineLevel="0" collapsed="false">
      <c r="A6693" s="1" t="s">
        <v>726</v>
      </c>
      <c r="B6693" s="8" t="s">
        <v>86</v>
      </c>
      <c r="C6693" s="38" t="n">
        <f aca="false">Q!$D$24</f>
        <v>39.834</v>
      </c>
      <c r="D6693" s="38" t="n">
        <f aca="false">Q!$E$24</f>
        <v>45.606</v>
      </c>
      <c r="E6693" s="38" t="n">
        <f aca="false">Q!$P$24</f>
        <v>30.782</v>
      </c>
      <c r="F6693" s="38" t="n">
        <f aca="false">Sens!$F$6691+Sens!$F$6692</f>
        <v>33.4070046772486</v>
      </c>
      <c r="G6693" s="38" t="n">
        <f aca="false">Sens!$G$6691+Sens!$G$6692</f>
        <v>64.1890046772486</v>
      </c>
      <c r="H6693" s="38" t="n">
        <f aca="false">Sens!$H$6691+Sens!$H$6692</f>
        <v>79.6323523419149</v>
      </c>
      <c r="I6693" s="38" t="n">
        <f aca="false">Sens!$I$6691+Sens!$I$6692</f>
        <v>97.1445001375591</v>
      </c>
      <c r="J6693" s="38" t="n">
        <f aca="false">Sens!$J$6691+Sens!$J$6692</f>
        <v>113.735239178678</v>
      </c>
      <c r="K6693" s="38" t="n">
        <f aca="false">Sens!$K$6691+Sens!$K$6692</f>
        <v>124.390416603578</v>
      </c>
      <c r="L6693" s="38" t="n">
        <f aca="false">Sens!$L$6691+Sens!$L$6692</f>
        <v>134.150172300566</v>
      </c>
      <c r="M6693" s="38" t="n">
        <f aca="false">Sens!$M$6691+Sens!$M$6692</f>
        <v>140.834277868544</v>
      </c>
      <c r="N6693" s="38" t="n">
        <f aca="false">Q!$N$24</f>
        <v>21.707</v>
      </c>
      <c r="O6693" s="38" t="n">
        <f aca="false">Q!$O$24</f>
        <v>23.899</v>
      </c>
    </row>
    <row r="6694" customFormat="false" ht="17.15" hidden="false" customHeight="false" outlineLevel="0" collapsed="false">
      <c r="A6694" s="5" t="s">
        <v>727</v>
      </c>
      <c r="B6694" s="0" t="s">
        <v>86</v>
      </c>
      <c r="C6694" s="38" t="n">
        <f aca="false">Q!$D$26</f>
        <v>0</v>
      </c>
      <c r="D6694" s="38" t="n">
        <f aca="false">Q!$E$26</f>
        <v>0</v>
      </c>
      <c r="E6694" s="38" t="n">
        <f aca="false">Q!$P$26</f>
        <v>0</v>
      </c>
      <c r="F6694" s="39" t="n">
        <v>0</v>
      </c>
      <c r="G6694" s="38" t="n">
        <f aca="false">Sens!$E$6694+Sens!$F$6694</f>
        <v>0</v>
      </c>
      <c r="H6694" s="39" t="n">
        <v>0</v>
      </c>
      <c r="I6694" s="39" t="n">
        <v>0</v>
      </c>
      <c r="J6694" s="39" t="n">
        <v>0</v>
      </c>
      <c r="K6694" s="39" t="n">
        <v>0</v>
      </c>
      <c r="L6694" s="39" t="n">
        <v>0</v>
      </c>
      <c r="M6694" s="39" t="n">
        <v>0</v>
      </c>
      <c r="N6694" s="38" t="n">
        <f aca="false">Q!$N$26</f>
        <v>0</v>
      </c>
      <c r="O6694" s="38" t="n">
        <f aca="false">Q!$O$26</f>
        <v>0</v>
      </c>
    </row>
    <row r="6695" customFormat="false" ht="15" hidden="false" customHeight="false" outlineLevel="0" collapsed="false">
      <c r="A6695" s="3" t="s">
        <v>531</v>
      </c>
      <c r="B6695" s="8" t="s">
        <v>86</v>
      </c>
      <c r="C6695" s="38" t="n">
        <f aca="false">Q!$D$25</f>
        <v>68.593</v>
      </c>
      <c r="D6695" s="38" t="n">
        <f aca="false">Q!$E$25</f>
        <v>79.975</v>
      </c>
      <c r="E6695" s="38" t="n">
        <f aca="false">Q!$P$25</f>
        <v>51.313</v>
      </c>
      <c r="F6695" s="38" t="n">
        <f aca="false">Sens!$F$6685+Sens!$F$6690+Sens!$F$6693+Sens!$F$6694</f>
        <v>56.2888892369246</v>
      </c>
      <c r="G6695" s="38" t="n">
        <f aca="false">Sens!$G$6685+Sens!$G$6690+Sens!$G$6693+Sens!$G$6694</f>
        <v>107.601889236925</v>
      </c>
      <c r="H6695" s="38" t="n">
        <f aca="false">Sens!$H$6685+Sens!$H$6690+Sens!$H$6693+Sens!$H$6694</f>
        <v>126.935967255636</v>
      </c>
      <c r="I6695" s="38" t="n">
        <f aca="false">Sens!$I$6685+Sens!$I$6690+Sens!$I$6693+Sens!$I$6694</f>
        <v>147.247780943116</v>
      </c>
      <c r="J6695" s="38" t="n">
        <f aca="false">Sens!$J$6685+Sens!$J$6690+Sens!$J$6693+Sens!$J$6694</f>
        <v>166.030093415229</v>
      </c>
      <c r="K6695" s="38" t="n">
        <f aca="false">Sens!$K$6685+Sens!$K$6690+Sens!$K$6693+Sens!$K$6694</f>
        <v>177.975591165353</v>
      </c>
      <c r="L6695" s="38" t="n">
        <f aca="false">Sens!$L$6685+Sens!$L$6690+Sens!$L$6693+Sens!$L$6694</f>
        <v>190.868575271371</v>
      </c>
      <c r="M6695" s="38" t="n">
        <f aca="false">Sens!$M$6685+Sens!$M$6690+Sens!$M$6693+Sens!$M$6694</f>
        <v>203.610388310126</v>
      </c>
      <c r="N6695" s="38" t="n">
        <f aca="false">Q!$N$25</f>
        <v>37.576</v>
      </c>
      <c r="O6695" s="38" t="n">
        <f aca="false">Q!$O$25</f>
        <v>42.399</v>
      </c>
    </row>
    <row r="6696" customFormat="false" ht="17.15" hidden="false" customHeight="false" outlineLevel="0" collapsed="false">
      <c r="A6696" s="24" t="s">
        <v>758</v>
      </c>
      <c r="B6696" s="25" t="s">
        <v>86</v>
      </c>
      <c r="C6696" s="41" t="n">
        <f aca="false">Sens!$C$6685+Sens!$C$6690+Sens!$C$6693+Sens!$C$6694-Sens!$C$6695</f>
        <v>0</v>
      </c>
      <c r="D6696" s="41" t="n">
        <f aca="false">Sens!$D$6685+Sens!$D$6690+Sens!$D$6693+Sens!$D$6694-Sens!$D$6695</f>
        <v>0</v>
      </c>
      <c r="E6696" s="41" t="n">
        <f aca="false">Sens!$E$6685+Sens!$E$6690+Sens!$E$6693+Sens!$E$6694-Sens!$E$6695</f>
        <v>0</v>
      </c>
      <c r="F6696" s="41" t="n">
        <f aca="false">Sens!$F$6685+Sens!$F$6690+Sens!$F$6693+Sens!$F$6694-Sens!$F$6695</f>
        <v>0</v>
      </c>
      <c r="G6696" s="41" t="n">
        <f aca="false">Sens!$G$6685+Sens!$G$6690+Sens!$G$6693+Sens!$G$6694-Sens!$G$6695</f>
        <v>0</v>
      </c>
      <c r="H6696" s="41" t="n">
        <f aca="false">Sens!$H$6685+Sens!$H$6690+Sens!$H$6693+Sens!$H$6694-Sens!$H$6695</f>
        <v>0</v>
      </c>
      <c r="I6696" s="41" t="n">
        <f aca="false">Sens!$I$6685+Sens!$I$6690+Sens!$I$6693+Sens!$I$6694-Sens!$I$6695</f>
        <v>0</v>
      </c>
      <c r="J6696" s="41" t="n">
        <f aca="false">Sens!$J$6685+Sens!$J$6690+Sens!$J$6693+Sens!$J$6694-Sens!$J$6695</f>
        <v>0</v>
      </c>
      <c r="K6696" s="41" t="n">
        <f aca="false">Sens!$K$6685+Sens!$K$6690+Sens!$K$6693+Sens!$K$6694-Sens!$K$6695</f>
        <v>0</v>
      </c>
      <c r="L6696" s="41" t="n">
        <f aca="false">Sens!$L$6685+Sens!$L$6690+Sens!$L$6693+Sens!$L$6694-Sens!$L$6695</f>
        <v>0</v>
      </c>
      <c r="M6696" s="41" t="n">
        <f aca="false">Sens!$M$6685+Sens!$M$6690+Sens!$M$6693+Sens!$M$6694-Sens!$M$6695</f>
        <v>0</v>
      </c>
      <c r="N6696" s="41" t="n">
        <f aca="false">Sens!$N$6685+Sens!$N$6690+Sens!$N$6693+Sens!$N$6694-Sens!$N$6695</f>
        <v>0</v>
      </c>
      <c r="O6696" s="41" t="n">
        <f aca="false">Sens!$O$6685+Sens!$O$6690+Sens!$O$6693+Sens!$O$6694-Sens!$O$6695</f>
        <v>0</v>
      </c>
    </row>
    <row r="6697" customFormat="false" ht="17.15" hidden="false" customHeight="false" outlineLevel="0" collapsed="false">
      <c r="A6697" s="5" t="s">
        <v>729</v>
      </c>
      <c r="B6697" s="0" t="s">
        <v>86</v>
      </c>
      <c r="C6697" s="38" t="n">
        <f aca="false">Sens!$C$6633</f>
        <v>0</v>
      </c>
      <c r="D6697" s="38" t="n">
        <f aca="false">Sens!$D$6633</f>
        <v>0</v>
      </c>
      <c r="E6697" s="38" t="n">
        <f aca="false">Sens!$E$6633</f>
        <v>0</v>
      </c>
      <c r="F6697" s="38" t="n">
        <f aca="false">Sens!$F$6633</f>
        <v>3.77122048175818</v>
      </c>
      <c r="G6697" s="38" t="n">
        <f aca="false">Sens!$G$6633</f>
        <v>3.77122048175818</v>
      </c>
      <c r="H6697" s="38" t="n">
        <f aca="false">Sens!$H$6633</f>
        <v>15.1635543609893</v>
      </c>
      <c r="I6697" s="38" t="n">
        <f aca="false">Sens!$I$6633</f>
        <v>25.5818843619889</v>
      </c>
      <c r="J6697" s="38" t="n">
        <f aca="false">Sens!$J$6633</f>
        <v>36.0465624179122</v>
      </c>
      <c r="K6697" s="38" t="n">
        <f aca="false">Sens!$K$6633</f>
        <v>44.9741164026038</v>
      </c>
      <c r="L6697" s="38" t="n">
        <f aca="false">Sens!$L$6633</f>
        <v>50.8413488057813</v>
      </c>
      <c r="M6697" s="38" t="n">
        <f aca="false">Sens!$M$6633</f>
        <v>53.6407214274315</v>
      </c>
      <c r="N6697" s="38" t="n">
        <f aca="false">Sens!$N$6633</f>
        <v>0</v>
      </c>
      <c r="O6697" s="38" t="n">
        <f aca="false">Sens!$O$6633</f>
        <v>0</v>
      </c>
      <c r="P6697" s="5" t="s">
        <v>730</v>
      </c>
    </row>
    <row r="6698" customFormat="false" ht="17.15" hidden="false" customHeight="false" outlineLevel="0" collapsed="false">
      <c r="A6698" s="5" t="s">
        <v>731</v>
      </c>
      <c r="B6698" s="0" t="s">
        <v>86</v>
      </c>
      <c r="C6698" s="38" t="n">
        <f aca="false">Sens!$C$6695+Sens!$C$6697</f>
        <v>68.593</v>
      </c>
      <c r="D6698" s="38" t="n">
        <f aca="false">Sens!$D$6695+Sens!$D$6697</f>
        <v>79.975</v>
      </c>
      <c r="E6698" s="38" t="n">
        <f aca="false">Sens!$E$6695+Sens!$E$6697</f>
        <v>51.313</v>
      </c>
      <c r="F6698" s="38" t="n">
        <f aca="false">Sens!$F$6695+Sens!$F$6697</f>
        <v>60.0601097186828</v>
      </c>
      <c r="G6698" s="38" t="n">
        <f aca="false">Sens!$G$6695+Sens!$G$6697</f>
        <v>111.373109718683</v>
      </c>
      <c r="H6698" s="38" t="n">
        <f aca="false">Sens!$H$6695+Sens!$H$6697</f>
        <v>142.099521616625</v>
      </c>
      <c r="I6698" s="38" t="n">
        <f aca="false">Sens!$I$6695+Sens!$I$6697</f>
        <v>172.829665305105</v>
      </c>
      <c r="J6698" s="38" t="n">
        <f aca="false">Sens!$J$6695+Sens!$J$6697</f>
        <v>202.076655833141</v>
      </c>
      <c r="K6698" s="38" t="n">
        <f aca="false">Sens!$K$6695+Sens!$K$6697</f>
        <v>222.949707567956</v>
      </c>
      <c r="L6698" s="38" t="n">
        <f aca="false">Sens!$L$6695+Sens!$L$6697</f>
        <v>241.709924077153</v>
      </c>
      <c r="M6698" s="38" t="n">
        <f aca="false">Sens!$M$6695+Sens!$M$6697</f>
        <v>257.251109737557</v>
      </c>
      <c r="N6698" s="38" t="n">
        <f aca="false">Sens!$N$6695+Sens!$N$6697</f>
        <v>37.576</v>
      </c>
      <c r="O6698" s="38" t="n">
        <f aca="false">Sens!$O$6695+Sens!$O$6697</f>
        <v>42.399</v>
      </c>
    </row>
    <row r="6699" customFormat="false" ht="17.15" hidden="false" customHeight="false" outlineLevel="0" collapsed="false">
      <c r="A6699" s="0" t="s">
        <v>732</v>
      </c>
      <c r="B6699" s="0" t="s">
        <v>52</v>
      </c>
      <c r="C6699" s="13" t="n">
        <f aca="false">Sens!$C$6685/Sens!$C$6670</f>
        <v>0.0644314665661928</v>
      </c>
      <c r="D6699" s="13" t="n">
        <f aca="false">Sens!$D$6685/Sens!$D$6670</f>
        <v>0.0694784250712518</v>
      </c>
      <c r="E6699" s="13" t="n">
        <f aca="false">Sens!$E$6685/Sens!$E$6670</f>
        <v>0.0789306463326071</v>
      </c>
      <c r="F6699" s="13" t="n">
        <f aca="false">Sens!$F$6685/Sens!$F$6670</f>
        <v>0.0802271154277638</v>
      </c>
      <c r="G6699" s="13" t="n">
        <f aca="false">Sens!$G$6685/Sens!$G$6670</f>
        <v>0.0796206133714758</v>
      </c>
      <c r="H6699" s="13" t="n">
        <f aca="false">Sens!$H$6685/Sens!$H$6670</f>
        <v>0.0791253077422711</v>
      </c>
      <c r="I6699" s="13" t="n">
        <f aca="false">Sens!$I$6685/Sens!$I$6670</f>
        <v>0.0776277144828766</v>
      </c>
      <c r="J6699" s="13" t="n">
        <f aca="false">Sens!$J$6685/Sens!$J$6670</f>
        <v>0.0761100135193333</v>
      </c>
      <c r="K6699" s="13" t="n">
        <f aca="false">Sens!$K$6685/Sens!$K$6670</f>
        <v>0.074408246177121</v>
      </c>
      <c r="L6699" s="13" t="n">
        <f aca="false">Sens!$L$6685/Sens!$L$6670</f>
        <v>0.0739489900415671</v>
      </c>
      <c r="M6699" s="13" t="n">
        <f aca="false">Sens!$M$6685/Sens!$M$6670</f>
        <v>0.076138500430805</v>
      </c>
      <c r="N6699" s="13" t="n">
        <f aca="false">Sens!$N$6685/Sens!$N$6670</f>
        <v>0.069228576611127</v>
      </c>
      <c r="O6699" s="13" t="n">
        <f aca="false">Sens!$O$6685/Sens!$O$6670</f>
        <v>0.069685022498393</v>
      </c>
    </row>
    <row r="6700" customFormat="false" ht="17.15" hidden="false" customHeight="false" outlineLevel="0" collapsed="false">
      <c r="A6700" s="0" t="s">
        <v>733</v>
      </c>
      <c r="B6700" s="0" t="s">
        <v>52</v>
      </c>
      <c r="C6700" s="13" t="n">
        <f aca="false">Sens!$C$6690/Sens!$C$6671</f>
        <v>0.026534925055631</v>
      </c>
      <c r="D6700" s="13" t="n">
        <f aca="false">Sens!$D$6690/Sens!$D$6671</f>
        <v>0.0293401855535103</v>
      </c>
      <c r="E6700" s="13" t="n">
        <f aca="false">Sens!$E$6690/Sens!$E$6671</f>
        <v>0.03831141902276</v>
      </c>
      <c r="F6700" s="13" t="n">
        <f aca="false">Sens!$F$6690/Sens!$F$6671</f>
        <v>0.028186380436398</v>
      </c>
      <c r="G6700" s="13" t="n">
        <f aca="false">Sens!$G$6690/Sens!$G$6671</f>
        <v>0.0327880260521739</v>
      </c>
      <c r="H6700" s="13" t="n">
        <f aca="false">Sens!$H$6690/Sens!$H$6671</f>
        <v>0.0302874763409969</v>
      </c>
      <c r="I6700" s="13" t="n">
        <f aca="false">Sens!$I$6690/Sens!$I$6671</f>
        <v>0.0267614610253202</v>
      </c>
      <c r="J6700" s="13" t="n">
        <f aca="false">Sens!$J$6690/Sens!$J$6671</f>
        <v>0.0231523582706593</v>
      </c>
      <c r="K6700" s="13" t="n">
        <f aca="false">Sens!$K$6690/Sens!$K$6671</f>
        <v>0.0192545467174101</v>
      </c>
      <c r="L6700" s="13" t="n">
        <f aca="false">Sens!$L$6690/Sens!$L$6671</f>
        <v>0.0191414347264789</v>
      </c>
      <c r="M6700" s="13" t="n">
        <f aca="false">Sens!$M$6690/Sens!$M$6671</f>
        <v>0.0216850962428001</v>
      </c>
      <c r="N6700" s="13" t="n">
        <f aca="false">Sens!$N$6690/Sens!$N$6671</f>
        <v>0.0357315650169337</v>
      </c>
      <c r="O6700" s="13" t="n">
        <f aca="false">Sens!$O$6690/Sens!$O$6671</f>
        <v>0.0244378956559703</v>
      </c>
    </row>
    <row r="6701" customFormat="false" ht="17.15" hidden="false" customHeight="false" outlineLevel="0" collapsed="false">
      <c r="A6701" s="14" t="s">
        <v>734</v>
      </c>
      <c r="B6701" s="14" t="s">
        <v>52</v>
      </c>
      <c r="C6701" s="17" t="n">
        <f aca="false">Sens!$C$6693/Sens!$C$6672</f>
        <v>0.370355907620217</v>
      </c>
      <c r="D6701" s="17" t="n">
        <f aca="false">Sens!$D$6693/Sens!$D$6672</f>
        <v>0.35429015342785</v>
      </c>
      <c r="E6701" s="17" t="n">
        <f aca="false">Sens!$E$6693/Sens!$E$6672</f>
        <v>0.385647527531039</v>
      </c>
      <c r="F6701" s="17" t="n">
        <f aca="false">Sens!$F$6693/Sens!$F$6672</f>
        <v>0.385171818673936</v>
      </c>
      <c r="G6701" s="17" t="n">
        <f aca="false">Sens!$G$6693/Sens!$G$6672</f>
        <v>0.385399799520974</v>
      </c>
      <c r="H6701" s="17" t="n">
        <f aca="false">Sens!$H$6693/Sens!$H$6672</f>
        <v>0.360029314750347</v>
      </c>
      <c r="I6701" s="17" t="n">
        <f aca="false">Sens!$I$6693/Sens!$I$6672</f>
        <v>0.346606134604193</v>
      </c>
      <c r="J6701" s="17" t="n">
        <f aca="false">Sens!$J$6693/Sens!$J$6672</f>
        <v>0.335699297156574</v>
      </c>
      <c r="K6701" s="17" t="n">
        <f aca="false">Sens!$K$6693/Sens!$K$6672</f>
        <v>0.319043289183739</v>
      </c>
      <c r="L6701" s="17" t="n">
        <f aca="false">Sens!$L$6693/Sens!$L$6672</f>
        <v>0.311918613444893</v>
      </c>
      <c r="M6701" s="17" t="n">
        <f aca="false">Sens!$M$6693/Sens!$M$6672</f>
        <v>0.306523814127389</v>
      </c>
      <c r="N6701" s="17" t="n">
        <f aca="false">Sens!$N$6693/Sens!$N$6672</f>
        <v>0.360941137346192</v>
      </c>
      <c r="O6701" s="17" t="n">
        <f aca="false">Sens!$O$6693/Sens!$O$6672</f>
        <v>0.348458117664212</v>
      </c>
    </row>
    <row r="6702" customFormat="false" ht="17.15" hidden="false" customHeight="false" outlineLevel="0" collapsed="false">
      <c r="A6702" s="0" t="s">
        <v>735</v>
      </c>
      <c r="B6702" s="0" t="s">
        <v>52</v>
      </c>
      <c r="C6702" s="13" t="n">
        <f aca="false">Sens!$C$6691/Sens!$C$6673</f>
        <v>0.708390794789371</v>
      </c>
      <c r="D6702" s="13" t="n">
        <f aca="false">Sens!$D$6691/Sens!$D$6673</f>
        <v>0.445565630441968</v>
      </c>
      <c r="E6702" s="13" t="n">
        <f aca="false">Sens!$E$6691/Sens!$E$6673</f>
        <v>0.165998118402711</v>
      </c>
      <c r="F6702" s="13" t="n">
        <f aca="false">Sens!$F$6691/Sens!$F$6673</f>
        <v>0.434878595403858</v>
      </c>
      <c r="G6702" s="13" t="n">
        <f aca="false">Sens!$G$6691/Sens!$G$6673</f>
        <v>0.3373967615381</v>
      </c>
      <c r="H6702" s="13" t="n">
        <f aca="false">Sens!$H$6691/Sens!$H$6673</f>
        <v>0.320477578041224</v>
      </c>
      <c r="I6702" s="13" t="n">
        <f aca="false">Sens!$I$6691/Sens!$I$6673</f>
        <v>0.296936118226494</v>
      </c>
      <c r="J6702" s="13" t="n">
        <f aca="false">Sens!$J$6691/Sens!$J$6673</f>
        <v>0.282166278613001</v>
      </c>
      <c r="K6702" s="13" t="n">
        <f aca="false">Sens!$K$6691/Sens!$K$6673</f>
        <v>0.252969102881543</v>
      </c>
      <c r="L6702" s="13" t="n">
        <f aca="false">Sens!$L$6691/Sens!$L$6673</f>
        <v>0.240728642826566</v>
      </c>
      <c r="M6702" s="13" t="n">
        <f aca="false">Sens!$M$6691/Sens!$M$6673</f>
        <v>0.227399920863147</v>
      </c>
      <c r="N6702" s="13" t="n">
        <f aca="false">Sens!$N$6691/Sens!$N$6673</f>
        <v>0.302870734830849</v>
      </c>
      <c r="O6702" s="13" t="n">
        <f aca="false">Sens!$O$6691/Sens!$O$6673</f>
        <v>0.52240134346334</v>
      </c>
    </row>
    <row r="6703" customFormat="false" ht="15" hidden="false" customHeight="false" outlineLevel="0" collapsed="false">
      <c r="A6703" s="5" t="s">
        <v>736</v>
      </c>
      <c r="B6703" s="0" t="s">
        <v>52</v>
      </c>
      <c r="C6703" s="13" t="n">
        <f aca="false">Sens!$C$6695/Sens!$C$6675</f>
        <v>0.107519448742004</v>
      </c>
      <c r="D6703" s="13" t="n">
        <f aca="false">Sens!$D$6695/Sens!$D$6675</f>
        <v>0.111552967957552</v>
      </c>
      <c r="E6703" s="13" t="n">
        <f aca="false">Sens!$E$6695/Sens!$E$6675</f>
        <v>0.13428328426562</v>
      </c>
      <c r="F6703" s="13" t="n">
        <f aca="false">Sens!$F$6695/Sens!$F$6675</f>
        <v>0.129167844525589</v>
      </c>
      <c r="G6703" s="13" t="n">
        <f aca="false">Sens!$G$6695/Sens!$G$6675</f>
        <v>0.131557773771988</v>
      </c>
      <c r="H6703" s="13" t="n">
        <f aca="false">Sens!$H$6695/Sens!$H$6675</f>
        <v>0.134711536350329</v>
      </c>
      <c r="I6703" s="13" t="n">
        <f aca="false">Sens!$I$6695/Sens!$I$6675</f>
        <v>0.137768888779847</v>
      </c>
      <c r="J6703" s="13" t="n">
        <f aca="false">Sens!$J$6695/Sens!$J$6675</f>
        <v>0.139531715827143</v>
      </c>
      <c r="K6703" s="13" t="n">
        <f aca="false">Sens!$K$6695/Sens!$K$6675</f>
        <v>0.137320259076553</v>
      </c>
      <c r="L6703" s="13" t="n">
        <f aca="false">Sens!$L$6695/Sens!$L$6675</f>
        <v>0.136806307456799</v>
      </c>
      <c r="M6703" s="13" t="n">
        <f aca="false">Sens!$M$6695/Sens!$M$6675</f>
        <v>0.136871350584245</v>
      </c>
      <c r="N6703" s="13" t="n">
        <f aca="false">Sens!$N$6695/Sens!$N$6675</f>
        <v>0.116201614873411</v>
      </c>
      <c r="O6703" s="13" t="n">
        <f aca="false">Sens!$O$6695/Sens!$O$6675</f>
        <v>0.107733353660861</v>
      </c>
    </row>
    <row r="6704" customFormat="false" ht="17.15" hidden="false" customHeight="false" outlineLevel="0" collapsed="false">
      <c r="A6704" s="1" t="s">
        <v>737</v>
      </c>
    </row>
    <row r="6705" customFormat="false" ht="17.15" hidden="false" customHeight="false" outlineLevel="0" collapsed="false">
      <c r="A6705" s="5" t="s">
        <v>738</v>
      </c>
      <c r="B6705" s="0" t="s">
        <v>52</v>
      </c>
      <c r="D6705" s="28" t="n">
        <f aca="false">(Q!$E$29+Q!$E$30-(1-ext_sh)*Sens!$D$6627)/Sens!$D$6583</f>
        <v>0.0334674312393194</v>
      </c>
    </row>
    <row r="6706" customFormat="false" ht="17.15" hidden="false" customHeight="false" outlineLevel="0" collapsed="false">
      <c r="A6706" s="0" t="s">
        <v>535</v>
      </c>
      <c r="B6706" s="0" t="s">
        <v>86</v>
      </c>
      <c r="C6706" s="38" t="n">
        <f aca="false">Q!$D$29</f>
        <v>14.285</v>
      </c>
      <c r="D6706" s="38" t="n">
        <f aca="false">Q!$E$29</f>
        <v>15.503</v>
      </c>
      <c r="E6706" s="38" t="n">
        <f aca="false">Q!$P$29</f>
        <v>8.78</v>
      </c>
      <c r="F6706" s="38" t="n">
        <f aca="false">(Sens!$D$6705*Sens!$F$6583+(1-ext_sh)*Sens!$F$6627)*Sens!$F$6584</f>
        <v>9.32404990199157</v>
      </c>
      <c r="G6706" s="38" t="n">
        <f aca="false">Sens!$E$6706+Sens!$F$6706</f>
        <v>18.1040499019916</v>
      </c>
      <c r="H6706" s="38" t="n">
        <f aca="false">(Sens!$D$6705*Sens!$H$6583+(1-ext_sh)*Sens!$H$6627)*Sens!$H$6584</f>
        <v>22.5533556752937</v>
      </c>
      <c r="I6706" s="38" t="n">
        <f aca="false">(Sens!$D$6705*Sens!$I$6583+(1-ext_sh)*Sens!$I$6627)*Sens!$I$6584</f>
        <v>28.1941479903215</v>
      </c>
      <c r="J6706" s="38" t="n">
        <f aca="false">(Sens!$D$6705*Sens!$J$6583+(1-ext_sh)*Sens!$J$6627)*Sens!$J$6584</f>
        <v>33.8639126241465</v>
      </c>
      <c r="K6706" s="38" t="n">
        <f aca="false">(Sens!$D$6705*Sens!$K$6583+(1-ext_sh)*Sens!$K$6627)*Sens!$K$6584</f>
        <v>39.4516429979446</v>
      </c>
      <c r="L6706" s="38" t="n">
        <f aca="false">(Sens!$D$6705*Sens!$L$6583+(1-ext_sh)*Sens!$L$6627)*Sens!$L$6584</f>
        <v>43.6240799619622</v>
      </c>
      <c r="M6706" s="38" t="n">
        <f aca="false">(Sens!$D$6705*Sens!$M$6583+(1-ext_sh)*Sens!$M$6627)*Sens!$M$6584</f>
        <v>46.7841679303704</v>
      </c>
      <c r="N6706" s="38" t="n">
        <f aca="false">Q!$N$29</f>
        <v>7.272</v>
      </c>
      <c r="O6706" s="38" t="n">
        <f aca="false">Q!$O$29</f>
        <v>8.231</v>
      </c>
    </row>
    <row r="6707" customFormat="false" ht="17.15" hidden="false" customHeight="false" outlineLevel="0" collapsed="false">
      <c r="A6707" s="0" t="s">
        <v>537</v>
      </c>
      <c r="B6707" s="0" t="s">
        <v>86</v>
      </c>
      <c r="C6707" s="38" t="n">
        <f aca="false">Q!$D$30</f>
        <v>4.462</v>
      </c>
      <c r="D6707" s="38" t="n">
        <f aca="false">Q!$E$30</f>
        <v>4.907</v>
      </c>
      <c r="E6707" s="38" t="n">
        <f aca="false">Q!$P$30</f>
        <v>2.57</v>
      </c>
      <c r="F6707" s="38" t="n">
        <f aca="false">(Sens!$D$6705*Sens!$F$6583+(1-ext_sh)*Sens!$F$6627)*(1-Sens!$F$6584)</f>
        <v>3.66089330199472</v>
      </c>
      <c r="G6707" s="38" t="n">
        <f aca="false">Sens!$E$6707+Sens!$F$6707</f>
        <v>6.23089330199472</v>
      </c>
      <c r="H6707" s="38" t="n">
        <f aca="false">(Sens!$D$6705*Sens!$H$6583+(1-ext_sh)*Sens!$H$6627)*(1-Sens!$H$6584)</f>
        <v>8.63874333111657</v>
      </c>
      <c r="I6707" s="38" t="n">
        <f aca="false">(Sens!$D$6705*Sens!$I$6583+(1-ext_sh)*Sens!$I$6627)*(1-Sens!$I$6584)</f>
        <v>10.7993689025494</v>
      </c>
      <c r="J6707" s="38" t="n">
        <f aca="false">(Sens!$D$6705*Sens!$J$6583+(1-ext_sh)*Sens!$J$6627)*(1-Sens!$J$6584)</f>
        <v>12.9710919101865</v>
      </c>
      <c r="K6707" s="38" t="n">
        <f aca="false">(Sens!$D$6705*Sens!$K$6583+(1-ext_sh)*Sens!$K$6627)*(1-Sens!$K$6584)</f>
        <v>15.1113928568702</v>
      </c>
      <c r="L6707" s="38" t="n">
        <f aca="false">(Sens!$D$6705*Sens!$L$6583+(1-ext_sh)*Sens!$L$6627)*(1-Sens!$L$6584)</f>
        <v>16.7095857163433</v>
      </c>
      <c r="M6707" s="38" t="n">
        <f aca="false">(Sens!$D$6705*Sens!$M$6583+(1-ext_sh)*Sens!$M$6627)*(1-Sens!$M$6584)</f>
        <v>17.9200126371023</v>
      </c>
      <c r="N6707" s="38" t="n">
        <f aca="false">Q!$N$30</f>
        <v>2.316</v>
      </c>
      <c r="O6707" s="38" t="n">
        <f aca="false">Q!$O$30</f>
        <v>2.591</v>
      </c>
    </row>
    <row r="6708" customFormat="false" ht="17.15" hidden="false" customHeight="false" outlineLevel="0" collapsed="false">
      <c r="A6708" s="0" t="s">
        <v>538</v>
      </c>
      <c r="B6708" s="0" t="s">
        <v>86</v>
      </c>
      <c r="C6708" s="38" t="n">
        <f aca="false">Sens!$C$6639</f>
        <v>13.32</v>
      </c>
      <c r="D6708" s="38" t="n">
        <f aca="false">Sens!$D$6639</f>
        <v>21.45</v>
      </c>
      <c r="E6708" s="38" t="n">
        <f aca="false">Sens!$E$6639</f>
        <v>15.353</v>
      </c>
      <c r="F6708" s="38" t="n">
        <f aca="false">Sens!$F$6639</f>
        <v>16.3063747611001</v>
      </c>
      <c r="G6708" s="38" t="n">
        <f aca="false">Sens!$G$6639</f>
        <v>31.6593747611001</v>
      </c>
      <c r="H6708" s="38" t="n">
        <f aca="false">Sens!$H$6639</f>
        <v>53.124242092105</v>
      </c>
      <c r="I6708" s="38" t="n">
        <f aca="false">Sens!$I$6639</f>
        <v>78.046828098133</v>
      </c>
      <c r="J6708" s="38" t="n">
        <f aca="false">Sens!$J$6639</f>
        <v>103.663976940352</v>
      </c>
      <c r="K6708" s="38" t="n">
        <f aca="false">Sens!$K$6639</f>
        <v>129.625086115469</v>
      </c>
      <c r="L6708" s="38" t="n">
        <f aca="false">Sens!$L$6639</f>
        <v>147.435052382502</v>
      </c>
      <c r="M6708" s="38" t="n">
        <f aca="false">Sens!$M$6639</f>
        <v>159.299754080279</v>
      </c>
      <c r="N6708" s="38" t="n">
        <f aca="false">Sens!$N$6639</f>
        <v>9.234</v>
      </c>
      <c r="O6708" s="38" t="n">
        <f aca="false">Sens!$O$6639</f>
        <v>12.216</v>
      </c>
    </row>
    <row r="6709" customFormat="false" ht="17.15" hidden="false" customHeight="false" outlineLevel="0" collapsed="false">
      <c r="A6709" s="5" t="s">
        <v>739</v>
      </c>
      <c r="B6709" s="0" t="s">
        <v>86</v>
      </c>
      <c r="C6709" s="38" t="n">
        <f aca="false">Sens!$C$6706+Sens!$C$6707+Sens!$C$6708</f>
        <v>32.067</v>
      </c>
      <c r="D6709" s="38" t="n">
        <f aca="false">Sens!$D$6706+Sens!$D$6707+Sens!$D$6708</f>
        <v>41.86</v>
      </c>
      <c r="E6709" s="38" t="n">
        <f aca="false">Sens!$E$6706+Sens!$E$6707+Sens!$E$6708</f>
        <v>26.703</v>
      </c>
      <c r="F6709" s="38" t="n">
        <f aca="false">Sens!$F$6706+Sens!$F$6707+Sens!$F$6708</f>
        <v>29.2913179650864</v>
      </c>
      <c r="G6709" s="38" t="n">
        <f aca="false">Sens!$G$6706+Sens!$G$6707+Sens!$G$6708</f>
        <v>55.9943179650864</v>
      </c>
      <c r="H6709" s="38" t="n">
        <f aca="false">Sens!$H$6706+Sens!$H$6707+Sens!$H$6708</f>
        <v>84.3163410985152</v>
      </c>
      <c r="I6709" s="38" t="n">
        <f aca="false">Sens!$I$6706+Sens!$I$6707+Sens!$I$6708</f>
        <v>117.040344991004</v>
      </c>
      <c r="J6709" s="38" t="n">
        <f aca="false">Sens!$J$6706+Sens!$J$6707+Sens!$J$6708</f>
        <v>150.498981474685</v>
      </c>
      <c r="K6709" s="38" t="n">
        <f aca="false">Sens!$K$6706+Sens!$K$6707+Sens!$K$6708</f>
        <v>184.188121970284</v>
      </c>
      <c r="L6709" s="38" t="n">
        <f aca="false">Sens!$L$6706+Sens!$L$6707+Sens!$L$6708</f>
        <v>207.768718060808</v>
      </c>
      <c r="M6709" s="38" t="n">
        <f aca="false">Sens!$M$6706+Sens!$M$6707+Sens!$M$6708</f>
        <v>224.003934647752</v>
      </c>
      <c r="N6709" s="38" t="n">
        <f aca="false">Sens!$N$6706+Sens!$N$6707+Sens!$N$6708</f>
        <v>18.822</v>
      </c>
      <c r="O6709" s="38" t="n">
        <f aca="false">Sens!$O$6706+Sens!$O$6707+Sens!$O$6708</f>
        <v>23.038</v>
      </c>
    </row>
    <row r="6710" customFormat="false" ht="17.15" hidden="false" customHeight="false" outlineLevel="0" collapsed="false">
      <c r="A6710" s="0" t="s">
        <v>740</v>
      </c>
      <c r="B6710" s="0" t="s">
        <v>86</v>
      </c>
      <c r="C6710" s="38" t="n">
        <f aca="false">Sens!$C$6681+Sens!$C$6686</f>
        <v>28.107</v>
      </c>
      <c r="D6710" s="38" t="n">
        <f aca="false">Sens!$D$6681+Sens!$D$6686</f>
        <v>34.3175</v>
      </c>
      <c r="E6710" s="38" t="n">
        <f aca="false">Sens!$E$6681+Sens!$E$6686</f>
        <v>18.526</v>
      </c>
      <c r="F6710" s="38" t="n">
        <f aca="false">Sens!$F$6681+Sens!$F$6686</f>
        <v>23.0786109972074</v>
      </c>
      <c r="G6710" s="38" t="n">
        <f aca="false">Sens!$G$6681+Sens!$G$6686</f>
        <v>41.6046109972074</v>
      </c>
      <c r="H6710" s="38" t="n">
        <f aca="false">Sens!$H$6681+Sens!$H$6686</f>
        <v>49.9484611939488</v>
      </c>
      <c r="I6710" s="38" t="n">
        <f aca="false">Sens!$I$6681+Sens!$I$6686</f>
        <v>58.2915555477481</v>
      </c>
      <c r="J6710" s="38" t="n">
        <f aca="false">Sens!$J$6681+Sens!$J$6686</f>
        <v>66.0744709709759</v>
      </c>
      <c r="K6710" s="38" t="n">
        <f aca="false">Sens!$K$6681+Sens!$K$6686</f>
        <v>72.6819180680735</v>
      </c>
      <c r="L6710" s="38" t="n">
        <f aca="false">Sens!$L$6681+Sens!$L$6686</f>
        <v>79.9501098748808</v>
      </c>
      <c r="M6710" s="38" t="n">
        <f aca="false">Sens!$M$6681+Sens!$M$6686</f>
        <v>87.9451208623689</v>
      </c>
      <c r="N6710" s="38" t="n">
        <f aca="false">Sens!$N$6681+Sens!$N$6686</f>
        <v>14.8075</v>
      </c>
      <c r="O6710" s="38" t="n">
        <f aca="false">Sens!$O$6681+Sens!$O$6686</f>
        <v>19.51</v>
      </c>
    </row>
    <row r="6711" customFormat="false" ht="17.15" hidden="false" customHeight="false" outlineLevel="0" collapsed="false">
      <c r="A6711" s="0" t="s">
        <v>741</v>
      </c>
      <c r="B6711" s="0" t="s">
        <v>86</v>
      </c>
      <c r="C6711" s="38" t="n">
        <f aca="false">Sens!$C$6685+Sens!$C$6690+Sens!$C$6706+Sens!$C$6707-Sens!$C$6710</f>
        <v>19.399</v>
      </c>
      <c r="D6711" s="38" t="n">
        <f aca="false">Sens!$D$6685+Sens!$D$6690+Sens!$D$6706+Sens!$D$6707-Sens!$D$6710</f>
        <v>20.4615</v>
      </c>
      <c r="E6711" s="38" t="n">
        <f aca="false">Sens!$E$6685+Sens!$E$6690+Sens!$E$6706+Sens!$E$6707-Sens!$E$6710</f>
        <v>13.355</v>
      </c>
      <c r="F6711" s="38" t="n">
        <f aca="false">Sens!$F$6685+Sens!$F$6690+Sens!$F$6706+Sens!$F$6707-Sens!$F$6710</f>
        <v>12.7882167664549</v>
      </c>
      <c r="G6711" s="38" t="n">
        <f aca="false">Sens!$G$6685+Sens!$G$6690+Sens!$G$6706+Sens!$G$6707-Sens!$G$6710</f>
        <v>26.1432167664549</v>
      </c>
      <c r="H6711" s="38" t="n">
        <f aca="false">Sens!$H$6685+Sens!$H$6690+Sens!$H$6706+Sens!$H$6707-Sens!$H$6710</f>
        <v>28.5472527261826</v>
      </c>
      <c r="I6711" s="38" t="n">
        <f aca="false">Sens!$I$6685+Sens!$I$6690+Sens!$I$6706+Sens!$I$6707-Sens!$I$6710</f>
        <v>30.8052421506794</v>
      </c>
      <c r="J6711" s="38" t="n">
        <f aca="false">Sens!$J$6685+Sens!$J$6690+Sens!$J$6706+Sens!$J$6707-Sens!$J$6710</f>
        <v>33.0553877999083</v>
      </c>
      <c r="K6711" s="38" t="n">
        <f aca="false">Sens!$K$6685+Sens!$K$6690+Sens!$K$6706+Sens!$K$6707-Sens!$K$6710</f>
        <v>35.4662923485155</v>
      </c>
      <c r="L6711" s="38" t="n">
        <f aca="false">Sens!$L$6685+Sens!$L$6690+Sens!$L$6706+Sens!$L$6707-Sens!$L$6710</f>
        <v>37.1019587742301</v>
      </c>
      <c r="M6711" s="38" t="n">
        <f aca="false">Sens!$M$6685+Sens!$M$6690+Sens!$M$6706+Sens!$M$6707-Sens!$M$6710</f>
        <v>39.5351701466849</v>
      </c>
      <c r="N6711" s="38" t="n">
        <f aca="false">Sens!$N$6685+Sens!$N$6690+Sens!$N$6706+Sens!$N$6707-Sens!$N$6710</f>
        <v>10.6495</v>
      </c>
      <c r="O6711" s="38" t="n">
        <f aca="false">Sens!$O$6685+Sens!$O$6690+Sens!$O$6706+Sens!$O$6707-Sens!$O$6710</f>
        <v>9.81200000000001</v>
      </c>
    </row>
    <row r="6712" customFormat="false" ht="17.15" hidden="false" customHeight="false" outlineLevel="0" collapsed="false">
      <c r="A6712" s="0" t="s">
        <v>742</v>
      </c>
      <c r="B6712" s="0" t="s">
        <v>86</v>
      </c>
      <c r="C6712" s="38" t="n">
        <f aca="false">Sens!$C$6692+Sens!$C$6708-ext_sh*Sens!$C$6627</f>
        <v>51.3470500115664</v>
      </c>
      <c r="D6712" s="38" t="n">
        <f aca="false">Sens!$D$6692+Sens!$D$6708-ext_sh*Sens!$D$6627</f>
        <v>60.2799375433739</v>
      </c>
      <c r="E6712" s="38" t="n">
        <f aca="false">Sens!$E$6692+Sens!$E$6708-ext_sh*Sens!$E$6627</f>
        <v>39.5095167090767</v>
      </c>
      <c r="F6712" s="38" t="n">
        <f aca="false">Sens!$F$6692+Sens!$F$6708-ext_sh*Sens!$F$6627</f>
        <v>37.993321722478</v>
      </c>
      <c r="G6712" s="38" t="n">
        <f aca="false">Sens!$G$6692+Sens!$G$6708-ext_sh*Sens!$G$6627</f>
        <v>77.5028384315548</v>
      </c>
      <c r="H6712" s="38" t="n">
        <f aca="false">Sens!$H$6692+Sens!$H$6708-ext_sh*Sens!$H$6627</f>
        <v>85.2394217279746</v>
      </c>
      <c r="I6712" s="38" t="n">
        <f aca="false">Sens!$I$6692+Sens!$I$6708-ext_sh*Sens!$I$6627</f>
        <v>94.6373589713254</v>
      </c>
      <c r="J6712" s="38" t="n">
        <f aca="false">Sens!$J$6692+Sens!$J$6708-ext_sh*Sens!$J$6627</f>
        <v>103.639899284146</v>
      </c>
      <c r="K6712" s="38" t="n">
        <f aca="false">Sens!$K$6692+Sens!$K$6708-ext_sh*Sens!$K$6627</f>
        <v>111.931091226878</v>
      </c>
      <c r="L6712" s="38" t="n">
        <f aca="false">Sens!$L$6692+Sens!$L$6708-ext_sh*Sens!$L$6627</f>
        <v>120.885578525028</v>
      </c>
      <c r="M6712" s="38" t="n">
        <f aca="false">Sens!$M$6692+Sens!$M$6708-ext_sh*Sens!$M$6627</f>
        <v>130.55642480703</v>
      </c>
      <c r="N6712" s="38" t="n">
        <f aca="false">Sens!$N$6692+Sens!$N$6708-ext_sh*Sens!$N$6627</f>
        <v>28.5693781401809</v>
      </c>
      <c r="O6712" s="38" t="n">
        <f aca="false">Sens!$O$6692+Sens!$O$6708-ext_sh*Sens!$O$6627</f>
        <v>31.7105594031931</v>
      </c>
    </row>
    <row r="6713" customFormat="false" ht="17.15" hidden="false" customHeight="false" outlineLevel="0" collapsed="false">
      <c r="A6713" s="0" t="s">
        <v>743</v>
      </c>
      <c r="B6713" s="0" t="s">
        <v>86</v>
      </c>
      <c r="C6713" s="38" t="n">
        <f aca="false">Sens!$C$6630</f>
        <v>1.80694998843362</v>
      </c>
      <c r="D6713" s="38" t="n">
        <f aca="false">Sens!$D$6630</f>
        <v>6.77606245662607</v>
      </c>
      <c r="E6713" s="38" t="n">
        <f aca="false">Sens!$E$6630</f>
        <v>6.62548329092326</v>
      </c>
      <c r="F6713" s="38" t="n">
        <f aca="false">Sens!$F$6630</f>
        <v>11.7200577158706</v>
      </c>
      <c r="G6713" s="38" t="n">
        <f aca="false">Sens!$G$6630</f>
        <v>18.3455410067939</v>
      </c>
      <c r="H6713" s="38" t="n">
        <f aca="false">Sens!$H$6630</f>
        <v>47.5171727060453</v>
      </c>
      <c r="I6713" s="38" t="n">
        <f aca="false">Sens!$I$6630</f>
        <v>80.5539692643667</v>
      </c>
      <c r="J6713" s="38" t="n">
        <f aca="false">Sens!$J$6630</f>
        <v>113.759316834883</v>
      </c>
      <c r="K6713" s="38" t="n">
        <f aca="false">Sens!$K$6630</f>
        <v>142.084411492169</v>
      </c>
      <c r="L6713" s="38" t="n">
        <f aca="false">Sens!$L$6630</f>
        <v>160.69964615804</v>
      </c>
      <c r="M6713" s="38" t="n">
        <f aca="false">Sens!$M$6630</f>
        <v>169.577607141793</v>
      </c>
      <c r="N6713" s="38" t="n">
        <f aca="false">Sens!$N$6630</f>
        <v>2.37162185981912</v>
      </c>
      <c r="O6713" s="38" t="n">
        <f aca="false">Sens!$O$6630</f>
        <v>4.40444059680694</v>
      </c>
    </row>
    <row r="6714" customFormat="false" ht="17.15" hidden="false" customHeight="false" outlineLevel="0" collapsed="false">
      <c r="A6714" s="0" t="s">
        <v>744</v>
      </c>
      <c r="B6714" s="0" t="s">
        <v>86</v>
      </c>
      <c r="C6714" s="38" t="n">
        <f aca="false">Sens!$C$6695+Sens!$C$6709</f>
        <v>100.66</v>
      </c>
      <c r="D6714" s="38" t="n">
        <f aca="false">Sens!$D$6695+Sens!$D$6709</f>
        <v>121.835</v>
      </c>
      <c r="E6714" s="38" t="n">
        <f aca="false">Sens!$E$6695+Sens!$E$6709</f>
        <v>78.016</v>
      </c>
      <c r="F6714" s="38" t="n">
        <f aca="false">Sens!$F$6695+Sens!$F$6709</f>
        <v>85.580207202011</v>
      </c>
      <c r="G6714" s="38" t="n">
        <f aca="false">Sens!$G$6695+Sens!$G$6709</f>
        <v>163.596207202011</v>
      </c>
      <c r="H6714" s="38" t="n">
        <f aca="false">Sens!$H$6695+Sens!$H$6709</f>
        <v>211.252308354151</v>
      </c>
      <c r="I6714" s="38" t="n">
        <f aca="false">Sens!$I$6695+Sens!$I$6709</f>
        <v>264.28812593412</v>
      </c>
      <c r="J6714" s="38" t="n">
        <f aca="false">Sens!$J$6695+Sens!$J$6709</f>
        <v>316.529074889914</v>
      </c>
      <c r="K6714" s="38" t="n">
        <f aca="false">Sens!$K$6695+Sens!$K$6709</f>
        <v>362.163713135636</v>
      </c>
      <c r="L6714" s="38" t="n">
        <f aca="false">Sens!$L$6695+Sens!$L$6709</f>
        <v>398.637293332179</v>
      </c>
      <c r="M6714" s="38" t="n">
        <f aca="false">Sens!$M$6695+Sens!$M$6709</f>
        <v>427.614322957878</v>
      </c>
      <c r="N6714" s="38" t="n">
        <f aca="false">Sens!$N$6695+Sens!$N$6709</f>
        <v>56.398</v>
      </c>
      <c r="O6714" s="38" t="n">
        <f aca="false">Sens!$O$6695+Sens!$O$6709</f>
        <v>65.437</v>
      </c>
    </row>
    <row r="6715" customFormat="false" ht="17.15" hidden="false" customHeight="false" outlineLevel="0" collapsed="false">
      <c r="A6715" s="1" t="s">
        <v>745</v>
      </c>
    </row>
    <row r="6716" customFormat="false" ht="15" hidden="false" customHeight="false" outlineLevel="0" collapsed="false">
      <c r="A6716" s="5" t="s">
        <v>541</v>
      </c>
      <c r="B6716" s="0" t="s">
        <v>86</v>
      </c>
      <c r="C6716" s="38" t="n">
        <f aca="false">Q!$D$34</f>
        <v>2.406</v>
      </c>
      <c r="D6716" s="38" t="n">
        <f aca="false">Q!$E$34</f>
        <v>2.274</v>
      </c>
      <c r="E6716" s="38" t="n">
        <f aca="false">Q!$P$34</f>
        <v>2.114</v>
      </c>
      <c r="F6716" s="38" t="n">
        <f aca="false">Sens!$F$6754</f>
        <v>3.24888962733561</v>
      </c>
      <c r="G6716" s="38" t="n">
        <f aca="false">Sens!$E$6716+Sens!$F$6716</f>
        <v>5.36288962733561</v>
      </c>
      <c r="H6716" s="38" t="n">
        <f aca="false">Sens!$H$6754</f>
        <v>7.42354172302123</v>
      </c>
      <c r="I6716" s="38" t="n">
        <f aca="false">Sens!$I$6754</f>
        <v>8.2931747618896</v>
      </c>
      <c r="J6716" s="38" t="n">
        <f aca="false">Sens!$J$6754</f>
        <v>9.27718179522602</v>
      </c>
      <c r="K6716" s="38" t="n">
        <f aca="false">Sens!$K$6754</f>
        <v>9.27718179522602</v>
      </c>
      <c r="L6716" s="38" t="n">
        <f aca="false">Sens!$L$6754</f>
        <v>9.27718179522602</v>
      </c>
      <c r="M6716" s="38" t="n">
        <f aca="false">Sens!$M$6754</f>
        <v>9.27718179522602</v>
      </c>
      <c r="N6716" s="38" t="n">
        <f aca="false">Q!$N$34</f>
        <v>1.057</v>
      </c>
      <c r="O6716" s="38" t="n">
        <f aca="false">Q!$O$34</f>
        <v>1.217</v>
      </c>
    </row>
    <row r="6717" customFormat="false" ht="15" hidden="false" customHeight="false" outlineLevel="0" collapsed="false">
      <c r="A6717" s="5" t="s">
        <v>746</v>
      </c>
      <c r="B6717" s="0" t="s">
        <v>86</v>
      </c>
      <c r="F6717" s="38" t="n">
        <f aca="false">Sens!$F$6755</f>
        <v>2.59</v>
      </c>
      <c r="H6717" s="38" t="n">
        <f aca="false">Sens!$H$6755</f>
        <v>3.80133635330174</v>
      </c>
      <c r="I6717" s="38" t="n">
        <f aca="false">Sens!$I$6755</f>
        <v>2.10589651022864</v>
      </c>
      <c r="J6717" s="38" t="n">
        <f aca="false">Sens!$J$6755</f>
        <v>2.10589651022864</v>
      </c>
      <c r="K6717" s="38" t="n">
        <f aca="false">Sens!$K$6755</f>
        <v>3.14850442073996</v>
      </c>
      <c r="L6717" s="38" t="n">
        <f aca="false">Sens!$L$6755</f>
        <v>8.25959583122945</v>
      </c>
      <c r="M6717" s="38" t="n">
        <f aca="false">Sens!$M$6755</f>
        <v>15.8335708401143</v>
      </c>
    </row>
    <row r="6718" customFormat="false" ht="17.15" hidden="false" customHeight="false" outlineLevel="0" collapsed="false">
      <c r="A6718" s="5" t="s">
        <v>747</v>
      </c>
      <c r="B6718" s="0" t="s">
        <v>86</v>
      </c>
      <c r="C6718" s="38" t="n">
        <f aca="false">Q!$D$39</f>
        <v>2.427</v>
      </c>
      <c r="D6718" s="38" t="n">
        <f aca="false">Q!$E$39</f>
        <v>19.61</v>
      </c>
      <c r="E6718" s="38" t="n">
        <f aca="false">Q!$P$39</f>
        <v>71.492</v>
      </c>
      <c r="F6718" s="39" t="n">
        <v>0</v>
      </c>
      <c r="G6718" s="38" t="n">
        <f aca="false">Sens!$E$6718+Sens!$F$6718</f>
        <v>71.492</v>
      </c>
      <c r="H6718" s="39" t="n">
        <v>0</v>
      </c>
      <c r="I6718" s="39" t="n">
        <v>0</v>
      </c>
      <c r="J6718" s="39" t="n">
        <v>0</v>
      </c>
      <c r="K6718" s="39" t="n">
        <v>0</v>
      </c>
      <c r="L6718" s="39" t="n">
        <v>0</v>
      </c>
      <c r="M6718" s="39" t="n">
        <v>0</v>
      </c>
      <c r="N6718" s="38" t="n">
        <f aca="false">Q!$N$39</f>
        <v>6.017</v>
      </c>
      <c r="O6718" s="38" t="n">
        <f aca="false">Q!$O$39</f>
        <v>13.593</v>
      </c>
      <c r="P6718" s="5" t="s">
        <v>748</v>
      </c>
    </row>
    <row r="6719" customFormat="false" ht="15" hidden="false" customHeight="false" outlineLevel="0" collapsed="false">
      <c r="A6719" s="5" t="s">
        <v>544</v>
      </c>
      <c r="B6719" s="0" t="s">
        <v>86</v>
      </c>
      <c r="C6719" s="38" t="n">
        <f aca="false">Q!$D$36</f>
        <v>68.614</v>
      </c>
      <c r="D6719" s="38" t="n">
        <f aca="false">Q!$E$36</f>
        <v>97.311</v>
      </c>
      <c r="E6719" s="38" t="n">
        <f aca="false">Q!$P$36</f>
        <v>120.691</v>
      </c>
      <c r="F6719" s="38" t="n">
        <f aca="false">Sens!$F$6695-Sens!$F$6716+Sens!$F$6717+Sens!$F$6718</f>
        <v>55.629999609589</v>
      </c>
      <c r="G6719" s="38" t="n">
        <f aca="false">Sens!$E$6719+Sens!$F$6719</f>
        <v>176.320999609589</v>
      </c>
      <c r="H6719" s="38" t="n">
        <f aca="false">Sens!$H$6695-Sens!$H$6716+Sens!$H$6717+Sens!$H$6718</f>
        <v>123.313761885917</v>
      </c>
      <c r="I6719" s="38" t="n">
        <f aca="false">Sens!$I$6695-Sens!$I$6716+Sens!$I$6717+Sens!$I$6718</f>
        <v>141.060502691455</v>
      </c>
      <c r="J6719" s="38" t="n">
        <f aca="false">Sens!$J$6695-Sens!$J$6716+Sens!$J$6717+Sens!$J$6718</f>
        <v>158.858808130232</v>
      </c>
      <c r="K6719" s="38" t="n">
        <f aca="false">Sens!$K$6695-Sens!$K$6716+Sens!$K$6717+Sens!$K$6718</f>
        <v>171.846913790867</v>
      </c>
      <c r="L6719" s="38" t="n">
        <f aca="false">Sens!$L$6695-Sens!$L$6716+Sens!$L$6717+Sens!$L$6718</f>
        <v>189.850989307375</v>
      </c>
      <c r="M6719" s="38" t="n">
        <f aca="false">Sens!$M$6695-Sens!$M$6716+Sens!$M$6717+Sens!$M$6718</f>
        <v>210.166777355014</v>
      </c>
      <c r="N6719" s="38" t="n">
        <f aca="false">Q!$N$36</f>
        <v>42.536</v>
      </c>
      <c r="O6719" s="38" t="n">
        <f aca="false">Q!$O$36</f>
        <v>54.775</v>
      </c>
    </row>
    <row r="6720" customFormat="false" ht="15" hidden="false" customHeight="false" outlineLevel="0" collapsed="false">
      <c r="A6720" s="5" t="s">
        <v>545</v>
      </c>
      <c r="B6720" s="0" t="s">
        <v>86</v>
      </c>
      <c r="C6720" s="38" t="n">
        <f aca="false">Q!$D$37</f>
        <v>9.265</v>
      </c>
      <c r="D6720" s="38" t="n">
        <f aca="false">Q!$E$37</f>
        <v>19.087</v>
      </c>
      <c r="E6720" s="38" t="n">
        <f aca="false">Q!$P$37</f>
        <v>27.759</v>
      </c>
      <c r="F6720" s="38" t="n">
        <f aca="false">Sens!$F$6719*tax</f>
        <v>9.65650714815835</v>
      </c>
      <c r="G6720" s="38" t="n">
        <f aca="false">Sens!$E$6720+Sens!$F$6720</f>
        <v>37.4155071481584</v>
      </c>
      <c r="H6720" s="38" t="n">
        <f aca="false">Sens!$H$6719*tax</f>
        <v>21.4053609828247</v>
      </c>
      <c r="I6720" s="38" t="n">
        <f aca="false">Sens!$I$6719*tax</f>
        <v>24.4859205846201</v>
      </c>
      <c r="J6720" s="38" t="n">
        <f aca="false">Sens!$J$6719*tax</f>
        <v>27.5754310088666</v>
      </c>
      <c r="K6720" s="38" t="n">
        <f aca="false">Sens!$K$6719*tax</f>
        <v>29.8299651816718</v>
      </c>
      <c r="L6720" s="38" t="n">
        <f aca="false">Sens!$L$6719*tax</f>
        <v>32.9551941074541</v>
      </c>
      <c r="M6720" s="38" t="n">
        <f aca="false">Sens!$M$6719*tax</f>
        <v>36.4817005586366</v>
      </c>
      <c r="N6720" s="38" t="n">
        <f aca="false">Q!$N$37</f>
        <v>7.231</v>
      </c>
      <c r="O6720" s="38" t="n">
        <f aca="false">Q!$O$37</f>
        <v>11.856</v>
      </c>
    </row>
    <row r="6721" customFormat="false" ht="15" hidden="false" customHeight="false" outlineLevel="0" collapsed="false">
      <c r="A6721" s="3" t="s">
        <v>546</v>
      </c>
      <c r="B6721" s="8" t="s">
        <v>86</v>
      </c>
      <c r="C6721" s="38" t="n">
        <f aca="false">Q!$D$38</f>
        <v>59.248</v>
      </c>
      <c r="D6721" s="38" t="n">
        <f aca="false">Q!$E$38</f>
        <v>77.67</v>
      </c>
      <c r="E6721" s="38" t="n">
        <f aca="false">Q!$P$38</f>
        <v>92.902</v>
      </c>
      <c r="F6721" s="38" t="n">
        <f aca="false">Sens!$F$6719-Sens!$F$6720</f>
        <v>45.9734924614306</v>
      </c>
      <c r="G6721" s="38" t="n">
        <f aca="false">Sens!$E$6721+Sens!$F$6721</f>
        <v>138.875492461431</v>
      </c>
      <c r="H6721" s="38" t="n">
        <f aca="false">Sens!$H$6719-Sens!$H$6720</f>
        <v>101.908400903092</v>
      </c>
      <c r="I6721" s="38" t="n">
        <f aca="false">Sens!$I$6719-Sens!$I$6720</f>
        <v>116.574582106835</v>
      </c>
      <c r="J6721" s="38" t="n">
        <f aca="false">Sens!$J$6719-Sens!$J$6720</f>
        <v>131.283377121365</v>
      </c>
      <c r="K6721" s="38" t="n">
        <f aca="false">Sens!$K$6719-Sens!$K$6720</f>
        <v>142.016948609195</v>
      </c>
      <c r="L6721" s="38" t="n">
        <f aca="false">Sens!$L$6719-Sens!$L$6720</f>
        <v>156.895795199921</v>
      </c>
      <c r="M6721" s="38" t="n">
        <f aca="false">Sens!$M$6719-Sens!$M$6720</f>
        <v>173.685076796377</v>
      </c>
      <c r="N6721" s="38" t="n">
        <f aca="false">Q!$N$38</f>
        <v>35.291</v>
      </c>
      <c r="O6721" s="38" t="n">
        <f aca="false">Q!$O$38</f>
        <v>42.379</v>
      </c>
    </row>
    <row r="6722" customFormat="false" ht="17.15" hidden="false" customHeight="false" outlineLevel="0" collapsed="false">
      <c r="A6722" s="5" t="s">
        <v>549</v>
      </c>
      <c r="B6722" s="5" t="s">
        <v>33</v>
      </c>
      <c r="C6722" s="22" t="n">
        <f aca="false">Q!$D$41</f>
        <v>10.721</v>
      </c>
      <c r="D6722" s="22" t="n">
        <f aca="false">Q!$E$41</f>
        <v>10.827</v>
      </c>
      <c r="E6722" s="22" t="n">
        <f aca="false">(Q!$L$41+Q!$M$41)/2</f>
        <v>10.8885</v>
      </c>
      <c r="F6722" s="22" t="n">
        <f aca="false">Sens!$G$6722</f>
        <v>10.924806</v>
      </c>
      <c r="G6722" s="22" t="n">
        <f aca="false">Q!$M$41*(1+sh_g*0.25)</f>
        <v>10.924806</v>
      </c>
      <c r="H6722" s="22" t="n">
        <f aca="false">Sens!$G$6722*(1+sh_g)</f>
        <v>11.012204448</v>
      </c>
      <c r="I6722" s="22" t="n">
        <f aca="false">Sens!$H$6722*(1+sh_g)</f>
        <v>11.100302083584</v>
      </c>
      <c r="J6722" s="22" t="n">
        <f aca="false">Sens!$I$6722*(1+sh_g)</f>
        <v>11.1891045002527</v>
      </c>
      <c r="K6722" s="22" t="n">
        <f aca="false">Sens!$J$6722*(1+sh_g)</f>
        <v>11.2786173362547</v>
      </c>
      <c r="L6722" s="22" t="n">
        <f aca="false">Sens!$K$6722*(1+sh_g)</f>
        <v>11.3688462749447</v>
      </c>
      <c r="M6722" s="22" t="n">
        <f aca="false">Sens!$L$6722*(1+sh_g)</f>
        <v>11.4597970451443</v>
      </c>
      <c r="P6722" s="5" t="s">
        <v>749</v>
      </c>
    </row>
    <row r="6723" customFormat="false" ht="17.15" hidden="false" customHeight="false" outlineLevel="0" collapsed="false">
      <c r="A6723" s="5" t="s">
        <v>750</v>
      </c>
      <c r="B6723" s="0" t="s">
        <v>86</v>
      </c>
      <c r="C6723" s="38" t="n">
        <f aca="false">Sens!$C$6721+Sens!$C$6697*(1-tax)</f>
        <v>59.248</v>
      </c>
      <c r="D6723" s="38" t="n">
        <f aca="false">Sens!$D$6721+Sens!$D$6697*(1-tax)</f>
        <v>77.67</v>
      </c>
      <c r="E6723" s="38" t="n">
        <f aca="false">Sens!$E$6721+Sens!$E$6697*(1-tax)</f>
        <v>92.902</v>
      </c>
      <c r="F6723" s="38" t="n">
        <f aca="false">Sens!$F$6721+Sens!$F$6697*(1-tax)</f>
        <v>49.0900874210793</v>
      </c>
      <c r="G6723" s="38" t="n">
        <f aca="false">Sens!$G$6721+Sens!$G$6697*(1-tax)</f>
        <v>141.992087421079</v>
      </c>
      <c r="H6723" s="38" t="n">
        <f aca="false">Sens!$H$6721+Sens!$H$6697*(1-tax)</f>
        <v>114.439796858437</v>
      </c>
      <c r="I6723" s="38" t="n">
        <f aca="false">Sens!$I$6721+Sens!$I$6697*(1-tax)</f>
        <v>137.715847181774</v>
      </c>
      <c r="J6723" s="38" t="n">
        <f aca="false">Sens!$J$6721+Sens!$J$6697*(1-tax)</f>
        <v>161.072814065649</v>
      </c>
      <c r="K6723" s="38" t="n">
        <f aca="false">Sens!$K$6721+Sens!$K$6697*(1-tax)</f>
        <v>179.184254305854</v>
      </c>
      <c r="L6723" s="38" t="n">
        <f aca="false">Sens!$L$6721+Sens!$L$6697*(1-tax)</f>
        <v>198.911872540476</v>
      </c>
      <c r="M6723" s="38" t="n">
        <f aca="false">Sens!$M$6721+Sens!$M$6697*(1-tax)</f>
        <v>218.014598987218</v>
      </c>
      <c r="N6723" s="38" t="n">
        <f aca="false">Sens!$N$6721+Sens!$N$6697*(1-tax)</f>
        <v>35.291</v>
      </c>
      <c r="O6723" s="38" t="n">
        <f aca="false">Sens!$O$6721+Sens!$O$6697*(1-tax)</f>
        <v>42.379</v>
      </c>
    </row>
    <row r="6724" customFormat="false" ht="17.15" hidden="false" customHeight="false" outlineLevel="0" collapsed="false">
      <c r="A6724" s="43" t="s">
        <v>751</v>
      </c>
      <c r="B6724" s="14" t="s">
        <v>27</v>
      </c>
      <c r="C6724" s="44" t="n">
        <f aca="false">Sens!$C$6723/Sens!$C$6722</f>
        <v>5.52635015390355</v>
      </c>
      <c r="D6724" s="44" t="n">
        <f aca="false">Sens!$D$6723/Sens!$D$6722</f>
        <v>7.1737323358271</v>
      </c>
      <c r="E6724" s="44" t="n">
        <f aca="false">Sens!$E$6723/Sens!$E$6722</f>
        <v>8.53212104513937</v>
      </c>
      <c r="F6724" s="14"/>
      <c r="G6724" s="44" t="n">
        <f aca="false">Sens!$G$6723/Sens!$G$6722</f>
        <v>12.9972182042481</v>
      </c>
      <c r="H6724" s="44" t="n">
        <f aca="false">Sens!$H$6723/Sens!$H$6722</f>
        <v>10.3920879237963</v>
      </c>
      <c r="I6724" s="44" t="n">
        <f aca="false">Sens!$I$6723/Sens!$I$6722</f>
        <v>12.4064954399249</v>
      </c>
      <c r="J6724" s="44" t="n">
        <f aca="false">Sens!$J$6723/Sens!$J$6722</f>
        <v>14.3955053831172</v>
      </c>
      <c r="K6724" s="44" t="n">
        <f aca="false">Sens!$K$6723/Sens!$K$6722</f>
        <v>15.8870763111957</v>
      </c>
      <c r="L6724" s="44" t="n">
        <f aca="false">Sens!$L$6723/Sens!$L$6722</f>
        <v>17.4962232516811</v>
      </c>
      <c r="M6724" s="44" t="n">
        <f aca="false">Sens!$M$6723/Sens!$M$6722</f>
        <v>19.0242984346389</v>
      </c>
      <c r="N6724" s="14"/>
      <c r="O6724" s="14"/>
    </row>
    <row r="6725" customFormat="false" ht="17.15" hidden="false" customHeight="false" outlineLevel="0" collapsed="false">
      <c r="A6725" s="0" t="s">
        <v>752</v>
      </c>
      <c r="B6725" s="0" t="s">
        <v>27</v>
      </c>
      <c r="C6725" s="30" t="n">
        <f aca="false">Sens!$C$6721/Sens!$C$6722</f>
        <v>5.52635015390355</v>
      </c>
      <c r="D6725" s="30" t="n">
        <f aca="false">Sens!$D$6721/Sens!$D$6722</f>
        <v>7.1737323358271</v>
      </c>
      <c r="E6725" s="30" t="n">
        <f aca="false">Sens!$E$6721/Sens!$E$6722</f>
        <v>8.53212104513937</v>
      </c>
      <c r="G6725" s="30" t="n">
        <f aca="false">Sens!$G$6721/Sens!$G$6722</f>
        <v>12.7119412886078</v>
      </c>
      <c r="H6725" s="30" t="n">
        <f aca="false">Sens!$H$6721/Sens!$H$6722</f>
        <v>9.25413266565353</v>
      </c>
      <c r="I6725" s="30" t="n">
        <f aca="false">Sens!$I$6721/Sens!$I$6722</f>
        <v>10.501928796986</v>
      </c>
      <c r="J6725" s="30" t="n">
        <f aca="false">Sens!$J$6721/Sens!$J$6722</f>
        <v>11.7331442492472</v>
      </c>
      <c r="K6725" s="30" t="n">
        <f aca="false">Sens!$K$6721/Sens!$K$6722</f>
        <v>12.5916984657939</v>
      </c>
      <c r="L6725" s="30" t="n">
        <f aca="false">Sens!$L$6721/Sens!$L$6722</f>
        <v>13.8005028307662</v>
      </c>
      <c r="M6725" s="30" t="n">
        <f aca="false">Sens!$M$6721/Sens!$M$6722</f>
        <v>15.1560342746184</v>
      </c>
    </row>
    <row r="6726" customFormat="false" ht="17.15" hidden="false" customHeight="false" outlineLevel="0" collapsed="false">
      <c r="A6726" s="0" t="s">
        <v>753</v>
      </c>
      <c r="B6726" s="0" t="s">
        <v>27</v>
      </c>
      <c r="C6726" s="30" t="n">
        <f aca="false">(Sens!$C$6721-Sens!$C$6718*(1-tax))/Sens!$C$6722</f>
        <v>5.33926775917445</v>
      </c>
      <c r="D6726" s="30" t="n">
        <f aca="false">(Sens!$D$6721-Sens!$D$6718*(1-tax))/Sens!$D$6722</f>
        <v>5.67691812755503</v>
      </c>
      <c r="E6726" s="30" t="n">
        <f aca="false">(Sens!$E$6721-Sens!$E$6718*(1-tax))/Sens!$E$6722</f>
        <v>3.10602057006846</v>
      </c>
      <c r="G6726" s="30" t="n">
        <f aca="false">(Sens!$G$6721-Sens!$G$6718*(1-tax))/Sens!$G$6722</f>
        <v>7.30387317071086</v>
      </c>
      <c r="H6726" s="30" t="n">
        <f aca="false">(Sens!$H$6721-Sens!$H$6718*(1-tax))/Sens!$H$6722</f>
        <v>9.25413266565353</v>
      </c>
      <c r="I6726" s="30" t="n">
        <f aca="false">(Sens!$I$6721-Sens!$I$6718*(1-tax))/Sens!$I$6722</f>
        <v>10.501928796986</v>
      </c>
      <c r="J6726" s="30" t="n">
        <f aca="false">(Sens!$J$6721-Sens!$J$6718*(1-tax))/Sens!$J$6722</f>
        <v>11.7331442492472</v>
      </c>
      <c r="K6726" s="30" t="n">
        <f aca="false">(Sens!$K$6721-Sens!$K$6718*(1-tax))/Sens!$K$6722</f>
        <v>12.5916984657939</v>
      </c>
      <c r="L6726" s="30" t="n">
        <f aca="false">(Sens!$L$6721-Sens!$L$6718*(1-tax))/Sens!$L$6722</f>
        <v>13.8005028307662</v>
      </c>
      <c r="M6726" s="30" t="n">
        <f aca="false">(Sens!$M$6721-Sens!$M$6718*(1-tax))/Sens!$M$6722</f>
        <v>15.1560342746184</v>
      </c>
      <c r="P6726" s="5" t="s">
        <v>754</v>
      </c>
    </row>
    <row r="6727" customFormat="false" ht="17.15" hidden="false" customHeight="false" outlineLevel="0" collapsed="false">
      <c r="A6727" s="0" t="s">
        <v>755</v>
      </c>
      <c r="B6727" s="0" t="s">
        <v>52</v>
      </c>
      <c r="H6727" s="13" t="n">
        <f aca="false">Sens!$H$6724/Sens!$G$6724-1</f>
        <v>-0.200437527439553</v>
      </c>
      <c r="I6727" s="13" t="n">
        <f aca="false">Sens!$I$6724/Sens!$H$6724-1</f>
        <v>0.193840499705158</v>
      </c>
      <c r="J6727" s="13" t="n">
        <f aca="false">Sens!$J$6724/Sens!$I$6724-1</f>
        <v>0.160320047899391</v>
      </c>
      <c r="K6727" s="13" t="n">
        <f aca="false">Sens!$K$6724/Sens!$J$6724-1</f>
        <v>0.103613654983436</v>
      </c>
      <c r="L6727" s="13" t="n">
        <f aca="false">Sens!$L$6724/Sens!$K$6724-1</f>
        <v>0.101286536865904</v>
      </c>
      <c r="M6727" s="13" t="n">
        <f aca="false">Sens!$M$6724/Sens!$L$6724-1</f>
        <v>0.0873374305400994</v>
      </c>
    </row>
    <row r="6730" customFormat="false" ht="19.4" hidden="false" customHeight="false" outlineLevel="0" collapsed="false">
      <c r="A6730" s="31" t="s">
        <v>1265</v>
      </c>
    </row>
    <row r="6731" customFormat="false" ht="17.15" hidden="false" customHeight="false" outlineLevel="0" collapsed="false">
      <c r="A6731" s="6" t="s">
        <v>16</v>
      </c>
      <c r="B6731" s="6" t="s">
        <v>17</v>
      </c>
      <c r="C6731" s="20" t="s">
        <v>494</v>
      </c>
      <c r="D6731" s="20" t="s">
        <v>495</v>
      </c>
      <c r="E6731" s="20" t="s">
        <v>577</v>
      </c>
      <c r="F6731" s="20" t="s">
        <v>578</v>
      </c>
      <c r="G6731" s="20" t="s">
        <v>579</v>
      </c>
      <c r="H6731" s="20" t="s">
        <v>580</v>
      </c>
      <c r="I6731" s="20" t="s">
        <v>581</v>
      </c>
      <c r="J6731" s="20" t="s">
        <v>582</v>
      </c>
      <c r="K6731" s="20" t="s">
        <v>583</v>
      </c>
      <c r="L6731" s="20" t="s">
        <v>584</v>
      </c>
      <c r="M6731" s="20" t="s">
        <v>585</v>
      </c>
      <c r="N6731" s="20" t="s">
        <v>586</v>
      </c>
      <c r="O6731" s="20" t="s">
        <v>587</v>
      </c>
      <c r="P6731" s="6" t="s">
        <v>23</v>
      </c>
      <c r="R6731" s="20" t="n">
        <v>2023</v>
      </c>
      <c r="S6731" s="20" t="n">
        <v>2024</v>
      </c>
      <c r="T6731" s="20" t="n">
        <v>2025</v>
      </c>
      <c r="U6731" s="20" t="n">
        <v>2026</v>
      </c>
      <c r="V6731" s="20" t="n">
        <v>2027</v>
      </c>
      <c r="W6731" s="20" t="n">
        <v>2028</v>
      </c>
      <c r="X6731" s="20" t="n">
        <v>2029</v>
      </c>
      <c r="Y6731" s="20" t="n">
        <v>2030</v>
      </c>
      <c r="Z6731" s="20" t="n">
        <v>2031</v>
      </c>
      <c r="AA6731" s="20" t="n">
        <v>2032</v>
      </c>
    </row>
    <row r="6732" customFormat="false" ht="15" hidden="false" customHeight="false" outlineLevel="0" collapsed="false">
      <c r="A6732" s="5" t="s">
        <v>546</v>
      </c>
      <c r="B6732" s="0" t="s">
        <v>86</v>
      </c>
      <c r="C6732" s="38" t="n">
        <f aca="false">Sens!$C$6721</f>
        <v>59.248</v>
      </c>
      <c r="D6732" s="38" t="n">
        <f aca="false">Sens!$D$6721</f>
        <v>77.67</v>
      </c>
      <c r="E6732" s="38" t="n">
        <f aca="false">Sens!$E$6721</f>
        <v>92.902</v>
      </c>
      <c r="F6732" s="38" t="n">
        <f aca="false">Sens!$F$6721</f>
        <v>45.9734924614306</v>
      </c>
      <c r="G6732" s="38" t="n">
        <f aca="false">Sens!$G$6721</f>
        <v>138.875492461431</v>
      </c>
      <c r="H6732" s="38" t="n">
        <f aca="false">Sens!$H$6721</f>
        <v>101.908400903092</v>
      </c>
      <c r="I6732" s="38" t="n">
        <f aca="false">Sens!$I$6721</f>
        <v>116.574582106835</v>
      </c>
      <c r="J6732" s="38" t="n">
        <f aca="false">Sens!$J$6721</f>
        <v>131.283377121365</v>
      </c>
      <c r="K6732" s="38" t="n">
        <f aca="false">Sens!$K$6721</f>
        <v>142.016948609195</v>
      </c>
      <c r="L6732" s="38" t="n">
        <f aca="false">Sens!$L$6721</f>
        <v>156.895795199921</v>
      </c>
      <c r="M6732" s="38" t="n">
        <f aca="false">Sens!$M$6721</f>
        <v>173.685076796377</v>
      </c>
    </row>
    <row r="6733" customFormat="false" ht="17.15" hidden="false" customHeight="false" outlineLevel="0" collapsed="false">
      <c r="A6733" s="5" t="s">
        <v>778</v>
      </c>
      <c r="B6733" s="0" t="s">
        <v>86</v>
      </c>
      <c r="C6733" s="38" t="n">
        <f aca="false">Sens!$C$6709</f>
        <v>32.067</v>
      </c>
      <c r="D6733" s="38" t="n">
        <f aca="false">Sens!$D$6709</f>
        <v>41.86</v>
      </c>
      <c r="E6733" s="38" t="n">
        <f aca="false">Sens!$E$6709</f>
        <v>26.703</v>
      </c>
      <c r="F6733" s="38" t="n">
        <f aca="false">Sens!$F$6709</f>
        <v>29.2913179650864</v>
      </c>
      <c r="G6733" s="38" t="n">
        <f aca="false">Sens!$G$6709</f>
        <v>55.9943179650864</v>
      </c>
      <c r="H6733" s="38" t="n">
        <f aca="false">Sens!$H$6709</f>
        <v>84.3163410985152</v>
      </c>
      <c r="I6733" s="38" t="n">
        <f aca="false">Sens!$I$6709</f>
        <v>117.040344991004</v>
      </c>
      <c r="J6733" s="38" t="n">
        <f aca="false">Sens!$J$6709</f>
        <v>150.498981474685</v>
      </c>
      <c r="K6733" s="38" t="n">
        <f aca="false">Sens!$K$6709</f>
        <v>184.188121970284</v>
      </c>
      <c r="L6733" s="38" t="n">
        <f aca="false">Sens!$L$6709</f>
        <v>207.768718060808</v>
      </c>
      <c r="M6733" s="38" t="n">
        <f aca="false">Sens!$M$6709</f>
        <v>224.003934647752</v>
      </c>
    </row>
    <row r="6734" customFormat="false" ht="15" hidden="false" customHeight="false" outlineLevel="0" collapsed="false">
      <c r="A6734" s="5" t="s">
        <v>779</v>
      </c>
      <c r="B6734" s="0" t="s">
        <v>86</v>
      </c>
      <c r="C6734" s="38" t="n">
        <f aca="false">Q!$D$48</f>
        <v>22.011</v>
      </c>
      <c r="D6734" s="38" t="n">
        <f aca="false">Q!$E$48</f>
        <v>19.467</v>
      </c>
      <c r="E6734" s="38" t="n">
        <f aca="false">Q!$P$48</f>
        <v>10.07</v>
      </c>
      <c r="F6734" s="38" t="n">
        <f aca="false">sbc_r*Sens!$F$6651</f>
        <v>10.8507035798037</v>
      </c>
      <c r="G6734" s="38" t="n">
        <f aca="false">Sens!$E$6734+Sens!$F$6734</f>
        <v>20.9207035798037</v>
      </c>
      <c r="H6734" s="38" t="n">
        <f aca="false">sbc_r*Sens!$H$6651</f>
        <v>23.46224366345</v>
      </c>
      <c r="I6734" s="38" t="n">
        <f aca="false">sbc_r*Sens!$I$6651</f>
        <v>26.6125957111676</v>
      </c>
      <c r="J6734" s="38" t="n">
        <f aca="false">sbc_r*Sens!$J$6651</f>
        <v>29.6280801413323</v>
      </c>
      <c r="K6734" s="38" t="n">
        <f aca="false">sbc_r*Sens!$K$6651</f>
        <v>32.2712258901105</v>
      </c>
      <c r="L6734" s="38" t="n">
        <f aca="false">sbc_r*Sens!$L$6651</f>
        <v>34.7390505016737</v>
      </c>
      <c r="M6734" s="38" t="n">
        <f aca="false">sbc_r*Sens!$M$6651</f>
        <v>37.0405146906692</v>
      </c>
    </row>
    <row r="6735" customFormat="false" ht="17.15" hidden="false" customHeight="false" outlineLevel="0" collapsed="false">
      <c r="A6735" s="5" t="s">
        <v>780</v>
      </c>
      <c r="B6735" s="0" t="s">
        <v>86</v>
      </c>
      <c r="C6735" s="38" t="n">
        <f aca="false">Q!$D$44-Sens!$C$6732-Sens!$C$6733-Sens!$C$6734</f>
        <v>2.551</v>
      </c>
      <c r="D6735" s="38" t="n">
        <f aca="false">Q!$E$44-Sens!$D$6732-Sens!$D$6733-Sens!$D$6734</f>
        <v>0.51700000000001</v>
      </c>
      <c r="E6735" s="38" t="n">
        <f aca="false">Q!$P$44-Sens!$E$6732-Sens!$E$6733-Sens!$E$6734</f>
        <v>-58.256</v>
      </c>
      <c r="F6735" s="38" t="n">
        <f aca="false">oth_r*Sens!$F$6651</f>
        <v>5.22265251035878</v>
      </c>
      <c r="G6735" s="38" t="n">
        <f aca="false">Sens!$E$6735+Sens!$F$6735</f>
        <v>-53.0333474896412</v>
      </c>
      <c r="H6735" s="38" t="n">
        <f aca="false">oth_r*Sens!$H$6651</f>
        <v>11.2928295263397</v>
      </c>
      <c r="I6735" s="38" t="n">
        <f aca="false">oth_r*Sens!$I$6651</f>
        <v>12.8091546115766</v>
      </c>
      <c r="J6735" s="38" t="n">
        <f aca="false">oth_r*Sens!$J$6651</f>
        <v>14.2605653162668</v>
      </c>
      <c r="K6735" s="38" t="n">
        <f aca="false">oth_r*Sens!$K$6651</f>
        <v>15.5327622460396</v>
      </c>
      <c r="L6735" s="38" t="n">
        <f aca="false">oth_r*Sens!$L$6651</f>
        <v>16.720573737517</v>
      </c>
      <c r="M6735" s="38" t="n">
        <f aca="false">oth_r*Sens!$M$6651</f>
        <v>17.8283127551536</v>
      </c>
      <c r="P6735" s="8" t="s">
        <v>781</v>
      </c>
    </row>
    <row r="6736" customFormat="false" ht="15" hidden="false" customHeight="false" outlineLevel="0" collapsed="false">
      <c r="A6736" s="3" t="s">
        <v>552</v>
      </c>
      <c r="B6736" s="8" t="s">
        <v>86</v>
      </c>
      <c r="C6736" s="38" t="n">
        <f aca="false">Q!$D$44</f>
        <v>115.877</v>
      </c>
      <c r="D6736" s="38" t="n">
        <f aca="false">Q!$E$44</f>
        <v>139.514</v>
      </c>
      <c r="E6736" s="38" t="n">
        <f aca="false">Q!$P$44</f>
        <v>71.419</v>
      </c>
      <c r="F6736" s="38" t="n">
        <f aca="false">Sens!$F$6732+Sens!$F$6733+Sens!$F$6734+Sens!$F$6735</f>
        <v>91.3381665166794</v>
      </c>
      <c r="G6736" s="38" t="n">
        <f aca="false">Sens!$E$6736+Sens!$F$6736</f>
        <v>162.757166516679</v>
      </c>
      <c r="H6736" s="38" t="n">
        <f aca="false">Sens!$H$6732+Sens!$H$6733+Sens!$H$6734+Sens!$H$6735</f>
        <v>220.979815191397</v>
      </c>
      <c r="I6736" s="38" t="n">
        <f aca="false">Sens!$I$6732+Sens!$I$6733+Sens!$I$6734+Sens!$I$6735</f>
        <v>273.036677420583</v>
      </c>
      <c r="J6736" s="38" t="n">
        <f aca="false">Sens!$J$6732+Sens!$J$6733+Sens!$J$6734+Sens!$J$6735</f>
        <v>325.671004053649</v>
      </c>
      <c r="K6736" s="38" t="n">
        <f aca="false">Sens!$K$6732+Sens!$K$6733+Sens!$K$6734+Sens!$K$6735</f>
        <v>374.009058715629</v>
      </c>
      <c r="L6736" s="38" t="n">
        <f aca="false">Sens!$L$6732+Sens!$L$6733+Sens!$L$6734+Sens!$L$6735</f>
        <v>416.124137499919</v>
      </c>
      <c r="M6736" s="38" t="n">
        <f aca="false">Sens!$M$6732+Sens!$M$6733+Sens!$M$6734+Sens!$M$6735</f>
        <v>452.557838889952</v>
      </c>
    </row>
    <row r="6737" customFormat="false" ht="17.15" hidden="false" customHeight="false" outlineLevel="0" collapsed="false">
      <c r="A6737" s="5" t="s">
        <v>782</v>
      </c>
      <c r="B6737" s="0" t="s">
        <v>86</v>
      </c>
      <c r="C6737" s="38" t="n">
        <f aca="false">Sens!$C$6620</f>
        <v>25.2781053077374</v>
      </c>
      <c r="D6737" s="38" t="n">
        <f aca="false">Sens!$D$6620</f>
        <v>69.5686316310026</v>
      </c>
      <c r="E6737" s="38" t="n">
        <f aca="false">Sens!$E$6620</f>
        <v>64.1899206485108</v>
      </c>
      <c r="F6737" s="38" t="n">
        <f aca="false">Sens!$F$6620</f>
        <v>96.2481299895</v>
      </c>
      <c r="G6737" s="38" t="n">
        <f aca="false">Sens!$G$6620</f>
        <v>160.438050638011</v>
      </c>
      <c r="H6737" s="38" t="n">
        <f aca="false">Sens!$H$6620</f>
        <v>198.57136494475</v>
      </c>
      <c r="I6737" s="38" t="n">
        <f aca="false">Sens!$I$6620</f>
        <v>204.6464699105</v>
      </c>
      <c r="J6737" s="38" t="n">
        <f aca="false">Sens!$J$6620</f>
        <v>209.8832381105</v>
      </c>
      <c r="K6737" s="38" t="n">
        <f aca="false">Sens!$K$6620</f>
        <v>155.238385275201</v>
      </c>
      <c r="L6737" s="38" t="n">
        <f aca="false">Sens!$L$6620</f>
        <v>132.014141639902</v>
      </c>
      <c r="M6737" s="38" t="n">
        <f aca="false">Sens!$M$6620</f>
        <v>132.230981659852</v>
      </c>
    </row>
    <row r="6738" customFormat="false" ht="17.15" hidden="false" customHeight="false" outlineLevel="0" collapsed="false">
      <c r="A6738" s="5" t="s">
        <v>783</v>
      </c>
      <c r="B6738" s="0" t="s">
        <v>86</v>
      </c>
      <c r="C6738" s="38" t="n">
        <f aca="false">cx_awso*Sens!$C$6649</f>
        <v>21.0469989286053</v>
      </c>
      <c r="D6738" s="38" t="n">
        <f aca="false">cx_awso*Sens!$D$6649</f>
        <v>24.0042459822698</v>
      </c>
      <c r="E6738" s="38" t="n">
        <f aca="false">cx_awso*Sens!$E$6649</f>
        <v>14.261729404886</v>
      </c>
      <c r="F6738" s="38" t="n">
        <f aca="false">cx_awso*Sens!$F$6649</f>
        <v>14.3538599588493</v>
      </c>
      <c r="G6738" s="38" t="n">
        <f aca="false">Sens!$E$6738+Sens!$F$6738</f>
        <v>28.6155893637353</v>
      </c>
      <c r="H6738" s="38" t="n">
        <f aca="false">cx_awso*Sens!$H$6649</f>
        <v>32.2034154158406</v>
      </c>
      <c r="I6738" s="38" t="n">
        <f aca="false">cx_awso*Sens!$I$6649</f>
        <v>35.7539519042915</v>
      </c>
      <c r="J6738" s="38" t="n">
        <f aca="false">cx_awso*Sens!$J$6649</f>
        <v>39.1551076091815</v>
      </c>
      <c r="K6738" s="38" t="n">
        <f aca="false">cx_awso*Sens!$K$6649</f>
        <v>42.287516217916</v>
      </c>
      <c r="L6738" s="38" t="n">
        <f aca="false">cx_awso*Sens!$L$6649</f>
        <v>45.6705175153492</v>
      </c>
      <c r="M6738" s="38" t="n">
        <f aca="false">cx_awso*Sens!$M$6649</f>
        <v>49.3241589165772</v>
      </c>
    </row>
    <row r="6739" customFormat="false" ht="17.15" hidden="false" customHeight="false" outlineLevel="0" collapsed="false">
      <c r="A6739" s="5" t="s">
        <v>784</v>
      </c>
      <c r="B6739" s="0" t="s">
        <v>86</v>
      </c>
      <c r="C6739" s="38" t="n">
        <f aca="false">Q!$D$46-Sens!$C$6737-Sens!$C$6738</f>
        <v>31.3328957636573</v>
      </c>
      <c r="D6739" s="38" t="n">
        <f aca="false">Q!$E$46-Sens!$D$6737-Sens!$D$6738</f>
        <v>34.7471223867276</v>
      </c>
      <c r="E6739" s="38" t="n">
        <f aca="false">Q!$P$46-Sens!$E$6737-Sens!$E$6738</f>
        <v>17.8583499466032</v>
      </c>
      <c r="F6739" s="38" t="n">
        <f aca="false">cx_rt*Sens!$F$6583</f>
        <v>20.6195895799373</v>
      </c>
      <c r="G6739" s="38" t="n">
        <f aca="false">Sens!$E$6739+Sens!$F$6739</f>
        <v>38.4779395265405</v>
      </c>
      <c r="H6739" s="38" t="n">
        <f aca="false">cx_rt*Sens!$H$6583</f>
        <v>42.5978994743075</v>
      </c>
      <c r="I6739" s="38" t="n">
        <f aca="false">cx_rt*Sens!$I$6583</f>
        <v>46.5813904136335</v>
      </c>
      <c r="J6739" s="38" t="n">
        <f aca="false">cx_rt*Sens!$J$6583</f>
        <v>50.2781676586844</v>
      </c>
      <c r="K6739" s="38" t="n">
        <f aca="false">cx_rt*Sens!$K$6583</f>
        <v>53.5312440191755</v>
      </c>
      <c r="L6739" s="38" t="n">
        <f aca="false">cx_rt*Sens!$L$6583</f>
        <v>57.0116717051447</v>
      </c>
      <c r="M6739" s="38" t="n">
        <f aca="false">cx_rt*Sens!$M$6583</f>
        <v>60.7365554669226</v>
      </c>
    </row>
    <row r="6740" customFormat="false" ht="15" hidden="false" customHeight="false" outlineLevel="0" collapsed="false">
      <c r="A6740" s="3" t="s">
        <v>785</v>
      </c>
      <c r="B6740" s="8" t="s">
        <v>86</v>
      </c>
      <c r="C6740" s="38" t="n">
        <f aca="false">Q!$D$46</f>
        <v>77.658</v>
      </c>
      <c r="D6740" s="38" t="n">
        <f aca="false">Q!$E$46</f>
        <v>128.32</v>
      </c>
      <c r="E6740" s="38" t="n">
        <f aca="false">Q!$P$46</f>
        <v>96.31</v>
      </c>
      <c r="F6740" s="38" t="n">
        <f aca="false">Sens!$F$6737+Sens!$F$6738+Sens!$F$6739</f>
        <v>131.221579528287</v>
      </c>
      <c r="G6740" s="38" t="n">
        <f aca="false">Sens!$E$6740+Sens!$F$6740</f>
        <v>227.531579528287</v>
      </c>
      <c r="H6740" s="38" t="n">
        <f aca="false">Sens!$H$6737+Sens!$H$6738+Sens!$H$6739</f>
        <v>273.372679834898</v>
      </c>
      <c r="I6740" s="38" t="n">
        <f aca="false">Sens!$I$6737+Sens!$I$6738+Sens!$I$6739</f>
        <v>286.981812228425</v>
      </c>
      <c r="J6740" s="38" t="n">
        <f aca="false">Sens!$J$6737+Sens!$J$6738+Sens!$J$6739</f>
        <v>299.316513378366</v>
      </c>
      <c r="K6740" s="38" t="n">
        <f aca="false">Sens!$K$6737+Sens!$K$6738+Sens!$K$6739</f>
        <v>251.057145512292</v>
      </c>
      <c r="L6740" s="38" t="n">
        <f aca="false">Sens!$L$6737+Sens!$L$6738+Sens!$L$6739</f>
        <v>234.696330860396</v>
      </c>
      <c r="M6740" s="38" t="n">
        <f aca="false">Sens!$M$6737+Sens!$M$6738+Sens!$M$6739</f>
        <v>242.291696043352</v>
      </c>
    </row>
    <row r="6741" customFormat="false" ht="17.15" hidden="false" customHeight="false" outlineLevel="0" collapsed="false">
      <c r="A6741" s="5" t="s">
        <v>560</v>
      </c>
      <c r="B6741" s="0" t="s">
        <v>86</v>
      </c>
      <c r="C6741" s="38" t="n">
        <f aca="false">Q!$D$50</f>
        <v>2.043</v>
      </c>
      <c r="D6741" s="38" t="n">
        <f aca="false">Q!$E$50</f>
        <v>1.557</v>
      </c>
      <c r="E6741" s="38" t="n">
        <f aca="false">lease_pr/2</f>
        <v>0.8</v>
      </c>
      <c r="F6741" s="38" t="n">
        <f aca="false">lease_pr/2</f>
        <v>0.8</v>
      </c>
      <c r="G6741" s="38" t="n">
        <f aca="false">Sens!$E$6741+Sens!$F$6741</f>
        <v>1.6</v>
      </c>
      <c r="H6741" s="38" t="n">
        <f aca="false">lease_pr</f>
        <v>1.6</v>
      </c>
      <c r="I6741" s="38" t="n">
        <f aca="false">lease_pr</f>
        <v>1.6</v>
      </c>
      <c r="J6741" s="38" t="n">
        <f aca="false">lease_pr</f>
        <v>1.6</v>
      </c>
      <c r="K6741" s="38" t="n">
        <f aca="false">lease_pr</f>
        <v>1.6</v>
      </c>
      <c r="L6741" s="38" t="n">
        <f aca="false">lease_pr</f>
        <v>1.6</v>
      </c>
      <c r="M6741" s="38" t="n">
        <f aca="false">lease_pr</f>
        <v>1.6</v>
      </c>
      <c r="P6741" s="8" t="s">
        <v>786</v>
      </c>
    </row>
    <row r="6742" customFormat="false" ht="15" hidden="false" customHeight="false" outlineLevel="0" collapsed="false">
      <c r="A6742" s="47" t="s">
        <v>787</v>
      </c>
      <c r="B6742" s="14" t="s">
        <v>86</v>
      </c>
      <c r="C6742" s="48" t="n">
        <f aca="false">Sens!$C$6736-Sens!$C$6740-Sens!$C$6741</f>
        <v>36.176</v>
      </c>
      <c r="D6742" s="48" t="n">
        <f aca="false">Sens!$D$6736-Sens!$D$6740-Sens!$D$6741</f>
        <v>9.63700000000002</v>
      </c>
      <c r="E6742" s="48" t="n">
        <f aca="false">Sens!$E$6736-Sens!$E$6740-Sens!$E$6741</f>
        <v>-25.691</v>
      </c>
      <c r="F6742" s="48" t="n">
        <f aca="false">Sens!$F$6736-Sens!$F$6740-Sens!$F$6741</f>
        <v>-40.6834130116072</v>
      </c>
      <c r="G6742" s="48" t="n">
        <f aca="false">Sens!$G$6736-Sens!$G$6740-Sens!$G$6741</f>
        <v>-66.3744130116072</v>
      </c>
      <c r="H6742" s="48" t="n">
        <f aca="false">Sens!$H$6736-Sens!$H$6740-Sens!$H$6741</f>
        <v>-53.9928646435014</v>
      </c>
      <c r="I6742" s="48" t="n">
        <f aca="false">Sens!$I$6736-Sens!$I$6740-Sens!$I$6741</f>
        <v>-15.5451348078424</v>
      </c>
      <c r="J6742" s="48" t="n">
        <f aca="false">Sens!$J$6736-Sens!$J$6740-Sens!$J$6741</f>
        <v>24.754490675283</v>
      </c>
      <c r="K6742" s="48" t="n">
        <f aca="false">Sens!$K$6736-Sens!$K$6740-Sens!$K$6741</f>
        <v>121.351913203336</v>
      </c>
      <c r="L6742" s="48" t="n">
        <f aca="false">Sens!$L$6736-Sens!$L$6740-Sens!$L$6741</f>
        <v>179.827806639524</v>
      </c>
      <c r="M6742" s="48" t="n">
        <f aca="false">Sens!$M$6736-Sens!$M$6740-Sens!$M$6741</f>
        <v>208.6661428466</v>
      </c>
      <c r="N6742" s="14"/>
      <c r="O6742" s="14"/>
    </row>
    <row r="6743" customFormat="false" ht="17.15" hidden="false" customHeight="false" outlineLevel="0" collapsed="false">
      <c r="A6743" s="5" t="s">
        <v>788</v>
      </c>
      <c r="B6743" s="0" t="s">
        <v>86</v>
      </c>
      <c r="C6743" s="38" t="n">
        <f aca="false">dps*Sens!$C$6722</f>
        <v>0</v>
      </c>
      <c r="D6743" s="38" t="n">
        <f aca="false">dps*Sens!$D$6722</f>
        <v>0</v>
      </c>
      <c r="E6743" s="38" t="n">
        <f aca="false">dps*Sens!$E$6722</f>
        <v>0</v>
      </c>
      <c r="F6743" s="38" t="n">
        <f aca="false">0</f>
        <v>0</v>
      </c>
      <c r="G6743" s="38" t="n">
        <f aca="false">dps*Sens!$G$6722</f>
        <v>0</v>
      </c>
      <c r="H6743" s="38" t="n">
        <f aca="false">dps*Sens!$H$6722</f>
        <v>0</v>
      </c>
      <c r="I6743" s="38" t="n">
        <f aca="false">dps*Sens!$I$6722</f>
        <v>0</v>
      </c>
      <c r="J6743" s="38" t="n">
        <f aca="false">dps*Sens!$J$6722</f>
        <v>0</v>
      </c>
      <c r="K6743" s="38" t="n">
        <f aca="false">dps*Sens!$K$6722</f>
        <v>0</v>
      </c>
      <c r="L6743" s="38" t="n">
        <f aca="false">dps*Sens!$L$6722</f>
        <v>0</v>
      </c>
      <c r="M6743" s="38" t="n">
        <f aca="false">dps*Sens!$M$6722</f>
        <v>0</v>
      </c>
      <c r="P6743" s="8" t="s">
        <v>789</v>
      </c>
    </row>
    <row r="6744" customFormat="false" ht="17.15" hidden="false" customHeight="false" outlineLevel="0" collapsed="false">
      <c r="A6744" s="5" t="s">
        <v>790</v>
      </c>
      <c r="B6744" s="0" t="s">
        <v>86</v>
      </c>
      <c r="C6744" s="38" t="n">
        <f aca="false">0</f>
        <v>0</v>
      </c>
      <c r="D6744" s="38" t="n">
        <f aca="false">0</f>
        <v>0</v>
      </c>
      <c r="E6744" s="38" t="n">
        <f aca="false">0</f>
        <v>0</v>
      </c>
      <c r="F6744" s="38" t="n">
        <f aca="false">0</f>
        <v>0</v>
      </c>
      <c r="G6744" s="38" t="n">
        <f aca="false">0</f>
        <v>0</v>
      </c>
      <c r="H6744" s="38" t="n">
        <f aca="false">0</f>
        <v>0</v>
      </c>
      <c r="I6744" s="38" t="n">
        <f aca="false">0</f>
        <v>0</v>
      </c>
      <c r="J6744" s="38" t="n">
        <f aca="false">0</f>
        <v>0</v>
      </c>
      <c r="K6744" s="38" t="n">
        <f aca="false">0</f>
        <v>0</v>
      </c>
      <c r="L6744" s="38" t="n">
        <f aca="false">0</f>
        <v>0</v>
      </c>
      <c r="M6744" s="38" t="n">
        <f aca="false">0</f>
        <v>0</v>
      </c>
      <c r="P6744" s="8" t="s">
        <v>791</v>
      </c>
    </row>
    <row r="6745" customFormat="false" ht="15" hidden="false" customHeight="false" outlineLevel="0" collapsed="false">
      <c r="A6745" s="3" t="s">
        <v>792</v>
      </c>
      <c r="B6745" s="8" t="s">
        <v>86</v>
      </c>
      <c r="C6745" s="38" t="n">
        <f aca="false">Sens!$C$6742-Sens!$C$6743</f>
        <v>36.176</v>
      </c>
      <c r="D6745" s="38" t="n">
        <f aca="false">Sens!$D$6742-Sens!$D$6743</f>
        <v>9.63700000000002</v>
      </c>
      <c r="E6745" s="38" t="n">
        <f aca="false">Sens!$E$6742-Sens!$E$6743</f>
        <v>-25.691</v>
      </c>
      <c r="F6745" s="38" t="n">
        <f aca="false">Sens!$F$6742-Sens!$F$6743</f>
        <v>-40.6834130116072</v>
      </c>
      <c r="G6745" s="38" t="n">
        <f aca="false">Sens!$G$6742-Sens!$G$6743</f>
        <v>-66.3744130116072</v>
      </c>
      <c r="H6745" s="38" t="n">
        <f aca="false">Sens!$H$6742-Sens!$H$6743</f>
        <v>-53.9928646435014</v>
      </c>
      <c r="I6745" s="38" t="n">
        <f aca="false">Sens!$I$6742-Sens!$I$6743</f>
        <v>-15.5451348078424</v>
      </c>
      <c r="J6745" s="38" t="n">
        <f aca="false">Sens!$J$6742-Sens!$J$6743</f>
        <v>24.754490675283</v>
      </c>
      <c r="K6745" s="38" t="n">
        <f aca="false">Sens!$K$6742-Sens!$K$6743</f>
        <v>121.351913203336</v>
      </c>
      <c r="L6745" s="38" t="n">
        <f aca="false">Sens!$L$6742-Sens!$L$6743</f>
        <v>179.827806639524</v>
      </c>
      <c r="M6745" s="38" t="n">
        <f aca="false">Sens!$M$6742-Sens!$M$6743</f>
        <v>208.6661428466</v>
      </c>
    </row>
    <row r="6746" customFormat="false" ht="17.15" hidden="false" customHeight="false" outlineLevel="0" collapsed="false">
      <c r="A6746" s="5" t="s">
        <v>793</v>
      </c>
      <c r="B6746" s="0" t="s">
        <v>86</v>
      </c>
      <c r="E6746" s="38" t="n">
        <f aca="false">Q!$P$53</f>
        <v>39.767</v>
      </c>
      <c r="F6746" s="38" t="n">
        <f aca="false">inv_2h26</f>
        <v>21.3</v>
      </c>
      <c r="G6746" s="38" t="n">
        <f aca="false">Sens!$E$6746+Sens!$F$6746</f>
        <v>61.067</v>
      </c>
      <c r="H6746" s="39" t="n">
        <v>0</v>
      </c>
      <c r="I6746" s="39" t="n">
        <v>0</v>
      </c>
      <c r="J6746" s="39" t="n">
        <v>0</v>
      </c>
      <c r="K6746" s="39" t="n">
        <v>0</v>
      </c>
      <c r="L6746" s="39" t="n">
        <v>0</v>
      </c>
      <c r="M6746" s="39" t="n">
        <v>0</v>
      </c>
    </row>
    <row r="6747" customFormat="false" ht="17.15" hidden="false" customHeight="false" outlineLevel="0" collapsed="false">
      <c r="A6747" s="5" t="s">
        <v>794</v>
      </c>
      <c r="B6747" s="0" t="s">
        <v>86</v>
      </c>
      <c r="F6747" s="38" t="n">
        <f aca="false">iss_2h26</f>
        <v>29.249999</v>
      </c>
      <c r="G6747" s="38" t="n">
        <f aca="false">Sens!$F$6747</f>
        <v>29.249999</v>
      </c>
      <c r="H6747" s="39" t="n">
        <v>0</v>
      </c>
      <c r="I6747" s="39" t="n">
        <v>0</v>
      </c>
      <c r="J6747" s="39" t="n">
        <v>0</v>
      </c>
      <c r="K6747" s="39" t="n">
        <v>0</v>
      </c>
      <c r="L6747" s="39" t="n">
        <v>0</v>
      </c>
      <c r="M6747" s="39" t="n">
        <v>0</v>
      </c>
    </row>
    <row r="6748" customFormat="false" ht="17.15" hidden="false" customHeight="false" outlineLevel="0" collapsed="false">
      <c r="A6748" s="5" t="s">
        <v>795</v>
      </c>
      <c r="B6748" s="0" t="s">
        <v>86</v>
      </c>
      <c r="F6748" s="38" t="n">
        <f aca="false">cash_q2</f>
        <v>122.988</v>
      </c>
      <c r="G6748" s="38" t="n">
        <f aca="false">cash_q2</f>
        <v>122.988</v>
      </c>
      <c r="H6748" s="38" t="n">
        <f aca="false">Sens!$G$6751</f>
        <v>90.2545859883928</v>
      </c>
      <c r="I6748" s="38" t="n">
        <f aca="false">Sens!$H$6751</f>
        <v>50</v>
      </c>
      <c r="J6748" s="38" t="n">
        <f aca="false">Sens!$I$6751</f>
        <v>50</v>
      </c>
      <c r="K6748" s="38" t="n">
        <f aca="false">Sens!$J$6751</f>
        <v>74.7544906752831</v>
      </c>
      <c r="L6748" s="38" t="n">
        <f aca="false">Sens!$K$6751</f>
        <v>196.106403878619</v>
      </c>
      <c r="M6748" s="38" t="n">
        <f aca="false">Sens!$L$6751</f>
        <v>375.934210518143</v>
      </c>
    </row>
    <row r="6749" customFormat="false" ht="15" hidden="false" customHeight="false" outlineLevel="0" collapsed="false">
      <c r="A6749" s="5" t="s">
        <v>796</v>
      </c>
      <c r="B6749" s="0" t="s">
        <v>86</v>
      </c>
      <c r="F6749" s="38" t="n">
        <f aca="false">Sens!$F$6748+Sens!$F$6745-Sens!$F$6744-Sens!$F$6746+Sens!$F$6747</f>
        <v>90.2545859883928</v>
      </c>
      <c r="H6749" s="38" t="n">
        <f aca="false">Sens!$H$6748+Sens!$H$6745-Sens!$H$6744-Sens!$H$6746+Sens!$H$6747</f>
        <v>36.2617213448915</v>
      </c>
      <c r="I6749" s="38" t="n">
        <f aca="false">Sens!$I$6748+Sens!$I$6745-Sens!$I$6744-Sens!$I$6746+Sens!$I$6747</f>
        <v>34.4548651921577</v>
      </c>
      <c r="J6749" s="38" t="n">
        <f aca="false">Sens!$J$6748+Sens!$J$6745-Sens!$J$6744-Sens!$J$6746+Sens!$J$6747</f>
        <v>74.7544906752831</v>
      </c>
      <c r="K6749" s="38" t="n">
        <f aca="false">Sens!$K$6748+Sens!$K$6745-Sens!$K$6744-Sens!$K$6746+Sens!$K$6747</f>
        <v>196.106403878619</v>
      </c>
      <c r="L6749" s="38" t="n">
        <f aca="false">Sens!$L$6748+Sens!$L$6745-Sens!$L$6744-Sens!$L$6746+Sens!$L$6747</f>
        <v>375.934210518143</v>
      </c>
      <c r="M6749" s="38" t="n">
        <f aca="false">Sens!$M$6748+Sens!$M$6745-Sens!$M$6744-Sens!$M$6746+Sens!$M$6747</f>
        <v>584.600353364743</v>
      </c>
    </row>
    <row r="6750" customFormat="false" ht="17.15" hidden="false" customHeight="false" outlineLevel="0" collapsed="false">
      <c r="A6750" s="5" t="s">
        <v>797</v>
      </c>
      <c r="B6750" s="0" t="s">
        <v>86</v>
      </c>
      <c r="F6750" s="38" t="n">
        <f aca="false">MAX(0,min_cash-Sens!$F$6749)</f>
        <v>0</v>
      </c>
      <c r="G6750" s="38" t="n">
        <f aca="false">Sens!$F$6750</f>
        <v>0</v>
      </c>
      <c r="H6750" s="38" t="n">
        <f aca="false">MAX(0,min_cash-Sens!$H$6749)</f>
        <v>13.7382786551085</v>
      </c>
      <c r="I6750" s="38" t="n">
        <f aca="false">MAX(0,min_cash-Sens!$I$6749)</f>
        <v>15.5451348078424</v>
      </c>
      <c r="J6750" s="38" t="n">
        <f aca="false">MAX(0,min_cash-Sens!$J$6749)</f>
        <v>0</v>
      </c>
      <c r="K6750" s="38" t="n">
        <f aca="false">MAX(0,min_cash-Sens!$K$6749)</f>
        <v>0</v>
      </c>
      <c r="L6750" s="38" t="n">
        <f aca="false">MAX(0,min_cash-Sens!$L$6749)</f>
        <v>0</v>
      </c>
      <c r="M6750" s="38" t="n">
        <f aca="false">MAX(0,min_cash-Sens!$M$6749)</f>
        <v>0</v>
      </c>
      <c r="P6750" s="5" t="s">
        <v>798</v>
      </c>
    </row>
    <row r="6751" customFormat="false" ht="15" hidden="false" customHeight="false" outlineLevel="0" collapsed="false">
      <c r="A6751" s="5" t="s">
        <v>799</v>
      </c>
      <c r="B6751" s="0" t="s">
        <v>86</v>
      </c>
      <c r="D6751" s="38" t="n">
        <f aca="false">Q!$E$61</f>
        <v>123.029</v>
      </c>
      <c r="E6751" s="38" t="n">
        <f aca="false">Q!$M$61</f>
        <v>122.988</v>
      </c>
      <c r="F6751" s="38" t="n">
        <f aca="false">Sens!$F$6749+Sens!$F$6750</f>
        <v>90.2545859883928</v>
      </c>
      <c r="G6751" s="38" t="n">
        <f aca="false">Sens!$F$6751</f>
        <v>90.2545859883928</v>
      </c>
      <c r="H6751" s="38" t="n">
        <f aca="false">Sens!$H$6749+Sens!$H$6750</f>
        <v>50</v>
      </c>
      <c r="I6751" s="38" t="n">
        <f aca="false">Sens!$I$6749+Sens!$I$6750</f>
        <v>50</v>
      </c>
      <c r="J6751" s="38" t="n">
        <f aca="false">Sens!$J$6749+Sens!$J$6750</f>
        <v>74.7544906752831</v>
      </c>
      <c r="K6751" s="38" t="n">
        <f aca="false">Sens!$K$6749+Sens!$K$6750</f>
        <v>196.106403878619</v>
      </c>
      <c r="L6751" s="38" t="n">
        <f aca="false">Sens!$L$6749+Sens!$L$6750</f>
        <v>375.934210518143</v>
      </c>
      <c r="M6751" s="38" t="n">
        <f aca="false">Sens!$M$6749+Sens!$M$6750</f>
        <v>584.600353364743</v>
      </c>
    </row>
    <row r="6752" customFormat="false" ht="15" hidden="false" customHeight="false" outlineLevel="0" collapsed="false">
      <c r="A6752" s="5" t="s">
        <v>800</v>
      </c>
      <c r="B6752" s="0" t="s">
        <v>86</v>
      </c>
      <c r="D6752" s="38" t="n">
        <f aca="false">Q!$E$62</f>
        <v>68.836</v>
      </c>
      <c r="E6752" s="38" t="n">
        <f aca="false">Q!$M$62</f>
        <v>132.995</v>
      </c>
      <c r="F6752" s="38" t="n">
        <f aca="false">debt_q2+Sens!$F$6747+Sens!$F$6750</f>
        <v>162.244999</v>
      </c>
      <c r="G6752" s="38" t="n">
        <f aca="false">Sens!$F$6752</f>
        <v>162.244999</v>
      </c>
      <c r="H6752" s="38" t="n">
        <f aca="false">Sens!$G$6752+Sens!$H$6750</f>
        <v>175.983277655109</v>
      </c>
      <c r="I6752" s="38" t="n">
        <f aca="false">Sens!$H$6752+Sens!$I$6750</f>
        <v>191.528412462951</v>
      </c>
      <c r="J6752" s="38" t="n">
        <f aca="false">Sens!$I$6752+Sens!$J$6750</f>
        <v>191.528412462951</v>
      </c>
      <c r="K6752" s="38" t="n">
        <f aca="false">Sens!$J$6752+Sens!$K$6750</f>
        <v>191.528412462951</v>
      </c>
      <c r="L6752" s="38" t="n">
        <f aca="false">Sens!$K$6752+Sens!$L$6750</f>
        <v>191.528412462951</v>
      </c>
      <c r="M6752" s="38" t="n">
        <f aca="false">Sens!$L$6752+Sens!$M$6750</f>
        <v>191.528412462951</v>
      </c>
    </row>
    <row r="6753" customFormat="false" ht="15" hidden="false" customHeight="false" outlineLevel="0" collapsed="false">
      <c r="A6753" s="5" t="s">
        <v>801</v>
      </c>
      <c r="B6753" s="0" t="s">
        <v>86</v>
      </c>
      <c r="D6753" s="38" t="n">
        <f aca="false">Sens!$D$6752-Sens!$D$6751</f>
        <v>-54.193</v>
      </c>
      <c r="E6753" s="38" t="n">
        <f aca="false">Sens!$E$6752-Sens!$E$6751</f>
        <v>10.007</v>
      </c>
      <c r="F6753" s="38" t="n">
        <f aca="false">Sens!$F$6752-Sens!$F$6751</f>
        <v>71.9904130116072</v>
      </c>
      <c r="G6753" s="38" t="n">
        <f aca="false">Sens!$G$6752-Sens!$G$6751</f>
        <v>71.9904130116072</v>
      </c>
      <c r="H6753" s="38" t="n">
        <f aca="false">Sens!$H$6752-Sens!$H$6751</f>
        <v>125.983277655109</v>
      </c>
      <c r="I6753" s="38" t="n">
        <f aca="false">Sens!$I$6752-Sens!$I$6751</f>
        <v>141.528412462951</v>
      </c>
      <c r="J6753" s="38" t="n">
        <f aca="false">Sens!$J$6752-Sens!$J$6751</f>
        <v>116.773921787668</v>
      </c>
      <c r="K6753" s="38" t="n">
        <f aca="false">Sens!$K$6752-Sens!$K$6751</f>
        <v>-4.57799141566841</v>
      </c>
      <c r="L6753" s="38" t="n">
        <f aca="false">Sens!$L$6752-Sens!$L$6751</f>
        <v>-184.405798055192</v>
      </c>
      <c r="M6753" s="38" t="n">
        <f aca="false">Sens!$M$6752-Sens!$M$6751</f>
        <v>-393.071940901792</v>
      </c>
    </row>
    <row r="6754" customFormat="false" ht="17.15" hidden="false" customHeight="false" outlineLevel="0" collapsed="false">
      <c r="A6754" s="5" t="s">
        <v>802</v>
      </c>
      <c r="B6754" s="0" t="s">
        <v>86</v>
      </c>
      <c r="F6754" s="38" t="n">
        <f aca="false">debt_q2*kd_book*0.5+iss_2h26*kd_new*iss_t</f>
        <v>3.24888962733561</v>
      </c>
      <c r="H6754" s="38" t="n">
        <f aca="false">debt_q2*kd_book+(Sens!$G$6752-debt_q2)*kd_new</f>
        <v>7.42354172302123</v>
      </c>
      <c r="I6754" s="38" t="n">
        <f aca="false">debt_q2*kd_book+(Sens!$H$6752-debt_q2)*kd_new</f>
        <v>8.2931747618896</v>
      </c>
      <c r="J6754" s="38" t="n">
        <f aca="false">debt_q2*kd_book+(Sens!$I$6752-debt_q2)*kd_new</f>
        <v>9.27718179522602</v>
      </c>
      <c r="K6754" s="38" t="n">
        <f aca="false">debt_q2*kd_book+(Sens!$J$6752-debt_q2)*kd_new</f>
        <v>9.27718179522602</v>
      </c>
      <c r="L6754" s="38" t="n">
        <f aca="false">debt_q2*kd_book+(Sens!$K$6752-debt_q2)*kd_new</f>
        <v>9.27718179522602</v>
      </c>
      <c r="M6754" s="38" t="n">
        <f aca="false">debt_q2*kd_book+(Sens!$L$6752-debt_q2)*kd_new</f>
        <v>9.27718179522602</v>
      </c>
    </row>
    <row r="6755" customFormat="false" ht="17.15" hidden="false" customHeight="false" outlineLevel="0" collapsed="false">
      <c r="A6755" s="5" t="s">
        <v>803</v>
      </c>
      <c r="B6755" s="0" t="s">
        <v>86</v>
      </c>
      <c r="F6755" s="38" t="n">
        <f aca="false">cash_q2*y_cash*0.5</f>
        <v>2.59</v>
      </c>
      <c r="H6755" s="38" t="n">
        <f aca="false">Sens!$G$6751*y_cash</f>
        <v>3.80133635330174</v>
      </c>
      <c r="I6755" s="38" t="n">
        <f aca="false">Sens!$H$6751*y_cash</f>
        <v>2.10589651022864</v>
      </c>
      <c r="J6755" s="38" t="n">
        <f aca="false">Sens!$I$6751*y_cash</f>
        <v>2.10589651022864</v>
      </c>
      <c r="K6755" s="38" t="n">
        <f aca="false">Sens!$J$6751*y_cash</f>
        <v>3.14850442073996</v>
      </c>
      <c r="L6755" s="38" t="n">
        <f aca="false">Sens!$K$6751*y_cash</f>
        <v>8.25959583122945</v>
      </c>
      <c r="M6755" s="38" t="n">
        <f aca="false">Sens!$L$6751*y_cash</f>
        <v>15.8335708401143</v>
      </c>
    </row>
    <row r="6756" customFormat="false" ht="17.15" hidden="false" customHeight="false" outlineLevel="0" collapsed="false">
      <c r="A6756" s="47" t="s">
        <v>804</v>
      </c>
      <c r="B6756" s="14" t="s">
        <v>86</v>
      </c>
      <c r="C6756" s="14"/>
      <c r="D6756" s="14"/>
      <c r="E6756" s="14"/>
      <c r="F6756" s="14"/>
      <c r="G6756" s="48" t="n">
        <f aca="false">SUM(Sens!$G$6745:$K$6745)</f>
        <v>10.1939914156684</v>
      </c>
      <c r="H6756" s="14"/>
      <c r="I6756" s="14"/>
      <c r="J6756" s="14"/>
      <c r="K6756" s="14"/>
      <c r="L6756" s="14"/>
      <c r="M6756" s="14"/>
      <c r="N6756" s="14"/>
      <c r="O6756" s="14"/>
    </row>
    <row r="6757" customFormat="false" ht="17.15" hidden="false" customHeight="false" outlineLevel="0" collapsed="false">
      <c r="A6757" s="0" t="s">
        <v>770</v>
      </c>
      <c r="B6757" s="0" t="s">
        <v>86</v>
      </c>
      <c r="G6757" s="38" t="n">
        <f aca="false">SUM(Sens!$G$6750:$K$6750)</f>
        <v>29.2834134629509</v>
      </c>
    </row>
    <row r="6758" customFormat="false" ht="17.15" hidden="false" customHeight="false" outlineLevel="0" collapsed="false">
      <c r="A6758" s="24" t="s">
        <v>807</v>
      </c>
      <c r="B6758" s="25" t="s">
        <v>86</v>
      </c>
      <c r="C6758" s="25"/>
      <c r="D6758" s="25"/>
      <c r="E6758" s="25"/>
      <c r="F6758" s="25"/>
      <c r="G6758" s="41" t="n">
        <f aca="false">Sens!$G$6756-(Sens!$G$6745+Sens!$H$6745+Sens!$I$6745+Sens!$J$6745+Sens!$K$6745)</f>
        <v>0</v>
      </c>
      <c r="H6758" s="25"/>
      <c r="I6758" s="25"/>
      <c r="J6758" s="25"/>
      <c r="K6758" s="25"/>
      <c r="L6758" s="25"/>
      <c r="M6758" s="25"/>
      <c r="N6758" s="25"/>
      <c r="O6758" s="25"/>
    </row>
    <row r="6761" customFormat="false" ht="19.4" hidden="false" customHeight="false" outlineLevel="0" collapsed="false">
      <c r="A6761" s="31" t="s">
        <v>1266</v>
      </c>
    </row>
    <row r="6762" customFormat="false" ht="17.15" hidden="false" customHeight="false" outlineLevel="0" collapsed="false">
      <c r="A6762" s="6" t="s">
        <v>16</v>
      </c>
      <c r="B6762" s="6" t="s">
        <v>17</v>
      </c>
      <c r="C6762" s="20" t="s">
        <v>494</v>
      </c>
      <c r="D6762" s="20" t="s">
        <v>495</v>
      </c>
      <c r="E6762" s="20" t="s">
        <v>577</v>
      </c>
      <c r="F6762" s="20" t="s">
        <v>578</v>
      </c>
      <c r="G6762" s="20" t="s">
        <v>579</v>
      </c>
      <c r="H6762" s="20" t="s">
        <v>580</v>
      </c>
      <c r="I6762" s="20" t="s">
        <v>581</v>
      </c>
      <c r="J6762" s="20" t="s">
        <v>582</v>
      </c>
      <c r="K6762" s="20" t="s">
        <v>583</v>
      </c>
      <c r="L6762" s="20" t="s">
        <v>584</v>
      </c>
      <c r="M6762" s="20" t="s">
        <v>585</v>
      </c>
      <c r="N6762" s="20" t="s">
        <v>586</v>
      </c>
      <c r="O6762" s="20" t="s">
        <v>587</v>
      </c>
      <c r="P6762" s="6" t="s">
        <v>23</v>
      </c>
      <c r="R6762" s="20" t="n">
        <v>2023</v>
      </c>
      <c r="S6762" s="20" t="n">
        <v>2024</v>
      </c>
      <c r="T6762" s="20" t="n">
        <v>2025</v>
      </c>
      <c r="U6762" s="20" t="n">
        <v>2026</v>
      </c>
      <c r="V6762" s="20" t="n">
        <v>2027</v>
      </c>
      <c r="W6762" s="20" t="n">
        <v>2028</v>
      </c>
      <c r="X6762" s="20" t="n">
        <v>2029</v>
      </c>
      <c r="Y6762" s="20" t="n">
        <v>2030</v>
      </c>
      <c r="Z6762" s="20" t="n">
        <v>2031</v>
      </c>
      <c r="AA6762" s="20" t="n">
        <v>2032</v>
      </c>
    </row>
    <row r="6763" customFormat="false" ht="17.15" hidden="false" customHeight="false" outlineLevel="0" collapsed="false">
      <c r="A6763" s="1" t="s">
        <v>909</v>
      </c>
    </row>
    <row r="6764" customFormat="false" ht="17.15" hidden="false" customHeight="false" outlineLevel="0" collapsed="false">
      <c r="A6764" s="0" t="s">
        <v>910</v>
      </c>
      <c r="B6764" s="0" t="s">
        <v>86</v>
      </c>
      <c r="H6764" s="38" t="n">
        <f aca="false">Sens!$H$6698*(1-tax)</f>
        <v>117.433243423729</v>
      </c>
      <c r="I6764" s="38" t="n">
        <f aca="false">Sens!$I$6698*(1-tax)</f>
        <v>142.829109667048</v>
      </c>
      <c r="J6764" s="38" t="n">
        <f aca="false">Sens!$J$6698*(1-tax)</f>
        <v>166.999275189185</v>
      </c>
      <c r="K6764" s="38" t="n">
        <f aca="false">Sens!$K$6698*(1-tax)</f>
        <v>184.249088119477</v>
      </c>
      <c r="L6764" s="38" t="n">
        <f aca="false">Sens!$L$6698*(1-tax)</f>
        <v>199.752821326616</v>
      </c>
      <c r="M6764" s="38" t="n">
        <f aca="false">Sens!$M$6698*(1-tax)</f>
        <v>212.59629763103</v>
      </c>
    </row>
    <row r="6765" customFormat="false" ht="15" hidden="false" customHeight="false" outlineLevel="0" collapsed="false">
      <c r="A6765" s="5" t="s">
        <v>911</v>
      </c>
      <c r="B6765" s="0" t="s">
        <v>86</v>
      </c>
      <c r="H6765" s="38" t="n">
        <f aca="false">Sens!$H$6709</f>
        <v>84.3163410985152</v>
      </c>
      <c r="I6765" s="38" t="n">
        <f aca="false">Sens!$I$6709</f>
        <v>117.040344991004</v>
      </c>
      <c r="J6765" s="38" t="n">
        <f aca="false">Sens!$J$6709</f>
        <v>150.498981474685</v>
      </c>
      <c r="K6765" s="38" t="n">
        <f aca="false">Sens!$K$6709</f>
        <v>184.188121970284</v>
      </c>
      <c r="L6765" s="38" t="n">
        <f aca="false">Sens!$L$6709</f>
        <v>207.768718060808</v>
      </c>
      <c r="M6765" s="38" t="n">
        <f aca="false">Sens!$M$6709</f>
        <v>224.003934647752</v>
      </c>
    </row>
    <row r="6766" customFormat="false" ht="15" hidden="false" customHeight="false" outlineLevel="0" collapsed="false">
      <c r="A6766" s="5" t="s">
        <v>912</v>
      </c>
      <c r="B6766" s="0" t="s">
        <v>86</v>
      </c>
      <c r="H6766" s="38" t="n">
        <f aca="false">Sens!$H$6740</f>
        <v>273.372679834898</v>
      </c>
      <c r="I6766" s="38" t="n">
        <f aca="false">Sens!$I$6740</f>
        <v>286.981812228425</v>
      </c>
      <c r="J6766" s="38" t="n">
        <f aca="false">Sens!$J$6740</f>
        <v>299.316513378366</v>
      </c>
      <c r="K6766" s="38" t="n">
        <f aca="false">Sens!$K$6740</f>
        <v>251.057145512292</v>
      </c>
      <c r="L6766" s="38" t="n">
        <f aca="false">Sens!$L$6740</f>
        <v>234.696330860396</v>
      </c>
      <c r="M6766" s="38" t="n">
        <f aca="false">Sens!$M$6740</f>
        <v>242.291696043352</v>
      </c>
    </row>
    <row r="6767" customFormat="false" ht="15" hidden="false" customHeight="false" outlineLevel="0" collapsed="false">
      <c r="A6767" s="5" t="s">
        <v>913</v>
      </c>
      <c r="B6767" s="0" t="s">
        <v>86</v>
      </c>
      <c r="H6767" s="38" t="n">
        <f aca="false">Sens!$H$6741</f>
        <v>1.6</v>
      </c>
      <c r="I6767" s="38" t="n">
        <f aca="false">Sens!$I$6741</f>
        <v>1.6</v>
      </c>
      <c r="J6767" s="38" t="n">
        <f aca="false">Sens!$J$6741</f>
        <v>1.6</v>
      </c>
      <c r="K6767" s="38" t="n">
        <f aca="false">Sens!$K$6741</f>
        <v>1.6</v>
      </c>
      <c r="L6767" s="38" t="n">
        <f aca="false">Sens!$L$6741</f>
        <v>1.6</v>
      </c>
      <c r="M6767" s="38" t="n">
        <f aca="false">Sens!$M$6741</f>
        <v>1.6</v>
      </c>
    </row>
    <row r="6768" customFormat="false" ht="15" hidden="false" customHeight="false" outlineLevel="0" collapsed="false">
      <c r="A6768" s="5" t="s">
        <v>914</v>
      </c>
      <c r="B6768" s="0" t="s">
        <v>86</v>
      </c>
      <c r="H6768" s="38" t="n">
        <f aca="false">Sens!$H$6735</f>
        <v>11.2928295263397</v>
      </c>
      <c r="I6768" s="38" t="n">
        <f aca="false">Sens!$I$6735</f>
        <v>12.8091546115766</v>
      </c>
      <c r="J6768" s="38" t="n">
        <f aca="false">Sens!$J$6735</f>
        <v>14.2605653162668</v>
      </c>
      <c r="K6768" s="38" t="n">
        <f aca="false">Sens!$K$6735</f>
        <v>15.5327622460396</v>
      </c>
      <c r="L6768" s="38" t="n">
        <f aca="false">Sens!$L$6735</f>
        <v>16.720573737517</v>
      </c>
      <c r="M6768" s="38" t="n">
        <f aca="false">Sens!$M$6735</f>
        <v>17.8283127551536</v>
      </c>
    </row>
    <row r="6769" customFormat="false" ht="17.15" hidden="false" customHeight="false" outlineLevel="0" collapsed="false">
      <c r="A6769" s="1" t="s">
        <v>915</v>
      </c>
      <c r="B6769" s="8" t="s">
        <v>86</v>
      </c>
      <c r="H6769" s="38" t="n">
        <f aca="false">Sens!$H$6764+Sens!$H$6765-Sens!$H$6766-Sens!$H$6767+Sens!$H$6768</f>
        <v>-61.930265786314</v>
      </c>
      <c r="I6769" s="38" t="n">
        <f aca="false">Sens!$I$6764+Sens!$I$6765-Sens!$I$6766-Sens!$I$6767+Sens!$I$6768</f>
        <v>-15.9032029587969</v>
      </c>
      <c r="J6769" s="38" t="n">
        <f aca="false">Sens!$J$6764+Sens!$J$6765-Sens!$J$6766-Sens!$J$6767+Sens!$J$6768</f>
        <v>30.8423086017711</v>
      </c>
      <c r="K6769" s="38" t="n">
        <f aca="false">Sens!$K$6764+Sens!$K$6765-Sens!$K$6766-Sens!$K$6767+Sens!$K$6768</f>
        <v>131.312826823508</v>
      </c>
      <c r="L6769" s="38" t="n">
        <f aca="false">Sens!$L$6764+Sens!$L$6765-Sens!$L$6766-Sens!$L$6767+Sens!$L$6768</f>
        <v>187.945782264545</v>
      </c>
      <c r="M6769" s="38" t="n">
        <f aca="false">Sens!$M$6764+Sens!$M$6765-Sens!$M$6766-Sens!$M$6767+Sens!$M$6768</f>
        <v>210.536848990583</v>
      </c>
    </row>
    <row r="6770" customFormat="false" ht="15" hidden="false" customHeight="false" outlineLevel="0" collapsed="false">
      <c r="A6770" s="5" t="s">
        <v>916</v>
      </c>
      <c r="B6770" s="0" t="s">
        <v>57</v>
      </c>
      <c r="H6770" s="40" t="n">
        <f aca="false">1/(1+wacc)^(2027-2026-0.5)</f>
        <v>0.947751320380232</v>
      </c>
      <c r="I6770" s="40" t="n">
        <f aca="false">1/(1+wacc)^(2028-2026-0.5)</f>
        <v>0.851301099754987</v>
      </c>
      <c r="J6770" s="40" t="n">
        <f aca="false">1/(1+wacc)^(2029-2026-0.5)</f>
        <v>0.764666370660713</v>
      </c>
      <c r="K6770" s="40" t="n">
        <f aca="false">1/(1+wacc)^(2030-2026-0.5)</f>
        <v>0.686848235703811</v>
      </c>
      <c r="L6770" s="40" t="n">
        <f aca="false">1/(1+wacc)^(2031-2026-0.5)</f>
        <v>0.616949452715975</v>
      </c>
      <c r="M6770" s="40" t="n">
        <f aca="false">1/(1+wacc)^(2032-2026-0.5)</f>
        <v>0.554164089562688</v>
      </c>
    </row>
    <row r="6771" customFormat="false" ht="15" hidden="false" customHeight="false" outlineLevel="0" collapsed="false">
      <c r="A6771" s="5" t="s">
        <v>917</v>
      </c>
      <c r="B6771" s="0" t="s">
        <v>86</v>
      </c>
      <c r="H6771" s="38" t="n">
        <f aca="false">Sens!$H$6769*Sens!$H$6770</f>
        <v>-58.6944911704778</v>
      </c>
      <c r="I6771" s="38" t="n">
        <f aca="false">Sens!$I$6769*Sens!$I$6770</f>
        <v>-13.5384141684505</v>
      </c>
      <c r="J6771" s="38" t="n">
        <f aca="false">Sens!$J$6769*Sens!$J$6770</f>
        <v>23.584076181314</v>
      </c>
      <c r="K6771" s="38" t="n">
        <f aca="false">Sens!$K$6769*Sens!$K$6770</f>
        <v>90.1919834290062</v>
      </c>
      <c r="L6771" s="38" t="n">
        <f aca="false">Sens!$L$6769*Sens!$L$6770</f>
        <v>115.953047508387</v>
      </c>
      <c r="M6771" s="38" t="n">
        <f aca="false">Sens!$M$6769*Sens!$M$6770</f>
        <v>116.671961240264</v>
      </c>
    </row>
    <row r="6772" customFormat="false" ht="15" hidden="false" customHeight="false" outlineLevel="0" collapsed="false">
      <c r="A6772" s="5" t="s">
        <v>918</v>
      </c>
      <c r="B6772" s="0" t="s">
        <v>86</v>
      </c>
      <c r="C6772" s="38" t="n">
        <f aca="false">SUM(Sens!$H$6771:$M$6771)</f>
        <v>274.168163020043</v>
      </c>
    </row>
    <row r="6773" customFormat="false" ht="17.15" hidden="false" customHeight="false" outlineLevel="0" collapsed="false">
      <c r="A6773" s="5" t="s">
        <v>919</v>
      </c>
      <c r="B6773" s="0" t="s">
        <v>86</v>
      </c>
      <c r="C6773" s="38" t="n">
        <f aca="false">Sens!$M$6764*(1+tg)*(1-tg/ronic)/(wacc-tg)</f>
        <v>1932.73757828664</v>
      </c>
    </row>
    <row r="6774" customFormat="false" ht="15" hidden="false" customHeight="false" outlineLevel="0" collapsed="false">
      <c r="A6774" s="5" t="s">
        <v>920</v>
      </c>
      <c r="B6774" s="0" t="s">
        <v>86</v>
      </c>
      <c r="C6774" s="38" t="n">
        <f aca="false">Sens!$C$6773/(1+wacc)^6</f>
        <v>1015.09261565031</v>
      </c>
    </row>
    <row r="6775" customFormat="false" ht="17.15" hidden="false" customHeight="false" outlineLevel="0" collapsed="false">
      <c r="A6775" s="5" t="s">
        <v>921</v>
      </c>
      <c r="B6775" s="0" t="s">
        <v>86</v>
      </c>
      <c r="C6775" s="38" t="n">
        <f aca="false">Sens!$C$6772+Sens!$C$6774</f>
        <v>1289.26077867035</v>
      </c>
    </row>
    <row r="6776" customFormat="false" ht="17.15" hidden="false" customHeight="false" outlineLevel="0" collapsed="false">
      <c r="A6776" s="5" t="s">
        <v>922</v>
      </c>
      <c r="B6776" s="0" t="s">
        <v>52</v>
      </c>
      <c r="C6776" s="13" t="n">
        <f aca="false">Sens!$C$6774/Sens!$C$6775</f>
        <v>0.787344680334726</v>
      </c>
    </row>
    <row r="6777" customFormat="false" ht="17.15" hidden="false" customHeight="false" outlineLevel="0" collapsed="false">
      <c r="A6777" s="5" t="s">
        <v>923</v>
      </c>
      <c r="B6777" s="0" t="s">
        <v>86</v>
      </c>
      <c r="C6777" s="38" t="n">
        <f aca="false">Sens!$G$6753+fin_debt</f>
        <v>96.5114130116072</v>
      </c>
    </row>
    <row r="6778" customFormat="false" ht="17.15" hidden="false" customHeight="false" outlineLevel="0" collapsed="false">
      <c r="A6778" s="5" t="s">
        <v>924</v>
      </c>
      <c r="B6778" s="0" t="s">
        <v>86</v>
      </c>
      <c r="C6778" s="38" t="n">
        <f aca="false">(ant_val*ant_sh+oai_val*oai_sh)*(1-liq_disc)</f>
        <v>178.944</v>
      </c>
    </row>
    <row r="6779" customFormat="false" ht="15" hidden="false" customHeight="false" outlineLevel="0" collapsed="false">
      <c r="A6779" s="5" t="s">
        <v>925</v>
      </c>
      <c r="B6779" s="0" t="s">
        <v>86</v>
      </c>
      <c r="C6779" s="38" t="n">
        <f aca="false">Sens!$C$6775-Sens!$C$6777+Sens!$C$6778</f>
        <v>1371.69336565874</v>
      </c>
    </row>
    <row r="6780" customFormat="false" ht="17.15" hidden="false" customHeight="false" outlineLevel="0" collapsed="false">
      <c r="A6780" s="5" t="s">
        <v>926</v>
      </c>
      <c r="B6780" s="0" t="s">
        <v>27</v>
      </c>
      <c r="C6780" s="30" t="n">
        <f aca="false">Sens!$C$6779/sh_out</f>
        <v>127.169797361614</v>
      </c>
    </row>
    <row r="6781" customFormat="false" ht="17.15" hidden="false" customHeight="false" outlineLevel="0" collapsed="false">
      <c r="A6781" s="1" t="s">
        <v>927</v>
      </c>
      <c r="B6781" s="8" t="s">
        <v>27</v>
      </c>
      <c r="C6781" s="30" t="n">
        <f aca="false">Sens!$C$6780*(1+ke)^tp_yf-dps*tp_yf</f>
        <v>139.297834242404</v>
      </c>
    </row>
    <row r="6782" customFormat="false" ht="17.15" hidden="false" customHeight="false" outlineLevel="0" collapsed="false">
      <c r="A6782" s="3" t="s">
        <v>928</v>
      </c>
    </row>
    <row r="6783" customFormat="false" ht="17.15" hidden="false" customHeight="false" outlineLevel="0" collapsed="false">
      <c r="A6783" s="5" t="s">
        <v>929</v>
      </c>
      <c r="B6783" s="0" t="s">
        <v>86</v>
      </c>
      <c r="C6783" s="38" t="n">
        <f aca="false">(1-tp_yf)*(Sens!$H$6710+Sens!$H$6734*Sens!$H$6576/Sens!$H$6651)+tp_yf*(Sens!$I$6710+Sens!$I$6734*Sens!$I$6576/Sens!$I$6651)</f>
        <v>59.634664536349</v>
      </c>
    </row>
    <row r="6784" customFormat="false" ht="15" hidden="false" customHeight="false" outlineLevel="0" collapsed="false">
      <c r="A6784" s="5" t="s">
        <v>930</v>
      </c>
      <c r="B6784" s="0" t="s">
        <v>57</v>
      </c>
      <c r="C6784" s="30" t="n">
        <f aca="false">m_ads*m_x</f>
        <v>9.11</v>
      </c>
    </row>
    <row r="6785" customFormat="false" ht="17.15" hidden="false" customHeight="false" outlineLevel="0" collapsed="false">
      <c r="A6785" s="5" t="s">
        <v>931</v>
      </c>
      <c r="B6785" s="0" t="s">
        <v>86</v>
      </c>
      <c r="C6785" s="38" t="n">
        <f aca="false">Sens!$C$6783*Sens!$C$6784</f>
        <v>543.271793926139</v>
      </c>
    </row>
    <row r="6786" customFormat="false" ht="17.15" hidden="false" customHeight="false" outlineLevel="0" collapsed="false">
      <c r="A6786" s="5" t="s">
        <v>932</v>
      </c>
      <c r="B6786" s="0" t="s">
        <v>86</v>
      </c>
      <c r="C6786" s="38" t="n">
        <f aca="false">(1-tp_yf)*(Sens!$H$6711+Sens!$H$6734*(Sens!$H$6583-Sens!$H$6576)/Sens!$H$6651+IF(internal_ai_reading=2,1,0)*(1-ext_sh)*Sens!$H$6613)+tp_yf*(Sens!$I$6711+Sens!$I$6734*(Sens!$I$6583-Sens!$I$6576)/Sens!$I$6651+IF(internal_ai_reading=2,1,0)*(1-ext_sh)*Sens!$I$6613)</f>
        <v>51.7770728324773</v>
      </c>
    </row>
    <row r="6787" customFormat="false" ht="17.15" hidden="false" customHeight="false" outlineLevel="0" collapsed="false">
      <c r="A6787" s="5" t="s">
        <v>933</v>
      </c>
      <c r="B6787" s="0" t="s">
        <v>57</v>
      </c>
      <c r="C6787" s="30" t="n">
        <f aca="false">m_retail*m_x</f>
        <v>17.72</v>
      </c>
    </row>
    <row r="6788" customFormat="false" ht="17.15" hidden="false" customHeight="false" outlineLevel="0" collapsed="false">
      <c r="A6788" s="5" t="s">
        <v>934</v>
      </c>
      <c r="B6788" s="0" t="s">
        <v>86</v>
      </c>
      <c r="C6788" s="38" t="n">
        <f aca="false">Sens!$C$6786*Sens!$C$6787</f>
        <v>917.489730591498</v>
      </c>
    </row>
    <row r="6789" customFormat="false" ht="17.15" hidden="false" customHeight="false" outlineLevel="0" collapsed="false">
      <c r="A6789" s="0" t="s">
        <v>935</v>
      </c>
      <c r="B6789" s="0" t="s">
        <v>86</v>
      </c>
      <c r="C6789" s="38" t="n">
        <f aca="false">(1-tp_yf)*(Sens!$H$6712+Sens!$H$6734*Sens!$H$6649/Sens!$H$6651)+tp_yf*(Sens!$I$6712+Sens!$I$6734*Sens!$I$6649/Sens!$I$6651)</f>
        <v>97.3363031479074</v>
      </c>
    </row>
    <row r="6790" customFormat="false" ht="17.15" hidden="false" customHeight="false" outlineLevel="0" collapsed="false">
      <c r="A6790" s="0" t="s">
        <v>936</v>
      </c>
      <c r="B6790" s="0" t="s">
        <v>57</v>
      </c>
      <c r="C6790" s="30" t="n">
        <f aca="false">m_cloud*m_x</f>
        <v>13.82</v>
      </c>
    </row>
    <row r="6791" customFormat="false" ht="17.15" hidden="false" customHeight="false" outlineLevel="0" collapsed="false">
      <c r="A6791" s="0" t="s">
        <v>937</v>
      </c>
      <c r="B6791" s="0" t="s">
        <v>86</v>
      </c>
      <c r="C6791" s="38" t="n">
        <f aca="false">Sens!$C$6789*Sens!$C$6790</f>
        <v>1345.18770950408</v>
      </c>
    </row>
    <row r="6792" customFormat="false" ht="17.15" hidden="false" customHeight="false" outlineLevel="0" collapsed="false">
      <c r="A6792" s="0" t="s">
        <v>938</v>
      </c>
      <c r="B6792" s="0" t="s">
        <v>86</v>
      </c>
      <c r="H6792" s="38" t="n">
        <f aca="false">Sens!$H$6630-tax*Sens!$H$6631-ext_sh*Sens!$H$6620</f>
        <v>-114.686944664267</v>
      </c>
      <c r="I6792" s="38" t="n">
        <f aca="false">Sens!$I$6630-tax*Sens!$I$6631-ext_sh*Sens!$I$6620</f>
        <v>-88.3950641557111</v>
      </c>
      <c r="J6792" s="38" t="n">
        <f aca="false">Sens!$J$6630-tax*Sens!$J$6631-ext_sh*Sens!$J$6620</f>
        <v>-61.1526151740695</v>
      </c>
      <c r="K6792" s="38" t="n">
        <f aca="false">Sens!$K$6630-tax*Sens!$K$6631-ext_sh*Sens!$K$6620</f>
        <v>10.057774712684</v>
      </c>
      <c r="L6792" s="38" t="n">
        <f aca="false">Sens!$L$6630-tax*Sens!$L$6631-ext_sh*Sens!$L$6620</f>
        <v>46.6587675560356</v>
      </c>
      <c r="M6792" s="38" t="n">
        <f aca="false">Sens!$M$6630-tax*Sens!$M$6631-ext_sh*Sens!$M$6620</f>
        <v>55.3915455321129</v>
      </c>
    </row>
    <row r="6793" customFormat="false" ht="17.15" hidden="false" customHeight="false" outlineLevel="0" collapsed="false">
      <c r="A6793" s="5" t="s">
        <v>939</v>
      </c>
      <c r="B6793" s="0" t="s">
        <v>86</v>
      </c>
      <c r="H6793" s="38" t="n">
        <f aca="false">Sens!$H$6792*Sens!$H$6770</f>
        <v>-108.694703235934</v>
      </c>
      <c r="I6793" s="38" t="n">
        <f aca="false">Sens!$I$6792*Sens!$I$6770</f>
        <v>-75.2508153286695</v>
      </c>
      <c r="J6793" s="38" t="n">
        <f aca="false">Sens!$J$6792*Sens!$J$6770</f>
        <v>-46.761348301567</v>
      </c>
      <c r="K6793" s="38" t="n">
        <f aca="false">Sens!$K$6792*Sens!$K$6770</f>
        <v>6.90816481651338</v>
      </c>
      <c r="L6793" s="38" t="n">
        <f aca="false">Sens!$L$6792*Sens!$L$6770</f>
        <v>28.7861011080981</v>
      </c>
      <c r="M6793" s="38" t="n">
        <f aca="false">Sens!$M$6792*Sens!$M$6770</f>
        <v>30.6960053992735</v>
      </c>
    </row>
    <row r="6794" customFormat="false" ht="17.15" hidden="false" customHeight="false" outlineLevel="0" collapsed="false">
      <c r="A6794" s="5" t="s">
        <v>940</v>
      </c>
      <c r="B6794" s="0" t="s">
        <v>86</v>
      </c>
      <c r="C6794" s="38" t="n">
        <f aca="false">Sens!$M$6631*(1-tax)*(1+tg)*(1-tg/ronic)/(wacc-tg)</f>
        <v>363.621782500497</v>
      </c>
    </row>
    <row r="6795" customFormat="false" ht="17.15" hidden="false" customHeight="false" outlineLevel="0" collapsed="false">
      <c r="A6795" s="0" t="s">
        <v>941</v>
      </c>
      <c r="B6795" s="0" t="s">
        <v>86</v>
      </c>
      <c r="C6795" s="38" t="n">
        <f aca="false">(SUM(Sens!$H$6793:$M$6793)+Sens!$C$6794/(1+wacc)^6)*(1+wacc)^tp_yf</f>
        <v>29.1198269558345</v>
      </c>
    </row>
    <row r="6796" customFormat="false" ht="17.15" hidden="false" customHeight="false" outlineLevel="0" collapsed="false">
      <c r="A6796" s="5" t="s">
        <v>942</v>
      </c>
      <c r="B6796" s="0" t="s">
        <v>86</v>
      </c>
      <c r="C6796" s="38" t="n">
        <f aca="false">(1-tp_yf)*(Sens!$H$6713)+tp_yf*(Sens!$I$6713)</f>
        <v>74.6707041238437</v>
      </c>
    </row>
    <row r="6797" customFormat="false" ht="17.15" hidden="false" customHeight="false" outlineLevel="0" collapsed="false">
      <c r="A6797" s="5" t="s">
        <v>943</v>
      </c>
      <c r="B6797" s="0" t="s">
        <v>86</v>
      </c>
      <c r="C6797" s="38" t="n">
        <f aca="false">Sens!$C$6796*m_ai</f>
        <v>448.024224743062</v>
      </c>
    </row>
    <row r="6798" customFormat="false" ht="17.15" hidden="false" customHeight="false" outlineLevel="0" collapsed="false">
      <c r="A6798" s="0" t="s">
        <v>944</v>
      </c>
      <c r="B6798" s="0" t="s">
        <v>86</v>
      </c>
      <c r="C6798" s="38" t="n">
        <f aca="false">IF(0=1,Sens!$C$6795,Sens!$C$6797)</f>
        <v>448.024224743062</v>
      </c>
    </row>
    <row r="6799" customFormat="false" ht="17.15" hidden="false" customHeight="false" outlineLevel="0" collapsed="false">
      <c r="A6799" s="5" t="s">
        <v>945</v>
      </c>
      <c r="B6799" s="0" t="s">
        <v>86</v>
      </c>
      <c r="C6799" s="38" t="n">
        <f aca="false">Sens!$C$6785+Sens!$C$6788+Sens!$C$6791+Sens!$C$6798</f>
        <v>3253.97345876478</v>
      </c>
    </row>
    <row r="6800" customFormat="false" ht="17.15" hidden="false" customHeight="false" outlineLevel="0" collapsed="false">
      <c r="A6800" s="5" t="s">
        <v>946</v>
      </c>
      <c r="B6800" s="0" t="s">
        <v>86</v>
      </c>
      <c r="C6800" s="38" t="n">
        <f aca="false">Sens!$H$6753+fin_debt</f>
        <v>150.504277655109</v>
      </c>
    </row>
    <row r="6801" customFormat="false" ht="15" hidden="false" customHeight="false" outlineLevel="0" collapsed="false">
      <c r="A6801" s="5" t="s">
        <v>947</v>
      </c>
      <c r="B6801" s="0" t="s">
        <v>86</v>
      </c>
      <c r="C6801" s="38" t="n">
        <f aca="false">Sens!$C$6799-Sens!$C$6800+Sens!$C$6778</f>
        <v>3282.41318110967</v>
      </c>
    </row>
    <row r="6802" customFormat="false" ht="15" hidden="false" customHeight="false" outlineLevel="0" collapsed="false">
      <c r="A6802" s="3" t="s">
        <v>948</v>
      </c>
      <c r="B6802" s="8" t="s">
        <v>27</v>
      </c>
      <c r="C6802" s="30" t="n">
        <f aca="false">Sens!$C$6801/sh_val</f>
        <v>297.581118824874</v>
      </c>
    </row>
    <row r="6803" customFormat="false" ht="17.15" hidden="false" customHeight="false" outlineLevel="0" collapsed="false">
      <c r="A6803" s="47" t="s">
        <v>949</v>
      </c>
      <c r="B6803" s="14" t="s">
        <v>27</v>
      </c>
      <c r="C6803" s="44" t="n">
        <f aca="false">w_dcf*Sens!$C$6781+(1-w_dcf)*Sens!$C$6802</f>
        <v>218.439476533639</v>
      </c>
      <c r="D6803" s="14"/>
      <c r="E6803" s="14"/>
      <c r="F6803" s="14"/>
      <c r="G6803" s="14"/>
      <c r="H6803" s="14"/>
      <c r="I6803" s="14"/>
      <c r="J6803" s="14"/>
      <c r="K6803" s="14"/>
      <c r="L6803" s="14"/>
      <c r="M6803" s="14"/>
      <c r="N6803" s="14"/>
      <c r="O6803" s="14"/>
    </row>
    <row r="6804" customFormat="false" ht="17.15" hidden="false" customHeight="false" outlineLevel="0" collapsed="false">
      <c r="A6804" s="5" t="s">
        <v>950</v>
      </c>
      <c r="B6804" s="0" t="s">
        <v>27</v>
      </c>
      <c r="C6804" s="30" t="n">
        <f aca="false">v022_wdcf*Sens!$C$6781+(1-v022_wdcf)*Sens!$C$6802</f>
        <v>226.353640762763</v>
      </c>
    </row>
    <row r="6805" customFormat="false" ht="17.15" hidden="false" customHeight="false" outlineLevel="0" collapsed="false">
      <c r="A6805" s="5" t="s">
        <v>951</v>
      </c>
      <c r="B6805" s="0" t="s">
        <v>27</v>
      </c>
      <c r="C6805" s="30" t="n">
        <f aca="false">(Sens!$C$6801-Sens!$C$6798+Sens!$C$6797)/sh_val</f>
        <v>297.581118824874</v>
      </c>
    </row>
    <row r="6808" customFormat="false" ht="19.4" hidden="false" customHeight="false" outlineLevel="0" collapsed="false">
      <c r="A6808" s="31" t="s">
        <v>1267</v>
      </c>
    </row>
    <row r="6809" customFormat="false" ht="17.15" hidden="false" customHeight="false" outlineLevel="0" collapsed="false">
      <c r="A6809" s="6" t="s">
        <v>16</v>
      </c>
      <c r="B6809" s="6" t="s">
        <v>17</v>
      </c>
      <c r="C6809" s="20" t="s">
        <v>494</v>
      </c>
      <c r="D6809" s="20" t="s">
        <v>495</v>
      </c>
      <c r="E6809" s="20" t="s">
        <v>577</v>
      </c>
      <c r="F6809" s="20" t="s">
        <v>578</v>
      </c>
      <c r="G6809" s="20" t="s">
        <v>579</v>
      </c>
      <c r="H6809" s="20" t="s">
        <v>580</v>
      </c>
      <c r="I6809" s="20" t="s">
        <v>581</v>
      </c>
      <c r="J6809" s="20" t="s">
        <v>582</v>
      </c>
      <c r="K6809" s="20" t="s">
        <v>583</v>
      </c>
      <c r="L6809" s="20" t="s">
        <v>584</v>
      </c>
      <c r="M6809" s="20" t="s">
        <v>585</v>
      </c>
      <c r="N6809" s="20" t="s">
        <v>586</v>
      </c>
      <c r="O6809" s="20" t="s">
        <v>587</v>
      </c>
      <c r="P6809" s="6" t="s">
        <v>23</v>
      </c>
      <c r="R6809" s="20" t="n">
        <v>2023</v>
      </c>
      <c r="S6809" s="20" t="n">
        <v>2024</v>
      </c>
      <c r="T6809" s="20" t="n">
        <v>2025</v>
      </c>
      <c r="U6809" s="20" t="n">
        <v>2026</v>
      </c>
      <c r="V6809" s="20" t="n">
        <v>2027</v>
      </c>
      <c r="W6809" s="20" t="n">
        <v>2028</v>
      </c>
      <c r="X6809" s="20" t="n">
        <v>2029</v>
      </c>
      <c r="Y6809" s="20" t="n">
        <v>2030</v>
      </c>
      <c r="Z6809" s="20" t="n">
        <v>2031</v>
      </c>
      <c r="AA6809" s="20" t="n">
        <v>2032</v>
      </c>
    </row>
    <row r="6810" customFormat="false" ht="17.15" hidden="false" customHeight="false" outlineLevel="0" collapsed="false">
      <c r="A6810" s="1" t="s">
        <v>660</v>
      </c>
    </row>
    <row r="6811" customFormat="false" ht="17.15" hidden="false" customHeight="false" outlineLevel="0" collapsed="false">
      <c r="A6811" s="0" t="s">
        <v>516</v>
      </c>
      <c r="B6811" s="0" t="s">
        <v>86</v>
      </c>
      <c r="C6811" s="38" t="n">
        <f aca="false">Q!$D$10</f>
        <v>247.029</v>
      </c>
      <c r="D6811" s="38" t="n">
        <f aca="false">Q!$E$10</f>
        <v>269.287</v>
      </c>
      <c r="E6811" s="38" t="n">
        <f aca="false">Q!$P$10</f>
        <v>134.686</v>
      </c>
      <c r="F6811" s="38" t="n">
        <f aca="false">Sens!$O$6811*(1+Sens!$F$6812)*Sens!$F$6823</f>
        <v>158.293876822267</v>
      </c>
      <c r="G6811" s="38" t="n">
        <f aca="false">Sens!$E$6811+Sens!$F$6811</f>
        <v>292.979876822267</v>
      </c>
      <c r="H6811" s="38" t="n">
        <f aca="false">Sens!$G$6811*(1+Sens!$H$6812)</f>
        <v>318.184543087396</v>
      </c>
      <c r="I6811" s="38" t="n">
        <f aca="false">Sens!$H$6811*(1+Sens!$I$6812)</f>
        <v>341.736278761793</v>
      </c>
      <c r="J6811" s="38" t="n">
        <f aca="false">Sens!$I$6811*(1+Sens!$J$6812)</f>
        <v>362.927192787048</v>
      </c>
      <c r="K6811" s="38" t="n">
        <f aca="false">Sens!$J$6811*(1+Sens!$K$6812)</f>
        <v>381.0735524264</v>
      </c>
      <c r="L6811" s="38" t="n">
        <f aca="false">Sens!$K$6811*(1+Sens!$L$6812)</f>
        <v>400.12723004772</v>
      </c>
      <c r="M6811" s="38" t="n">
        <f aca="false">Sens!$L$6811*(1+Sens!$M$6812)</f>
        <v>420.133591550106</v>
      </c>
      <c r="N6811" s="38" t="n">
        <f aca="false">Q!$N$10</f>
        <v>118.892</v>
      </c>
      <c r="O6811" s="38" t="n">
        <f aca="false">Q!$O$10</f>
        <v>150.395</v>
      </c>
      <c r="P6811" s="8" t="s">
        <v>661</v>
      </c>
    </row>
    <row r="6812" customFormat="false" ht="17.15" hidden="false" customHeight="false" outlineLevel="0" collapsed="false">
      <c r="A6812" s="0" t="s">
        <v>662</v>
      </c>
      <c r="B6812" s="0" t="s">
        <v>52</v>
      </c>
      <c r="E6812" s="13" t="n">
        <f aca="false">Sens!$E$6811/Sens!$N$6811-1</f>
        <v>0.132843252699929</v>
      </c>
      <c r="F6812" s="13" t="n">
        <f aca="false">Sens!$O$6811/(Q!$F$10+Q!$G$10)-1</f>
        <v>0.0980382135842941</v>
      </c>
      <c r="G6812" s="13" t="n">
        <f aca="false">Sens!$G$6811/Sens!$D$6811-1</f>
        <v>0.0879837378791657</v>
      </c>
      <c r="H6812" s="13" t="n">
        <f aca="false">Sens!$F$6812+(g_os-Sens!$F$6812)*1/4</f>
        <v>0.0860286601882206</v>
      </c>
      <c r="I6812" s="13" t="n">
        <f aca="false">Sens!$F$6812+(g_os-Sens!$F$6812)*2/4</f>
        <v>0.074019106792147</v>
      </c>
      <c r="J6812" s="13" t="n">
        <f aca="false">Sens!$F$6812+(g_os-Sens!$F$6812)*3/4</f>
        <v>0.0620095533960735</v>
      </c>
      <c r="K6812" s="13" t="n">
        <f aca="false">Sens!$F$6812+(g_os-Sens!$F$6812)*4/4</f>
        <v>0.05</v>
      </c>
      <c r="L6812" s="13" t="n">
        <f aca="false">g_os</f>
        <v>0.05</v>
      </c>
      <c r="M6812" s="13" t="n">
        <f aca="false">g_os</f>
        <v>0.05</v>
      </c>
      <c r="P6812" s="8" t="s">
        <v>663</v>
      </c>
    </row>
    <row r="6813" customFormat="false" ht="17.15" hidden="false" customHeight="false" outlineLevel="0" collapsed="false">
      <c r="A6813" s="0" t="s">
        <v>517</v>
      </c>
      <c r="B6813" s="0" t="s">
        <v>86</v>
      </c>
      <c r="C6813" s="38" t="n">
        <f aca="false">Q!$D$11</f>
        <v>21.215</v>
      </c>
      <c r="D6813" s="38" t="n">
        <f aca="false">Q!$E$11</f>
        <v>22.561</v>
      </c>
      <c r="E6813" s="38" t="n">
        <f aca="false">Q!$P$11</f>
        <v>11.579</v>
      </c>
      <c r="F6813" s="38" t="n">
        <f aca="false">Sens!$O$6813*(1+Sens!$F$6814)*Sens!$F$6823</f>
        <v>11.5938724610325</v>
      </c>
      <c r="G6813" s="38" t="n">
        <f aca="false">Sens!$E$6813+Sens!$F$6813</f>
        <v>23.1728724610325</v>
      </c>
      <c r="H6813" s="38" t="n">
        <f aca="false">Sens!$G$6813*(1+Sens!$H$6814)</f>
        <v>24.353392759506</v>
      </c>
      <c r="I6813" s="38" t="n">
        <f aca="false">Sens!$H$6813*(1+Sens!$I$6814)</f>
        <v>25.4240338872015</v>
      </c>
      <c r="J6813" s="38" t="n">
        <f aca="false">Sens!$I$6813*(1+Sens!$J$6814)</f>
        <v>26.3642491017174</v>
      </c>
      <c r="K6813" s="38" t="n">
        <f aca="false">Sens!$J$6813*(1+Sens!$K$6814)</f>
        <v>27.155176574769</v>
      </c>
      <c r="L6813" s="38" t="n">
        <f aca="false">Sens!$K$6813*(1+Sens!$L$6814)</f>
        <v>27.969831872012</v>
      </c>
      <c r="M6813" s="38" t="n">
        <f aca="false">Sens!$L$6813*(1+Sens!$M$6814)</f>
        <v>28.8089268281724</v>
      </c>
      <c r="N6813" s="38" t="n">
        <f aca="false">Q!$N$11</f>
        <v>11.128</v>
      </c>
      <c r="O6813" s="38" t="n">
        <f aca="false">Q!$O$11</f>
        <v>11.433</v>
      </c>
      <c r="P6813" s="8" t="s">
        <v>661</v>
      </c>
    </row>
    <row r="6814" customFormat="false" ht="17.15" hidden="false" customHeight="false" outlineLevel="0" collapsed="false">
      <c r="A6814" s="0" t="s">
        <v>664</v>
      </c>
      <c r="B6814" s="0" t="s">
        <v>52</v>
      </c>
      <c r="E6814" s="13" t="n">
        <f aca="false">Sens!$E$6813/Sens!$N$6813-1</f>
        <v>0.0405283968368082</v>
      </c>
      <c r="F6814" s="13" t="n">
        <f aca="false">Sens!$O$6813/(Q!$F$11+Q!$G$11)-1</f>
        <v>0.0579254187100955</v>
      </c>
      <c r="G6814" s="13" t="n">
        <f aca="false">Sens!$G$6813/Sens!$D$6813-1</f>
        <v>0.0271208040881397</v>
      </c>
      <c r="H6814" s="13" t="n">
        <f aca="false">Sens!$F$6814+(g_ps-Sens!$F$6814)*1/4</f>
        <v>0.0509440640325716</v>
      </c>
      <c r="I6814" s="13" t="n">
        <f aca="false">Sens!$F$6814+(g_ps-Sens!$F$6814)*2/4</f>
        <v>0.0439627093550477</v>
      </c>
      <c r="J6814" s="13" t="n">
        <f aca="false">Sens!$F$6814+(g_ps-Sens!$F$6814)*3/4</f>
        <v>0.0369813546775239</v>
      </c>
      <c r="K6814" s="13" t="n">
        <f aca="false">Sens!$F$6814+(g_ps-Sens!$F$6814)*4/4</f>
        <v>0.03</v>
      </c>
      <c r="L6814" s="13" t="n">
        <f aca="false">g_ps</f>
        <v>0.03</v>
      </c>
      <c r="M6814" s="13" t="n">
        <f aca="false">g_ps</f>
        <v>0.03</v>
      </c>
      <c r="P6814" s="8" t="s">
        <v>665</v>
      </c>
    </row>
    <row r="6815" customFormat="false" ht="17.15" hidden="false" customHeight="false" outlineLevel="0" collapsed="false">
      <c r="A6815" s="0" t="s">
        <v>518</v>
      </c>
      <c r="B6815" s="0" t="s">
        <v>86</v>
      </c>
      <c r="C6815" s="38" t="n">
        <f aca="false">Q!$D$12</f>
        <v>156.146</v>
      </c>
      <c r="D6815" s="38" t="n">
        <f aca="false">Q!$E$12</f>
        <v>172.162</v>
      </c>
      <c r="E6815" s="38" t="n">
        <f aca="false">Q!$P$12</f>
        <v>88.358</v>
      </c>
      <c r="F6815" s="38" t="n">
        <f aca="false">Sens!$O$6815*(1+Sens!$F$6816)*Sens!$F$6823</f>
        <v>102.004388260171</v>
      </c>
      <c r="G6815" s="38" t="n">
        <f aca="false">Sens!$E$6815+Sens!$F$6815</f>
        <v>190.362388260171</v>
      </c>
      <c r="H6815" s="38" t="n">
        <f aca="false">Sens!$G$6815*(1+Sens!$H$6816)</f>
        <v>210.343106588311</v>
      </c>
      <c r="I6815" s="38" t="n">
        <f aca="false">Sens!$H$6815*(1+Sens!$I$6816)</f>
        <v>229.969728494648</v>
      </c>
      <c r="J6815" s="38" t="n">
        <f aca="false">Sens!$I$6815*(1+Sens!$J$6816)</f>
        <v>248.747636972598</v>
      </c>
      <c r="K6815" s="38" t="n">
        <f aca="false">Sens!$J$6815*(1+Sens!$K$6816)</f>
        <v>266.15997156068</v>
      </c>
      <c r="L6815" s="38" t="n">
        <f aca="false">Sens!$K$6815*(1+Sens!$L$6816)</f>
        <v>284.791169569927</v>
      </c>
      <c r="M6815" s="38" t="n">
        <f aca="false">Sens!$L$6815*(1+Sens!$M$6816)</f>
        <v>304.726551439822</v>
      </c>
      <c r="N6815" s="38" t="n">
        <f aca="false">Q!$N$12</f>
        <v>76.86</v>
      </c>
      <c r="O6815" s="38" t="n">
        <f aca="false">Q!$O$12</f>
        <v>95.302</v>
      </c>
      <c r="P6815" s="8" t="s">
        <v>661</v>
      </c>
    </row>
    <row r="6816" customFormat="false" ht="17.15" hidden="false" customHeight="false" outlineLevel="0" collapsed="false">
      <c r="A6816" s="0" t="s">
        <v>666</v>
      </c>
      <c r="B6816" s="0" t="s">
        <v>52</v>
      </c>
      <c r="E6816" s="13" t="n">
        <f aca="false">Sens!$E$6815/Sens!$N$6815-1</f>
        <v>0.1495966692688</v>
      </c>
      <c r="F6816" s="13" t="n">
        <f aca="false">Sens!$O$6815/(Q!$F$12+Q!$G$12)-1</f>
        <v>0.11661530890813</v>
      </c>
      <c r="G6816" s="13" t="n">
        <f aca="false">Sens!$G$6815/Sens!$D$6815-1</f>
        <v>0.105716640490767</v>
      </c>
      <c r="H6816" s="13" t="n">
        <f aca="false">Sens!$F$6816+(g_sp-Sens!$F$6816)*1/4</f>
        <v>0.104961481681098</v>
      </c>
      <c r="I6816" s="13" t="n">
        <f aca="false">Sens!$F$6816+(g_sp-Sens!$F$6816)*2/4</f>
        <v>0.0933076544540651</v>
      </c>
      <c r="J6816" s="13" t="n">
        <f aca="false">Sens!$F$6816+(g_sp-Sens!$F$6816)*3/4</f>
        <v>0.0816538272270325</v>
      </c>
      <c r="K6816" s="13" t="n">
        <f aca="false">Sens!$F$6816+(g_sp-Sens!$F$6816)*4/4</f>
        <v>0.07</v>
      </c>
      <c r="L6816" s="13" t="n">
        <f aca="false">g_sp</f>
        <v>0.07</v>
      </c>
      <c r="M6816" s="13" t="n">
        <f aca="false">g_sp</f>
        <v>0.07</v>
      </c>
      <c r="P6816" s="8" t="s">
        <v>667</v>
      </c>
    </row>
    <row r="6817" customFormat="false" ht="17.15" hidden="false" customHeight="false" outlineLevel="0" collapsed="false">
      <c r="A6817" s="0" t="s">
        <v>519</v>
      </c>
      <c r="B6817" s="0" t="s">
        <v>86</v>
      </c>
      <c r="C6817" s="38" t="n">
        <f aca="false">Q!$D$13</f>
        <v>56.214</v>
      </c>
      <c r="D6817" s="38" t="n">
        <f aca="false">Q!$E$13</f>
        <v>68.635</v>
      </c>
      <c r="E6817" s="38" t="n">
        <f aca="false">Q!$P$13</f>
        <v>37.052</v>
      </c>
      <c r="F6817" s="38" t="n">
        <f aca="false">Sens!$O$6817*(1+Sens!$F$6818)*Sens!$F$6823</f>
        <v>46.1572219944148</v>
      </c>
      <c r="G6817" s="38" t="n">
        <f aca="false">Sens!$E$6817+Sens!$F$6817</f>
        <v>83.2092219944148</v>
      </c>
      <c r="H6817" s="38" t="n">
        <f aca="false">Sens!$G$6817*(1+Sens!$H$6818)</f>
        <v>99.8969223878976</v>
      </c>
      <c r="I6817" s="38" t="n">
        <f aca="false">Sens!$H$6817*(1+Sens!$I$6818)</f>
        <v>116.583111095496</v>
      </c>
      <c r="J6817" s="38" t="n">
        <f aca="false">Sens!$I$6817*(1+Sens!$J$6818)</f>
        <v>132.148941941952</v>
      </c>
      <c r="K6817" s="38" t="n">
        <f aca="false">Sens!$J$6817*(1+Sens!$K$6818)</f>
        <v>145.363836136147</v>
      </c>
      <c r="L6817" s="38" t="n">
        <f aca="false">Sens!$K$6817*(1+Sens!$L$6818)</f>
        <v>159.900219749762</v>
      </c>
      <c r="M6817" s="38" t="n">
        <f aca="false">Sens!$L$6817*(1+Sens!$M$6818)</f>
        <v>175.890241724738</v>
      </c>
      <c r="N6817" s="38" t="n">
        <f aca="false">Q!$N$13</f>
        <v>29.615</v>
      </c>
      <c r="O6817" s="38" t="n">
        <f aca="false">Q!$O$13</f>
        <v>39.02</v>
      </c>
      <c r="P6817" s="8" t="s">
        <v>661</v>
      </c>
    </row>
    <row r="6818" customFormat="false" ht="17.15" hidden="false" customHeight="false" outlineLevel="0" collapsed="false">
      <c r="A6818" s="0" t="s">
        <v>668</v>
      </c>
      <c r="B6818" s="0" t="s">
        <v>52</v>
      </c>
      <c r="E6818" s="13" t="n">
        <f aca="false">Sens!$E$6817/Sens!$N$6817-1</f>
        <v>0.25112274185379</v>
      </c>
      <c r="F6818" s="13" t="n">
        <f aca="false">Sens!$O$6817/(Q!$F$13+Q!$G$13)-1</f>
        <v>0.234068123596572</v>
      </c>
      <c r="G6818" s="13" t="n">
        <f aca="false">Sens!$G$6817/Sens!$D$6817-1</f>
        <v>0.212343876949294</v>
      </c>
      <c r="H6818" s="13" t="n">
        <f aca="false">Sens!$F$6818+(g_ad-Sens!$F$6818)*1/4</f>
        <v>0.200551092697429</v>
      </c>
      <c r="I6818" s="13" t="n">
        <f aca="false">Sens!$F$6818+(g_ad-Sens!$F$6818)*2/4</f>
        <v>0.167034061798286</v>
      </c>
      <c r="J6818" s="13" t="n">
        <f aca="false">Sens!$F$6818+(g_ad-Sens!$F$6818)*3/4</f>
        <v>0.133517030899143</v>
      </c>
      <c r="K6818" s="13" t="n">
        <f aca="false">Sens!$F$6818+(g_ad-Sens!$F$6818)*4/4</f>
        <v>0.1</v>
      </c>
      <c r="L6818" s="13" t="n">
        <f aca="false">g_ad</f>
        <v>0.1</v>
      </c>
      <c r="M6818" s="13" t="n">
        <f aca="false">g_ad</f>
        <v>0.1</v>
      </c>
      <c r="P6818" s="8" t="s">
        <v>669</v>
      </c>
    </row>
    <row r="6819" customFormat="false" ht="17.15" hidden="false" customHeight="false" outlineLevel="0" collapsed="false">
      <c r="A6819" s="0" t="s">
        <v>520</v>
      </c>
      <c r="B6819" s="0" t="s">
        <v>86</v>
      </c>
      <c r="C6819" s="38" t="n">
        <f aca="false">Q!$D$14</f>
        <v>44.374</v>
      </c>
      <c r="D6819" s="38" t="n">
        <f aca="false">Q!$E$14</f>
        <v>49.619</v>
      </c>
      <c r="E6819" s="38" t="n">
        <f aca="false">Q!$P$14</f>
        <v>27.157</v>
      </c>
      <c r="F6819" s="38" t="n">
        <f aca="false">Sens!$O$6819*(1+Sens!$F$6820)*Sens!$F$6823</f>
        <v>27.7764165988154</v>
      </c>
      <c r="G6819" s="38" t="n">
        <f aca="false">Sens!$E$6819+Sens!$F$6819</f>
        <v>54.9334165988154</v>
      </c>
      <c r="H6819" s="38" t="n">
        <f aca="false">Sens!$G$6819*(1+Sens!$H$6820)</f>
        <v>61.1564112561829</v>
      </c>
      <c r="I6819" s="38" t="n">
        <f aca="false">Sens!$H$6819*(1+Sens!$I$6820)</f>
        <v>67.2020282103945</v>
      </c>
      <c r="J6819" s="38" t="n">
        <f aca="false">Sens!$I$6819*(1+Sens!$J$6820)</f>
        <v>72.8757274028885</v>
      </c>
      <c r="K6819" s="38" t="n">
        <f aca="false">Sens!$J$6819*(1+Sens!$K$6820)</f>
        <v>77.9770283210907</v>
      </c>
      <c r="L6819" s="38" t="n">
        <f aca="false">Sens!$K$6819*(1+Sens!$L$6820)</f>
        <v>83.4354203035671</v>
      </c>
      <c r="M6819" s="38" t="n">
        <f aca="false">Sens!$L$6819*(1+Sens!$M$6820)</f>
        <v>89.2758997248168</v>
      </c>
      <c r="N6819" s="38" t="n">
        <f aca="false">Q!$N$14</f>
        <v>23.923</v>
      </c>
      <c r="O6819" s="38" t="n">
        <f aca="false">Q!$O$14</f>
        <v>25.696</v>
      </c>
      <c r="P6819" s="8" t="s">
        <v>661</v>
      </c>
    </row>
    <row r="6820" customFormat="false" ht="17.15" hidden="false" customHeight="false" outlineLevel="0" collapsed="false">
      <c r="A6820" s="0" t="s">
        <v>670</v>
      </c>
      <c r="B6820" s="0" t="s">
        <v>52</v>
      </c>
      <c r="E6820" s="13" t="n">
        <f aca="false">Sens!$E$6819/Sens!$N$6819-1</f>
        <v>0.135183714417088</v>
      </c>
      <c r="F6820" s="13" t="n">
        <f aca="false">Sens!$O$6819/(Q!$F$14+Q!$G$14)-1</f>
        <v>0.127709997366804</v>
      </c>
      <c r="G6820" s="13" t="n">
        <f aca="false">Sens!$G$6819/Sens!$D$6819-1</f>
        <v>0.107104468022641</v>
      </c>
      <c r="H6820" s="13" t="n">
        <f aca="false">Sens!$F$6820+(g_sub-Sens!$F$6820)*1/4</f>
        <v>0.113282498025103</v>
      </c>
      <c r="I6820" s="13" t="n">
        <f aca="false">Sens!$F$6820+(g_sub-Sens!$F$6820)*2/4</f>
        <v>0.0988549986834021</v>
      </c>
      <c r="J6820" s="13" t="n">
        <f aca="false">Sens!$F$6820+(g_sub-Sens!$F$6820)*3/4</f>
        <v>0.084427499341701</v>
      </c>
      <c r="K6820" s="13" t="n">
        <f aca="false">Sens!$F$6820+(g_sub-Sens!$F$6820)*4/4</f>
        <v>0.07</v>
      </c>
      <c r="L6820" s="13" t="n">
        <f aca="false">g_sub</f>
        <v>0.07</v>
      </c>
      <c r="M6820" s="13" t="n">
        <f aca="false">g_sub</f>
        <v>0.07</v>
      </c>
      <c r="P6820" s="8" t="s">
        <v>671</v>
      </c>
    </row>
    <row r="6821" customFormat="false" ht="17.15" hidden="false" customHeight="false" outlineLevel="0" collapsed="false">
      <c r="A6821" s="0" t="s">
        <v>521</v>
      </c>
      <c r="B6821" s="0" t="s">
        <v>86</v>
      </c>
      <c r="C6821" s="38" t="n">
        <f aca="false">Q!$D$15</f>
        <v>5.425</v>
      </c>
      <c r="D6821" s="38" t="n">
        <f aca="false">Q!$E$15</f>
        <v>5.935</v>
      </c>
      <c r="E6821" s="38" t="n">
        <f aca="false">Q!$P$15</f>
        <v>3.474</v>
      </c>
      <c r="F6821" s="38" t="n">
        <f aca="false">Sens!$O$6821*(1+Sens!$F$6822)*Sens!$F$6823</f>
        <v>3.22246550883619</v>
      </c>
      <c r="G6821" s="38" t="n">
        <f aca="false">Sens!$E$6821+Sens!$F$6821</f>
        <v>6.69646550883619</v>
      </c>
      <c r="H6821" s="38" t="n">
        <f aca="false">Sens!$G$6821*(1+Sens!$H$6822)</f>
        <v>7.16251344209196</v>
      </c>
      <c r="I6821" s="38" t="n">
        <f aca="false">Sens!$H$6821*(1+Sens!$I$6822)</f>
        <v>7.61421070299826</v>
      </c>
      <c r="J6821" s="38" t="n">
        <f aca="false">Sens!$I$6821*(1+Sens!$J$6822)</f>
        <v>8.04465753523932</v>
      </c>
      <c r="K6821" s="38" t="n">
        <f aca="false">Sens!$J$6821*(1+Sens!$K$6822)</f>
        <v>8.44689041200128</v>
      </c>
      <c r="L6821" s="38" t="n">
        <f aca="false">Sens!$K$6821*(1+Sens!$L$6822)</f>
        <v>8.86923493260135</v>
      </c>
      <c r="M6821" s="38" t="n">
        <f aca="false">Sens!$L$6821*(1+Sens!$M$6822)</f>
        <v>9.31269667923142</v>
      </c>
      <c r="N6821" s="38" t="n">
        <f aca="false">Q!$N$15</f>
        <v>2.811</v>
      </c>
      <c r="O6821" s="38" t="n">
        <f aca="false">Q!$O$15</f>
        <v>3.124</v>
      </c>
      <c r="P6821" s="8" t="s">
        <v>661</v>
      </c>
    </row>
    <row r="6822" customFormat="false" ht="17.15" hidden="false" customHeight="false" outlineLevel="0" collapsed="false">
      <c r="A6822" s="0" t="s">
        <v>672</v>
      </c>
      <c r="B6822" s="0" t="s">
        <v>52</v>
      </c>
      <c r="E6822" s="13" t="n">
        <f aca="false">Sens!$E$6821/Sens!$N$6821-1</f>
        <v>0.235859124866596</v>
      </c>
      <c r="F6822" s="13" t="n">
        <f aca="false">Sens!$O$6821/(Q!$F$15+Q!$G$15)-1</f>
        <v>0.0761281433000345</v>
      </c>
      <c r="G6822" s="13" t="n">
        <f aca="false">Sens!$G$6821/Sens!$D$6821-1</f>
        <v>0.128300843948811</v>
      </c>
      <c r="H6822" s="13" t="n">
        <f aca="false">Sens!$F$6822+(g_ot-Sens!$F$6822)*1/4</f>
        <v>0.0695961074750259</v>
      </c>
      <c r="I6822" s="13" t="n">
        <f aca="false">Sens!$F$6822+(g_ot-Sens!$F$6822)*2/4</f>
        <v>0.0630640716500172</v>
      </c>
      <c r="J6822" s="13" t="n">
        <f aca="false">Sens!$F$6822+(g_ot-Sens!$F$6822)*3/4</f>
        <v>0.0565320358250086</v>
      </c>
      <c r="K6822" s="13" t="n">
        <f aca="false">Sens!$F$6822+(g_ot-Sens!$F$6822)*4/4</f>
        <v>0.05</v>
      </c>
      <c r="L6822" s="13" t="n">
        <f aca="false">g_ot</f>
        <v>0.05</v>
      </c>
      <c r="M6822" s="13" t="n">
        <f aca="false">g_ot</f>
        <v>0.05</v>
      </c>
      <c r="P6822" s="8" t="s">
        <v>673</v>
      </c>
    </row>
    <row r="6823" customFormat="false" ht="17.15" hidden="false" customHeight="false" outlineLevel="0" collapsed="false">
      <c r="A6823" s="0" t="s">
        <v>674</v>
      </c>
      <c r="B6823" s="0" t="s">
        <v>57</v>
      </c>
      <c r="F6823" s="40" t="n">
        <f aca="false">(g26q3_mid*Q!$O$8/Q!$J$8-Sens!$F$6852-Sens!$F$6856)/(Sens!$O$6811*(1+Sens!$F$6812)+Sens!$O$6813*(1+Sens!$F$6814)+Sens!$O$6815*(1+Sens!$F$6816)+Sens!$O$6817*(1+Sens!$F$6818)+Sens!$O$6819*(1+Sens!$F$6820)+Sens!$O$6821*(1+Sens!$F$6822))</f>
        <v>0.958546670622329</v>
      </c>
      <c r="P6823" s="8" t="s">
        <v>675</v>
      </c>
    </row>
    <row r="6824" customFormat="false" ht="17.15" hidden="false" customHeight="false" outlineLevel="0" collapsed="false">
      <c r="A6824" s="3" t="s">
        <v>676</v>
      </c>
      <c r="B6824" s="8" t="s">
        <v>86</v>
      </c>
      <c r="C6824" s="38" t="n">
        <f aca="false">Sens!$C$6811+Sens!$C$6813+Sens!$C$6815+Sens!$C$6817+Sens!$C$6819+Sens!$C$6821</f>
        <v>530.403</v>
      </c>
      <c r="D6824" s="38" t="n">
        <f aca="false">Sens!$D$6811+Sens!$D$6813+Sens!$D$6815+Sens!$D$6817+Sens!$D$6819+Sens!$D$6821</f>
        <v>588.199</v>
      </c>
      <c r="E6824" s="38" t="n">
        <f aca="false">Sens!$E$6811+Sens!$E$6813+Sens!$E$6815+Sens!$E$6817+Sens!$E$6819+Sens!$E$6821</f>
        <v>302.306</v>
      </c>
      <c r="F6824" s="38" t="n">
        <f aca="false">Sens!$F$6811+Sens!$F$6813+Sens!$F$6815+Sens!$F$6817+Sens!$F$6819+Sens!$F$6821</f>
        <v>349.048241645537</v>
      </c>
      <c r="G6824" s="38" t="n">
        <f aca="false">Sens!$G$6811+Sens!$G$6813+Sens!$G$6815+Sens!$G$6817+Sens!$G$6819+Sens!$G$6821</f>
        <v>651.354241645537</v>
      </c>
      <c r="H6824" s="38" t="n">
        <f aca="false">Sens!$H$6811+Sens!$H$6813+Sens!$H$6815+Sens!$H$6817+Sens!$H$6819+Sens!$H$6821</f>
        <v>721.096889521386</v>
      </c>
      <c r="I6824" s="38" t="n">
        <f aca="false">Sens!$I$6811+Sens!$I$6813+Sens!$I$6815+Sens!$I$6817+Sens!$I$6819+Sens!$I$6821</f>
        <v>788.529391152531</v>
      </c>
      <c r="J6824" s="38" t="n">
        <f aca="false">Sens!$J$6811+Sens!$J$6813+Sens!$J$6815+Sens!$J$6817+Sens!$J$6819+Sens!$J$6821</f>
        <v>851.108405741443</v>
      </c>
      <c r="K6824" s="38" t="n">
        <f aca="false">Sens!$K$6811+Sens!$K$6813+Sens!$K$6815+Sens!$K$6817+Sens!$K$6819+Sens!$K$6821</f>
        <v>906.176455431088</v>
      </c>
      <c r="L6824" s="38" t="n">
        <f aca="false">Sens!$L$6811+Sens!$L$6813+Sens!$L$6815+Sens!$L$6817+Sens!$L$6819+Sens!$L$6821</f>
        <v>965.093106475589</v>
      </c>
      <c r="M6824" s="38" t="n">
        <f aca="false">Sens!$M$6811+Sens!$M$6813+Sens!$M$6815+Sens!$M$6817+Sens!$M$6819+Sens!$M$6821</f>
        <v>1028.14790794689</v>
      </c>
      <c r="N6824" s="38" t="n">
        <f aca="false">Sens!$N$6811+Sens!$N$6813+Sens!$N$6815+Sens!$N$6817+Sens!$N$6819+Sens!$N$6821</f>
        <v>263.229</v>
      </c>
      <c r="O6824" s="38" t="n">
        <f aca="false">Sens!$O$6811+Sens!$O$6813+Sens!$O$6815+Sens!$O$6817+Sens!$O$6819+Sens!$O$6821</f>
        <v>324.97</v>
      </c>
    </row>
    <row r="6825" customFormat="false" ht="17.15" hidden="false" customHeight="false" outlineLevel="0" collapsed="false">
      <c r="A6825" s="5" t="s">
        <v>677</v>
      </c>
      <c r="B6825" s="0" t="s">
        <v>52</v>
      </c>
      <c r="C6825" s="13" t="n">
        <f aca="false">Q!$D$5/(Q!$D$5+Q!$D$6)</f>
        <v>0.730570905519011</v>
      </c>
      <c r="D6825" s="13" t="n">
        <f aca="false">Q!$E$5/(Q!$E$5+Q!$E$6)</f>
        <v>0.724763217890544</v>
      </c>
      <c r="E6825" s="13" t="n">
        <f aca="false">Q!$P$5/(Q!$P$5+Q!$P$6)</f>
        <v>0.728797972914861</v>
      </c>
      <c r="F6825" s="13" t="n">
        <f aca="false">Sens!$O$6825</f>
        <v>0.718066283041511</v>
      </c>
      <c r="G6825" s="13" t="n">
        <f aca="false">Sens!$G$6826/Sens!$G$6824</f>
        <v>0.723047066202847</v>
      </c>
      <c r="H6825" s="13" t="n">
        <f aca="false">Sens!$G$6825</f>
        <v>0.723047066202847</v>
      </c>
      <c r="I6825" s="13" t="n">
        <f aca="false">Sens!$G$6825</f>
        <v>0.723047066202847</v>
      </c>
      <c r="J6825" s="13" t="n">
        <f aca="false">Sens!$G$6825</f>
        <v>0.723047066202847</v>
      </c>
      <c r="K6825" s="13" t="n">
        <f aca="false">Sens!$G$6825</f>
        <v>0.723047066202847</v>
      </c>
      <c r="L6825" s="13" t="n">
        <f aca="false">Sens!$G$6825</f>
        <v>0.723047066202847</v>
      </c>
      <c r="M6825" s="13" t="n">
        <f aca="false">Sens!$G$6825</f>
        <v>0.723047066202847</v>
      </c>
      <c r="N6825" s="13" t="n">
        <f aca="false">Q!$N$5/(Q!$N$5+Q!$N$6)</f>
        <v>0.733030935041352</v>
      </c>
      <c r="O6825" s="13" t="n">
        <f aca="false">Q!$O$5/(Q!$O$5+Q!$O$6)</f>
        <v>0.718066283041511</v>
      </c>
      <c r="P6825" s="8" t="s">
        <v>678</v>
      </c>
    </row>
    <row r="6826" customFormat="false" ht="17.15" hidden="false" customHeight="false" outlineLevel="0" collapsed="false">
      <c r="A6826" s="1" t="s">
        <v>509</v>
      </c>
      <c r="B6826" s="8" t="s">
        <v>86</v>
      </c>
      <c r="C6826" s="38" t="n">
        <f aca="false">Q!$D$5</f>
        <v>387.497</v>
      </c>
      <c r="D6826" s="38" t="n">
        <f aca="false">Q!$E$5</f>
        <v>426.305</v>
      </c>
      <c r="E6826" s="38" t="n">
        <f aca="false">Q!$P$5</f>
        <v>220.32</v>
      </c>
      <c r="F6826" s="38" t="n">
        <f aca="false">Sens!$F$6824*Sens!$F$6825</f>
        <v>250.639773480586</v>
      </c>
      <c r="G6826" s="38" t="n">
        <f aca="false">Sens!$E$6826+Sens!$F$6826</f>
        <v>470.959773480586</v>
      </c>
      <c r="H6826" s="38" t="n">
        <f aca="false">Sens!$H$6824*Sens!$H$6825</f>
        <v>521.386990416437</v>
      </c>
      <c r="I6826" s="38" t="n">
        <f aca="false">Sens!$I$6824*Sens!$I$6825</f>
        <v>570.143862887555</v>
      </c>
      <c r="J6826" s="38" t="n">
        <f aca="false">Sens!$J$6824*Sens!$J$6825</f>
        <v>615.391435791933</v>
      </c>
      <c r="K6826" s="38" t="n">
        <f aca="false">Sens!$K$6824*Sens!$K$6825</f>
        <v>655.208227561543</v>
      </c>
      <c r="L6826" s="38" t="n">
        <f aca="false">Sens!$L$6824*Sens!$L$6825</f>
        <v>697.807739249767</v>
      </c>
      <c r="M6826" s="38" t="n">
        <f aca="false">Sens!$M$6824*Sens!$M$6825</f>
        <v>743.399328463592</v>
      </c>
      <c r="N6826" s="38" t="n">
        <f aca="false">Q!$N$5</f>
        <v>192.955</v>
      </c>
      <c r="O6826" s="38" t="n">
        <f aca="false">Q!$O$5</f>
        <v>233.35</v>
      </c>
      <c r="P6826" s="5" t="s">
        <v>679</v>
      </c>
    </row>
    <row r="6827" customFormat="false" ht="17.15" hidden="false" customHeight="false" outlineLevel="0" collapsed="false">
      <c r="A6827" s="1" t="s">
        <v>512</v>
      </c>
      <c r="B6827" s="8" t="s">
        <v>86</v>
      </c>
      <c r="C6827" s="38" t="n">
        <f aca="false">Q!$D$6</f>
        <v>142.906</v>
      </c>
      <c r="D6827" s="38" t="n">
        <f aca="false">Q!$E$6</f>
        <v>161.894</v>
      </c>
      <c r="E6827" s="38" t="n">
        <f aca="false">Q!$P$6</f>
        <v>81.986</v>
      </c>
      <c r="F6827" s="38" t="n">
        <f aca="false">Sens!$F$6824*(1-Sens!$F$6825)</f>
        <v>98.408468164951</v>
      </c>
      <c r="G6827" s="38" t="n">
        <f aca="false">Sens!$E$6827+Sens!$F$6827</f>
        <v>180.394468164951</v>
      </c>
      <c r="H6827" s="38" t="n">
        <f aca="false">Sens!$H$6824*(1-Sens!$H$6825)</f>
        <v>199.709899104949</v>
      </c>
      <c r="I6827" s="38" t="n">
        <f aca="false">Sens!$I$6824*(1-Sens!$I$6825)</f>
        <v>218.385528264976</v>
      </c>
      <c r="J6827" s="38" t="n">
        <f aca="false">Sens!$J$6824*(1-Sens!$J$6825)</f>
        <v>235.71696994951</v>
      </c>
      <c r="K6827" s="38" t="n">
        <f aca="false">Sens!$K$6824*(1-Sens!$K$6825)</f>
        <v>250.968227869545</v>
      </c>
      <c r="L6827" s="38" t="n">
        <f aca="false">Sens!$L$6824*(1-Sens!$L$6825)</f>
        <v>267.285367225822</v>
      </c>
      <c r="M6827" s="38" t="n">
        <f aca="false">Sens!$M$6824*(1-Sens!$M$6825)</f>
        <v>284.748579483295</v>
      </c>
      <c r="N6827" s="38" t="n">
        <f aca="false">Q!$N$6</f>
        <v>70.274</v>
      </c>
      <c r="O6827" s="38" t="n">
        <f aca="false">Q!$O$6</f>
        <v>91.62</v>
      </c>
      <c r="P6827" s="5" t="s">
        <v>680</v>
      </c>
    </row>
    <row r="6828" customFormat="false" ht="17.15" hidden="false" customHeight="false" outlineLevel="0" collapsed="false">
      <c r="A6828" s="5" t="s">
        <v>681</v>
      </c>
      <c r="B6828" s="0" t="s">
        <v>86</v>
      </c>
      <c r="C6828" s="38" t="n">
        <f aca="false">Sens!$C$6817*Sens!$C$6825</f>
        <v>41.0683128828457</v>
      </c>
      <c r="D6828" s="38" t="n">
        <f aca="false">Sens!$D$6817*Sens!$D$6825</f>
        <v>49.7441234599175</v>
      </c>
      <c r="E6828" s="38" t="n">
        <f aca="false">Sens!$E$6817*Sens!$E$6825</f>
        <v>27.0034224924414</v>
      </c>
      <c r="F6828" s="38" t="n">
        <f aca="false">Sens!$F$6817*Sens!$F$6825</f>
        <v>33.1439448330513</v>
      </c>
      <c r="G6828" s="38" t="n">
        <f aca="false">Sens!$G$6817*Sens!$G$6825</f>
        <v>60.164183844083</v>
      </c>
      <c r="H6828" s="38" t="n">
        <f aca="false">Sens!$H$6817*Sens!$H$6825</f>
        <v>72.2301766552629</v>
      </c>
      <c r="I6828" s="38" t="n">
        <f aca="false">Sens!$I$6817*Sens!$I$6825</f>
        <v>84.2950764463991</v>
      </c>
      <c r="J6828" s="38" t="n">
        <f aca="false">Sens!$J$6817*Sens!$J$6825</f>
        <v>95.5499047729386</v>
      </c>
      <c r="K6828" s="38" t="n">
        <f aca="false">Sens!$K$6817*Sens!$K$6825</f>
        <v>105.104895250232</v>
      </c>
      <c r="L6828" s="38" t="n">
        <f aca="false">Sens!$L$6817*Sens!$L$6825</f>
        <v>115.615384775256</v>
      </c>
      <c r="M6828" s="38" t="n">
        <f aca="false">Sens!$M$6817*Sens!$M$6825</f>
        <v>127.176923252781</v>
      </c>
      <c r="N6828" s="38" t="n">
        <f aca="false">Sens!$N$6817*Sens!$N$6825</f>
        <v>21.7087111412496</v>
      </c>
      <c r="O6828" s="38" t="n">
        <f aca="false">Sens!$O$6817*Sens!$O$6825</f>
        <v>28.0189463642798</v>
      </c>
      <c r="P6828" s="5" t="s">
        <v>682</v>
      </c>
    </row>
    <row r="6829" customFormat="false" ht="15" hidden="false" customHeight="false" outlineLevel="0" collapsed="false">
      <c r="A6829" s="5" t="s">
        <v>683</v>
      </c>
      <c r="B6829" s="0" t="s">
        <v>86</v>
      </c>
      <c r="C6829" s="38" t="n">
        <f aca="false">Sens!$C$6817-Sens!$C$6828</f>
        <v>15.1456871171543</v>
      </c>
      <c r="D6829" s="38" t="n">
        <f aca="false">Sens!$D$6817-Sens!$D$6828</f>
        <v>18.8908765400825</v>
      </c>
      <c r="E6829" s="38" t="n">
        <f aca="false">Sens!$E$6817-Sens!$E$6828</f>
        <v>10.0485775075586</v>
      </c>
      <c r="F6829" s="38" t="n">
        <f aca="false">Sens!$F$6817-Sens!$F$6828</f>
        <v>13.0132771613635</v>
      </c>
      <c r="G6829" s="38" t="n">
        <f aca="false">Sens!$G$6817-Sens!$G$6828</f>
        <v>23.0450381503318</v>
      </c>
      <c r="H6829" s="38" t="n">
        <f aca="false">Sens!$H$6817-Sens!$H$6828</f>
        <v>27.6667457326347</v>
      </c>
      <c r="I6829" s="38" t="n">
        <f aca="false">Sens!$I$6817-Sens!$I$6828</f>
        <v>32.2880346490971</v>
      </c>
      <c r="J6829" s="38" t="n">
        <f aca="false">Sens!$J$6817-Sens!$J$6828</f>
        <v>36.5990371690132</v>
      </c>
      <c r="K6829" s="38" t="n">
        <f aca="false">Sens!$K$6817-Sens!$K$6828</f>
        <v>40.2589408859145</v>
      </c>
      <c r="L6829" s="38" t="n">
        <f aca="false">Sens!$L$6817-Sens!$L$6828</f>
        <v>44.2848349745059</v>
      </c>
      <c r="M6829" s="38" t="n">
        <f aca="false">Sens!$M$6817-Sens!$M$6828</f>
        <v>48.7133184719565</v>
      </c>
      <c r="N6829" s="38" t="n">
        <f aca="false">Sens!$N$6817-Sens!$N$6828</f>
        <v>7.90628885875037</v>
      </c>
      <c r="O6829" s="38" t="n">
        <f aca="false">Sens!$O$6817-Sens!$O$6828</f>
        <v>11.0010536357202</v>
      </c>
    </row>
    <row r="6830" customFormat="false" ht="19.4" hidden="false" customHeight="false" outlineLevel="0" collapsed="false">
      <c r="A6830" s="31" t="s">
        <v>1268</v>
      </c>
    </row>
    <row r="6831" customFormat="false" ht="17.15" hidden="false" customHeight="false" outlineLevel="0" collapsed="false">
      <c r="A6831" s="6" t="s">
        <v>16</v>
      </c>
      <c r="B6831" s="6" t="s">
        <v>17</v>
      </c>
      <c r="C6831" s="20" t="s">
        <v>494</v>
      </c>
      <c r="D6831" s="20" t="s">
        <v>495</v>
      </c>
      <c r="E6831" s="20" t="s">
        <v>577</v>
      </c>
      <c r="F6831" s="20" t="s">
        <v>578</v>
      </c>
      <c r="G6831" s="20" t="s">
        <v>579</v>
      </c>
      <c r="H6831" s="20" t="s">
        <v>580</v>
      </c>
      <c r="I6831" s="20" t="s">
        <v>581</v>
      </c>
      <c r="J6831" s="20" t="s">
        <v>582</v>
      </c>
      <c r="K6831" s="20" t="s">
        <v>583</v>
      </c>
      <c r="L6831" s="20" t="s">
        <v>584</v>
      </c>
      <c r="M6831" s="20" t="s">
        <v>585</v>
      </c>
      <c r="N6831" s="20" t="s">
        <v>586</v>
      </c>
      <c r="O6831" s="20" t="s">
        <v>587</v>
      </c>
      <c r="P6831" s="6" t="s">
        <v>23</v>
      </c>
      <c r="R6831" s="20" t="n">
        <v>2023</v>
      </c>
      <c r="S6831" s="20" t="n">
        <v>2024</v>
      </c>
      <c r="T6831" s="20" t="n">
        <v>2025</v>
      </c>
      <c r="U6831" s="20" t="n">
        <v>2026</v>
      </c>
      <c r="V6831" s="20" t="n">
        <v>2027</v>
      </c>
      <c r="W6831" s="20" t="n">
        <v>2028</v>
      </c>
      <c r="X6831" s="20" t="n">
        <v>2029</v>
      </c>
      <c r="Y6831" s="20" t="n">
        <v>2030</v>
      </c>
      <c r="Z6831" s="20" t="n">
        <v>2031</v>
      </c>
      <c r="AA6831" s="20" t="n">
        <v>2032</v>
      </c>
    </row>
    <row r="6832" customFormat="false" ht="17.15" hidden="false" customHeight="false" outlineLevel="0" collapsed="false">
      <c r="A6832" s="1" t="s">
        <v>588</v>
      </c>
    </row>
    <row r="6833" customFormat="false" ht="17.15" hidden="false" customHeight="false" outlineLevel="0" collapsed="false">
      <c r="A6833" s="5" t="s">
        <v>589</v>
      </c>
      <c r="B6833" s="0" t="s">
        <v>144</v>
      </c>
      <c r="H6833" s="32" t="n">
        <f aca="false">pace_B</f>
        <v>3634.3</v>
      </c>
      <c r="I6833" s="32" t="n">
        <f aca="false">pace_B</f>
        <v>3634.3</v>
      </c>
      <c r="J6833" s="32" t="n">
        <f aca="false">pace_B</f>
        <v>3634.3</v>
      </c>
      <c r="K6833" s="32" t="n">
        <f aca="false">pace_B+(Sens!$J$6834*tg-pace_B)*1/3</f>
        <v>2570.86716666667</v>
      </c>
      <c r="L6833" s="32" t="n">
        <f aca="false">pace_B+(Sens!$J$6834*tg-pace_B)*2/3</f>
        <v>1507.43433333333</v>
      </c>
      <c r="M6833" s="32" t="n">
        <f aca="false">pace_B+(Sens!$J$6834*tg-pace_B)*3/3</f>
        <v>444.0015</v>
      </c>
      <c r="P6833" s="5" t="s">
        <v>590</v>
      </c>
    </row>
    <row r="6834" customFormat="false" ht="17.15" hidden="false" customHeight="false" outlineLevel="0" collapsed="false">
      <c r="A6834" s="15" t="s">
        <v>591</v>
      </c>
      <c r="B6834" s="14" t="s">
        <v>129</v>
      </c>
      <c r="C6834" s="33" t="n">
        <f aca="false">mw_ye24</f>
        <v>360</v>
      </c>
      <c r="D6834" s="33" t="n">
        <f aca="false">mw_ye25</f>
        <v>1440</v>
      </c>
      <c r="E6834" s="33" t="n">
        <f aca="false">mw_open</f>
        <v>2080</v>
      </c>
      <c r="F6834" s="33" t="n">
        <f aca="false">Sens!$E$6834+pace_B*0.5</f>
        <v>3897.15</v>
      </c>
      <c r="G6834" s="33" t="n">
        <f aca="false">Sens!$F$6834</f>
        <v>3897.15</v>
      </c>
      <c r="H6834" s="33" t="n">
        <f aca="false">Sens!$G$6834+Sens!$H$6833</f>
        <v>7531.45</v>
      </c>
      <c r="I6834" s="33" t="n">
        <f aca="false">Sens!$H$6834+Sens!$I$6833</f>
        <v>11165.75</v>
      </c>
      <c r="J6834" s="33" t="n">
        <f aca="false">Sens!$I$6834+Sens!$J$6833</f>
        <v>14800.05</v>
      </c>
      <c r="K6834" s="33" t="n">
        <f aca="false">Sens!$J$6834+Sens!$K$6833</f>
        <v>17370.9171666667</v>
      </c>
      <c r="L6834" s="33" t="n">
        <f aca="false">Sens!$K$6834+Sens!$L$6833</f>
        <v>18878.3515</v>
      </c>
      <c r="M6834" s="33" t="n">
        <f aca="false">Sens!$L$6834+Sens!$M$6833</f>
        <v>19322.353</v>
      </c>
      <c r="N6834" s="33" t="n">
        <f aca="false">(mw_ye24+mw_ye25)/2</f>
        <v>900</v>
      </c>
      <c r="O6834" s="33" t="n">
        <f aca="false">mw_ye25</f>
        <v>1440</v>
      </c>
      <c r="P6834" s="5" t="s">
        <v>592</v>
      </c>
    </row>
    <row r="6835" customFormat="false" ht="17.15" hidden="false" customHeight="false" outlineLevel="0" collapsed="false">
      <c r="A6835" s="5" t="s">
        <v>593</v>
      </c>
      <c r="B6835" s="0" t="s">
        <v>129</v>
      </c>
      <c r="C6835" s="32" t="n">
        <f aca="false">(mw_ye23+mw_ye24)/2</f>
        <v>240</v>
      </c>
      <c r="D6835" s="32" t="n">
        <f aca="false">(Sens!$C$6834+Sens!$D$6834)/2</f>
        <v>900</v>
      </c>
      <c r="E6835" s="32" t="n">
        <f aca="false">(Sens!$D$6834+Sens!$E$6834)/2</f>
        <v>1760</v>
      </c>
      <c r="F6835" s="32" t="n">
        <f aca="false">(Sens!$E$6834+Sens!$F$6834)/2</f>
        <v>2988.575</v>
      </c>
      <c r="G6835" s="32" t="n">
        <f aca="false">(Sens!$E$6835+Sens!$F$6835)/2</f>
        <v>2374.2875</v>
      </c>
      <c r="H6835" s="32" t="n">
        <f aca="false">(Sens!$G$6834+Sens!$H$6834)/2</f>
        <v>5714.3</v>
      </c>
      <c r="I6835" s="32" t="n">
        <f aca="false">(Sens!$H$6834+Sens!$I$6834)/2</f>
        <v>9348.6</v>
      </c>
      <c r="J6835" s="32" t="n">
        <f aca="false">(Sens!$I$6834+Sens!$J$6834)/2</f>
        <v>12982.9</v>
      </c>
      <c r="K6835" s="32" t="n">
        <f aca="false">(Sens!$J$6834+Sens!$K$6834)/2</f>
        <v>16085.4835833333</v>
      </c>
      <c r="L6835" s="32" t="n">
        <f aca="false">(Sens!$K$6834+Sens!$L$6834)/2</f>
        <v>18124.6343333333</v>
      </c>
      <c r="M6835" s="32" t="n">
        <f aca="false">(Sens!$L$6834+Sens!$M$6834)/2</f>
        <v>19100.35225</v>
      </c>
      <c r="N6835" s="32" t="n">
        <f aca="false">(Sens!$C$6834+Sens!$N$6834)/2</f>
        <v>630</v>
      </c>
      <c r="O6835" s="32" t="n">
        <f aca="false">(Sens!$N$6834+Sens!$O$6834)/2</f>
        <v>1170</v>
      </c>
    </row>
    <row r="6836" customFormat="false" ht="15" hidden="false" customHeight="false" outlineLevel="0" collapsed="false">
      <c r="A6836" s="5" t="s">
        <v>594</v>
      </c>
      <c r="B6836" s="5" t="s">
        <v>123</v>
      </c>
      <c r="C6836" s="34" t="n">
        <v>1</v>
      </c>
      <c r="D6836" s="34" t="n">
        <v>1</v>
      </c>
      <c r="E6836" s="34" t="n">
        <v>0.5</v>
      </c>
      <c r="F6836" s="34" t="n">
        <v>0.5</v>
      </c>
      <c r="G6836" s="34" t="n">
        <v>1</v>
      </c>
      <c r="H6836" s="34" t="n">
        <v>1</v>
      </c>
      <c r="I6836" s="34" t="n">
        <v>1</v>
      </c>
      <c r="J6836" s="34" t="n">
        <v>1</v>
      </c>
      <c r="K6836" s="34" t="n">
        <v>1</v>
      </c>
      <c r="L6836" s="34" t="n">
        <v>1</v>
      </c>
      <c r="M6836" s="34" t="n">
        <v>1</v>
      </c>
      <c r="N6836" s="34" t="n">
        <v>0.5</v>
      </c>
      <c r="O6836" s="34" t="n">
        <v>0.5</v>
      </c>
    </row>
    <row r="6837" customFormat="false" ht="17.15" hidden="false" customHeight="false" outlineLevel="0" collapsed="false">
      <c r="A6837" s="5" t="s">
        <v>595</v>
      </c>
      <c r="B6837" s="0" t="s">
        <v>129</v>
      </c>
      <c r="C6837" s="32" t="n">
        <f aca="false">Sens!$C$6834-mw_ye23</f>
        <v>240</v>
      </c>
      <c r="D6837" s="32" t="n">
        <f aca="false">Sens!$D$6834-Sens!$C$6834</f>
        <v>1080</v>
      </c>
      <c r="E6837" s="32" t="n">
        <f aca="false">Sens!$E$6834-Sens!$D$6834</f>
        <v>640</v>
      </c>
      <c r="F6837" s="32" t="n">
        <f aca="false">Sens!$F$6834-Sens!$E$6834</f>
        <v>1817.15</v>
      </c>
      <c r="G6837" s="32" t="n">
        <f aca="false">Sens!$E$6837+Sens!$F$6837</f>
        <v>2457.15</v>
      </c>
      <c r="H6837" s="32" t="n">
        <f aca="false">Sens!$H$6834-Sens!$G$6834</f>
        <v>3634.3</v>
      </c>
      <c r="I6837" s="32" t="n">
        <f aca="false">Sens!$I$6834-Sens!$H$6834</f>
        <v>3634.3</v>
      </c>
      <c r="J6837" s="32" t="n">
        <f aca="false">Sens!$J$6834-Sens!$I$6834</f>
        <v>3634.3</v>
      </c>
      <c r="K6837" s="32" t="n">
        <f aca="false">Sens!$K$6834-Sens!$J$6834</f>
        <v>2570.86716666667</v>
      </c>
      <c r="L6837" s="32" t="n">
        <f aca="false">Sens!$L$6834-Sens!$K$6834</f>
        <v>1507.43433333333</v>
      </c>
      <c r="M6837" s="32" t="n">
        <f aca="false">Sens!$M$6834-Sens!$L$6834</f>
        <v>444.001499999999</v>
      </c>
      <c r="N6837" s="32" t="n">
        <f aca="false">Sens!$N$6834-Sens!$C$6834</f>
        <v>540</v>
      </c>
      <c r="O6837" s="32" t="n">
        <f aca="false">Sens!$O$6834-Sens!$N$6834</f>
        <v>540</v>
      </c>
    </row>
    <row r="6838" customFormat="false" ht="17.15" hidden="false" customHeight="false" outlineLevel="0" collapsed="false">
      <c r="A6838" s="5" t="s">
        <v>596</v>
      </c>
      <c r="B6838" s="0" t="s">
        <v>129</v>
      </c>
      <c r="C6838" s="32" t="n">
        <f aca="false">Sens!$C$6837/ext_sh</f>
        <v>300</v>
      </c>
      <c r="D6838" s="32" t="n">
        <f aca="false">Sens!$D$6837/ext_sh</f>
        <v>1350</v>
      </c>
      <c r="E6838" s="32" t="n">
        <f aca="false">Sens!$E$6837/ext_sh</f>
        <v>800</v>
      </c>
      <c r="F6838" s="32" t="n">
        <f aca="false">Sens!$F$6837/ext_sh</f>
        <v>2271.4375</v>
      </c>
      <c r="G6838" s="32" t="n">
        <f aca="false">Sens!$G$6837/ext_sh</f>
        <v>3071.4375</v>
      </c>
      <c r="H6838" s="32" t="n">
        <f aca="false">Sens!$H$6837/ext_sh</f>
        <v>4542.875</v>
      </c>
      <c r="I6838" s="32" t="n">
        <f aca="false">Sens!$I$6837/ext_sh</f>
        <v>4542.875</v>
      </c>
      <c r="J6838" s="32" t="n">
        <f aca="false">Sens!$J$6837/ext_sh</f>
        <v>4542.875</v>
      </c>
      <c r="K6838" s="32" t="n">
        <f aca="false">Sens!$K$6837/ext_sh</f>
        <v>3213.58395833333</v>
      </c>
      <c r="L6838" s="32" t="n">
        <f aca="false">Sens!$L$6837/ext_sh</f>
        <v>1884.29291666667</v>
      </c>
      <c r="M6838" s="32" t="n">
        <f aca="false">Sens!$M$6837/ext_sh</f>
        <v>555.001874999998</v>
      </c>
      <c r="N6838" s="32" t="n">
        <f aca="false">Sens!$N$6837/ext_sh</f>
        <v>675</v>
      </c>
      <c r="O6838" s="32" t="n">
        <f aca="false">Sens!$O$6837/ext_sh</f>
        <v>675</v>
      </c>
      <c r="P6838" s="8" t="s">
        <v>597</v>
      </c>
      <c r="R6838" s="32" t="n">
        <f aca="false">mw_ye23/ext_sh</f>
        <v>150</v>
      </c>
      <c r="S6838" s="32" t="n">
        <f aca="false">Sens!$C$6838</f>
        <v>300</v>
      </c>
      <c r="T6838" s="32" t="n">
        <f aca="false">Sens!$D$6838</f>
        <v>1350</v>
      </c>
      <c r="U6838" s="32" t="n">
        <f aca="false">Sens!$G$6838</f>
        <v>3071.4375</v>
      </c>
      <c r="V6838" s="32" t="n">
        <f aca="false">Sens!$H$6838</f>
        <v>4542.875</v>
      </c>
      <c r="W6838" s="32" t="n">
        <f aca="false">Sens!$I$6838</f>
        <v>4542.875</v>
      </c>
      <c r="X6838" s="32" t="n">
        <f aca="false">Sens!$J$6838</f>
        <v>4542.875</v>
      </c>
      <c r="Y6838" s="32" t="n">
        <f aca="false">Sens!$K$6838</f>
        <v>3213.58395833333</v>
      </c>
      <c r="Z6838" s="32" t="n">
        <f aca="false">Sens!$L$6838</f>
        <v>1884.29291666667</v>
      </c>
      <c r="AA6838" s="32" t="n">
        <f aca="false">Sens!$M$6838</f>
        <v>555.001874999998</v>
      </c>
    </row>
    <row r="6839" customFormat="false" ht="17.15" hidden="false" customHeight="false" outlineLevel="0" collapsed="false">
      <c r="A6839" s="1" t="s">
        <v>598</v>
      </c>
    </row>
    <row r="6840" customFormat="false" ht="17.15" hidden="false" customHeight="false" outlineLevel="0" collapsed="false">
      <c r="A6840" s="0" t="s">
        <v>599</v>
      </c>
      <c r="B6840" s="0" t="s">
        <v>52</v>
      </c>
      <c r="F6840" s="35" t="n">
        <f aca="false">na_vr26</f>
        <v>0</v>
      </c>
      <c r="G6840" s="35" t="n">
        <f aca="false">na_vr26</f>
        <v>0</v>
      </c>
      <c r="H6840" s="35" t="n">
        <f aca="false">na_vr27</f>
        <v>0.5</v>
      </c>
      <c r="I6840" s="35" t="n">
        <f aca="false">na_vr28</f>
        <v>1</v>
      </c>
      <c r="J6840" s="35" t="n">
        <f aca="false">na_vr28</f>
        <v>1</v>
      </c>
      <c r="K6840" s="35" t="n">
        <f aca="false">na_vr28</f>
        <v>1</v>
      </c>
      <c r="L6840" s="35" t="n">
        <f aca="false">na_vr28</f>
        <v>1</v>
      </c>
      <c r="M6840" s="35" t="n">
        <f aca="false">na_vr28</f>
        <v>1</v>
      </c>
    </row>
    <row r="6841" customFormat="false" ht="17.15" hidden="false" customHeight="false" outlineLevel="0" collapsed="false">
      <c r="A6841" s="5" t="s">
        <v>600</v>
      </c>
      <c r="B6841" s="0" t="s">
        <v>173</v>
      </c>
      <c r="F6841" s="36" t="n">
        <f aca="false">cust_sh*tk_he_gb300*cf_chip+(1-cust_sh)*((1-Sens!$F$6840)*tk_he_gb300+Sens!$F$6840*tk_he_vr200)</f>
        <v>10.8864110021101</v>
      </c>
      <c r="G6841" s="36" t="n">
        <f aca="false">cust_sh*tk_he_gb300*cf_chip+(1-cust_sh)*((1-Sens!$G$6840)*tk_he_gb300+Sens!$G$6840*tk_he_vr200)</f>
        <v>10.8864110021101</v>
      </c>
      <c r="H6841" s="36" t="n">
        <f aca="false">cust_sh*tk_he_gb300*cf_chip+(1-cust_sh)*((1-Sens!$H$6840)*tk_he_gb300+Sens!$H$6840*tk_he_vr200)</f>
        <v>11.2211760027286</v>
      </c>
      <c r="I6841" s="36" t="n">
        <f aca="false">cust_sh*tk_he_gb300*cf_chip+(1-cust_sh)*((1-Sens!$I$6840)*tk_he_gb300+Sens!$I$6840*tk_he_vr200)</f>
        <v>11.5559410033471</v>
      </c>
      <c r="J6841" s="36" t="n">
        <f aca="false">cust_sh*tk_he_gb300*cf_chip+(1-cust_sh)*((1-Sens!$J$6840)*tk_he_gb300+Sens!$J$6840*tk_he_vr200)</f>
        <v>11.5559410033471</v>
      </c>
      <c r="K6841" s="36" t="n">
        <f aca="false">cust_sh*tk_he_gb300*cf_chip+(1-cust_sh)*((1-Sens!$K$6840)*tk_he_gb300+Sens!$K$6840*tk_he_vr200)</f>
        <v>11.5559410033471</v>
      </c>
      <c r="L6841" s="36" t="n">
        <f aca="false">cust_sh*tk_he_gb300*cf_chip+(1-cust_sh)*((1-Sens!$L$6840)*tk_he_gb300+Sens!$L$6840*tk_he_vr200)</f>
        <v>11.5559410033471</v>
      </c>
      <c r="M6841" s="36" t="n">
        <f aca="false">cust_sh*tk_he_gb300*cf_chip+(1-cust_sh)*((1-Sens!$M$6840)*tk_he_gb300+Sens!$M$6840*tk_he_vr200)</f>
        <v>11.5559410033471</v>
      </c>
    </row>
    <row r="6842" customFormat="false" ht="17.15" hidden="false" customHeight="false" outlineLevel="0" collapsed="false">
      <c r="A6842" s="5" t="s">
        <v>601</v>
      </c>
      <c r="B6842" s="0" t="s">
        <v>173</v>
      </c>
      <c r="F6842" s="36" t="n">
        <f aca="false">cust_sh*tk_ox_gb300+(1-cust_sh)*((1-Sens!$F$6840)*tk_ox_gb300+Sens!$F$6840*tk_ox_vr200)</f>
        <v>1.98263481314457</v>
      </c>
      <c r="G6842" s="36" t="n">
        <f aca="false">cust_sh*tk_ox_gb300+(1-cust_sh)*((1-Sens!$G$6840)*tk_ox_gb300+Sens!$G$6840*tk_ox_vr200)</f>
        <v>1.98263481314457</v>
      </c>
      <c r="H6842" s="36" t="n">
        <f aca="false">cust_sh*tk_ox_gb300+(1-cust_sh)*((1-Sens!$H$6840)*tk_ox_gb300+Sens!$H$6840*tk_ox_vr200)</f>
        <v>2.01034999693694</v>
      </c>
      <c r="I6842" s="36" t="n">
        <f aca="false">cust_sh*tk_ox_gb300+(1-cust_sh)*((1-Sens!$I$6840)*tk_ox_gb300+Sens!$I$6840*tk_ox_vr200)</f>
        <v>2.0380651807293</v>
      </c>
      <c r="J6842" s="36" t="n">
        <f aca="false">cust_sh*tk_ox_gb300+(1-cust_sh)*((1-Sens!$J$6840)*tk_ox_gb300+Sens!$J$6840*tk_ox_vr200)</f>
        <v>2.0380651807293</v>
      </c>
      <c r="K6842" s="36" t="n">
        <f aca="false">cust_sh*tk_ox_gb300+(1-cust_sh)*((1-Sens!$K$6840)*tk_ox_gb300+Sens!$K$6840*tk_ox_vr200)</f>
        <v>2.0380651807293</v>
      </c>
      <c r="L6842" s="36" t="n">
        <f aca="false">cust_sh*tk_ox_gb300+(1-cust_sh)*((1-Sens!$L$6840)*tk_ox_gb300+Sens!$L$6840*tk_ox_vr200)</f>
        <v>2.0380651807293</v>
      </c>
      <c r="M6842" s="36" t="n">
        <f aca="false">cust_sh*tk_ox_gb300+(1-cust_sh)*((1-Sens!$M$6840)*tk_ox_gb300+Sens!$M$6840*tk_ox_vr200)</f>
        <v>2.0380651807293</v>
      </c>
    </row>
    <row r="6843" customFormat="false" ht="17.15" hidden="false" customHeight="false" outlineLevel="0" collapsed="false">
      <c r="A6843" s="5" t="s">
        <v>602</v>
      </c>
      <c r="B6843" s="0" t="s">
        <v>192</v>
      </c>
      <c r="F6843" s="36" t="n">
        <f aca="false">cust_sh*tk_cx_gb300*cf_cx+(1-cust_sh)*((1-Sens!$F$6840)*tk_cx_gb300+Sens!$F$6840*tk_cx_vr200)</f>
        <v>32.237224</v>
      </c>
      <c r="G6843" s="36" t="n">
        <f aca="false">cust_sh*tk_cx_gb300*cf_cx+(1-cust_sh)*((1-Sens!$G$6840)*tk_cx_gb300+Sens!$G$6840*tk_cx_vr200)</f>
        <v>32.237224</v>
      </c>
      <c r="H6843" s="36" t="n">
        <f aca="false">cust_sh*tk_cx_gb300*cf_cx+(1-cust_sh)*((1-Sens!$H$6840)*tk_cx_gb300+Sens!$H$6840*tk_cx_vr200)</f>
        <v>33.574506</v>
      </c>
      <c r="I6843" s="36" t="n">
        <f aca="false">cust_sh*tk_cx_gb300*cf_cx+(1-cust_sh)*((1-Sens!$I$6840)*tk_cx_gb300+Sens!$I$6840*tk_cx_vr200)</f>
        <v>34.911788</v>
      </c>
      <c r="J6843" s="36" t="n">
        <f aca="false">cust_sh*tk_cx_gb300*cf_cx+(1-cust_sh)*((1-Sens!$J$6840)*tk_cx_gb300+Sens!$J$6840*tk_cx_vr200)</f>
        <v>34.911788</v>
      </c>
      <c r="K6843" s="36" t="n">
        <f aca="false">cust_sh*tk_cx_gb300*cf_cx+(1-cust_sh)*((1-Sens!$K$6840)*tk_cx_gb300+Sens!$K$6840*tk_cx_vr200)</f>
        <v>34.911788</v>
      </c>
      <c r="L6843" s="36" t="n">
        <f aca="false">cust_sh*tk_cx_gb300*cf_cx+(1-cust_sh)*((1-Sens!$L$6840)*tk_cx_gb300+Sens!$L$6840*tk_cx_vr200)</f>
        <v>34.911788</v>
      </c>
      <c r="M6843" s="36" t="n">
        <f aca="false">cust_sh*tk_cx_gb300*cf_cx+(1-cust_sh)*((1-Sens!$M$6840)*tk_cx_gb300+Sens!$M$6840*tk_cx_vr200)</f>
        <v>34.911788</v>
      </c>
    </row>
    <row r="6844" customFormat="false" ht="17.15" hidden="false" customHeight="false" outlineLevel="0" collapsed="false">
      <c r="A6844" s="5" t="s">
        <v>603</v>
      </c>
      <c r="B6844" s="0" t="s">
        <v>129</v>
      </c>
      <c r="F6844" s="32" t="n">
        <f aca="false">Sens!$F$6834-mw_open</f>
        <v>1817.15</v>
      </c>
      <c r="G6844" s="32" t="n">
        <f aca="false">Sens!$F$6844</f>
        <v>1817.15</v>
      </c>
      <c r="H6844" s="32" t="n">
        <f aca="false">Sens!$H$6834-mw_open</f>
        <v>5451.45</v>
      </c>
      <c r="I6844" s="32" t="n">
        <f aca="false">Sens!$I$6834-mw_open</f>
        <v>9085.75</v>
      </c>
      <c r="J6844" s="32" t="n">
        <f aca="false">Sens!$J$6834-mw_open</f>
        <v>12720.05</v>
      </c>
      <c r="K6844" s="32" t="n">
        <f aca="false">Sens!$K$6834-mw_open</f>
        <v>15290.9171666667</v>
      </c>
      <c r="L6844" s="32" t="n">
        <f aca="false">Sens!$L$6834-mw_open</f>
        <v>16798.3515</v>
      </c>
      <c r="M6844" s="32" t="n">
        <f aca="false">Sens!$M$6834-mw_open</f>
        <v>17242.353</v>
      </c>
    </row>
    <row r="6845" customFormat="false" ht="17.15" hidden="false" customHeight="false" outlineLevel="0" collapsed="false">
      <c r="A6845" s="0" t="s">
        <v>604</v>
      </c>
      <c r="B6845" s="0" t="s">
        <v>605</v>
      </c>
      <c r="F6845" s="32" t="n">
        <f aca="false">Sens!$F$6837*Sens!$F$6841</f>
        <v>19782.2417524844</v>
      </c>
      <c r="G6845" s="32" t="n">
        <f aca="false">Sens!$F$6845</f>
        <v>19782.2417524844</v>
      </c>
      <c r="H6845" s="32" t="n">
        <f aca="false">Sens!$G$6845+Sens!$H$6837*Sens!$H$6841</f>
        <v>60563.3616992009</v>
      </c>
      <c r="I6845" s="32" t="n">
        <f aca="false">Sens!$H$6845+Sens!$I$6837*Sens!$I$6841</f>
        <v>102561.118087665</v>
      </c>
      <c r="J6845" s="32" t="n">
        <f aca="false">Sens!$I$6845+Sens!$J$6837*Sens!$J$6841</f>
        <v>144558.87447613</v>
      </c>
      <c r="K6845" s="32" t="n">
        <f aca="false">Sens!$J$6845+Sens!$K$6837*Sens!$K$6841</f>
        <v>174267.663781572</v>
      </c>
      <c r="L6845" s="32" t="n">
        <f aca="false">Sens!$K$6845+Sens!$L$6837*Sens!$L$6841</f>
        <v>191687.486003992</v>
      </c>
      <c r="M6845" s="32" t="n">
        <f aca="false">Sens!$L$6845+Sens!$M$6837*Sens!$M$6841</f>
        <v>196818.341143389</v>
      </c>
    </row>
    <row r="6846" customFormat="false" ht="17.15" hidden="false" customHeight="false" outlineLevel="0" collapsed="false">
      <c r="A6846" s="0" t="s">
        <v>606</v>
      </c>
      <c r="B6846" s="0" t="s">
        <v>605</v>
      </c>
      <c r="F6846" s="32" t="n">
        <f aca="false">Sens!$F$6837*Sens!$F$6842</f>
        <v>3602.74485070566</v>
      </c>
      <c r="G6846" s="32" t="n">
        <f aca="false">Sens!$F$6846</f>
        <v>3602.74485070566</v>
      </c>
      <c r="H6846" s="32" t="n">
        <f aca="false">Sens!$G$6846+Sens!$H$6837*Sens!$H$6842</f>
        <v>10908.9598445736</v>
      </c>
      <c r="I6846" s="32" t="n">
        <f aca="false">Sens!$H$6846+Sens!$I$6837*Sens!$I$6842</f>
        <v>18315.9001308981</v>
      </c>
      <c r="J6846" s="32" t="n">
        <f aca="false">Sens!$I$6846+Sens!$J$6837*Sens!$J$6842</f>
        <v>25722.8404172225</v>
      </c>
      <c r="K6846" s="32" t="n">
        <f aca="false">Sens!$J$6846+Sens!$K$6837*Sens!$K$6842</f>
        <v>30962.4352738861</v>
      </c>
      <c r="L6846" s="32" t="n">
        <f aca="false">Sens!$K$6846+Sens!$L$6837*Sens!$L$6842</f>
        <v>34034.6847008886</v>
      </c>
      <c r="M6846" s="32" t="n">
        <f aca="false">Sens!$L$6846+Sens!$M$6837*Sens!$M$6842</f>
        <v>34939.5886982302</v>
      </c>
    </row>
    <row r="6847" customFormat="false" ht="17.15" hidden="false" customHeight="false" outlineLevel="0" collapsed="false">
      <c r="A6847" s="5" t="s">
        <v>607</v>
      </c>
      <c r="B6847" s="0" t="s">
        <v>173</v>
      </c>
      <c r="F6847" s="36" t="n">
        <f aca="false">IF(Sens!$F$6844&gt;0,Sens!$F$6845/Sens!$F$6844,Sens!$F$6841)</f>
        <v>10.8864110021101</v>
      </c>
      <c r="G6847" s="36" t="n">
        <f aca="false">IF(Sens!$G$6844&gt;0,Sens!$G$6845/Sens!$G$6844,Sens!$G$6841)</f>
        <v>10.8864110021101</v>
      </c>
      <c r="H6847" s="36" t="n">
        <f aca="false">IF(Sens!$H$6844&gt;0,Sens!$H$6845/Sens!$H$6844,Sens!$H$6841)</f>
        <v>11.1095876691891</v>
      </c>
      <c r="I6847" s="36" t="n">
        <f aca="false">IF(Sens!$I$6844&gt;0,Sens!$I$6845/Sens!$I$6844,Sens!$I$6841)</f>
        <v>11.2881290028523</v>
      </c>
      <c r="J6847" s="36" t="n">
        <f aca="false">IF(Sens!$J$6844&gt;0,Sens!$J$6845/Sens!$J$6844,Sens!$J$6841)</f>
        <v>11.3646467172794</v>
      </c>
      <c r="K6847" s="36" t="n">
        <f aca="false">IF(Sens!$K$6844&gt;0,Sens!$K$6845/Sens!$K$6844,Sens!$K$6841)</f>
        <v>11.3968090914432</v>
      </c>
      <c r="L6847" s="36" t="n">
        <f aca="false">IF(Sens!$L$6844&gt;0,Sens!$L$6845/Sens!$L$6844,Sens!$L$6841)</f>
        <v>11.4110891181192</v>
      </c>
      <c r="M6847" s="36" t="n">
        <f aca="false">IF(Sens!$M$6844&gt;0,Sens!$M$6845/Sens!$M$6844,Sens!$M$6841)</f>
        <v>11.4148191458201</v>
      </c>
    </row>
    <row r="6848" customFormat="false" ht="17.15" hidden="false" customHeight="false" outlineLevel="0" collapsed="false">
      <c r="A6848" s="5" t="s">
        <v>608</v>
      </c>
      <c r="B6848" s="0" t="s">
        <v>173</v>
      </c>
      <c r="F6848" s="36" t="n">
        <f aca="false">IF(Sens!$F$6844&gt;0,Sens!$F$6846/Sens!$F$6844,Sens!$F$6842)</f>
        <v>1.98263481314457</v>
      </c>
      <c r="G6848" s="36" t="n">
        <f aca="false">IF(Sens!$G$6844&gt;0,Sens!$G$6846/Sens!$G$6844,Sens!$G$6842)</f>
        <v>1.98263481314457</v>
      </c>
      <c r="H6848" s="36" t="n">
        <f aca="false">IF(Sens!$H$6844&gt;0,Sens!$H$6846/Sens!$H$6844,Sens!$H$6842)</f>
        <v>2.00111160233948</v>
      </c>
      <c r="I6848" s="36" t="n">
        <f aca="false">IF(Sens!$I$6844&gt;0,Sens!$I$6846/Sens!$I$6844,Sens!$I$6842)</f>
        <v>2.01589303369541</v>
      </c>
      <c r="J6848" s="36" t="n">
        <f aca="false">IF(Sens!$J$6844&gt;0,Sens!$J$6846/Sens!$J$6844,Sens!$J$6842)</f>
        <v>2.02222793284795</v>
      </c>
      <c r="K6848" s="36" t="n">
        <f aca="false">IF(Sens!$K$6844&gt;0,Sens!$K$6846/Sens!$K$6844,Sens!$K$6842)</f>
        <v>2.02489065478573</v>
      </c>
      <c r="L6848" s="36" t="n">
        <f aca="false">IF(Sens!$L$6844&gt;0,Sens!$L$6846/Sens!$L$6844,Sens!$L$6842)</f>
        <v>2.0260728977417</v>
      </c>
      <c r="M6848" s="36" t="n">
        <f aca="false">IF(Sens!$M$6844&gt;0,Sens!$M$6846/Sens!$M$6844,Sens!$M$6842)</f>
        <v>2.02638170661685</v>
      </c>
    </row>
    <row r="6849" customFormat="false" ht="17.15" hidden="false" customHeight="false" outlineLevel="0" collapsed="false">
      <c r="A6849" s="15" t="s">
        <v>609</v>
      </c>
      <c r="B6849" s="14" t="s">
        <v>173</v>
      </c>
      <c r="C6849" s="14"/>
      <c r="D6849" s="14"/>
      <c r="E6849" s="14"/>
      <c r="F6849" s="37" t="n">
        <f aca="false">Sens!$F$6847*k_B</f>
        <v>10.7987645808025</v>
      </c>
      <c r="G6849" s="37" t="n">
        <f aca="false">Sens!$G$6847*k_B</f>
        <v>10.7987645808025</v>
      </c>
      <c r="H6849" s="37" t="n">
        <f aca="false">Sens!$H$6847*k_B</f>
        <v>11.0201444540452</v>
      </c>
      <c r="I6849" s="37" t="n">
        <f aca="false">Sens!$I$6847*k_B</f>
        <v>11.1972483526393</v>
      </c>
      <c r="J6849" s="37" t="n">
        <f aca="false">Sens!$J$6847*k_B</f>
        <v>11.2731500234653</v>
      </c>
      <c r="K6849" s="37" t="n">
        <f aca="false">Sens!$K$6847*k_B</f>
        <v>11.3050534585724</v>
      </c>
      <c r="L6849" s="37" t="n">
        <f aca="false">Sens!$L$6847*k_B</f>
        <v>11.3192185168503</v>
      </c>
      <c r="M6849" s="37" t="n">
        <f aca="false">Sens!$M$6847*k_B</f>
        <v>11.3229185141234</v>
      </c>
      <c r="N6849" s="14"/>
      <c r="O6849" s="14"/>
      <c r="P6849" s="5" t="s">
        <v>610</v>
      </c>
    </row>
    <row r="6850" customFormat="false" ht="17.15" hidden="false" customHeight="false" outlineLevel="0" collapsed="false">
      <c r="A6850" s="5" t="s">
        <v>611</v>
      </c>
      <c r="B6850" s="0" t="s">
        <v>129</v>
      </c>
      <c r="F6850" s="32" t="n">
        <f aca="false">Sens!$F$6844/2</f>
        <v>908.575</v>
      </c>
      <c r="H6850" s="32" t="n">
        <f aca="false">(Sens!$G$6844+Sens!$H$6844)/2</f>
        <v>3634.3</v>
      </c>
      <c r="I6850" s="32" t="n">
        <f aca="false">(Sens!$H$6844+Sens!$I$6844)/2</f>
        <v>7268.6</v>
      </c>
      <c r="J6850" s="32" t="n">
        <f aca="false">(Sens!$I$6844+Sens!$J$6844)/2</f>
        <v>10902.9</v>
      </c>
      <c r="K6850" s="32" t="n">
        <f aca="false">(Sens!$J$6844+Sens!$K$6844)/2</f>
        <v>14005.4835833333</v>
      </c>
      <c r="L6850" s="32" t="n">
        <f aca="false">(Sens!$K$6844+Sens!$L$6844)/2</f>
        <v>16044.6343333333</v>
      </c>
      <c r="M6850" s="32" t="n">
        <f aca="false">(Sens!$L$6844+Sens!$M$6844)/2</f>
        <v>17020.35225</v>
      </c>
    </row>
    <row r="6851" customFormat="false" ht="17.15" hidden="false" customHeight="false" outlineLevel="0" collapsed="false">
      <c r="A6851" s="1" t="s">
        <v>612</v>
      </c>
    </row>
    <row r="6852" customFormat="false" ht="17.15" hidden="false" customHeight="false" outlineLevel="0" collapsed="false">
      <c r="A6852" s="1" t="s">
        <v>613</v>
      </c>
      <c r="B6852" s="8" t="s">
        <v>86</v>
      </c>
      <c r="C6852" s="38" t="n">
        <f aca="false">Sens!$C$6835*rpm_open*Sens!$C$6836/1000</f>
        <v>2.32100535697364</v>
      </c>
      <c r="D6852" s="38" t="n">
        <f aca="false">Sens!$D$6835*rpm_open*Sens!$D$6836/1000</f>
        <v>8.70377008865116</v>
      </c>
      <c r="E6852" s="38" t="n">
        <f aca="false">Sens!$E$6835*rpm_open*Sens!$E$6836/1000</f>
        <v>8.51035297557002</v>
      </c>
      <c r="F6852" s="38" t="n">
        <f aca="false">(mw_open*rpm_open+Sens!$F$6850*Sens!$F$6849)*Sens!$F$6836/1000</f>
        <v>14.9634336447205</v>
      </c>
      <c r="G6852" s="38" t="n">
        <f aca="false">Sens!$E$6852+Sens!$F$6852</f>
        <v>23.4737866202905</v>
      </c>
      <c r="H6852" s="38" t="n">
        <f aca="false">(mw_open*rpm_open+Sens!$H$6850*Sens!$H$6849)/1000</f>
        <v>60.1658907497746</v>
      </c>
      <c r="I6852" s="38" t="n">
        <f aca="false">(mw_open*rpm_open+Sens!$I$6850*Sens!$I$6849)/1000</f>
        <v>101.503699136432</v>
      </c>
      <c r="J6852" s="38" t="n">
        <f aca="false">(mw_open*rpm_open+Sens!$J$6850*Sens!$J$6849)/1000</f>
        <v>143.025407151278</v>
      </c>
      <c r="K6852" s="38" t="n">
        <f aca="false">(mw_open*rpm_open+Sens!$K$6850*Sens!$K$6849)/1000</f>
        <v>178.44812038318</v>
      </c>
      <c r="L6852" s="38" t="n">
        <f aca="false">(mw_open*rpm_open+Sens!$L$6850*Sens!$L$6849)/1000</f>
        <v>201.728101802396</v>
      </c>
      <c r="M6852" s="38" t="n">
        <f aca="false">(mw_open*rpm_open+Sens!$M$6850*Sens!$M$6849)/1000</f>
        <v>212.835441368865</v>
      </c>
      <c r="N6852" s="38" t="n">
        <f aca="false">Sens!$N$6835*rpm_open*Sens!$N$6836/1000</f>
        <v>3.04631953102791</v>
      </c>
      <c r="O6852" s="38" t="n">
        <f aca="false">Sens!$O$6835*rpm_open*Sens!$O$6836/1000</f>
        <v>5.65745055762326</v>
      </c>
      <c r="P6852" s="5" t="s">
        <v>614</v>
      </c>
    </row>
    <row r="6853" customFormat="false" ht="17.15" hidden="false" customHeight="false" outlineLevel="0" collapsed="false">
      <c r="A6853" s="5" t="s">
        <v>615</v>
      </c>
      <c r="B6853" s="0" t="s">
        <v>173</v>
      </c>
      <c r="C6853" s="36" t="n">
        <f aca="false">Sens!$C$6852*1000/(Sens!$C$6835*Sens!$C$6836)</f>
        <v>9.67085565405685</v>
      </c>
      <c r="D6853" s="36" t="n">
        <f aca="false">Sens!$D$6852*1000/(Sens!$D$6835*Sens!$D$6836)</f>
        <v>9.67085565405685</v>
      </c>
      <c r="E6853" s="36" t="n">
        <f aca="false">Sens!$E$6852*1000/(Sens!$E$6835*Sens!$E$6836)</f>
        <v>9.67085565405685</v>
      </c>
      <c r="F6853" s="36" t="n">
        <f aca="false">Sens!$F$6852*1000/(Sens!$F$6835*Sens!$F$6836)</f>
        <v>10.0137581588017</v>
      </c>
      <c r="G6853" s="36" t="n">
        <f aca="false">Sens!$G$6852*1000/(Sens!$G$6835*Sens!$G$6836)</f>
        <v>9.88666562928478</v>
      </c>
      <c r="H6853" s="36" t="n">
        <f aca="false">Sens!$H$6852*1000/(Sens!$H$6835*Sens!$H$6836)</f>
        <v>10.5290045586992</v>
      </c>
      <c r="I6853" s="36" t="n">
        <f aca="false">Sens!$I$6852*1000/(Sens!$I$6835*Sens!$I$6836)</f>
        <v>10.8576363451674</v>
      </c>
      <c r="J6853" s="36" t="n">
        <f aca="false">Sens!$J$6852*1000/(Sens!$J$6835*Sens!$J$6836)</f>
        <v>11.0164452588619</v>
      </c>
      <c r="K6853" s="36" t="n">
        <f aca="false">Sens!$K$6852*1000/(Sens!$K$6835*Sens!$K$6836)</f>
        <v>11.0937367508227</v>
      </c>
      <c r="L6853" s="36" t="n">
        <f aca="false">Sens!$L$6852*1000/(Sens!$L$6835*Sens!$L$6836)</f>
        <v>11.1300508519168</v>
      </c>
      <c r="M6853" s="36" t="n">
        <f aca="false">Sens!$M$6852*1000/(Sens!$M$6835*Sens!$M$6836)</f>
        <v>11.1430113216297</v>
      </c>
      <c r="N6853" s="36" t="n">
        <f aca="false">Sens!$N$6852*1000/(Sens!$N$6835*Sens!$N$6836)</f>
        <v>9.67085565405685</v>
      </c>
      <c r="O6853" s="36" t="n">
        <f aca="false">Sens!$O$6852*1000/(Sens!$O$6835*Sens!$O$6836)</f>
        <v>9.67085565405685</v>
      </c>
    </row>
    <row r="6854" customFormat="false" ht="17.15" hidden="false" customHeight="false" outlineLevel="0" collapsed="false">
      <c r="A6854" s="0" t="s">
        <v>616</v>
      </c>
      <c r="B6854" s="0" t="s">
        <v>86</v>
      </c>
      <c r="C6854" s="38" t="n">
        <f aca="false">Sens!$C$6835/ext_sh*(ox_open+rent_mw)*Sens!$C$6836/1000</f>
        <v>0.642569210675032</v>
      </c>
      <c r="D6854" s="38" t="n">
        <f aca="false">Sens!$D$6835/ext_sh*(ox_open+rent_mw)*Sens!$D$6836/1000</f>
        <v>2.40963454003137</v>
      </c>
      <c r="E6854" s="38" t="n">
        <f aca="false">Sens!$E$6835/ext_sh*(ox_open+rent_mw)*Sens!$E$6836/1000</f>
        <v>2.35608710580845</v>
      </c>
      <c r="F6854" s="38" t="n">
        <f aca="false">((mw_open*ox_open+Sens!$F$6850*Sens!$F$6848)/ext_sh+Sens!$F$6835/ext_sh*rent_mw)*Sens!$F$6836/1000</f>
        <v>4.05421991106232</v>
      </c>
      <c r="G6854" s="38" t="n">
        <f aca="false">Sens!$E$6854+Sens!$F$6854</f>
        <v>6.41030701687077</v>
      </c>
      <c r="H6854" s="38" t="n">
        <f aca="false">((mw_open*ox_open+Sens!$H$6850*Sens!$H$6848)/ext_sh+Sens!$H$6835/ext_sh*rent_mw)*Sens!$H$6836/1000</f>
        <v>15.8108975546616</v>
      </c>
      <c r="I6854" s="38" t="n">
        <f aca="false">((mw_open*ox_open+Sens!$I$6850*Sens!$I$6848)/ext_sh+Sens!$I$6835/ext_sh*rent_mw)*Sens!$I$6836/1000</f>
        <v>26.1871623400817</v>
      </c>
      <c r="J6854" s="38" t="n">
        <f aca="false">((mw_open*ox_open+Sens!$J$6850*Sens!$J$6848)/ext_sh+Sens!$J$6835/ext_sh*rent_mw)*Sens!$J$6836/1000</f>
        <v>36.5826128954935</v>
      </c>
      <c r="K6854" s="38" t="n">
        <f aca="false">((mw_open*ox_open+Sens!$K$6850*Sens!$K$6848)/ext_sh+Sens!$K$6835/ext_sh*rent_mw)*Sens!$K$6836/1000</f>
        <v>45.4546361137628</v>
      </c>
      <c r="L6854" s="38" t="n">
        <f aca="false">((mw_open*ox_open+Sens!$L$6850*Sens!$L$6848)/ext_sh+Sens!$L$6835/ext_sh*rent_mw)*Sens!$L$6836/1000</f>
        <v>51.2855695554452</v>
      </c>
      <c r="M6854" s="38" t="n">
        <f aca="false">((mw_open*ox_open+Sens!$M$6850*Sens!$M$6848)/ext_sh+Sens!$M$6835/ext_sh*rent_mw)*Sens!$M$6836/1000</f>
        <v>54.0722927838398</v>
      </c>
      <c r="N6854" s="38" t="n">
        <f aca="false">Sens!$N$6835/ext_sh*(ox_open+rent_mw)*Sens!$N$6836/1000</f>
        <v>0.84337208901098</v>
      </c>
      <c r="O6854" s="38" t="n">
        <f aca="false">Sens!$O$6835/ext_sh*(ox_open+rent_mw)*Sens!$O$6836/1000</f>
        <v>1.56626245102039</v>
      </c>
    </row>
    <row r="6855" customFormat="false" ht="17.15" hidden="false" customHeight="false" outlineLevel="0" collapsed="false">
      <c r="A6855" s="0" t="s">
        <v>617</v>
      </c>
      <c r="B6855" s="0" t="s">
        <v>86</v>
      </c>
      <c r="C6855" s="38" t="n">
        <f aca="false">Q!$D$7</f>
        <v>107.556</v>
      </c>
      <c r="D6855" s="38" t="n">
        <f aca="false">Q!$E$7</f>
        <v>128.725</v>
      </c>
      <c r="E6855" s="38" t="n">
        <f aca="false">Q!$P$7</f>
        <v>79.819</v>
      </c>
      <c r="N6855" s="38" t="n">
        <f aca="false">Q!$N$7</f>
        <v>60.14</v>
      </c>
      <c r="O6855" s="38" t="n">
        <f aca="false">Q!$O$7</f>
        <v>68.585</v>
      </c>
    </row>
    <row r="6856" customFormat="false" ht="17.15" hidden="false" customHeight="false" outlineLevel="0" collapsed="false">
      <c r="A6856" s="1" t="s">
        <v>618</v>
      </c>
      <c r="B6856" s="8" t="s">
        <v>86</v>
      </c>
      <c r="C6856" s="38" t="n">
        <f aca="false">Sens!$C$6855-Sens!$C$6852</f>
        <v>105.234994643026</v>
      </c>
      <c r="D6856" s="38" t="n">
        <f aca="false">Sens!$D$6855-Sens!$D$6852</f>
        <v>120.021229911349</v>
      </c>
      <c r="E6856" s="38" t="n">
        <f aca="false">Sens!$E$6855-Sens!$E$6852</f>
        <v>71.30864702443</v>
      </c>
      <c r="F6856" s="38" t="n">
        <f aca="false">Sens!$O$6856*(1+Sens!$F$6857)</f>
        <v>71.7692997942464</v>
      </c>
      <c r="G6856" s="38" t="n">
        <f aca="false">Sens!$E$6856+Sens!$F$6856</f>
        <v>143.077946818676</v>
      </c>
      <c r="H6856" s="38" t="n">
        <f aca="false">Sens!$G$6856*(1+Sens!$H$6857)</f>
        <v>161.017077079203</v>
      </c>
      <c r="I6856" s="38" t="n">
        <f aca="false">Sens!$H$6856*(1+Sens!$I$6857)</f>
        <v>178.769759521457</v>
      </c>
      <c r="J6856" s="38" t="n">
        <f aca="false">Sens!$I$6856*(1+Sens!$J$6857)</f>
        <v>195.775538045907</v>
      </c>
      <c r="K6856" s="38" t="n">
        <f aca="false">Sens!$J$6856*(1+Sens!$K$6857)</f>
        <v>211.43758108958</v>
      </c>
      <c r="L6856" s="38" t="n">
        <f aca="false">Sens!$K$6856*(1+Sens!$L$6857)</f>
        <v>228.352587576746</v>
      </c>
      <c r="M6856" s="38" t="n">
        <f aca="false">Sens!$L$6856*(1+Sens!$M$6857)</f>
        <v>246.620794582886</v>
      </c>
      <c r="N6856" s="38" t="n">
        <f aca="false">Sens!$N$6855-Sens!$N$6852</f>
        <v>57.0936804689721</v>
      </c>
      <c r="O6856" s="38" t="n">
        <f aca="false">Sens!$O$6855-Sens!$O$6852</f>
        <v>62.9275494423768</v>
      </c>
      <c r="P6856" s="5" t="s">
        <v>619</v>
      </c>
    </row>
    <row r="6857" customFormat="false" ht="17.15" hidden="false" customHeight="false" outlineLevel="0" collapsed="false">
      <c r="A6857" s="0" t="s">
        <v>620</v>
      </c>
      <c r="B6857" s="0" t="s">
        <v>52</v>
      </c>
      <c r="D6857" s="13" t="n">
        <f aca="false">Sens!$D$6856/Sens!$C$6856-1</f>
        <v>0.140506827776062</v>
      </c>
      <c r="E6857" s="13" t="n">
        <f aca="false">Sens!$E$6856/Sens!$N$6856-1</f>
        <v>0.248976181579029</v>
      </c>
      <c r="F6857" s="13" t="n">
        <f aca="false">Sens!$D$6857</f>
        <v>0.140506827776062</v>
      </c>
      <c r="G6857" s="13" t="n">
        <f aca="false">Sens!$G$6856/Sens!$D$6856-1</f>
        <v>0.19210532106993</v>
      </c>
      <c r="H6857" s="13" t="n">
        <f aca="false">Sens!$F$6857+(g_awso_lt-Sens!$F$6857)*1/4</f>
        <v>0.125380120832046</v>
      </c>
      <c r="I6857" s="13" t="n">
        <f aca="false">Sens!$F$6857+(g_awso_lt-Sens!$F$6857)*2/4</f>
        <v>0.110253413888031</v>
      </c>
      <c r="J6857" s="13" t="n">
        <f aca="false">Sens!$F$6857+(g_awso_lt-Sens!$F$6857)*3/4</f>
        <v>0.0951267069440154</v>
      </c>
      <c r="K6857" s="13" t="n">
        <f aca="false">Sens!$F$6857+(g_awso_lt-Sens!$F$6857)*4/4</f>
        <v>0.08</v>
      </c>
      <c r="L6857" s="13" t="n">
        <f aca="false">g_awso_lt</f>
        <v>0.08</v>
      </c>
      <c r="M6857" s="13" t="n">
        <f aca="false">g_awso_lt</f>
        <v>0.08</v>
      </c>
      <c r="P6857" s="5" t="s">
        <v>621</v>
      </c>
    </row>
    <row r="6858" customFormat="false" ht="17.15" hidden="false" customHeight="false" outlineLevel="0" collapsed="false">
      <c r="A6858" s="1" t="s">
        <v>622</v>
      </c>
    </row>
    <row r="6859" customFormat="false" ht="17.15" hidden="false" customHeight="false" outlineLevel="0" collapsed="false">
      <c r="A6859" s="0" t="s">
        <v>623</v>
      </c>
      <c r="B6859" s="0" t="s">
        <v>86</v>
      </c>
      <c r="F6859" s="38" t="n">
        <f aca="false">cx_rt*Sens!$F$6824+cx_awso*Sens!$F$6856</f>
        <v>34.9734495387866</v>
      </c>
    </row>
    <row r="6860" customFormat="false" ht="17.15" hidden="false" customHeight="false" outlineLevel="0" collapsed="false">
      <c r="A6860" s="0" t="s">
        <v>624</v>
      </c>
      <c r="B6860" s="0" t="s">
        <v>52</v>
      </c>
      <c r="C6860" s="13" t="n">
        <f aca="false">tk_cx_h100/(tk_cx_h100+tk_fac*(1-colo_sh))</f>
        <v>0.730756458006641</v>
      </c>
      <c r="D6860" s="13" t="n">
        <f aca="false">tk_cx_h100/(tk_cx_h100+tk_fac*(1-colo_sh))</f>
        <v>0.730756458006641</v>
      </c>
      <c r="E6860" s="13" t="n">
        <f aca="false">Sens!$F$6860</f>
        <v>0.760792334328868</v>
      </c>
      <c r="F6860" s="13" t="n">
        <f aca="false">Sens!$F$6843/(Sens!$F$6843+tk_fac*(1-colo_sh))</f>
        <v>0.760792334328868</v>
      </c>
      <c r="G6860" s="13" t="n">
        <f aca="false">Sens!$G$6843/(Sens!$G$6843+tk_fac*(1-colo_sh))</f>
        <v>0.760792334328868</v>
      </c>
      <c r="H6860" s="13" t="n">
        <f aca="false">Sens!$H$6843/(Sens!$H$6843+tk_fac*(1-colo_sh))</f>
        <v>0.768110668862996</v>
      </c>
      <c r="I6860" s="13" t="n">
        <f aca="false">Sens!$I$6843/(Sens!$I$6843+tk_fac*(1-colo_sh))</f>
        <v>0.77499450139483</v>
      </c>
      <c r="J6860" s="13" t="n">
        <f aca="false">Sens!$J$6843/(Sens!$J$6843+tk_fac*(1-colo_sh))</f>
        <v>0.77499450139483</v>
      </c>
      <c r="K6860" s="13" t="n">
        <f aca="false">Sens!$K$6843/(Sens!$K$6843+tk_fac*(1-colo_sh))</f>
        <v>0.77499450139483</v>
      </c>
      <c r="L6860" s="13" t="n">
        <f aca="false">Sens!$L$6843/(Sens!$L$6843+tk_fac*(1-colo_sh))</f>
        <v>0.77499450139483</v>
      </c>
      <c r="M6860" s="13" t="n">
        <f aca="false">Sens!$M$6843/(Sens!$M$6843+tk_fac*(1-colo_sh))</f>
        <v>0.77499450139483</v>
      </c>
    </row>
    <row r="6861" customFormat="false" ht="17.15" hidden="false" customHeight="false" outlineLevel="0" collapsed="false">
      <c r="A6861" s="1" t="s">
        <v>625</v>
      </c>
      <c r="B6861" s="8" t="s">
        <v>86</v>
      </c>
      <c r="C6861" s="38" t="n">
        <f aca="false">Q!$D$46-cx_rt*Q!$D$16-cx_awso*Sens!$C$6856</f>
        <v>25.2781053077374</v>
      </c>
      <c r="D6861" s="38" t="n">
        <f aca="false">Q!$E$46-cx_rt*Q!$E$16-cx_awso*Sens!$D$6856</f>
        <v>69.5686316310026</v>
      </c>
      <c r="E6861" s="38" t="n">
        <f aca="false">Q!$P$46-cx_rt*Q!$P$16-cx_awso*Sens!$E$6856</f>
        <v>64.1899206485108</v>
      </c>
      <c r="F6861" s="38" t="n">
        <f aca="false">MAX(Sens!$F$6838*(Sens!$F$6843+tk_fac*(1-colo_sh))/1000,capex_g26-Q!$P$46-Sens!$F$6859)</f>
        <v>96.2481299895</v>
      </c>
      <c r="G6861" s="38" t="n">
        <f aca="false">Sens!$E$6861+Sens!$F$6861</f>
        <v>160.438050638011</v>
      </c>
      <c r="H6861" s="38" t="n">
        <f aca="false">Sens!$H$6838*(Sens!$H$6843+tk_fac*(1-colo_sh))/1000+Sens!$H$6862</f>
        <v>198.57136494475</v>
      </c>
      <c r="I6861" s="38" t="n">
        <f aca="false">Sens!$I$6838*(Sens!$I$6843+tk_fac*(1-colo_sh))/1000+Sens!$I$6862</f>
        <v>204.6464699105</v>
      </c>
      <c r="J6861" s="38" t="n">
        <f aca="false">Sens!$J$6838*(Sens!$J$6843+tk_fac*(1-colo_sh))/1000+Sens!$J$6862</f>
        <v>209.8832381105</v>
      </c>
      <c r="K6861" s="38" t="n">
        <f aca="false">Sens!$K$6838*(Sens!$K$6843+tk_fac*(1-colo_sh))/1000+Sens!$K$6862</f>
        <v>155.238385275201</v>
      </c>
      <c r="L6861" s="38" t="n">
        <f aca="false">Sens!$L$6838*(Sens!$L$6843+tk_fac*(1-colo_sh))/1000+Sens!$L$6862</f>
        <v>132.014141639902</v>
      </c>
      <c r="M6861" s="38" t="n">
        <f aca="false">Sens!$M$6838*(Sens!$M$6843+tk_fac*(1-colo_sh))/1000+Sens!$M$6862</f>
        <v>132.230981659852</v>
      </c>
      <c r="P6861" s="5" t="s">
        <v>626</v>
      </c>
      <c r="R6861" s="38" t="n">
        <f aca="false">Q!$C$46-cx_rt*Q!$C$16-cx_awso*(Q!$C$7-mw_ye23/2*rpm_open/1000)</f>
        <v>1.50429979529945</v>
      </c>
      <c r="S6861" s="38" t="n">
        <f aca="false">Sens!$C$6861</f>
        <v>25.2781053077374</v>
      </c>
      <c r="T6861" s="38" t="n">
        <f aca="false">Sens!$D$6861</f>
        <v>69.5686316310026</v>
      </c>
      <c r="U6861" s="38" t="n">
        <f aca="false">Sens!$G$6861</f>
        <v>160.438050638011</v>
      </c>
      <c r="V6861" s="38" t="n">
        <f aca="false">Sens!$H$6861</f>
        <v>198.57136494475</v>
      </c>
      <c r="W6861" s="38" t="n">
        <f aca="false">Sens!$I$6861</f>
        <v>204.6464699105</v>
      </c>
      <c r="X6861" s="38" t="n">
        <f aca="false">Sens!$J$6861</f>
        <v>209.8832381105</v>
      </c>
      <c r="Y6861" s="38" t="n">
        <f aca="false">Sens!$K$6861</f>
        <v>155.238385275201</v>
      </c>
      <c r="Z6861" s="38" t="n">
        <f aca="false">Sens!$L$6861</f>
        <v>132.014141639902</v>
      </c>
      <c r="AA6861" s="38" t="n">
        <f aca="false">Sens!$M$6861</f>
        <v>132.230981659852</v>
      </c>
    </row>
    <row r="6862" customFormat="false" ht="17.15" hidden="false" customHeight="false" outlineLevel="0" collapsed="false">
      <c r="A6862" s="0" t="s">
        <v>627</v>
      </c>
      <c r="B6862" s="0" t="s">
        <v>86</v>
      </c>
      <c r="H6862" s="38" t="n">
        <f aca="false">SUMPRODUCT(--(Sens!$R$6831:$AA$6831=2027-tk_life),Sens!$R$6838:$AA$6838)*Sens!$H$6843/1000</f>
        <v>0</v>
      </c>
      <c r="I6862" s="38" t="n">
        <f aca="false">SUMPRODUCT(--(Sens!$R$6831:$AA$6831=2028-tk_life),Sens!$R$6838:$AA$6838)*Sens!$I$6843/1000</f>
        <v>0</v>
      </c>
      <c r="J6862" s="38" t="n">
        <f aca="false">SUMPRODUCT(--(Sens!$R$6831:$AA$6831=2029-tk_life),Sens!$R$6838:$AA$6838)*Sens!$J$6843/1000</f>
        <v>5.2367682</v>
      </c>
      <c r="K6862" s="38" t="n">
        <f aca="false">SUMPRODUCT(--(Sens!$R$6831:$AA$6831=2030-tk_life),Sens!$R$6838:$AA$6838)*Sens!$K$6843/1000</f>
        <v>10.4735364</v>
      </c>
      <c r="L6862" s="38" t="n">
        <f aca="false">SUMPRODUCT(--(Sens!$R$6831:$AA$6831=2031-tk_life),Sens!$R$6838:$AA$6838)*Sens!$L$6843/1000</f>
        <v>47.1309138</v>
      </c>
      <c r="M6862" s="38" t="n">
        <f aca="false">SUMPRODUCT(--(Sens!$R$6831:$AA$6831=2032-tk_life),Sens!$R$6838:$AA$6838)*Sens!$M$6843/1000</f>
        <v>107.22937485525</v>
      </c>
    </row>
    <row r="6863" customFormat="false" ht="17.15" hidden="false" customHeight="false" outlineLevel="0" collapsed="false">
      <c r="A6863" s="5" t="s">
        <v>628</v>
      </c>
      <c r="B6863" s="0" t="s">
        <v>86</v>
      </c>
      <c r="C6863" s="38" t="n">
        <f aca="false">Sens!$C$6861*Sens!$C$6860</f>
        <v>18.472138699801</v>
      </c>
      <c r="D6863" s="38" t="n">
        <f aca="false">Sens!$D$6861*Sens!$D$6860</f>
        <v>50.8377268390402</v>
      </c>
      <c r="E6863" s="38" t="n">
        <f aca="false">Sens!$E$6861*Sens!$E$6860</f>
        <v>48.8351995705653</v>
      </c>
      <c r="F6863" s="38" t="n">
        <f aca="false">Sens!$F$6861*Sens!$F$6860</f>
        <v>73.2248394895</v>
      </c>
      <c r="G6863" s="38" t="n">
        <f aca="false">Sens!$E$6863+Sens!$F$6863</f>
        <v>122.060039060065</v>
      </c>
      <c r="H6863" s="38" t="n">
        <f aca="false">(Sens!$H$6861-Sens!$H$6862)*Sens!$H$6860+Sens!$H$6862</f>
        <v>152.52478394475</v>
      </c>
      <c r="I6863" s="38" t="n">
        <f aca="false">(Sens!$I$6861-Sens!$I$6862)*Sens!$I$6860+Sens!$I$6862</f>
        <v>158.5998889105</v>
      </c>
      <c r="J6863" s="38" t="n">
        <f aca="false">(Sens!$J$6861-Sens!$J$6862)*Sens!$J$6860+Sens!$J$6862</f>
        <v>163.8366571105</v>
      </c>
      <c r="K6863" s="38" t="n">
        <f aca="false">(Sens!$K$6861-Sens!$K$6862)*Sens!$K$6860+Sens!$K$6862</f>
        <v>122.665498273534</v>
      </c>
      <c r="L6863" s="38" t="n">
        <f aca="false">(Sens!$L$6861-Sens!$L$6862)*Sens!$L$6860+Sens!$L$6862</f>
        <v>112.914948636568</v>
      </c>
      <c r="M6863" s="38" t="n">
        <f aca="false">(Sens!$M$6861-Sens!$M$6862)*Sens!$M$6860+Sens!$M$6862</f>
        <v>126.605482654852</v>
      </c>
      <c r="R6863" s="38" t="n">
        <f aca="false">Sens!$R$6861*Sens!$C$6860</f>
        <v>1.09927679019314</v>
      </c>
      <c r="S6863" s="38" t="n">
        <f aca="false">Sens!$C$6863</f>
        <v>18.472138699801</v>
      </c>
      <c r="T6863" s="38" t="n">
        <f aca="false">Sens!$D$6863</f>
        <v>50.8377268390402</v>
      </c>
      <c r="U6863" s="38" t="n">
        <f aca="false">Sens!$G$6863</f>
        <v>122.060039060065</v>
      </c>
      <c r="V6863" s="38" t="n">
        <f aca="false">Sens!$H$6863</f>
        <v>152.52478394475</v>
      </c>
      <c r="W6863" s="38" t="n">
        <f aca="false">Sens!$I$6863</f>
        <v>158.5998889105</v>
      </c>
      <c r="X6863" s="38" t="n">
        <f aca="false">Sens!$J$6863</f>
        <v>163.8366571105</v>
      </c>
      <c r="Y6863" s="38" t="n">
        <f aca="false">Sens!$K$6863</f>
        <v>122.665498273534</v>
      </c>
      <c r="Z6863" s="38" t="n">
        <f aca="false">Sens!$L$6863</f>
        <v>112.914948636568</v>
      </c>
      <c r="AA6863" s="38" t="n">
        <f aca="false">Sens!$M$6863</f>
        <v>126.605482654852</v>
      </c>
    </row>
    <row r="6864" customFormat="false" ht="15" hidden="false" customHeight="false" outlineLevel="0" collapsed="false">
      <c r="A6864" s="5" t="s">
        <v>629</v>
      </c>
      <c r="B6864" s="0" t="s">
        <v>86</v>
      </c>
      <c r="C6864" s="38" t="n">
        <f aca="false">Sens!$C$6861-Sens!$C$6863</f>
        <v>6.80596660793636</v>
      </c>
      <c r="D6864" s="38" t="n">
        <f aca="false">Sens!$D$6861-Sens!$D$6863</f>
        <v>18.7309047919624</v>
      </c>
      <c r="E6864" s="38" t="n">
        <f aca="false">Sens!$E$6861-Sens!$E$6863</f>
        <v>15.3547210779455</v>
      </c>
      <c r="F6864" s="38" t="n">
        <f aca="false">Sens!$F$6861-Sens!$F$6863</f>
        <v>23.0232905</v>
      </c>
      <c r="G6864" s="38" t="n">
        <f aca="false">Sens!$G$6861-Sens!$G$6863</f>
        <v>38.3780115779455</v>
      </c>
      <c r="H6864" s="38" t="n">
        <f aca="false">Sens!$H$6861-Sens!$H$6863</f>
        <v>46.046581</v>
      </c>
      <c r="I6864" s="38" t="n">
        <f aca="false">Sens!$I$6861-Sens!$I$6863</f>
        <v>46.046581</v>
      </c>
      <c r="J6864" s="38" t="n">
        <f aca="false">Sens!$J$6861-Sens!$J$6863</f>
        <v>46.046581</v>
      </c>
      <c r="K6864" s="38" t="n">
        <f aca="false">Sens!$K$6861-Sens!$K$6863</f>
        <v>32.5728870016667</v>
      </c>
      <c r="L6864" s="38" t="n">
        <f aca="false">Sens!$L$6861-Sens!$L$6863</f>
        <v>19.0991930033334</v>
      </c>
      <c r="M6864" s="38" t="n">
        <f aca="false">Sens!$M$6861-Sens!$M$6863</f>
        <v>5.62549900499998</v>
      </c>
      <c r="R6864" s="38" t="n">
        <f aca="false">Sens!$R$6861-Sens!$R$6863</f>
        <v>0.405023005106309</v>
      </c>
      <c r="S6864" s="38" t="n">
        <f aca="false">Sens!$S$6861-Sens!$S$6863</f>
        <v>6.80596660793636</v>
      </c>
      <c r="T6864" s="38" t="n">
        <f aca="false">Sens!$T$6861-Sens!$T$6863</f>
        <v>18.7309047919624</v>
      </c>
      <c r="U6864" s="38" t="n">
        <f aca="false">Sens!$U$6861-Sens!$U$6863</f>
        <v>38.3780115779455</v>
      </c>
      <c r="V6864" s="38" t="n">
        <f aca="false">Sens!$V$6861-Sens!$V$6863</f>
        <v>46.046581</v>
      </c>
      <c r="W6864" s="38" t="n">
        <f aca="false">Sens!$W$6861-Sens!$W$6863</f>
        <v>46.046581</v>
      </c>
      <c r="X6864" s="38" t="n">
        <f aca="false">Sens!$X$6861-Sens!$X$6863</f>
        <v>46.046581</v>
      </c>
      <c r="Y6864" s="38" t="n">
        <f aca="false">Sens!$Y$6861-Sens!$Y$6863</f>
        <v>32.5728870016667</v>
      </c>
      <c r="Z6864" s="38" t="n">
        <f aca="false">Sens!$Z$6861-Sens!$Z$6863</f>
        <v>19.0991930033334</v>
      </c>
      <c r="AA6864" s="38" t="n">
        <f aca="false">Sens!$AA$6861-Sens!$AA$6863</f>
        <v>5.62549900499998</v>
      </c>
    </row>
    <row r="6865" customFormat="false" ht="17.15" hidden="false" customHeight="false" outlineLevel="0" collapsed="false">
      <c r="A6865" s="0" t="s">
        <v>630</v>
      </c>
      <c r="B6865" s="0" t="s">
        <v>52</v>
      </c>
      <c r="C6865" s="13" t="n">
        <f aca="false">Sens!$C$6861/Sens!$C$6981</f>
        <v>0.325505489553393</v>
      </c>
      <c r="D6865" s="13" t="n">
        <f aca="false">Sens!$D$6861/Sens!$D$6981</f>
        <v>0.54214956071542</v>
      </c>
      <c r="E6865" s="13" t="n">
        <f aca="false">Sens!$E$6861/Sens!$E$6981</f>
        <v>0.666492790452817</v>
      </c>
      <c r="F6865" s="13" t="n">
        <f aca="false">Sens!$F$6861/Sens!$F$6981</f>
        <v>0.733477910687338</v>
      </c>
      <c r="G6865" s="13" t="n">
        <f aca="false">Sens!$G$6861/Sens!$G$6981</f>
        <v>0.705124321514523</v>
      </c>
      <c r="H6865" s="13" t="n">
        <f aca="false">Sens!$H$6861/Sens!$H$6981</f>
        <v>0.726376041178204</v>
      </c>
      <c r="I6865" s="13" t="n">
        <f aca="false">Sens!$I$6861/Sens!$I$6981</f>
        <v>0.713099092661699</v>
      </c>
      <c r="J6865" s="13" t="n">
        <f aca="false">Sens!$J$6861/Sens!$J$6981</f>
        <v>0.701208348786245</v>
      </c>
      <c r="K6865" s="13" t="n">
        <f aca="false">Sens!$K$6861/Sens!$K$6981</f>
        <v>0.618338844562383</v>
      </c>
      <c r="L6865" s="13" t="n">
        <f aca="false">Sens!$L$6861/Sens!$L$6981</f>
        <v>0.562489158462506</v>
      </c>
      <c r="M6865" s="13" t="n">
        <f aca="false">Sens!$M$6861/Sens!$M$6981</f>
        <v>0.545751190895923</v>
      </c>
    </row>
    <row r="6866" customFormat="false" ht="17.15" hidden="false" customHeight="false" outlineLevel="0" collapsed="false">
      <c r="A6866" s="0" t="s">
        <v>631</v>
      </c>
      <c r="B6866" s="0" t="s">
        <v>86</v>
      </c>
      <c r="C6866" s="38" t="n">
        <f aca="false">Sens!$S$6866</f>
        <v>0.183212798365523</v>
      </c>
      <c r="D6866" s="38" t="n">
        <f aca="false">Sens!$T$6866</f>
        <v>3.2619025816657</v>
      </c>
      <c r="E6866" s="38" t="n">
        <f aca="false">Sens!$G$6866/2</f>
        <v>5.86742852741953</v>
      </c>
      <c r="F6866" s="38" t="n">
        <f aca="false">Sens!$G$6866/2</f>
        <v>5.86742852741953</v>
      </c>
      <c r="G6866" s="38" t="n">
        <f aca="false">Sens!$U$6866</f>
        <v>11.7348570548391</v>
      </c>
      <c r="H6866" s="38" t="n">
        <f aca="false">Sens!$V$6866</f>
        <v>32.0781968981833</v>
      </c>
      <c r="I6866" s="38" t="n">
        <f aca="false">Sens!$W$6866</f>
        <v>57.4989942223083</v>
      </c>
      <c r="J6866" s="38" t="n">
        <f aca="false">Sens!$X$6866</f>
        <v>83.932309040725</v>
      </c>
      <c r="K6866" s="38" t="n">
        <f aca="false">Sens!$Y$6866</f>
        <v>111.055205760776</v>
      </c>
      <c r="L6866" s="38" t="n">
        <f aca="false">Sens!$Z$6866</f>
        <v>128.420765689732</v>
      </c>
      <c r="M6866" s="38" t="n">
        <f aca="false">Sens!$AA$6866</f>
        <v>138.766969322653</v>
      </c>
      <c r="N6866" s="38" t="n">
        <f aca="false">Sens!$D$6866/2</f>
        <v>1.63095129083285</v>
      </c>
      <c r="O6866" s="38" t="n">
        <f aca="false">Sens!$D$6866/2</f>
        <v>1.63095129083285</v>
      </c>
      <c r="R6866" s="38" t="n">
        <f aca="false">SUMPRODUCT(--(Sens!$R$6831:$AA$6831&lt;Sens!R$6831),--(Sens!$R$6831:$AA$6831&gt;=Sens!R$6831-tk_life),Sens!$R$6863:$AA$6863)/tk_life</f>
        <v>0</v>
      </c>
      <c r="S6866" s="38" t="n">
        <f aca="false">SUMPRODUCT(--(Sens!$R$6831:$AA$6831&lt;Sens!S$6831),--(Sens!$R$6831:$AA$6831&gt;=Sens!S$6831-tk_life),Sens!$R$6863:$AA$6863)/tk_life</f>
        <v>0.183212798365523</v>
      </c>
      <c r="T6866" s="38" t="n">
        <f aca="false">SUMPRODUCT(--(Sens!$R$6831:$AA$6831&lt;Sens!T$6831),--(Sens!$R$6831:$AA$6831&gt;=Sens!T$6831-tk_life),Sens!$R$6863:$AA$6863)/tk_life</f>
        <v>3.2619025816657</v>
      </c>
      <c r="U6866" s="38" t="n">
        <f aca="false">SUMPRODUCT(--(Sens!$R$6831:$AA$6831&lt;Sens!U$6831),--(Sens!$R$6831:$AA$6831&gt;=Sens!U$6831-tk_life),Sens!$R$6863:$AA$6863)/tk_life</f>
        <v>11.7348570548391</v>
      </c>
      <c r="V6866" s="38" t="n">
        <f aca="false">SUMPRODUCT(--(Sens!$R$6831:$AA$6831&lt;Sens!V$6831),--(Sens!$R$6831:$AA$6831&gt;=Sens!V$6831-tk_life),Sens!$R$6863:$AA$6863)/tk_life</f>
        <v>32.0781968981833</v>
      </c>
      <c r="W6866" s="38" t="n">
        <f aca="false">SUMPRODUCT(--(Sens!$R$6831:$AA$6831&lt;Sens!W$6831),--(Sens!$R$6831:$AA$6831&gt;=Sens!W$6831-tk_life),Sens!$R$6863:$AA$6863)/tk_life</f>
        <v>57.4989942223083</v>
      </c>
      <c r="X6866" s="38" t="n">
        <f aca="false">SUMPRODUCT(--(Sens!$R$6831:$AA$6831&lt;Sens!X$6831),--(Sens!$R$6831:$AA$6831&gt;=Sens!X$6831-tk_life),Sens!$R$6863:$AA$6863)/tk_life</f>
        <v>83.932309040725</v>
      </c>
      <c r="Y6866" s="38" t="n">
        <f aca="false">SUMPRODUCT(--(Sens!$R$6831:$AA$6831&lt;Sens!Y$6831),--(Sens!$R$6831:$AA$6831&gt;=Sens!Y$6831-tk_life),Sens!$R$6863:$AA$6863)/tk_life</f>
        <v>111.055205760776</v>
      </c>
      <c r="Z6866" s="38" t="n">
        <f aca="false">SUMPRODUCT(--(Sens!$R$6831:$AA$6831&lt;Sens!Z$6831),--(Sens!$R$6831:$AA$6831&gt;=Sens!Z$6831-tk_life),Sens!$R$6863:$AA$6863)/tk_life</f>
        <v>128.420765689732</v>
      </c>
      <c r="AA6866" s="38" t="n">
        <f aca="false">SUMPRODUCT(--(Sens!$R$6831:$AA$6831&lt;Sens!AA$6831),--(Sens!$R$6831:$AA$6831&gt;=Sens!AA$6831-tk_life),Sens!$R$6863:$AA$6863)/tk_life</f>
        <v>138.766969322653</v>
      </c>
    </row>
    <row r="6867" customFormat="false" ht="17.15" hidden="false" customHeight="false" outlineLevel="0" collapsed="false">
      <c r="A6867" s="0" t="s">
        <v>632</v>
      </c>
      <c r="B6867" s="0" t="s">
        <v>86</v>
      </c>
      <c r="C6867" s="38" t="n">
        <f aca="false">Sens!$S$6867</f>
        <v>0.0202511502553155</v>
      </c>
      <c r="D6867" s="38" t="n">
        <f aca="false">Sens!$T$6867</f>
        <v>0.360549480652134</v>
      </c>
      <c r="E6867" s="38" t="n">
        <f aca="false">Sens!$G$6867/2</f>
        <v>0.648547360125127</v>
      </c>
      <c r="F6867" s="38" t="n">
        <f aca="false">Sens!$G$6867/2</f>
        <v>0.648547360125127</v>
      </c>
      <c r="G6867" s="38" t="n">
        <f aca="false">Sens!$U$6867</f>
        <v>1.29709472025025</v>
      </c>
      <c r="H6867" s="38" t="n">
        <f aca="false">Sens!$V$6867</f>
        <v>3.21599529914753</v>
      </c>
      <c r="I6867" s="38" t="n">
        <f aca="false">Sens!$W$6867</f>
        <v>5.51832434914753</v>
      </c>
      <c r="J6867" s="38" t="n">
        <f aca="false">Sens!$X$6867</f>
        <v>7.82065339914753</v>
      </c>
      <c r="K6867" s="38" t="n">
        <f aca="false">Sens!$Y$6867</f>
        <v>10.1229824491475</v>
      </c>
      <c r="L6867" s="38" t="n">
        <f aca="false">Sens!$Z$6867</f>
        <v>11.7516267992309</v>
      </c>
      <c r="M6867" s="38" t="n">
        <f aca="false">Sens!$AA$6867</f>
        <v>12.7065864493975</v>
      </c>
      <c r="N6867" s="38" t="n">
        <f aca="false">Sens!$D$6867/2</f>
        <v>0.180274740326067</v>
      </c>
      <c r="O6867" s="38" t="n">
        <f aca="false">Sens!$D$6867/2</f>
        <v>0.180274740326067</v>
      </c>
      <c r="R6867" s="38" t="n">
        <f aca="false">SUMPRODUCT(--(Sens!$R$6831:$AA$6831&lt;Sens!R$6831),Sens!$R$6864:$AA$6864)/fac_life</f>
        <v>0</v>
      </c>
      <c r="S6867" s="38" t="n">
        <f aca="false">SUMPRODUCT(--(Sens!$R$6831:$AA$6831&lt;Sens!S$6831),Sens!$R$6864:$AA$6864)/fac_life</f>
        <v>0.0202511502553155</v>
      </c>
      <c r="T6867" s="38" t="n">
        <f aca="false">SUMPRODUCT(--(Sens!$R$6831:$AA$6831&lt;Sens!T$6831),Sens!$R$6864:$AA$6864)/fac_life</f>
        <v>0.360549480652134</v>
      </c>
      <c r="U6867" s="38" t="n">
        <f aca="false">SUMPRODUCT(--(Sens!$R$6831:$AA$6831&lt;Sens!U$6831),Sens!$R$6864:$AA$6864)/fac_life</f>
        <v>1.29709472025025</v>
      </c>
      <c r="V6867" s="38" t="n">
        <f aca="false">SUMPRODUCT(--(Sens!$R$6831:$AA$6831&lt;Sens!V$6831),Sens!$R$6864:$AA$6864)/fac_life</f>
        <v>3.21599529914753</v>
      </c>
      <c r="W6867" s="38" t="n">
        <f aca="false">SUMPRODUCT(--(Sens!$R$6831:$AA$6831&lt;Sens!W$6831),Sens!$R$6864:$AA$6864)/fac_life</f>
        <v>5.51832434914753</v>
      </c>
      <c r="X6867" s="38" t="n">
        <f aca="false">SUMPRODUCT(--(Sens!$R$6831:$AA$6831&lt;Sens!X$6831),Sens!$R$6864:$AA$6864)/fac_life</f>
        <v>7.82065339914753</v>
      </c>
      <c r="Y6867" s="38" t="n">
        <f aca="false">SUMPRODUCT(--(Sens!$R$6831:$AA$6831&lt;Sens!Y$6831),Sens!$R$6864:$AA$6864)/fac_life</f>
        <v>10.1229824491475</v>
      </c>
      <c r="Z6867" s="38" t="n">
        <f aca="false">SUMPRODUCT(--(Sens!$R$6831:$AA$6831&lt;Sens!Z$6831),Sens!$R$6864:$AA$6864)/fac_life</f>
        <v>11.7516267992309</v>
      </c>
      <c r="AA6867" s="38" t="n">
        <f aca="false">SUMPRODUCT(--(Sens!$R$6831:$AA$6831&lt;Sens!AA$6831),Sens!$R$6864:$AA$6864)/fac_life</f>
        <v>12.7065864493975</v>
      </c>
    </row>
    <row r="6868" customFormat="false" ht="17.15" hidden="false" customHeight="false" outlineLevel="0" collapsed="false">
      <c r="A6868" s="1" t="s">
        <v>633</v>
      </c>
      <c r="B6868" s="8" t="s">
        <v>86</v>
      </c>
      <c r="C6868" s="38" t="n">
        <f aca="false">Sens!$C$6866+Sens!$C$6867</f>
        <v>0.203463948620839</v>
      </c>
      <c r="D6868" s="38" t="n">
        <f aca="false">Sens!$D$6866+Sens!$D$6867</f>
        <v>3.62245206231783</v>
      </c>
      <c r="E6868" s="38" t="n">
        <f aca="false">Sens!$E$6866+Sens!$E$6867</f>
        <v>6.51597588754466</v>
      </c>
      <c r="F6868" s="38" t="n">
        <f aca="false">Sens!$F$6866+Sens!$F$6867</f>
        <v>6.51597588754466</v>
      </c>
      <c r="G6868" s="38" t="n">
        <f aca="false">Sens!$G$6866+Sens!$G$6867</f>
        <v>13.0319517750893</v>
      </c>
      <c r="H6868" s="38" t="n">
        <f aca="false">Sens!$H$6866+Sens!$H$6867</f>
        <v>35.2941921973308</v>
      </c>
      <c r="I6868" s="38" t="n">
        <f aca="false">Sens!$I$6866+Sens!$I$6867</f>
        <v>63.0173185714558</v>
      </c>
      <c r="J6868" s="38" t="n">
        <f aca="false">Sens!$J$6866+Sens!$J$6867</f>
        <v>91.7529624398725</v>
      </c>
      <c r="K6868" s="38" t="n">
        <f aca="false">Sens!$K$6866+Sens!$K$6867</f>
        <v>121.178188209924</v>
      </c>
      <c r="L6868" s="38" t="n">
        <f aca="false">Sens!$L$6866+Sens!$L$6867</f>
        <v>140.172392488963</v>
      </c>
      <c r="M6868" s="38" t="n">
        <f aca="false">Sens!$M$6866+Sens!$M$6867</f>
        <v>151.473555772051</v>
      </c>
      <c r="N6868" s="38" t="n">
        <f aca="false">Sens!$N$6866+Sens!$N$6867</f>
        <v>1.81122603115892</v>
      </c>
      <c r="O6868" s="38" t="n">
        <f aca="false">Sens!$O$6866+Sens!$O$6867</f>
        <v>1.81122603115892</v>
      </c>
      <c r="R6868" s="38" t="n">
        <f aca="false">Sens!$R$6866+Sens!$R$6867</f>
        <v>0</v>
      </c>
      <c r="S6868" s="38" t="n">
        <f aca="false">Sens!$S$6866+Sens!$S$6867</f>
        <v>0.203463948620839</v>
      </c>
      <c r="T6868" s="38" t="n">
        <f aca="false">Sens!$T$6866+Sens!$T$6867</f>
        <v>3.62245206231783</v>
      </c>
      <c r="U6868" s="38" t="n">
        <f aca="false">Sens!$U$6866+Sens!$U$6867</f>
        <v>13.0319517750893</v>
      </c>
      <c r="V6868" s="38" t="n">
        <f aca="false">Sens!$V$6866+Sens!$V$6867</f>
        <v>35.2941921973308</v>
      </c>
      <c r="W6868" s="38" t="n">
        <f aca="false">Sens!$W$6866+Sens!$W$6867</f>
        <v>63.0173185714558</v>
      </c>
      <c r="X6868" s="38" t="n">
        <f aca="false">Sens!$X$6866+Sens!$X$6867</f>
        <v>91.7529624398725</v>
      </c>
      <c r="Y6868" s="38" t="n">
        <f aca="false">Sens!$Y$6866+Sens!$Y$6867</f>
        <v>121.178188209924</v>
      </c>
      <c r="Z6868" s="38" t="n">
        <f aca="false">Sens!$Z$6866+Sens!$Z$6867</f>
        <v>140.172392488963</v>
      </c>
      <c r="AA6868" s="38" t="n">
        <f aca="false">Sens!$AA$6866+Sens!$AA$6867</f>
        <v>151.473555772051</v>
      </c>
    </row>
    <row r="6869" customFormat="false" ht="17.15" hidden="false" customHeight="false" outlineLevel="0" collapsed="false">
      <c r="A6869" s="0" t="s">
        <v>634</v>
      </c>
      <c r="B6869" s="0" t="s">
        <v>86</v>
      </c>
      <c r="C6869" s="38" t="n">
        <f aca="false">Sens!$S$6869</f>
        <v>26.578941154416</v>
      </c>
      <c r="D6869" s="38" t="n">
        <f aca="false">Sens!$T$6869</f>
        <v>92.5251207231008</v>
      </c>
      <c r="G6869" s="38" t="n">
        <f aca="false">Sens!$U$6869</f>
        <v>239.931219586022</v>
      </c>
      <c r="H6869" s="38" t="n">
        <f aca="false">Sens!$V$6869</f>
        <v>403.208392333442</v>
      </c>
      <c r="I6869" s="38" t="n">
        <f aca="false">Sens!$W$6869</f>
        <v>544.837543672486</v>
      </c>
      <c r="J6869" s="38" t="n">
        <f aca="false">Sens!$X$6869</f>
        <v>662.967819343113</v>
      </c>
      <c r="K6869" s="38" t="n">
        <f aca="false">Sens!$Y$6869</f>
        <v>697.028016408391</v>
      </c>
      <c r="L6869" s="38" t="n">
        <f aca="false">Sens!$Z$6869</f>
        <v>688.86976555933</v>
      </c>
      <c r="M6869" s="38" t="n">
        <f aca="false">Sens!$AA$6869</f>
        <v>669.627191447132</v>
      </c>
      <c r="R6869" s="38" t="n">
        <f aca="false">SUM(Sens!$R$6861:$R$6861)-SUM(Sens!$R$6868:$R$6868)</f>
        <v>1.50429979529945</v>
      </c>
      <c r="S6869" s="38" t="n">
        <f aca="false">SUM(Sens!$R$6861:$S$6861)-SUM(Sens!$R$6868:$S$6868)</f>
        <v>26.578941154416</v>
      </c>
      <c r="T6869" s="38" t="n">
        <f aca="false">SUM(Sens!$R$6861:$T$6861)-SUM(Sens!$R$6868:$T$6868)</f>
        <v>92.5251207231008</v>
      </c>
      <c r="U6869" s="38" t="n">
        <f aca="false">SUM(Sens!$R$6861:$U$6861)-SUM(Sens!$R$6868:$U$6868)</f>
        <v>239.931219586022</v>
      </c>
      <c r="V6869" s="38" t="n">
        <f aca="false">SUM(Sens!$R$6861:$V$6861)-SUM(Sens!$R$6868:$V$6868)</f>
        <v>403.208392333442</v>
      </c>
      <c r="W6869" s="38" t="n">
        <f aca="false">SUM(Sens!$R$6861:$W$6861)-SUM(Sens!$R$6868:$W$6868)</f>
        <v>544.837543672486</v>
      </c>
      <c r="X6869" s="38" t="n">
        <f aca="false">SUM(Sens!$R$6861:$X$6861)-SUM(Sens!$R$6868:$X$6868)</f>
        <v>662.967819343113</v>
      </c>
      <c r="Y6869" s="38" t="n">
        <f aca="false">SUM(Sens!$R$6861:$Y$6861)-SUM(Sens!$R$6868:$Y$6868)</f>
        <v>697.028016408391</v>
      </c>
      <c r="Z6869" s="38" t="n">
        <f aca="false">SUM(Sens!$R$6861:$Z$6861)-SUM(Sens!$R$6868:$Z$6868)</f>
        <v>688.86976555933</v>
      </c>
      <c r="AA6869" s="38" t="n">
        <f aca="false">SUM(Sens!$R$6861:$AA$6861)-SUM(Sens!$R$6868:$AA$6868)</f>
        <v>669.627191447132</v>
      </c>
    </row>
    <row r="6870" customFormat="false" ht="17.15" hidden="false" customHeight="false" outlineLevel="0" collapsed="false">
      <c r="A6870" s="1" t="s">
        <v>635</v>
      </c>
    </row>
    <row r="6871" customFormat="false" ht="17.15" hidden="false" customHeight="false" outlineLevel="0" collapsed="false">
      <c r="A6871" s="0" t="s">
        <v>636</v>
      </c>
      <c r="B6871" s="0" t="s">
        <v>86</v>
      </c>
      <c r="C6871" s="38" t="n">
        <f aca="false">Sens!$C$6852-ext_sh*Sens!$C$6854</f>
        <v>1.80694998843362</v>
      </c>
      <c r="D6871" s="38" t="n">
        <f aca="false">Sens!$D$6852-ext_sh*Sens!$D$6854</f>
        <v>6.77606245662607</v>
      </c>
      <c r="E6871" s="38" t="n">
        <f aca="false">Sens!$E$6852-ext_sh*Sens!$E$6854</f>
        <v>6.62548329092326</v>
      </c>
      <c r="F6871" s="38" t="n">
        <f aca="false">Sens!$F$6852-ext_sh*Sens!$F$6854</f>
        <v>11.7200577158706</v>
      </c>
      <c r="G6871" s="38" t="n">
        <f aca="false">Sens!$G$6852-ext_sh*Sens!$G$6854</f>
        <v>18.3455410067939</v>
      </c>
      <c r="H6871" s="38" t="n">
        <f aca="false">Sens!$H$6852-ext_sh*Sens!$H$6854</f>
        <v>47.5171727060453</v>
      </c>
      <c r="I6871" s="38" t="n">
        <f aca="false">Sens!$I$6852-ext_sh*Sens!$I$6854</f>
        <v>80.5539692643667</v>
      </c>
      <c r="J6871" s="38" t="n">
        <f aca="false">Sens!$J$6852-ext_sh*Sens!$J$6854</f>
        <v>113.759316834883</v>
      </c>
      <c r="K6871" s="38" t="n">
        <f aca="false">Sens!$K$6852-ext_sh*Sens!$K$6854</f>
        <v>142.084411492169</v>
      </c>
      <c r="L6871" s="38" t="n">
        <f aca="false">Sens!$L$6852-ext_sh*Sens!$L$6854</f>
        <v>160.69964615804</v>
      </c>
      <c r="M6871" s="38" t="n">
        <f aca="false">Sens!$M$6852-ext_sh*Sens!$M$6854</f>
        <v>169.577607141793</v>
      </c>
      <c r="N6871" s="38" t="n">
        <f aca="false">Sens!$N$6852-ext_sh*Sens!$N$6854</f>
        <v>2.37162185981912</v>
      </c>
      <c r="O6871" s="38" t="n">
        <f aca="false">Sens!$O$6852-ext_sh*Sens!$O$6854</f>
        <v>4.40444059680694</v>
      </c>
    </row>
    <row r="6872" customFormat="false" ht="17.15" hidden="false" customHeight="false" outlineLevel="0" collapsed="false">
      <c r="A6872" s="1" t="s">
        <v>637</v>
      </c>
      <c r="B6872" s="8" t="s">
        <v>86</v>
      </c>
      <c r="C6872" s="38" t="n">
        <f aca="false">Sens!$C$6871-ext_sh*Sens!$C$6868</f>
        <v>1.64417882953695</v>
      </c>
      <c r="D6872" s="38" t="n">
        <f aca="false">Sens!$D$6871-ext_sh*Sens!$D$6868</f>
        <v>3.8781008067718</v>
      </c>
      <c r="E6872" s="38" t="n">
        <f aca="false">Sens!$E$6871-ext_sh*Sens!$E$6868</f>
        <v>1.41270258088753</v>
      </c>
      <c r="F6872" s="38" t="n">
        <f aca="false">Sens!$F$6871-ext_sh*Sens!$F$6868</f>
        <v>6.50727700583486</v>
      </c>
      <c r="G6872" s="38" t="n">
        <f aca="false">Sens!$G$6871-ext_sh*Sens!$G$6868</f>
        <v>7.9199795867224</v>
      </c>
      <c r="H6872" s="38" t="n">
        <f aca="false">Sens!$H$6871-ext_sh*Sens!$H$6868</f>
        <v>19.2818189481807</v>
      </c>
      <c r="I6872" s="38" t="n">
        <f aca="false">Sens!$I$6871-ext_sh*Sens!$I$6868</f>
        <v>30.140114407202</v>
      </c>
      <c r="J6872" s="38" t="n">
        <f aca="false">Sens!$J$6871-ext_sh*Sens!$J$6868</f>
        <v>40.3569468829854</v>
      </c>
      <c r="K6872" s="38" t="n">
        <f aca="false">Sens!$K$6871-ext_sh*Sens!$K$6868</f>
        <v>45.1418609242305</v>
      </c>
      <c r="L6872" s="38" t="n">
        <f aca="false">Sens!$L$6871-ext_sh*Sens!$L$6868</f>
        <v>48.5617321668703</v>
      </c>
      <c r="M6872" s="38" t="n">
        <f aca="false">Sens!$M$6871-ext_sh*Sens!$M$6868</f>
        <v>48.3987625241529</v>
      </c>
      <c r="N6872" s="38" t="n">
        <f aca="false">Sens!$N$6871-ext_sh*Sens!$N$6868</f>
        <v>0.92264103489199</v>
      </c>
      <c r="O6872" s="38" t="n">
        <f aca="false">Sens!$O$6871-ext_sh*Sens!$O$6868</f>
        <v>2.95545977187981</v>
      </c>
    </row>
    <row r="6873" customFormat="false" ht="17.15" hidden="false" customHeight="false" outlineLevel="0" collapsed="false">
      <c r="A6873" s="0" t="s">
        <v>638</v>
      </c>
      <c r="B6873" s="0" t="s">
        <v>52</v>
      </c>
      <c r="C6873" s="13" t="n">
        <f aca="false">Sens!$C$6872/Sens!$C$6852</f>
        <v>0.708390794789371</v>
      </c>
      <c r="D6873" s="13" t="n">
        <f aca="false">Sens!$D$6872/Sens!$D$6852</f>
        <v>0.445565630441968</v>
      </c>
      <c r="E6873" s="13" t="n">
        <f aca="false">Sens!$E$6872/Sens!$E$6852</f>
        <v>0.165998118402711</v>
      </c>
      <c r="F6873" s="13" t="n">
        <f aca="false">Sens!$F$6872/Sens!$F$6852</f>
        <v>0.434878595403858</v>
      </c>
      <c r="G6873" s="13" t="n">
        <f aca="false">Sens!$G$6872/Sens!$G$6852</f>
        <v>0.3373967615381</v>
      </c>
      <c r="H6873" s="13" t="n">
        <f aca="false">Sens!$H$6872/Sens!$H$6852</f>
        <v>0.320477578041224</v>
      </c>
      <c r="I6873" s="13" t="n">
        <f aca="false">Sens!$I$6872/Sens!$I$6852</f>
        <v>0.296936118226494</v>
      </c>
      <c r="J6873" s="13" t="n">
        <f aca="false">Sens!$J$6872/Sens!$J$6852</f>
        <v>0.282166278613001</v>
      </c>
      <c r="K6873" s="13" t="n">
        <f aca="false">Sens!$K$6872/Sens!$K$6852</f>
        <v>0.252969102881543</v>
      </c>
      <c r="L6873" s="13" t="n">
        <f aca="false">Sens!$L$6872/Sens!$L$6852</f>
        <v>0.240728642826566</v>
      </c>
      <c r="M6873" s="13" t="n">
        <f aca="false">Sens!$M$6872/Sens!$M$6852</f>
        <v>0.227399920863147</v>
      </c>
      <c r="N6873" s="13" t="n">
        <f aca="false">Sens!$N$6872/Sens!$N$6852</f>
        <v>0.302870734830849</v>
      </c>
      <c r="O6873" s="13" t="n">
        <f aca="false">Sens!$O$6872/Sens!$O$6852</f>
        <v>0.52240134346334</v>
      </c>
    </row>
    <row r="6874" customFormat="false" ht="17.15" hidden="false" customHeight="false" outlineLevel="0" collapsed="false">
      <c r="A6874" s="5" t="s">
        <v>639</v>
      </c>
      <c r="B6874" s="0" t="s">
        <v>86</v>
      </c>
      <c r="C6874" s="39" t="n">
        <v>0</v>
      </c>
      <c r="D6874" s="39" t="n">
        <v>0</v>
      </c>
      <c r="E6874" s="39" t="n">
        <v>0</v>
      </c>
      <c r="F6874" s="38" t="n">
        <f aca="false">IF(internal_ai_reading=2,1,0)*(1-ext_sh)/ext_sh*(mw_open*he_open+Sens!$F$6850*Sens!$F$6847)*Sens!$F$6836/1000</f>
        <v>3.77122048175818</v>
      </c>
      <c r="G6874" s="38" t="n">
        <f aca="false">Sens!$E$6874+Sens!$F$6874</f>
        <v>3.77122048175818</v>
      </c>
      <c r="H6874" s="38" t="n">
        <f aca="false">IF(internal_ai_reading=2,1,0)*(1-ext_sh)/ext_sh*(mw_open*he_open+Sens!$H$6850*Sens!$H$6847)*Sens!$H$6836/1000</f>
        <v>15.1635543609893</v>
      </c>
      <c r="I6874" s="38" t="n">
        <f aca="false">IF(internal_ai_reading=2,1,0)*(1-ext_sh)/ext_sh*(mw_open*he_open+Sens!$I$6850*Sens!$I$6847)*Sens!$I$6836/1000</f>
        <v>25.5818843619889</v>
      </c>
      <c r="J6874" s="38" t="n">
        <f aca="false">IF(internal_ai_reading=2,1,0)*(1-ext_sh)/ext_sh*(mw_open*he_open+Sens!$J$6850*Sens!$J$6847)*Sens!$J$6836/1000</f>
        <v>36.0465624179122</v>
      </c>
      <c r="K6874" s="38" t="n">
        <f aca="false">IF(internal_ai_reading=2,1,0)*(1-ext_sh)/ext_sh*(mw_open*he_open+Sens!$K$6850*Sens!$K$6847)*Sens!$K$6836/1000</f>
        <v>44.9741164026038</v>
      </c>
      <c r="L6874" s="38" t="n">
        <f aca="false">IF(internal_ai_reading=2,1,0)*(1-ext_sh)/ext_sh*(mw_open*he_open+Sens!$L$6850*Sens!$L$6847)*Sens!$L$6836/1000</f>
        <v>50.8413488057813</v>
      </c>
      <c r="M6874" s="38" t="n">
        <f aca="false">IF(internal_ai_reading=2,1,0)*(1-ext_sh)/ext_sh*(mw_open*he_open+Sens!$M$6850*Sens!$M$6847)*Sens!$M$6836/1000</f>
        <v>53.6407214274315</v>
      </c>
      <c r="N6874" s="39" t="n">
        <v>0</v>
      </c>
      <c r="O6874" s="39" t="n">
        <v>0</v>
      </c>
      <c r="P6874" s="8" t="s">
        <v>640</v>
      </c>
    </row>
    <row r="6875" customFormat="false" ht="17.15" hidden="false" customHeight="false" outlineLevel="0" collapsed="false">
      <c r="A6875" s="5" t="s">
        <v>641</v>
      </c>
      <c r="B6875" s="0" t="s">
        <v>86</v>
      </c>
      <c r="C6875" s="38" t="n">
        <f aca="false">(1-ext_sh)*(Sens!$C$6854+Sens!$C$6868)</f>
        <v>0.169206631859174</v>
      </c>
      <c r="D6875" s="38" t="n">
        <f aca="false">(1-ext_sh)*(Sens!$D$6854+Sens!$D$6868)</f>
        <v>1.20641732046984</v>
      </c>
      <c r="E6875" s="38" t="n">
        <f aca="false">(1-ext_sh)*(Sens!$E$6854+Sens!$E$6868)</f>
        <v>1.77441259867062</v>
      </c>
      <c r="F6875" s="38" t="n">
        <f aca="false">(1-ext_sh)*(Sens!$F$6854+Sens!$F$6868)</f>
        <v>2.1140391597214</v>
      </c>
      <c r="G6875" s="38" t="n">
        <f aca="false">(1-ext_sh)*(Sens!$G$6854+Sens!$G$6868)</f>
        <v>3.88845175839202</v>
      </c>
      <c r="H6875" s="38" t="n">
        <f aca="false">(1-ext_sh)*(Sens!$H$6854+Sens!$H$6868)</f>
        <v>10.2210179503985</v>
      </c>
      <c r="I6875" s="38" t="n">
        <f aca="false">(1-ext_sh)*(Sens!$I$6854+Sens!$I$6868)</f>
        <v>17.8408961823075</v>
      </c>
      <c r="J6875" s="38" t="n">
        <f aca="false">(1-ext_sh)*(Sens!$J$6854+Sens!$J$6868)</f>
        <v>25.6671150670732</v>
      </c>
      <c r="K6875" s="38" t="n">
        <f aca="false">(1-ext_sh)*(Sens!$K$6854+Sens!$K$6868)</f>
        <v>33.3265648647373</v>
      </c>
      <c r="L6875" s="38" t="n">
        <f aca="false">(1-ext_sh)*(Sens!$L$6854+Sens!$L$6868)</f>
        <v>38.2915924088815</v>
      </c>
      <c r="M6875" s="38" t="n">
        <f aca="false">(1-ext_sh)*(Sens!$M$6854+Sens!$M$6868)</f>
        <v>41.1091697111781</v>
      </c>
      <c r="N6875" s="38" t="n">
        <f aca="false">(1-ext_sh)*(Sens!$N$6854+Sens!$N$6868)</f>
        <v>0.530919624033979</v>
      </c>
      <c r="O6875" s="38" t="n">
        <f aca="false">(1-ext_sh)*(Sens!$O$6854+Sens!$O$6868)</f>
        <v>0.675497696435861</v>
      </c>
    </row>
    <row r="6876" customFormat="false" ht="17.15" hidden="false" customHeight="false" outlineLevel="0" collapsed="false">
      <c r="A6876" s="0" t="s">
        <v>642</v>
      </c>
      <c r="B6876" s="0" t="s">
        <v>86</v>
      </c>
      <c r="C6876" s="38" t="n">
        <f aca="false">Q!$D$24</f>
        <v>39.834</v>
      </c>
      <c r="D6876" s="38" t="n">
        <f aca="false">Q!$E$24</f>
        <v>45.606</v>
      </c>
      <c r="E6876" s="38" t="n">
        <f aca="false">Q!$P$24</f>
        <v>30.782</v>
      </c>
      <c r="N6876" s="38" t="n">
        <f aca="false">Q!$N$24</f>
        <v>21.707</v>
      </c>
      <c r="O6876" s="38" t="n">
        <f aca="false">Q!$O$24</f>
        <v>23.899</v>
      </c>
    </row>
    <row r="6877" customFormat="false" ht="17.15" hidden="false" customHeight="false" outlineLevel="0" collapsed="false">
      <c r="A6877" s="0" t="s">
        <v>643</v>
      </c>
      <c r="B6877" s="0" t="s">
        <v>86</v>
      </c>
      <c r="C6877" s="38" t="n">
        <f aca="false">Sens!$C$6876-Sens!$C$6872</f>
        <v>38.1898211704631</v>
      </c>
      <c r="D6877" s="38" t="n">
        <f aca="false">Sens!$D$6876-Sens!$D$6872</f>
        <v>41.7278991932282</v>
      </c>
      <c r="E6877" s="38" t="n">
        <f aca="false">Sens!$E$6876-Sens!$E$6872</f>
        <v>29.3692974191125</v>
      </c>
      <c r="F6877" s="38" t="n">
        <f aca="false">Sens!$F$6856*Sens!$F$6878</f>
        <v>26.8997276714137</v>
      </c>
      <c r="G6877" s="38" t="n">
        <f aca="false">Sens!$E$6877+Sens!$F$6877</f>
        <v>56.2690250905262</v>
      </c>
      <c r="H6877" s="38" t="n">
        <f aca="false">Sens!$H$6856*Sens!$H$6878</f>
        <v>60.3505333937343</v>
      </c>
      <c r="I6877" s="38" t="n">
        <f aca="false">Sens!$I$6856*Sens!$I$6878</f>
        <v>67.0043857303571</v>
      </c>
      <c r="J6877" s="38" t="n">
        <f aca="false">Sens!$J$6856*Sens!$J$6878</f>
        <v>73.3782922956925</v>
      </c>
      <c r="K6877" s="38" t="n">
        <f aca="false">Sens!$K$6856*Sens!$K$6878</f>
        <v>79.2485556793479</v>
      </c>
      <c r="L6877" s="38" t="n">
        <f aca="false">Sens!$L$6856*Sens!$L$6878</f>
        <v>85.5884401336958</v>
      </c>
      <c r="M6877" s="38" t="n">
        <f aca="false">Sens!$M$6856*Sens!$M$6878</f>
        <v>92.4355153443914</v>
      </c>
      <c r="N6877" s="38" t="n">
        <f aca="false">Sens!$N$6876-Sens!$N$6872</f>
        <v>20.784358965108</v>
      </c>
      <c r="O6877" s="38" t="n">
        <f aca="false">Sens!$O$6876-Sens!$O$6872</f>
        <v>20.9435402281202</v>
      </c>
      <c r="P6877" s="5" t="s">
        <v>644</v>
      </c>
    </row>
    <row r="6878" customFormat="false" ht="17.15" hidden="false" customHeight="false" outlineLevel="0" collapsed="false">
      <c r="A6878" s="0" t="s">
        <v>645</v>
      </c>
      <c r="B6878" s="0" t="s">
        <v>52</v>
      </c>
      <c r="C6878" s="13" t="n">
        <f aca="false">Sens!$C$6877/Sens!$C$6856</f>
        <v>0.362900395443635</v>
      </c>
      <c r="D6878" s="13" t="n">
        <f aca="false">Sens!$D$6877/Sens!$D$6856</f>
        <v>0.34767098474203</v>
      </c>
      <c r="E6878" s="13" t="n">
        <f aca="false">Sens!$E$6877/Sens!$E$6856</f>
        <v>0.411861655558416</v>
      </c>
      <c r="F6878" s="13" t="n">
        <f aca="false">(Sens!$O$6877+Sens!$E$6877)/(Sens!$O$6856+Sens!$E$6856)</f>
        <v>0.37480827803158</v>
      </c>
      <c r="G6878" s="13" t="n">
        <f aca="false">Sens!$G$6877/Sens!$G$6856</f>
        <v>0.393275318395757</v>
      </c>
      <c r="H6878" s="13" t="n">
        <f aca="false">Sens!$F$6878</f>
        <v>0.37480827803158</v>
      </c>
      <c r="I6878" s="13" t="n">
        <f aca="false">Sens!$F$6878</f>
        <v>0.37480827803158</v>
      </c>
      <c r="J6878" s="13" t="n">
        <f aca="false">Sens!$F$6878</f>
        <v>0.37480827803158</v>
      </c>
      <c r="K6878" s="13" t="n">
        <f aca="false">Sens!$F$6878</f>
        <v>0.37480827803158</v>
      </c>
      <c r="L6878" s="13" t="n">
        <f aca="false">Sens!$F$6878</f>
        <v>0.37480827803158</v>
      </c>
      <c r="M6878" s="13" t="n">
        <f aca="false">Sens!$F$6878</f>
        <v>0.37480827803158</v>
      </c>
      <c r="N6878" s="13" t="n">
        <f aca="false">Sens!$N$6877/Sens!$N$6856</f>
        <v>0.364039571356823</v>
      </c>
      <c r="O6878" s="13" t="n">
        <f aca="false">Sens!$O$6877/Sens!$O$6856</f>
        <v>0.332819892300086</v>
      </c>
      <c r="P6878" s="8" t="s">
        <v>646</v>
      </c>
    </row>
    <row r="6879" customFormat="false" ht="17.15" hidden="false" customHeight="false" outlineLevel="0" collapsed="false">
      <c r="A6879" s="0" t="s">
        <v>647</v>
      </c>
      <c r="B6879" s="0" t="s">
        <v>52</v>
      </c>
      <c r="D6879" s="13" t="n">
        <f aca="false">(Q!$E$31-ext_sh*Sens!$D$6868)/Sens!$D$6856</f>
        <v>0.154572973163571</v>
      </c>
    </row>
    <row r="6880" customFormat="false" ht="17.15" hidden="false" customHeight="false" outlineLevel="0" collapsed="false">
      <c r="A6880" s="0" t="s">
        <v>648</v>
      </c>
      <c r="B6880" s="0" t="s">
        <v>86</v>
      </c>
      <c r="C6880" s="38" t="n">
        <f aca="false">Q!$D$31</f>
        <v>13.32</v>
      </c>
      <c r="D6880" s="38" t="n">
        <f aca="false">Q!$E$31</f>
        <v>21.45</v>
      </c>
      <c r="E6880" s="38" t="n">
        <f aca="false">Q!$P$31</f>
        <v>15.353</v>
      </c>
      <c r="F6880" s="38" t="n">
        <f aca="false">ext_sh*Sens!$F$6868+Sens!$D$6879*Sens!$F$6856</f>
        <v>16.3063747611001</v>
      </c>
      <c r="G6880" s="38" t="n">
        <f aca="false">Sens!$E$6880+Sens!$F$6880</f>
        <v>31.6593747611001</v>
      </c>
      <c r="H6880" s="38" t="n">
        <f aca="false">ext_sh*Sens!$H$6868+Sens!$D$6879*Sens!$H$6856</f>
        <v>53.124242092105</v>
      </c>
      <c r="I6880" s="38" t="n">
        <f aca="false">ext_sh*Sens!$I$6868+Sens!$D$6879*Sens!$I$6856</f>
        <v>78.046828098133</v>
      </c>
      <c r="J6880" s="38" t="n">
        <f aca="false">ext_sh*Sens!$J$6868+Sens!$D$6879*Sens!$J$6856</f>
        <v>103.663976940352</v>
      </c>
      <c r="K6880" s="38" t="n">
        <f aca="false">ext_sh*Sens!$K$6868+Sens!$D$6879*Sens!$K$6856</f>
        <v>129.625086115469</v>
      </c>
      <c r="L6880" s="38" t="n">
        <f aca="false">ext_sh*Sens!$L$6868+Sens!$D$6879*Sens!$L$6856</f>
        <v>147.435052382502</v>
      </c>
      <c r="M6880" s="38" t="n">
        <f aca="false">ext_sh*Sens!$M$6868+Sens!$D$6879*Sens!$M$6856</f>
        <v>159.299754080279</v>
      </c>
      <c r="N6880" s="38" t="n">
        <f aca="false">Q!$N$31</f>
        <v>9.234</v>
      </c>
      <c r="O6880" s="38" t="n">
        <f aca="false">Q!$O$31</f>
        <v>12.216</v>
      </c>
    </row>
    <row r="6881" customFormat="false" ht="17.15" hidden="false" customHeight="false" outlineLevel="0" collapsed="false">
      <c r="A6881" s="1" t="s">
        <v>649</v>
      </c>
    </row>
    <row r="6882" customFormat="false" ht="17.15" hidden="false" customHeight="false" outlineLevel="0" collapsed="false">
      <c r="A6882" s="15" t="s">
        <v>650</v>
      </c>
      <c r="B6882" s="14" t="s">
        <v>52</v>
      </c>
      <c r="C6882" s="14"/>
      <c r="D6882" s="14"/>
      <c r="E6882" s="14"/>
      <c r="F6882" s="14"/>
      <c r="G6882" s="17" t="n">
        <f aca="false">Sens!$G$6872*(1-tax)/(ext_sh*(Sens!$D$6869+Sens!$G$6869)/2)</f>
        <v>0.0492184452944045</v>
      </c>
      <c r="H6882" s="17" t="n">
        <f aca="false">Sens!$H$6872*(1-tax)/(ext_sh*(Sens!$G$6869+Sens!$H$6869)/2)</f>
        <v>0.0619414246858107</v>
      </c>
      <c r="I6882" s="17" t="n">
        <f aca="false">Sens!$I$6872*(1-tax)/(ext_sh*(Sens!$H$6869+Sens!$I$6869)/2)</f>
        <v>0.0656831488051666</v>
      </c>
      <c r="J6882" s="17" t="n">
        <f aca="false">Sens!$J$6872*(1-tax)/(ext_sh*(Sens!$I$6869+Sens!$J$6869)/2)</f>
        <v>0.0690334849962116</v>
      </c>
      <c r="K6882" s="17" t="n">
        <f aca="false">Sens!$K$6872*(1-tax)/(ext_sh*(Sens!$J$6869+Sens!$K$6869)/2)</f>
        <v>0.0685772915331967</v>
      </c>
      <c r="L6882" s="17" t="n">
        <f aca="false">Sens!$L$6872*(1-tax)/(ext_sh*(Sens!$K$6869+Sens!$L$6869)/2)</f>
        <v>0.0723938074635756</v>
      </c>
      <c r="M6882" s="17" t="n">
        <f aca="false">Sens!$M$6872*(1-tax)/(ext_sh*(Sens!$L$6869+Sens!$M$6869)/2)</f>
        <v>0.0736061388214139</v>
      </c>
      <c r="N6882" s="14"/>
      <c r="O6882" s="14"/>
      <c r="P6882" s="8" t="s">
        <v>651</v>
      </c>
    </row>
    <row r="6883" customFormat="false" ht="17.15" hidden="false" customHeight="false" outlineLevel="0" collapsed="false">
      <c r="A6883" s="5" t="s">
        <v>652</v>
      </c>
      <c r="B6883" s="0" t="s">
        <v>57</v>
      </c>
      <c r="H6883" s="36" t="n">
        <f aca="false">Sens!$H$6852*1000/(mw_open*he_open+Sens!$H$6850*Sens!$H$6847)</f>
        <v>0.991949006767191</v>
      </c>
      <c r="I6883" s="36" t="n">
        <f aca="false">Sens!$I$6852*1000/(mw_open*he_open+Sens!$I$6850*Sens!$I$6847)</f>
        <v>0.991949006767191</v>
      </c>
      <c r="J6883" s="36" t="n">
        <f aca="false">Sens!$J$6852*1000/(mw_open*he_open+Sens!$J$6850*Sens!$J$6847)</f>
        <v>0.991949006767191</v>
      </c>
      <c r="K6883" s="36" t="n">
        <f aca="false">Sens!$K$6852*1000/(mw_open*he_open+Sens!$K$6850*Sens!$K$6847)</f>
        <v>0.991949006767191</v>
      </c>
      <c r="L6883" s="36" t="n">
        <f aca="false">Sens!$L$6852*1000/(mw_open*he_open+Sens!$L$6850*Sens!$L$6847)</f>
        <v>0.991949006767191</v>
      </c>
      <c r="M6883" s="36" t="n">
        <f aca="false">Sens!$M$6852*1000/(mw_open*he_open+Sens!$M$6850*Sens!$M$6847)</f>
        <v>0.991949006767191</v>
      </c>
    </row>
    <row r="6884" customFormat="false" ht="17.15" hidden="false" customHeight="false" outlineLevel="0" collapsed="false">
      <c r="A6884" s="5" t="s">
        <v>653</v>
      </c>
      <c r="B6884" s="0" t="s">
        <v>57</v>
      </c>
      <c r="H6884" s="36" t="n">
        <f aca="false">Sens!$H$6883*(Sens!$H$6852+wacc*ext_sh*(Sens!$G$6869+Sens!$H$6869)/2/(1-tax)-Sens!$H$6872)/Sens!$H$6852</f>
        <v>1.25551961623259</v>
      </c>
      <c r="I6884" s="36" t="n">
        <f aca="false">Sens!$I$6883*(Sens!$I$6852+wacc*ext_sh*(Sens!$H$6869+Sens!$I$6869)/2/(1-tax)-Sens!$I$6872)/Sens!$I$6852</f>
        <v>1.2054675393263</v>
      </c>
      <c r="J6884" s="36" t="n">
        <f aca="false">Sens!$J$6883*(Sens!$J$6852+wacc*ext_sh*(Sens!$I$6869+Sens!$J$6869)/2/(1-tax)-Sens!$J$6872)/Sens!$J$6852</f>
        <v>1.17141604927023</v>
      </c>
      <c r="K6884" s="36" t="n">
        <f aca="false">Sens!$K$6883*(Sens!$K$6852+wacc*ext_sh*(Sens!$J$6869+Sens!$K$6869)/2/(1-tax)-Sens!$K$6872)/Sens!$K$6852</f>
        <v>1.15558527566281</v>
      </c>
      <c r="L6884" s="36" t="n">
        <f aca="false">Sens!$L$6883*(Sens!$L$6852+wacc*ext_sh*(Sens!$K$6869+Sens!$L$6869)/2/(1-tax)-Sens!$L$6872)/Sens!$L$6852</f>
        <v>1.12686933572495</v>
      </c>
      <c r="M6884" s="36" t="n">
        <f aca="false">Sens!$M$6883*(Sens!$M$6852+wacc*ext_sh*(Sens!$L$6869+Sens!$M$6869)/2/(1-tax)-Sens!$M$6872)/Sens!$M$6852</f>
        <v>1.11358462527531</v>
      </c>
    </row>
    <row r="6885" customFormat="false" ht="17.15" hidden="false" customHeight="false" outlineLevel="0" collapsed="false">
      <c r="A6885" s="5" t="s">
        <v>654</v>
      </c>
      <c r="B6885" s="0" t="s">
        <v>52</v>
      </c>
      <c r="C6885" s="13" t="n">
        <f aca="false">Sens!$C$6853/tk_pq</f>
        <v>0.195316432429398</v>
      </c>
      <c r="D6885" s="13" t="n">
        <f aca="false">Sens!$D$6853/tk_pq</f>
        <v>0.195316432429398</v>
      </c>
      <c r="E6885" s="13" t="n">
        <f aca="false">Sens!$E$6853/tk_pq</f>
        <v>0.195316432429398</v>
      </c>
      <c r="F6885" s="13" t="n">
        <f aca="false">Sens!$F$6853/tk_pq</f>
        <v>0.202241827274866</v>
      </c>
      <c r="G6885" s="13" t="n">
        <f aca="false">Sens!$G$6853/tk_pq</f>
        <v>0.199675016194063</v>
      </c>
      <c r="H6885" s="13" t="n">
        <f aca="false">Sens!$H$6853/tk_pq</f>
        <v>0.212647947710325</v>
      </c>
      <c r="I6885" s="13" t="n">
        <f aca="false">Sens!$I$6853/tk_pq</f>
        <v>0.219285125475351</v>
      </c>
      <c r="J6885" s="13" t="n">
        <f aca="false">Sens!$J$6853/tk_pq</f>
        <v>0.222492493217189</v>
      </c>
      <c r="K6885" s="13" t="n">
        <f aca="false">Sens!$K$6853/tk_pq</f>
        <v>0.224053502812094</v>
      </c>
      <c r="L6885" s="13" t="n">
        <f aca="false">Sens!$L$6853/tk_pq</f>
        <v>0.224786916785614</v>
      </c>
      <c r="M6885" s="13" t="n">
        <f aca="false">Sens!$M$6853/tk_pq</f>
        <v>0.225048671566937</v>
      </c>
      <c r="N6885" s="13" t="n">
        <f aca="false">Sens!$N$6853/tk_pq</f>
        <v>0.195316432429398</v>
      </c>
      <c r="O6885" s="13" t="n">
        <f aca="false">Sens!$O$6853/tk_pq</f>
        <v>0.195316432429398</v>
      </c>
      <c r="P6885" s="5" t="s">
        <v>655</v>
      </c>
    </row>
    <row r="6888" customFormat="false" ht="17.15" hidden="false" customHeight="false" outlineLevel="0" collapsed="false">
      <c r="A6888" s="1" t="s">
        <v>684</v>
      </c>
    </row>
    <row r="6889" customFormat="false" ht="17.15" hidden="false" customHeight="false" outlineLevel="0" collapsed="false">
      <c r="A6889" s="0" t="s">
        <v>685</v>
      </c>
      <c r="B6889" s="0" t="s">
        <v>86</v>
      </c>
      <c r="C6889" s="38" t="n">
        <f aca="false">Sens!$C$6852</f>
        <v>2.32100535697364</v>
      </c>
      <c r="D6889" s="38" t="n">
        <f aca="false">Sens!$D$6852</f>
        <v>8.70377008865116</v>
      </c>
      <c r="E6889" s="38" t="n">
        <f aca="false">Sens!$E$6852</f>
        <v>8.51035297557002</v>
      </c>
      <c r="F6889" s="38" t="n">
        <f aca="false">Sens!$F$6852</f>
        <v>14.9634336447205</v>
      </c>
      <c r="G6889" s="38" t="n">
        <f aca="false">Sens!$G$6852</f>
        <v>23.4737866202905</v>
      </c>
      <c r="H6889" s="38" t="n">
        <f aca="false">Sens!$H$6852</f>
        <v>60.1658907497746</v>
      </c>
      <c r="I6889" s="38" t="n">
        <f aca="false">Sens!$I$6852</f>
        <v>101.503699136432</v>
      </c>
      <c r="J6889" s="38" t="n">
        <f aca="false">Sens!$J$6852</f>
        <v>143.025407151278</v>
      </c>
      <c r="K6889" s="38" t="n">
        <f aca="false">Sens!$K$6852</f>
        <v>178.44812038318</v>
      </c>
      <c r="L6889" s="38" t="n">
        <f aca="false">Sens!$L$6852</f>
        <v>201.728101802396</v>
      </c>
      <c r="M6889" s="38" t="n">
        <f aca="false">Sens!$M$6852</f>
        <v>212.835441368865</v>
      </c>
      <c r="N6889" s="38" t="n">
        <f aca="false">Sens!$N$6852</f>
        <v>3.04631953102791</v>
      </c>
      <c r="O6889" s="38" t="n">
        <f aca="false">Sens!$O$6852</f>
        <v>5.65745055762326</v>
      </c>
      <c r="P6889" s="8" t="s">
        <v>686</v>
      </c>
    </row>
    <row r="6890" customFormat="false" ht="17.15" hidden="false" customHeight="false" outlineLevel="0" collapsed="false">
      <c r="A6890" s="0" t="s">
        <v>687</v>
      </c>
      <c r="B6890" s="0" t="s">
        <v>86</v>
      </c>
      <c r="C6890" s="38" t="n">
        <f aca="false">Sens!$C$6856</f>
        <v>105.234994643026</v>
      </c>
      <c r="D6890" s="38" t="n">
        <f aca="false">Sens!$D$6856</f>
        <v>120.021229911349</v>
      </c>
      <c r="E6890" s="38" t="n">
        <f aca="false">Sens!$E$6856</f>
        <v>71.30864702443</v>
      </c>
      <c r="F6890" s="38" t="n">
        <f aca="false">Sens!$F$6856</f>
        <v>71.7692997942464</v>
      </c>
      <c r="G6890" s="38" t="n">
        <f aca="false">Sens!$G$6856</f>
        <v>143.077946818676</v>
      </c>
      <c r="H6890" s="38" t="n">
        <f aca="false">Sens!$H$6856</f>
        <v>161.017077079203</v>
      </c>
      <c r="I6890" s="38" t="n">
        <f aca="false">Sens!$I$6856</f>
        <v>178.769759521457</v>
      </c>
      <c r="J6890" s="38" t="n">
        <f aca="false">Sens!$J$6856</f>
        <v>195.775538045907</v>
      </c>
      <c r="K6890" s="38" t="n">
        <f aca="false">Sens!$K$6856</f>
        <v>211.43758108958</v>
      </c>
      <c r="L6890" s="38" t="n">
        <f aca="false">Sens!$L$6856</f>
        <v>228.352587576746</v>
      </c>
      <c r="M6890" s="38" t="n">
        <f aca="false">Sens!$M$6856</f>
        <v>246.620794582886</v>
      </c>
      <c r="N6890" s="38" t="n">
        <f aca="false">Sens!$N$6856</f>
        <v>57.0936804689721</v>
      </c>
      <c r="O6890" s="38" t="n">
        <f aca="false">Sens!$O$6856</f>
        <v>62.9275494423768</v>
      </c>
      <c r="P6890" s="8" t="s">
        <v>686</v>
      </c>
    </row>
    <row r="6891" customFormat="false" ht="17.15" hidden="false" customHeight="false" outlineLevel="0" collapsed="false">
      <c r="A6891" s="1" t="s">
        <v>513</v>
      </c>
      <c r="B6891" s="8" t="s">
        <v>86</v>
      </c>
      <c r="C6891" s="38" t="n">
        <f aca="false">Q!$D$7</f>
        <v>107.556</v>
      </c>
      <c r="D6891" s="38" t="n">
        <f aca="false">Q!$E$7</f>
        <v>128.725</v>
      </c>
      <c r="E6891" s="38" t="n">
        <f aca="false">Q!$P$7</f>
        <v>79.819</v>
      </c>
      <c r="F6891" s="38" t="n">
        <f aca="false">Sens!$F$6889+Sens!$F$6890</f>
        <v>86.7327334389669</v>
      </c>
      <c r="G6891" s="38" t="n">
        <f aca="false">Sens!$G$6889+Sens!$G$6890</f>
        <v>166.551733438967</v>
      </c>
      <c r="H6891" s="38" t="n">
        <f aca="false">Sens!$H$6889+Sens!$H$6890</f>
        <v>221.182967828978</v>
      </c>
      <c r="I6891" s="38" t="n">
        <f aca="false">Sens!$I$6889+Sens!$I$6890</f>
        <v>280.27345865789</v>
      </c>
      <c r="J6891" s="38" t="n">
        <f aca="false">Sens!$J$6889+Sens!$J$6890</f>
        <v>338.800945197185</v>
      </c>
      <c r="K6891" s="38" t="n">
        <f aca="false">Sens!$K$6889+Sens!$K$6890</f>
        <v>389.88570147276</v>
      </c>
      <c r="L6891" s="38" t="n">
        <f aca="false">Sens!$L$6889+Sens!$L$6890</f>
        <v>430.080689379143</v>
      </c>
      <c r="M6891" s="38" t="n">
        <f aca="false">Sens!$M$6889+Sens!$M$6890</f>
        <v>459.456235951751</v>
      </c>
      <c r="N6891" s="38" t="n">
        <f aca="false">Q!$N$7</f>
        <v>60.14</v>
      </c>
      <c r="O6891" s="38" t="n">
        <f aca="false">Q!$O$7</f>
        <v>68.585</v>
      </c>
      <c r="P6891" s="5" t="s">
        <v>688</v>
      </c>
    </row>
    <row r="6892" customFormat="false" ht="15" hidden="false" customHeight="false" outlineLevel="0" collapsed="false">
      <c r="A6892" s="3" t="s">
        <v>689</v>
      </c>
      <c r="B6892" s="8" t="s">
        <v>86</v>
      </c>
      <c r="C6892" s="38" t="n">
        <f aca="false">Q!$D$8</f>
        <v>637.959</v>
      </c>
      <c r="D6892" s="38" t="n">
        <f aca="false">Q!$E$8</f>
        <v>716.924</v>
      </c>
      <c r="E6892" s="38" t="n">
        <f aca="false">Q!$P$8</f>
        <v>382.125</v>
      </c>
      <c r="F6892" s="38" t="n">
        <f aca="false">Sens!$F$6824+Sens!$F$6891</f>
        <v>435.780975084504</v>
      </c>
      <c r="G6892" s="38" t="n">
        <f aca="false">Sens!$G$6824+Sens!$G$6891</f>
        <v>817.905975084504</v>
      </c>
      <c r="H6892" s="38" t="n">
        <f aca="false">Sens!$H$6824+Sens!$H$6891</f>
        <v>942.279857350364</v>
      </c>
      <c r="I6892" s="38" t="n">
        <f aca="false">Sens!$I$6824+Sens!$I$6891</f>
        <v>1068.80284981042</v>
      </c>
      <c r="J6892" s="38" t="n">
        <f aca="false">Sens!$J$6824+Sens!$J$6891</f>
        <v>1189.90935093863</v>
      </c>
      <c r="K6892" s="38" t="n">
        <f aca="false">Sens!$K$6824+Sens!$K$6891</f>
        <v>1296.06215690385</v>
      </c>
      <c r="L6892" s="38" t="n">
        <f aca="false">Sens!$L$6824+Sens!$L$6891</f>
        <v>1395.17379585473</v>
      </c>
      <c r="M6892" s="38" t="n">
        <f aca="false">Sens!$M$6824+Sens!$M$6891</f>
        <v>1487.60414389864</v>
      </c>
      <c r="N6892" s="38" t="n">
        <f aca="false">Q!$N$8</f>
        <v>323.369</v>
      </c>
      <c r="O6892" s="38" t="n">
        <f aca="false">Q!$O$8</f>
        <v>393.555</v>
      </c>
    </row>
    <row r="6893" customFormat="false" ht="17.15" hidden="false" customHeight="false" outlineLevel="0" collapsed="false">
      <c r="A6893" s="24" t="s">
        <v>697</v>
      </c>
      <c r="B6893" s="25" t="s">
        <v>86</v>
      </c>
      <c r="C6893" s="41" t="n">
        <f aca="false">Sens!$C$6824-(Sens!$C$6826+Sens!$C$6827)</f>
        <v>0</v>
      </c>
      <c r="D6893" s="41" t="n">
        <f aca="false">Sens!$D$6824-(Sens!$D$6826+Sens!$D$6827)</f>
        <v>0</v>
      </c>
      <c r="E6893" s="41" t="n">
        <f aca="false">Sens!$E$6824-(Sens!$E$6826+Sens!$E$6827)</f>
        <v>0</v>
      </c>
      <c r="F6893" s="41" t="n">
        <f aca="false">Sens!$F$6824-(Sens!$F$6826+Sens!$F$6827)</f>
        <v>0</v>
      </c>
      <c r="G6893" s="41" t="n">
        <f aca="false">Sens!$G$6824-(Sens!$G$6826+Sens!$G$6827)</f>
        <v>0</v>
      </c>
      <c r="H6893" s="41" t="n">
        <f aca="false">Sens!$H$6824-(Sens!$H$6826+Sens!$H$6827)</f>
        <v>0</v>
      </c>
      <c r="I6893" s="41" t="n">
        <f aca="false">Sens!$I$6824-(Sens!$I$6826+Sens!$I$6827)</f>
        <v>0</v>
      </c>
      <c r="J6893" s="41" t="n">
        <f aca="false">Sens!$J$6824-(Sens!$J$6826+Sens!$J$6827)</f>
        <v>0</v>
      </c>
      <c r="K6893" s="41" t="n">
        <f aca="false">Sens!$K$6824-(Sens!$K$6826+Sens!$K$6827)</f>
        <v>0</v>
      </c>
      <c r="L6893" s="41" t="n">
        <f aca="false">Sens!$L$6824-(Sens!$L$6826+Sens!$L$6827)</f>
        <v>0</v>
      </c>
      <c r="M6893" s="41" t="n">
        <f aca="false">Sens!$M$6824-(Sens!$M$6826+Sens!$M$6827)</f>
        <v>0</v>
      </c>
      <c r="N6893" s="41" t="n">
        <f aca="false">Sens!$N$6824-(Sens!$N$6826+Sens!$N$6827)</f>
        <v>0</v>
      </c>
      <c r="O6893" s="41" t="n">
        <f aca="false">Sens!$O$6824-(Sens!$O$6826+Sens!$O$6827)</f>
        <v>0</v>
      </c>
    </row>
    <row r="6894" customFormat="false" ht="17.15" hidden="false" customHeight="false" outlineLevel="0" collapsed="false">
      <c r="A6894" s="24" t="s">
        <v>698</v>
      </c>
      <c r="B6894" s="25" t="s">
        <v>86</v>
      </c>
      <c r="C6894" s="41" t="n">
        <f aca="false">Sens!$C$6889+Sens!$C$6890-Sens!$C$6891</f>
        <v>0</v>
      </c>
      <c r="D6894" s="41" t="n">
        <f aca="false">Sens!$D$6889+Sens!$D$6890-Sens!$D$6891</f>
        <v>0</v>
      </c>
      <c r="E6894" s="41" t="n">
        <f aca="false">Sens!$E$6889+Sens!$E$6890-Sens!$E$6891</f>
        <v>0</v>
      </c>
      <c r="F6894" s="41" t="n">
        <f aca="false">Sens!$F$6889+Sens!$F$6890-Sens!$F$6891</f>
        <v>0</v>
      </c>
      <c r="G6894" s="41" t="n">
        <f aca="false">Sens!$G$6889+Sens!$G$6890-Sens!$G$6891</f>
        <v>0</v>
      </c>
      <c r="H6894" s="41" t="n">
        <f aca="false">Sens!$H$6889+Sens!$H$6890-Sens!$H$6891</f>
        <v>0</v>
      </c>
      <c r="I6894" s="41" t="n">
        <f aca="false">Sens!$I$6889+Sens!$I$6890-Sens!$I$6891</f>
        <v>0</v>
      </c>
      <c r="J6894" s="41" t="n">
        <f aca="false">Sens!$J$6889+Sens!$J$6890-Sens!$J$6891</f>
        <v>0</v>
      </c>
      <c r="K6894" s="41" t="n">
        <f aca="false">Sens!$K$6889+Sens!$K$6890-Sens!$K$6891</f>
        <v>0</v>
      </c>
      <c r="L6894" s="41" t="n">
        <f aca="false">Sens!$L$6889+Sens!$L$6890-Sens!$L$6891</f>
        <v>0</v>
      </c>
      <c r="M6894" s="41" t="n">
        <f aca="false">Sens!$M$6889+Sens!$M$6890-Sens!$M$6891</f>
        <v>0</v>
      </c>
      <c r="N6894" s="41" t="n">
        <f aca="false">Sens!$N$6889+Sens!$N$6890-Sens!$N$6891</f>
        <v>0</v>
      </c>
      <c r="O6894" s="41" t="n">
        <f aca="false">Sens!$O$6889+Sens!$O$6890-Sens!$O$6891</f>
        <v>0</v>
      </c>
    </row>
    <row r="6895" customFormat="false" ht="17.15" hidden="false" customHeight="false" outlineLevel="0" collapsed="false">
      <c r="A6895" s="24" t="s">
        <v>699</v>
      </c>
      <c r="B6895" s="25" t="s">
        <v>86</v>
      </c>
      <c r="C6895" s="41" t="n">
        <f aca="false">Sens!$C$6826+Sens!$C$6827+Sens!$C$6891-Sens!$C$6892</f>
        <v>0</v>
      </c>
      <c r="D6895" s="41" t="n">
        <f aca="false">Sens!$D$6826+Sens!$D$6827+Sens!$D$6891-Sens!$D$6892</f>
        <v>0</v>
      </c>
      <c r="E6895" s="41" t="n">
        <f aca="false">Sens!$E$6826+Sens!$E$6827+Sens!$E$6891-Sens!$E$6892</f>
        <v>0</v>
      </c>
      <c r="F6895" s="41" t="n">
        <f aca="false">Sens!$F$6826+Sens!$F$6827+Sens!$F$6891-Sens!$F$6892</f>
        <v>0</v>
      </c>
      <c r="G6895" s="41" t="n">
        <f aca="false">Sens!$G$6826+Sens!$G$6827+Sens!$G$6891-Sens!$G$6892</f>
        <v>0</v>
      </c>
      <c r="H6895" s="41" t="n">
        <f aca="false">Sens!$H$6826+Sens!$H$6827+Sens!$H$6891-Sens!$H$6892</f>
        <v>0</v>
      </c>
      <c r="I6895" s="41" t="n">
        <f aca="false">Sens!$I$6826+Sens!$I$6827+Sens!$I$6891-Sens!$I$6892</f>
        <v>0</v>
      </c>
      <c r="J6895" s="41" t="n">
        <f aca="false">Sens!$J$6826+Sens!$J$6827+Sens!$J$6891-Sens!$J$6892</f>
        <v>0</v>
      </c>
      <c r="K6895" s="41" t="n">
        <f aca="false">Sens!$K$6826+Sens!$K$6827+Sens!$K$6891-Sens!$K$6892</f>
        <v>0</v>
      </c>
      <c r="L6895" s="41" t="n">
        <f aca="false">Sens!$L$6826+Sens!$L$6827+Sens!$L$6891-Sens!$L$6892</f>
        <v>0</v>
      </c>
      <c r="M6895" s="41" t="n">
        <f aca="false">Sens!$M$6826+Sens!$M$6827+Sens!$M$6891-Sens!$M$6892</f>
        <v>0</v>
      </c>
      <c r="N6895" s="41" t="n">
        <f aca="false">Sens!$N$6826+Sens!$N$6827+Sens!$N$6891-Sens!$N$6892</f>
        <v>0</v>
      </c>
      <c r="O6895" s="41" t="n">
        <f aca="false">Sens!$O$6826+Sens!$O$6827+Sens!$O$6891-Sens!$O$6892</f>
        <v>0</v>
      </c>
    </row>
    <row r="6896" customFormat="false" ht="15" hidden="false" customHeight="false" outlineLevel="0" collapsed="false">
      <c r="A6896" s="5" t="s">
        <v>693</v>
      </c>
      <c r="B6896" s="0" t="s">
        <v>52</v>
      </c>
      <c r="G6896" s="13" t="n">
        <f aca="false">Sens!$G$6892/Sens!$D$6892-1</f>
        <v>0.140854504918937</v>
      </c>
      <c r="H6896" s="13" t="n">
        <f aca="false">Sens!$H$6892/Sens!$G$6892-1</f>
        <v>0.152063789793209</v>
      </c>
      <c r="I6896" s="13" t="n">
        <f aca="false">Sens!$I$6892/Sens!$H$6892-1</f>
        <v>0.134273264437417</v>
      </c>
      <c r="J6896" s="13" t="n">
        <f aca="false">Sens!$J$6892/Sens!$I$6892-1</f>
        <v>0.113310421234083</v>
      </c>
      <c r="K6896" s="13" t="n">
        <f aca="false">Sens!$K$6892/Sens!$J$6892-1</f>
        <v>0.0892108343223652</v>
      </c>
      <c r="L6896" s="13" t="n">
        <f aca="false">Sens!$L$6892/Sens!$K$6892-1</f>
        <v>0.076471362444261</v>
      </c>
      <c r="M6896" s="13" t="n">
        <f aca="false">Sens!$M$6892/Sens!$L$6892-1</f>
        <v>0.066250060256672</v>
      </c>
    </row>
    <row r="6897" customFormat="false" ht="17.15" hidden="false" customHeight="false" outlineLevel="0" collapsed="false">
      <c r="A6897" s="0" t="s">
        <v>694</v>
      </c>
      <c r="B6897" s="0" t="s">
        <v>52</v>
      </c>
      <c r="C6897" s="13" t="n">
        <f aca="false">Sens!$C$6891/Sens!$C$6892</f>
        <v>0.168593906504964</v>
      </c>
      <c r="D6897" s="13" t="n">
        <f aca="false">Sens!$D$6891/Sens!$D$6892</f>
        <v>0.179551807444025</v>
      </c>
      <c r="E6897" s="13" t="n">
        <f aca="false">Sens!$E$6891/Sens!$E$6892</f>
        <v>0.208881910369643</v>
      </c>
      <c r="F6897" s="13" t="n">
        <f aca="false">Sens!$F$6891/Sens!$F$6892</f>
        <v>0.199028269699356</v>
      </c>
      <c r="G6897" s="13" t="n">
        <f aca="false">Sens!$G$6891/Sens!$G$6892</f>
        <v>0.203631882529968</v>
      </c>
      <c r="H6897" s="13" t="n">
        <f aca="false">Sens!$H$6891/Sens!$H$6892</f>
        <v>0.234731715958496</v>
      </c>
      <c r="I6897" s="13" t="n">
        <f aca="false">Sens!$I$6891/Sens!$I$6892</f>
        <v>0.262231204480418</v>
      </c>
      <c r="J6897" s="13" t="n">
        <f aca="false">Sens!$J$6891/Sens!$J$6892</f>
        <v>0.284728366013706</v>
      </c>
      <c r="K6897" s="13" t="n">
        <f aca="false">Sens!$K$6891/Sens!$K$6892</f>
        <v>0.300823304959505</v>
      </c>
      <c r="L6897" s="13" t="n">
        <f aca="false">Sens!$L$6891/Sens!$L$6892</f>
        <v>0.308263164529735</v>
      </c>
      <c r="M6897" s="13" t="n">
        <f aca="false">Sens!$M$6891/Sens!$M$6892</f>
        <v>0.308856517936036</v>
      </c>
      <c r="N6897" s="13" t="n">
        <f aca="false">Sens!$N$6891/Sens!$N$6892</f>
        <v>0.185979484737251</v>
      </c>
      <c r="O6897" s="13" t="n">
        <f aca="false">Sens!$O$6891/Sens!$O$6892</f>
        <v>0.174270432341096</v>
      </c>
    </row>
    <row r="6898" customFormat="false" ht="17.15" hidden="false" customHeight="false" outlineLevel="0" collapsed="false">
      <c r="A6898" s="0" t="s">
        <v>695</v>
      </c>
      <c r="B6898" s="0" t="s">
        <v>52</v>
      </c>
      <c r="C6898" s="13" t="n">
        <f aca="false">Sens!$C$6889/Sens!$C$6891</f>
        <v>0.0215795060896058</v>
      </c>
      <c r="D6898" s="13" t="n">
        <f aca="false">Sens!$D$6889/Sens!$D$6891</f>
        <v>0.0676152269462122</v>
      </c>
      <c r="E6898" s="13" t="n">
        <f aca="false">Sens!$E$6889/Sens!$E$6891</f>
        <v>0.106620641395783</v>
      </c>
      <c r="F6898" s="13" t="n">
        <f aca="false">Sens!$F$6889/Sens!$F$6891</f>
        <v>0.172523487401099</v>
      </c>
      <c r="G6898" s="13" t="n">
        <f aca="false">Sens!$G$6889/Sens!$G$6891</f>
        <v>0.140939911795589</v>
      </c>
      <c r="H6898" s="13" t="n">
        <f aca="false">Sens!$H$6889/Sens!$H$6891</f>
        <v>0.272018642937714</v>
      </c>
      <c r="I6898" s="13" t="n">
        <f aca="false">Sens!$I$6889/Sens!$I$6891</f>
        <v>0.362159512436497</v>
      </c>
      <c r="J6898" s="13" t="n">
        <f aca="false">Sens!$J$6889/Sens!$J$6891</f>
        <v>0.422151735934609</v>
      </c>
      <c r="K6898" s="13" t="n">
        <f aca="false">Sens!$K$6889/Sens!$K$6891</f>
        <v>0.45769342068485</v>
      </c>
      <c r="L6898" s="13" t="n">
        <f aca="false">Sens!$L$6889/Sens!$L$6891</f>
        <v>0.469047103913472</v>
      </c>
      <c r="M6898" s="13" t="n">
        <f aca="false">Sens!$M$6889/Sens!$M$6891</f>
        <v>0.463233328258093</v>
      </c>
      <c r="N6898" s="13" t="n">
        <f aca="false">Sens!$N$6889/Sens!$N$6891</f>
        <v>0.0506537999838362</v>
      </c>
      <c r="O6898" s="13" t="n">
        <f aca="false">Sens!$O$6889/Sens!$O$6891</f>
        <v>0.0824881615167056</v>
      </c>
    </row>
    <row r="6901" customFormat="false" ht="19.4" hidden="false" customHeight="false" outlineLevel="0" collapsed="false">
      <c r="A6901" s="31" t="s">
        <v>1269</v>
      </c>
    </row>
    <row r="6902" customFormat="false" ht="17.15" hidden="false" customHeight="false" outlineLevel="0" collapsed="false">
      <c r="A6902" s="6" t="s">
        <v>16</v>
      </c>
      <c r="B6902" s="6" t="s">
        <v>17</v>
      </c>
      <c r="C6902" s="20" t="s">
        <v>494</v>
      </c>
      <c r="D6902" s="20" t="s">
        <v>495</v>
      </c>
      <c r="E6902" s="20" t="s">
        <v>577</v>
      </c>
      <c r="F6902" s="20" t="s">
        <v>578</v>
      </c>
      <c r="G6902" s="20" t="s">
        <v>579</v>
      </c>
      <c r="H6902" s="20" t="s">
        <v>580</v>
      </c>
      <c r="I6902" s="20" t="s">
        <v>581</v>
      </c>
      <c r="J6902" s="20" t="s">
        <v>582</v>
      </c>
      <c r="K6902" s="20" t="s">
        <v>583</v>
      </c>
      <c r="L6902" s="20" t="s">
        <v>584</v>
      </c>
      <c r="M6902" s="20" t="s">
        <v>585</v>
      </c>
      <c r="N6902" s="20" t="s">
        <v>586</v>
      </c>
      <c r="O6902" s="20" t="s">
        <v>587</v>
      </c>
      <c r="P6902" s="6" t="s">
        <v>23</v>
      </c>
      <c r="R6902" s="20" t="n">
        <v>2023</v>
      </c>
      <c r="S6902" s="20" t="n">
        <v>2024</v>
      </c>
      <c r="T6902" s="20" t="n">
        <v>2025</v>
      </c>
      <c r="U6902" s="20" t="n">
        <v>2026</v>
      </c>
      <c r="V6902" s="20" t="n">
        <v>2027</v>
      </c>
      <c r="W6902" s="20" t="n">
        <v>2028</v>
      </c>
      <c r="X6902" s="20" t="n">
        <v>2029</v>
      </c>
      <c r="Y6902" s="20" t="n">
        <v>2030</v>
      </c>
      <c r="Z6902" s="20" t="n">
        <v>2031</v>
      </c>
      <c r="AA6902" s="20" t="n">
        <v>2032</v>
      </c>
    </row>
    <row r="6903" customFormat="false" ht="17.15" hidden="false" customHeight="false" outlineLevel="0" collapsed="false">
      <c r="A6903" s="1" t="s">
        <v>710</v>
      </c>
    </row>
    <row r="6904" customFormat="false" ht="15" hidden="false" customHeight="false" outlineLevel="0" collapsed="false">
      <c r="A6904" s="0" t="s">
        <v>516</v>
      </c>
      <c r="B6904" s="0" t="s">
        <v>86</v>
      </c>
      <c r="C6904" s="38" t="n">
        <f aca="false">Sens!$C$6811</f>
        <v>247.029</v>
      </c>
      <c r="D6904" s="38" t="n">
        <f aca="false">Sens!$D$6811</f>
        <v>269.287</v>
      </c>
      <c r="E6904" s="38" t="n">
        <f aca="false">Sens!$E$6811</f>
        <v>134.686</v>
      </c>
      <c r="F6904" s="38" t="n">
        <f aca="false">Sens!$F$6811</f>
        <v>158.293876822267</v>
      </c>
      <c r="G6904" s="38" t="n">
        <f aca="false">Sens!$G$6811</f>
        <v>292.979876822267</v>
      </c>
      <c r="H6904" s="38" t="n">
        <f aca="false">Sens!$H$6811</f>
        <v>318.184543087396</v>
      </c>
      <c r="I6904" s="38" t="n">
        <f aca="false">Sens!$I$6811</f>
        <v>341.736278761793</v>
      </c>
      <c r="J6904" s="38" t="n">
        <f aca="false">Sens!$J$6811</f>
        <v>362.927192787048</v>
      </c>
      <c r="K6904" s="38" t="n">
        <f aca="false">Sens!$K$6811</f>
        <v>381.0735524264</v>
      </c>
      <c r="L6904" s="38" t="n">
        <f aca="false">Sens!$L$6811</f>
        <v>400.12723004772</v>
      </c>
      <c r="M6904" s="38" t="n">
        <f aca="false">Sens!$M$6811</f>
        <v>420.133591550106</v>
      </c>
      <c r="N6904" s="38" t="n">
        <f aca="false">Sens!$N$6811</f>
        <v>118.892</v>
      </c>
      <c r="O6904" s="38" t="n">
        <f aca="false">Sens!$O$6811</f>
        <v>150.395</v>
      </c>
    </row>
    <row r="6905" customFormat="false" ht="15" hidden="false" customHeight="false" outlineLevel="0" collapsed="false">
      <c r="A6905" s="0" t="s">
        <v>517</v>
      </c>
      <c r="B6905" s="0" t="s">
        <v>86</v>
      </c>
      <c r="C6905" s="38" t="n">
        <f aca="false">Sens!$C$6813</f>
        <v>21.215</v>
      </c>
      <c r="D6905" s="38" t="n">
        <f aca="false">Sens!$D$6813</f>
        <v>22.561</v>
      </c>
      <c r="E6905" s="38" t="n">
        <f aca="false">Sens!$E$6813</f>
        <v>11.579</v>
      </c>
      <c r="F6905" s="38" t="n">
        <f aca="false">Sens!$F$6813</f>
        <v>11.5938724610325</v>
      </c>
      <c r="G6905" s="38" t="n">
        <f aca="false">Sens!$G$6813</f>
        <v>23.1728724610325</v>
      </c>
      <c r="H6905" s="38" t="n">
        <f aca="false">Sens!$H$6813</f>
        <v>24.353392759506</v>
      </c>
      <c r="I6905" s="38" t="n">
        <f aca="false">Sens!$I$6813</f>
        <v>25.4240338872015</v>
      </c>
      <c r="J6905" s="38" t="n">
        <f aca="false">Sens!$J$6813</f>
        <v>26.3642491017174</v>
      </c>
      <c r="K6905" s="38" t="n">
        <f aca="false">Sens!$K$6813</f>
        <v>27.155176574769</v>
      </c>
      <c r="L6905" s="38" t="n">
        <f aca="false">Sens!$L$6813</f>
        <v>27.969831872012</v>
      </c>
      <c r="M6905" s="38" t="n">
        <f aca="false">Sens!$M$6813</f>
        <v>28.8089268281724</v>
      </c>
      <c r="N6905" s="38" t="n">
        <f aca="false">Sens!$N$6813</f>
        <v>11.128</v>
      </c>
      <c r="O6905" s="38" t="n">
        <f aca="false">Sens!$O$6813</f>
        <v>11.433</v>
      </c>
    </row>
    <row r="6906" customFormat="false" ht="15" hidden="false" customHeight="false" outlineLevel="0" collapsed="false">
      <c r="A6906" s="0" t="s">
        <v>518</v>
      </c>
      <c r="B6906" s="0" t="s">
        <v>86</v>
      </c>
      <c r="C6906" s="38" t="n">
        <f aca="false">Sens!$C$6815</f>
        <v>156.146</v>
      </c>
      <c r="D6906" s="38" t="n">
        <f aca="false">Sens!$D$6815</f>
        <v>172.162</v>
      </c>
      <c r="E6906" s="38" t="n">
        <f aca="false">Sens!$E$6815</f>
        <v>88.358</v>
      </c>
      <c r="F6906" s="38" t="n">
        <f aca="false">Sens!$F$6815</f>
        <v>102.004388260171</v>
      </c>
      <c r="G6906" s="38" t="n">
        <f aca="false">Sens!$G$6815</f>
        <v>190.362388260171</v>
      </c>
      <c r="H6906" s="38" t="n">
        <f aca="false">Sens!$H$6815</f>
        <v>210.343106588311</v>
      </c>
      <c r="I6906" s="38" t="n">
        <f aca="false">Sens!$I$6815</f>
        <v>229.969728494648</v>
      </c>
      <c r="J6906" s="38" t="n">
        <f aca="false">Sens!$J$6815</f>
        <v>248.747636972598</v>
      </c>
      <c r="K6906" s="38" t="n">
        <f aca="false">Sens!$K$6815</f>
        <v>266.15997156068</v>
      </c>
      <c r="L6906" s="38" t="n">
        <f aca="false">Sens!$L$6815</f>
        <v>284.791169569927</v>
      </c>
      <c r="M6906" s="38" t="n">
        <f aca="false">Sens!$M$6815</f>
        <v>304.726551439822</v>
      </c>
      <c r="N6906" s="38" t="n">
        <f aca="false">Sens!$N$6815</f>
        <v>76.86</v>
      </c>
      <c r="O6906" s="38" t="n">
        <f aca="false">Sens!$O$6815</f>
        <v>95.302</v>
      </c>
    </row>
    <row r="6907" customFormat="false" ht="15" hidden="false" customHeight="false" outlineLevel="0" collapsed="false">
      <c r="A6907" s="0" t="s">
        <v>519</v>
      </c>
      <c r="B6907" s="0" t="s">
        <v>86</v>
      </c>
      <c r="C6907" s="38" t="n">
        <f aca="false">Sens!$C$6817</f>
        <v>56.214</v>
      </c>
      <c r="D6907" s="38" t="n">
        <f aca="false">Sens!$D$6817</f>
        <v>68.635</v>
      </c>
      <c r="E6907" s="38" t="n">
        <f aca="false">Sens!$E$6817</f>
        <v>37.052</v>
      </c>
      <c r="F6907" s="38" t="n">
        <f aca="false">Sens!$F$6817</f>
        <v>46.1572219944148</v>
      </c>
      <c r="G6907" s="38" t="n">
        <f aca="false">Sens!$G$6817</f>
        <v>83.2092219944148</v>
      </c>
      <c r="H6907" s="38" t="n">
        <f aca="false">Sens!$H$6817</f>
        <v>99.8969223878976</v>
      </c>
      <c r="I6907" s="38" t="n">
        <f aca="false">Sens!$I$6817</f>
        <v>116.583111095496</v>
      </c>
      <c r="J6907" s="38" t="n">
        <f aca="false">Sens!$J$6817</f>
        <v>132.148941941952</v>
      </c>
      <c r="K6907" s="38" t="n">
        <f aca="false">Sens!$K$6817</f>
        <v>145.363836136147</v>
      </c>
      <c r="L6907" s="38" t="n">
        <f aca="false">Sens!$L$6817</f>
        <v>159.900219749762</v>
      </c>
      <c r="M6907" s="38" t="n">
        <f aca="false">Sens!$M$6817</f>
        <v>175.890241724738</v>
      </c>
      <c r="N6907" s="38" t="n">
        <f aca="false">Sens!$N$6817</f>
        <v>29.615</v>
      </c>
      <c r="O6907" s="38" t="n">
        <f aca="false">Sens!$O$6817</f>
        <v>39.02</v>
      </c>
    </row>
    <row r="6908" customFormat="false" ht="15" hidden="false" customHeight="false" outlineLevel="0" collapsed="false">
      <c r="A6908" s="0" t="s">
        <v>520</v>
      </c>
      <c r="B6908" s="0" t="s">
        <v>86</v>
      </c>
      <c r="C6908" s="38" t="n">
        <f aca="false">Sens!$C$6819</f>
        <v>44.374</v>
      </c>
      <c r="D6908" s="38" t="n">
        <f aca="false">Sens!$D$6819</f>
        <v>49.619</v>
      </c>
      <c r="E6908" s="38" t="n">
        <f aca="false">Sens!$E$6819</f>
        <v>27.157</v>
      </c>
      <c r="F6908" s="38" t="n">
        <f aca="false">Sens!$F$6819</f>
        <v>27.7764165988154</v>
      </c>
      <c r="G6908" s="38" t="n">
        <f aca="false">Sens!$G$6819</f>
        <v>54.9334165988154</v>
      </c>
      <c r="H6908" s="38" t="n">
        <f aca="false">Sens!$H$6819</f>
        <v>61.1564112561829</v>
      </c>
      <c r="I6908" s="38" t="n">
        <f aca="false">Sens!$I$6819</f>
        <v>67.2020282103945</v>
      </c>
      <c r="J6908" s="38" t="n">
        <f aca="false">Sens!$J$6819</f>
        <v>72.8757274028885</v>
      </c>
      <c r="K6908" s="38" t="n">
        <f aca="false">Sens!$K$6819</f>
        <v>77.9770283210907</v>
      </c>
      <c r="L6908" s="38" t="n">
        <f aca="false">Sens!$L$6819</f>
        <v>83.4354203035671</v>
      </c>
      <c r="M6908" s="38" t="n">
        <f aca="false">Sens!$M$6819</f>
        <v>89.2758997248168</v>
      </c>
      <c r="N6908" s="38" t="n">
        <f aca="false">Sens!$N$6819</f>
        <v>23.923</v>
      </c>
      <c r="O6908" s="38" t="n">
        <f aca="false">Sens!$O$6819</f>
        <v>25.696</v>
      </c>
    </row>
    <row r="6909" customFormat="false" ht="15" hidden="false" customHeight="false" outlineLevel="0" collapsed="false">
      <c r="A6909" s="0" t="s">
        <v>521</v>
      </c>
      <c r="B6909" s="0" t="s">
        <v>86</v>
      </c>
      <c r="C6909" s="38" t="n">
        <f aca="false">Sens!$C$6821</f>
        <v>5.425</v>
      </c>
      <c r="D6909" s="38" t="n">
        <f aca="false">Sens!$D$6821</f>
        <v>5.935</v>
      </c>
      <c r="E6909" s="38" t="n">
        <f aca="false">Sens!$E$6821</f>
        <v>3.474</v>
      </c>
      <c r="F6909" s="38" t="n">
        <f aca="false">Sens!$F$6821</f>
        <v>3.22246550883619</v>
      </c>
      <c r="G6909" s="38" t="n">
        <f aca="false">Sens!$G$6821</f>
        <v>6.69646550883619</v>
      </c>
      <c r="H6909" s="38" t="n">
        <f aca="false">Sens!$H$6821</f>
        <v>7.16251344209196</v>
      </c>
      <c r="I6909" s="38" t="n">
        <f aca="false">Sens!$I$6821</f>
        <v>7.61421070299826</v>
      </c>
      <c r="J6909" s="38" t="n">
        <f aca="false">Sens!$J$6821</f>
        <v>8.04465753523932</v>
      </c>
      <c r="K6909" s="38" t="n">
        <f aca="false">Sens!$K$6821</f>
        <v>8.44689041200128</v>
      </c>
      <c r="L6909" s="38" t="n">
        <f aca="false">Sens!$L$6821</f>
        <v>8.86923493260135</v>
      </c>
      <c r="M6909" s="38" t="n">
        <f aca="false">Sens!$M$6821</f>
        <v>9.31269667923142</v>
      </c>
      <c r="N6909" s="38" t="n">
        <f aca="false">Sens!$N$6821</f>
        <v>2.811</v>
      </c>
      <c r="O6909" s="38" t="n">
        <f aca="false">Sens!$O$6821</f>
        <v>3.124</v>
      </c>
    </row>
    <row r="6910" customFormat="false" ht="17.15" hidden="false" customHeight="false" outlineLevel="0" collapsed="false">
      <c r="A6910" s="0" t="s">
        <v>711</v>
      </c>
      <c r="B6910" s="0" t="s">
        <v>86</v>
      </c>
      <c r="C6910" s="38" t="n">
        <f aca="false">Sens!$C$6891</f>
        <v>107.556</v>
      </c>
      <c r="D6910" s="38" t="n">
        <f aca="false">Sens!$D$6891</f>
        <v>128.725</v>
      </c>
      <c r="E6910" s="38" t="n">
        <f aca="false">Sens!$E$6891</f>
        <v>79.819</v>
      </c>
      <c r="F6910" s="38" t="n">
        <f aca="false">Sens!$F$6891</f>
        <v>86.7327334389669</v>
      </c>
      <c r="G6910" s="38" t="n">
        <f aca="false">Sens!$G$6891</f>
        <v>166.551733438967</v>
      </c>
      <c r="H6910" s="38" t="n">
        <f aca="false">Sens!$H$6891</f>
        <v>221.182967828978</v>
      </c>
      <c r="I6910" s="38" t="n">
        <f aca="false">Sens!$I$6891</f>
        <v>280.27345865789</v>
      </c>
      <c r="J6910" s="38" t="n">
        <f aca="false">Sens!$J$6891</f>
        <v>338.800945197185</v>
      </c>
      <c r="K6910" s="38" t="n">
        <f aca="false">Sens!$K$6891</f>
        <v>389.88570147276</v>
      </c>
      <c r="L6910" s="38" t="n">
        <f aca="false">Sens!$L$6891</f>
        <v>430.080689379143</v>
      </c>
      <c r="M6910" s="38" t="n">
        <f aca="false">Sens!$M$6891</f>
        <v>459.456235951751</v>
      </c>
      <c r="N6910" s="38" t="n">
        <f aca="false">Sens!$N$6891</f>
        <v>60.14</v>
      </c>
      <c r="O6910" s="38" t="n">
        <f aca="false">Sens!$O$6891</f>
        <v>68.585</v>
      </c>
    </row>
    <row r="6911" customFormat="false" ht="15" hidden="false" customHeight="false" outlineLevel="0" collapsed="false">
      <c r="A6911" s="1" t="s">
        <v>509</v>
      </c>
      <c r="B6911" s="8" t="s">
        <v>86</v>
      </c>
      <c r="C6911" s="38" t="n">
        <f aca="false">Sens!$C$6826</f>
        <v>387.497</v>
      </c>
      <c r="D6911" s="38" t="n">
        <f aca="false">Sens!$D$6826</f>
        <v>426.305</v>
      </c>
      <c r="E6911" s="38" t="n">
        <f aca="false">Sens!$E$6826</f>
        <v>220.32</v>
      </c>
      <c r="F6911" s="38" t="n">
        <f aca="false">Sens!$F$6826</f>
        <v>250.639773480586</v>
      </c>
      <c r="G6911" s="38" t="n">
        <f aca="false">Sens!$G$6826</f>
        <v>470.959773480586</v>
      </c>
      <c r="H6911" s="38" t="n">
        <f aca="false">Sens!$H$6826</f>
        <v>521.386990416437</v>
      </c>
      <c r="I6911" s="38" t="n">
        <f aca="false">Sens!$I$6826</f>
        <v>570.143862887555</v>
      </c>
      <c r="J6911" s="38" t="n">
        <f aca="false">Sens!$J$6826</f>
        <v>615.391435791933</v>
      </c>
      <c r="K6911" s="38" t="n">
        <f aca="false">Sens!$K$6826</f>
        <v>655.208227561543</v>
      </c>
      <c r="L6911" s="38" t="n">
        <f aca="false">Sens!$L$6826</f>
        <v>697.807739249767</v>
      </c>
      <c r="M6911" s="38" t="n">
        <f aca="false">Sens!$M$6826</f>
        <v>743.399328463592</v>
      </c>
      <c r="N6911" s="38" t="n">
        <f aca="false">Sens!$N$6826</f>
        <v>192.955</v>
      </c>
      <c r="O6911" s="38" t="n">
        <f aca="false">Sens!$O$6826</f>
        <v>233.35</v>
      </c>
    </row>
    <row r="6912" customFormat="false" ht="15" hidden="false" customHeight="false" outlineLevel="0" collapsed="false">
      <c r="A6912" s="1" t="s">
        <v>512</v>
      </c>
      <c r="B6912" s="8" t="s">
        <v>86</v>
      </c>
      <c r="C6912" s="38" t="n">
        <f aca="false">Sens!$C$6827</f>
        <v>142.906</v>
      </c>
      <c r="D6912" s="38" t="n">
        <f aca="false">Sens!$D$6827</f>
        <v>161.894</v>
      </c>
      <c r="E6912" s="38" t="n">
        <f aca="false">Sens!$E$6827</f>
        <v>81.986</v>
      </c>
      <c r="F6912" s="38" t="n">
        <f aca="false">Sens!$F$6827</f>
        <v>98.408468164951</v>
      </c>
      <c r="G6912" s="38" t="n">
        <f aca="false">Sens!$G$6827</f>
        <v>180.394468164951</v>
      </c>
      <c r="H6912" s="38" t="n">
        <f aca="false">Sens!$H$6827</f>
        <v>199.709899104949</v>
      </c>
      <c r="I6912" s="38" t="n">
        <f aca="false">Sens!$I$6827</f>
        <v>218.385528264976</v>
      </c>
      <c r="J6912" s="38" t="n">
        <f aca="false">Sens!$J$6827</f>
        <v>235.71696994951</v>
      </c>
      <c r="K6912" s="38" t="n">
        <f aca="false">Sens!$K$6827</f>
        <v>250.968227869545</v>
      </c>
      <c r="L6912" s="38" t="n">
        <f aca="false">Sens!$L$6827</f>
        <v>267.285367225822</v>
      </c>
      <c r="M6912" s="38" t="n">
        <f aca="false">Sens!$M$6827</f>
        <v>284.748579483295</v>
      </c>
      <c r="N6912" s="38" t="n">
        <f aca="false">Sens!$N$6827</f>
        <v>70.274</v>
      </c>
      <c r="O6912" s="38" t="n">
        <f aca="false">Sens!$O$6827</f>
        <v>91.62</v>
      </c>
    </row>
    <row r="6913" customFormat="false" ht="15" hidden="false" customHeight="false" outlineLevel="0" collapsed="false">
      <c r="A6913" s="1" t="s">
        <v>513</v>
      </c>
      <c r="B6913" s="8" t="s">
        <v>86</v>
      </c>
      <c r="C6913" s="38" t="n">
        <f aca="false">Sens!$C$6891</f>
        <v>107.556</v>
      </c>
      <c r="D6913" s="38" t="n">
        <f aca="false">Sens!$D$6891</f>
        <v>128.725</v>
      </c>
      <c r="E6913" s="38" t="n">
        <f aca="false">Sens!$E$6891</f>
        <v>79.819</v>
      </c>
      <c r="F6913" s="38" t="n">
        <f aca="false">Sens!$F$6891</f>
        <v>86.7327334389669</v>
      </c>
      <c r="G6913" s="38" t="n">
        <f aca="false">Sens!$G$6891</f>
        <v>166.551733438967</v>
      </c>
      <c r="H6913" s="38" t="n">
        <f aca="false">Sens!$H$6891</f>
        <v>221.182967828978</v>
      </c>
      <c r="I6913" s="38" t="n">
        <f aca="false">Sens!$I$6891</f>
        <v>280.27345865789</v>
      </c>
      <c r="J6913" s="38" t="n">
        <f aca="false">Sens!$J$6891</f>
        <v>338.800945197185</v>
      </c>
      <c r="K6913" s="38" t="n">
        <f aca="false">Sens!$K$6891</f>
        <v>389.88570147276</v>
      </c>
      <c r="L6913" s="38" t="n">
        <f aca="false">Sens!$L$6891</f>
        <v>430.080689379143</v>
      </c>
      <c r="M6913" s="38" t="n">
        <f aca="false">Sens!$M$6891</f>
        <v>459.456235951751</v>
      </c>
      <c r="N6913" s="38" t="n">
        <f aca="false">Sens!$N$6891</f>
        <v>60.14</v>
      </c>
      <c r="O6913" s="38" t="n">
        <f aca="false">Sens!$O$6891</f>
        <v>68.585</v>
      </c>
    </row>
    <row r="6914" customFormat="false" ht="17.15" hidden="false" customHeight="false" outlineLevel="0" collapsed="false">
      <c r="A6914" s="0" t="s">
        <v>685</v>
      </c>
      <c r="B6914" s="0" t="s">
        <v>86</v>
      </c>
      <c r="C6914" s="38" t="n">
        <f aca="false">Sens!$C$6889</f>
        <v>2.32100535697364</v>
      </c>
      <c r="D6914" s="38" t="n">
        <f aca="false">Sens!$D$6889</f>
        <v>8.70377008865116</v>
      </c>
      <c r="E6914" s="38" t="n">
        <f aca="false">Sens!$E$6889</f>
        <v>8.51035297557002</v>
      </c>
      <c r="F6914" s="38" t="n">
        <f aca="false">Sens!$F$6889</f>
        <v>14.9634336447205</v>
      </c>
      <c r="G6914" s="38" t="n">
        <f aca="false">Sens!$G$6889</f>
        <v>23.4737866202905</v>
      </c>
      <c r="H6914" s="38" t="n">
        <f aca="false">Sens!$H$6889</f>
        <v>60.1658907497746</v>
      </c>
      <c r="I6914" s="38" t="n">
        <f aca="false">Sens!$I$6889</f>
        <v>101.503699136432</v>
      </c>
      <c r="J6914" s="38" t="n">
        <f aca="false">Sens!$J$6889</f>
        <v>143.025407151278</v>
      </c>
      <c r="K6914" s="38" t="n">
        <f aca="false">Sens!$K$6889</f>
        <v>178.44812038318</v>
      </c>
      <c r="L6914" s="38" t="n">
        <f aca="false">Sens!$L$6889</f>
        <v>201.728101802396</v>
      </c>
      <c r="M6914" s="38" t="n">
        <f aca="false">Sens!$M$6889</f>
        <v>212.835441368865</v>
      </c>
      <c r="N6914" s="38" t="n">
        <f aca="false">Sens!$N$6889</f>
        <v>3.04631953102791</v>
      </c>
      <c r="O6914" s="38" t="n">
        <f aca="false">Sens!$O$6889</f>
        <v>5.65745055762326</v>
      </c>
    </row>
    <row r="6915" customFormat="false" ht="17.15" hidden="false" customHeight="false" outlineLevel="0" collapsed="false">
      <c r="A6915" s="0" t="s">
        <v>687</v>
      </c>
      <c r="B6915" s="0" t="s">
        <v>86</v>
      </c>
      <c r="C6915" s="38" t="n">
        <f aca="false">Sens!$C$6890</f>
        <v>105.234994643026</v>
      </c>
      <c r="D6915" s="38" t="n">
        <f aca="false">Sens!$D$6890</f>
        <v>120.021229911349</v>
      </c>
      <c r="E6915" s="38" t="n">
        <f aca="false">Sens!$E$6890</f>
        <v>71.30864702443</v>
      </c>
      <c r="F6915" s="38" t="n">
        <f aca="false">Sens!$F$6890</f>
        <v>71.7692997942464</v>
      </c>
      <c r="G6915" s="38" t="n">
        <f aca="false">Sens!$G$6890</f>
        <v>143.077946818676</v>
      </c>
      <c r="H6915" s="38" t="n">
        <f aca="false">Sens!$H$6890</f>
        <v>161.017077079203</v>
      </c>
      <c r="I6915" s="38" t="n">
        <f aca="false">Sens!$I$6890</f>
        <v>178.769759521457</v>
      </c>
      <c r="J6915" s="38" t="n">
        <f aca="false">Sens!$J$6890</f>
        <v>195.775538045907</v>
      </c>
      <c r="K6915" s="38" t="n">
        <f aca="false">Sens!$K$6890</f>
        <v>211.43758108958</v>
      </c>
      <c r="L6915" s="38" t="n">
        <f aca="false">Sens!$L$6890</f>
        <v>228.352587576746</v>
      </c>
      <c r="M6915" s="38" t="n">
        <f aca="false">Sens!$M$6890</f>
        <v>246.620794582886</v>
      </c>
      <c r="N6915" s="38" t="n">
        <f aca="false">Sens!$N$6890</f>
        <v>57.0936804689721</v>
      </c>
      <c r="O6915" s="38" t="n">
        <f aca="false">Sens!$O$6890</f>
        <v>62.9275494423768</v>
      </c>
    </row>
    <row r="6916" customFormat="false" ht="15" hidden="false" customHeight="false" outlineLevel="0" collapsed="false">
      <c r="A6916" s="3" t="s">
        <v>514</v>
      </c>
      <c r="B6916" s="8" t="s">
        <v>86</v>
      </c>
      <c r="C6916" s="38" t="n">
        <f aca="false">Sens!$C$6892</f>
        <v>637.959</v>
      </c>
      <c r="D6916" s="38" t="n">
        <f aca="false">Sens!$D$6892</f>
        <v>716.924</v>
      </c>
      <c r="E6916" s="38" t="n">
        <f aca="false">Sens!$E$6892</f>
        <v>382.125</v>
      </c>
      <c r="F6916" s="38" t="n">
        <f aca="false">Sens!$F$6892</f>
        <v>435.780975084504</v>
      </c>
      <c r="G6916" s="38" t="n">
        <f aca="false">Sens!$G$6892</f>
        <v>817.905975084504</v>
      </c>
      <c r="H6916" s="38" t="n">
        <f aca="false">Sens!$H$6892</f>
        <v>942.279857350364</v>
      </c>
      <c r="I6916" s="38" t="n">
        <f aca="false">Sens!$I$6892</f>
        <v>1068.80284981042</v>
      </c>
      <c r="J6916" s="38" t="n">
        <f aca="false">Sens!$J$6892</f>
        <v>1189.90935093863</v>
      </c>
      <c r="K6916" s="38" t="n">
        <f aca="false">Sens!$K$6892</f>
        <v>1296.06215690385</v>
      </c>
      <c r="L6916" s="38" t="n">
        <f aca="false">Sens!$L$6892</f>
        <v>1395.17379585473</v>
      </c>
      <c r="M6916" s="38" t="n">
        <f aca="false">Sens!$M$6892</f>
        <v>1487.60414389864</v>
      </c>
      <c r="N6916" s="38" t="n">
        <f aca="false">Sens!$N$6892</f>
        <v>323.369</v>
      </c>
      <c r="O6916" s="38" t="n">
        <f aca="false">Sens!$O$6892</f>
        <v>393.555</v>
      </c>
    </row>
    <row r="6917" customFormat="false" ht="17.15" hidden="false" customHeight="false" outlineLevel="0" collapsed="false">
      <c r="A6917" s="24" t="s">
        <v>697</v>
      </c>
      <c r="B6917" s="25" t="s">
        <v>86</v>
      </c>
      <c r="C6917" s="41" t="n">
        <f aca="false">Sens!$C$6904+Sens!$C$6905+Sens!$C$6906+Sens!$C$6907+Sens!$C$6908+Sens!$C$6909-(Sens!$C$6911+Sens!$C$6912)</f>
        <v>0</v>
      </c>
      <c r="D6917" s="41" t="n">
        <f aca="false">Sens!$D$6904+Sens!$D$6905+Sens!$D$6906+Sens!$D$6907+Sens!$D$6908+Sens!$D$6909-(Sens!$D$6911+Sens!$D$6912)</f>
        <v>0</v>
      </c>
      <c r="E6917" s="41" t="n">
        <f aca="false">Sens!$E$6904+Sens!$E$6905+Sens!$E$6906+Sens!$E$6907+Sens!$E$6908+Sens!$E$6909-(Sens!$E$6911+Sens!$E$6912)</f>
        <v>0</v>
      </c>
      <c r="F6917" s="41" t="n">
        <f aca="false">Sens!$F$6904+Sens!$F$6905+Sens!$F$6906+Sens!$F$6907+Sens!$F$6908+Sens!$F$6909-(Sens!$F$6911+Sens!$F$6912)</f>
        <v>0</v>
      </c>
      <c r="G6917" s="41" t="n">
        <f aca="false">Sens!$G$6904+Sens!$G$6905+Sens!$G$6906+Sens!$G$6907+Sens!$G$6908+Sens!$G$6909-(Sens!$G$6911+Sens!$G$6912)</f>
        <v>0</v>
      </c>
      <c r="H6917" s="41" t="n">
        <f aca="false">Sens!$H$6904+Sens!$H$6905+Sens!$H$6906+Sens!$H$6907+Sens!$H$6908+Sens!$H$6909-(Sens!$H$6911+Sens!$H$6912)</f>
        <v>0</v>
      </c>
      <c r="I6917" s="41" t="n">
        <f aca="false">Sens!$I$6904+Sens!$I$6905+Sens!$I$6906+Sens!$I$6907+Sens!$I$6908+Sens!$I$6909-(Sens!$I$6911+Sens!$I$6912)</f>
        <v>0</v>
      </c>
      <c r="J6917" s="41" t="n">
        <f aca="false">Sens!$J$6904+Sens!$J$6905+Sens!$J$6906+Sens!$J$6907+Sens!$J$6908+Sens!$J$6909-(Sens!$J$6911+Sens!$J$6912)</f>
        <v>0</v>
      </c>
      <c r="K6917" s="41" t="n">
        <f aca="false">Sens!$K$6904+Sens!$K$6905+Sens!$K$6906+Sens!$K$6907+Sens!$K$6908+Sens!$K$6909-(Sens!$K$6911+Sens!$K$6912)</f>
        <v>0</v>
      </c>
      <c r="L6917" s="41" t="n">
        <f aca="false">Sens!$L$6904+Sens!$L$6905+Sens!$L$6906+Sens!$L$6907+Sens!$L$6908+Sens!$L$6909-(Sens!$L$6911+Sens!$L$6912)</f>
        <v>0</v>
      </c>
      <c r="M6917" s="41" t="n">
        <f aca="false">Sens!$M$6904+Sens!$M$6905+Sens!$M$6906+Sens!$M$6907+Sens!$M$6908+Sens!$M$6909-(Sens!$M$6911+Sens!$M$6912)</f>
        <v>0</v>
      </c>
      <c r="N6917" s="41" t="n">
        <f aca="false">Sens!$N$6904+Sens!$N$6905+Sens!$N$6906+Sens!$N$6907+Sens!$N$6908+Sens!$N$6909-(Sens!$N$6911+Sens!$N$6912)</f>
        <v>0</v>
      </c>
      <c r="O6917" s="41" t="n">
        <f aca="false">Sens!$O$6904+Sens!$O$6905+Sens!$O$6906+Sens!$O$6907+Sens!$O$6908+Sens!$O$6909-(Sens!$O$6911+Sens!$O$6912)</f>
        <v>0</v>
      </c>
    </row>
    <row r="6918" customFormat="false" ht="17.15" hidden="false" customHeight="false" outlineLevel="0" collapsed="false">
      <c r="A6918" s="24" t="s">
        <v>698</v>
      </c>
      <c r="B6918" s="25" t="s">
        <v>86</v>
      </c>
      <c r="C6918" s="41" t="n">
        <f aca="false">Sens!$C$6914+Sens!$C$6915-Sens!$C$6913</f>
        <v>0</v>
      </c>
      <c r="D6918" s="41" t="n">
        <f aca="false">Sens!$D$6914+Sens!$D$6915-Sens!$D$6913</f>
        <v>0</v>
      </c>
      <c r="E6918" s="41" t="n">
        <f aca="false">Sens!$E$6914+Sens!$E$6915-Sens!$E$6913</f>
        <v>0</v>
      </c>
      <c r="F6918" s="41" t="n">
        <f aca="false">Sens!$F$6914+Sens!$F$6915-Sens!$F$6913</f>
        <v>0</v>
      </c>
      <c r="G6918" s="41" t="n">
        <f aca="false">Sens!$G$6914+Sens!$G$6915-Sens!$G$6913</f>
        <v>0</v>
      </c>
      <c r="H6918" s="41" t="n">
        <f aca="false">Sens!$H$6914+Sens!$H$6915-Sens!$H$6913</f>
        <v>0</v>
      </c>
      <c r="I6918" s="41" t="n">
        <f aca="false">Sens!$I$6914+Sens!$I$6915-Sens!$I$6913</f>
        <v>0</v>
      </c>
      <c r="J6918" s="41" t="n">
        <f aca="false">Sens!$J$6914+Sens!$J$6915-Sens!$J$6913</f>
        <v>0</v>
      </c>
      <c r="K6918" s="41" t="n">
        <f aca="false">Sens!$K$6914+Sens!$K$6915-Sens!$K$6913</f>
        <v>0</v>
      </c>
      <c r="L6918" s="41" t="n">
        <f aca="false">Sens!$L$6914+Sens!$L$6915-Sens!$L$6913</f>
        <v>0</v>
      </c>
      <c r="M6918" s="41" t="n">
        <f aca="false">Sens!$M$6914+Sens!$M$6915-Sens!$M$6913</f>
        <v>0</v>
      </c>
      <c r="N6918" s="41" t="n">
        <f aca="false">Sens!$N$6914+Sens!$N$6915-Sens!$N$6913</f>
        <v>0</v>
      </c>
      <c r="O6918" s="41" t="n">
        <f aca="false">Sens!$O$6914+Sens!$O$6915-Sens!$O$6913</f>
        <v>0</v>
      </c>
    </row>
    <row r="6919" customFormat="false" ht="17.15" hidden="false" customHeight="false" outlineLevel="0" collapsed="false">
      <c r="A6919" s="24" t="s">
        <v>757</v>
      </c>
      <c r="B6919" s="25" t="s">
        <v>86</v>
      </c>
      <c r="C6919" s="41" t="n">
        <f aca="false">Sens!$C$6904+Sens!$C$6905+Sens!$C$6906+Sens!$C$6907+Sens!$C$6908+Sens!$C$6909+Sens!$C$6910-Sens!$C$6916</f>
        <v>0</v>
      </c>
      <c r="D6919" s="41" t="n">
        <f aca="false">Sens!$D$6904+Sens!$D$6905+Sens!$D$6906+Sens!$D$6907+Sens!$D$6908+Sens!$D$6909+Sens!$D$6910-Sens!$D$6916</f>
        <v>0</v>
      </c>
      <c r="E6919" s="41" t="n">
        <f aca="false">Sens!$E$6904+Sens!$E$6905+Sens!$E$6906+Sens!$E$6907+Sens!$E$6908+Sens!$E$6909+Sens!$E$6910-Sens!$E$6916</f>
        <v>0</v>
      </c>
      <c r="F6919" s="41" t="n">
        <f aca="false">Sens!$F$6904+Sens!$F$6905+Sens!$F$6906+Sens!$F$6907+Sens!$F$6908+Sens!$F$6909+Sens!$F$6910-Sens!$F$6916</f>
        <v>0</v>
      </c>
      <c r="G6919" s="41" t="n">
        <f aca="false">Sens!$G$6904+Sens!$G$6905+Sens!$G$6906+Sens!$G$6907+Sens!$G$6908+Sens!$G$6909+Sens!$G$6910-Sens!$G$6916</f>
        <v>0</v>
      </c>
      <c r="H6919" s="41" t="n">
        <f aca="false">Sens!$H$6904+Sens!$H$6905+Sens!$H$6906+Sens!$H$6907+Sens!$H$6908+Sens!$H$6909+Sens!$H$6910-Sens!$H$6916</f>
        <v>0</v>
      </c>
      <c r="I6919" s="41" t="n">
        <f aca="false">Sens!$I$6904+Sens!$I$6905+Sens!$I$6906+Sens!$I$6907+Sens!$I$6908+Sens!$I$6909+Sens!$I$6910-Sens!$I$6916</f>
        <v>0</v>
      </c>
      <c r="J6919" s="41" t="n">
        <f aca="false">Sens!$J$6904+Sens!$J$6905+Sens!$J$6906+Sens!$J$6907+Sens!$J$6908+Sens!$J$6909+Sens!$J$6910-Sens!$J$6916</f>
        <v>0</v>
      </c>
      <c r="K6919" s="41" t="n">
        <f aca="false">Sens!$K$6904+Sens!$K$6905+Sens!$K$6906+Sens!$K$6907+Sens!$K$6908+Sens!$K$6909+Sens!$K$6910-Sens!$K$6916</f>
        <v>0</v>
      </c>
      <c r="L6919" s="41" t="n">
        <f aca="false">Sens!$L$6904+Sens!$L$6905+Sens!$L$6906+Sens!$L$6907+Sens!$L$6908+Sens!$L$6909+Sens!$L$6910-Sens!$L$6916</f>
        <v>0</v>
      </c>
      <c r="M6919" s="41" t="n">
        <f aca="false">Sens!$M$6904+Sens!$M$6905+Sens!$M$6906+Sens!$M$6907+Sens!$M$6908+Sens!$M$6909+Sens!$M$6910-Sens!$M$6916</f>
        <v>0</v>
      </c>
      <c r="N6919" s="41" t="n">
        <f aca="false">Sens!$N$6904+Sens!$N$6905+Sens!$N$6906+Sens!$N$6907+Sens!$N$6908+Sens!$N$6909+Sens!$N$6910-Sens!$N$6916</f>
        <v>0</v>
      </c>
      <c r="O6919" s="41" t="n">
        <f aca="false">Sens!$O$6904+Sens!$O$6905+Sens!$O$6906+Sens!$O$6907+Sens!$O$6908+Sens!$O$6909+Sens!$O$6910-Sens!$O$6916</f>
        <v>0</v>
      </c>
    </row>
    <row r="6920" customFormat="false" ht="17.15" hidden="false" customHeight="false" outlineLevel="0" collapsed="false">
      <c r="A6920" s="24" t="s">
        <v>699</v>
      </c>
      <c r="B6920" s="25" t="s">
        <v>86</v>
      </c>
      <c r="C6920" s="41" t="n">
        <f aca="false">Sens!$C$6911+Sens!$C$6912+Sens!$C$6913-Sens!$C$6916</f>
        <v>0</v>
      </c>
      <c r="D6920" s="41" t="n">
        <f aca="false">Sens!$D$6911+Sens!$D$6912+Sens!$D$6913-Sens!$D$6916</f>
        <v>0</v>
      </c>
      <c r="E6920" s="41" t="n">
        <f aca="false">Sens!$E$6911+Sens!$E$6912+Sens!$E$6913-Sens!$E$6916</f>
        <v>0</v>
      </c>
      <c r="F6920" s="41" t="n">
        <f aca="false">Sens!$F$6911+Sens!$F$6912+Sens!$F$6913-Sens!$F$6916</f>
        <v>0</v>
      </c>
      <c r="G6920" s="41" t="n">
        <f aca="false">Sens!$G$6911+Sens!$G$6912+Sens!$G$6913-Sens!$G$6916</f>
        <v>0</v>
      </c>
      <c r="H6920" s="41" t="n">
        <f aca="false">Sens!$H$6911+Sens!$H$6912+Sens!$H$6913-Sens!$H$6916</f>
        <v>0</v>
      </c>
      <c r="I6920" s="41" t="n">
        <f aca="false">Sens!$I$6911+Sens!$I$6912+Sens!$I$6913-Sens!$I$6916</f>
        <v>0</v>
      </c>
      <c r="J6920" s="41" t="n">
        <f aca="false">Sens!$J$6911+Sens!$J$6912+Sens!$J$6913-Sens!$J$6916</f>
        <v>0</v>
      </c>
      <c r="K6920" s="41" t="n">
        <f aca="false">Sens!$K$6911+Sens!$K$6912+Sens!$K$6913-Sens!$K$6916</f>
        <v>0</v>
      </c>
      <c r="L6920" s="41" t="n">
        <f aca="false">Sens!$L$6911+Sens!$L$6912+Sens!$L$6913-Sens!$L$6916</f>
        <v>0</v>
      </c>
      <c r="M6920" s="41" t="n">
        <f aca="false">Sens!$M$6911+Sens!$M$6912+Sens!$M$6913-Sens!$M$6916</f>
        <v>0</v>
      </c>
      <c r="N6920" s="41" t="n">
        <f aca="false">Sens!$N$6911+Sens!$N$6912+Sens!$N$6913-Sens!$N$6916</f>
        <v>0</v>
      </c>
      <c r="O6920" s="41" t="n">
        <f aca="false">Sens!$O$6911+Sens!$O$6912+Sens!$O$6913-Sens!$O$6916</f>
        <v>0</v>
      </c>
    </row>
    <row r="6921" customFormat="false" ht="17.15" hidden="false" customHeight="false" outlineLevel="0" collapsed="false">
      <c r="A6921" s="1" t="s">
        <v>713</v>
      </c>
    </row>
    <row r="6922" customFormat="false" ht="17.15" hidden="false" customHeight="false" outlineLevel="0" collapsed="false">
      <c r="A6922" s="0" t="s">
        <v>714</v>
      </c>
      <c r="B6922" s="0" t="s">
        <v>86</v>
      </c>
      <c r="C6922" s="38" t="n">
        <f aca="false">Sens!$C$6828*m_ad</f>
        <v>20.5341564414228</v>
      </c>
      <c r="D6922" s="38" t="n">
        <f aca="false">Sens!$D$6828*m_ad</f>
        <v>24.8720617299587</v>
      </c>
      <c r="E6922" s="38" t="n">
        <f aca="false">Sens!$E$6828*m_ad</f>
        <v>13.5017112462207</v>
      </c>
      <c r="F6922" s="38" t="n">
        <f aca="false">Sens!$F$6828*m_ad</f>
        <v>16.5719724165257</v>
      </c>
      <c r="G6922" s="38" t="n">
        <f aca="false">Sens!$G$6828*m_ad</f>
        <v>30.0820919220415</v>
      </c>
      <c r="H6922" s="38" t="n">
        <f aca="false">Sens!$H$6828*m_ad</f>
        <v>36.1150883276314</v>
      </c>
      <c r="I6922" s="38" t="n">
        <f aca="false">Sens!$I$6828*m_ad</f>
        <v>42.1475382231996</v>
      </c>
      <c r="J6922" s="38" t="n">
        <f aca="false">Sens!$J$6828*m_ad</f>
        <v>47.7749523864693</v>
      </c>
      <c r="K6922" s="38" t="n">
        <f aca="false">Sens!$K$6828*m_ad</f>
        <v>52.5524476251162</v>
      </c>
      <c r="L6922" s="38" t="n">
        <f aca="false">Sens!$L$6828*m_ad</f>
        <v>57.8076923876279</v>
      </c>
      <c r="M6922" s="38" t="n">
        <f aca="false">Sens!$M$6828*m_ad</f>
        <v>63.5884616263907</v>
      </c>
      <c r="N6922" s="38" t="n">
        <f aca="false">Sens!$N$6828*m_ad</f>
        <v>10.8543555706248</v>
      </c>
      <c r="O6922" s="38" t="n">
        <f aca="false">Sens!$O$6828*m_ad</f>
        <v>14.0094731821399</v>
      </c>
    </row>
    <row r="6923" customFormat="false" ht="17.15" hidden="false" customHeight="false" outlineLevel="0" collapsed="false">
      <c r="A6923" s="0" t="s">
        <v>715</v>
      </c>
      <c r="B6923" s="0" t="s">
        <v>86</v>
      </c>
      <c r="C6923" s="38" t="n">
        <f aca="false">Sens!$C$6826-Sens!$C$6828</f>
        <v>346.428687117154</v>
      </c>
      <c r="D6923" s="38" t="n">
        <f aca="false">Sens!$D$6826-Sens!$D$6828</f>
        <v>376.560876540083</v>
      </c>
      <c r="E6923" s="38" t="n">
        <f aca="false">Sens!$E$6826-Sens!$E$6828</f>
        <v>193.316577507559</v>
      </c>
      <c r="F6923" s="38" t="n">
        <f aca="false">Sens!$F$6826-Sens!$F$6828</f>
        <v>217.495828647535</v>
      </c>
      <c r="G6923" s="38" t="n">
        <f aca="false">Sens!$G$6826-Sens!$G$6828</f>
        <v>410.795589636503</v>
      </c>
      <c r="H6923" s="38" t="n">
        <f aca="false">Sens!$H$6826-Sens!$H$6828</f>
        <v>449.156813761174</v>
      </c>
      <c r="I6923" s="38" t="n">
        <f aca="false">Sens!$I$6826-Sens!$I$6828</f>
        <v>485.848786441156</v>
      </c>
      <c r="J6923" s="38" t="n">
        <f aca="false">Sens!$J$6826-Sens!$J$6828</f>
        <v>519.841531018994</v>
      </c>
      <c r="K6923" s="38" t="n">
        <f aca="false">Sens!$K$6826-Sens!$K$6828</f>
        <v>550.103332311311</v>
      </c>
      <c r="L6923" s="38" t="n">
        <f aca="false">Sens!$L$6826-Sens!$L$6828</f>
        <v>582.192354474511</v>
      </c>
      <c r="M6923" s="38" t="n">
        <f aca="false">Sens!$M$6826-Sens!$M$6828</f>
        <v>616.22240521081</v>
      </c>
      <c r="N6923" s="38" t="n">
        <f aca="false">Sens!$N$6826-Sens!$N$6828</f>
        <v>171.24628885875</v>
      </c>
      <c r="O6923" s="38" t="n">
        <f aca="false">Sens!$O$6826-Sens!$O$6828</f>
        <v>205.33105363572</v>
      </c>
    </row>
    <row r="6924" customFormat="false" ht="17.15" hidden="false" customHeight="false" outlineLevel="0" collapsed="false">
      <c r="A6924" s="0" t="s">
        <v>716</v>
      </c>
      <c r="B6924" s="0" t="s">
        <v>86</v>
      </c>
      <c r="C6924" s="38" t="n">
        <f aca="false">Sens!$C$6875*Sens!$C$6825</f>
        <v>0.123617442257179</v>
      </c>
      <c r="D6924" s="38" t="n">
        <f aca="false">Sens!$D$6875*Sens!$D$6825</f>
        <v>0.874366899302609</v>
      </c>
      <c r="E6924" s="38" t="n">
        <f aca="false">Sens!$E$6875*Sens!$E$6825</f>
        <v>1.29318830502574</v>
      </c>
      <c r="F6924" s="38" t="n">
        <f aca="false">Sens!$F$6875*Sens!$F$6825</f>
        <v>1.51802024162534</v>
      </c>
      <c r="G6924" s="38" t="n">
        <f aca="false">Sens!$G$6875*Sens!$G$6825</f>
        <v>2.81153363597665</v>
      </c>
      <c r="H6924" s="38" t="n">
        <f aca="false">Sens!$H$6875*Sens!$H$6825</f>
        <v>7.39027704264226</v>
      </c>
      <c r="I6924" s="38" t="n">
        <f aca="false">Sens!$I$6875*Sens!$I$6825</f>
        <v>12.899807643047</v>
      </c>
      <c r="J6924" s="38" t="n">
        <f aca="false">Sens!$J$6875*Sens!$J$6825</f>
        <v>18.5585322471382</v>
      </c>
      <c r="K6924" s="38" t="n">
        <f aca="false">Sens!$K$6875*Sens!$K$6825</f>
        <v>24.0966749520672</v>
      </c>
      <c r="L6924" s="38" t="n">
        <f aca="false">Sens!$L$6875*Sens!$L$6825</f>
        <v>27.686623551477</v>
      </c>
      <c r="M6924" s="38" t="n">
        <f aca="false">Sens!$M$6875*Sens!$M$6825</f>
        <v>29.7238645537022</v>
      </c>
      <c r="N6924" s="38" t="n">
        <f aca="false">Sens!$N$6875*Sens!$N$6825</f>
        <v>0.389180508437431</v>
      </c>
      <c r="O6924" s="38" t="n">
        <f aca="false">Sens!$O$6875*Sens!$O$6825</f>
        <v>0.485052120082802</v>
      </c>
    </row>
    <row r="6925" customFormat="false" ht="17.15" hidden="false" customHeight="false" outlineLevel="0" collapsed="false">
      <c r="A6925" s="0" t="s">
        <v>717</v>
      </c>
      <c r="B6925" s="0" t="s">
        <v>52</v>
      </c>
      <c r="C6925" s="28" t="n">
        <f aca="false">(Sens!$C$6926-Sens!$C$6922+Sens!$C$6924)/Sens!$C$6923</f>
        <v>0.0131526665379575</v>
      </c>
      <c r="D6925" s="28" t="n">
        <f aca="false">(Sens!$D$6926-Sens!$D$6922+Sens!$D$6924)/Sens!$D$6923</f>
        <v>0.0149280116962589</v>
      </c>
      <c r="E6925" s="28" t="n">
        <f aca="false">(Sens!$E$6926-Sens!$E$6922+Sens!$E$6924)/Sens!$E$6923</f>
        <v>0.0268030663774938</v>
      </c>
      <c r="F6925" s="28" t="n">
        <f aca="false">Sens!$O$6925+(Sens!$E$6925-Sens!$N$6925)</f>
        <v>0.0232379346966962</v>
      </c>
      <c r="G6925" s="28" t="n">
        <f aca="false">(Sens!$G$6926-Sens!$G$6922+Sens!$G$6924)/Sens!$G$6923</f>
        <v>0.0248969268652583</v>
      </c>
      <c r="H6925" s="28" t="n">
        <f aca="false">Sens!$G$6925+step_na</f>
        <v>0.0278969268652583</v>
      </c>
      <c r="I6925" s="28" t="n">
        <f aca="false">Sens!$H$6925+step_na</f>
        <v>0.0308969268652583</v>
      </c>
      <c r="J6925" s="28" t="n">
        <f aca="false">Sens!$I$6925+step_na</f>
        <v>0.0338969268652583</v>
      </c>
      <c r="K6925" s="28" t="n">
        <f aca="false">Sens!$J$6925+step_na</f>
        <v>0.0368969268652584</v>
      </c>
      <c r="L6925" s="28" t="n">
        <f aca="false">Sens!$K$6925</f>
        <v>0.0368969268652584</v>
      </c>
      <c r="M6925" s="28" t="n">
        <f aca="false">Sens!$L$6925</f>
        <v>0.0368969268652584</v>
      </c>
      <c r="N6925" s="28" t="n">
        <f aca="false">(Sens!$N$6926-Sens!$N$6922+Sens!$N$6924)/Sens!$N$6923</f>
        <v>0.0168927744775755</v>
      </c>
      <c r="O6925" s="28" t="n">
        <f aca="false">(Sens!$O$6926-Sens!$O$6922+Sens!$O$6924)/Sens!$O$6923</f>
        <v>0.0133276427967779</v>
      </c>
      <c r="P6925" s="8" t="s">
        <v>718</v>
      </c>
    </row>
    <row r="6926" customFormat="false" ht="17.15" hidden="false" customHeight="false" outlineLevel="0" collapsed="false">
      <c r="A6926" s="1" t="s">
        <v>719</v>
      </c>
      <c r="B6926" s="8" t="s">
        <v>86</v>
      </c>
      <c r="C6926" s="38" t="n">
        <f aca="false">Q!$D$22</f>
        <v>24.967</v>
      </c>
      <c r="D6926" s="38" t="n">
        <f aca="false">Q!$E$22</f>
        <v>29.619</v>
      </c>
      <c r="E6926" s="38" t="n">
        <f aca="false">Q!$P$22</f>
        <v>17.39</v>
      </c>
      <c r="F6926" s="38" t="n">
        <f aca="false">Sens!$F$6922+Sens!$F$6923*Sens!$F$6925-Sens!$F$6924</f>
        <v>20.1081060378156</v>
      </c>
      <c r="G6926" s="38" t="n">
        <f aca="false">Sens!$E$6926+Sens!$F$6926</f>
        <v>37.4981060378156</v>
      </c>
      <c r="H6926" s="38" t="n">
        <f aca="false">Sens!$H$6922+Sens!$H$6923*Sens!$H$6925-Sens!$H$6924</f>
        <v>41.2549060695171</v>
      </c>
      <c r="I6926" s="38" t="n">
        <f aca="false">Sens!$I$6922+Sens!$I$6923*Sens!$I$6925-Sens!$I$6924</f>
        <v>44.2589650023995</v>
      </c>
      <c r="J6926" s="38" t="n">
        <f aca="false">Sens!$J$6922+Sens!$J$6923*Sens!$J$6925-Sens!$J$6924</f>
        <v>46.8374504978059</v>
      </c>
      <c r="K6926" s="38" t="n">
        <f aca="false">Sens!$K$6922+Sens!$K$6923*Sens!$K$6925-Sens!$K$6924</f>
        <v>48.7528950936744</v>
      </c>
      <c r="L6926" s="38" t="n">
        <f aca="false">Sens!$L$6922+Sens!$L$6923*Sens!$L$6925-Sens!$L$6924</f>
        <v>51.6021775607095</v>
      </c>
      <c r="M6926" s="38" t="n">
        <f aca="false">Sens!$M$6922+Sens!$M$6923*Sens!$M$6925-Sens!$M$6924</f>
        <v>56.6013100904853</v>
      </c>
      <c r="N6926" s="38" t="n">
        <f aca="false">Q!$N$22</f>
        <v>13.358</v>
      </c>
      <c r="O6926" s="38" t="n">
        <f aca="false">Q!$O$22</f>
        <v>16.261</v>
      </c>
    </row>
    <row r="6927" customFormat="false" ht="17.15" hidden="false" customHeight="false" outlineLevel="0" collapsed="false">
      <c r="A6927" s="0" t="s">
        <v>720</v>
      </c>
      <c r="B6927" s="0" t="s">
        <v>86</v>
      </c>
      <c r="C6927" s="38" t="n">
        <f aca="false">Sens!$C$6829*m_ad</f>
        <v>7.57284355857716</v>
      </c>
      <c r="D6927" s="38" t="n">
        <f aca="false">Sens!$D$6829*m_ad</f>
        <v>9.44543827004127</v>
      </c>
      <c r="E6927" s="38" t="n">
        <f aca="false">Sens!$E$6829*m_ad</f>
        <v>5.02428875377928</v>
      </c>
      <c r="F6927" s="38" t="n">
        <f aca="false">Sens!$F$6829*m_ad</f>
        <v>6.50663858068173</v>
      </c>
      <c r="G6927" s="38" t="n">
        <f aca="false">Sens!$G$6829*m_ad</f>
        <v>11.5225190751659</v>
      </c>
      <c r="H6927" s="38" t="n">
        <f aca="false">Sens!$H$6829*m_ad</f>
        <v>13.8333728663174</v>
      </c>
      <c r="I6927" s="38" t="n">
        <f aca="false">Sens!$I$6829*m_ad</f>
        <v>16.1440173245485</v>
      </c>
      <c r="J6927" s="38" t="n">
        <f aca="false">Sens!$J$6829*m_ad</f>
        <v>18.2995185845066</v>
      </c>
      <c r="K6927" s="38" t="n">
        <f aca="false">Sens!$K$6829*m_ad</f>
        <v>20.1294704429572</v>
      </c>
      <c r="L6927" s="38" t="n">
        <f aca="false">Sens!$L$6829*m_ad</f>
        <v>22.142417487253</v>
      </c>
      <c r="M6927" s="38" t="n">
        <f aca="false">Sens!$M$6829*m_ad</f>
        <v>24.3566592359783</v>
      </c>
      <c r="N6927" s="38" t="n">
        <f aca="false">Sens!$N$6829*m_ad</f>
        <v>3.95314442937518</v>
      </c>
      <c r="O6927" s="38" t="n">
        <f aca="false">Sens!$O$6829*m_ad</f>
        <v>5.50052681786011</v>
      </c>
    </row>
    <row r="6928" customFormat="false" ht="17.15" hidden="false" customHeight="false" outlineLevel="0" collapsed="false">
      <c r="A6928" s="0" t="s">
        <v>721</v>
      </c>
      <c r="B6928" s="0" t="s">
        <v>86</v>
      </c>
      <c r="C6928" s="38" t="n">
        <f aca="false">Sens!$C$6827-Sens!$C$6829</f>
        <v>127.760312882846</v>
      </c>
      <c r="D6928" s="38" t="n">
        <f aca="false">Sens!$D$6827-Sens!$D$6829</f>
        <v>143.003123459917</v>
      </c>
      <c r="E6928" s="38" t="n">
        <f aca="false">Sens!$E$6827-Sens!$E$6829</f>
        <v>71.9374224924414</v>
      </c>
      <c r="F6928" s="38" t="n">
        <f aca="false">Sens!$F$6827-Sens!$F$6829</f>
        <v>85.3951910035875</v>
      </c>
      <c r="G6928" s="38" t="n">
        <f aca="false">Sens!$G$6827-Sens!$G$6829</f>
        <v>157.349430014619</v>
      </c>
      <c r="H6928" s="38" t="n">
        <f aca="false">Sens!$H$6827-Sens!$H$6829</f>
        <v>172.043153372315</v>
      </c>
      <c r="I6928" s="38" t="n">
        <f aca="false">Sens!$I$6827-Sens!$I$6829</f>
        <v>186.097493615879</v>
      </c>
      <c r="J6928" s="38" t="n">
        <f aca="false">Sens!$J$6827-Sens!$J$6829</f>
        <v>199.117932780497</v>
      </c>
      <c r="K6928" s="38" t="n">
        <f aca="false">Sens!$K$6827-Sens!$K$6829</f>
        <v>210.70928698363</v>
      </c>
      <c r="L6928" s="38" t="n">
        <f aca="false">Sens!$L$6827-Sens!$L$6829</f>
        <v>223.000532251316</v>
      </c>
      <c r="M6928" s="38" t="n">
        <f aca="false">Sens!$M$6827-Sens!$M$6829</f>
        <v>236.035261011339</v>
      </c>
      <c r="N6928" s="38" t="n">
        <f aca="false">Sens!$N$6827-Sens!$N$6829</f>
        <v>62.3677111412496</v>
      </c>
      <c r="O6928" s="38" t="n">
        <f aca="false">Sens!$O$6827-Sens!$O$6829</f>
        <v>80.6189463642798</v>
      </c>
    </row>
    <row r="6929" customFormat="false" ht="17.15" hidden="false" customHeight="false" outlineLevel="0" collapsed="false">
      <c r="A6929" s="0" t="s">
        <v>722</v>
      </c>
      <c r="B6929" s="0" t="s">
        <v>86</v>
      </c>
      <c r="C6929" s="38" t="n">
        <f aca="false">Sens!$C$6875*(1-Sens!$C$6825)</f>
        <v>0.0455891896019953</v>
      </c>
      <c r="D6929" s="38" t="n">
        <f aca="false">Sens!$D$6875*(1-Sens!$D$6825)</f>
        <v>0.332050421167231</v>
      </c>
      <c r="E6929" s="38" t="n">
        <f aca="false">Sens!$E$6875*(1-Sens!$E$6825)</f>
        <v>0.481224293644882</v>
      </c>
      <c r="F6929" s="38" t="n">
        <f aca="false">Sens!$F$6875*(1-Sens!$F$6825)</f>
        <v>0.596018918096053</v>
      </c>
      <c r="G6929" s="38" t="n">
        <f aca="false">Sens!$G$6875*(1-Sens!$G$6825)</f>
        <v>1.07691812241537</v>
      </c>
      <c r="H6929" s="38" t="n">
        <f aca="false">Sens!$H$6875*(1-Sens!$H$6825)</f>
        <v>2.83074090775622</v>
      </c>
      <c r="I6929" s="38" t="n">
        <f aca="false">Sens!$I$6875*(1-Sens!$I$6825)</f>
        <v>4.94108853926048</v>
      </c>
      <c r="J6929" s="38" t="n">
        <f aca="false">Sens!$J$6875*(1-Sens!$J$6825)</f>
        <v>7.10858281993502</v>
      </c>
      <c r="K6929" s="38" t="n">
        <f aca="false">Sens!$K$6875*(1-Sens!$K$6825)</f>
        <v>9.2298899126701</v>
      </c>
      <c r="L6929" s="38" t="n">
        <f aca="false">Sens!$L$6875*(1-Sens!$L$6825)</f>
        <v>10.6049688574045</v>
      </c>
      <c r="M6929" s="38" t="n">
        <f aca="false">Sens!$M$6875*(1-Sens!$M$6825)</f>
        <v>11.3853051574758</v>
      </c>
      <c r="N6929" s="38" t="n">
        <f aca="false">Sens!$N$6875*(1-Sens!$N$6825)</f>
        <v>0.141739115596548</v>
      </c>
      <c r="O6929" s="38" t="n">
        <f aca="false">Sens!$O$6875*(1-Sens!$O$6825)</f>
        <v>0.190445576353059</v>
      </c>
    </row>
    <row r="6930" customFormat="false" ht="17.15" hidden="false" customHeight="false" outlineLevel="0" collapsed="false">
      <c r="A6930" s="0" t="s">
        <v>723</v>
      </c>
      <c r="B6930" s="0" t="s">
        <v>52</v>
      </c>
      <c r="C6930" s="28" t="n">
        <f aca="false">(Sens!$C$6931-Sens!$C$6927+Sens!$C$6929)/Sens!$C$6928</f>
        <v>-0.0292364215826579</v>
      </c>
      <c r="D6930" s="28" t="n">
        <f aca="false">(Sens!$D$6931-Sens!$D$6927+Sens!$D$6929)/Sens!$D$6928</f>
        <v>-0.0305125352740778</v>
      </c>
      <c r="E6930" s="28" t="n">
        <f aca="false">(Sens!$E$6931-Sens!$E$6927+Sens!$E$6929)/Sens!$E$6928</f>
        <v>-0.019490056934994</v>
      </c>
      <c r="F6930" s="28" t="n">
        <f aca="false">Sens!$O$6930+(Sens!$E$6930-Sens!$N$6930)</f>
        <v>-0.0367332293992226</v>
      </c>
      <c r="G6930" s="28" t="n">
        <f aca="false">(Sens!$G$6931-Sens!$G$6927+Sens!$G$6929)/Sens!$G$6928</f>
        <v>-0.0287946542321067</v>
      </c>
      <c r="H6930" s="28" t="n">
        <f aca="false">Sens!$G$6930+step_in</f>
        <v>-0.0287946542321067</v>
      </c>
      <c r="I6930" s="28" t="n">
        <f aca="false">Sens!$H$6930+step_in</f>
        <v>-0.0287946542321067</v>
      </c>
      <c r="J6930" s="28" t="n">
        <f aca="false">Sens!$I$6930+step_in</f>
        <v>-0.0287946542321067</v>
      </c>
      <c r="K6930" s="28" t="n">
        <f aca="false">Sens!$J$6930+step_in</f>
        <v>-0.0287946542321067</v>
      </c>
      <c r="L6930" s="28" t="n">
        <f aca="false">Sens!$K$6930</f>
        <v>-0.0287946542321067</v>
      </c>
      <c r="M6930" s="28" t="n">
        <f aca="false">Sens!$L$6930</f>
        <v>-0.0287946542321067</v>
      </c>
      <c r="N6930" s="28" t="n">
        <f aca="false">(Sens!$N$6931-Sens!$N$6927+Sens!$N$6929)/Sens!$N$6928</f>
        <v>-0.02085061789158</v>
      </c>
      <c r="O6930" s="28" t="n">
        <f aca="false">(Sens!$O$6931-Sens!$O$6927+Sens!$O$6929)/Sens!$O$6928</f>
        <v>-0.0380937903558086</v>
      </c>
      <c r="P6930" s="8" t="s">
        <v>718</v>
      </c>
    </row>
    <row r="6931" customFormat="false" ht="17.15" hidden="false" customHeight="false" outlineLevel="0" collapsed="false">
      <c r="A6931" s="1" t="s">
        <v>724</v>
      </c>
      <c r="B6931" s="8" t="s">
        <v>86</v>
      </c>
      <c r="C6931" s="38" t="n">
        <f aca="false">Q!$D$23</f>
        <v>3.792</v>
      </c>
      <c r="D6931" s="38" t="n">
        <f aca="false">Q!$E$23</f>
        <v>4.75</v>
      </c>
      <c r="E6931" s="38" t="n">
        <f aca="false">Q!$P$23</f>
        <v>3.141</v>
      </c>
      <c r="F6931" s="38" t="n">
        <f aca="false">Sens!$F$6927+Sens!$F$6928*Sens!$F$6930-Sens!$F$6929</f>
        <v>2.77377852186047</v>
      </c>
      <c r="G6931" s="38" t="n">
        <f aca="false">Sens!$E$6931+Sens!$F$6931</f>
        <v>5.91477852186047</v>
      </c>
      <c r="H6931" s="38" t="n">
        <f aca="false">Sens!$H$6927+Sens!$H$6928*Sens!$H$6930-Sens!$H$6929</f>
        <v>6.04870884420403</v>
      </c>
      <c r="I6931" s="38" t="n">
        <f aca="false">Sens!$I$6927+Sens!$I$6928*Sens!$I$6930-Sens!$I$6929</f>
        <v>5.84431580315713</v>
      </c>
      <c r="J6931" s="38" t="n">
        <f aca="false">Sens!$J$6927+Sens!$J$6928*Sens!$J$6930-Sens!$J$6929</f>
        <v>5.45740373874528</v>
      </c>
      <c r="K6931" s="38" t="n">
        <f aca="false">Sens!$K$6927+Sens!$K$6928*Sens!$K$6930-Sens!$K$6929</f>
        <v>4.83227946809976</v>
      </c>
      <c r="L6931" s="38" t="n">
        <f aca="false">Sens!$L$6927+Sens!$L$6928*Sens!$L$6930-Sens!$L$6929</f>
        <v>5.11622541009601</v>
      </c>
      <c r="M6931" s="38" t="n">
        <f aca="false">Sens!$M$6927+Sens!$M$6928*Sens!$M$6930-Sens!$M$6929</f>
        <v>6.17480035109588</v>
      </c>
      <c r="N6931" s="38" t="n">
        <f aca="false">Q!$N$23</f>
        <v>2.511</v>
      </c>
      <c r="O6931" s="38" t="n">
        <f aca="false">Q!$O$23</f>
        <v>2.239</v>
      </c>
    </row>
    <row r="6932" customFormat="false" ht="17.15" hidden="false" customHeight="false" outlineLevel="0" collapsed="false">
      <c r="A6932" s="0" t="s">
        <v>725</v>
      </c>
      <c r="B6932" s="0" t="s">
        <v>86</v>
      </c>
      <c r="C6932" s="38" t="n">
        <f aca="false">Sens!$C$6872</f>
        <v>1.64417882953695</v>
      </c>
      <c r="D6932" s="38" t="n">
        <f aca="false">Sens!$D$6872</f>
        <v>3.8781008067718</v>
      </c>
      <c r="E6932" s="38" t="n">
        <f aca="false">Sens!$E$6872</f>
        <v>1.41270258088753</v>
      </c>
      <c r="F6932" s="38" t="n">
        <f aca="false">Sens!$F$6872</f>
        <v>6.50727700583486</v>
      </c>
      <c r="G6932" s="38" t="n">
        <f aca="false">Sens!$G$6872</f>
        <v>7.9199795867224</v>
      </c>
      <c r="H6932" s="38" t="n">
        <f aca="false">Sens!$H$6872</f>
        <v>19.2818189481807</v>
      </c>
      <c r="I6932" s="38" t="n">
        <f aca="false">Sens!$I$6872</f>
        <v>30.140114407202</v>
      </c>
      <c r="J6932" s="38" t="n">
        <f aca="false">Sens!$J$6872</f>
        <v>40.3569468829854</v>
      </c>
      <c r="K6932" s="38" t="n">
        <f aca="false">Sens!$K$6872</f>
        <v>45.1418609242305</v>
      </c>
      <c r="L6932" s="38" t="n">
        <f aca="false">Sens!$L$6872</f>
        <v>48.5617321668703</v>
      </c>
      <c r="M6932" s="38" t="n">
        <f aca="false">Sens!$M$6872</f>
        <v>48.3987625241529</v>
      </c>
      <c r="N6932" s="38" t="n">
        <f aca="false">Sens!$N$6872</f>
        <v>0.92264103489199</v>
      </c>
      <c r="O6932" s="38" t="n">
        <f aca="false">Sens!$O$6872</f>
        <v>2.95545977187981</v>
      </c>
    </row>
    <row r="6933" customFormat="false" ht="17.15" hidden="false" customHeight="false" outlineLevel="0" collapsed="false">
      <c r="A6933" s="0" t="s">
        <v>643</v>
      </c>
      <c r="B6933" s="0" t="s">
        <v>86</v>
      </c>
      <c r="C6933" s="38" t="n">
        <f aca="false">Sens!$C$6877</f>
        <v>38.1898211704631</v>
      </c>
      <c r="D6933" s="38" t="n">
        <f aca="false">Sens!$D$6877</f>
        <v>41.7278991932282</v>
      </c>
      <c r="E6933" s="38" t="n">
        <f aca="false">Sens!$E$6877</f>
        <v>29.3692974191125</v>
      </c>
      <c r="F6933" s="38" t="n">
        <f aca="false">Sens!$F$6877</f>
        <v>26.8997276714137</v>
      </c>
      <c r="G6933" s="38" t="n">
        <f aca="false">Sens!$G$6877</f>
        <v>56.2690250905262</v>
      </c>
      <c r="H6933" s="38" t="n">
        <f aca="false">Sens!$H$6877</f>
        <v>60.3505333937343</v>
      </c>
      <c r="I6933" s="38" t="n">
        <f aca="false">Sens!$I$6877</f>
        <v>67.0043857303571</v>
      </c>
      <c r="J6933" s="38" t="n">
        <f aca="false">Sens!$J$6877</f>
        <v>73.3782922956925</v>
      </c>
      <c r="K6933" s="38" t="n">
        <f aca="false">Sens!$K$6877</f>
        <v>79.2485556793479</v>
      </c>
      <c r="L6933" s="38" t="n">
        <f aca="false">Sens!$L$6877</f>
        <v>85.5884401336958</v>
      </c>
      <c r="M6933" s="38" t="n">
        <f aca="false">Sens!$M$6877</f>
        <v>92.4355153443914</v>
      </c>
      <c r="N6933" s="38" t="n">
        <f aca="false">Sens!$N$6877</f>
        <v>20.784358965108</v>
      </c>
      <c r="O6933" s="38" t="n">
        <f aca="false">Sens!$O$6877</f>
        <v>20.9435402281202</v>
      </c>
    </row>
    <row r="6934" customFormat="false" ht="17.15" hidden="false" customHeight="false" outlineLevel="0" collapsed="false">
      <c r="A6934" s="1" t="s">
        <v>726</v>
      </c>
      <c r="B6934" s="8" t="s">
        <v>86</v>
      </c>
      <c r="C6934" s="38" t="n">
        <f aca="false">Q!$D$24</f>
        <v>39.834</v>
      </c>
      <c r="D6934" s="38" t="n">
        <f aca="false">Q!$E$24</f>
        <v>45.606</v>
      </c>
      <c r="E6934" s="38" t="n">
        <f aca="false">Q!$P$24</f>
        <v>30.782</v>
      </c>
      <c r="F6934" s="38" t="n">
        <f aca="false">Sens!$F$6932+Sens!$F$6933</f>
        <v>33.4070046772486</v>
      </c>
      <c r="G6934" s="38" t="n">
        <f aca="false">Sens!$G$6932+Sens!$G$6933</f>
        <v>64.1890046772486</v>
      </c>
      <c r="H6934" s="38" t="n">
        <f aca="false">Sens!$H$6932+Sens!$H$6933</f>
        <v>79.6323523419149</v>
      </c>
      <c r="I6934" s="38" t="n">
        <f aca="false">Sens!$I$6932+Sens!$I$6933</f>
        <v>97.1445001375591</v>
      </c>
      <c r="J6934" s="38" t="n">
        <f aca="false">Sens!$J$6932+Sens!$J$6933</f>
        <v>113.735239178678</v>
      </c>
      <c r="K6934" s="38" t="n">
        <f aca="false">Sens!$K$6932+Sens!$K$6933</f>
        <v>124.390416603578</v>
      </c>
      <c r="L6934" s="38" t="n">
        <f aca="false">Sens!$L$6932+Sens!$L$6933</f>
        <v>134.150172300566</v>
      </c>
      <c r="M6934" s="38" t="n">
        <f aca="false">Sens!$M$6932+Sens!$M$6933</f>
        <v>140.834277868544</v>
      </c>
      <c r="N6934" s="38" t="n">
        <f aca="false">Q!$N$24</f>
        <v>21.707</v>
      </c>
      <c r="O6934" s="38" t="n">
        <f aca="false">Q!$O$24</f>
        <v>23.899</v>
      </c>
    </row>
    <row r="6935" customFormat="false" ht="17.15" hidden="false" customHeight="false" outlineLevel="0" collapsed="false">
      <c r="A6935" s="5" t="s">
        <v>727</v>
      </c>
      <c r="B6935" s="0" t="s">
        <v>86</v>
      </c>
      <c r="C6935" s="38" t="n">
        <f aca="false">Q!$D$26</f>
        <v>0</v>
      </c>
      <c r="D6935" s="38" t="n">
        <f aca="false">Q!$E$26</f>
        <v>0</v>
      </c>
      <c r="E6935" s="38" t="n">
        <f aca="false">Q!$P$26</f>
        <v>0</v>
      </c>
      <c r="F6935" s="39" t="n">
        <v>0</v>
      </c>
      <c r="G6935" s="38" t="n">
        <f aca="false">Sens!$E$6935+Sens!$F$6935</f>
        <v>0</v>
      </c>
      <c r="H6935" s="39" t="n">
        <v>0</v>
      </c>
      <c r="I6935" s="39" t="n">
        <v>0</v>
      </c>
      <c r="J6935" s="39" t="n">
        <v>0</v>
      </c>
      <c r="K6935" s="39" t="n">
        <v>0</v>
      </c>
      <c r="L6935" s="39" t="n">
        <v>0</v>
      </c>
      <c r="M6935" s="39" t="n">
        <v>0</v>
      </c>
      <c r="N6935" s="38" t="n">
        <f aca="false">Q!$N$26</f>
        <v>0</v>
      </c>
      <c r="O6935" s="38" t="n">
        <f aca="false">Q!$O$26</f>
        <v>0</v>
      </c>
    </row>
    <row r="6936" customFormat="false" ht="15" hidden="false" customHeight="false" outlineLevel="0" collapsed="false">
      <c r="A6936" s="3" t="s">
        <v>531</v>
      </c>
      <c r="B6936" s="8" t="s">
        <v>86</v>
      </c>
      <c r="C6936" s="38" t="n">
        <f aca="false">Q!$D$25</f>
        <v>68.593</v>
      </c>
      <c r="D6936" s="38" t="n">
        <f aca="false">Q!$E$25</f>
        <v>79.975</v>
      </c>
      <c r="E6936" s="38" t="n">
        <f aca="false">Q!$P$25</f>
        <v>51.313</v>
      </c>
      <c r="F6936" s="38" t="n">
        <f aca="false">Sens!$F$6926+Sens!$F$6931+Sens!$F$6934+Sens!$F$6935</f>
        <v>56.2888892369246</v>
      </c>
      <c r="G6936" s="38" t="n">
        <f aca="false">Sens!$G$6926+Sens!$G$6931+Sens!$G$6934+Sens!$G$6935</f>
        <v>107.601889236925</v>
      </c>
      <c r="H6936" s="38" t="n">
        <f aca="false">Sens!$H$6926+Sens!$H$6931+Sens!$H$6934+Sens!$H$6935</f>
        <v>126.935967255636</v>
      </c>
      <c r="I6936" s="38" t="n">
        <f aca="false">Sens!$I$6926+Sens!$I$6931+Sens!$I$6934+Sens!$I$6935</f>
        <v>147.247780943116</v>
      </c>
      <c r="J6936" s="38" t="n">
        <f aca="false">Sens!$J$6926+Sens!$J$6931+Sens!$J$6934+Sens!$J$6935</f>
        <v>166.030093415229</v>
      </c>
      <c r="K6936" s="38" t="n">
        <f aca="false">Sens!$K$6926+Sens!$K$6931+Sens!$K$6934+Sens!$K$6935</f>
        <v>177.975591165353</v>
      </c>
      <c r="L6936" s="38" t="n">
        <f aca="false">Sens!$L$6926+Sens!$L$6931+Sens!$L$6934+Sens!$L$6935</f>
        <v>190.868575271371</v>
      </c>
      <c r="M6936" s="38" t="n">
        <f aca="false">Sens!$M$6926+Sens!$M$6931+Sens!$M$6934+Sens!$M$6935</f>
        <v>203.610388310126</v>
      </c>
      <c r="N6936" s="38" t="n">
        <f aca="false">Q!$N$25</f>
        <v>37.576</v>
      </c>
      <c r="O6936" s="38" t="n">
        <f aca="false">Q!$O$25</f>
        <v>42.399</v>
      </c>
    </row>
    <row r="6937" customFormat="false" ht="17.15" hidden="false" customHeight="false" outlineLevel="0" collapsed="false">
      <c r="A6937" s="24" t="s">
        <v>758</v>
      </c>
      <c r="B6937" s="25" t="s">
        <v>86</v>
      </c>
      <c r="C6937" s="41" t="n">
        <f aca="false">Sens!$C$6926+Sens!$C$6931+Sens!$C$6934+Sens!$C$6935-Sens!$C$6936</f>
        <v>0</v>
      </c>
      <c r="D6937" s="41" t="n">
        <f aca="false">Sens!$D$6926+Sens!$D$6931+Sens!$D$6934+Sens!$D$6935-Sens!$D$6936</f>
        <v>0</v>
      </c>
      <c r="E6937" s="41" t="n">
        <f aca="false">Sens!$E$6926+Sens!$E$6931+Sens!$E$6934+Sens!$E$6935-Sens!$E$6936</f>
        <v>0</v>
      </c>
      <c r="F6937" s="41" t="n">
        <f aca="false">Sens!$F$6926+Sens!$F$6931+Sens!$F$6934+Sens!$F$6935-Sens!$F$6936</f>
        <v>0</v>
      </c>
      <c r="G6937" s="41" t="n">
        <f aca="false">Sens!$G$6926+Sens!$G$6931+Sens!$G$6934+Sens!$G$6935-Sens!$G$6936</f>
        <v>0</v>
      </c>
      <c r="H6937" s="41" t="n">
        <f aca="false">Sens!$H$6926+Sens!$H$6931+Sens!$H$6934+Sens!$H$6935-Sens!$H$6936</f>
        <v>0</v>
      </c>
      <c r="I6937" s="41" t="n">
        <f aca="false">Sens!$I$6926+Sens!$I$6931+Sens!$I$6934+Sens!$I$6935-Sens!$I$6936</f>
        <v>0</v>
      </c>
      <c r="J6937" s="41" t="n">
        <f aca="false">Sens!$J$6926+Sens!$J$6931+Sens!$J$6934+Sens!$J$6935-Sens!$J$6936</f>
        <v>0</v>
      </c>
      <c r="K6937" s="41" t="n">
        <f aca="false">Sens!$K$6926+Sens!$K$6931+Sens!$K$6934+Sens!$K$6935-Sens!$K$6936</f>
        <v>0</v>
      </c>
      <c r="L6937" s="41" t="n">
        <f aca="false">Sens!$L$6926+Sens!$L$6931+Sens!$L$6934+Sens!$L$6935-Sens!$L$6936</f>
        <v>0</v>
      </c>
      <c r="M6937" s="41" t="n">
        <f aca="false">Sens!$M$6926+Sens!$M$6931+Sens!$M$6934+Sens!$M$6935-Sens!$M$6936</f>
        <v>0</v>
      </c>
      <c r="N6937" s="41" t="n">
        <f aca="false">Sens!$N$6926+Sens!$N$6931+Sens!$N$6934+Sens!$N$6935-Sens!$N$6936</f>
        <v>0</v>
      </c>
      <c r="O6937" s="41" t="n">
        <f aca="false">Sens!$O$6926+Sens!$O$6931+Sens!$O$6934+Sens!$O$6935-Sens!$O$6936</f>
        <v>0</v>
      </c>
    </row>
    <row r="6938" customFormat="false" ht="17.15" hidden="false" customHeight="false" outlineLevel="0" collapsed="false">
      <c r="A6938" s="5" t="s">
        <v>729</v>
      </c>
      <c r="B6938" s="0" t="s">
        <v>86</v>
      </c>
      <c r="C6938" s="38" t="n">
        <f aca="false">Sens!$C$6874</f>
        <v>0</v>
      </c>
      <c r="D6938" s="38" t="n">
        <f aca="false">Sens!$D$6874</f>
        <v>0</v>
      </c>
      <c r="E6938" s="38" t="n">
        <f aca="false">Sens!$E$6874</f>
        <v>0</v>
      </c>
      <c r="F6938" s="38" t="n">
        <f aca="false">Sens!$F$6874</f>
        <v>3.77122048175818</v>
      </c>
      <c r="G6938" s="38" t="n">
        <f aca="false">Sens!$G$6874</f>
        <v>3.77122048175818</v>
      </c>
      <c r="H6938" s="38" t="n">
        <f aca="false">Sens!$H$6874</f>
        <v>15.1635543609893</v>
      </c>
      <c r="I6938" s="38" t="n">
        <f aca="false">Sens!$I$6874</f>
        <v>25.5818843619889</v>
      </c>
      <c r="J6938" s="38" t="n">
        <f aca="false">Sens!$J$6874</f>
        <v>36.0465624179122</v>
      </c>
      <c r="K6938" s="38" t="n">
        <f aca="false">Sens!$K$6874</f>
        <v>44.9741164026038</v>
      </c>
      <c r="L6938" s="38" t="n">
        <f aca="false">Sens!$L$6874</f>
        <v>50.8413488057813</v>
      </c>
      <c r="M6938" s="38" t="n">
        <f aca="false">Sens!$M$6874</f>
        <v>53.6407214274315</v>
      </c>
      <c r="N6938" s="38" t="n">
        <f aca="false">Sens!$N$6874</f>
        <v>0</v>
      </c>
      <c r="O6938" s="38" t="n">
        <f aca="false">Sens!$O$6874</f>
        <v>0</v>
      </c>
      <c r="P6938" s="5" t="s">
        <v>730</v>
      </c>
    </row>
    <row r="6939" customFormat="false" ht="17.15" hidden="false" customHeight="false" outlineLevel="0" collapsed="false">
      <c r="A6939" s="5" t="s">
        <v>731</v>
      </c>
      <c r="B6939" s="0" t="s">
        <v>86</v>
      </c>
      <c r="C6939" s="38" t="n">
        <f aca="false">Sens!$C$6936+Sens!$C$6938</f>
        <v>68.593</v>
      </c>
      <c r="D6939" s="38" t="n">
        <f aca="false">Sens!$D$6936+Sens!$D$6938</f>
        <v>79.975</v>
      </c>
      <c r="E6939" s="38" t="n">
        <f aca="false">Sens!$E$6936+Sens!$E$6938</f>
        <v>51.313</v>
      </c>
      <c r="F6939" s="38" t="n">
        <f aca="false">Sens!$F$6936+Sens!$F$6938</f>
        <v>60.0601097186828</v>
      </c>
      <c r="G6939" s="38" t="n">
        <f aca="false">Sens!$G$6936+Sens!$G$6938</f>
        <v>111.373109718683</v>
      </c>
      <c r="H6939" s="38" t="n">
        <f aca="false">Sens!$H$6936+Sens!$H$6938</f>
        <v>142.099521616625</v>
      </c>
      <c r="I6939" s="38" t="n">
        <f aca="false">Sens!$I$6936+Sens!$I$6938</f>
        <v>172.829665305105</v>
      </c>
      <c r="J6939" s="38" t="n">
        <f aca="false">Sens!$J$6936+Sens!$J$6938</f>
        <v>202.076655833141</v>
      </c>
      <c r="K6939" s="38" t="n">
        <f aca="false">Sens!$K$6936+Sens!$K$6938</f>
        <v>222.949707567956</v>
      </c>
      <c r="L6939" s="38" t="n">
        <f aca="false">Sens!$L$6936+Sens!$L$6938</f>
        <v>241.709924077153</v>
      </c>
      <c r="M6939" s="38" t="n">
        <f aca="false">Sens!$M$6936+Sens!$M$6938</f>
        <v>257.251109737557</v>
      </c>
      <c r="N6939" s="38" t="n">
        <f aca="false">Sens!$N$6936+Sens!$N$6938</f>
        <v>37.576</v>
      </c>
      <c r="O6939" s="38" t="n">
        <f aca="false">Sens!$O$6936+Sens!$O$6938</f>
        <v>42.399</v>
      </c>
    </row>
    <row r="6940" customFormat="false" ht="17.15" hidden="false" customHeight="false" outlineLevel="0" collapsed="false">
      <c r="A6940" s="0" t="s">
        <v>732</v>
      </c>
      <c r="B6940" s="0" t="s">
        <v>52</v>
      </c>
      <c r="C6940" s="13" t="n">
        <f aca="false">Sens!$C$6926/Sens!$C$6911</f>
        <v>0.0644314665661928</v>
      </c>
      <c r="D6940" s="13" t="n">
        <f aca="false">Sens!$D$6926/Sens!$D$6911</f>
        <v>0.0694784250712518</v>
      </c>
      <c r="E6940" s="13" t="n">
        <f aca="false">Sens!$E$6926/Sens!$E$6911</f>
        <v>0.0789306463326071</v>
      </c>
      <c r="F6940" s="13" t="n">
        <f aca="false">Sens!$F$6926/Sens!$F$6911</f>
        <v>0.0802271154277638</v>
      </c>
      <c r="G6940" s="13" t="n">
        <f aca="false">Sens!$G$6926/Sens!$G$6911</f>
        <v>0.0796206133714758</v>
      </c>
      <c r="H6940" s="13" t="n">
        <f aca="false">Sens!$H$6926/Sens!$H$6911</f>
        <v>0.0791253077422711</v>
      </c>
      <c r="I6940" s="13" t="n">
        <f aca="false">Sens!$I$6926/Sens!$I$6911</f>
        <v>0.0776277144828766</v>
      </c>
      <c r="J6940" s="13" t="n">
        <f aca="false">Sens!$J$6926/Sens!$J$6911</f>
        <v>0.0761100135193333</v>
      </c>
      <c r="K6940" s="13" t="n">
        <f aca="false">Sens!$K$6926/Sens!$K$6911</f>
        <v>0.074408246177121</v>
      </c>
      <c r="L6940" s="13" t="n">
        <f aca="false">Sens!$L$6926/Sens!$L$6911</f>
        <v>0.0739489900415671</v>
      </c>
      <c r="M6940" s="13" t="n">
        <f aca="false">Sens!$M$6926/Sens!$M$6911</f>
        <v>0.076138500430805</v>
      </c>
      <c r="N6940" s="13" t="n">
        <f aca="false">Sens!$N$6926/Sens!$N$6911</f>
        <v>0.069228576611127</v>
      </c>
      <c r="O6940" s="13" t="n">
        <f aca="false">Sens!$O$6926/Sens!$O$6911</f>
        <v>0.069685022498393</v>
      </c>
    </row>
    <row r="6941" customFormat="false" ht="17.15" hidden="false" customHeight="false" outlineLevel="0" collapsed="false">
      <c r="A6941" s="0" t="s">
        <v>733</v>
      </c>
      <c r="B6941" s="0" t="s">
        <v>52</v>
      </c>
      <c r="C6941" s="13" t="n">
        <f aca="false">Sens!$C$6931/Sens!$C$6912</f>
        <v>0.026534925055631</v>
      </c>
      <c r="D6941" s="13" t="n">
        <f aca="false">Sens!$D$6931/Sens!$D$6912</f>
        <v>0.0293401855535103</v>
      </c>
      <c r="E6941" s="13" t="n">
        <f aca="false">Sens!$E$6931/Sens!$E$6912</f>
        <v>0.03831141902276</v>
      </c>
      <c r="F6941" s="13" t="n">
        <f aca="false">Sens!$F$6931/Sens!$F$6912</f>
        <v>0.028186380436398</v>
      </c>
      <c r="G6941" s="13" t="n">
        <f aca="false">Sens!$G$6931/Sens!$G$6912</f>
        <v>0.0327880260521739</v>
      </c>
      <c r="H6941" s="13" t="n">
        <f aca="false">Sens!$H$6931/Sens!$H$6912</f>
        <v>0.0302874763409969</v>
      </c>
      <c r="I6941" s="13" t="n">
        <f aca="false">Sens!$I$6931/Sens!$I$6912</f>
        <v>0.0267614610253202</v>
      </c>
      <c r="J6941" s="13" t="n">
        <f aca="false">Sens!$J$6931/Sens!$J$6912</f>
        <v>0.0231523582706593</v>
      </c>
      <c r="K6941" s="13" t="n">
        <f aca="false">Sens!$K$6931/Sens!$K$6912</f>
        <v>0.0192545467174101</v>
      </c>
      <c r="L6941" s="13" t="n">
        <f aca="false">Sens!$L$6931/Sens!$L$6912</f>
        <v>0.0191414347264789</v>
      </c>
      <c r="M6941" s="13" t="n">
        <f aca="false">Sens!$M$6931/Sens!$M$6912</f>
        <v>0.0216850962428001</v>
      </c>
      <c r="N6941" s="13" t="n">
        <f aca="false">Sens!$N$6931/Sens!$N$6912</f>
        <v>0.0357315650169337</v>
      </c>
      <c r="O6941" s="13" t="n">
        <f aca="false">Sens!$O$6931/Sens!$O$6912</f>
        <v>0.0244378956559703</v>
      </c>
    </row>
    <row r="6942" customFormat="false" ht="17.15" hidden="false" customHeight="false" outlineLevel="0" collapsed="false">
      <c r="A6942" s="14" t="s">
        <v>734</v>
      </c>
      <c r="B6942" s="14" t="s">
        <v>52</v>
      </c>
      <c r="C6942" s="17" t="n">
        <f aca="false">Sens!$C$6934/Sens!$C$6913</f>
        <v>0.370355907620217</v>
      </c>
      <c r="D6942" s="17" t="n">
        <f aca="false">Sens!$D$6934/Sens!$D$6913</f>
        <v>0.35429015342785</v>
      </c>
      <c r="E6942" s="17" t="n">
        <f aca="false">Sens!$E$6934/Sens!$E$6913</f>
        <v>0.385647527531039</v>
      </c>
      <c r="F6942" s="17" t="n">
        <f aca="false">Sens!$F$6934/Sens!$F$6913</f>
        <v>0.385171818673936</v>
      </c>
      <c r="G6942" s="17" t="n">
        <f aca="false">Sens!$G$6934/Sens!$G$6913</f>
        <v>0.385399799520974</v>
      </c>
      <c r="H6942" s="17" t="n">
        <f aca="false">Sens!$H$6934/Sens!$H$6913</f>
        <v>0.360029314750347</v>
      </c>
      <c r="I6942" s="17" t="n">
        <f aca="false">Sens!$I$6934/Sens!$I$6913</f>
        <v>0.346606134604193</v>
      </c>
      <c r="J6942" s="17" t="n">
        <f aca="false">Sens!$J$6934/Sens!$J$6913</f>
        <v>0.335699297156574</v>
      </c>
      <c r="K6942" s="17" t="n">
        <f aca="false">Sens!$K$6934/Sens!$K$6913</f>
        <v>0.319043289183739</v>
      </c>
      <c r="L6942" s="17" t="n">
        <f aca="false">Sens!$L$6934/Sens!$L$6913</f>
        <v>0.311918613444893</v>
      </c>
      <c r="M6942" s="17" t="n">
        <f aca="false">Sens!$M$6934/Sens!$M$6913</f>
        <v>0.306523814127389</v>
      </c>
      <c r="N6942" s="17" t="n">
        <f aca="false">Sens!$N$6934/Sens!$N$6913</f>
        <v>0.360941137346192</v>
      </c>
      <c r="O6942" s="17" t="n">
        <f aca="false">Sens!$O$6934/Sens!$O$6913</f>
        <v>0.348458117664212</v>
      </c>
    </row>
    <row r="6943" customFormat="false" ht="17.15" hidden="false" customHeight="false" outlineLevel="0" collapsed="false">
      <c r="A6943" s="0" t="s">
        <v>735</v>
      </c>
      <c r="B6943" s="0" t="s">
        <v>52</v>
      </c>
      <c r="C6943" s="13" t="n">
        <f aca="false">Sens!$C$6932/Sens!$C$6914</f>
        <v>0.708390794789371</v>
      </c>
      <c r="D6943" s="13" t="n">
        <f aca="false">Sens!$D$6932/Sens!$D$6914</f>
        <v>0.445565630441968</v>
      </c>
      <c r="E6943" s="13" t="n">
        <f aca="false">Sens!$E$6932/Sens!$E$6914</f>
        <v>0.165998118402711</v>
      </c>
      <c r="F6943" s="13" t="n">
        <f aca="false">Sens!$F$6932/Sens!$F$6914</f>
        <v>0.434878595403858</v>
      </c>
      <c r="G6943" s="13" t="n">
        <f aca="false">Sens!$G$6932/Sens!$G$6914</f>
        <v>0.3373967615381</v>
      </c>
      <c r="H6943" s="13" t="n">
        <f aca="false">Sens!$H$6932/Sens!$H$6914</f>
        <v>0.320477578041224</v>
      </c>
      <c r="I6943" s="13" t="n">
        <f aca="false">Sens!$I$6932/Sens!$I$6914</f>
        <v>0.296936118226494</v>
      </c>
      <c r="J6943" s="13" t="n">
        <f aca="false">Sens!$J$6932/Sens!$J$6914</f>
        <v>0.282166278613001</v>
      </c>
      <c r="K6943" s="13" t="n">
        <f aca="false">Sens!$K$6932/Sens!$K$6914</f>
        <v>0.252969102881543</v>
      </c>
      <c r="L6943" s="13" t="n">
        <f aca="false">Sens!$L$6932/Sens!$L$6914</f>
        <v>0.240728642826566</v>
      </c>
      <c r="M6943" s="13" t="n">
        <f aca="false">Sens!$M$6932/Sens!$M$6914</f>
        <v>0.227399920863147</v>
      </c>
      <c r="N6943" s="13" t="n">
        <f aca="false">Sens!$N$6932/Sens!$N$6914</f>
        <v>0.302870734830849</v>
      </c>
      <c r="O6943" s="13" t="n">
        <f aca="false">Sens!$O$6932/Sens!$O$6914</f>
        <v>0.52240134346334</v>
      </c>
    </row>
    <row r="6944" customFormat="false" ht="15" hidden="false" customHeight="false" outlineLevel="0" collapsed="false">
      <c r="A6944" s="5" t="s">
        <v>736</v>
      </c>
      <c r="B6944" s="0" t="s">
        <v>52</v>
      </c>
      <c r="C6944" s="13" t="n">
        <f aca="false">Sens!$C$6936/Sens!$C$6916</f>
        <v>0.107519448742004</v>
      </c>
      <c r="D6944" s="13" t="n">
        <f aca="false">Sens!$D$6936/Sens!$D$6916</f>
        <v>0.111552967957552</v>
      </c>
      <c r="E6944" s="13" t="n">
        <f aca="false">Sens!$E$6936/Sens!$E$6916</f>
        <v>0.13428328426562</v>
      </c>
      <c r="F6944" s="13" t="n">
        <f aca="false">Sens!$F$6936/Sens!$F$6916</f>
        <v>0.129167844525589</v>
      </c>
      <c r="G6944" s="13" t="n">
        <f aca="false">Sens!$G$6936/Sens!$G$6916</f>
        <v>0.131557773771988</v>
      </c>
      <c r="H6944" s="13" t="n">
        <f aca="false">Sens!$H$6936/Sens!$H$6916</f>
        <v>0.134711536350329</v>
      </c>
      <c r="I6944" s="13" t="n">
        <f aca="false">Sens!$I$6936/Sens!$I$6916</f>
        <v>0.137768888779847</v>
      </c>
      <c r="J6944" s="13" t="n">
        <f aca="false">Sens!$J$6936/Sens!$J$6916</f>
        <v>0.139531715827143</v>
      </c>
      <c r="K6944" s="13" t="n">
        <f aca="false">Sens!$K$6936/Sens!$K$6916</f>
        <v>0.137320259076553</v>
      </c>
      <c r="L6944" s="13" t="n">
        <f aca="false">Sens!$L$6936/Sens!$L$6916</f>
        <v>0.136806307456799</v>
      </c>
      <c r="M6944" s="13" t="n">
        <f aca="false">Sens!$M$6936/Sens!$M$6916</f>
        <v>0.136871350584245</v>
      </c>
      <c r="N6944" s="13" t="n">
        <f aca="false">Sens!$N$6936/Sens!$N$6916</f>
        <v>0.116201614873411</v>
      </c>
      <c r="O6944" s="13" t="n">
        <f aca="false">Sens!$O$6936/Sens!$O$6916</f>
        <v>0.107733353660861</v>
      </c>
    </row>
    <row r="6945" customFormat="false" ht="17.15" hidden="false" customHeight="false" outlineLevel="0" collapsed="false">
      <c r="A6945" s="1" t="s">
        <v>737</v>
      </c>
    </row>
    <row r="6946" customFormat="false" ht="17.15" hidden="false" customHeight="false" outlineLevel="0" collapsed="false">
      <c r="A6946" s="5" t="s">
        <v>738</v>
      </c>
      <c r="B6946" s="0" t="s">
        <v>52</v>
      </c>
      <c r="D6946" s="28" t="n">
        <f aca="false">(Q!$E$29+Q!$E$30-(1-ext_sh)*Sens!$D$6868)/Sens!$D$6824</f>
        <v>0.0334674312393194</v>
      </c>
    </row>
    <row r="6947" customFormat="false" ht="17.15" hidden="false" customHeight="false" outlineLevel="0" collapsed="false">
      <c r="A6947" s="0" t="s">
        <v>535</v>
      </c>
      <c r="B6947" s="0" t="s">
        <v>86</v>
      </c>
      <c r="C6947" s="38" t="n">
        <f aca="false">Q!$D$29</f>
        <v>14.285</v>
      </c>
      <c r="D6947" s="38" t="n">
        <f aca="false">Q!$E$29</f>
        <v>15.503</v>
      </c>
      <c r="E6947" s="38" t="n">
        <f aca="false">Q!$P$29</f>
        <v>8.78</v>
      </c>
      <c r="F6947" s="38" t="n">
        <f aca="false">(Sens!$D$6946*Sens!$F$6824+(1-ext_sh)*Sens!$F$6868)*Sens!$F$6825</f>
        <v>9.32404990199157</v>
      </c>
      <c r="G6947" s="38" t="n">
        <f aca="false">Sens!$E$6947+Sens!$F$6947</f>
        <v>18.1040499019916</v>
      </c>
      <c r="H6947" s="38" t="n">
        <f aca="false">(Sens!$D$6946*Sens!$H$6824+(1-ext_sh)*Sens!$H$6868)*Sens!$H$6825</f>
        <v>22.5533556752937</v>
      </c>
      <c r="I6947" s="38" t="n">
        <f aca="false">(Sens!$D$6946*Sens!$I$6824+(1-ext_sh)*Sens!$I$6868)*Sens!$I$6825</f>
        <v>28.1941479903215</v>
      </c>
      <c r="J6947" s="38" t="n">
        <f aca="false">(Sens!$D$6946*Sens!$J$6824+(1-ext_sh)*Sens!$J$6868)*Sens!$J$6825</f>
        <v>33.8639126241465</v>
      </c>
      <c r="K6947" s="38" t="n">
        <f aca="false">(Sens!$D$6946*Sens!$K$6824+(1-ext_sh)*Sens!$K$6868)*Sens!$K$6825</f>
        <v>39.4516429979446</v>
      </c>
      <c r="L6947" s="38" t="n">
        <f aca="false">(Sens!$D$6946*Sens!$L$6824+(1-ext_sh)*Sens!$L$6868)*Sens!$L$6825</f>
        <v>43.6240799619622</v>
      </c>
      <c r="M6947" s="38" t="n">
        <f aca="false">(Sens!$D$6946*Sens!$M$6824+(1-ext_sh)*Sens!$M$6868)*Sens!$M$6825</f>
        <v>46.7841679303704</v>
      </c>
      <c r="N6947" s="38" t="n">
        <f aca="false">Q!$N$29</f>
        <v>7.272</v>
      </c>
      <c r="O6947" s="38" t="n">
        <f aca="false">Q!$O$29</f>
        <v>8.231</v>
      </c>
    </row>
    <row r="6948" customFormat="false" ht="17.15" hidden="false" customHeight="false" outlineLevel="0" collapsed="false">
      <c r="A6948" s="0" t="s">
        <v>537</v>
      </c>
      <c r="B6948" s="0" t="s">
        <v>86</v>
      </c>
      <c r="C6948" s="38" t="n">
        <f aca="false">Q!$D$30</f>
        <v>4.462</v>
      </c>
      <c r="D6948" s="38" t="n">
        <f aca="false">Q!$E$30</f>
        <v>4.907</v>
      </c>
      <c r="E6948" s="38" t="n">
        <f aca="false">Q!$P$30</f>
        <v>2.57</v>
      </c>
      <c r="F6948" s="38" t="n">
        <f aca="false">(Sens!$D$6946*Sens!$F$6824+(1-ext_sh)*Sens!$F$6868)*(1-Sens!$F$6825)</f>
        <v>3.66089330199472</v>
      </c>
      <c r="G6948" s="38" t="n">
        <f aca="false">Sens!$E$6948+Sens!$F$6948</f>
        <v>6.23089330199472</v>
      </c>
      <c r="H6948" s="38" t="n">
        <f aca="false">(Sens!$D$6946*Sens!$H$6824+(1-ext_sh)*Sens!$H$6868)*(1-Sens!$H$6825)</f>
        <v>8.63874333111657</v>
      </c>
      <c r="I6948" s="38" t="n">
        <f aca="false">(Sens!$D$6946*Sens!$I$6824+(1-ext_sh)*Sens!$I$6868)*(1-Sens!$I$6825)</f>
        <v>10.7993689025494</v>
      </c>
      <c r="J6948" s="38" t="n">
        <f aca="false">(Sens!$D$6946*Sens!$J$6824+(1-ext_sh)*Sens!$J$6868)*(1-Sens!$J$6825)</f>
        <v>12.9710919101865</v>
      </c>
      <c r="K6948" s="38" t="n">
        <f aca="false">(Sens!$D$6946*Sens!$K$6824+(1-ext_sh)*Sens!$K$6868)*(1-Sens!$K$6825)</f>
        <v>15.1113928568702</v>
      </c>
      <c r="L6948" s="38" t="n">
        <f aca="false">(Sens!$D$6946*Sens!$L$6824+(1-ext_sh)*Sens!$L$6868)*(1-Sens!$L$6825)</f>
        <v>16.7095857163433</v>
      </c>
      <c r="M6948" s="38" t="n">
        <f aca="false">(Sens!$D$6946*Sens!$M$6824+(1-ext_sh)*Sens!$M$6868)*(1-Sens!$M$6825)</f>
        <v>17.9200126371023</v>
      </c>
      <c r="N6948" s="38" t="n">
        <f aca="false">Q!$N$30</f>
        <v>2.316</v>
      </c>
      <c r="O6948" s="38" t="n">
        <f aca="false">Q!$O$30</f>
        <v>2.591</v>
      </c>
    </row>
    <row r="6949" customFormat="false" ht="17.15" hidden="false" customHeight="false" outlineLevel="0" collapsed="false">
      <c r="A6949" s="0" t="s">
        <v>538</v>
      </c>
      <c r="B6949" s="0" t="s">
        <v>86</v>
      </c>
      <c r="C6949" s="38" t="n">
        <f aca="false">Sens!$C$6880</f>
        <v>13.32</v>
      </c>
      <c r="D6949" s="38" t="n">
        <f aca="false">Sens!$D$6880</f>
        <v>21.45</v>
      </c>
      <c r="E6949" s="38" t="n">
        <f aca="false">Sens!$E$6880</f>
        <v>15.353</v>
      </c>
      <c r="F6949" s="38" t="n">
        <f aca="false">Sens!$F$6880</f>
        <v>16.3063747611001</v>
      </c>
      <c r="G6949" s="38" t="n">
        <f aca="false">Sens!$G$6880</f>
        <v>31.6593747611001</v>
      </c>
      <c r="H6949" s="38" t="n">
        <f aca="false">Sens!$H$6880</f>
        <v>53.124242092105</v>
      </c>
      <c r="I6949" s="38" t="n">
        <f aca="false">Sens!$I$6880</f>
        <v>78.046828098133</v>
      </c>
      <c r="J6949" s="38" t="n">
        <f aca="false">Sens!$J$6880</f>
        <v>103.663976940352</v>
      </c>
      <c r="K6949" s="38" t="n">
        <f aca="false">Sens!$K$6880</f>
        <v>129.625086115469</v>
      </c>
      <c r="L6949" s="38" t="n">
        <f aca="false">Sens!$L$6880</f>
        <v>147.435052382502</v>
      </c>
      <c r="M6949" s="38" t="n">
        <f aca="false">Sens!$M$6880</f>
        <v>159.299754080279</v>
      </c>
      <c r="N6949" s="38" t="n">
        <f aca="false">Sens!$N$6880</f>
        <v>9.234</v>
      </c>
      <c r="O6949" s="38" t="n">
        <f aca="false">Sens!$O$6880</f>
        <v>12.216</v>
      </c>
    </row>
    <row r="6950" customFormat="false" ht="17.15" hidden="false" customHeight="false" outlineLevel="0" collapsed="false">
      <c r="A6950" s="5" t="s">
        <v>739</v>
      </c>
      <c r="B6950" s="0" t="s">
        <v>86</v>
      </c>
      <c r="C6950" s="38" t="n">
        <f aca="false">Sens!$C$6947+Sens!$C$6948+Sens!$C$6949</f>
        <v>32.067</v>
      </c>
      <c r="D6950" s="38" t="n">
        <f aca="false">Sens!$D$6947+Sens!$D$6948+Sens!$D$6949</f>
        <v>41.86</v>
      </c>
      <c r="E6950" s="38" t="n">
        <f aca="false">Sens!$E$6947+Sens!$E$6948+Sens!$E$6949</f>
        <v>26.703</v>
      </c>
      <c r="F6950" s="38" t="n">
        <f aca="false">Sens!$F$6947+Sens!$F$6948+Sens!$F$6949</f>
        <v>29.2913179650864</v>
      </c>
      <c r="G6950" s="38" t="n">
        <f aca="false">Sens!$G$6947+Sens!$G$6948+Sens!$G$6949</f>
        <v>55.9943179650864</v>
      </c>
      <c r="H6950" s="38" t="n">
        <f aca="false">Sens!$H$6947+Sens!$H$6948+Sens!$H$6949</f>
        <v>84.3163410985152</v>
      </c>
      <c r="I6950" s="38" t="n">
        <f aca="false">Sens!$I$6947+Sens!$I$6948+Sens!$I$6949</f>
        <v>117.040344991004</v>
      </c>
      <c r="J6950" s="38" t="n">
        <f aca="false">Sens!$J$6947+Sens!$J$6948+Sens!$J$6949</f>
        <v>150.498981474685</v>
      </c>
      <c r="K6950" s="38" t="n">
        <f aca="false">Sens!$K$6947+Sens!$K$6948+Sens!$K$6949</f>
        <v>184.188121970284</v>
      </c>
      <c r="L6950" s="38" t="n">
        <f aca="false">Sens!$L$6947+Sens!$L$6948+Sens!$L$6949</f>
        <v>207.768718060808</v>
      </c>
      <c r="M6950" s="38" t="n">
        <f aca="false">Sens!$M$6947+Sens!$M$6948+Sens!$M$6949</f>
        <v>224.003934647752</v>
      </c>
      <c r="N6950" s="38" t="n">
        <f aca="false">Sens!$N$6947+Sens!$N$6948+Sens!$N$6949</f>
        <v>18.822</v>
      </c>
      <c r="O6950" s="38" t="n">
        <f aca="false">Sens!$O$6947+Sens!$O$6948+Sens!$O$6949</f>
        <v>23.038</v>
      </c>
    </row>
    <row r="6951" customFormat="false" ht="17.15" hidden="false" customHeight="false" outlineLevel="0" collapsed="false">
      <c r="A6951" s="0" t="s">
        <v>740</v>
      </c>
      <c r="B6951" s="0" t="s">
        <v>86</v>
      </c>
      <c r="C6951" s="38" t="n">
        <f aca="false">Sens!$C$6922+Sens!$C$6927</f>
        <v>28.107</v>
      </c>
      <c r="D6951" s="38" t="n">
        <f aca="false">Sens!$D$6922+Sens!$D$6927</f>
        <v>34.3175</v>
      </c>
      <c r="E6951" s="38" t="n">
        <f aca="false">Sens!$E$6922+Sens!$E$6927</f>
        <v>18.526</v>
      </c>
      <c r="F6951" s="38" t="n">
        <f aca="false">Sens!$F$6922+Sens!$F$6927</f>
        <v>23.0786109972074</v>
      </c>
      <c r="G6951" s="38" t="n">
        <f aca="false">Sens!$G$6922+Sens!$G$6927</f>
        <v>41.6046109972074</v>
      </c>
      <c r="H6951" s="38" t="n">
        <f aca="false">Sens!$H$6922+Sens!$H$6927</f>
        <v>49.9484611939488</v>
      </c>
      <c r="I6951" s="38" t="n">
        <f aca="false">Sens!$I$6922+Sens!$I$6927</f>
        <v>58.2915555477481</v>
      </c>
      <c r="J6951" s="38" t="n">
        <f aca="false">Sens!$J$6922+Sens!$J$6927</f>
        <v>66.0744709709759</v>
      </c>
      <c r="K6951" s="38" t="n">
        <f aca="false">Sens!$K$6922+Sens!$K$6927</f>
        <v>72.6819180680735</v>
      </c>
      <c r="L6951" s="38" t="n">
        <f aca="false">Sens!$L$6922+Sens!$L$6927</f>
        <v>79.9501098748808</v>
      </c>
      <c r="M6951" s="38" t="n">
        <f aca="false">Sens!$M$6922+Sens!$M$6927</f>
        <v>87.9451208623689</v>
      </c>
      <c r="N6951" s="38" t="n">
        <f aca="false">Sens!$N$6922+Sens!$N$6927</f>
        <v>14.8075</v>
      </c>
      <c r="O6951" s="38" t="n">
        <f aca="false">Sens!$O$6922+Sens!$O$6927</f>
        <v>19.51</v>
      </c>
    </row>
    <row r="6952" customFormat="false" ht="17.15" hidden="false" customHeight="false" outlineLevel="0" collapsed="false">
      <c r="A6952" s="0" t="s">
        <v>741</v>
      </c>
      <c r="B6952" s="0" t="s">
        <v>86</v>
      </c>
      <c r="C6952" s="38" t="n">
        <f aca="false">Sens!$C$6926+Sens!$C$6931+Sens!$C$6947+Sens!$C$6948-Sens!$C$6951</f>
        <v>19.399</v>
      </c>
      <c r="D6952" s="38" t="n">
        <f aca="false">Sens!$D$6926+Sens!$D$6931+Sens!$D$6947+Sens!$D$6948-Sens!$D$6951</f>
        <v>20.4615</v>
      </c>
      <c r="E6952" s="38" t="n">
        <f aca="false">Sens!$E$6926+Sens!$E$6931+Sens!$E$6947+Sens!$E$6948-Sens!$E$6951</f>
        <v>13.355</v>
      </c>
      <c r="F6952" s="38" t="n">
        <f aca="false">Sens!$F$6926+Sens!$F$6931+Sens!$F$6947+Sens!$F$6948-Sens!$F$6951</f>
        <v>12.7882167664549</v>
      </c>
      <c r="G6952" s="38" t="n">
        <f aca="false">Sens!$G$6926+Sens!$G$6931+Sens!$G$6947+Sens!$G$6948-Sens!$G$6951</f>
        <v>26.1432167664549</v>
      </c>
      <c r="H6952" s="38" t="n">
        <f aca="false">Sens!$H$6926+Sens!$H$6931+Sens!$H$6947+Sens!$H$6948-Sens!$H$6951</f>
        <v>28.5472527261826</v>
      </c>
      <c r="I6952" s="38" t="n">
        <f aca="false">Sens!$I$6926+Sens!$I$6931+Sens!$I$6947+Sens!$I$6948-Sens!$I$6951</f>
        <v>30.8052421506794</v>
      </c>
      <c r="J6952" s="38" t="n">
        <f aca="false">Sens!$J$6926+Sens!$J$6931+Sens!$J$6947+Sens!$J$6948-Sens!$J$6951</f>
        <v>33.0553877999083</v>
      </c>
      <c r="K6952" s="38" t="n">
        <f aca="false">Sens!$K$6926+Sens!$K$6931+Sens!$K$6947+Sens!$K$6948-Sens!$K$6951</f>
        <v>35.4662923485155</v>
      </c>
      <c r="L6952" s="38" t="n">
        <f aca="false">Sens!$L$6926+Sens!$L$6931+Sens!$L$6947+Sens!$L$6948-Sens!$L$6951</f>
        <v>37.1019587742301</v>
      </c>
      <c r="M6952" s="38" t="n">
        <f aca="false">Sens!$M$6926+Sens!$M$6931+Sens!$M$6947+Sens!$M$6948-Sens!$M$6951</f>
        <v>39.5351701466849</v>
      </c>
      <c r="N6952" s="38" t="n">
        <f aca="false">Sens!$N$6926+Sens!$N$6931+Sens!$N$6947+Sens!$N$6948-Sens!$N$6951</f>
        <v>10.6495</v>
      </c>
      <c r="O6952" s="38" t="n">
        <f aca="false">Sens!$O$6926+Sens!$O$6931+Sens!$O$6947+Sens!$O$6948-Sens!$O$6951</f>
        <v>9.81200000000001</v>
      </c>
    </row>
    <row r="6953" customFormat="false" ht="17.15" hidden="false" customHeight="false" outlineLevel="0" collapsed="false">
      <c r="A6953" s="0" t="s">
        <v>742</v>
      </c>
      <c r="B6953" s="0" t="s">
        <v>86</v>
      </c>
      <c r="C6953" s="38" t="n">
        <f aca="false">Sens!$C$6933+Sens!$C$6949-ext_sh*Sens!$C$6868</f>
        <v>51.3470500115664</v>
      </c>
      <c r="D6953" s="38" t="n">
        <f aca="false">Sens!$D$6933+Sens!$D$6949-ext_sh*Sens!$D$6868</f>
        <v>60.2799375433739</v>
      </c>
      <c r="E6953" s="38" t="n">
        <f aca="false">Sens!$E$6933+Sens!$E$6949-ext_sh*Sens!$E$6868</f>
        <v>39.5095167090767</v>
      </c>
      <c r="F6953" s="38" t="n">
        <f aca="false">Sens!$F$6933+Sens!$F$6949-ext_sh*Sens!$F$6868</f>
        <v>37.993321722478</v>
      </c>
      <c r="G6953" s="38" t="n">
        <f aca="false">Sens!$G$6933+Sens!$G$6949-ext_sh*Sens!$G$6868</f>
        <v>77.5028384315548</v>
      </c>
      <c r="H6953" s="38" t="n">
        <f aca="false">Sens!$H$6933+Sens!$H$6949-ext_sh*Sens!$H$6868</f>
        <v>85.2394217279746</v>
      </c>
      <c r="I6953" s="38" t="n">
        <f aca="false">Sens!$I$6933+Sens!$I$6949-ext_sh*Sens!$I$6868</f>
        <v>94.6373589713254</v>
      </c>
      <c r="J6953" s="38" t="n">
        <f aca="false">Sens!$J$6933+Sens!$J$6949-ext_sh*Sens!$J$6868</f>
        <v>103.639899284146</v>
      </c>
      <c r="K6953" s="38" t="n">
        <f aca="false">Sens!$K$6933+Sens!$K$6949-ext_sh*Sens!$K$6868</f>
        <v>111.931091226878</v>
      </c>
      <c r="L6953" s="38" t="n">
        <f aca="false">Sens!$L$6933+Sens!$L$6949-ext_sh*Sens!$L$6868</f>
        <v>120.885578525028</v>
      </c>
      <c r="M6953" s="38" t="n">
        <f aca="false">Sens!$M$6933+Sens!$M$6949-ext_sh*Sens!$M$6868</f>
        <v>130.55642480703</v>
      </c>
      <c r="N6953" s="38" t="n">
        <f aca="false">Sens!$N$6933+Sens!$N$6949-ext_sh*Sens!$N$6868</f>
        <v>28.5693781401809</v>
      </c>
      <c r="O6953" s="38" t="n">
        <f aca="false">Sens!$O$6933+Sens!$O$6949-ext_sh*Sens!$O$6868</f>
        <v>31.7105594031931</v>
      </c>
    </row>
    <row r="6954" customFormat="false" ht="17.15" hidden="false" customHeight="false" outlineLevel="0" collapsed="false">
      <c r="A6954" s="0" t="s">
        <v>743</v>
      </c>
      <c r="B6954" s="0" t="s">
        <v>86</v>
      </c>
      <c r="C6954" s="38" t="n">
        <f aca="false">Sens!$C$6871</f>
        <v>1.80694998843362</v>
      </c>
      <c r="D6954" s="38" t="n">
        <f aca="false">Sens!$D$6871</f>
        <v>6.77606245662607</v>
      </c>
      <c r="E6954" s="38" t="n">
        <f aca="false">Sens!$E$6871</f>
        <v>6.62548329092326</v>
      </c>
      <c r="F6954" s="38" t="n">
        <f aca="false">Sens!$F$6871</f>
        <v>11.7200577158706</v>
      </c>
      <c r="G6954" s="38" t="n">
        <f aca="false">Sens!$G$6871</f>
        <v>18.3455410067939</v>
      </c>
      <c r="H6954" s="38" t="n">
        <f aca="false">Sens!$H$6871</f>
        <v>47.5171727060453</v>
      </c>
      <c r="I6954" s="38" t="n">
        <f aca="false">Sens!$I$6871</f>
        <v>80.5539692643667</v>
      </c>
      <c r="J6954" s="38" t="n">
        <f aca="false">Sens!$J$6871</f>
        <v>113.759316834883</v>
      </c>
      <c r="K6954" s="38" t="n">
        <f aca="false">Sens!$K$6871</f>
        <v>142.084411492169</v>
      </c>
      <c r="L6954" s="38" t="n">
        <f aca="false">Sens!$L$6871</f>
        <v>160.69964615804</v>
      </c>
      <c r="M6954" s="38" t="n">
        <f aca="false">Sens!$M$6871</f>
        <v>169.577607141793</v>
      </c>
      <c r="N6954" s="38" t="n">
        <f aca="false">Sens!$N$6871</f>
        <v>2.37162185981912</v>
      </c>
      <c r="O6954" s="38" t="n">
        <f aca="false">Sens!$O$6871</f>
        <v>4.40444059680694</v>
      </c>
    </row>
    <row r="6955" customFormat="false" ht="17.15" hidden="false" customHeight="false" outlineLevel="0" collapsed="false">
      <c r="A6955" s="0" t="s">
        <v>744</v>
      </c>
      <c r="B6955" s="0" t="s">
        <v>86</v>
      </c>
      <c r="C6955" s="38" t="n">
        <f aca="false">Sens!$C$6936+Sens!$C$6950</f>
        <v>100.66</v>
      </c>
      <c r="D6955" s="38" t="n">
        <f aca="false">Sens!$D$6936+Sens!$D$6950</f>
        <v>121.835</v>
      </c>
      <c r="E6955" s="38" t="n">
        <f aca="false">Sens!$E$6936+Sens!$E$6950</f>
        <v>78.016</v>
      </c>
      <c r="F6955" s="38" t="n">
        <f aca="false">Sens!$F$6936+Sens!$F$6950</f>
        <v>85.580207202011</v>
      </c>
      <c r="G6955" s="38" t="n">
        <f aca="false">Sens!$G$6936+Sens!$G$6950</f>
        <v>163.596207202011</v>
      </c>
      <c r="H6955" s="38" t="n">
        <f aca="false">Sens!$H$6936+Sens!$H$6950</f>
        <v>211.252308354151</v>
      </c>
      <c r="I6955" s="38" t="n">
        <f aca="false">Sens!$I$6936+Sens!$I$6950</f>
        <v>264.28812593412</v>
      </c>
      <c r="J6955" s="38" t="n">
        <f aca="false">Sens!$J$6936+Sens!$J$6950</f>
        <v>316.529074889914</v>
      </c>
      <c r="K6955" s="38" t="n">
        <f aca="false">Sens!$K$6936+Sens!$K$6950</f>
        <v>362.163713135636</v>
      </c>
      <c r="L6955" s="38" t="n">
        <f aca="false">Sens!$L$6936+Sens!$L$6950</f>
        <v>398.637293332179</v>
      </c>
      <c r="M6955" s="38" t="n">
        <f aca="false">Sens!$M$6936+Sens!$M$6950</f>
        <v>427.614322957878</v>
      </c>
      <c r="N6955" s="38" t="n">
        <f aca="false">Sens!$N$6936+Sens!$N$6950</f>
        <v>56.398</v>
      </c>
      <c r="O6955" s="38" t="n">
        <f aca="false">Sens!$O$6936+Sens!$O$6950</f>
        <v>65.437</v>
      </c>
    </row>
    <row r="6956" customFormat="false" ht="17.15" hidden="false" customHeight="false" outlineLevel="0" collapsed="false">
      <c r="A6956" s="1" t="s">
        <v>745</v>
      </c>
    </row>
    <row r="6957" customFormat="false" ht="15" hidden="false" customHeight="false" outlineLevel="0" collapsed="false">
      <c r="A6957" s="5" t="s">
        <v>541</v>
      </c>
      <c r="B6957" s="0" t="s">
        <v>86</v>
      </c>
      <c r="C6957" s="38" t="n">
        <f aca="false">Q!$D$34</f>
        <v>2.406</v>
      </c>
      <c r="D6957" s="38" t="n">
        <f aca="false">Q!$E$34</f>
        <v>2.274</v>
      </c>
      <c r="E6957" s="38" t="n">
        <f aca="false">Q!$P$34</f>
        <v>2.114</v>
      </c>
      <c r="F6957" s="38" t="n">
        <f aca="false">Sens!$F$6995</f>
        <v>3.24888962733561</v>
      </c>
      <c r="G6957" s="38" t="n">
        <f aca="false">Sens!$E$6957+Sens!$F$6957</f>
        <v>5.36288962733561</v>
      </c>
      <c r="H6957" s="38" t="n">
        <f aca="false">Sens!$H$6995</f>
        <v>7.42354172302123</v>
      </c>
      <c r="I6957" s="38" t="n">
        <f aca="false">Sens!$I$6995</f>
        <v>8.2931747618896</v>
      </c>
      <c r="J6957" s="38" t="n">
        <f aca="false">Sens!$J$6995</f>
        <v>9.27718179522602</v>
      </c>
      <c r="K6957" s="38" t="n">
        <f aca="false">Sens!$K$6995</f>
        <v>9.27718179522602</v>
      </c>
      <c r="L6957" s="38" t="n">
        <f aca="false">Sens!$L$6995</f>
        <v>9.27718179522602</v>
      </c>
      <c r="M6957" s="38" t="n">
        <f aca="false">Sens!$M$6995</f>
        <v>9.27718179522602</v>
      </c>
      <c r="N6957" s="38" t="n">
        <f aca="false">Q!$N$34</f>
        <v>1.057</v>
      </c>
      <c r="O6957" s="38" t="n">
        <f aca="false">Q!$O$34</f>
        <v>1.217</v>
      </c>
    </row>
    <row r="6958" customFormat="false" ht="15" hidden="false" customHeight="false" outlineLevel="0" collapsed="false">
      <c r="A6958" s="5" t="s">
        <v>746</v>
      </c>
      <c r="B6958" s="0" t="s">
        <v>86</v>
      </c>
      <c r="F6958" s="38" t="n">
        <f aca="false">Sens!$F$6996</f>
        <v>2.59</v>
      </c>
      <c r="H6958" s="38" t="n">
        <f aca="false">Sens!$H$6996</f>
        <v>3.80133635330174</v>
      </c>
      <c r="I6958" s="38" t="n">
        <f aca="false">Sens!$I$6996</f>
        <v>2.10589651022864</v>
      </c>
      <c r="J6958" s="38" t="n">
        <f aca="false">Sens!$J$6996</f>
        <v>2.10589651022864</v>
      </c>
      <c r="K6958" s="38" t="n">
        <f aca="false">Sens!$K$6996</f>
        <v>3.14850442073996</v>
      </c>
      <c r="L6958" s="38" t="n">
        <f aca="false">Sens!$L$6996</f>
        <v>8.25959583122945</v>
      </c>
      <c r="M6958" s="38" t="n">
        <f aca="false">Sens!$M$6996</f>
        <v>15.8335708401143</v>
      </c>
    </row>
    <row r="6959" customFormat="false" ht="17.15" hidden="false" customHeight="false" outlineLevel="0" collapsed="false">
      <c r="A6959" s="5" t="s">
        <v>747</v>
      </c>
      <c r="B6959" s="0" t="s">
        <v>86</v>
      </c>
      <c r="C6959" s="38" t="n">
        <f aca="false">Q!$D$39</f>
        <v>2.427</v>
      </c>
      <c r="D6959" s="38" t="n">
        <f aca="false">Q!$E$39</f>
        <v>19.61</v>
      </c>
      <c r="E6959" s="38" t="n">
        <f aca="false">Q!$P$39</f>
        <v>71.492</v>
      </c>
      <c r="F6959" s="39" t="n">
        <v>0</v>
      </c>
      <c r="G6959" s="38" t="n">
        <f aca="false">Sens!$E$6959+Sens!$F$6959</f>
        <v>71.492</v>
      </c>
      <c r="H6959" s="39" t="n">
        <v>0</v>
      </c>
      <c r="I6959" s="39" t="n">
        <v>0</v>
      </c>
      <c r="J6959" s="39" t="n">
        <v>0</v>
      </c>
      <c r="K6959" s="39" t="n">
        <v>0</v>
      </c>
      <c r="L6959" s="39" t="n">
        <v>0</v>
      </c>
      <c r="M6959" s="39" t="n">
        <v>0</v>
      </c>
      <c r="N6959" s="38" t="n">
        <f aca="false">Q!$N$39</f>
        <v>6.017</v>
      </c>
      <c r="O6959" s="38" t="n">
        <f aca="false">Q!$O$39</f>
        <v>13.593</v>
      </c>
      <c r="P6959" s="5" t="s">
        <v>748</v>
      </c>
    </row>
    <row r="6960" customFormat="false" ht="15" hidden="false" customHeight="false" outlineLevel="0" collapsed="false">
      <c r="A6960" s="5" t="s">
        <v>544</v>
      </c>
      <c r="B6960" s="0" t="s">
        <v>86</v>
      </c>
      <c r="C6960" s="38" t="n">
        <f aca="false">Q!$D$36</f>
        <v>68.614</v>
      </c>
      <c r="D6960" s="38" t="n">
        <f aca="false">Q!$E$36</f>
        <v>97.311</v>
      </c>
      <c r="E6960" s="38" t="n">
        <f aca="false">Q!$P$36</f>
        <v>120.691</v>
      </c>
      <c r="F6960" s="38" t="n">
        <f aca="false">Sens!$F$6936-Sens!$F$6957+Sens!$F$6958+Sens!$F$6959</f>
        <v>55.629999609589</v>
      </c>
      <c r="G6960" s="38" t="n">
        <f aca="false">Sens!$E$6960+Sens!$F$6960</f>
        <v>176.320999609589</v>
      </c>
      <c r="H6960" s="38" t="n">
        <f aca="false">Sens!$H$6936-Sens!$H$6957+Sens!$H$6958+Sens!$H$6959</f>
        <v>123.313761885917</v>
      </c>
      <c r="I6960" s="38" t="n">
        <f aca="false">Sens!$I$6936-Sens!$I$6957+Sens!$I$6958+Sens!$I$6959</f>
        <v>141.060502691455</v>
      </c>
      <c r="J6960" s="38" t="n">
        <f aca="false">Sens!$J$6936-Sens!$J$6957+Sens!$J$6958+Sens!$J$6959</f>
        <v>158.858808130232</v>
      </c>
      <c r="K6960" s="38" t="n">
        <f aca="false">Sens!$K$6936-Sens!$K$6957+Sens!$K$6958+Sens!$K$6959</f>
        <v>171.846913790867</v>
      </c>
      <c r="L6960" s="38" t="n">
        <f aca="false">Sens!$L$6936-Sens!$L$6957+Sens!$L$6958+Sens!$L$6959</f>
        <v>189.850989307375</v>
      </c>
      <c r="M6960" s="38" t="n">
        <f aca="false">Sens!$M$6936-Sens!$M$6957+Sens!$M$6958+Sens!$M$6959</f>
        <v>210.166777355014</v>
      </c>
      <c r="N6960" s="38" t="n">
        <f aca="false">Q!$N$36</f>
        <v>42.536</v>
      </c>
      <c r="O6960" s="38" t="n">
        <f aca="false">Q!$O$36</f>
        <v>54.775</v>
      </c>
    </row>
    <row r="6961" customFormat="false" ht="15" hidden="false" customHeight="false" outlineLevel="0" collapsed="false">
      <c r="A6961" s="5" t="s">
        <v>545</v>
      </c>
      <c r="B6961" s="0" t="s">
        <v>86</v>
      </c>
      <c r="C6961" s="38" t="n">
        <f aca="false">Q!$D$37</f>
        <v>9.265</v>
      </c>
      <c r="D6961" s="38" t="n">
        <f aca="false">Q!$E$37</f>
        <v>19.087</v>
      </c>
      <c r="E6961" s="38" t="n">
        <f aca="false">Q!$P$37</f>
        <v>27.759</v>
      </c>
      <c r="F6961" s="38" t="n">
        <f aca="false">Sens!$F$6960*tax</f>
        <v>9.65650714815835</v>
      </c>
      <c r="G6961" s="38" t="n">
        <f aca="false">Sens!$E$6961+Sens!$F$6961</f>
        <v>37.4155071481584</v>
      </c>
      <c r="H6961" s="38" t="n">
        <f aca="false">Sens!$H$6960*tax</f>
        <v>21.4053609828247</v>
      </c>
      <c r="I6961" s="38" t="n">
        <f aca="false">Sens!$I$6960*tax</f>
        <v>24.4859205846201</v>
      </c>
      <c r="J6961" s="38" t="n">
        <f aca="false">Sens!$J$6960*tax</f>
        <v>27.5754310088666</v>
      </c>
      <c r="K6961" s="38" t="n">
        <f aca="false">Sens!$K$6960*tax</f>
        <v>29.8299651816718</v>
      </c>
      <c r="L6961" s="38" t="n">
        <f aca="false">Sens!$L$6960*tax</f>
        <v>32.9551941074541</v>
      </c>
      <c r="M6961" s="38" t="n">
        <f aca="false">Sens!$M$6960*tax</f>
        <v>36.4817005586366</v>
      </c>
      <c r="N6961" s="38" t="n">
        <f aca="false">Q!$N$37</f>
        <v>7.231</v>
      </c>
      <c r="O6961" s="38" t="n">
        <f aca="false">Q!$O$37</f>
        <v>11.856</v>
      </c>
    </row>
    <row r="6962" customFormat="false" ht="15" hidden="false" customHeight="false" outlineLevel="0" collapsed="false">
      <c r="A6962" s="3" t="s">
        <v>546</v>
      </c>
      <c r="B6962" s="8" t="s">
        <v>86</v>
      </c>
      <c r="C6962" s="38" t="n">
        <f aca="false">Q!$D$38</f>
        <v>59.248</v>
      </c>
      <c r="D6962" s="38" t="n">
        <f aca="false">Q!$E$38</f>
        <v>77.67</v>
      </c>
      <c r="E6962" s="38" t="n">
        <f aca="false">Q!$P$38</f>
        <v>92.902</v>
      </c>
      <c r="F6962" s="38" t="n">
        <f aca="false">Sens!$F$6960-Sens!$F$6961</f>
        <v>45.9734924614306</v>
      </c>
      <c r="G6962" s="38" t="n">
        <f aca="false">Sens!$E$6962+Sens!$F$6962</f>
        <v>138.875492461431</v>
      </c>
      <c r="H6962" s="38" t="n">
        <f aca="false">Sens!$H$6960-Sens!$H$6961</f>
        <v>101.908400903092</v>
      </c>
      <c r="I6962" s="38" t="n">
        <f aca="false">Sens!$I$6960-Sens!$I$6961</f>
        <v>116.574582106835</v>
      </c>
      <c r="J6962" s="38" t="n">
        <f aca="false">Sens!$J$6960-Sens!$J$6961</f>
        <v>131.283377121365</v>
      </c>
      <c r="K6962" s="38" t="n">
        <f aca="false">Sens!$K$6960-Sens!$K$6961</f>
        <v>142.016948609195</v>
      </c>
      <c r="L6962" s="38" t="n">
        <f aca="false">Sens!$L$6960-Sens!$L$6961</f>
        <v>156.895795199921</v>
      </c>
      <c r="M6962" s="38" t="n">
        <f aca="false">Sens!$M$6960-Sens!$M$6961</f>
        <v>173.685076796377</v>
      </c>
      <c r="N6962" s="38" t="n">
        <f aca="false">Q!$N$38</f>
        <v>35.291</v>
      </c>
      <c r="O6962" s="38" t="n">
        <f aca="false">Q!$O$38</f>
        <v>42.379</v>
      </c>
    </row>
    <row r="6963" customFormat="false" ht="17.15" hidden="false" customHeight="false" outlineLevel="0" collapsed="false">
      <c r="A6963" s="5" t="s">
        <v>549</v>
      </c>
      <c r="B6963" s="5" t="s">
        <v>33</v>
      </c>
      <c r="C6963" s="22" t="n">
        <f aca="false">Q!$D$41</f>
        <v>10.721</v>
      </c>
      <c r="D6963" s="22" t="n">
        <f aca="false">Q!$E$41</f>
        <v>10.827</v>
      </c>
      <c r="E6963" s="22" t="n">
        <f aca="false">(Q!$L$41+Q!$M$41)/2</f>
        <v>10.8885</v>
      </c>
      <c r="F6963" s="22" t="n">
        <f aca="false">Sens!$G$6963</f>
        <v>10.924806</v>
      </c>
      <c r="G6963" s="22" t="n">
        <f aca="false">Q!$M$41*(1+sh_g*0.25)</f>
        <v>10.924806</v>
      </c>
      <c r="H6963" s="22" t="n">
        <f aca="false">Sens!$G$6963*(1+sh_g)</f>
        <v>11.012204448</v>
      </c>
      <c r="I6963" s="22" t="n">
        <f aca="false">Sens!$H$6963*(1+sh_g)</f>
        <v>11.100302083584</v>
      </c>
      <c r="J6963" s="22" t="n">
        <f aca="false">Sens!$I$6963*(1+sh_g)</f>
        <v>11.1891045002527</v>
      </c>
      <c r="K6963" s="22" t="n">
        <f aca="false">Sens!$J$6963*(1+sh_g)</f>
        <v>11.2786173362547</v>
      </c>
      <c r="L6963" s="22" t="n">
        <f aca="false">Sens!$K$6963*(1+sh_g)</f>
        <v>11.3688462749447</v>
      </c>
      <c r="M6963" s="22" t="n">
        <f aca="false">Sens!$L$6963*(1+sh_g)</f>
        <v>11.4597970451443</v>
      </c>
      <c r="P6963" s="5" t="s">
        <v>749</v>
      </c>
    </row>
    <row r="6964" customFormat="false" ht="17.15" hidden="false" customHeight="false" outlineLevel="0" collapsed="false">
      <c r="A6964" s="5" t="s">
        <v>750</v>
      </c>
      <c r="B6964" s="0" t="s">
        <v>86</v>
      </c>
      <c r="C6964" s="38" t="n">
        <f aca="false">Sens!$C$6962+Sens!$C$6938*(1-tax)</f>
        <v>59.248</v>
      </c>
      <c r="D6964" s="38" t="n">
        <f aca="false">Sens!$D$6962+Sens!$D$6938*(1-tax)</f>
        <v>77.67</v>
      </c>
      <c r="E6964" s="38" t="n">
        <f aca="false">Sens!$E$6962+Sens!$E$6938*(1-tax)</f>
        <v>92.902</v>
      </c>
      <c r="F6964" s="38" t="n">
        <f aca="false">Sens!$F$6962+Sens!$F$6938*(1-tax)</f>
        <v>49.0900874210793</v>
      </c>
      <c r="G6964" s="38" t="n">
        <f aca="false">Sens!$G$6962+Sens!$G$6938*(1-tax)</f>
        <v>141.992087421079</v>
      </c>
      <c r="H6964" s="38" t="n">
        <f aca="false">Sens!$H$6962+Sens!$H$6938*(1-tax)</f>
        <v>114.439796858437</v>
      </c>
      <c r="I6964" s="38" t="n">
        <f aca="false">Sens!$I$6962+Sens!$I$6938*(1-tax)</f>
        <v>137.715847181774</v>
      </c>
      <c r="J6964" s="38" t="n">
        <f aca="false">Sens!$J$6962+Sens!$J$6938*(1-tax)</f>
        <v>161.072814065649</v>
      </c>
      <c r="K6964" s="38" t="n">
        <f aca="false">Sens!$K$6962+Sens!$K$6938*(1-tax)</f>
        <v>179.184254305854</v>
      </c>
      <c r="L6964" s="38" t="n">
        <f aca="false">Sens!$L$6962+Sens!$L$6938*(1-tax)</f>
        <v>198.911872540476</v>
      </c>
      <c r="M6964" s="38" t="n">
        <f aca="false">Sens!$M$6962+Sens!$M$6938*(1-tax)</f>
        <v>218.014598987218</v>
      </c>
      <c r="N6964" s="38" t="n">
        <f aca="false">Sens!$N$6962+Sens!$N$6938*(1-tax)</f>
        <v>35.291</v>
      </c>
      <c r="O6964" s="38" t="n">
        <f aca="false">Sens!$O$6962+Sens!$O$6938*(1-tax)</f>
        <v>42.379</v>
      </c>
    </row>
    <row r="6965" customFormat="false" ht="17.15" hidden="false" customHeight="false" outlineLevel="0" collapsed="false">
      <c r="A6965" s="43" t="s">
        <v>751</v>
      </c>
      <c r="B6965" s="14" t="s">
        <v>27</v>
      </c>
      <c r="C6965" s="44" t="n">
        <f aca="false">Sens!$C$6964/Sens!$C$6963</f>
        <v>5.52635015390355</v>
      </c>
      <c r="D6965" s="44" t="n">
        <f aca="false">Sens!$D$6964/Sens!$D$6963</f>
        <v>7.1737323358271</v>
      </c>
      <c r="E6965" s="44" t="n">
        <f aca="false">Sens!$E$6964/Sens!$E$6963</f>
        <v>8.53212104513937</v>
      </c>
      <c r="F6965" s="14"/>
      <c r="G6965" s="44" t="n">
        <f aca="false">Sens!$G$6964/Sens!$G$6963</f>
        <v>12.9972182042481</v>
      </c>
      <c r="H6965" s="44" t="n">
        <f aca="false">Sens!$H$6964/Sens!$H$6963</f>
        <v>10.3920879237963</v>
      </c>
      <c r="I6965" s="44" t="n">
        <f aca="false">Sens!$I$6964/Sens!$I$6963</f>
        <v>12.4064954399249</v>
      </c>
      <c r="J6965" s="44" t="n">
        <f aca="false">Sens!$J$6964/Sens!$J$6963</f>
        <v>14.3955053831172</v>
      </c>
      <c r="K6965" s="44" t="n">
        <f aca="false">Sens!$K$6964/Sens!$K$6963</f>
        <v>15.8870763111957</v>
      </c>
      <c r="L6965" s="44" t="n">
        <f aca="false">Sens!$L$6964/Sens!$L$6963</f>
        <v>17.4962232516811</v>
      </c>
      <c r="M6965" s="44" t="n">
        <f aca="false">Sens!$M$6964/Sens!$M$6963</f>
        <v>19.0242984346389</v>
      </c>
      <c r="N6965" s="14"/>
      <c r="O6965" s="14"/>
    </row>
    <row r="6966" customFormat="false" ht="17.15" hidden="false" customHeight="false" outlineLevel="0" collapsed="false">
      <c r="A6966" s="0" t="s">
        <v>752</v>
      </c>
      <c r="B6966" s="0" t="s">
        <v>27</v>
      </c>
      <c r="C6966" s="30" t="n">
        <f aca="false">Sens!$C$6962/Sens!$C$6963</f>
        <v>5.52635015390355</v>
      </c>
      <c r="D6966" s="30" t="n">
        <f aca="false">Sens!$D$6962/Sens!$D$6963</f>
        <v>7.1737323358271</v>
      </c>
      <c r="E6966" s="30" t="n">
        <f aca="false">Sens!$E$6962/Sens!$E$6963</f>
        <v>8.53212104513937</v>
      </c>
      <c r="G6966" s="30" t="n">
        <f aca="false">Sens!$G$6962/Sens!$G$6963</f>
        <v>12.7119412886078</v>
      </c>
      <c r="H6966" s="30" t="n">
        <f aca="false">Sens!$H$6962/Sens!$H$6963</f>
        <v>9.25413266565353</v>
      </c>
      <c r="I6966" s="30" t="n">
        <f aca="false">Sens!$I$6962/Sens!$I$6963</f>
        <v>10.501928796986</v>
      </c>
      <c r="J6966" s="30" t="n">
        <f aca="false">Sens!$J$6962/Sens!$J$6963</f>
        <v>11.7331442492472</v>
      </c>
      <c r="K6966" s="30" t="n">
        <f aca="false">Sens!$K$6962/Sens!$K$6963</f>
        <v>12.5916984657939</v>
      </c>
      <c r="L6966" s="30" t="n">
        <f aca="false">Sens!$L$6962/Sens!$L$6963</f>
        <v>13.8005028307662</v>
      </c>
      <c r="M6966" s="30" t="n">
        <f aca="false">Sens!$M$6962/Sens!$M$6963</f>
        <v>15.1560342746184</v>
      </c>
    </row>
    <row r="6967" customFormat="false" ht="17.15" hidden="false" customHeight="false" outlineLevel="0" collapsed="false">
      <c r="A6967" s="0" t="s">
        <v>753</v>
      </c>
      <c r="B6967" s="0" t="s">
        <v>27</v>
      </c>
      <c r="C6967" s="30" t="n">
        <f aca="false">(Sens!$C$6962-Sens!$C$6959*(1-tax))/Sens!$C$6963</f>
        <v>5.33926775917445</v>
      </c>
      <c r="D6967" s="30" t="n">
        <f aca="false">(Sens!$D$6962-Sens!$D$6959*(1-tax))/Sens!$D$6963</f>
        <v>5.67691812755503</v>
      </c>
      <c r="E6967" s="30" t="n">
        <f aca="false">(Sens!$E$6962-Sens!$E$6959*(1-tax))/Sens!$E$6963</f>
        <v>3.10602057006846</v>
      </c>
      <c r="G6967" s="30" t="n">
        <f aca="false">(Sens!$G$6962-Sens!$G$6959*(1-tax))/Sens!$G$6963</f>
        <v>7.30387317071086</v>
      </c>
      <c r="H6967" s="30" t="n">
        <f aca="false">(Sens!$H$6962-Sens!$H$6959*(1-tax))/Sens!$H$6963</f>
        <v>9.25413266565353</v>
      </c>
      <c r="I6967" s="30" t="n">
        <f aca="false">(Sens!$I$6962-Sens!$I$6959*(1-tax))/Sens!$I$6963</f>
        <v>10.501928796986</v>
      </c>
      <c r="J6967" s="30" t="n">
        <f aca="false">(Sens!$J$6962-Sens!$J$6959*(1-tax))/Sens!$J$6963</f>
        <v>11.7331442492472</v>
      </c>
      <c r="K6967" s="30" t="n">
        <f aca="false">(Sens!$K$6962-Sens!$K$6959*(1-tax))/Sens!$K$6963</f>
        <v>12.5916984657939</v>
      </c>
      <c r="L6967" s="30" t="n">
        <f aca="false">(Sens!$L$6962-Sens!$L$6959*(1-tax))/Sens!$L$6963</f>
        <v>13.8005028307662</v>
      </c>
      <c r="M6967" s="30" t="n">
        <f aca="false">(Sens!$M$6962-Sens!$M$6959*(1-tax))/Sens!$M$6963</f>
        <v>15.1560342746184</v>
      </c>
      <c r="P6967" s="5" t="s">
        <v>754</v>
      </c>
    </row>
    <row r="6968" customFormat="false" ht="17.15" hidden="false" customHeight="false" outlineLevel="0" collapsed="false">
      <c r="A6968" s="0" t="s">
        <v>755</v>
      </c>
      <c r="B6968" s="0" t="s">
        <v>52</v>
      </c>
      <c r="H6968" s="13" t="n">
        <f aca="false">Sens!$H$6965/Sens!$G$6965-1</f>
        <v>-0.200437527439553</v>
      </c>
      <c r="I6968" s="13" t="n">
        <f aca="false">Sens!$I$6965/Sens!$H$6965-1</f>
        <v>0.193840499705158</v>
      </c>
      <c r="J6968" s="13" t="n">
        <f aca="false">Sens!$J$6965/Sens!$I$6965-1</f>
        <v>0.160320047899391</v>
      </c>
      <c r="K6968" s="13" t="n">
        <f aca="false">Sens!$K$6965/Sens!$J$6965-1</f>
        <v>0.103613654983436</v>
      </c>
      <c r="L6968" s="13" t="n">
        <f aca="false">Sens!$L$6965/Sens!$K$6965-1</f>
        <v>0.101286536865904</v>
      </c>
      <c r="M6968" s="13" t="n">
        <f aca="false">Sens!$M$6965/Sens!$L$6965-1</f>
        <v>0.0873374305400994</v>
      </c>
    </row>
    <row r="6971" customFormat="false" ht="19.4" hidden="false" customHeight="false" outlineLevel="0" collapsed="false">
      <c r="A6971" s="31" t="s">
        <v>1270</v>
      </c>
    </row>
    <row r="6972" customFormat="false" ht="17.15" hidden="false" customHeight="false" outlineLevel="0" collapsed="false">
      <c r="A6972" s="6" t="s">
        <v>16</v>
      </c>
      <c r="B6972" s="6" t="s">
        <v>17</v>
      </c>
      <c r="C6972" s="20" t="s">
        <v>494</v>
      </c>
      <c r="D6972" s="20" t="s">
        <v>495</v>
      </c>
      <c r="E6972" s="20" t="s">
        <v>577</v>
      </c>
      <c r="F6972" s="20" t="s">
        <v>578</v>
      </c>
      <c r="G6972" s="20" t="s">
        <v>579</v>
      </c>
      <c r="H6972" s="20" t="s">
        <v>580</v>
      </c>
      <c r="I6972" s="20" t="s">
        <v>581</v>
      </c>
      <c r="J6972" s="20" t="s">
        <v>582</v>
      </c>
      <c r="K6972" s="20" t="s">
        <v>583</v>
      </c>
      <c r="L6972" s="20" t="s">
        <v>584</v>
      </c>
      <c r="M6972" s="20" t="s">
        <v>585</v>
      </c>
      <c r="N6972" s="20" t="s">
        <v>586</v>
      </c>
      <c r="O6972" s="20" t="s">
        <v>587</v>
      </c>
      <c r="P6972" s="6" t="s">
        <v>23</v>
      </c>
      <c r="R6972" s="20" t="n">
        <v>2023</v>
      </c>
      <c r="S6972" s="20" t="n">
        <v>2024</v>
      </c>
      <c r="T6972" s="20" t="n">
        <v>2025</v>
      </c>
      <c r="U6972" s="20" t="n">
        <v>2026</v>
      </c>
      <c r="V6972" s="20" t="n">
        <v>2027</v>
      </c>
      <c r="W6972" s="20" t="n">
        <v>2028</v>
      </c>
      <c r="X6972" s="20" t="n">
        <v>2029</v>
      </c>
      <c r="Y6972" s="20" t="n">
        <v>2030</v>
      </c>
      <c r="Z6972" s="20" t="n">
        <v>2031</v>
      </c>
      <c r="AA6972" s="20" t="n">
        <v>2032</v>
      </c>
    </row>
    <row r="6973" customFormat="false" ht="15" hidden="false" customHeight="false" outlineLevel="0" collapsed="false">
      <c r="A6973" s="5" t="s">
        <v>546</v>
      </c>
      <c r="B6973" s="0" t="s">
        <v>86</v>
      </c>
      <c r="C6973" s="38" t="n">
        <f aca="false">Sens!$C$6962</f>
        <v>59.248</v>
      </c>
      <c r="D6973" s="38" t="n">
        <f aca="false">Sens!$D$6962</f>
        <v>77.67</v>
      </c>
      <c r="E6973" s="38" t="n">
        <f aca="false">Sens!$E$6962</f>
        <v>92.902</v>
      </c>
      <c r="F6973" s="38" t="n">
        <f aca="false">Sens!$F$6962</f>
        <v>45.9734924614306</v>
      </c>
      <c r="G6973" s="38" t="n">
        <f aca="false">Sens!$G$6962</f>
        <v>138.875492461431</v>
      </c>
      <c r="H6973" s="38" t="n">
        <f aca="false">Sens!$H$6962</f>
        <v>101.908400903092</v>
      </c>
      <c r="I6973" s="38" t="n">
        <f aca="false">Sens!$I$6962</f>
        <v>116.574582106835</v>
      </c>
      <c r="J6973" s="38" t="n">
        <f aca="false">Sens!$J$6962</f>
        <v>131.283377121365</v>
      </c>
      <c r="K6973" s="38" t="n">
        <f aca="false">Sens!$K$6962</f>
        <v>142.016948609195</v>
      </c>
      <c r="L6973" s="38" t="n">
        <f aca="false">Sens!$L$6962</f>
        <v>156.895795199921</v>
      </c>
      <c r="M6973" s="38" t="n">
        <f aca="false">Sens!$M$6962</f>
        <v>173.685076796377</v>
      </c>
    </row>
    <row r="6974" customFormat="false" ht="17.15" hidden="false" customHeight="false" outlineLevel="0" collapsed="false">
      <c r="A6974" s="5" t="s">
        <v>778</v>
      </c>
      <c r="B6974" s="0" t="s">
        <v>86</v>
      </c>
      <c r="C6974" s="38" t="n">
        <f aca="false">Sens!$C$6950</f>
        <v>32.067</v>
      </c>
      <c r="D6974" s="38" t="n">
        <f aca="false">Sens!$D$6950</f>
        <v>41.86</v>
      </c>
      <c r="E6974" s="38" t="n">
        <f aca="false">Sens!$E$6950</f>
        <v>26.703</v>
      </c>
      <c r="F6974" s="38" t="n">
        <f aca="false">Sens!$F$6950</f>
        <v>29.2913179650864</v>
      </c>
      <c r="G6974" s="38" t="n">
        <f aca="false">Sens!$G$6950</f>
        <v>55.9943179650864</v>
      </c>
      <c r="H6974" s="38" t="n">
        <f aca="false">Sens!$H$6950</f>
        <v>84.3163410985152</v>
      </c>
      <c r="I6974" s="38" t="n">
        <f aca="false">Sens!$I$6950</f>
        <v>117.040344991004</v>
      </c>
      <c r="J6974" s="38" t="n">
        <f aca="false">Sens!$J$6950</f>
        <v>150.498981474685</v>
      </c>
      <c r="K6974" s="38" t="n">
        <f aca="false">Sens!$K$6950</f>
        <v>184.188121970284</v>
      </c>
      <c r="L6974" s="38" t="n">
        <f aca="false">Sens!$L$6950</f>
        <v>207.768718060808</v>
      </c>
      <c r="M6974" s="38" t="n">
        <f aca="false">Sens!$M$6950</f>
        <v>224.003934647752</v>
      </c>
    </row>
    <row r="6975" customFormat="false" ht="15" hidden="false" customHeight="false" outlineLevel="0" collapsed="false">
      <c r="A6975" s="5" t="s">
        <v>779</v>
      </c>
      <c r="B6975" s="0" t="s">
        <v>86</v>
      </c>
      <c r="C6975" s="38" t="n">
        <f aca="false">Q!$D$48</f>
        <v>22.011</v>
      </c>
      <c r="D6975" s="38" t="n">
        <f aca="false">Q!$E$48</f>
        <v>19.467</v>
      </c>
      <c r="E6975" s="38" t="n">
        <f aca="false">Q!$P$48</f>
        <v>10.07</v>
      </c>
      <c r="F6975" s="38" t="n">
        <f aca="false">sbc_r*Sens!$F$6892</f>
        <v>10.8507035798037</v>
      </c>
      <c r="G6975" s="38" t="n">
        <f aca="false">Sens!$E$6975+Sens!$F$6975</f>
        <v>20.9207035798037</v>
      </c>
      <c r="H6975" s="38" t="n">
        <f aca="false">sbc_r*Sens!$H$6892</f>
        <v>23.46224366345</v>
      </c>
      <c r="I6975" s="38" t="n">
        <f aca="false">sbc_r*Sens!$I$6892</f>
        <v>26.6125957111676</v>
      </c>
      <c r="J6975" s="38" t="n">
        <f aca="false">sbc_r*Sens!$J$6892</f>
        <v>29.6280801413323</v>
      </c>
      <c r="K6975" s="38" t="n">
        <f aca="false">sbc_r*Sens!$K$6892</f>
        <v>32.2712258901105</v>
      </c>
      <c r="L6975" s="38" t="n">
        <f aca="false">sbc_r*Sens!$L$6892</f>
        <v>34.7390505016737</v>
      </c>
      <c r="M6975" s="38" t="n">
        <f aca="false">sbc_r*Sens!$M$6892</f>
        <v>37.0405146906692</v>
      </c>
    </row>
    <row r="6976" customFormat="false" ht="17.15" hidden="false" customHeight="false" outlineLevel="0" collapsed="false">
      <c r="A6976" s="5" t="s">
        <v>780</v>
      </c>
      <c r="B6976" s="0" t="s">
        <v>86</v>
      </c>
      <c r="C6976" s="38" t="n">
        <f aca="false">Q!$D$44-Sens!$C$6973-Sens!$C$6974-Sens!$C$6975</f>
        <v>2.551</v>
      </c>
      <c r="D6976" s="38" t="n">
        <f aca="false">Q!$E$44-Sens!$D$6973-Sens!$D$6974-Sens!$D$6975</f>
        <v>0.51700000000001</v>
      </c>
      <c r="E6976" s="38" t="n">
        <f aca="false">Q!$P$44-Sens!$E$6973-Sens!$E$6974-Sens!$E$6975</f>
        <v>-58.256</v>
      </c>
      <c r="F6976" s="38" t="n">
        <f aca="false">oth_r*Sens!$F$6892</f>
        <v>5.22265251035878</v>
      </c>
      <c r="G6976" s="38" t="n">
        <f aca="false">Sens!$E$6976+Sens!$F$6976</f>
        <v>-53.0333474896412</v>
      </c>
      <c r="H6976" s="38" t="n">
        <f aca="false">oth_r*Sens!$H$6892</f>
        <v>11.2928295263397</v>
      </c>
      <c r="I6976" s="38" t="n">
        <f aca="false">oth_r*Sens!$I$6892</f>
        <v>12.8091546115766</v>
      </c>
      <c r="J6976" s="38" t="n">
        <f aca="false">oth_r*Sens!$J$6892</f>
        <v>14.2605653162668</v>
      </c>
      <c r="K6976" s="38" t="n">
        <f aca="false">oth_r*Sens!$K$6892</f>
        <v>15.5327622460396</v>
      </c>
      <c r="L6976" s="38" t="n">
        <f aca="false">oth_r*Sens!$L$6892</f>
        <v>16.720573737517</v>
      </c>
      <c r="M6976" s="38" t="n">
        <f aca="false">oth_r*Sens!$M$6892</f>
        <v>17.8283127551536</v>
      </c>
      <c r="P6976" s="8" t="s">
        <v>781</v>
      </c>
    </row>
    <row r="6977" customFormat="false" ht="15" hidden="false" customHeight="false" outlineLevel="0" collapsed="false">
      <c r="A6977" s="3" t="s">
        <v>552</v>
      </c>
      <c r="B6977" s="8" t="s">
        <v>86</v>
      </c>
      <c r="C6977" s="38" t="n">
        <f aca="false">Q!$D$44</f>
        <v>115.877</v>
      </c>
      <c r="D6977" s="38" t="n">
        <f aca="false">Q!$E$44</f>
        <v>139.514</v>
      </c>
      <c r="E6977" s="38" t="n">
        <f aca="false">Q!$P$44</f>
        <v>71.419</v>
      </c>
      <c r="F6977" s="38" t="n">
        <f aca="false">Sens!$F$6973+Sens!$F$6974+Sens!$F$6975+Sens!$F$6976</f>
        <v>91.3381665166794</v>
      </c>
      <c r="G6977" s="38" t="n">
        <f aca="false">Sens!$E$6977+Sens!$F$6977</f>
        <v>162.757166516679</v>
      </c>
      <c r="H6977" s="38" t="n">
        <f aca="false">Sens!$H$6973+Sens!$H$6974+Sens!$H$6975+Sens!$H$6976</f>
        <v>220.979815191397</v>
      </c>
      <c r="I6977" s="38" t="n">
        <f aca="false">Sens!$I$6973+Sens!$I$6974+Sens!$I$6975+Sens!$I$6976</f>
        <v>273.036677420583</v>
      </c>
      <c r="J6977" s="38" t="n">
        <f aca="false">Sens!$J$6973+Sens!$J$6974+Sens!$J$6975+Sens!$J$6976</f>
        <v>325.671004053649</v>
      </c>
      <c r="K6977" s="38" t="n">
        <f aca="false">Sens!$K$6973+Sens!$K$6974+Sens!$K$6975+Sens!$K$6976</f>
        <v>374.009058715629</v>
      </c>
      <c r="L6977" s="38" t="n">
        <f aca="false">Sens!$L$6973+Sens!$L$6974+Sens!$L$6975+Sens!$L$6976</f>
        <v>416.124137499919</v>
      </c>
      <c r="M6977" s="38" t="n">
        <f aca="false">Sens!$M$6973+Sens!$M$6974+Sens!$M$6975+Sens!$M$6976</f>
        <v>452.557838889952</v>
      </c>
    </row>
    <row r="6978" customFormat="false" ht="17.15" hidden="false" customHeight="false" outlineLevel="0" collapsed="false">
      <c r="A6978" s="5" t="s">
        <v>782</v>
      </c>
      <c r="B6978" s="0" t="s">
        <v>86</v>
      </c>
      <c r="C6978" s="38" t="n">
        <f aca="false">Sens!$C$6861</f>
        <v>25.2781053077374</v>
      </c>
      <c r="D6978" s="38" t="n">
        <f aca="false">Sens!$D$6861</f>
        <v>69.5686316310026</v>
      </c>
      <c r="E6978" s="38" t="n">
        <f aca="false">Sens!$E$6861</f>
        <v>64.1899206485108</v>
      </c>
      <c r="F6978" s="38" t="n">
        <f aca="false">Sens!$F$6861</f>
        <v>96.2481299895</v>
      </c>
      <c r="G6978" s="38" t="n">
        <f aca="false">Sens!$G$6861</f>
        <v>160.438050638011</v>
      </c>
      <c r="H6978" s="38" t="n">
        <f aca="false">Sens!$H$6861</f>
        <v>198.57136494475</v>
      </c>
      <c r="I6978" s="38" t="n">
        <f aca="false">Sens!$I$6861</f>
        <v>204.6464699105</v>
      </c>
      <c r="J6978" s="38" t="n">
        <f aca="false">Sens!$J$6861</f>
        <v>209.8832381105</v>
      </c>
      <c r="K6978" s="38" t="n">
        <f aca="false">Sens!$K$6861</f>
        <v>155.238385275201</v>
      </c>
      <c r="L6978" s="38" t="n">
        <f aca="false">Sens!$L$6861</f>
        <v>132.014141639902</v>
      </c>
      <c r="M6978" s="38" t="n">
        <f aca="false">Sens!$M$6861</f>
        <v>132.230981659852</v>
      </c>
    </row>
    <row r="6979" customFormat="false" ht="17.15" hidden="false" customHeight="false" outlineLevel="0" collapsed="false">
      <c r="A6979" s="5" t="s">
        <v>783</v>
      </c>
      <c r="B6979" s="0" t="s">
        <v>86</v>
      </c>
      <c r="C6979" s="38" t="n">
        <f aca="false">cx_awso*Sens!$C$6890</f>
        <v>21.0469989286053</v>
      </c>
      <c r="D6979" s="38" t="n">
        <f aca="false">cx_awso*Sens!$D$6890</f>
        <v>24.0042459822698</v>
      </c>
      <c r="E6979" s="38" t="n">
        <f aca="false">cx_awso*Sens!$E$6890</f>
        <v>14.261729404886</v>
      </c>
      <c r="F6979" s="38" t="n">
        <f aca="false">cx_awso*Sens!$F$6890</f>
        <v>14.3538599588493</v>
      </c>
      <c r="G6979" s="38" t="n">
        <f aca="false">Sens!$E$6979+Sens!$F$6979</f>
        <v>28.6155893637353</v>
      </c>
      <c r="H6979" s="38" t="n">
        <f aca="false">cx_awso*Sens!$H$6890</f>
        <v>32.2034154158406</v>
      </c>
      <c r="I6979" s="38" t="n">
        <f aca="false">cx_awso*Sens!$I$6890</f>
        <v>35.7539519042915</v>
      </c>
      <c r="J6979" s="38" t="n">
        <f aca="false">cx_awso*Sens!$J$6890</f>
        <v>39.1551076091815</v>
      </c>
      <c r="K6979" s="38" t="n">
        <f aca="false">cx_awso*Sens!$K$6890</f>
        <v>42.287516217916</v>
      </c>
      <c r="L6979" s="38" t="n">
        <f aca="false">cx_awso*Sens!$L$6890</f>
        <v>45.6705175153492</v>
      </c>
      <c r="M6979" s="38" t="n">
        <f aca="false">cx_awso*Sens!$M$6890</f>
        <v>49.3241589165772</v>
      </c>
    </row>
    <row r="6980" customFormat="false" ht="17.15" hidden="false" customHeight="false" outlineLevel="0" collapsed="false">
      <c r="A6980" s="5" t="s">
        <v>784</v>
      </c>
      <c r="B6980" s="0" t="s">
        <v>86</v>
      </c>
      <c r="C6980" s="38" t="n">
        <f aca="false">Q!$D$46-Sens!$C$6978-Sens!$C$6979</f>
        <v>31.3328957636573</v>
      </c>
      <c r="D6980" s="38" t="n">
        <f aca="false">Q!$E$46-Sens!$D$6978-Sens!$D$6979</f>
        <v>34.7471223867276</v>
      </c>
      <c r="E6980" s="38" t="n">
        <f aca="false">Q!$P$46-Sens!$E$6978-Sens!$E$6979</f>
        <v>17.8583499466032</v>
      </c>
      <c r="F6980" s="38" t="n">
        <f aca="false">cx_rt*Sens!$F$6824</f>
        <v>20.6195895799373</v>
      </c>
      <c r="G6980" s="38" t="n">
        <f aca="false">Sens!$E$6980+Sens!$F$6980</f>
        <v>38.4779395265405</v>
      </c>
      <c r="H6980" s="38" t="n">
        <f aca="false">cx_rt*Sens!$H$6824</f>
        <v>42.5978994743075</v>
      </c>
      <c r="I6980" s="38" t="n">
        <f aca="false">cx_rt*Sens!$I$6824</f>
        <v>46.5813904136335</v>
      </c>
      <c r="J6980" s="38" t="n">
        <f aca="false">cx_rt*Sens!$J$6824</f>
        <v>50.2781676586844</v>
      </c>
      <c r="K6980" s="38" t="n">
        <f aca="false">cx_rt*Sens!$K$6824</f>
        <v>53.5312440191755</v>
      </c>
      <c r="L6980" s="38" t="n">
        <f aca="false">cx_rt*Sens!$L$6824</f>
        <v>57.0116717051447</v>
      </c>
      <c r="M6980" s="38" t="n">
        <f aca="false">cx_rt*Sens!$M$6824</f>
        <v>60.7365554669226</v>
      </c>
    </row>
    <row r="6981" customFormat="false" ht="15" hidden="false" customHeight="false" outlineLevel="0" collapsed="false">
      <c r="A6981" s="3" t="s">
        <v>785</v>
      </c>
      <c r="B6981" s="8" t="s">
        <v>86</v>
      </c>
      <c r="C6981" s="38" t="n">
        <f aca="false">Q!$D$46</f>
        <v>77.658</v>
      </c>
      <c r="D6981" s="38" t="n">
        <f aca="false">Q!$E$46</f>
        <v>128.32</v>
      </c>
      <c r="E6981" s="38" t="n">
        <f aca="false">Q!$P$46</f>
        <v>96.31</v>
      </c>
      <c r="F6981" s="38" t="n">
        <f aca="false">Sens!$F$6978+Sens!$F$6979+Sens!$F$6980</f>
        <v>131.221579528287</v>
      </c>
      <c r="G6981" s="38" t="n">
        <f aca="false">Sens!$E$6981+Sens!$F$6981</f>
        <v>227.531579528287</v>
      </c>
      <c r="H6981" s="38" t="n">
        <f aca="false">Sens!$H$6978+Sens!$H$6979+Sens!$H$6980</f>
        <v>273.372679834898</v>
      </c>
      <c r="I6981" s="38" t="n">
        <f aca="false">Sens!$I$6978+Sens!$I$6979+Sens!$I$6980</f>
        <v>286.981812228425</v>
      </c>
      <c r="J6981" s="38" t="n">
        <f aca="false">Sens!$J$6978+Sens!$J$6979+Sens!$J$6980</f>
        <v>299.316513378366</v>
      </c>
      <c r="K6981" s="38" t="n">
        <f aca="false">Sens!$K$6978+Sens!$K$6979+Sens!$K$6980</f>
        <v>251.057145512292</v>
      </c>
      <c r="L6981" s="38" t="n">
        <f aca="false">Sens!$L$6978+Sens!$L$6979+Sens!$L$6980</f>
        <v>234.696330860396</v>
      </c>
      <c r="M6981" s="38" t="n">
        <f aca="false">Sens!$M$6978+Sens!$M$6979+Sens!$M$6980</f>
        <v>242.291696043352</v>
      </c>
    </row>
    <row r="6982" customFormat="false" ht="17.15" hidden="false" customHeight="false" outlineLevel="0" collapsed="false">
      <c r="A6982" s="5" t="s">
        <v>560</v>
      </c>
      <c r="B6982" s="0" t="s">
        <v>86</v>
      </c>
      <c r="C6982" s="38" t="n">
        <f aca="false">Q!$D$50</f>
        <v>2.043</v>
      </c>
      <c r="D6982" s="38" t="n">
        <f aca="false">Q!$E$50</f>
        <v>1.557</v>
      </c>
      <c r="E6982" s="38" t="n">
        <f aca="false">lease_pr/2</f>
        <v>0.8</v>
      </c>
      <c r="F6982" s="38" t="n">
        <f aca="false">lease_pr/2</f>
        <v>0.8</v>
      </c>
      <c r="G6982" s="38" t="n">
        <f aca="false">Sens!$E$6982+Sens!$F$6982</f>
        <v>1.6</v>
      </c>
      <c r="H6982" s="38" t="n">
        <f aca="false">lease_pr</f>
        <v>1.6</v>
      </c>
      <c r="I6982" s="38" t="n">
        <f aca="false">lease_pr</f>
        <v>1.6</v>
      </c>
      <c r="J6982" s="38" t="n">
        <f aca="false">lease_pr</f>
        <v>1.6</v>
      </c>
      <c r="K6982" s="38" t="n">
        <f aca="false">lease_pr</f>
        <v>1.6</v>
      </c>
      <c r="L6982" s="38" t="n">
        <f aca="false">lease_pr</f>
        <v>1.6</v>
      </c>
      <c r="M6982" s="38" t="n">
        <f aca="false">lease_pr</f>
        <v>1.6</v>
      </c>
      <c r="P6982" s="8" t="s">
        <v>786</v>
      </c>
    </row>
    <row r="6983" customFormat="false" ht="15" hidden="false" customHeight="false" outlineLevel="0" collapsed="false">
      <c r="A6983" s="47" t="s">
        <v>787</v>
      </c>
      <c r="B6983" s="14" t="s">
        <v>86</v>
      </c>
      <c r="C6983" s="48" t="n">
        <f aca="false">Sens!$C$6977-Sens!$C$6981-Sens!$C$6982</f>
        <v>36.176</v>
      </c>
      <c r="D6983" s="48" t="n">
        <f aca="false">Sens!$D$6977-Sens!$D$6981-Sens!$D$6982</f>
        <v>9.63700000000002</v>
      </c>
      <c r="E6983" s="48" t="n">
        <f aca="false">Sens!$E$6977-Sens!$E$6981-Sens!$E$6982</f>
        <v>-25.691</v>
      </c>
      <c r="F6983" s="48" t="n">
        <f aca="false">Sens!$F$6977-Sens!$F$6981-Sens!$F$6982</f>
        <v>-40.6834130116072</v>
      </c>
      <c r="G6983" s="48" t="n">
        <f aca="false">Sens!$G$6977-Sens!$G$6981-Sens!$G$6982</f>
        <v>-66.3744130116072</v>
      </c>
      <c r="H6983" s="48" t="n">
        <f aca="false">Sens!$H$6977-Sens!$H$6981-Sens!$H$6982</f>
        <v>-53.9928646435014</v>
      </c>
      <c r="I6983" s="48" t="n">
        <f aca="false">Sens!$I$6977-Sens!$I$6981-Sens!$I$6982</f>
        <v>-15.5451348078424</v>
      </c>
      <c r="J6983" s="48" t="n">
        <f aca="false">Sens!$J$6977-Sens!$J$6981-Sens!$J$6982</f>
        <v>24.754490675283</v>
      </c>
      <c r="K6983" s="48" t="n">
        <f aca="false">Sens!$K$6977-Sens!$K$6981-Sens!$K$6982</f>
        <v>121.351913203336</v>
      </c>
      <c r="L6983" s="48" t="n">
        <f aca="false">Sens!$L$6977-Sens!$L$6981-Sens!$L$6982</f>
        <v>179.827806639524</v>
      </c>
      <c r="M6983" s="48" t="n">
        <f aca="false">Sens!$M$6977-Sens!$M$6981-Sens!$M$6982</f>
        <v>208.6661428466</v>
      </c>
      <c r="N6983" s="14"/>
      <c r="O6983" s="14"/>
    </row>
    <row r="6984" customFormat="false" ht="17.15" hidden="false" customHeight="false" outlineLevel="0" collapsed="false">
      <c r="A6984" s="5" t="s">
        <v>788</v>
      </c>
      <c r="B6984" s="0" t="s">
        <v>86</v>
      </c>
      <c r="C6984" s="38" t="n">
        <f aca="false">dps*Sens!$C$6963</f>
        <v>0</v>
      </c>
      <c r="D6984" s="38" t="n">
        <f aca="false">dps*Sens!$D$6963</f>
        <v>0</v>
      </c>
      <c r="E6984" s="38" t="n">
        <f aca="false">dps*Sens!$E$6963</f>
        <v>0</v>
      </c>
      <c r="F6984" s="38" t="n">
        <f aca="false">0</f>
        <v>0</v>
      </c>
      <c r="G6984" s="38" t="n">
        <f aca="false">dps*Sens!$G$6963</f>
        <v>0</v>
      </c>
      <c r="H6984" s="38" t="n">
        <f aca="false">dps*Sens!$H$6963</f>
        <v>0</v>
      </c>
      <c r="I6984" s="38" t="n">
        <f aca="false">dps*Sens!$I$6963</f>
        <v>0</v>
      </c>
      <c r="J6984" s="38" t="n">
        <f aca="false">dps*Sens!$J$6963</f>
        <v>0</v>
      </c>
      <c r="K6984" s="38" t="n">
        <f aca="false">dps*Sens!$K$6963</f>
        <v>0</v>
      </c>
      <c r="L6984" s="38" t="n">
        <f aca="false">dps*Sens!$L$6963</f>
        <v>0</v>
      </c>
      <c r="M6984" s="38" t="n">
        <f aca="false">dps*Sens!$M$6963</f>
        <v>0</v>
      </c>
      <c r="P6984" s="8" t="s">
        <v>789</v>
      </c>
    </row>
    <row r="6985" customFormat="false" ht="17.15" hidden="false" customHeight="false" outlineLevel="0" collapsed="false">
      <c r="A6985" s="5" t="s">
        <v>790</v>
      </c>
      <c r="B6985" s="0" t="s">
        <v>86</v>
      </c>
      <c r="C6985" s="38" t="n">
        <f aca="false">0</f>
        <v>0</v>
      </c>
      <c r="D6985" s="38" t="n">
        <f aca="false">0</f>
        <v>0</v>
      </c>
      <c r="E6985" s="38" t="n">
        <f aca="false">0</f>
        <v>0</v>
      </c>
      <c r="F6985" s="38" t="n">
        <f aca="false">0</f>
        <v>0</v>
      </c>
      <c r="G6985" s="38" t="n">
        <f aca="false">0</f>
        <v>0</v>
      </c>
      <c r="H6985" s="38" t="n">
        <f aca="false">0</f>
        <v>0</v>
      </c>
      <c r="I6985" s="38" t="n">
        <f aca="false">0</f>
        <v>0</v>
      </c>
      <c r="J6985" s="38" t="n">
        <f aca="false">0</f>
        <v>0</v>
      </c>
      <c r="K6985" s="38" t="n">
        <f aca="false">0</f>
        <v>0</v>
      </c>
      <c r="L6985" s="38" t="n">
        <f aca="false">0</f>
        <v>0</v>
      </c>
      <c r="M6985" s="38" t="n">
        <f aca="false">0</f>
        <v>0</v>
      </c>
      <c r="P6985" s="8" t="s">
        <v>791</v>
      </c>
    </row>
    <row r="6986" customFormat="false" ht="15" hidden="false" customHeight="false" outlineLevel="0" collapsed="false">
      <c r="A6986" s="3" t="s">
        <v>792</v>
      </c>
      <c r="B6986" s="8" t="s">
        <v>86</v>
      </c>
      <c r="C6986" s="38" t="n">
        <f aca="false">Sens!$C$6983-Sens!$C$6984</f>
        <v>36.176</v>
      </c>
      <c r="D6986" s="38" t="n">
        <f aca="false">Sens!$D$6983-Sens!$D$6984</f>
        <v>9.63700000000002</v>
      </c>
      <c r="E6986" s="38" t="n">
        <f aca="false">Sens!$E$6983-Sens!$E$6984</f>
        <v>-25.691</v>
      </c>
      <c r="F6986" s="38" t="n">
        <f aca="false">Sens!$F$6983-Sens!$F$6984</f>
        <v>-40.6834130116072</v>
      </c>
      <c r="G6986" s="38" t="n">
        <f aca="false">Sens!$G$6983-Sens!$G$6984</f>
        <v>-66.3744130116072</v>
      </c>
      <c r="H6986" s="38" t="n">
        <f aca="false">Sens!$H$6983-Sens!$H$6984</f>
        <v>-53.9928646435014</v>
      </c>
      <c r="I6986" s="38" t="n">
        <f aca="false">Sens!$I$6983-Sens!$I$6984</f>
        <v>-15.5451348078424</v>
      </c>
      <c r="J6986" s="38" t="n">
        <f aca="false">Sens!$J$6983-Sens!$J$6984</f>
        <v>24.754490675283</v>
      </c>
      <c r="K6986" s="38" t="n">
        <f aca="false">Sens!$K$6983-Sens!$K$6984</f>
        <v>121.351913203336</v>
      </c>
      <c r="L6986" s="38" t="n">
        <f aca="false">Sens!$L$6983-Sens!$L$6984</f>
        <v>179.827806639524</v>
      </c>
      <c r="M6986" s="38" t="n">
        <f aca="false">Sens!$M$6983-Sens!$M$6984</f>
        <v>208.6661428466</v>
      </c>
    </row>
    <row r="6987" customFormat="false" ht="17.15" hidden="false" customHeight="false" outlineLevel="0" collapsed="false">
      <c r="A6987" s="5" t="s">
        <v>793</v>
      </c>
      <c r="B6987" s="0" t="s">
        <v>86</v>
      </c>
      <c r="E6987" s="38" t="n">
        <f aca="false">Q!$P$53</f>
        <v>39.767</v>
      </c>
      <c r="F6987" s="38" t="n">
        <f aca="false">inv_2h26</f>
        <v>21.3</v>
      </c>
      <c r="G6987" s="38" t="n">
        <f aca="false">Sens!$E$6987+Sens!$F$6987</f>
        <v>61.067</v>
      </c>
      <c r="H6987" s="39" t="n">
        <v>0</v>
      </c>
      <c r="I6987" s="39" t="n">
        <v>0</v>
      </c>
      <c r="J6987" s="39" t="n">
        <v>0</v>
      </c>
      <c r="K6987" s="39" t="n">
        <v>0</v>
      </c>
      <c r="L6987" s="39" t="n">
        <v>0</v>
      </c>
      <c r="M6987" s="39" t="n">
        <v>0</v>
      </c>
    </row>
    <row r="6988" customFormat="false" ht="17.15" hidden="false" customHeight="false" outlineLevel="0" collapsed="false">
      <c r="A6988" s="5" t="s">
        <v>794</v>
      </c>
      <c r="B6988" s="0" t="s">
        <v>86</v>
      </c>
      <c r="F6988" s="38" t="n">
        <f aca="false">iss_2h26</f>
        <v>29.249999</v>
      </c>
      <c r="G6988" s="38" t="n">
        <f aca="false">Sens!$F$6988</f>
        <v>29.249999</v>
      </c>
      <c r="H6988" s="39" t="n">
        <v>0</v>
      </c>
      <c r="I6988" s="39" t="n">
        <v>0</v>
      </c>
      <c r="J6988" s="39" t="n">
        <v>0</v>
      </c>
      <c r="K6988" s="39" t="n">
        <v>0</v>
      </c>
      <c r="L6988" s="39" t="n">
        <v>0</v>
      </c>
      <c r="M6988" s="39" t="n">
        <v>0</v>
      </c>
    </row>
    <row r="6989" customFormat="false" ht="17.15" hidden="false" customHeight="false" outlineLevel="0" collapsed="false">
      <c r="A6989" s="5" t="s">
        <v>795</v>
      </c>
      <c r="B6989" s="0" t="s">
        <v>86</v>
      </c>
      <c r="F6989" s="38" t="n">
        <f aca="false">cash_q2</f>
        <v>122.988</v>
      </c>
      <c r="G6989" s="38" t="n">
        <f aca="false">cash_q2</f>
        <v>122.988</v>
      </c>
      <c r="H6989" s="38" t="n">
        <f aca="false">Sens!$G$6992</f>
        <v>90.2545859883928</v>
      </c>
      <c r="I6989" s="38" t="n">
        <f aca="false">Sens!$H$6992</f>
        <v>50</v>
      </c>
      <c r="J6989" s="38" t="n">
        <f aca="false">Sens!$I$6992</f>
        <v>50</v>
      </c>
      <c r="K6989" s="38" t="n">
        <f aca="false">Sens!$J$6992</f>
        <v>74.7544906752831</v>
      </c>
      <c r="L6989" s="38" t="n">
        <f aca="false">Sens!$K$6992</f>
        <v>196.106403878619</v>
      </c>
      <c r="M6989" s="38" t="n">
        <f aca="false">Sens!$L$6992</f>
        <v>375.934210518143</v>
      </c>
    </row>
    <row r="6990" customFormat="false" ht="15" hidden="false" customHeight="false" outlineLevel="0" collapsed="false">
      <c r="A6990" s="5" t="s">
        <v>796</v>
      </c>
      <c r="B6990" s="0" t="s">
        <v>86</v>
      </c>
      <c r="F6990" s="38" t="n">
        <f aca="false">Sens!$F$6989+Sens!$F$6986-Sens!$F$6985-Sens!$F$6987+Sens!$F$6988</f>
        <v>90.2545859883928</v>
      </c>
      <c r="H6990" s="38" t="n">
        <f aca="false">Sens!$H$6989+Sens!$H$6986-Sens!$H$6985-Sens!$H$6987+Sens!$H$6988</f>
        <v>36.2617213448915</v>
      </c>
      <c r="I6990" s="38" t="n">
        <f aca="false">Sens!$I$6989+Sens!$I$6986-Sens!$I$6985-Sens!$I$6987+Sens!$I$6988</f>
        <v>34.4548651921577</v>
      </c>
      <c r="J6990" s="38" t="n">
        <f aca="false">Sens!$J$6989+Sens!$J$6986-Sens!$J$6985-Sens!$J$6987+Sens!$J$6988</f>
        <v>74.7544906752831</v>
      </c>
      <c r="K6990" s="38" t="n">
        <f aca="false">Sens!$K$6989+Sens!$K$6986-Sens!$K$6985-Sens!$K$6987+Sens!$K$6988</f>
        <v>196.106403878619</v>
      </c>
      <c r="L6990" s="38" t="n">
        <f aca="false">Sens!$L$6989+Sens!$L$6986-Sens!$L$6985-Sens!$L$6987+Sens!$L$6988</f>
        <v>375.934210518143</v>
      </c>
      <c r="M6990" s="38" t="n">
        <f aca="false">Sens!$M$6989+Sens!$M$6986-Sens!$M$6985-Sens!$M$6987+Sens!$M$6988</f>
        <v>584.600353364743</v>
      </c>
    </row>
    <row r="6991" customFormat="false" ht="17.15" hidden="false" customHeight="false" outlineLevel="0" collapsed="false">
      <c r="A6991" s="5" t="s">
        <v>797</v>
      </c>
      <c r="B6991" s="0" t="s">
        <v>86</v>
      </c>
      <c r="F6991" s="38" t="n">
        <f aca="false">MAX(0,min_cash-Sens!$F$6990)</f>
        <v>0</v>
      </c>
      <c r="G6991" s="38" t="n">
        <f aca="false">Sens!$F$6991</f>
        <v>0</v>
      </c>
      <c r="H6991" s="38" t="n">
        <f aca="false">MAX(0,min_cash-Sens!$H$6990)</f>
        <v>13.7382786551085</v>
      </c>
      <c r="I6991" s="38" t="n">
        <f aca="false">MAX(0,min_cash-Sens!$I$6990)</f>
        <v>15.5451348078424</v>
      </c>
      <c r="J6991" s="38" t="n">
        <f aca="false">MAX(0,min_cash-Sens!$J$6990)</f>
        <v>0</v>
      </c>
      <c r="K6991" s="38" t="n">
        <f aca="false">MAX(0,min_cash-Sens!$K$6990)</f>
        <v>0</v>
      </c>
      <c r="L6991" s="38" t="n">
        <f aca="false">MAX(0,min_cash-Sens!$L$6990)</f>
        <v>0</v>
      </c>
      <c r="M6991" s="38" t="n">
        <f aca="false">MAX(0,min_cash-Sens!$M$6990)</f>
        <v>0</v>
      </c>
      <c r="P6991" s="5" t="s">
        <v>798</v>
      </c>
    </row>
    <row r="6992" customFormat="false" ht="15" hidden="false" customHeight="false" outlineLevel="0" collapsed="false">
      <c r="A6992" s="5" t="s">
        <v>799</v>
      </c>
      <c r="B6992" s="0" t="s">
        <v>86</v>
      </c>
      <c r="D6992" s="38" t="n">
        <f aca="false">Q!$E$61</f>
        <v>123.029</v>
      </c>
      <c r="E6992" s="38" t="n">
        <f aca="false">Q!$M$61</f>
        <v>122.988</v>
      </c>
      <c r="F6992" s="38" t="n">
        <f aca="false">Sens!$F$6990+Sens!$F$6991</f>
        <v>90.2545859883928</v>
      </c>
      <c r="G6992" s="38" t="n">
        <f aca="false">Sens!$F$6992</f>
        <v>90.2545859883928</v>
      </c>
      <c r="H6992" s="38" t="n">
        <f aca="false">Sens!$H$6990+Sens!$H$6991</f>
        <v>50</v>
      </c>
      <c r="I6992" s="38" t="n">
        <f aca="false">Sens!$I$6990+Sens!$I$6991</f>
        <v>50</v>
      </c>
      <c r="J6992" s="38" t="n">
        <f aca="false">Sens!$J$6990+Sens!$J$6991</f>
        <v>74.7544906752831</v>
      </c>
      <c r="K6992" s="38" t="n">
        <f aca="false">Sens!$K$6990+Sens!$K$6991</f>
        <v>196.106403878619</v>
      </c>
      <c r="L6992" s="38" t="n">
        <f aca="false">Sens!$L$6990+Sens!$L$6991</f>
        <v>375.934210518143</v>
      </c>
      <c r="M6992" s="38" t="n">
        <f aca="false">Sens!$M$6990+Sens!$M$6991</f>
        <v>584.600353364743</v>
      </c>
    </row>
    <row r="6993" customFormat="false" ht="15" hidden="false" customHeight="false" outlineLevel="0" collapsed="false">
      <c r="A6993" s="5" t="s">
        <v>800</v>
      </c>
      <c r="B6993" s="0" t="s">
        <v>86</v>
      </c>
      <c r="D6993" s="38" t="n">
        <f aca="false">Q!$E$62</f>
        <v>68.836</v>
      </c>
      <c r="E6993" s="38" t="n">
        <f aca="false">Q!$M$62</f>
        <v>132.995</v>
      </c>
      <c r="F6993" s="38" t="n">
        <f aca="false">debt_q2+Sens!$F$6988+Sens!$F$6991</f>
        <v>162.244999</v>
      </c>
      <c r="G6993" s="38" t="n">
        <f aca="false">Sens!$F$6993</f>
        <v>162.244999</v>
      </c>
      <c r="H6993" s="38" t="n">
        <f aca="false">Sens!$G$6993+Sens!$H$6991</f>
        <v>175.983277655109</v>
      </c>
      <c r="I6993" s="38" t="n">
        <f aca="false">Sens!$H$6993+Sens!$I$6991</f>
        <v>191.528412462951</v>
      </c>
      <c r="J6993" s="38" t="n">
        <f aca="false">Sens!$I$6993+Sens!$J$6991</f>
        <v>191.528412462951</v>
      </c>
      <c r="K6993" s="38" t="n">
        <f aca="false">Sens!$J$6993+Sens!$K$6991</f>
        <v>191.528412462951</v>
      </c>
      <c r="L6993" s="38" t="n">
        <f aca="false">Sens!$K$6993+Sens!$L$6991</f>
        <v>191.528412462951</v>
      </c>
      <c r="M6993" s="38" t="n">
        <f aca="false">Sens!$L$6993+Sens!$M$6991</f>
        <v>191.528412462951</v>
      </c>
    </row>
    <row r="6994" customFormat="false" ht="15" hidden="false" customHeight="false" outlineLevel="0" collapsed="false">
      <c r="A6994" s="5" t="s">
        <v>801</v>
      </c>
      <c r="B6994" s="0" t="s">
        <v>86</v>
      </c>
      <c r="D6994" s="38" t="n">
        <f aca="false">Sens!$D$6993-Sens!$D$6992</f>
        <v>-54.193</v>
      </c>
      <c r="E6994" s="38" t="n">
        <f aca="false">Sens!$E$6993-Sens!$E$6992</f>
        <v>10.007</v>
      </c>
      <c r="F6994" s="38" t="n">
        <f aca="false">Sens!$F$6993-Sens!$F$6992</f>
        <v>71.9904130116072</v>
      </c>
      <c r="G6994" s="38" t="n">
        <f aca="false">Sens!$G$6993-Sens!$G$6992</f>
        <v>71.9904130116072</v>
      </c>
      <c r="H6994" s="38" t="n">
        <f aca="false">Sens!$H$6993-Sens!$H$6992</f>
        <v>125.983277655109</v>
      </c>
      <c r="I6994" s="38" t="n">
        <f aca="false">Sens!$I$6993-Sens!$I$6992</f>
        <v>141.528412462951</v>
      </c>
      <c r="J6994" s="38" t="n">
        <f aca="false">Sens!$J$6993-Sens!$J$6992</f>
        <v>116.773921787668</v>
      </c>
      <c r="K6994" s="38" t="n">
        <f aca="false">Sens!$K$6993-Sens!$K$6992</f>
        <v>-4.57799141566841</v>
      </c>
      <c r="L6994" s="38" t="n">
        <f aca="false">Sens!$L$6993-Sens!$L$6992</f>
        <v>-184.405798055192</v>
      </c>
      <c r="M6994" s="38" t="n">
        <f aca="false">Sens!$M$6993-Sens!$M$6992</f>
        <v>-393.071940901792</v>
      </c>
    </row>
    <row r="6995" customFormat="false" ht="17.15" hidden="false" customHeight="false" outlineLevel="0" collapsed="false">
      <c r="A6995" s="5" t="s">
        <v>802</v>
      </c>
      <c r="B6995" s="0" t="s">
        <v>86</v>
      </c>
      <c r="F6995" s="38" t="n">
        <f aca="false">debt_q2*kd_book*0.5+iss_2h26*kd_new*iss_t</f>
        <v>3.24888962733561</v>
      </c>
      <c r="H6995" s="38" t="n">
        <f aca="false">debt_q2*kd_book+(Sens!$G$6993-debt_q2)*kd_new</f>
        <v>7.42354172302123</v>
      </c>
      <c r="I6995" s="38" t="n">
        <f aca="false">debt_q2*kd_book+(Sens!$H$6993-debt_q2)*kd_new</f>
        <v>8.2931747618896</v>
      </c>
      <c r="J6995" s="38" t="n">
        <f aca="false">debt_q2*kd_book+(Sens!$I$6993-debt_q2)*kd_new</f>
        <v>9.27718179522602</v>
      </c>
      <c r="K6995" s="38" t="n">
        <f aca="false">debt_q2*kd_book+(Sens!$J$6993-debt_q2)*kd_new</f>
        <v>9.27718179522602</v>
      </c>
      <c r="L6995" s="38" t="n">
        <f aca="false">debt_q2*kd_book+(Sens!$K$6993-debt_q2)*kd_new</f>
        <v>9.27718179522602</v>
      </c>
      <c r="M6995" s="38" t="n">
        <f aca="false">debt_q2*kd_book+(Sens!$L$6993-debt_q2)*kd_new</f>
        <v>9.27718179522602</v>
      </c>
    </row>
    <row r="6996" customFormat="false" ht="17.15" hidden="false" customHeight="false" outlineLevel="0" collapsed="false">
      <c r="A6996" s="5" t="s">
        <v>803</v>
      </c>
      <c r="B6996" s="0" t="s">
        <v>86</v>
      </c>
      <c r="F6996" s="38" t="n">
        <f aca="false">cash_q2*y_cash*0.5</f>
        <v>2.59</v>
      </c>
      <c r="H6996" s="38" t="n">
        <f aca="false">Sens!$G$6992*y_cash</f>
        <v>3.80133635330174</v>
      </c>
      <c r="I6996" s="38" t="n">
        <f aca="false">Sens!$H$6992*y_cash</f>
        <v>2.10589651022864</v>
      </c>
      <c r="J6996" s="38" t="n">
        <f aca="false">Sens!$I$6992*y_cash</f>
        <v>2.10589651022864</v>
      </c>
      <c r="K6996" s="38" t="n">
        <f aca="false">Sens!$J$6992*y_cash</f>
        <v>3.14850442073996</v>
      </c>
      <c r="L6996" s="38" t="n">
        <f aca="false">Sens!$K$6992*y_cash</f>
        <v>8.25959583122945</v>
      </c>
      <c r="M6996" s="38" t="n">
        <f aca="false">Sens!$L$6992*y_cash</f>
        <v>15.8335708401143</v>
      </c>
    </row>
    <row r="6997" customFormat="false" ht="17.15" hidden="false" customHeight="false" outlineLevel="0" collapsed="false">
      <c r="A6997" s="47" t="s">
        <v>804</v>
      </c>
      <c r="B6997" s="14" t="s">
        <v>86</v>
      </c>
      <c r="C6997" s="14"/>
      <c r="D6997" s="14"/>
      <c r="E6997" s="14"/>
      <c r="F6997" s="14"/>
      <c r="G6997" s="48" t="n">
        <f aca="false">SUM(Sens!$G$6986:$K$6986)</f>
        <v>10.1939914156684</v>
      </c>
      <c r="H6997" s="14"/>
      <c r="I6997" s="14"/>
      <c r="J6997" s="14"/>
      <c r="K6997" s="14"/>
      <c r="L6997" s="14"/>
      <c r="M6997" s="14"/>
      <c r="N6997" s="14"/>
      <c r="O6997" s="14"/>
    </row>
    <row r="6998" customFormat="false" ht="17.15" hidden="false" customHeight="false" outlineLevel="0" collapsed="false">
      <c r="A6998" s="0" t="s">
        <v>770</v>
      </c>
      <c r="B6998" s="0" t="s">
        <v>86</v>
      </c>
      <c r="G6998" s="38" t="n">
        <f aca="false">SUM(Sens!$G$6991:$K$6991)</f>
        <v>29.2834134629509</v>
      </c>
    </row>
    <row r="6999" customFormat="false" ht="17.15" hidden="false" customHeight="false" outlineLevel="0" collapsed="false">
      <c r="A6999" s="24" t="s">
        <v>807</v>
      </c>
      <c r="B6999" s="25" t="s">
        <v>86</v>
      </c>
      <c r="C6999" s="25"/>
      <c r="D6999" s="25"/>
      <c r="E6999" s="25"/>
      <c r="F6999" s="25"/>
      <c r="G6999" s="41" t="n">
        <f aca="false">Sens!$G$6997-(Sens!$G$6986+Sens!$H$6986+Sens!$I$6986+Sens!$J$6986+Sens!$K$6986)</f>
        <v>0</v>
      </c>
      <c r="H6999" s="25"/>
      <c r="I6999" s="25"/>
      <c r="J6999" s="25"/>
      <c r="K6999" s="25"/>
      <c r="L6999" s="25"/>
      <c r="M6999" s="25"/>
      <c r="N6999" s="25"/>
      <c r="O6999" s="25"/>
    </row>
    <row r="7002" customFormat="false" ht="19.4" hidden="false" customHeight="false" outlineLevel="0" collapsed="false">
      <c r="A7002" s="31" t="s">
        <v>1271</v>
      </c>
    </row>
    <row r="7003" customFormat="false" ht="17.15" hidden="false" customHeight="false" outlineLevel="0" collapsed="false">
      <c r="A7003" s="6" t="s">
        <v>16</v>
      </c>
      <c r="B7003" s="6" t="s">
        <v>17</v>
      </c>
      <c r="C7003" s="20" t="s">
        <v>494</v>
      </c>
      <c r="D7003" s="20" t="s">
        <v>495</v>
      </c>
      <c r="E7003" s="20" t="s">
        <v>577</v>
      </c>
      <c r="F7003" s="20" t="s">
        <v>578</v>
      </c>
      <c r="G7003" s="20" t="s">
        <v>579</v>
      </c>
      <c r="H7003" s="20" t="s">
        <v>580</v>
      </c>
      <c r="I7003" s="20" t="s">
        <v>581</v>
      </c>
      <c r="J7003" s="20" t="s">
        <v>582</v>
      </c>
      <c r="K7003" s="20" t="s">
        <v>583</v>
      </c>
      <c r="L7003" s="20" t="s">
        <v>584</v>
      </c>
      <c r="M7003" s="20" t="s">
        <v>585</v>
      </c>
      <c r="N7003" s="20" t="s">
        <v>586</v>
      </c>
      <c r="O7003" s="20" t="s">
        <v>587</v>
      </c>
      <c r="P7003" s="6" t="s">
        <v>23</v>
      </c>
      <c r="R7003" s="20" t="n">
        <v>2023</v>
      </c>
      <c r="S7003" s="20" t="n">
        <v>2024</v>
      </c>
      <c r="T7003" s="20" t="n">
        <v>2025</v>
      </c>
      <c r="U7003" s="20" t="n">
        <v>2026</v>
      </c>
      <c r="V7003" s="20" t="n">
        <v>2027</v>
      </c>
      <c r="W7003" s="20" t="n">
        <v>2028</v>
      </c>
      <c r="X7003" s="20" t="n">
        <v>2029</v>
      </c>
      <c r="Y7003" s="20" t="n">
        <v>2030</v>
      </c>
      <c r="Z7003" s="20" t="n">
        <v>2031</v>
      </c>
      <c r="AA7003" s="20" t="n">
        <v>2032</v>
      </c>
    </row>
    <row r="7004" customFormat="false" ht="17.15" hidden="false" customHeight="false" outlineLevel="0" collapsed="false">
      <c r="A7004" s="1" t="s">
        <v>909</v>
      </c>
    </row>
    <row r="7005" customFormat="false" ht="17.15" hidden="false" customHeight="false" outlineLevel="0" collapsed="false">
      <c r="A7005" s="0" t="s">
        <v>910</v>
      </c>
      <c r="B7005" s="0" t="s">
        <v>86</v>
      </c>
      <c r="H7005" s="38" t="n">
        <f aca="false">Sens!$H$6939*(1-tax)</f>
        <v>117.433243423729</v>
      </c>
      <c r="I7005" s="38" t="n">
        <f aca="false">Sens!$I$6939*(1-tax)</f>
        <v>142.829109667048</v>
      </c>
      <c r="J7005" s="38" t="n">
        <f aca="false">Sens!$J$6939*(1-tax)</f>
        <v>166.999275189185</v>
      </c>
      <c r="K7005" s="38" t="n">
        <f aca="false">Sens!$K$6939*(1-tax)</f>
        <v>184.249088119477</v>
      </c>
      <c r="L7005" s="38" t="n">
        <f aca="false">Sens!$L$6939*(1-tax)</f>
        <v>199.752821326616</v>
      </c>
      <c r="M7005" s="38" t="n">
        <f aca="false">Sens!$M$6939*(1-tax)</f>
        <v>212.59629763103</v>
      </c>
    </row>
    <row r="7006" customFormat="false" ht="15" hidden="false" customHeight="false" outlineLevel="0" collapsed="false">
      <c r="A7006" s="5" t="s">
        <v>911</v>
      </c>
      <c r="B7006" s="0" t="s">
        <v>86</v>
      </c>
      <c r="H7006" s="38" t="n">
        <f aca="false">Sens!$H$6950</f>
        <v>84.3163410985152</v>
      </c>
      <c r="I7006" s="38" t="n">
        <f aca="false">Sens!$I$6950</f>
        <v>117.040344991004</v>
      </c>
      <c r="J7006" s="38" t="n">
        <f aca="false">Sens!$J$6950</f>
        <v>150.498981474685</v>
      </c>
      <c r="K7006" s="38" t="n">
        <f aca="false">Sens!$K$6950</f>
        <v>184.188121970284</v>
      </c>
      <c r="L7006" s="38" t="n">
        <f aca="false">Sens!$L$6950</f>
        <v>207.768718060808</v>
      </c>
      <c r="M7006" s="38" t="n">
        <f aca="false">Sens!$M$6950</f>
        <v>224.003934647752</v>
      </c>
    </row>
    <row r="7007" customFormat="false" ht="15" hidden="false" customHeight="false" outlineLevel="0" collapsed="false">
      <c r="A7007" s="5" t="s">
        <v>912</v>
      </c>
      <c r="B7007" s="0" t="s">
        <v>86</v>
      </c>
      <c r="H7007" s="38" t="n">
        <f aca="false">Sens!$H$6981</f>
        <v>273.372679834898</v>
      </c>
      <c r="I7007" s="38" t="n">
        <f aca="false">Sens!$I$6981</f>
        <v>286.981812228425</v>
      </c>
      <c r="J7007" s="38" t="n">
        <f aca="false">Sens!$J$6981</f>
        <v>299.316513378366</v>
      </c>
      <c r="K7007" s="38" t="n">
        <f aca="false">Sens!$K$6981</f>
        <v>251.057145512292</v>
      </c>
      <c r="L7007" s="38" t="n">
        <f aca="false">Sens!$L$6981</f>
        <v>234.696330860396</v>
      </c>
      <c r="M7007" s="38" t="n">
        <f aca="false">Sens!$M$6981</f>
        <v>242.291696043352</v>
      </c>
    </row>
    <row r="7008" customFormat="false" ht="15" hidden="false" customHeight="false" outlineLevel="0" collapsed="false">
      <c r="A7008" s="5" t="s">
        <v>913</v>
      </c>
      <c r="B7008" s="0" t="s">
        <v>86</v>
      </c>
      <c r="H7008" s="38" t="n">
        <f aca="false">Sens!$H$6982</f>
        <v>1.6</v>
      </c>
      <c r="I7008" s="38" t="n">
        <f aca="false">Sens!$I$6982</f>
        <v>1.6</v>
      </c>
      <c r="J7008" s="38" t="n">
        <f aca="false">Sens!$J$6982</f>
        <v>1.6</v>
      </c>
      <c r="K7008" s="38" t="n">
        <f aca="false">Sens!$K$6982</f>
        <v>1.6</v>
      </c>
      <c r="L7008" s="38" t="n">
        <f aca="false">Sens!$L$6982</f>
        <v>1.6</v>
      </c>
      <c r="M7008" s="38" t="n">
        <f aca="false">Sens!$M$6982</f>
        <v>1.6</v>
      </c>
    </row>
    <row r="7009" customFormat="false" ht="15" hidden="false" customHeight="false" outlineLevel="0" collapsed="false">
      <c r="A7009" s="5" t="s">
        <v>914</v>
      </c>
      <c r="B7009" s="0" t="s">
        <v>86</v>
      </c>
      <c r="H7009" s="38" t="n">
        <f aca="false">Sens!$H$6976</f>
        <v>11.2928295263397</v>
      </c>
      <c r="I7009" s="38" t="n">
        <f aca="false">Sens!$I$6976</f>
        <v>12.8091546115766</v>
      </c>
      <c r="J7009" s="38" t="n">
        <f aca="false">Sens!$J$6976</f>
        <v>14.2605653162668</v>
      </c>
      <c r="K7009" s="38" t="n">
        <f aca="false">Sens!$K$6976</f>
        <v>15.5327622460396</v>
      </c>
      <c r="L7009" s="38" t="n">
        <f aca="false">Sens!$L$6976</f>
        <v>16.720573737517</v>
      </c>
      <c r="M7009" s="38" t="n">
        <f aca="false">Sens!$M$6976</f>
        <v>17.8283127551536</v>
      </c>
    </row>
    <row r="7010" customFormat="false" ht="17.15" hidden="false" customHeight="false" outlineLevel="0" collapsed="false">
      <c r="A7010" s="1" t="s">
        <v>915</v>
      </c>
      <c r="B7010" s="8" t="s">
        <v>86</v>
      </c>
      <c r="H7010" s="38" t="n">
        <f aca="false">Sens!$H$7005+Sens!$H$7006-Sens!$H$7007-Sens!$H$7008+Sens!$H$7009</f>
        <v>-61.930265786314</v>
      </c>
      <c r="I7010" s="38" t="n">
        <f aca="false">Sens!$I$7005+Sens!$I$7006-Sens!$I$7007-Sens!$I$7008+Sens!$I$7009</f>
        <v>-15.9032029587969</v>
      </c>
      <c r="J7010" s="38" t="n">
        <f aca="false">Sens!$J$7005+Sens!$J$7006-Sens!$J$7007-Sens!$J$7008+Sens!$J$7009</f>
        <v>30.8423086017711</v>
      </c>
      <c r="K7010" s="38" t="n">
        <f aca="false">Sens!$K$7005+Sens!$K$7006-Sens!$K$7007-Sens!$K$7008+Sens!$K$7009</f>
        <v>131.312826823508</v>
      </c>
      <c r="L7010" s="38" t="n">
        <f aca="false">Sens!$L$7005+Sens!$L$7006-Sens!$L$7007-Sens!$L$7008+Sens!$L$7009</f>
        <v>187.945782264545</v>
      </c>
      <c r="M7010" s="38" t="n">
        <f aca="false">Sens!$M$7005+Sens!$M$7006-Sens!$M$7007-Sens!$M$7008+Sens!$M$7009</f>
        <v>210.536848990583</v>
      </c>
    </row>
    <row r="7011" customFormat="false" ht="15" hidden="false" customHeight="false" outlineLevel="0" collapsed="false">
      <c r="A7011" s="5" t="s">
        <v>916</v>
      </c>
      <c r="B7011" s="0" t="s">
        <v>57</v>
      </c>
      <c r="H7011" s="40" t="n">
        <f aca="false">1/(1+wacc)^(2027-2026-0.5)</f>
        <v>0.947751320380232</v>
      </c>
      <c r="I7011" s="40" t="n">
        <f aca="false">1/(1+wacc)^(2028-2026-0.5)</f>
        <v>0.851301099754987</v>
      </c>
      <c r="J7011" s="40" t="n">
        <f aca="false">1/(1+wacc)^(2029-2026-0.5)</f>
        <v>0.764666370660713</v>
      </c>
      <c r="K7011" s="40" t="n">
        <f aca="false">1/(1+wacc)^(2030-2026-0.5)</f>
        <v>0.686848235703811</v>
      </c>
      <c r="L7011" s="40" t="n">
        <f aca="false">1/(1+wacc)^(2031-2026-0.5)</f>
        <v>0.616949452715975</v>
      </c>
      <c r="M7011" s="40" t="n">
        <f aca="false">1/(1+wacc)^(2032-2026-0.5)</f>
        <v>0.554164089562688</v>
      </c>
    </row>
    <row r="7012" customFormat="false" ht="15" hidden="false" customHeight="false" outlineLevel="0" collapsed="false">
      <c r="A7012" s="5" t="s">
        <v>917</v>
      </c>
      <c r="B7012" s="0" t="s">
        <v>86</v>
      </c>
      <c r="H7012" s="38" t="n">
        <f aca="false">Sens!$H$7010*Sens!$H$7011</f>
        <v>-58.6944911704778</v>
      </c>
      <c r="I7012" s="38" t="n">
        <f aca="false">Sens!$I$7010*Sens!$I$7011</f>
        <v>-13.5384141684505</v>
      </c>
      <c r="J7012" s="38" t="n">
        <f aca="false">Sens!$J$7010*Sens!$J$7011</f>
        <v>23.584076181314</v>
      </c>
      <c r="K7012" s="38" t="n">
        <f aca="false">Sens!$K$7010*Sens!$K$7011</f>
        <v>90.1919834290062</v>
      </c>
      <c r="L7012" s="38" t="n">
        <f aca="false">Sens!$L$7010*Sens!$L$7011</f>
        <v>115.953047508387</v>
      </c>
      <c r="M7012" s="38" t="n">
        <f aca="false">Sens!$M$7010*Sens!$M$7011</f>
        <v>116.671961240264</v>
      </c>
    </row>
    <row r="7013" customFormat="false" ht="15" hidden="false" customHeight="false" outlineLevel="0" collapsed="false">
      <c r="A7013" s="5" t="s">
        <v>918</v>
      </c>
      <c r="B7013" s="0" t="s">
        <v>86</v>
      </c>
      <c r="C7013" s="38" t="n">
        <f aca="false">SUM(Sens!$H$7012:$M$7012)</f>
        <v>274.168163020043</v>
      </c>
    </row>
    <row r="7014" customFormat="false" ht="17.15" hidden="false" customHeight="false" outlineLevel="0" collapsed="false">
      <c r="A7014" s="5" t="s">
        <v>919</v>
      </c>
      <c r="B7014" s="0" t="s">
        <v>86</v>
      </c>
      <c r="C7014" s="38" t="n">
        <f aca="false">Sens!$M$7005*(1+tg)*(1-tg/ronic)/(wacc-tg)</f>
        <v>1932.73757828664</v>
      </c>
    </row>
    <row r="7015" customFormat="false" ht="15" hidden="false" customHeight="false" outlineLevel="0" collapsed="false">
      <c r="A7015" s="5" t="s">
        <v>920</v>
      </c>
      <c r="B7015" s="0" t="s">
        <v>86</v>
      </c>
      <c r="C7015" s="38" t="n">
        <f aca="false">Sens!$C$7014/(1+wacc)^6</f>
        <v>1015.09261565031</v>
      </c>
    </row>
    <row r="7016" customFormat="false" ht="17.15" hidden="false" customHeight="false" outlineLevel="0" collapsed="false">
      <c r="A7016" s="5" t="s">
        <v>921</v>
      </c>
      <c r="B7016" s="0" t="s">
        <v>86</v>
      </c>
      <c r="C7016" s="38" t="n">
        <f aca="false">Sens!$C$7013+Sens!$C$7015</f>
        <v>1289.26077867035</v>
      </c>
    </row>
    <row r="7017" customFormat="false" ht="17.15" hidden="false" customHeight="false" outlineLevel="0" collapsed="false">
      <c r="A7017" s="5" t="s">
        <v>922</v>
      </c>
      <c r="B7017" s="0" t="s">
        <v>52</v>
      </c>
      <c r="C7017" s="13" t="n">
        <f aca="false">Sens!$C$7015/Sens!$C$7016</f>
        <v>0.787344680334726</v>
      </c>
    </row>
    <row r="7018" customFormat="false" ht="17.15" hidden="false" customHeight="false" outlineLevel="0" collapsed="false">
      <c r="A7018" s="5" t="s">
        <v>923</v>
      </c>
      <c r="B7018" s="0" t="s">
        <v>86</v>
      </c>
      <c r="C7018" s="38" t="n">
        <f aca="false">Sens!$G$6994+fin_debt</f>
        <v>96.5114130116072</v>
      </c>
    </row>
    <row r="7019" customFormat="false" ht="17.15" hidden="false" customHeight="false" outlineLevel="0" collapsed="false">
      <c r="A7019" s="5" t="s">
        <v>924</v>
      </c>
      <c r="B7019" s="0" t="s">
        <v>86</v>
      </c>
      <c r="C7019" s="38" t="n">
        <f aca="false">(ant_val*ant_sh+oai_val*oai_sh)*(1-liq_disc)</f>
        <v>178.944</v>
      </c>
    </row>
    <row r="7020" customFormat="false" ht="15" hidden="false" customHeight="false" outlineLevel="0" collapsed="false">
      <c r="A7020" s="5" t="s">
        <v>925</v>
      </c>
      <c r="B7020" s="0" t="s">
        <v>86</v>
      </c>
      <c r="C7020" s="38" t="n">
        <f aca="false">Sens!$C$7016-Sens!$C$7018+Sens!$C$7019</f>
        <v>1371.69336565874</v>
      </c>
    </row>
    <row r="7021" customFormat="false" ht="17.15" hidden="false" customHeight="false" outlineLevel="0" collapsed="false">
      <c r="A7021" s="5" t="s">
        <v>926</v>
      </c>
      <c r="B7021" s="0" t="s">
        <v>27</v>
      </c>
      <c r="C7021" s="30" t="n">
        <f aca="false">Sens!$C$7020/sh_out</f>
        <v>127.169797361614</v>
      </c>
    </row>
    <row r="7022" customFormat="false" ht="17.15" hidden="false" customHeight="false" outlineLevel="0" collapsed="false">
      <c r="A7022" s="1" t="s">
        <v>927</v>
      </c>
      <c r="B7022" s="8" t="s">
        <v>27</v>
      </c>
      <c r="C7022" s="30" t="n">
        <f aca="false">Sens!$C$7021*(1+ke)^tp_yf-dps*tp_yf</f>
        <v>139.297834242404</v>
      </c>
    </row>
    <row r="7023" customFormat="false" ht="17.15" hidden="false" customHeight="false" outlineLevel="0" collapsed="false">
      <c r="A7023" s="3" t="s">
        <v>928</v>
      </c>
    </row>
    <row r="7024" customFormat="false" ht="17.15" hidden="false" customHeight="false" outlineLevel="0" collapsed="false">
      <c r="A7024" s="5" t="s">
        <v>929</v>
      </c>
      <c r="B7024" s="0" t="s">
        <v>86</v>
      </c>
      <c r="C7024" s="38" t="n">
        <f aca="false">(1-tp_yf)*(Sens!$H$6951+Sens!$H$6975*Sens!$H$6817/Sens!$H$6892)+tp_yf*(Sens!$I$6951+Sens!$I$6975*Sens!$I$6817/Sens!$I$6892)</f>
        <v>59.634664536349</v>
      </c>
    </row>
    <row r="7025" customFormat="false" ht="15" hidden="false" customHeight="false" outlineLevel="0" collapsed="false">
      <c r="A7025" s="5" t="s">
        <v>930</v>
      </c>
      <c r="B7025" s="0" t="s">
        <v>57</v>
      </c>
      <c r="C7025" s="30" t="n">
        <f aca="false">m_ads*m_x</f>
        <v>9.11</v>
      </c>
    </row>
    <row r="7026" customFormat="false" ht="17.15" hidden="false" customHeight="false" outlineLevel="0" collapsed="false">
      <c r="A7026" s="5" t="s">
        <v>931</v>
      </c>
      <c r="B7026" s="0" t="s">
        <v>86</v>
      </c>
      <c r="C7026" s="38" t="n">
        <f aca="false">Sens!$C$7024*Sens!$C$7025</f>
        <v>543.271793926139</v>
      </c>
    </row>
    <row r="7027" customFormat="false" ht="17.15" hidden="false" customHeight="false" outlineLevel="0" collapsed="false">
      <c r="A7027" s="5" t="s">
        <v>932</v>
      </c>
      <c r="B7027" s="0" t="s">
        <v>86</v>
      </c>
      <c r="C7027" s="38" t="n">
        <f aca="false">(1-tp_yf)*(Sens!$H$6952+Sens!$H$6975*(Sens!$H$6824-Sens!$H$6817)/Sens!$H$6892+IF(internal_ai_reading=2,1,0)*(1-ext_sh)*Sens!$H$6854)+tp_yf*(Sens!$I$6952+Sens!$I$6975*(Sens!$I$6824-Sens!$I$6817)/Sens!$I$6892+IF(internal_ai_reading=2,1,0)*(1-ext_sh)*Sens!$I$6854)</f>
        <v>51.7770728324773</v>
      </c>
    </row>
    <row r="7028" customFormat="false" ht="17.15" hidden="false" customHeight="false" outlineLevel="0" collapsed="false">
      <c r="A7028" s="5" t="s">
        <v>933</v>
      </c>
      <c r="B7028" s="0" t="s">
        <v>57</v>
      </c>
      <c r="C7028" s="30" t="n">
        <f aca="false">m_retail*m_x</f>
        <v>17.72</v>
      </c>
    </row>
    <row r="7029" customFormat="false" ht="17.15" hidden="false" customHeight="false" outlineLevel="0" collapsed="false">
      <c r="A7029" s="5" t="s">
        <v>934</v>
      </c>
      <c r="B7029" s="0" t="s">
        <v>86</v>
      </c>
      <c r="C7029" s="38" t="n">
        <f aca="false">Sens!$C$7027*Sens!$C$7028</f>
        <v>917.489730591498</v>
      </c>
    </row>
    <row r="7030" customFormat="false" ht="17.15" hidden="false" customHeight="false" outlineLevel="0" collapsed="false">
      <c r="A7030" s="0" t="s">
        <v>935</v>
      </c>
      <c r="B7030" s="0" t="s">
        <v>86</v>
      </c>
      <c r="C7030" s="38" t="n">
        <f aca="false">(1-tp_yf)*(Sens!$H$6953+Sens!$H$6975*Sens!$H$6890/Sens!$H$6892)+tp_yf*(Sens!$I$6953+Sens!$I$6975*Sens!$I$6890/Sens!$I$6892)</f>
        <v>97.3363031479074</v>
      </c>
    </row>
    <row r="7031" customFormat="false" ht="17.15" hidden="false" customHeight="false" outlineLevel="0" collapsed="false">
      <c r="A7031" s="0" t="s">
        <v>936</v>
      </c>
      <c r="B7031" s="0" t="s">
        <v>57</v>
      </c>
      <c r="C7031" s="30" t="n">
        <f aca="false">m_cloud*m_x</f>
        <v>13.82</v>
      </c>
    </row>
    <row r="7032" customFormat="false" ht="17.15" hidden="false" customHeight="false" outlineLevel="0" collapsed="false">
      <c r="A7032" s="0" t="s">
        <v>937</v>
      </c>
      <c r="B7032" s="0" t="s">
        <v>86</v>
      </c>
      <c r="C7032" s="38" t="n">
        <f aca="false">Sens!$C$7030*Sens!$C$7031</f>
        <v>1345.18770950408</v>
      </c>
    </row>
    <row r="7033" customFormat="false" ht="17.15" hidden="false" customHeight="false" outlineLevel="0" collapsed="false">
      <c r="A7033" s="0" t="s">
        <v>938</v>
      </c>
      <c r="B7033" s="0" t="s">
        <v>86</v>
      </c>
      <c r="H7033" s="38" t="n">
        <f aca="false">Sens!$H$6871-tax*Sens!$H$6872-ext_sh*Sens!$H$6861</f>
        <v>-114.686944664267</v>
      </c>
      <c r="I7033" s="38" t="n">
        <f aca="false">Sens!$I$6871-tax*Sens!$I$6872-ext_sh*Sens!$I$6861</f>
        <v>-88.3950641557111</v>
      </c>
      <c r="J7033" s="38" t="n">
        <f aca="false">Sens!$J$6871-tax*Sens!$J$6872-ext_sh*Sens!$J$6861</f>
        <v>-61.1526151740695</v>
      </c>
      <c r="K7033" s="38" t="n">
        <f aca="false">Sens!$K$6871-tax*Sens!$K$6872-ext_sh*Sens!$K$6861</f>
        <v>10.057774712684</v>
      </c>
      <c r="L7033" s="38" t="n">
        <f aca="false">Sens!$L$6871-tax*Sens!$L$6872-ext_sh*Sens!$L$6861</f>
        <v>46.6587675560356</v>
      </c>
      <c r="M7033" s="38" t="n">
        <f aca="false">Sens!$M$6871-tax*Sens!$M$6872-ext_sh*Sens!$M$6861</f>
        <v>55.3915455321129</v>
      </c>
    </row>
    <row r="7034" customFormat="false" ht="17.15" hidden="false" customHeight="false" outlineLevel="0" collapsed="false">
      <c r="A7034" s="5" t="s">
        <v>939</v>
      </c>
      <c r="B7034" s="0" t="s">
        <v>86</v>
      </c>
      <c r="H7034" s="38" t="n">
        <f aca="false">Sens!$H$7033*Sens!$H$7011</f>
        <v>-108.694703235934</v>
      </c>
      <c r="I7034" s="38" t="n">
        <f aca="false">Sens!$I$7033*Sens!$I$7011</f>
        <v>-75.2508153286695</v>
      </c>
      <c r="J7034" s="38" t="n">
        <f aca="false">Sens!$J$7033*Sens!$J$7011</f>
        <v>-46.761348301567</v>
      </c>
      <c r="K7034" s="38" t="n">
        <f aca="false">Sens!$K$7033*Sens!$K$7011</f>
        <v>6.90816481651338</v>
      </c>
      <c r="L7034" s="38" t="n">
        <f aca="false">Sens!$L$7033*Sens!$L$7011</f>
        <v>28.7861011080981</v>
      </c>
      <c r="M7034" s="38" t="n">
        <f aca="false">Sens!$M$7033*Sens!$M$7011</f>
        <v>30.6960053992735</v>
      </c>
    </row>
    <row r="7035" customFormat="false" ht="17.15" hidden="false" customHeight="false" outlineLevel="0" collapsed="false">
      <c r="A7035" s="5" t="s">
        <v>940</v>
      </c>
      <c r="B7035" s="0" t="s">
        <v>86</v>
      </c>
      <c r="C7035" s="38" t="n">
        <f aca="false">Sens!$M$6872*(1-tax)*(1+tg)*(1-tg/ronic)/(wacc-tg)</f>
        <v>363.621782500497</v>
      </c>
    </row>
    <row r="7036" customFormat="false" ht="17.15" hidden="false" customHeight="false" outlineLevel="0" collapsed="false">
      <c r="A7036" s="0" t="s">
        <v>941</v>
      </c>
      <c r="B7036" s="0" t="s">
        <v>86</v>
      </c>
      <c r="C7036" s="38" t="n">
        <f aca="false">(SUM(Sens!$H$7034:$M$7034)+Sens!$C$7035/(1+wacc)^6)*(1+wacc)^tp_yf</f>
        <v>29.1198269558345</v>
      </c>
    </row>
    <row r="7037" customFormat="false" ht="17.15" hidden="false" customHeight="false" outlineLevel="0" collapsed="false">
      <c r="A7037" s="5" t="s">
        <v>942</v>
      </c>
      <c r="B7037" s="0" t="s">
        <v>86</v>
      </c>
      <c r="C7037" s="38" t="n">
        <f aca="false">(1-tp_yf)*(Sens!$H$6954)+tp_yf*(Sens!$I$6954)</f>
        <v>74.6707041238437</v>
      </c>
    </row>
    <row r="7038" customFormat="false" ht="17.15" hidden="false" customHeight="false" outlineLevel="0" collapsed="false">
      <c r="A7038" s="5" t="s">
        <v>943</v>
      </c>
      <c r="B7038" s="0" t="s">
        <v>86</v>
      </c>
      <c r="C7038" s="38" t="n">
        <f aca="false">Sens!$C$7037*m_ai_hi</f>
        <v>746.707041238437</v>
      </c>
    </row>
    <row r="7039" customFormat="false" ht="17.15" hidden="false" customHeight="false" outlineLevel="0" collapsed="false">
      <c r="A7039" s="0" t="s">
        <v>944</v>
      </c>
      <c r="B7039" s="0" t="s">
        <v>86</v>
      </c>
      <c r="C7039" s="38" t="n">
        <f aca="false">IF(0=1,Sens!$C$7036,Sens!$C$7038)</f>
        <v>746.707041238437</v>
      </c>
    </row>
    <row r="7040" customFormat="false" ht="17.15" hidden="false" customHeight="false" outlineLevel="0" collapsed="false">
      <c r="A7040" s="5" t="s">
        <v>945</v>
      </c>
      <c r="B7040" s="0" t="s">
        <v>86</v>
      </c>
      <c r="C7040" s="38" t="n">
        <f aca="false">Sens!$C$7026+Sens!$C$7029+Sens!$C$7032+Sens!$C$7039</f>
        <v>3552.65627526016</v>
      </c>
    </row>
    <row r="7041" customFormat="false" ht="17.15" hidden="false" customHeight="false" outlineLevel="0" collapsed="false">
      <c r="A7041" s="5" t="s">
        <v>946</v>
      </c>
      <c r="B7041" s="0" t="s">
        <v>86</v>
      </c>
      <c r="C7041" s="38" t="n">
        <f aca="false">Sens!$H$6994+fin_debt</f>
        <v>150.504277655109</v>
      </c>
    </row>
    <row r="7042" customFormat="false" ht="15" hidden="false" customHeight="false" outlineLevel="0" collapsed="false">
      <c r="A7042" s="5" t="s">
        <v>947</v>
      </c>
      <c r="B7042" s="0" t="s">
        <v>86</v>
      </c>
      <c r="C7042" s="38" t="n">
        <f aca="false">Sens!$C$7040-Sens!$C$7041+Sens!$C$7019</f>
        <v>3581.09599760505</v>
      </c>
    </row>
    <row r="7043" customFormat="false" ht="15" hidden="false" customHeight="false" outlineLevel="0" collapsed="false">
      <c r="A7043" s="3" t="s">
        <v>948</v>
      </c>
      <c r="B7043" s="8" t="s">
        <v>27</v>
      </c>
      <c r="C7043" s="30" t="n">
        <f aca="false">Sens!$C$7042/sh_val</f>
        <v>324.659479105041</v>
      </c>
    </row>
    <row r="7044" customFormat="false" ht="17.15" hidden="false" customHeight="false" outlineLevel="0" collapsed="false">
      <c r="A7044" s="47" t="s">
        <v>949</v>
      </c>
      <c r="B7044" s="14" t="s">
        <v>27</v>
      </c>
      <c r="C7044" s="44" t="n">
        <f aca="false">w_dcf*Sens!$C$7022+(1-w_dcf)*Sens!$C$7043</f>
        <v>231.978656673723</v>
      </c>
      <c r="D7044" s="14"/>
      <c r="E7044" s="14"/>
      <c r="F7044" s="14"/>
      <c r="G7044" s="14"/>
      <c r="H7044" s="14"/>
      <c r="I7044" s="14"/>
      <c r="J7044" s="14"/>
      <c r="K7044" s="14"/>
      <c r="L7044" s="14"/>
      <c r="M7044" s="14"/>
      <c r="N7044" s="14"/>
      <c r="O7044" s="14"/>
    </row>
    <row r="7045" customFormat="false" ht="17.15" hidden="false" customHeight="false" outlineLevel="0" collapsed="false">
      <c r="A7045" s="5" t="s">
        <v>950</v>
      </c>
      <c r="B7045" s="0" t="s">
        <v>27</v>
      </c>
      <c r="C7045" s="30" t="n">
        <f aca="false">v022_wdcf*Sens!$C$7022+(1-v022_wdcf)*Sens!$C$7043</f>
        <v>241.246738916855</v>
      </c>
    </row>
    <row r="7046" customFormat="false" ht="17.15" hidden="false" customHeight="false" outlineLevel="0" collapsed="false">
      <c r="A7046" s="5" t="s">
        <v>951</v>
      </c>
      <c r="B7046" s="0" t="s">
        <v>27</v>
      </c>
      <c r="C7046" s="30" t="n">
        <f aca="false">(Sens!$C$7042-Sens!$C$7039+Sens!$C$7038)/sh_val</f>
        <v>324.659479105041</v>
      </c>
    </row>
    <row r="7049" customFormat="false" ht="19.4" hidden="false" customHeight="false" outlineLevel="0" collapsed="false">
      <c r="A7049" s="31" t="s">
        <v>1272</v>
      </c>
    </row>
    <row r="7050" customFormat="false" ht="17.15" hidden="false" customHeight="false" outlineLevel="0" collapsed="false">
      <c r="A7050" s="6" t="s">
        <v>16</v>
      </c>
      <c r="B7050" s="6" t="s">
        <v>17</v>
      </c>
      <c r="C7050" s="20" t="s">
        <v>494</v>
      </c>
      <c r="D7050" s="20" t="s">
        <v>495</v>
      </c>
      <c r="E7050" s="20" t="s">
        <v>577</v>
      </c>
      <c r="F7050" s="20" t="s">
        <v>578</v>
      </c>
      <c r="G7050" s="20" t="s">
        <v>579</v>
      </c>
      <c r="H7050" s="20" t="s">
        <v>580</v>
      </c>
      <c r="I7050" s="20" t="s">
        <v>581</v>
      </c>
      <c r="J7050" s="20" t="s">
        <v>582</v>
      </c>
      <c r="K7050" s="20" t="s">
        <v>583</v>
      </c>
      <c r="L7050" s="20" t="s">
        <v>584</v>
      </c>
      <c r="M7050" s="20" t="s">
        <v>585</v>
      </c>
      <c r="N7050" s="20" t="s">
        <v>586</v>
      </c>
      <c r="O7050" s="20" t="s">
        <v>587</v>
      </c>
      <c r="P7050" s="6" t="s">
        <v>23</v>
      </c>
      <c r="R7050" s="20" t="n">
        <v>2023</v>
      </c>
      <c r="S7050" s="20" t="n">
        <v>2024</v>
      </c>
      <c r="T7050" s="20" t="n">
        <v>2025</v>
      </c>
      <c r="U7050" s="20" t="n">
        <v>2026</v>
      </c>
      <c r="V7050" s="20" t="n">
        <v>2027</v>
      </c>
      <c r="W7050" s="20" t="n">
        <v>2028</v>
      </c>
      <c r="X7050" s="20" t="n">
        <v>2029</v>
      </c>
      <c r="Y7050" s="20" t="n">
        <v>2030</v>
      </c>
      <c r="Z7050" s="20" t="n">
        <v>2031</v>
      </c>
      <c r="AA7050" s="20" t="n">
        <v>2032</v>
      </c>
    </row>
    <row r="7051" customFormat="false" ht="17.15" hidden="false" customHeight="false" outlineLevel="0" collapsed="false">
      <c r="A7051" s="1" t="s">
        <v>660</v>
      </c>
    </row>
    <row r="7052" customFormat="false" ht="17.15" hidden="false" customHeight="false" outlineLevel="0" collapsed="false">
      <c r="A7052" s="0" t="s">
        <v>516</v>
      </c>
      <c r="B7052" s="0" t="s">
        <v>86</v>
      </c>
      <c r="C7052" s="38" t="n">
        <f aca="false">Q!$D$10</f>
        <v>247.029</v>
      </c>
      <c r="D7052" s="38" t="n">
        <f aca="false">Q!$E$10</f>
        <v>269.287</v>
      </c>
      <c r="E7052" s="38" t="n">
        <f aca="false">Q!$P$10</f>
        <v>134.686</v>
      </c>
      <c r="F7052" s="38" t="n">
        <f aca="false">Sens!$O$7052*(1+Sens!$F$7053)*Sens!$F$7064</f>
        <v>158.293876822267</v>
      </c>
      <c r="G7052" s="38" t="n">
        <f aca="false">Sens!$E$7052+Sens!$F$7052</f>
        <v>292.979876822267</v>
      </c>
      <c r="H7052" s="38" t="n">
        <f aca="false">Sens!$G$7052*(1+Sens!$H$7053)</f>
        <v>318.184543087396</v>
      </c>
      <c r="I7052" s="38" t="n">
        <f aca="false">Sens!$H$7052*(1+Sens!$I$7053)</f>
        <v>341.736278761793</v>
      </c>
      <c r="J7052" s="38" t="n">
        <f aca="false">Sens!$I$7052*(1+Sens!$J$7053)</f>
        <v>362.927192787048</v>
      </c>
      <c r="K7052" s="38" t="n">
        <f aca="false">Sens!$J$7052*(1+Sens!$K$7053)</f>
        <v>381.0735524264</v>
      </c>
      <c r="L7052" s="38" t="n">
        <f aca="false">Sens!$K$7052*(1+Sens!$L$7053)</f>
        <v>400.12723004772</v>
      </c>
      <c r="M7052" s="38" t="n">
        <f aca="false">Sens!$L$7052*(1+Sens!$M$7053)</f>
        <v>420.133591550106</v>
      </c>
      <c r="N7052" s="38" t="n">
        <f aca="false">Q!$N$10</f>
        <v>118.892</v>
      </c>
      <c r="O7052" s="38" t="n">
        <f aca="false">Q!$O$10</f>
        <v>150.395</v>
      </c>
      <c r="P7052" s="8" t="s">
        <v>661</v>
      </c>
    </row>
    <row r="7053" customFormat="false" ht="17.15" hidden="false" customHeight="false" outlineLevel="0" collapsed="false">
      <c r="A7053" s="0" t="s">
        <v>662</v>
      </c>
      <c r="B7053" s="0" t="s">
        <v>52</v>
      </c>
      <c r="E7053" s="13" t="n">
        <f aca="false">Sens!$E$7052/Sens!$N$7052-1</f>
        <v>0.132843252699929</v>
      </c>
      <c r="F7053" s="13" t="n">
        <f aca="false">Sens!$O$7052/(Q!$F$10+Q!$G$10)-1</f>
        <v>0.0980382135842941</v>
      </c>
      <c r="G7053" s="13" t="n">
        <f aca="false">Sens!$G$7052/Sens!$D$7052-1</f>
        <v>0.0879837378791657</v>
      </c>
      <c r="H7053" s="13" t="n">
        <f aca="false">Sens!$F$7053+(g_os-Sens!$F$7053)*1/4</f>
        <v>0.0860286601882206</v>
      </c>
      <c r="I7053" s="13" t="n">
        <f aca="false">Sens!$F$7053+(g_os-Sens!$F$7053)*2/4</f>
        <v>0.074019106792147</v>
      </c>
      <c r="J7053" s="13" t="n">
        <f aca="false">Sens!$F$7053+(g_os-Sens!$F$7053)*3/4</f>
        <v>0.0620095533960735</v>
      </c>
      <c r="K7053" s="13" t="n">
        <f aca="false">Sens!$F$7053+(g_os-Sens!$F$7053)*4/4</f>
        <v>0.05</v>
      </c>
      <c r="L7053" s="13" t="n">
        <f aca="false">g_os</f>
        <v>0.05</v>
      </c>
      <c r="M7053" s="13" t="n">
        <f aca="false">g_os</f>
        <v>0.05</v>
      </c>
      <c r="P7053" s="8" t="s">
        <v>663</v>
      </c>
    </row>
    <row r="7054" customFormat="false" ht="17.15" hidden="false" customHeight="false" outlineLevel="0" collapsed="false">
      <c r="A7054" s="0" t="s">
        <v>517</v>
      </c>
      <c r="B7054" s="0" t="s">
        <v>86</v>
      </c>
      <c r="C7054" s="38" t="n">
        <f aca="false">Q!$D$11</f>
        <v>21.215</v>
      </c>
      <c r="D7054" s="38" t="n">
        <f aca="false">Q!$E$11</f>
        <v>22.561</v>
      </c>
      <c r="E7054" s="38" t="n">
        <f aca="false">Q!$P$11</f>
        <v>11.579</v>
      </c>
      <c r="F7054" s="38" t="n">
        <f aca="false">Sens!$O$7054*(1+Sens!$F$7055)*Sens!$F$7064</f>
        <v>11.5938724610325</v>
      </c>
      <c r="G7054" s="38" t="n">
        <f aca="false">Sens!$E$7054+Sens!$F$7054</f>
        <v>23.1728724610325</v>
      </c>
      <c r="H7054" s="38" t="n">
        <f aca="false">Sens!$G$7054*(1+Sens!$H$7055)</f>
        <v>24.353392759506</v>
      </c>
      <c r="I7054" s="38" t="n">
        <f aca="false">Sens!$H$7054*(1+Sens!$I$7055)</f>
        <v>25.4240338872015</v>
      </c>
      <c r="J7054" s="38" t="n">
        <f aca="false">Sens!$I$7054*(1+Sens!$J$7055)</f>
        <v>26.3642491017174</v>
      </c>
      <c r="K7054" s="38" t="n">
        <f aca="false">Sens!$J$7054*(1+Sens!$K$7055)</f>
        <v>27.155176574769</v>
      </c>
      <c r="L7054" s="38" t="n">
        <f aca="false">Sens!$K$7054*(1+Sens!$L$7055)</f>
        <v>27.969831872012</v>
      </c>
      <c r="M7054" s="38" t="n">
        <f aca="false">Sens!$L$7054*(1+Sens!$M$7055)</f>
        <v>28.8089268281724</v>
      </c>
      <c r="N7054" s="38" t="n">
        <f aca="false">Q!$N$11</f>
        <v>11.128</v>
      </c>
      <c r="O7054" s="38" t="n">
        <f aca="false">Q!$O$11</f>
        <v>11.433</v>
      </c>
      <c r="P7054" s="8" t="s">
        <v>661</v>
      </c>
    </row>
    <row r="7055" customFormat="false" ht="17.15" hidden="false" customHeight="false" outlineLevel="0" collapsed="false">
      <c r="A7055" s="0" t="s">
        <v>664</v>
      </c>
      <c r="B7055" s="0" t="s">
        <v>52</v>
      </c>
      <c r="E7055" s="13" t="n">
        <f aca="false">Sens!$E$7054/Sens!$N$7054-1</f>
        <v>0.0405283968368082</v>
      </c>
      <c r="F7055" s="13" t="n">
        <f aca="false">Sens!$O$7054/(Q!$F$11+Q!$G$11)-1</f>
        <v>0.0579254187100955</v>
      </c>
      <c r="G7055" s="13" t="n">
        <f aca="false">Sens!$G$7054/Sens!$D$7054-1</f>
        <v>0.0271208040881397</v>
      </c>
      <c r="H7055" s="13" t="n">
        <f aca="false">Sens!$F$7055+(g_ps-Sens!$F$7055)*1/4</f>
        <v>0.0509440640325716</v>
      </c>
      <c r="I7055" s="13" t="n">
        <f aca="false">Sens!$F$7055+(g_ps-Sens!$F$7055)*2/4</f>
        <v>0.0439627093550477</v>
      </c>
      <c r="J7055" s="13" t="n">
        <f aca="false">Sens!$F$7055+(g_ps-Sens!$F$7055)*3/4</f>
        <v>0.0369813546775239</v>
      </c>
      <c r="K7055" s="13" t="n">
        <f aca="false">Sens!$F$7055+(g_ps-Sens!$F$7055)*4/4</f>
        <v>0.03</v>
      </c>
      <c r="L7055" s="13" t="n">
        <f aca="false">g_ps</f>
        <v>0.03</v>
      </c>
      <c r="M7055" s="13" t="n">
        <f aca="false">g_ps</f>
        <v>0.03</v>
      </c>
      <c r="P7055" s="8" t="s">
        <v>665</v>
      </c>
    </row>
    <row r="7056" customFormat="false" ht="17.15" hidden="false" customHeight="false" outlineLevel="0" collapsed="false">
      <c r="A7056" s="0" t="s">
        <v>518</v>
      </c>
      <c r="B7056" s="0" t="s">
        <v>86</v>
      </c>
      <c r="C7056" s="38" t="n">
        <f aca="false">Q!$D$12</f>
        <v>156.146</v>
      </c>
      <c r="D7056" s="38" t="n">
        <f aca="false">Q!$E$12</f>
        <v>172.162</v>
      </c>
      <c r="E7056" s="38" t="n">
        <f aca="false">Q!$P$12</f>
        <v>88.358</v>
      </c>
      <c r="F7056" s="38" t="n">
        <f aca="false">Sens!$O$7056*(1+Sens!$F$7057)*Sens!$F$7064</f>
        <v>102.004388260171</v>
      </c>
      <c r="G7056" s="38" t="n">
        <f aca="false">Sens!$E$7056+Sens!$F$7056</f>
        <v>190.362388260171</v>
      </c>
      <c r="H7056" s="38" t="n">
        <f aca="false">Sens!$G$7056*(1+Sens!$H$7057)</f>
        <v>210.343106588311</v>
      </c>
      <c r="I7056" s="38" t="n">
        <f aca="false">Sens!$H$7056*(1+Sens!$I$7057)</f>
        <v>229.969728494648</v>
      </c>
      <c r="J7056" s="38" t="n">
        <f aca="false">Sens!$I$7056*(1+Sens!$J$7057)</f>
        <v>248.747636972598</v>
      </c>
      <c r="K7056" s="38" t="n">
        <f aca="false">Sens!$J$7056*(1+Sens!$K$7057)</f>
        <v>266.15997156068</v>
      </c>
      <c r="L7056" s="38" t="n">
        <f aca="false">Sens!$K$7056*(1+Sens!$L$7057)</f>
        <v>284.791169569927</v>
      </c>
      <c r="M7056" s="38" t="n">
        <f aca="false">Sens!$L$7056*(1+Sens!$M$7057)</f>
        <v>304.726551439822</v>
      </c>
      <c r="N7056" s="38" t="n">
        <f aca="false">Q!$N$12</f>
        <v>76.86</v>
      </c>
      <c r="O7056" s="38" t="n">
        <f aca="false">Q!$O$12</f>
        <v>95.302</v>
      </c>
      <c r="P7056" s="8" t="s">
        <v>661</v>
      </c>
    </row>
    <row r="7057" customFormat="false" ht="17.15" hidden="false" customHeight="false" outlineLevel="0" collapsed="false">
      <c r="A7057" s="0" t="s">
        <v>666</v>
      </c>
      <c r="B7057" s="0" t="s">
        <v>52</v>
      </c>
      <c r="E7057" s="13" t="n">
        <f aca="false">Sens!$E$7056/Sens!$N$7056-1</f>
        <v>0.1495966692688</v>
      </c>
      <c r="F7057" s="13" t="n">
        <f aca="false">Sens!$O$7056/(Q!$F$12+Q!$G$12)-1</f>
        <v>0.11661530890813</v>
      </c>
      <c r="G7057" s="13" t="n">
        <f aca="false">Sens!$G$7056/Sens!$D$7056-1</f>
        <v>0.105716640490767</v>
      </c>
      <c r="H7057" s="13" t="n">
        <f aca="false">Sens!$F$7057+(g_sp-Sens!$F$7057)*1/4</f>
        <v>0.104961481681098</v>
      </c>
      <c r="I7057" s="13" t="n">
        <f aca="false">Sens!$F$7057+(g_sp-Sens!$F$7057)*2/4</f>
        <v>0.0933076544540651</v>
      </c>
      <c r="J7057" s="13" t="n">
        <f aca="false">Sens!$F$7057+(g_sp-Sens!$F$7057)*3/4</f>
        <v>0.0816538272270325</v>
      </c>
      <c r="K7057" s="13" t="n">
        <f aca="false">Sens!$F$7057+(g_sp-Sens!$F$7057)*4/4</f>
        <v>0.07</v>
      </c>
      <c r="L7057" s="13" t="n">
        <f aca="false">g_sp</f>
        <v>0.07</v>
      </c>
      <c r="M7057" s="13" t="n">
        <f aca="false">g_sp</f>
        <v>0.07</v>
      </c>
      <c r="P7057" s="8" t="s">
        <v>667</v>
      </c>
    </row>
    <row r="7058" customFormat="false" ht="17.15" hidden="false" customHeight="false" outlineLevel="0" collapsed="false">
      <c r="A7058" s="0" t="s">
        <v>519</v>
      </c>
      <c r="B7058" s="0" t="s">
        <v>86</v>
      </c>
      <c r="C7058" s="38" t="n">
        <f aca="false">Q!$D$13</f>
        <v>56.214</v>
      </c>
      <c r="D7058" s="38" t="n">
        <f aca="false">Q!$E$13</f>
        <v>68.635</v>
      </c>
      <c r="E7058" s="38" t="n">
        <f aca="false">Q!$P$13</f>
        <v>37.052</v>
      </c>
      <c r="F7058" s="38" t="n">
        <f aca="false">Sens!$O$7058*(1+Sens!$F$7059)*Sens!$F$7064</f>
        <v>46.1572219944148</v>
      </c>
      <c r="G7058" s="38" t="n">
        <f aca="false">Sens!$E$7058+Sens!$F$7058</f>
        <v>83.2092219944148</v>
      </c>
      <c r="H7058" s="38" t="n">
        <f aca="false">Sens!$G$7058*(1+Sens!$H$7059)</f>
        <v>99.8969223878976</v>
      </c>
      <c r="I7058" s="38" t="n">
        <f aca="false">Sens!$H$7058*(1+Sens!$I$7059)</f>
        <v>116.583111095496</v>
      </c>
      <c r="J7058" s="38" t="n">
        <f aca="false">Sens!$I$7058*(1+Sens!$J$7059)</f>
        <v>132.148941941952</v>
      </c>
      <c r="K7058" s="38" t="n">
        <f aca="false">Sens!$J$7058*(1+Sens!$K$7059)</f>
        <v>145.363836136147</v>
      </c>
      <c r="L7058" s="38" t="n">
        <f aca="false">Sens!$K$7058*(1+Sens!$L$7059)</f>
        <v>159.900219749762</v>
      </c>
      <c r="M7058" s="38" t="n">
        <f aca="false">Sens!$L$7058*(1+Sens!$M$7059)</f>
        <v>175.890241724738</v>
      </c>
      <c r="N7058" s="38" t="n">
        <f aca="false">Q!$N$13</f>
        <v>29.615</v>
      </c>
      <c r="O7058" s="38" t="n">
        <f aca="false">Q!$O$13</f>
        <v>39.02</v>
      </c>
      <c r="P7058" s="8" t="s">
        <v>661</v>
      </c>
    </row>
    <row r="7059" customFormat="false" ht="17.15" hidden="false" customHeight="false" outlineLevel="0" collapsed="false">
      <c r="A7059" s="0" t="s">
        <v>668</v>
      </c>
      <c r="B7059" s="0" t="s">
        <v>52</v>
      </c>
      <c r="E7059" s="13" t="n">
        <f aca="false">Sens!$E$7058/Sens!$N$7058-1</f>
        <v>0.25112274185379</v>
      </c>
      <c r="F7059" s="13" t="n">
        <f aca="false">Sens!$O$7058/(Q!$F$13+Q!$G$13)-1</f>
        <v>0.234068123596572</v>
      </c>
      <c r="G7059" s="13" t="n">
        <f aca="false">Sens!$G$7058/Sens!$D$7058-1</f>
        <v>0.212343876949294</v>
      </c>
      <c r="H7059" s="13" t="n">
        <f aca="false">Sens!$F$7059+(g_ad-Sens!$F$7059)*1/4</f>
        <v>0.200551092697429</v>
      </c>
      <c r="I7059" s="13" t="n">
        <f aca="false">Sens!$F$7059+(g_ad-Sens!$F$7059)*2/4</f>
        <v>0.167034061798286</v>
      </c>
      <c r="J7059" s="13" t="n">
        <f aca="false">Sens!$F$7059+(g_ad-Sens!$F$7059)*3/4</f>
        <v>0.133517030899143</v>
      </c>
      <c r="K7059" s="13" t="n">
        <f aca="false">Sens!$F$7059+(g_ad-Sens!$F$7059)*4/4</f>
        <v>0.1</v>
      </c>
      <c r="L7059" s="13" t="n">
        <f aca="false">g_ad</f>
        <v>0.1</v>
      </c>
      <c r="M7059" s="13" t="n">
        <f aca="false">g_ad</f>
        <v>0.1</v>
      </c>
      <c r="P7059" s="8" t="s">
        <v>669</v>
      </c>
    </row>
    <row r="7060" customFormat="false" ht="17.15" hidden="false" customHeight="false" outlineLevel="0" collapsed="false">
      <c r="A7060" s="0" t="s">
        <v>520</v>
      </c>
      <c r="B7060" s="0" t="s">
        <v>86</v>
      </c>
      <c r="C7060" s="38" t="n">
        <f aca="false">Q!$D$14</f>
        <v>44.374</v>
      </c>
      <c r="D7060" s="38" t="n">
        <f aca="false">Q!$E$14</f>
        <v>49.619</v>
      </c>
      <c r="E7060" s="38" t="n">
        <f aca="false">Q!$P$14</f>
        <v>27.157</v>
      </c>
      <c r="F7060" s="38" t="n">
        <f aca="false">Sens!$O$7060*(1+Sens!$F$7061)*Sens!$F$7064</f>
        <v>27.7764165988154</v>
      </c>
      <c r="G7060" s="38" t="n">
        <f aca="false">Sens!$E$7060+Sens!$F$7060</f>
        <v>54.9334165988154</v>
      </c>
      <c r="H7060" s="38" t="n">
        <f aca="false">Sens!$G$7060*(1+Sens!$H$7061)</f>
        <v>61.1564112561829</v>
      </c>
      <c r="I7060" s="38" t="n">
        <f aca="false">Sens!$H$7060*(1+Sens!$I$7061)</f>
        <v>67.2020282103945</v>
      </c>
      <c r="J7060" s="38" t="n">
        <f aca="false">Sens!$I$7060*(1+Sens!$J$7061)</f>
        <v>72.8757274028885</v>
      </c>
      <c r="K7060" s="38" t="n">
        <f aca="false">Sens!$J$7060*(1+Sens!$K$7061)</f>
        <v>77.9770283210907</v>
      </c>
      <c r="L7060" s="38" t="n">
        <f aca="false">Sens!$K$7060*(1+Sens!$L$7061)</f>
        <v>83.4354203035671</v>
      </c>
      <c r="M7060" s="38" t="n">
        <f aca="false">Sens!$L$7060*(1+Sens!$M$7061)</f>
        <v>89.2758997248168</v>
      </c>
      <c r="N7060" s="38" t="n">
        <f aca="false">Q!$N$14</f>
        <v>23.923</v>
      </c>
      <c r="O7060" s="38" t="n">
        <f aca="false">Q!$O$14</f>
        <v>25.696</v>
      </c>
      <c r="P7060" s="8" t="s">
        <v>661</v>
      </c>
    </row>
    <row r="7061" customFormat="false" ht="17.15" hidden="false" customHeight="false" outlineLevel="0" collapsed="false">
      <c r="A7061" s="0" t="s">
        <v>670</v>
      </c>
      <c r="B7061" s="0" t="s">
        <v>52</v>
      </c>
      <c r="E7061" s="13" t="n">
        <f aca="false">Sens!$E$7060/Sens!$N$7060-1</f>
        <v>0.135183714417088</v>
      </c>
      <c r="F7061" s="13" t="n">
        <f aca="false">Sens!$O$7060/(Q!$F$14+Q!$G$14)-1</f>
        <v>0.127709997366804</v>
      </c>
      <c r="G7061" s="13" t="n">
        <f aca="false">Sens!$G$7060/Sens!$D$7060-1</f>
        <v>0.107104468022641</v>
      </c>
      <c r="H7061" s="13" t="n">
        <f aca="false">Sens!$F$7061+(g_sub-Sens!$F$7061)*1/4</f>
        <v>0.113282498025103</v>
      </c>
      <c r="I7061" s="13" t="n">
        <f aca="false">Sens!$F$7061+(g_sub-Sens!$F$7061)*2/4</f>
        <v>0.0988549986834021</v>
      </c>
      <c r="J7061" s="13" t="n">
        <f aca="false">Sens!$F$7061+(g_sub-Sens!$F$7061)*3/4</f>
        <v>0.084427499341701</v>
      </c>
      <c r="K7061" s="13" t="n">
        <f aca="false">Sens!$F$7061+(g_sub-Sens!$F$7061)*4/4</f>
        <v>0.07</v>
      </c>
      <c r="L7061" s="13" t="n">
        <f aca="false">g_sub</f>
        <v>0.07</v>
      </c>
      <c r="M7061" s="13" t="n">
        <f aca="false">g_sub</f>
        <v>0.07</v>
      </c>
      <c r="P7061" s="8" t="s">
        <v>671</v>
      </c>
    </row>
    <row r="7062" customFormat="false" ht="17.15" hidden="false" customHeight="false" outlineLevel="0" collapsed="false">
      <c r="A7062" s="0" t="s">
        <v>521</v>
      </c>
      <c r="B7062" s="0" t="s">
        <v>86</v>
      </c>
      <c r="C7062" s="38" t="n">
        <f aca="false">Q!$D$15</f>
        <v>5.425</v>
      </c>
      <c r="D7062" s="38" t="n">
        <f aca="false">Q!$E$15</f>
        <v>5.935</v>
      </c>
      <c r="E7062" s="38" t="n">
        <f aca="false">Q!$P$15</f>
        <v>3.474</v>
      </c>
      <c r="F7062" s="38" t="n">
        <f aca="false">Sens!$O$7062*(1+Sens!$F$7063)*Sens!$F$7064</f>
        <v>3.22246550883619</v>
      </c>
      <c r="G7062" s="38" t="n">
        <f aca="false">Sens!$E$7062+Sens!$F$7062</f>
        <v>6.69646550883619</v>
      </c>
      <c r="H7062" s="38" t="n">
        <f aca="false">Sens!$G$7062*(1+Sens!$H$7063)</f>
        <v>7.16251344209196</v>
      </c>
      <c r="I7062" s="38" t="n">
        <f aca="false">Sens!$H$7062*(1+Sens!$I$7063)</f>
        <v>7.61421070299826</v>
      </c>
      <c r="J7062" s="38" t="n">
        <f aca="false">Sens!$I$7062*(1+Sens!$J$7063)</f>
        <v>8.04465753523932</v>
      </c>
      <c r="K7062" s="38" t="n">
        <f aca="false">Sens!$J$7062*(1+Sens!$K$7063)</f>
        <v>8.44689041200128</v>
      </c>
      <c r="L7062" s="38" t="n">
        <f aca="false">Sens!$K$7062*(1+Sens!$L$7063)</f>
        <v>8.86923493260135</v>
      </c>
      <c r="M7062" s="38" t="n">
        <f aca="false">Sens!$L$7062*(1+Sens!$M$7063)</f>
        <v>9.31269667923142</v>
      </c>
      <c r="N7062" s="38" t="n">
        <f aca="false">Q!$N$15</f>
        <v>2.811</v>
      </c>
      <c r="O7062" s="38" t="n">
        <f aca="false">Q!$O$15</f>
        <v>3.124</v>
      </c>
      <c r="P7062" s="8" t="s">
        <v>661</v>
      </c>
    </row>
    <row r="7063" customFormat="false" ht="17.15" hidden="false" customHeight="false" outlineLevel="0" collapsed="false">
      <c r="A7063" s="0" t="s">
        <v>672</v>
      </c>
      <c r="B7063" s="0" t="s">
        <v>52</v>
      </c>
      <c r="E7063" s="13" t="n">
        <f aca="false">Sens!$E$7062/Sens!$N$7062-1</f>
        <v>0.235859124866596</v>
      </c>
      <c r="F7063" s="13" t="n">
        <f aca="false">Sens!$O$7062/(Q!$F$15+Q!$G$15)-1</f>
        <v>0.0761281433000345</v>
      </c>
      <c r="G7063" s="13" t="n">
        <f aca="false">Sens!$G$7062/Sens!$D$7062-1</f>
        <v>0.128300843948811</v>
      </c>
      <c r="H7063" s="13" t="n">
        <f aca="false">Sens!$F$7063+(g_ot-Sens!$F$7063)*1/4</f>
        <v>0.0695961074750259</v>
      </c>
      <c r="I7063" s="13" t="n">
        <f aca="false">Sens!$F$7063+(g_ot-Sens!$F$7063)*2/4</f>
        <v>0.0630640716500172</v>
      </c>
      <c r="J7063" s="13" t="n">
        <f aca="false">Sens!$F$7063+(g_ot-Sens!$F$7063)*3/4</f>
        <v>0.0565320358250086</v>
      </c>
      <c r="K7063" s="13" t="n">
        <f aca="false">Sens!$F$7063+(g_ot-Sens!$F$7063)*4/4</f>
        <v>0.05</v>
      </c>
      <c r="L7063" s="13" t="n">
        <f aca="false">g_ot</f>
        <v>0.05</v>
      </c>
      <c r="M7063" s="13" t="n">
        <f aca="false">g_ot</f>
        <v>0.05</v>
      </c>
      <c r="P7063" s="8" t="s">
        <v>673</v>
      </c>
    </row>
    <row r="7064" customFormat="false" ht="17.15" hidden="false" customHeight="false" outlineLevel="0" collapsed="false">
      <c r="A7064" s="0" t="s">
        <v>674</v>
      </c>
      <c r="B7064" s="0" t="s">
        <v>57</v>
      </c>
      <c r="F7064" s="40" t="n">
        <f aca="false">(g26q3_mid*Q!$O$8/Q!$J$8-Sens!$F$7093-Sens!$F$7097)/(Sens!$O$7052*(1+Sens!$F$7053)+Sens!$O$7054*(1+Sens!$F$7055)+Sens!$O$7056*(1+Sens!$F$7057)+Sens!$O$7058*(1+Sens!$F$7059)+Sens!$O$7060*(1+Sens!$F$7061)+Sens!$O$7062*(1+Sens!$F$7063))</f>
        <v>0.958546670622329</v>
      </c>
      <c r="P7064" s="8" t="s">
        <v>675</v>
      </c>
    </row>
    <row r="7065" customFormat="false" ht="17.15" hidden="false" customHeight="false" outlineLevel="0" collapsed="false">
      <c r="A7065" s="3" t="s">
        <v>676</v>
      </c>
      <c r="B7065" s="8" t="s">
        <v>86</v>
      </c>
      <c r="C7065" s="38" t="n">
        <f aca="false">Sens!$C$7052+Sens!$C$7054+Sens!$C$7056+Sens!$C$7058+Sens!$C$7060+Sens!$C$7062</f>
        <v>530.403</v>
      </c>
      <c r="D7065" s="38" t="n">
        <f aca="false">Sens!$D$7052+Sens!$D$7054+Sens!$D$7056+Sens!$D$7058+Sens!$D$7060+Sens!$D$7062</f>
        <v>588.199</v>
      </c>
      <c r="E7065" s="38" t="n">
        <f aca="false">Sens!$E$7052+Sens!$E$7054+Sens!$E$7056+Sens!$E$7058+Sens!$E$7060+Sens!$E$7062</f>
        <v>302.306</v>
      </c>
      <c r="F7065" s="38" t="n">
        <f aca="false">Sens!$F$7052+Sens!$F$7054+Sens!$F$7056+Sens!$F$7058+Sens!$F$7060+Sens!$F$7062</f>
        <v>349.048241645537</v>
      </c>
      <c r="G7065" s="38" t="n">
        <f aca="false">Sens!$G$7052+Sens!$G$7054+Sens!$G$7056+Sens!$G$7058+Sens!$G$7060+Sens!$G$7062</f>
        <v>651.354241645537</v>
      </c>
      <c r="H7065" s="38" t="n">
        <f aca="false">Sens!$H$7052+Sens!$H$7054+Sens!$H$7056+Sens!$H$7058+Sens!$H$7060+Sens!$H$7062</f>
        <v>721.096889521386</v>
      </c>
      <c r="I7065" s="38" t="n">
        <f aca="false">Sens!$I$7052+Sens!$I$7054+Sens!$I$7056+Sens!$I$7058+Sens!$I$7060+Sens!$I$7062</f>
        <v>788.529391152531</v>
      </c>
      <c r="J7065" s="38" t="n">
        <f aca="false">Sens!$J$7052+Sens!$J$7054+Sens!$J$7056+Sens!$J$7058+Sens!$J$7060+Sens!$J$7062</f>
        <v>851.108405741443</v>
      </c>
      <c r="K7065" s="38" t="n">
        <f aca="false">Sens!$K$7052+Sens!$K$7054+Sens!$K$7056+Sens!$K$7058+Sens!$K$7060+Sens!$K$7062</f>
        <v>906.176455431088</v>
      </c>
      <c r="L7065" s="38" t="n">
        <f aca="false">Sens!$L$7052+Sens!$L$7054+Sens!$L$7056+Sens!$L$7058+Sens!$L$7060+Sens!$L$7062</f>
        <v>965.093106475589</v>
      </c>
      <c r="M7065" s="38" t="n">
        <f aca="false">Sens!$M$7052+Sens!$M$7054+Sens!$M$7056+Sens!$M$7058+Sens!$M$7060+Sens!$M$7062</f>
        <v>1028.14790794689</v>
      </c>
      <c r="N7065" s="38" t="n">
        <f aca="false">Sens!$N$7052+Sens!$N$7054+Sens!$N$7056+Sens!$N$7058+Sens!$N$7060+Sens!$N$7062</f>
        <v>263.229</v>
      </c>
      <c r="O7065" s="38" t="n">
        <f aca="false">Sens!$O$7052+Sens!$O$7054+Sens!$O$7056+Sens!$O$7058+Sens!$O$7060+Sens!$O$7062</f>
        <v>324.97</v>
      </c>
    </row>
    <row r="7066" customFormat="false" ht="17.15" hidden="false" customHeight="false" outlineLevel="0" collapsed="false">
      <c r="A7066" s="5" t="s">
        <v>677</v>
      </c>
      <c r="B7066" s="0" t="s">
        <v>52</v>
      </c>
      <c r="C7066" s="13" t="n">
        <f aca="false">Q!$D$5/(Q!$D$5+Q!$D$6)</f>
        <v>0.730570905519011</v>
      </c>
      <c r="D7066" s="13" t="n">
        <f aca="false">Q!$E$5/(Q!$E$5+Q!$E$6)</f>
        <v>0.724763217890544</v>
      </c>
      <c r="E7066" s="13" t="n">
        <f aca="false">Q!$P$5/(Q!$P$5+Q!$P$6)</f>
        <v>0.728797972914861</v>
      </c>
      <c r="F7066" s="13" t="n">
        <f aca="false">Sens!$O$7066</f>
        <v>0.718066283041511</v>
      </c>
      <c r="G7066" s="13" t="n">
        <f aca="false">Sens!$G$7067/Sens!$G$7065</f>
        <v>0.723047066202847</v>
      </c>
      <c r="H7066" s="13" t="n">
        <f aca="false">Sens!$G$7066</f>
        <v>0.723047066202847</v>
      </c>
      <c r="I7066" s="13" t="n">
        <f aca="false">Sens!$G$7066</f>
        <v>0.723047066202847</v>
      </c>
      <c r="J7066" s="13" t="n">
        <f aca="false">Sens!$G$7066</f>
        <v>0.723047066202847</v>
      </c>
      <c r="K7066" s="13" t="n">
        <f aca="false">Sens!$G$7066</f>
        <v>0.723047066202847</v>
      </c>
      <c r="L7066" s="13" t="n">
        <f aca="false">Sens!$G$7066</f>
        <v>0.723047066202847</v>
      </c>
      <c r="M7066" s="13" t="n">
        <f aca="false">Sens!$G$7066</f>
        <v>0.723047066202847</v>
      </c>
      <c r="N7066" s="13" t="n">
        <f aca="false">Q!$N$5/(Q!$N$5+Q!$N$6)</f>
        <v>0.733030935041352</v>
      </c>
      <c r="O7066" s="13" t="n">
        <f aca="false">Q!$O$5/(Q!$O$5+Q!$O$6)</f>
        <v>0.718066283041511</v>
      </c>
      <c r="P7066" s="8" t="s">
        <v>678</v>
      </c>
    </row>
    <row r="7067" customFormat="false" ht="17.15" hidden="false" customHeight="false" outlineLevel="0" collapsed="false">
      <c r="A7067" s="1" t="s">
        <v>509</v>
      </c>
      <c r="B7067" s="8" t="s">
        <v>86</v>
      </c>
      <c r="C7067" s="38" t="n">
        <f aca="false">Q!$D$5</f>
        <v>387.497</v>
      </c>
      <c r="D7067" s="38" t="n">
        <f aca="false">Q!$E$5</f>
        <v>426.305</v>
      </c>
      <c r="E7067" s="38" t="n">
        <f aca="false">Q!$P$5</f>
        <v>220.32</v>
      </c>
      <c r="F7067" s="38" t="n">
        <f aca="false">Sens!$F$7065*Sens!$F$7066</f>
        <v>250.639773480586</v>
      </c>
      <c r="G7067" s="38" t="n">
        <f aca="false">Sens!$E$7067+Sens!$F$7067</f>
        <v>470.959773480586</v>
      </c>
      <c r="H7067" s="38" t="n">
        <f aca="false">Sens!$H$7065*Sens!$H$7066</f>
        <v>521.386990416437</v>
      </c>
      <c r="I7067" s="38" t="n">
        <f aca="false">Sens!$I$7065*Sens!$I$7066</f>
        <v>570.143862887555</v>
      </c>
      <c r="J7067" s="38" t="n">
        <f aca="false">Sens!$J$7065*Sens!$J$7066</f>
        <v>615.391435791933</v>
      </c>
      <c r="K7067" s="38" t="n">
        <f aca="false">Sens!$K$7065*Sens!$K$7066</f>
        <v>655.208227561543</v>
      </c>
      <c r="L7067" s="38" t="n">
        <f aca="false">Sens!$L$7065*Sens!$L$7066</f>
        <v>697.807739249767</v>
      </c>
      <c r="M7067" s="38" t="n">
        <f aca="false">Sens!$M$7065*Sens!$M$7066</f>
        <v>743.399328463592</v>
      </c>
      <c r="N7067" s="38" t="n">
        <f aca="false">Q!$N$5</f>
        <v>192.955</v>
      </c>
      <c r="O7067" s="38" t="n">
        <f aca="false">Q!$O$5</f>
        <v>233.35</v>
      </c>
      <c r="P7067" s="5" t="s">
        <v>679</v>
      </c>
    </row>
    <row r="7068" customFormat="false" ht="17.15" hidden="false" customHeight="false" outlineLevel="0" collapsed="false">
      <c r="A7068" s="1" t="s">
        <v>512</v>
      </c>
      <c r="B7068" s="8" t="s">
        <v>86</v>
      </c>
      <c r="C7068" s="38" t="n">
        <f aca="false">Q!$D$6</f>
        <v>142.906</v>
      </c>
      <c r="D7068" s="38" t="n">
        <f aca="false">Q!$E$6</f>
        <v>161.894</v>
      </c>
      <c r="E7068" s="38" t="n">
        <f aca="false">Q!$P$6</f>
        <v>81.986</v>
      </c>
      <c r="F7068" s="38" t="n">
        <f aca="false">Sens!$F$7065*(1-Sens!$F$7066)</f>
        <v>98.408468164951</v>
      </c>
      <c r="G7068" s="38" t="n">
        <f aca="false">Sens!$E$7068+Sens!$F$7068</f>
        <v>180.394468164951</v>
      </c>
      <c r="H7068" s="38" t="n">
        <f aca="false">Sens!$H$7065*(1-Sens!$H$7066)</f>
        <v>199.709899104949</v>
      </c>
      <c r="I7068" s="38" t="n">
        <f aca="false">Sens!$I$7065*(1-Sens!$I$7066)</f>
        <v>218.385528264976</v>
      </c>
      <c r="J7068" s="38" t="n">
        <f aca="false">Sens!$J$7065*(1-Sens!$J$7066)</f>
        <v>235.71696994951</v>
      </c>
      <c r="K7068" s="38" t="n">
        <f aca="false">Sens!$K$7065*(1-Sens!$K$7066)</f>
        <v>250.968227869545</v>
      </c>
      <c r="L7068" s="38" t="n">
        <f aca="false">Sens!$L$7065*(1-Sens!$L$7066)</f>
        <v>267.285367225822</v>
      </c>
      <c r="M7068" s="38" t="n">
        <f aca="false">Sens!$M$7065*(1-Sens!$M$7066)</f>
        <v>284.748579483295</v>
      </c>
      <c r="N7068" s="38" t="n">
        <f aca="false">Q!$N$6</f>
        <v>70.274</v>
      </c>
      <c r="O7068" s="38" t="n">
        <f aca="false">Q!$O$6</f>
        <v>91.62</v>
      </c>
      <c r="P7068" s="5" t="s">
        <v>680</v>
      </c>
    </row>
    <row r="7069" customFormat="false" ht="17.15" hidden="false" customHeight="false" outlineLevel="0" collapsed="false">
      <c r="A7069" s="5" t="s">
        <v>681</v>
      </c>
      <c r="B7069" s="0" t="s">
        <v>86</v>
      </c>
      <c r="C7069" s="38" t="n">
        <f aca="false">Sens!$C$7058*Sens!$C$7066</f>
        <v>41.0683128828457</v>
      </c>
      <c r="D7069" s="38" t="n">
        <f aca="false">Sens!$D$7058*Sens!$D$7066</f>
        <v>49.7441234599175</v>
      </c>
      <c r="E7069" s="38" t="n">
        <f aca="false">Sens!$E$7058*Sens!$E$7066</f>
        <v>27.0034224924414</v>
      </c>
      <c r="F7069" s="38" t="n">
        <f aca="false">Sens!$F$7058*Sens!$F$7066</f>
        <v>33.1439448330513</v>
      </c>
      <c r="G7069" s="38" t="n">
        <f aca="false">Sens!$G$7058*Sens!$G$7066</f>
        <v>60.164183844083</v>
      </c>
      <c r="H7069" s="38" t="n">
        <f aca="false">Sens!$H$7058*Sens!$H$7066</f>
        <v>72.2301766552629</v>
      </c>
      <c r="I7069" s="38" t="n">
        <f aca="false">Sens!$I$7058*Sens!$I$7066</f>
        <v>84.2950764463991</v>
      </c>
      <c r="J7069" s="38" t="n">
        <f aca="false">Sens!$J$7058*Sens!$J$7066</f>
        <v>95.5499047729386</v>
      </c>
      <c r="K7069" s="38" t="n">
        <f aca="false">Sens!$K$7058*Sens!$K$7066</f>
        <v>105.104895250232</v>
      </c>
      <c r="L7069" s="38" t="n">
        <f aca="false">Sens!$L$7058*Sens!$L$7066</f>
        <v>115.615384775256</v>
      </c>
      <c r="M7069" s="38" t="n">
        <f aca="false">Sens!$M$7058*Sens!$M$7066</f>
        <v>127.176923252781</v>
      </c>
      <c r="N7069" s="38" t="n">
        <f aca="false">Sens!$N$7058*Sens!$N$7066</f>
        <v>21.7087111412496</v>
      </c>
      <c r="O7069" s="38" t="n">
        <f aca="false">Sens!$O$7058*Sens!$O$7066</f>
        <v>28.0189463642798</v>
      </c>
      <c r="P7069" s="5" t="s">
        <v>682</v>
      </c>
    </row>
    <row r="7070" customFormat="false" ht="15" hidden="false" customHeight="false" outlineLevel="0" collapsed="false">
      <c r="A7070" s="5" t="s">
        <v>683</v>
      </c>
      <c r="B7070" s="0" t="s">
        <v>86</v>
      </c>
      <c r="C7070" s="38" t="n">
        <f aca="false">Sens!$C$7058-Sens!$C$7069</f>
        <v>15.1456871171543</v>
      </c>
      <c r="D7070" s="38" t="n">
        <f aca="false">Sens!$D$7058-Sens!$D$7069</f>
        <v>18.8908765400825</v>
      </c>
      <c r="E7070" s="38" t="n">
        <f aca="false">Sens!$E$7058-Sens!$E$7069</f>
        <v>10.0485775075586</v>
      </c>
      <c r="F7070" s="38" t="n">
        <f aca="false">Sens!$F$7058-Sens!$F$7069</f>
        <v>13.0132771613635</v>
      </c>
      <c r="G7070" s="38" t="n">
        <f aca="false">Sens!$G$7058-Sens!$G$7069</f>
        <v>23.0450381503318</v>
      </c>
      <c r="H7070" s="38" t="n">
        <f aca="false">Sens!$H$7058-Sens!$H$7069</f>
        <v>27.6667457326347</v>
      </c>
      <c r="I7070" s="38" t="n">
        <f aca="false">Sens!$I$7058-Sens!$I$7069</f>
        <v>32.2880346490971</v>
      </c>
      <c r="J7070" s="38" t="n">
        <f aca="false">Sens!$J$7058-Sens!$J$7069</f>
        <v>36.5990371690132</v>
      </c>
      <c r="K7070" s="38" t="n">
        <f aca="false">Sens!$K$7058-Sens!$K$7069</f>
        <v>40.2589408859145</v>
      </c>
      <c r="L7070" s="38" t="n">
        <f aca="false">Sens!$L$7058-Sens!$L$7069</f>
        <v>44.2848349745059</v>
      </c>
      <c r="M7070" s="38" t="n">
        <f aca="false">Sens!$M$7058-Sens!$M$7069</f>
        <v>48.7133184719565</v>
      </c>
      <c r="N7070" s="38" t="n">
        <f aca="false">Sens!$N$7058-Sens!$N$7069</f>
        <v>7.90628885875037</v>
      </c>
      <c r="O7070" s="38" t="n">
        <f aca="false">Sens!$O$7058-Sens!$O$7069</f>
        <v>11.0010536357202</v>
      </c>
    </row>
    <row r="7071" customFormat="false" ht="19.4" hidden="false" customHeight="false" outlineLevel="0" collapsed="false">
      <c r="A7071" s="31" t="s">
        <v>1273</v>
      </c>
    </row>
    <row r="7072" customFormat="false" ht="17.15" hidden="false" customHeight="false" outlineLevel="0" collapsed="false">
      <c r="A7072" s="6" t="s">
        <v>16</v>
      </c>
      <c r="B7072" s="6" t="s">
        <v>17</v>
      </c>
      <c r="C7072" s="20" t="s">
        <v>494</v>
      </c>
      <c r="D7072" s="20" t="s">
        <v>495</v>
      </c>
      <c r="E7072" s="20" t="s">
        <v>577</v>
      </c>
      <c r="F7072" s="20" t="s">
        <v>578</v>
      </c>
      <c r="G7072" s="20" t="s">
        <v>579</v>
      </c>
      <c r="H7072" s="20" t="s">
        <v>580</v>
      </c>
      <c r="I7072" s="20" t="s">
        <v>581</v>
      </c>
      <c r="J7072" s="20" t="s">
        <v>582</v>
      </c>
      <c r="K7072" s="20" t="s">
        <v>583</v>
      </c>
      <c r="L7072" s="20" t="s">
        <v>584</v>
      </c>
      <c r="M7072" s="20" t="s">
        <v>585</v>
      </c>
      <c r="N7072" s="20" t="s">
        <v>586</v>
      </c>
      <c r="O7072" s="20" t="s">
        <v>587</v>
      </c>
      <c r="P7072" s="6" t="s">
        <v>23</v>
      </c>
      <c r="R7072" s="20" t="n">
        <v>2023</v>
      </c>
      <c r="S7072" s="20" t="n">
        <v>2024</v>
      </c>
      <c r="T7072" s="20" t="n">
        <v>2025</v>
      </c>
      <c r="U7072" s="20" t="n">
        <v>2026</v>
      </c>
      <c r="V7072" s="20" t="n">
        <v>2027</v>
      </c>
      <c r="W7072" s="20" t="n">
        <v>2028</v>
      </c>
      <c r="X7072" s="20" t="n">
        <v>2029</v>
      </c>
      <c r="Y7072" s="20" t="n">
        <v>2030</v>
      </c>
      <c r="Z7072" s="20" t="n">
        <v>2031</v>
      </c>
      <c r="AA7072" s="20" t="n">
        <v>2032</v>
      </c>
    </row>
    <row r="7073" customFormat="false" ht="17.15" hidden="false" customHeight="false" outlineLevel="0" collapsed="false">
      <c r="A7073" s="1" t="s">
        <v>588</v>
      </c>
    </row>
    <row r="7074" customFormat="false" ht="17.15" hidden="false" customHeight="false" outlineLevel="0" collapsed="false">
      <c r="A7074" s="5" t="s">
        <v>589</v>
      </c>
      <c r="B7074" s="0" t="s">
        <v>144</v>
      </c>
      <c r="H7074" s="32" t="n">
        <f aca="false">pace_B</f>
        <v>3634.3</v>
      </c>
      <c r="I7074" s="32" t="n">
        <f aca="false">pace_B</f>
        <v>3634.3</v>
      </c>
      <c r="J7074" s="32" t="n">
        <f aca="false">pace_B</f>
        <v>3634.3</v>
      </c>
      <c r="K7074" s="32" t="n">
        <f aca="false">pace_B+(Sens!$J$7075*tg-pace_B)*1/3</f>
        <v>2570.86716666667</v>
      </c>
      <c r="L7074" s="32" t="n">
        <f aca="false">pace_B+(Sens!$J$7075*tg-pace_B)*2/3</f>
        <v>1507.43433333333</v>
      </c>
      <c r="M7074" s="32" t="n">
        <f aca="false">pace_B+(Sens!$J$7075*tg-pace_B)*3/3</f>
        <v>444.0015</v>
      </c>
      <c r="P7074" s="5" t="s">
        <v>590</v>
      </c>
    </row>
    <row r="7075" customFormat="false" ht="17.15" hidden="false" customHeight="false" outlineLevel="0" collapsed="false">
      <c r="A7075" s="15" t="s">
        <v>591</v>
      </c>
      <c r="B7075" s="14" t="s">
        <v>129</v>
      </c>
      <c r="C7075" s="33" t="n">
        <f aca="false">mw_ye24</f>
        <v>360</v>
      </c>
      <c r="D7075" s="33" t="n">
        <f aca="false">mw_ye25</f>
        <v>1440</v>
      </c>
      <c r="E7075" s="33" t="n">
        <f aca="false">mw_open</f>
        <v>2080</v>
      </c>
      <c r="F7075" s="33" t="n">
        <f aca="false">Sens!$E$7075+pace_B*0.5</f>
        <v>3897.15</v>
      </c>
      <c r="G7075" s="33" t="n">
        <f aca="false">Sens!$F$7075</f>
        <v>3897.15</v>
      </c>
      <c r="H7075" s="33" t="n">
        <f aca="false">Sens!$G$7075+Sens!$H$7074</f>
        <v>7531.45</v>
      </c>
      <c r="I7075" s="33" t="n">
        <f aca="false">Sens!$H$7075+Sens!$I$7074</f>
        <v>11165.75</v>
      </c>
      <c r="J7075" s="33" t="n">
        <f aca="false">Sens!$I$7075+Sens!$J$7074</f>
        <v>14800.05</v>
      </c>
      <c r="K7075" s="33" t="n">
        <f aca="false">Sens!$J$7075+Sens!$K$7074</f>
        <v>17370.9171666667</v>
      </c>
      <c r="L7075" s="33" t="n">
        <f aca="false">Sens!$K$7075+Sens!$L$7074</f>
        <v>18878.3515</v>
      </c>
      <c r="M7075" s="33" t="n">
        <f aca="false">Sens!$L$7075+Sens!$M$7074</f>
        <v>19322.353</v>
      </c>
      <c r="N7075" s="33" t="n">
        <f aca="false">(mw_ye24+mw_ye25)/2</f>
        <v>900</v>
      </c>
      <c r="O7075" s="33" t="n">
        <f aca="false">mw_ye25</f>
        <v>1440</v>
      </c>
      <c r="P7075" s="5" t="s">
        <v>592</v>
      </c>
    </row>
    <row r="7076" customFormat="false" ht="17.15" hidden="false" customHeight="false" outlineLevel="0" collapsed="false">
      <c r="A7076" s="5" t="s">
        <v>593</v>
      </c>
      <c r="B7076" s="0" t="s">
        <v>129</v>
      </c>
      <c r="C7076" s="32" t="n">
        <f aca="false">(mw_ye23+mw_ye24)/2</f>
        <v>240</v>
      </c>
      <c r="D7076" s="32" t="n">
        <f aca="false">(Sens!$C$7075+Sens!$D$7075)/2</f>
        <v>900</v>
      </c>
      <c r="E7076" s="32" t="n">
        <f aca="false">(Sens!$D$7075+Sens!$E$7075)/2</f>
        <v>1760</v>
      </c>
      <c r="F7076" s="32" t="n">
        <f aca="false">(Sens!$E$7075+Sens!$F$7075)/2</f>
        <v>2988.575</v>
      </c>
      <c r="G7076" s="32" t="n">
        <f aca="false">(Sens!$E$7076+Sens!$F$7076)/2</f>
        <v>2374.2875</v>
      </c>
      <c r="H7076" s="32" t="n">
        <f aca="false">(Sens!$G$7075+Sens!$H$7075)/2</f>
        <v>5714.3</v>
      </c>
      <c r="I7076" s="32" t="n">
        <f aca="false">(Sens!$H$7075+Sens!$I$7075)/2</f>
        <v>9348.6</v>
      </c>
      <c r="J7076" s="32" t="n">
        <f aca="false">(Sens!$I$7075+Sens!$J$7075)/2</f>
        <v>12982.9</v>
      </c>
      <c r="K7076" s="32" t="n">
        <f aca="false">(Sens!$J$7075+Sens!$K$7075)/2</f>
        <v>16085.4835833333</v>
      </c>
      <c r="L7076" s="32" t="n">
        <f aca="false">(Sens!$K$7075+Sens!$L$7075)/2</f>
        <v>18124.6343333333</v>
      </c>
      <c r="M7076" s="32" t="n">
        <f aca="false">(Sens!$L$7075+Sens!$M$7075)/2</f>
        <v>19100.35225</v>
      </c>
      <c r="N7076" s="32" t="n">
        <f aca="false">(Sens!$C$7075+Sens!$N$7075)/2</f>
        <v>630</v>
      </c>
      <c r="O7076" s="32" t="n">
        <f aca="false">(Sens!$N$7075+Sens!$O$7075)/2</f>
        <v>1170</v>
      </c>
    </row>
    <row r="7077" customFormat="false" ht="15" hidden="false" customHeight="false" outlineLevel="0" collapsed="false">
      <c r="A7077" s="5" t="s">
        <v>594</v>
      </c>
      <c r="B7077" s="5" t="s">
        <v>123</v>
      </c>
      <c r="C7077" s="34" t="n">
        <v>1</v>
      </c>
      <c r="D7077" s="34" t="n">
        <v>1</v>
      </c>
      <c r="E7077" s="34" t="n">
        <v>0.5</v>
      </c>
      <c r="F7077" s="34" t="n">
        <v>0.5</v>
      </c>
      <c r="G7077" s="34" t="n">
        <v>1</v>
      </c>
      <c r="H7077" s="34" t="n">
        <v>1</v>
      </c>
      <c r="I7077" s="34" t="n">
        <v>1</v>
      </c>
      <c r="J7077" s="34" t="n">
        <v>1</v>
      </c>
      <c r="K7077" s="34" t="n">
        <v>1</v>
      </c>
      <c r="L7077" s="34" t="n">
        <v>1</v>
      </c>
      <c r="M7077" s="34" t="n">
        <v>1</v>
      </c>
      <c r="N7077" s="34" t="n">
        <v>0.5</v>
      </c>
      <c r="O7077" s="34" t="n">
        <v>0.5</v>
      </c>
    </row>
    <row r="7078" customFormat="false" ht="17.15" hidden="false" customHeight="false" outlineLevel="0" collapsed="false">
      <c r="A7078" s="5" t="s">
        <v>595</v>
      </c>
      <c r="B7078" s="0" t="s">
        <v>129</v>
      </c>
      <c r="C7078" s="32" t="n">
        <f aca="false">Sens!$C$7075-mw_ye23</f>
        <v>240</v>
      </c>
      <c r="D7078" s="32" t="n">
        <f aca="false">Sens!$D$7075-Sens!$C$7075</f>
        <v>1080</v>
      </c>
      <c r="E7078" s="32" t="n">
        <f aca="false">Sens!$E$7075-Sens!$D$7075</f>
        <v>640</v>
      </c>
      <c r="F7078" s="32" t="n">
        <f aca="false">Sens!$F$7075-Sens!$E$7075</f>
        <v>1817.15</v>
      </c>
      <c r="G7078" s="32" t="n">
        <f aca="false">Sens!$E$7078+Sens!$F$7078</f>
        <v>2457.15</v>
      </c>
      <c r="H7078" s="32" t="n">
        <f aca="false">Sens!$H$7075-Sens!$G$7075</f>
        <v>3634.3</v>
      </c>
      <c r="I7078" s="32" t="n">
        <f aca="false">Sens!$I$7075-Sens!$H$7075</f>
        <v>3634.3</v>
      </c>
      <c r="J7078" s="32" t="n">
        <f aca="false">Sens!$J$7075-Sens!$I$7075</f>
        <v>3634.3</v>
      </c>
      <c r="K7078" s="32" t="n">
        <f aca="false">Sens!$K$7075-Sens!$J$7075</f>
        <v>2570.86716666667</v>
      </c>
      <c r="L7078" s="32" t="n">
        <f aca="false">Sens!$L$7075-Sens!$K$7075</f>
        <v>1507.43433333333</v>
      </c>
      <c r="M7078" s="32" t="n">
        <f aca="false">Sens!$M$7075-Sens!$L$7075</f>
        <v>444.001499999999</v>
      </c>
      <c r="N7078" s="32" t="n">
        <f aca="false">Sens!$N$7075-Sens!$C$7075</f>
        <v>540</v>
      </c>
      <c r="O7078" s="32" t="n">
        <f aca="false">Sens!$O$7075-Sens!$N$7075</f>
        <v>540</v>
      </c>
    </row>
    <row r="7079" customFormat="false" ht="17.15" hidden="false" customHeight="false" outlineLevel="0" collapsed="false">
      <c r="A7079" s="5" t="s">
        <v>596</v>
      </c>
      <c r="B7079" s="0" t="s">
        <v>129</v>
      </c>
      <c r="C7079" s="32" t="n">
        <f aca="false">Sens!$C$7078/ext_sh</f>
        <v>300</v>
      </c>
      <c r="D7079" s="32" t="n">
        <f aca="false">Sens!$D$7078/ext_sh</f>
        <v>1350</v>
      </c>
      <c r="E7079" s="32" t="n">
        <f aca="false">Sens!$E$7078/ext_sh</f>
        <v>800</v>
      </c>
      <c r="F7079" s="32" t="n">
        <f aca="false">Sens!$F$7078/ext_sh</f>
        <v>2271.4375</v>
      </c>
      <c r="G7079" s="32" t="n">
        <f aca="false">Sens!$G$7078/ext_sh</f>
        <v>3071.4375</v>
      </c>
      <c r="H7079" s="32" t="n">
        <f aca="false">Sens!$H$7078/ext_sh</f>
        <v>4542.875</v>
      </c>
      <c r="I7079" s="32" t="n">
        <f aca="false">Sens!$I$7078/ext_sh</f>
        <v>4542.875</v>
      </c>
      <c r="J7079" s="32" t="n">
        <f aca="false">Sens!$J$7078/ext_sh</f>
        <v>4542.875</v>
      </c>
      <c r="K7079" s="32" t="n">
        <f aca="false">Sens!$K$7078/ext_sh</f>
        <v>3213.58395833333</v>
      </c>
      <c r="L7079" s="32" t="n">
        <f aca="false">Sens!$L$7078/ext_sh</f>
        <v>1884.29291666667</v>
      </c>
      <c r="M7079" s="32" t="n">
        <f aca="false">Sens!$M$7078/ext_sh</f>
        <v>555.001874999998</v>
      </c>
      <c r="N7079" s="32" t="n">
        <f aca="false">Sens!$N$7078/ext_sh</f>
        <v>675</v>
      </c>
      <c r="O7079" s="32" t="n">
        <f aca="false">Sens!$O$7078/ext_sh</f>
        <v>675</v>
      </c>
      <c r="P7079" s="8" t="s">
        <v>597</v>
      </c>
      <c r="R7079" s="32" t="n">
        <f aca="false">mw_ye23/ext_sh</f>
        <v>150</v>
      </c>
      <c r="S7079" s="32" t="n">
        <f aca="false">Sens!$C$7079</f>
        <v>300</v>
      </c>
      <c r="T7079" s="32" t="n">
        <f aca="false">Sens!$D$7079</f>
        <v>1350</v>
      </c>
      <c r="U7079" s="32" t="n">
        <f aca="false">Sens!$G$7079</f>
        <v>3071.4375</v>
      </c>
      <c r="V7079" s="32" t="n">
        <f aca="false">Sens!$H$7079</f>
        <v>4542.875</v>
      </c>
      <c r="W7079" s="32" t="n">
        <f aca="false">Sens!$I$7079</f>
        <v>4542.875</v>
      </c>
      <c r="X7079" s="32" t="n">
        <f aca="false">Sens!$J$7079</f>
        <v>4542.875</v>
      </c>
      <c r="Y7079" s="32" t="n">
        <f aca="false">Sens!$K$7079</f>
        <v>3213.58395833333</v>
      </c>
      <c r="Z7079" s="32" t="n">
        <f aca="false">Sens!$L$7079</f>
        <v>1884.29291666667</v>
      </c>
      <c r="AA7079" s="32" t="n">
        <f aca="false">Sens!$M$7079</f>
        <v>555.001874999998</v>
      </c>
    </row>
    <row r="7080" customFormat="false" ht="17.15" hidden="false" customHeight="false" outlineLevel="0" collapsed="false">
      <c r="A7080" s="1" t="s">
        <v>598</v>
      </c>
    </row>
    <row r="7081" customFormat="false" ht="17.15" hidden="false" customHeight="false" outlineLevel="0" collapsed="false">
      <c r="A7081" s="0" t="s">
        <v>599</v>
      </c>
      <c r="B7081" s="0" t="s">
        <v>52</v>
      </c>
      <c r="F7081" s="35" t="n">
        <f aca="false">na_vr26</f>
        <v>0</v>
      </c>
      <c r="G7081" s="35" t="n">
        <f aca="false">na_vr26</f>
        <v>0</v>
      </c>
      <c r="H7081" s="35" t="n">
        <f aca="false">na_vr27</f>
        <v>0.5</v>
      </c>
      <c r="I7081" s="35" t="n">
        <f aca="false">na_vr28</f>
        <v>1</v>
      </c>
      <c r="J7081" s="35" t="n">
        <f aca="false">na_vr28</f>
        <v>1</v>
      </c>
      <c r="K7081" s="35" t="n">
        <f aca="false">na_vr28</f>
        <v>1</v>
      </c>
      <c r="L7081" s="35" t="n">
        <f aca="false">na_vr28</f>
        <v>1</v>
      </c>
      <c r="M7081" s="35" t="n">
        <f aca="false">na_vr28</f>
        <v>1</v>
      </c>
    </row>
    <row r="7082" customFormat="false" ht="17.15" hidden="false" customHeight="false" outlineLevel="0" collapsed="false">
      <c r="A7082" s="5" t="s">
        <v>600</v>
      </c>
      <c r="B7082" s="0" t="s">
        <v>173</v>
      </c>
      <c r="F7082" s="36" t="n">
        <f aca="false">cust_sh*tk_he_gb300*cf_chip+(1-cust_sh)*((1-Sens!$F$7081)*tk_he_gb300+Sens!$F$7081*tk_he_vr200)</f>
        <v>10.8864110021101</v>
      </c>
      <c r="G7082" s="36" t="n">
        <f aca="false">cust_sh*tk_he_gb300*cf_chip+(1-cust_sh)*((1-Sens!$G$7081)*tk_he_gb300+Sens!$G$7081*tk_he_vr200)</f>
        <v>10.8864110021101</v>
      </c>
      <c r="H7082" s="36" t="n">
        <f aca="false">cust_sh*tk_he_gb300*cf_chip+(1-cust_sh)*((1-Sens!$H$7081)*tk_he_gb300+Sens!$H$7081*tk_he_vr200)</f>
        <v>11.2211760027286</v>
      </c>
      <c r="I7082" s="36" t="n">
        <f aca="false">cust_sh*tk_he_gb300*cf_chip+(1-cust_sh)*((1-Sens!$I$7081)*tk_he_gb300+Sens!$I$7081*tk_he_vr200)</f>
        <v>11.5559410033471</v>
      </c>
      <c r="J7082" s="36" t="n">
        <f aca="false">cust_sh*tk_he_gb300*cf_chip+(1-cust_sh)*((1-Sens!$J$7081)*tk_he_gb300+Sens!$J$7081*tk_he_vr200)</f>
        <v>11.5559410033471</v>
      </c>
      <c r="K7082" s="36" t="n">
        <f aca="false">cust_sh*tk_he_gb300*cf_chip+(1-cust_sh)*((1-Sens!$K$7081)*tk_he_gb300+Sens!$K$7081*tk_he_vr200)</f>
        <v>11.5559410033471</v>
      </c>
      <c r="L7082" s="36" t="n">
        <f aca="false">cust_sh*tk_he_gb300*cf_chip+(1-cust_sh)*((1-Sens!$L$7081)*tk_he_gb300+Sens!$L$7081*tk_he_vr200)</f>
        <v>11.5559410033471</v>
      </c>
      <c r="M7082" s="36" t="n">
        <f aca="false">cust_sh*tk_he_gb300*cf_chip+(1-cust_sh)*((1-Sens!$M$7081)*tk_he_gb300+Sens!$M$7081*tk_he_vr200)</f>
        <v>11.5559410033471</v>
      </c>
    </row>
    <row r="7083" customFormat="false" ht="17.15" hidden="false" customHeight="false" outlineLevel="0" collapsed="false">
      <c r="A7083" s="5" t="s">
        <v>601</v>
      </c>
      <c r="B7083" s="0" t="s">
        <v>173</v>
      </c>
      <c r="F7083" s="36" t="n">
        <f aca="false">cust_sh*tk_ox_gb300+(1-cust_sh)*((1-Sens!$F$7081)*tk_ox_gb300+Sens!$F$7081*tk_ox_vr200)</f>
        <v>1.98263481314457</v>
      </c>
      <c r="G7083" s="36" t="n">
        <f aca="false">cust_sh*tk_ox_gb300+(1-cust_sh)*((1-Sens!$G$7081)*tk_ox_gb300+Sens!$G$7081*tk_ox_vr200)</f>
        <v>1.98263481314457</v>
      </c>
      <c r="H7083" s="36" t="n">
        <f aca="false">cust_sh*tk_ox_gb300+(1-cust_sh)*((1-Sens!$H$7081)*tk_ox_gb300+Sens!$H$7081*tk_ox_vr200)</f>
        <v>2.01034999693694</v>
      </c>
      <c r="I7083" s="36" t="n">
        <f aca="false">cust_sh*tk_ox_gb300+(1-cust_sh)*((1-Sens!$I$7081)*tk_ox_gb300+Sens!$I$7081*tk_ox_vr200)</f>
        <v>2.0380651807293</v>
      </c>
      <c r="J7083" s="36" t="n">
        <f aca="false">cust_sh*tk_ox_gb300+(1-cust_sh)*((1-Sens!$J$7081)*tk_ox_gb300+Sens!$J$7081*tk_ox_vr200)</f>
        <v>2.0380651807293</v>
      </c>
      <c r="K7083" s="36" t="n">
        <f aca="false">cust_sh*tk_ox_gb300+(1-cust_sh)*((1-Sens!$K$7081)*tk_ox_gb300+Sens!$K$7081*tk_ox_vr200)</f>
        <v>2.0380651807293</v>
      </c>
      <c r="L7083" s="36" t="n">
        <f aca="false">cust_sh*tk_ox_gb300+(1-cust_sh)*((1-Sens!$L$7081)*tk_ox_gb300+Sens!$L$7081*tk_ox_vr200)</f>
        <v>2.0380651807293</v>
      </c>
      <c r="M7083" s="36" t="n">
        <f aca="false">cust_sh*tk_ox_gb300+(1-cust_sh)*((1-Sens!$M$7081)*tk_ox_gb300+Sens!$M$7081*tk_ox_vr200)</f>
        <v>2.0380651807293</v>
      </c>
    </row>
    <row r="7084" customFormat="false" ht="17.15" hidden="false" customHeight="false" outlineLevel="0" collapsed="false">
      <c r="A7084" s="5" t="s">
        <v>602</v>
      </c>
      <c r="B7084" s="0" t="s">
        <v>192</v>
      </c>
      <c r="F7084" s="36" t="n">
        <f aca="false">cust_sh*tk_cx_gb300*cf_cx+(1-cust_sh)*((1-Sens!$F$7081)*tk_cx_gb300+Sens!$F$7081*tk_cx_vr200)</f>
        <v>32.237224</v>
      </c>
      <c r="G7084" s="36" t="n">
        <f aca="false">cust_sh*tk_cx_gb300*cf_cx+(1-cust_sh)*((1-Sens!$G$7081)*tk_cx_gb300+Sens!$G$7081*tk_cx_vr200)</f>
        <v>32.237224</v>
      </c>
      <c r="H7084" s="36" t="n">
        <f aca="false">cust_sh*tk_cx_gb300*cf_cx+(1-cust_sh)*((1-Sens!$H$7081)*tk_cx_gb300+Sens!$H$7081*tk_cx_vr200)</f>
        <v>33.574506</v>
      </c>
      <c r="I7084" s="36" t="n">
        <f aca="false">cust_sh*tk_cx_gb300*cf_cx+(1-cust_sh)*((1-Sens!$I$7081)*tk_cx_gb300+Sens!$I$7081*tk_cx_vr200)</f>
        <v>34.911788</v>
      </c>
      <c r="J7084" s="36" t="n">
        <f aca="false">cust_sh*tk_cx_gb300*cf_cx+(1-cust_sh)*((1-Sens!$J$7081)*tk_cx_gb300+Sens!$J$7081*tk_cx_vr200)</f>
        <v>34.911788</v>
      </c>
      <c r="K7084" s="36" t="n">
        <f aca="false">cust_sh*tk_cx_gb300*cf_cx+(1-cust_sh)*((1-Sens!$K$7081)*tk_cx_gb300+Sens!$K$7081*tk_cx_vr200)</f>
        <v>34.911788</v>
      </c>
      <c r="L7084" s="36" t="n">
        <f aca="false">cust_sh*tk_cx_gb300*cf_cx+(1-cust_sh)*((1-Sens!$L$7081)*tk_cx_gb300+Sens!$L$7081*tk_cx_vr200)</f>
        <v>34.911788</v>
      </c>
      <c r="M7084" s="36" t="n">
        <f aca="false">cust_sh*tk_cx_gb300*cf_cx+(1-cust_sh)*((1-Sens!$M$7081)*tk_cx_gb300+Sens!$M$7081*tk_cx_vr200)</f>
        <v>34.911788</v>
      </c>
    </row>
    <row r="7085" customFormat="false" ht="17.15" hidden="false" customHeight="false" outlineLevel="0" collapsed="false">
      <c r="A7085" s="5" t="s">
        <v>603</v>
      </c>
      <c r="B7085" s="0" t="s">
        <v>129</v>
      </c>
      <c r="F7085" s="32" t="n">
        <f aca="false">Sens!$F$7075-mw_open</f>
        <v>1817.15</v>
      </c>
      <c r="G7085" s="32" t="n">
        <f aca="false">Sens!$F$7085</f>
        <v>1817.15</v>
      </c>
      <c r="H7085" s="32" t="n">
        <f aca="false">Sens!$H$7075-mw_open</f>
        <v>5451.45</v>
      </c>
      <c r="I7085" s="32" t="n">
        <f aca="false">Sens!$I$7075-mw_open</f>
        <v>9085.75</v>
      </c>
      <c r="J7085" s="32" t="n">
        <f aca="false">Sens!$J$7075-mw_open</f>
        <v>12720.05</v>
      </c>
      <c r="K7085" s="32" t="n">
        <f aca="false">Sens!$K$7075-mw_open</f>
        <v>15290.9171666667</v>
      </c>
      <c r="L7085" s="32" t="n">
        <f aca="false">Sens!$L$7075-mw_open</f>
        <v>16798.3515</v>
      </c>
      <c r="M7085" s="32" t="n">
        <f aca="false">Sens!$M$7075-mw_open</f>
        <v>17242.353</v>
      </c>
    </row>
    <row r="7086" customFormat="false" ht="17.15" hidden="false" customHeight="false" outlineLevel="0" collapsed="false">
      <c r="A7086" s="0" t="s">
        <v>604</v>
      </c>
      <c r="B7086" s="0" t="s">
        <v>605</v>
      </c>
      <c r="F7086" s="32" t="n">
        <f aca="false">Sens!$F$7078*Sens!$F$7082</f>
        <v>19782.2417524844</v>
      </c>
      <c r="G7086" s="32" t="n">
        <f aca="false">Sens!$F$7086</f>
        <v>19782.2417524844</v>
      </c>
      <c r="H7086" s="32" t="n">
        <f aca="false">Sens!$G$7086+Sens!$H$7078*Sens!$H$7082</f>
        <v>60563.3616992009</v>
      </c>
      <c r="I7086" s="32" t="n">
        <f aca="false">Sens!$H$7086+Sens!$I$7078*Sens!$I$7082</f>
        <v>102561.118087665</v>
      </c>
      <c r="J7086" s="32" t="n">
        <f aca="false">Sens!$I$7086+Sens!$J$7078*Sens!$J$7082</f>
        <v>144558.87447613</v>
      </c>
      <c r="K7086" s="32" t="n">
        <f aca="false">Sens!$J$7086+Sens!$K$7078*Sens!$K$7082</f>
        <v>174267.663781572</v>
      </c>
      <c r="L7086" s="32" t="n">
        <f aca="false">Sens!$K$7086+Sens!$L$7078*Sens!$L$7082</f>
        <v>191687.486003992</v>
      </c>
      <c r="M7086" s="32" t="n">
        <f aca="false">Sens!$L$7086+Sens!$M$7078*Sens!$M$7082</f>
        <v>196818.341143389</v>
      </c>
    </row>
    <row r="7087" customFormat="false" ht="17.15" hidden="false" customHeight="false" outlineLevel="0" collapsed="false">
      <c r="A7087" s="0" t="s">
        <v>606</v>
      </c>
      <c r="B7087" s="0" t="s">
        <v>605</v>
      </c>
      <c r="F7087" s="32" t="n">
        <f aca="false">Sens!$F$7078*Sens!$F$7083</f>
        <v>3602.74485070566</v>
      </c>
      <c r="G7087" s="32" t="n">
        <f aca="false">Sens!$F$7087</f>
        <v>3602.74485070566</v>
      </c>
      <c r="H7087" s="32" t="n">
        <f aca="false">Sens!$G$7087+Sens!$H$7078*Sens!$H$7083</f>
        <v>10908.9598445736</v>
      </c>
      <c r="I7087" s="32" t="n">
        <f aca="false">Sens!$H$7087+Sens!$I$7078*Sens!$I$7083</f>
        <v>18315.9001308981</v>
      </c>
      <c r="J7087" s="32" t="n">
        <f aca="false">Sens!$I$7087+Sens!$J$7078*Sens!$J$7083</f>
        <v>25722.8404172225</v>
      </c>
      <c r="K7087" s="32" t="n">
        <f aca="false">Sens!$J$7087+Sens!$K$7078*Sens!$K$7083</f>
        <v>30962.4352738861</v>
      </c>
      <c r="L7087" s="32" t="n">
        <f aca="false">Sens!$K$7087+Sens!$L$7078*Sens!$L$7083</f>
        <v>34034.6847008886</v>
      </c>
      <c r="M7087" s="32" t="n">
        <f aca="false">Sens!$L$7087+Sens!$M$7078*Sens!$M$7083</f>
        <v>34939.5886982302</v>
      </c>
    </row>
    <row r="7088" customFormat="false" ht="17.15" hidden="false" customHeight="false" outlineLevel="0" collapsed="false">
      <c r="A7088" s="5" t="s">
        <v>607</v>
      </c>
      <c r="B7088" s="0" t="s">
        <v>173</v>
      </c>
      <c r="F7088" s="36" t="n">
        <f aca="false">IF(Sens!$F$7085&gt;0,Sens!$F$7086/Sens!$F$7085,Sens!$F$7082)</f>
        <v>10.8864110021101</v>
      </c>
      <c r="G7088" s="36" t="n">
        <f aca="false">IF(Sens!$G$7085&gt;0,Sens!$G$7086/Sens!$G$7085,Sens!$G$7082)</f>
        <v>10.8864110021101</v>
      </c>
      <c r="H7088" s="36" t="n">
        <f aca="false">IF(Sens!$H$7085&gt;0,Sens!$H$7086/Sens!$H$7085,Sens!$H$7082)</f>
        <v>11.1095876691891</v>
      </c>
      <c r="I7088" s="36" t="n">
        <f aca="false">IF(Sens!$I$7085&gt;0,Sens!$I$7086/Sens!$I$7085,Sens!$I$7082)</f>
        <v>11.2881290028523</v>
      </c>
      <c r="J7088" s="36" t="n">
        <f aca="false">IF(Sens!$J$7085&gt;0,Sens!$J$7086/Sens!$J$7085,Sens!$J$7082)</f>
        <v>11.3646467172794</v>
      </c>
      <c r="K7088" s="36" t="n">
        <f aca="false">IF(Sens!$K$7085&gt;0,Sens!$K$7086/Sens!$K$7085,Sens!$K$7082)</f>
        <v>11.3968090914432</v>
      </c>
      <c r="L7088" s="36" t="n">
        <f aca="false">IF(Sens!$L$7085&gt;0,Sens!$L$7086/Sens!$L$7085,Sens!$L$7082)</f>
        <v>11.4110891181192</v>
      </c>
      <c r="M7088" s="36" t="n">
        <f aca="false">IF(Sens!$M$7085&gt;0,Sens!$M$7086/Sens!$M$7085,Sens!$M$7082)</f>
        <v>11.4148191458201</v>
      </c>
    </row>
    <row r="7089" customFormat="false" ht="17.15" hidden="false" customHeight="false" outlineLevel="0" collapsed="false">
      <c r="A7089" s="5" t="s">
        <v>608</v>
      </c>
      <c r="B7089" s="0" t="s">
        <v>173</v>
      </c>
      <c r="F7089" s="36" t="n">
        <f aca="false">IF(Sens!$F$7085&gt;0,Sens!$F$7087/Sens!$F$7085,Sens!$F$7083)</f>
        <v>1.98263481314457</v>
      </c>
      <c r="G7089" s="36" t="n">
        <f aca="false">IF(Sens!$G$7085&gt;0,Sens!$G$7087/Sens!$G$7085,Sens!$G$7083)</f>
        <v>1.98263481314457</v>
      </c>
      <c r="H7089" s="36" t="n">
        <f aca="false">IF(Sens!$H$7085&gt;0,Sens!$H$7087/Sens!$H$7085,Sens!$H$7083)</f>
        <v>2.00111160233948</v>
      </c>
      <c r="I7089" s="36" t="n">
        <f aca="false">IF(Sens!$I$7085&gt;0,Sens!$I$7087/Sens!$I$7085,Sens!$I$7083)</f>
        <v>2.01589303369541</v>
      </c>
      <c r="J7089" s="36" t="n">
        <f aca="false">IF(Sens!$J$7085&gt;0,Sens!$J$7087/Sens!$J$7085,Sens!$J$7083)</f>
        <v>2.02222793284795</v>
      </c>
      <c r="K7089" s="36" t="n">
        <f aca="false">IF(Sens!$K$7085&gt;0,Sens!$K$7087/Sens!$K$7085,Sens!$K$7083)</f>
        <v>2.02489065478573</v>
      </c>
      <c r="L7089" s="36" t="n">
        <f aca="false">IF(Sens!$L$7085&gt;0,Sens!$L$7087/Sens!$L$7085,Sens!$L$7083)</f>
        <v>2.0260728977417</v>
      </c>
      <c r="M7089" s="36" t="n">
        <f aca="false">IF(Sens!$M$7085&gt;0,Sens!$M$7087/Sens!$M$7085,Sens!$M$7083)</f>
        <v>2.02638170661685</v>
      </c>
    </row>
    <row r="7090" customFormat="false" ht="17.15" hidden="false" customHeight="false" outlineLevel="0" collapsed="false">
      <c r="A7090" s="15" t="s">
        <v>609</v>
      </c>
      <c r="B7090" s="14" t="s">
        <v>173</v>
      </c>
      <c r="C7090" s="14"/>
      <c r="D7090" s="14"/>
      <c r="E7090" s="14"/>
      <c r="F7090" s="37" t="n">
        <f aca="false">Sens!$F$7088*k_B</f>
        <v>10.7987645808025</v>
      </c>
      <c r="G7090" s="37" t="n">
        <f aca="false">Sens!$G$7088*k_B</f>
        <v>10.7987645808025</v>
      </c>
      <c r="H7090" s="37" t="n">
        <f aca="false">Sens!$H$7088*k_B</f>
        <v>11.0201444540452</v>
      </c>
      <c r="I7090" s="37" t="n">
        <f aca="false">Sens!$I$7088*k_B</f>
        <v>11.1972483526393</v>
      </c>
      <c r="J7090" s="37" t="n">
        <f aca="false">Sens!$J$7088*k_B</f>
        <v>11.2731500234653</v>
      </c>
      <c r="K7090" s="37" t="n">
        <f aca="false">Sens!$K$7088*k_B</f>
        <v>11.3050534585724</v>
      </c>
      <c r="L7090" s="37" t="n">
        <f aca="false">Sens!$L$7088*k_B</f>
        <v>11.3192185168503</v>
      </c>
      <c r="M7090" s="37" t="n">
        <f aca="false">Sens!$M$7088*k_B</f>
        <v>11.3229185141234</v>
      </c>
      <c r="N7090" s="14"/>
      <c r="O7090" s="14"/>
      <c r="P7090" s="5" t="s">
        <v>610</v>
      </c>
    </row>
    <row r="7091" customFormat="false" ht="17.15" hidden="false" customHeight="false" outlineLevel="0" collapsed="false">
      <c r="A7091" s="5" t="s">
        <v>611</v>
      </c>
      <c r="B7091" s="0" t="s">
        <v>129</v>
      </c>
      <c r="F7091" s="32" t="n">
        <f aca="false">Sens!$F$7085/2</f>
        <v>908.575</v>
      </c>
      <c r="H7091" s="32" t="n">
        <f aca="false">(Sens!$G$7085+Sens!$H$7085)/2</f>
        <v>3634.3</v>
      </c>
      <c r="I7091" s="32" t="n">
        <f aca="false">(Sens!$H$7085+Sens!$I$7085)/2</f>
        <v>7268.6</v>
      </c>
      <c r="J7091" s="32" t="n">
        <f aca="false">(Sens!$I$7085+Sens!$J$7085)/2</f>
        <v>10902.9</v>
      </c>
      <c r="K7091" s="32" t="n">
        <f aca="false">(Sens!$J$7085+Sens!$K$7085)/2</f>
        <v>14005.4835833333</v>
      </c>
      <c r="L7091" s="32" t="n">
        <f aca="false">(Sens!$K$7085+Sens!$L$7085)/2</f>
        <v>16044.6343333333</v>
      </c>
      <c r="M7091" s="32" t="n">
        <f aca="false">(Sens!$L$7085+Sens!$M$7085)/2</f>
        <v>17020.35225</v>
      </c>
    </row>
    <row r="7092" customFormat="false" ht="17.15" hidden="false" customHeight="false" outlineLevel="0" collapsed="false">
      <c r="A7092" s="1" t="s">
        <v>612</v>
      </c>
    </row>
    <row r="7093" customFormat="false" ht="17.15" hidden="false" customHeight="false" outlineLevel="0" collapsed="false">
      <c r="A7093" s="1" t="s">
        <v>613</v>
      </c>
      <c r="B7093" s="8" t="s">
        <v>86</v>
      </c>
      <c r="C7093" s="38" t="n">
        <f aca="false">Sens!$C$7076*rpm_open*Sens!$C$7077/1000</f>
        <v>2.32100535697364</v>
      </c>
      <c r="D7093" s="38" t="n">
        <f aca="false">Sens!$D$7076*rpm_open*Sens!$D$7077/1000</f>
        <v>8.70377008865116</v>
      </c>
      <c r="E7093" s="38" t="n">
        <f aca="false">Sens!$E$7076*rpm_open*Sens!$E$7077/1000</f>
        <v>8.51035297557002</v>
      </c>
      <c r="F7093" s="38" t="n">
        <f aca="false">(mw_open*rpm_open+Sens!$F$7091*Sens!$F$7090)*Sens!$F$7077/1000</f>
        <v>14.9634336447205</v>
      </c>
      <c r="G7093" s="38" t="n">
        <f aca="false">Sens!$E$7093+Sens!$F$7093</f>
        <v>23.4737866202905</v>
      </c>
      <c r="H7093" s="38" t="n">
        <f aca="false">(mw_open*rpm_open+Sens!$H$7091*Sens!$H$7090)/1000</f>
        <v>60.1658907497746</v>
      </c>
      <c r="I7093" s="38" t="n">
        <f aca="false">(mw_open*rpm_open+Sens!$I$7091*Sens!$I$7090)/1000</f>
        <v>101.503699136432</v>
      </c>
      <c r="J7093" s="38" t="n">
        <f aca="false">(mw_open*rpm_open+Sens!$J$7091*Sens!$J$7090)/1000</f>
        <v>143.025407151278</v>
      </c>
      <c r="K7093" s="38" t="n">
        <f aca="false">(mw_open*rpm_open+Sens!$K$7091*Sens!$K$7090)/1000</f>
        <v>178.44812038318</v>
      </c>
      <c r="L7093" s="38" t="n">
        <f aca="false">(mw_open*rpm_open+Sens!$L$7091*Sens!$L$7090)/1000</f>
        <v>201.728101802396</v>
      </c>
      <c r="M7093" s="38" t="n">
        <f aca="false">(mw_open*rpm_open+Sens!$M$7091*Sens!$M$7090)/1000</f>
        <v>212.835441368865</v>
      </c>
      <c r="N7093" s="38" t="n">
        <f aca="false">Sens!$N$7076*rpm_open*Sens!$N$7077/1000</f>
        <v>3.04631953102791</v>
      </c>
      <c r="O7093" s="38" t="n">
        <f aca="false">Sens!$O$7076*rpm_open*Sens!$O$7077/1000</f>
        <v>5.65745055762326</v>
      </c>
      <c r="P7093" s="5" t="s">
        <v>614</v>
      </c>
    </row>
    <row r="7094" customFormat="false" ht="17.15" hidden="false" customHeight="false" outlineLevel="0" collapsed="false">
      <c r="A7094" s="5" t="s">
        <v>615</v>
      </c>
      <c r="B7094" s="0" t="s">
        <v>173</v>
      </c>
      <c r="C7094" s="36" t="n">
        <f aca="false">Sens!$C$7093*1000/(Sens!$C$7076*Sens!$C$7077)</f>
        <v>9.67085565405685</v>
      </c>
      <c r="D7094" s="36" t="n">
        <f aca="false">Sens!$D$7093*1000/(Sens!$D$7076*Sens!$D$7077)</f>
        <v>9.67085565405685</v>
      </c>
      <c r="E7094" s="36" t="n">
        <f aca="false">Sens!$E$7093*1000/(Sens!$E$7076*Sens!$E$7077)</f>
        <v>9.67085565405685</v>
      </c>
      <c r="F7094" s="36" t="n">
        <f aca="false">Sens!$F$7093*1000/(Sens!$F$7076*Sens!$F$7077)</f>
        <v>10.0137581588017</v>
      </c>
      <c r="G7094" s="36" t="n">
        <f aca="false">Sens!$G$7093*1000/(Sens!$G$7076*Sens!$G$7077)</f>
        <v>9.88666562928478</v>
      </c>
      <c r="H7094" s="36" t="n">
        <f aca="false">Sens!$H$7093*1000/(Sens!$H$7076*Sens!$H$7077)</f>
        <v>10.5290045586992</v>
      </c>
      <c r="I7094" s="36" t="n">
        <f aca="false">Sens!$I$7093*1000/(Sens!$I$7076*Sens!$I$7077)</f>
        <v>10.8576363451674</v>
      </c>
      <c r="J7094" s="36" t="n">
        <f aca="false">Sens!$J$7093*1000/(Sens!$J$7076*Sens!$J$7077)</f>
        <v>11.0164452588619</v>
      </c>
      <c r="K7094" s="36" t="n">
        <f aca="false">Sens!$K$7093*1000/(Sens!$K$7076*Sens!$K$7077)</f>
        <v>11.0937367508227</v>
      </c>
      <c r="L7094" s="36" t="n">
        <f aca="false">Sens!$L$7093*1000/(Sens!$L$7076*Sens!$L$7077)</f>
        <v>11.1300508519168</v>
      </c>
      <c r="M7094" s="36" t="n">
        <f aca="false">Sens!$M$7093*1000/(Sens!$M$7076*Sens!$M$7077)</f>
        <v>11.1430113216297</v>
      </c>
      <c r="N7094" s="36" t="n">
        <f aca="false">Sens!$N$7093*1000/(Sens!$N$7076*Sens!$N$7077)</f>
        <v>9.67085565405685</v>
      </c>
      <c r="O7094" s="36" t="n">
        <f aca="false">Sens!$O$7093*1000/(Sens!$O$7076*Sens!$O$7077)</f>
        <v>9.67085565405685</v>
      </c>
    </row>
    <row r="7095" customFormat="false" ht="17.15" hidden="false" customHeight="false" outlineLevel="0" collapsed="false">
      <c r="A7095" s="0" t="s">
        <v>616</v>
      </c>
      <c r="B7095" s="0" t="s">
        <v>86</v>
      </c>
      <c r="C7095" s="38" t="n">
        <f aca="false">Sens!$C$7076/ext_sh*(ox_open+rent_mw)*Sens!$C$7077/1000</f>
        <v>0.642569210675032</v>
      </c>
      <c r="D7095" s="38" t="n">
        <f aca="false">Sens!$D$7076/ext_sh*(ox_open+rent_mw)*Sens!$D$7077/1000</f>
        <v>2.40963454003137</v>
      </c>
      <c r="E7095" s="38" t="n">
        <f aca="false">Sens!$E$7076/ext_sh*(ox_open+rent_mw)*Sens!$E$7077/1000</f>
        <v>2.35608710580845</v>
      </c>
      <c r="F7095" s="38" t="n">
        <f aca="false">((mw_open*ox_open+Sens!$F$7091*Sens!$F$7089)/ext_sh+Sens!$F$7076/ext_sh*rent_mw)*Sens!$F$7077/1000</f>
        <v>4.05421991106232</v>
      </c>
      <c r="G7095" s="38" t="n">
        <f aca="false">Sens!$E$7095+Sens!$F$7095</f>
        <v>6.41030701687077</v>
      </c>
      <c r="H7095" s="38" t="n">
        <f aca="false">((mw_open*ox_open+Sens!$H$7091*Sens!$H$7089)/ext_sh+Sens!$H$7076/ext_sh*rent_mw)*Sens!$H$7077/1000</f>
        <v>15.8108975546616</v>
      </c>
      <c r="I7095" s="38" t="n">
        <f aca="false">((mw_open*ox_open+Sens!$I$7091*Sens!$I$7089)/ext_sh+Sens!$I$7076/ext_sh*rent_mw)*Sens!$I$7077/1000</f>
        <v>26.1871623400817</v>
      </c>
      <c r="J7095" s="38" t="n">
        <f aca="false">((mw_open*ox_open+Sens!$J$7091*Sens!$J$7089)/ext_sh+Sens!$J$7076/ext_sh*rent_mw)*Sens!$J$7077/1000</f>
        <v>36.5826128954935</v>
      </c>
      <c r="K7095" s="38" t="n">
        <f aca="false">((mw_open*ox_open+Sens!$K$7091*Sens!$K$7089)/ext_sh+Sens!$K$7076/ext_sh*rent_mw)*Sens!$K$7077/1000</f>
        <v>45.4546361137628</v>
      </c>
      <c r="L7095" s="38" t="n">
        <f aca="false">((mw_open*ox_open+Sens!$L$7091*Sens!$L$7089)/ext_sh+Sens!$L$7076/ext_sh*rent_mw)*Sens!$L$7077/1000</f>
        <v>51.2855695554452</v>
      </c>
      <c r="M7095" s="38" t="n">
        <f aca="false">((mw_open*ox_open+Sens!$M$7091*Sens!$M$7089)/ext_sh+Sens!$M$7076/ext_sh*rent_mw)*Sens!$M$7077/1000</f>
        <v>54.0722927838398</v>
      </c>
      <c r="N7095" s="38" t="n">
        <f aca="false">Sens!$N$7076/ext_sh*(ox_open+rent_mw)*Sens!$N$7077/1000</f>
        <v>0.84337208901098</v>
      </c>
      <c r="O7095" s="38" t="n">
        <f aca="false">Sens!$O$7076/ext_sh*(ox_open+rent_mw)*Sens!$O$7077/1000</f>
        <v>1.56626245102039</v>
      </c>
    </row>
    <row r="7096" customFormat="false" ht="17.15" hidden="false" customHeight="false" outlineLevel="0" collapsed="false">
      <c r="A7096" s="0" t="s">
        <v>617</v>
      </c>
      <c r="B7096" s="0" t="s">
        <v>86</v>
      </c>
      <c r="C7096" s="38" t="n">
        <f aca="false">Q!$D$7</f>
        <v>107.556</v>
      </c>
      <c r="D7096" s="38" t="n">
        <f aca="false">Q!$E$7</f>
        <v>128.725</v>
      </c>
      <c r="E7096" s="38" t="n">
        <f aca="false">Q!$P$7</f>
        <v>79.819</v>
      </c>
      <c r="N7096" s="38" t="n">
        <f aca="false">Q!$N$7</f>
        <v>60.14</v>
      </c>
      <c r="O7096" s="38" t="n">
        <f aca="false">Q!$O$7</f>
        <v>68.585</v>
      </c>
    </row>
    <row r="7097" customFormat="false" ht="17.15" hidden="false" customHeight="false" outlineLevel="0" collapsed="false">
      <c r="A7097" s="1" t="s">
        <v>618</v>
      </c>
      <c r="B7097" s="8" t="s">
        <v>86</v>
      </c>
      <c r="C7097" s="38" t="n">
        <f aca="false">Sens!$C$7096-Sens!$C$7093</f>
        <v>105.234994643026</v>
      </c>
      <c r="D7097" s="38" t="n">
        <f aca="false">Sens!$D$7096-Sens!$D$7093</f>
        <v>120.021229911349</v>
      </c>
      <c r="E7097" s="38" t="n">
        <f aca="false">Sens!$E$7096-Sens!$E$7093</f>
        <v>71.30864702443</v>
      </c>
      <c r="F7097" s="38" t="n">
        <f aca="false">Sens!$O$7097*(1+Sens!$F$7098)</f>
        <v>71.7692997942464</v>
      </c>
      <c r="G7097" s="38" t="n">
        <f aca="false">Sens!$E$7097+Sens!$F$7097</f>
        <v>143.077946818676</v>
      </c>
      <c r="H7097" s="38" t="n">
        <f aca="false">Sens!$G$7097*(1+Sens!$H$7098)</f>
        <v>161.017077079203</v>
      </c>
      <c r="I7097" s="38" t="n">
        <f aca="false">Sens!$H$7097*(1+Sens!$I$7098)</f>
        <v>178.769759521457</v>
      </c>
      <c r="J7097" s="38" t="n">
        <f aca="false">Sens!$I$7097*(1+Sens!$J$7098)</f>
        <v>195.775538045907</v>
      </c>
      <c r="K7097" s="38" t="n">
        <f aca="false">Sens!$J$7097*(1+Sens!$K$7098)</f>
        <v>211.43758108958</v>
      </c>
      <c r="L7097" s="38" t="n">
        <f aca="false">Sens!$K$7097*(1+Sens!$L$7098)</f>
        <v>228.352587576746</v>
      </c>
      <c r="M7097" s="38" t="n">
        <f aca="false">Sens!$L$7097*(1+Sens!$M$7098)</f>
        <v>246.620794582886</v>
      </c>
      <c r="N7097" s="38" t="n">
        <f aca="false">Sens!$N$7096-Sens!$N$7093</f>
        <v>57.0936804689721</v>
      </c>
      <c r="O7097" s="38" t="n">
        <f aca="false">Sens!$O$7096-Sens!$O$7093</f>
        <v>62.9275494423768</v>
      </c>
      <c r="P7097" s="5" t="s">
        <v>619</v>
      </c>
    </row>
    <row r="7098" customFormat="false" ht="17.15" hidden="false" customHeight="false" outlineLevel="0" collapsed="false">
      <c r="A7098" s="0" t="s">
        <v>620</v>
      </c>
      <c r="B7098" s="0" t="s">
        <v>52</v>
      </c>
      <c r="D7098" s="13" t="n">
        <f aca="false">Sens!$D$7097/Sens!$C$7097-1</f>
        <v>0.140506827776062</v>
      </c>
      <c r="E7098" s="13" t="n">
        <f aca="false">Sens!$E$7097/Sens!$N$7097-1</f>
        <v>0.248976181579029</v>
      </c>
      <c r="F7098" s="13" t="n">
        <f aca="false">Sens!$D$7098</f>
        <v>0.140506827776062</v>
      </c>
      <c r="G7098" s="13" t="n">
        <f aca="false">Sens!$G$7097/Sens!$D$7097-1</f>
        <v>0.19210532106993</v>
      </c>
      <c r="H7098" s="13" t="n">
        <f aca="false">Sens!$F$7098+(g_awso_lt-Sens!$F$7098)*1/4</f>
        <v>0.125380120832046</v>
      </c>
      <c r="I7098" s="13" t="n">
        <f aca="false">Sens!$F$7098+(g_awso_lt-Sens!$F$7098)*2/4</f>
        <v>0.110253413888031</v>
      </c>
      <c r="J7098" s="13" t="n">
        <f aca="false">Sens!$F$7098+(g_awso_lt-Sens!$F$7098)*3/4</f>
        <v>0.0951267069440154</v>
      </c>
      <c r="K7098" s="13" t="n">
        <f aca="false">Sens!$F$7098+(g_awso_lt-Sens!$F$7098)*4/4</f>
        <v>0.08</v>
      </c>
      <c r="L7098" s="13" t="n">
        <f aca="false">g_awso_lt</f>
        <v>0.08</v>
      </c>
      <c r="M7098" s="13" t="n">
        <f aca="false">g_awso_lt</f>
        <v>0.08</v>
      </c>
      <c r="P7098" s="5" t="s">
        <v>621</v>
      </c>
    </row>
    <row r="7099" customFormat="false" ht="17.15" hidden="false" customHeight="false" outlineLevel="0" collapsed="false">
      <c r="A7099" s="1" t="s">
        <v>622</v>
      </c>
    </row>
    <row r="7100" customFormat="false" ht="17.15" hidden="false" customHeight="false" outlineLevel="0" collapsed="false">
      <c r="A7100" s="0" t="s">
        <v>623</v>
      </c>
      <c r="B7100" s="0" t="s">
        <v>86</v>
      </c>
      <c r="F7100" s="38" t="n">
        <f aca="false">cx_rt*Sens!$F$7065+cx_awso*Sens!$F$7097</f>
        <v>34.9734495387866</v>
      </c>
    </row>
    <row r="7101" customFormat="false" ht="17.15" hidden="false" customHeight="false" outlineLevel="0" collapsed="false">
      <c r="A7101" s="0" t="s">
        <v>624</v>
      </c>
      <c r="B7101" s="0" t="s">
        <v>52</v>
      </c>
      <c r="C7101" s="13" t="n">
        <f aca="false">tk_cx_h100/(tk_cx_h100+tk_fac*(1-colo_sh))</f>
        <v>0.730756458006641</v>
      </c>
      <c r="D7101" s="13" t="n">
        <f aca="false">tk_cx_h100/(tk_cx_h100+tk_fac*(1-colo_sh))</f>
        <v>0.730756458006641</v>
      </c>
      <c r="E7101" s="13" t="n">
        <f aca="false">Sens!$F$7101</f>
        <v>0.760792334328868</v>
      </c>
      <c r="F7101" s="13" t="n">
        <f aca="false">Sens!$F$7084/(Sens!$F$7084+tk_fac*(1-colo_sh))</f>
        <v>0.760792334328868</v>
      </c>
      <c r="G7101" s="13" t="n">
        <f aca="false">Sens!$G$7084/(Sens!$G$7084+tk_fac*(1-colo_sh))</f>
        <v>0.760792334328868</v>
      </c>
      <c r="H7101" s="13" t="n">
        <f aca="false">Sens!$H$7084/(Sens!$H$7084+tk_fac*(1-colo_sh))</f>
        <v>0.768110668862996</v>
      </c>
      <c r="I7101" s="13" t="n">
        <f aca="false">Sens!$I$7084/(Sens!$I$7084+tk_fac*(1-colo_sh))</f>
        <v>0.77499450139483</v>
      </c>
      <c r="J7101" s="13" t="n">
        <f aca="false">Sens!$J$7084/(Sens!$J$7084+tk_fac*(1-colo_sh))</f>
        <v>0.77499450139483</v>
      </c>
      <c r="K7101" s="13" t="n">
        <f aca="false">Sens!$K$7084/(Sens!$K$7084+tk_fac*(1-colo_sh))</f>
        <v>0.77499450139483</v>
      </c>
      <c r="L7101" s="13" t="n">
        <f aca="false">Sens!$L$7084/(Sens!$L$7084+tk_fac*(1-colo_sh))</f>
        <v>0.77499450139483</v>
      </c>
      <c r="M7101" s="13" t="n">
        <f aca="false">Sens!$M$7084/(Sens!$M$7084+tk_fac*(1-colo_sh))</f>
        <v>0.77499450139483</v>
      </c>
    </row>
    <row r="7102" customFormat="false" ht="17.15" hidden="false" customHeight="false" outlineLevel="0" collapsed="false">
      <c r="A7102" s="1" t="s">
        <v>625</v>
      </c>
      <c r="B7102" s="8" t="s">
        <v>86</v>
      </c>
      <c r="C7102" s="38" t="n">
        <f aca="false">Q!$D$46-cx_rt*Q!$D$16-cx_awso*Sens!$C$7097</f>
        <v>25.2781053077374</v>
      </c>
      <c r="D7102" s="38" t="n">
        <f aca="false">Q!$E$46-cx_rt*Q!$E$16-cx_awso*Sens!$D$7097</f>
        <v>69.5686316310026</v>
      </c>
      <c r="E7102" s="38" t="n">
        <f aca="false">Q!$P$46-cx_rt*Q!$P$16-cx_awso*Sens!$E$7097</f>
        <v>64.1899206485108</v>
      </c>
      <c r="F7102" s="38" t="n">
        <f aca="false">MAX(Sens!$F$7079*(Sens!$F$7084+tk_fac*(1-colo_sh))/1000,capex_g26-Q!$P$46-Sens!$F$7100)</f>
        <v>96.2481299895</v>
      </c>
      <c r="G7102" s="38" t="n">
        <f aca="false">Sens!$E$7102+Sens!$F$7102</f>
        <v>160.438050638011</v>
      </c>
      <c r="H7102" s="38" t="n">
        <f aca="false">Sens!$H$7079*(Sens!$H$7084+tk_fac*(1-colo_sh))/1000+Sens!$H$7103</f>
        <v>198.57136494475</v>
      </c>
      <c r="I7102" s="38" t="n">
        <f aca="false">Sens!$I$7079*(Sens!$I$7084+tk_fac*(1-colo_sh))/1000+Sens!$I$7103</f>
        <v>204.6464699105</v>
      </c>
      <c r="J7102" s="38" t="n">
        <f aca="false">Sens!$J$7079*(Sens!$J$7084+tk_fac*(1-colo_sh))/1000+Sens!$J$7103</f>
        <v>209.8832381105</v>
      </c>
      <c r="K7102" s="38" t="n">
        <f aca="false">Sens!$K$7079*(Sens!$K$7084+tk_fac*(1-colo_sh))/1000+Sens!$K$7103</f>
        <v>155.238385275201</v>
      </c>
      <c r="L7102" s="38" t="n">
        <f aca="false">Sens!$L$7079*(Sens!$L$7084+tk_fac*(1-colo_sh))/1000+Sens!$L$7103</f>
        <v>132.014141639902</v>
      </c>
      <c r="M7102" s="38" t="n">
        <f aca="false">Sens!$M$7079*(Sens!$M$7084+tk_fac*(1-colo_sh))/1000+Sens!$M$7103</f>
        <v>132.230981659852</v>
      </c>
      <c r="P7102" s="5" t="s">
        <v>626</v>
      </c>
      <c r="R7102" s="38" t="n">
        <f aca="false">Q!$C$46-cx_rt*Q!$C$16-cx_awso*(Q!$C$7-mw_ye23/2*rpm_open/1000)</f>
        <v>1.50429979529945</v>
      </c>
      <c r="S7102" s="38" t="n">
        <f aca="false">Sens!$C$7102</f>
        <v>25.2781053077374</v>
      </c>
      <c r="T7102" s="38" t="n">
        <f aca="false">Sens!$D$7102</f>
        <v>69.5686316310026</v>
      </c>
      <c r="U7102" s="38" t="n">
        <f aca="false">Sens!$G$7102</f>
        <v>160.438050638011</v>
      </c>
      <c r="V7102" s="38" t="n">
        <f aca="false">Sens!$H$7102</f>
        <v>198.57136494475</v>
      </c>
      <c r="W7102" s="38" t="n">
        <f aca="false">Sens!$I$7102</f>
        <v>204.6464699105</v>
      </c>
      <c r="X7102" s="38" t="n">
        <f aca="false">Sens!$J$7102</f>
        <v>209.8832381105</v>
      </c>
      <c r="Y7102" s="38" t="n">
        <f aca="false">Sens!$K$7102</f>
        <v>155.238385275201</v>
      </c>
      <c r="Z7102" s="38" t="n">
        <f aca="false">Sens!$L$7102</f>
        <v>132.014141639902</v>
      </c>
      <c r="AA7102" s="38" t="n">
        <f aca="false">Sens!$M$7102</f>
        <v>132.230981659852</v>
      </c>
    </row>
    <row r="7103" customFormat="false" ht="17.15" hidden="false" customHeight="false" outlineLevel="0" collapsed="false">
      <c r="A7103" s="0" t="s">
        <v>627</v>
      </c>
      <c r="B7103" s="0" t="s">
        <v>86</v>
      </c>
      <c r="H7103" s="38" t="n">
        <f aca="false">SUMPRODUCT(--(Sens!$R$7072:$AA$7072=2027-tk_life),Sens!$R$7079:$AA$7079)*Sens!$H$7084/1000</f>
        <v>0</v>
      </c>
      <c r="I7103" s="38" t="n">
        <f aca="false">SUMPRODUCT(--(Sens!$R$7072:$AA$7072=2028-tk_life),Sens!$R$7079:$AA$7079)*Sens!$I$7084/1000</f>
        <v>0</v>
      </c>
      <c r="J7103" s="38" t="n">
        <f aca="false">SUMPRODUCT(--(Sens!$R$7072:$AA$7072=2029-tk_life),Sens!$R$7079:$AA$7079)*Sens!$J$7084/1000</f>
        <v>5.2367682</v>
      </c>
      <c r="K7103" s="38" t="n">
        <f aca="false">SUMPRODUCT(--(Sens!$R$7072:$AA$7072=2030-tk_life),Sens!$R$7079:$AA$7079)*Sens!$K$7084/1000</f>
        <v>10.4735364</v>
      </c>
      <c r="L7103" s="38" t="n">
        <f aca="false">SUMPRODUCT(--(Sens!$R$7072:$AA$7072=2031-tk_life),Sens!$R$7079:$AA$7079)*Sens!$L$7084/1000</f>
        <v>47.1309138</v>
      </c>
      <c r="M7103" s="38" t="n">
        <f aca="false">SUMPRODUCT(--(Sens!$R$7072:$AA$7072=2032-tk_life),Sens!$R$7079:$AA$7079)*Sens!$M$7084/1000</f>
        <v>107.22937485525</v>
      </c>
    </row>
    <row r="7104" customFormat="false" ht="17.15" hidden="false" customHeight="false" outlineLevel="0" collapsed="false">
      <c r="A7104" s="5" t="s">
        <v>628</v>
      </c>
      <c r="B7104" s="0" t="s">
        <v>86</v>
      </c>
      <c r="C7104" s="38" t="n">
        <f aca="false">Sens!$C$7102*Sens!$C$7101</f>
        <v>18.472138699801</v>
      </c>
      <c r="D7104" s="38" t="n">
        <f aca="false">Sens!$D$7102*Sens!$D$7101</f>
        <v>50.8377268390402</v>
      </c>
      <c r="E7104" s="38" t="n">
        <f aca="false">Sens!$E$7102*Sens!$E$7101</f>
        <v>48.8351995705653</v>
      </c>
      <c r="F7104" s="38" t="n">
        <f aca="false">Sens!$F$7102*Sens!$F$7101</f>
        <v>73.2248394895</v>
      </c>
      <c r="G7104" s="38" t="n">
        <f aca="false">Sens!$E$7104+Sens!$F$7104</f>
        <v>122.060039060065</v>
      </c>
      <c r="H7104" s="38" t="n">
        <f aca="false">(Sens!$H$7102-Sens!$H$7103)*Sens!$H$7101+Sens!$H$7103</f>
        <v>152.52478394475</v>
      </c>
      <c r="I7104" s="38" t="n">
        <f aca="false">(Sens!$I$7102-Sens!$I$7103)*Sens!$I$7101+Sens!$I$7103</f>
        <v>158.5998889105</v>
      </c>
      <c r="J7104" s="38" t="n">
        <f aca="false">(Sens!$J$7102-Sens!$J$7103)*Sens!$J$7101+Sens!$J$7103</f>
        <v>163.8366571105</v>
      </c>
      <c r="K7104" s="38" t="n">
        <f aca="false">(Sens!$K$7102-Sens!$K$7103)*Sens!$K$7101+Sens!$K$7103</f>
        <v>122.665498273534</v>
      </c>
      <c r="L7104" s="38" t="n">
        <f aca="false">(Sens!$L$7102-Sens!$L$7103)*Sens!$L$7101+Sens!$L$7103</f>
        <v>112.914948636568</v>
      </c>
      <c r="M7104" s="38" t="n">
        <f aca="false">(Sens!$M$7102-Sens!$M$7103)*Sens!$M$7101+Sens!$M$7103</f>
        <v>126.605482654852</v>
      </c>
      <c r="R7104" s="38" t="n">
        <f aca="false">Sens!$R$7102*Sens!$C$7101</f>
        <v>1.09927679019314</v>
      </c>
      <c r="S7104" s="38" t="n">
        <f aca="false">Sens!$C$7104</f>
        <v>18.472138699801</v>
      </c>
      <c r="T7104" s="38" t="n">
        <f aca="false">Sens!$D$7104</f>
        <v>50.8377268390402</v>
      </c>
      <c r="U7104" s="38" t="n">
        <f aca="false">Sens!$G$7104</f>
        <v>122.060039060065</v>
      </c>
      <c r="V7104" s="38" t="n">
        <f aca="false">Sens!$H$7104</f>
        <v>152.52478394475</v>
      </c>
      <c r="W7104" s="38" t="n">
        <f aca="false">Sens!$I$7104</f>
        <v>158.5998889105</v>
      </c>
      <c r="X7104" s="38" t="n">
        <f aca="false">Sens!$J$7104</f>
        <v>163.8366571105</v>
      </c>
      <c r="Y7104" s="38" t="n">
        <f aca="false">Sens!$K$7104</f>
        <v>122.665498273534</v>
      </c>
      <c r="Z7104" s="38" t="n">
        <f aca="false">Sens!$L$7104</f>
        <v>112.914948636568</v>
      </c>
      <c r="AA7104" s="38" t="n">
        <f aca="false">Sens!$M$7104</f>
        <v>126.605482654852</v>
      </c>
    </row>
    <row r="7105" customFormat="false" ht="15" hidden="false" customHeight="false" outlineLevel="0" collapsed="false">
      <c r="A7105" s="5" t="s">
        <v>629</v>
      </c>
      <c r="B7105" s="0" t="s">
        <v>86</v>
      </c>
      <c r="C7105" s="38" t="n">
        <f aca="false">Sens!$C$7102-Sens!$C$7104</f>
        <v>6.80596660793636</v>
      </c>
      <c r="D7105" s="38" t="n">
        <f aca="false">Sens!$D$7102-Sens!$D$7104</f>
        <v>18.7309047919624</v>
      </c>
      <c r="E7105" s="38" t="n">
        <f aca="false">Sens!$E$7102-Sens!$E$7104</f>
        <v>15.3547210779455</v>
      </c>
      <c r="F7105" s="38" t="n">
        <f aca="false">Sens!$F$7102-Sens!$F$7104</f>
        <v>23.0232905</v>
      </c>
      <c r="G7105" s="38" t="n">
        <f aca="false">Sens!$G$7102-Sens!$G$7104</f>
        <v>38.3780115779455</v>
      </c>
      <c r="H7105" s="38" t="n">
        <f aca="false">Sens!$H$7102-Sens!$H$7104</f>
        <v>46.046581</v>
      </c>
      <c r="I7105" s="38" t="n">
        <f aca="false">Sens!$I$7102-Sens!$I$7104</f>
        <v>46.046581</v>
      </c>
      <c r="J7105" s="38" t="n">
        <f aca="false">Sens!$J$7102-Sens!$J$7104</f>
        <v>46.046581</v>
      </c>
      <c r="K7105" s="38" t="n">
        <f aca="false">Sens!$K$7102-Sens!$K$7104</f>
        <v>32.5728870016667</v>
      </c>
      <c r="L7105" s="38" t="n">
        <f aca="false">Sens!$L$7102-Sens!$L$7104</f>
        <v>19.0991930033334</v>
      </c>
      <c r="M7105" s="38" t="n">
        <f aca="false">Sens!$M$7102-Sens!$M$7104</f>
        <v>5.62549900499998</v>
      </c>
      <c r="R7105" s="38" t="n">
        <f aca="false">Sens!$R$7102-Sens!$R$7104</f>
        <v>0.405023005106309</v>
      </c>
      <c r="S7105" s="38" t="n">
        <f aca="false">Sens!$S$7102-Sens!$S$7104</f>
        <v>6.80596660793636</v>
      </c>
      <c r="T7105" s="38" t="n">
        <f aca="false">Sens!$T$7102-Sens!$T$7104</f>
        <v>18.7309047919624</v>
      </c>
      <c r="U7105" s="38" t="n">
        <f aca="false">Sens!$U$7102-Sens!$U$7104</f>
        <v>38.3780115779455</v>
      </c>
      <c r="V7105" s="38" t="n">
        <f aca="false">Sens!$V$7102-Sens!$V$7104</f>
        <v>46.046581</v>
      </c>
      <c r="W7105" s="38" t="n">
        <f aca="false">Sens!$W$7102-Sens!$W$7104</f>
        <v>46.046581</v>
      </c>
      <c r="X7105" s="38" t="n">
        <f aca="false">Sens!$X$7102-Sens!$X$7104</f>
        <v>46.046581</v>
      </c>
      <c r="Y7105" s="38" t="n">
        <f aca="false">Sens!$Y$7102-Sens!$Y$7104</f>
        <v>32.5728870016667</v>
      </c>
      <c r="Z7105" s="38" t="n">
        <f aca="false">Sens!$Z$7102-Sens!$Z$7104</f>
        <v>19.0991930033334</v>
      </c>
      <c r="AA7105" s="38" t="n">
        <f aca="false">Sens!$AA$7102-Sens!$AA$7104</f>
        <v>5.62549900499998</v>
      </c>
    </row>
    <row r="7106" customFormat="false" ht="17.15" hidden="false" customHeight="false" outlineLevel="0" collapsed="false">
      <c r="A7106" s="0" t="s">
        <v>630</v>
      </c>
      <c r="B7106" s="0" t="s">
        <v>52</v>
      </c>
      <c r="C7106" s="13" t="n">
        <f aca="false">Sens!$C$7102/Sens!$C$7222</f>
        <v>0.325505489553393</v>
      </c>
      <c r="D7106" s="13" t="n">
        <f aca="false">Sens!$D$7102/Sens!$D$7222</f>
        <v>0.54214956071542</v>
      </c>
      <c r="E7106" s="13" t="n">
        <f aca="false">Sens!$E$7102/Sens!$E$7222</f>
        <v>0.666492790452817</v>
      </c>
      <c r="F7106" s="13" t="n">
        <f aca="false">Sens!$F$7102/Sens!$F$7222</f>
        <v>0.733477910687338</v>
      </c>
      <c r="G7106" s="13" t="n">
        <f aca="false">Sens!$G$7102/Sens!$G$7222</f>
        <v>0.705124321514523</v>
      </c>
      <c r="H7106" s="13" t="n">
        <f aca="false">Sens!$H$7102/Sens!$H$7222</f>
        <v>0.726376041178204</v>
      </c>
      <c r="I7106" s="13" t="n">
        <f aca="false">Sens!$I$7102/Sens!$I$7222</f>
        <v>0.713099092661699</v>
      </c>
      <c r="J7106" s="13" t="n">
        <f aca="false">Sens!$J$7102/Sens!$J$7222</f>
        <v>0.701208348786245</v>
      </c>
      <c r="K7106" s="13" t="n">
        <f aca="false">Sens!$K$7102/Sens!$K$7222</f>
        <v>0.618338844562383</v>
      </c>
      <c r="L7106" s="13" t="n">
        <f aca="false">Sens!$L$7102/Sens!$L$7222</f>
        <v>0.562489158462506</v>
      </c>
      <c r="M7106" s="13" t="n">
        <f aca="false">Sens!$M$7102/Sens!$M$7222</f>
        <v>0.545751190895923</v>
      </c>
    </row>
    <row r="7107" customFormat="false" ht="17.15" hidden="false" customHeight="false" outlineLevel="0" collapsed="false">
      <c r="A7107" s="0" t="s">
        <v>631</v>
      </c>
      <c r="B7107" s="0" t="s">
        <v>86</v>
      </c>
      <c r="C7107" s="38" t="n">
        <f aca="false">Sens!$S$7107</f>
        <v>0.183212798365523</v>
      </c>
      <c r="D7107" s="38" t="n">
        <f aca="false">Sens!$T$7107</f>
        <v>3.2619025816657</v>
      </c>
      <c r="E7107" s="38" t="n">
        <f aca="false">Sens!$G$7107/2</f>
        <v>5.86742852741953</v>
      </c>
      <c r="F7107" s="38" t="n">
        <f aca="false">Sens!$G$7107/2</f>
        <v>5.86742852741953</v>
      </c>
      <c r="G7107" s="38" t="n">
        <f aca="false">Sens!$U$7107</f>
        <v>11.7348570548391</v>
      </c>
      <c r="H7107" s="38" t="n">
        <f aca="false">Sens!$V$7107</f>
        <v>32.0781968981833</v>
      </c>
      <c r="I7107" s="38" t="n">
        <f aca="false">Sens!$W$7107</f>
        <v>57.4989942223083</v>
      </c>
      <c r="J7107" s="38" t="n">
        <f aca="false">Sens!$X$7107</f>
        <v>83.932309040725</v>
      </c>
      <c r="K7107" s="38" t="n">
        <f aca="false">Sens!$Y$7107</f>
        <v>111.055205760776</v>
      </c>
      <c r="L7107" s="38" t="n">
        <f aca="false">Sens!$Z$7107</f>
        <v>128.420765689732</v>
      </c>
      <c r="M7107" s="38" t="n">
        <f aca="false">Sens!$AA$7107</f>
        <v>138.766969322653</v>
      </c>
      <c r="N7107" s="38" t="n">
        <f aca="false">Sens!$D$7107/2</f>
        <v>1.63095129083285</v>
      </c>
      <c r="O7107" s="38" t="n">
        <f aca="false">Sens!$D$7107/2</f>
        <v>1.63095129083285</v>
      </c>
      <c r="R7107" s="38" t="n">
        <f aca="false">SUMPRODUCT(--(Sens!$R$7072:$AA$7072&lt;Sens!R$7072),--(Sens!$R$7072:$AA$7072&gt;=Sens!R$7072-tk_life),Sens!$R$7104:$AA$7104)/tk_life</f>
        <v>0</v>
      </c>
      <c r="S7107" s="38" t="n">
        <f aca="false">SUMPRODUCT(--(Sens!$R$7072:$AA$7072&lt;Sens!S$7072),--(Sens!$R$7072:$AA$7072&gt;=Sens!S$7072-tk_life),Sens!$R$7104:$AA$7104)/tk_life</f>
        <v>0.183212798365523</v>
      </c>
      <c r="T7107" s="38" t="n">
        <f aca="false">SUMPRODUCT(--(Sens!$R$7072:$AA$7072&lt;Sens!T$7072),--(Sens!$R$7072:$AA$7072&gt;=Sens!T$7072-tk_life),Sens!$R$7104:$AA$7104)/tk_life</f>
        <v>3.2619025816657</v>
      </c>
      <c r="U7107" s="38" t="n">
        <f aca="false">SUMPRODUCT(--(Sens!$R$7072:$AA$7072&lt;Sens!U$7072),--(Sens!$R$7072:$AA$7072&gt;=Sens!U$7072-tk_life),Sens!$R$7104:$AA$7104)/tk_life</f>
        <v>11.7348570548391</v>
      </c>
      <c r="V7107" s="38" t="n">
        <f aca="false">SUMPRODUCT(--(Sens!$R$7072:$AA$7072&lt;Sens!V$7072),--(Sens!$R$7072:$AA$7072&gt;=Sens!V$7072-tk_life),Sens!$R$7104:$AA$7104)/tk_life</f>
        <v>32.0781968981833</v>
      </c>
      <c r="W7107" s="38" t="n">
        <f aca="false">SUMPRODUCT(--(Sens!$R$7072:$AA$7072&lt;Sens!W$7072),--(Sens!$R$7072:$AA$7072&gt;=Sens!W$7072-tk_life),Sens!$R$7104:$AA$7104)/tk_life</f>
        <v>57.4989942223083</v>
      </c>
      <c r="X7107" s="38" t="n">
        <f aca="false">SUMPRODUCT(--(Sens!$R$7072:$AA$7072&lt;Sens!X$7072),--(Sens!$R$7072:$AA$7072&gt;=Sens!X$7072-tk_life),Sens!$R$7104:$AA$7104)/tk_life</f>
        <v>83.932309040725</v>
      </c>
      <c r="Y7107" s="38" t="n">
        <f aca="false">SUMPRODUCT(--(Sens!$R$7072:$AA$7072&lt;Sens!Y$7072),--(Sens!$R$7072:$AA$7072&gt;=Sens!Y$7072-tk_life),Sens!$R$7104:$AA$7104)/tk_life</f>
        <v>111.055205760776</v>
      </c>
      <c r="Z7107" s="38" t="n">
        <f aca="false">SUMPRODUCT(--(Sens!$R$7072:$AA$7072&lt;Sens!Z$7072),--(Sens!$R$7072:$AA$7072&gt;=Sens!Z$7072-tk_life),Sens!$R$7104:$AA$7104)/tk_life</f>
        <v>128.420765689732</v>
      </c>
      <c r="AA7107" s="38" t="n">
        <f aca="false">SUMPRODUCT(--(Sens!$R$7072:$AA$7072&lt;Sens!AA$7072),--(Sens!$R$7072:$AA$7072&gt;=Sens!AA$7072-tk_life),Sens!$R$7104:$AA$7104)/tk_life</f>
        <v>138.766969322653</v>
      </c>
    </row>
    <row r="7108" customFormat="false" ht="17.15" hidden="false" customHeight="false" outlineLevel="0" collapsed="false">
      <c r="A7108" s="0" t="s">
        <v>632</v>
      </c>
      <c r="B7108" s="0" t="s">
        <v>86</v>
      </c>
      <c r="C7108" s="38" t="n">
        <f aca="false">Sens!$S$7108</f>
        <v>0.0202511502553155</v>
      </c>
      <c r="D7108" s="38" t="n">
        <f aca="false">Sens!$T$7108</f>
        <v>0.360549480652134</v>
      </c>
      <c r="E7108" s="38" t="n">
        <f aca="false">Sens!$G$7108/2</f>
        <v>0.648547360125127</v>
      </c>
      <c r="F7108" s="38" t="n">
        <f aca="false">Sens!$G$7108/2</f>
        <v>0.648547360125127</v>
      </c>
      <c r="G7108" s="38" t="n">
        <f aca="false">Sens!$U$7108</f>
        <v>1.29709472025025</v>
      </c>
      <c r="H7108" s="38" t="n">
        <f aca="false">Sens!$V$7108</f>
        <v>3.21599529914753</v>
      </c>
      <c r="I7108" s="38" t="n">
        <f aca="false">Sens!$W$7108</f>
        <v>5.51832434914753</v>
      </c>
      <c r="J7108" s="38" t="n">
        <f aca="false">Sens!$X$7108</f>
        <v>7.82065339914753</v>
      </c>
      <c r="K7108" s="38" t="n">
        <f aca="false">Sens!$Y$7108</f>
        <v>10.1229824491475</v>
      </c>
      <c r="L7108" s="38" t="n">
        <f aca="false">Sens!$Z$7108</f>
        <v>11.7516267992309</v>
      </c>
      <c r="M7108" s="38" t="n">
        <f aca="false">Sens!$AA$7108</f>
        <v>12.7065864493975</v>
      </c>
      <c r="N7108" s="38" t="n">
        <f aca="false">Sens!$D$7108/2</f>
        <v>0.180274740326067</v>
      </c>
      <c r="O7108" s="38" t="n">
        <f aca="false">Sens!$D$7108/2</f>
        <v>0.180274740326067</v>
      </c>
      <c r="R7108" s="38" t="n">
        <f aca="false">SUMPRODUCT(--(Sens!$R$7072:$AA$7072&lt;Sens!R$7072),Sens!$R$7105:$AA$7105)/fac_life</f>
        <v>0</v>
      </c>
      <c r="S7108" s="38" t="n">
        <f aca="false">SUMPRODUCT(--(Sens!$R$7072:$AA$7072&lt;Sens!S$7072),Sens!$R$7105:$AA$7105)/fac_life</f>
        <v>0.0202511502553155</v>
      </c>
      <c r="T7108" s="38" t="n">
        <f aca="false">SUMPRODUCT(--(Sens!$R$7072:$AA$7072&lt;Sens!T$7072),Sens!$R$7105:$AA$7105)/fac_life</f>
        <v>0.360549480652134</v>
      </c>
      <c r="U7108" s="38" t="n">
        <f aca="false">SUMPRODUCT(--(Sens!$R$7072:$AA$7072&lt;Sens!U$7072),Sens!$R$7105:$AA$7105)/fac_life</f>
        <v>1.29709472025025</v>
      </c>
      <c r="V7108" s="38" t="n">
        <f aca="false">SUMPRODUCT(--(Sens!$R$7072:$AA$7072&lt;Sens!V$7072),Sens!$R$7105:$AA$7105)/fac_life</f>
        <v>3.21599529914753</v>
      </c>
      <c r="W7108" s="38" t="n">
        <f aca="false">SUMPRODUCT(--(Sens!$R$7072:$AA$7072&lt;Sens!W$7072),Sens!$R$7105:$AA$7105)/fac_life</f>
        <v>5.51832434914753</v>
      </c>
      <c r="X7108" s="38" t="n">
        <f aca="false">SUMPRODUCT(--(Sens!$R$7072:$AA$7072&lt;Sens!X$7072),Sens!$R$7105:$AA$7105)/fac_life</f>
        <v>7.82065339914753</v>
      </c>
      <c r="Y7108" s="38" t="n">
        <f aca="false">SUMPRODUCT(--(Sens!$R$7072:$AA$7072&lt;Sens!Y$7072),Sens!$R$7105:$AA$7105)/fac_life</f>
        <v>10.1229824491475</v>
      </c>
      <c r="Z7108" s="38" t="n">
        <f aca="false">SUMPRODUCT(--(Sens!$R$7072:$AA$7072&lt;Sens!Z$7072),Sens!$R$7105:$AA$7105)/fac_life</f>
        <v>11.7516267992309</v>
      </c>
      <c r="AA7108" s="38" t="n">
        <f aca="false">SUMPRODUCT(--(Sens!$R$7072:$AA$7072&lt;Sens!AA$7072),Sens!$R$7105:$AA$7105)/fac_life</f>
        <v>12.7065864493975</v>
      </c>
    </row>
    <row r="7109" customFormat="false" ht="17.15" hidden="false" customHeight="false" outlineLevel="0" collapsed="false">
      <c r="A7109" s="1" t="s">
        <v>633</v>
      </c>
      <c r="B7109" s="8" t="s">
        <v>86</v>
      </c>
      <c r="C7109" s="38" t="n">
        <f aca="false">Sens!$C$7107+Sens!$C$7108</f>
        <v>0.203463948620839</v>
      </c>
      <c r="D7109" s="38" t="n">
        <f aca="false">Sens!$D$7107+Sens!$D$7108</f>
        <v>3.62245206231783</v>
      </c>
      <c r="E7109" s="38" t="n">
        <f aca="false">Sens!$E$7107+Sens!$E$7108</f>
        <v>6.51597588754466</v>
      </c>
      <c r="F7109" s="38" t="n">
        <f aca="false">Sens!$F$7107+Sens!$F$7108</f>
        <v>6.51597588754466</v>
      </c>
      <c r="G7109" s="38" t="n">
        <f aca="false">Sens!$G$7107+Sens!$G$7108</f>
        <v>13.0319517750893</v>
      </c>
      <c r="H7109" s="38" t="n">
        <f aca="false">Sens!$H$7107+Sens!$H$7108</f>
        <v>35.2941921973308</v>
      </c>
      <c r="I7109" s="38" t="n">
        <f aca="false">Sens!$I$7107+Sens!$I$7108</f>
        <v>63.0173185714558</v>
      </c>
      <c r="J7109" s="38" t="n">
        <f aca="false">Sens!$J$7107+Sens!$J$7108</f>
        <v>91.7529624398725</v>
      </c>
      <c r="K7109" s="38" t="n">
        <f aca="false">Sens!$K$7107+Sens!$K$7108</f>
        <v>121.178188209924</v>
      </c>
      <c r="L7109" s="38" t="n">
        <f aca="false">Sens!$L$7107+Sens!$L$7108</f>
        <v>140.172392488963</v>
      </c>
      <c r="M7109" s="38" t="n">
        <f aca="false">Sens!$M$7107+Sens!$M$7108</f>
        <v>151.473555772051</v>
      </c>
      <c r="N7109" s="38" t="n">
        <f aca="false">Sens!$N$7107+Sens!$N$7108</f>
        <v>1.81122603115892</v>
      </c>
      <c r="O7109" s="38" t="n">
        <f aca="false">Sens!$O$7107+Sens!$O$7108</f>
        <v>1.81122603115892</v>
      </c>
      <c r="R7109" s="38" t="n">
        <f aca="false">Sens!$R$7107+Sens!$R$7108</f>
        <v>0</v>
      </c>
      <c r="S7109" s="38" t="n">
        <f aca="false">Sens!$S$7107+Sens!$S$7108</f>
        <v>0.203463948620839</v>
      </c>
      <c r="T7109" s="38" t="n">
        <f aca="false">Sens!$T$7107+Sens!$T$7108</f>
        <v>3.62245206231783</v>
      </c>
      <c r="U7109" s="38" t="n">
        <f aca="false">Sens!$U$7107+Sens!$U$7108</f>
        <v>13.0319517750893</v>
      </c>
      <c r="V7109" s="38" t="n">
        <f aca="false">Sens!$V$7107+Sens!$V$7108</f>
        <v>35.2941921973308</v>
      </c>
      <c r="W7109" s="38" t="n">
        <f aca="false">Sens!$W$7107+Sens!$W$7108</f>
        <v>63.0173185714558</v>
      </c>
      <c r="X7109" s="38" t="n">
        <f aca="false">Sens!$X$7107+Sens!$X$7108</f>
        <v>91.7529624398725</v>
      </c>
      <c r="Y7109" s="38" t="n">
        <f aca="false">Sens!$Y$7107+Sens!$Y$7108</f>
        <v>121.178188209924</v>
      </c>
      <c r="Z7109" s="38" t="n">
        <f aca="false">Sens!$Z$7107+Sens!$Z$7108</f>
        <v>140.172392488963</v>
      </c>
      <c r="AA7109" s="38" t="n">
        <f aca="false">Sens!$AA$7107+Sens!$AA$7108</f>
        <v>151.473555772051</v>
      </c>
    </row>
    <row r="7110" customFormat="false" ht="17.15" hidden="false" customHeight="false" outlineLevel="0" collapsed="false">
      <c r="A7110" s="0" t="s">
        <v>634</v>
      </c>
      <c r="B7110" s="0" t="s">
        <v>86</v>
      </c>
      <c r="C7110" s="38" t="n">
        <f aca="false">Sens!$S$7110</f>
        <v>26.578941154416</v>
      </c>
      <c r="D7110" s="38" t="n">
        <f aca="false">Sens!$T$7110</f>
        <v>92.5251207231008</v>
      </c>
      <c r="G7110" s="38" t="n">
        <f aca="false">Sens!$U$7110</f>
        <v>239.931219586022</v>
      </c>
      <c r="H7110" s="38" t="n">
        <f aca="false">Sens!$V$7110</f>
        <v>403.208392333442</v>
      </c>
      <c r="I7110" s="38" t="n">
        <f aca="false">Sens!$W$7110</f>
        <v>544.837543672486</v>
      </c>
      <c r="J7110" s="38" t="n">
        <f aca="false">Sens!$X$7110</f>
        <v>662.967819343113</v>
      </c>
      <c r="K7110" s="38" t="n">
        <f aca="false">Sens!$Y$7110</f>
        <v>697.028016408391</v>
      </c>
      <c r="L7110" s="38" t="n">
        <f aca="false">Sens!$Z$7110</f>
        <v>688.86976555933</v>
      </c>
      <c r="M7110" s="38" t="n">
        <f aca="false">Sens!$AA$7110</f>
        <v>669.627191447132</v>
      </c>
      <c r="R7110" s="38" t="n">
        <f aca="false">SUM(Sens!$R$7102:$R$7102)-SUM(Sens!$R$7109:$R$7109)</f>
        <v>1.50429979529945</v>
      </c>
      <c r="S7110" s="38" t="n">
        <f aca="false">SUM(Sens!$R$7102:$S$7102)-SUM(Sens!$R$7109:$S$7109)</f>
        <v>26.578941154416</v>
      </c>
      <c r="T7110" s="38" t="n">
        <f aca="false">SUM(Sens!$R$7102:$T$7102)-SUM(Sens!$R$7109:$T$7109)</f>
        <v>92.5251207231008</v>
      </c>
      <c r="U7110" s="38" t="n">
        <f aca="false">SUM(Sens!$R$7102:$U$7102)-SUM(Sens!$R$7109:$U$7109)</f>
        <v>239.931219586022</v>
      </c>
      <c r="V7110" s="38" t="n">
        <f aca="false">SUM(Sens!$R$7102:$V$7102)-SUM(Sens!$R$7109:$V$7109)</f>
        <v>403.208392333442</v>
      </c>
      <c r="W7110" s="38" t="n">
        <f aca="false">SUM(Sens!$R$7102:$W$7102)-SUM(Sens!$R$7109:$W$7109)</f>
        <v>544.837543672486</v>
      </c>
      <c r="X7110" s="38" t="n">
        <f aca="false">SUM(Sens!$R$7102:$X$7102)-SUM(Sens!$R$7109:$X$7109)</f>
        <v>662.967819343113</v>
      </c>
      <c r="Y7110" s="38" t="n">
        <f aca="false">SUM(Sens!$R$7102:$Y$7102)-SUM(Sens!$R$7109:$Y$7109)</f>
        <v>697.028016408391</v>
      </c>
      <c r="Z7110" s="38" t="n">
        <f aca="false">SUM(Sens!$R$7102:$Z$7102)-SUM(Sens!$R$7109:$Z$7109)</f>
        <v>688.86976555933</v>
      </c>
      <c r="AA7110" s="38" t="n">
        <f aca="false">SUM(Sens!$R$7102:$AA$7102)-SUM(Sens!$R$7109:$AA$7109)</f>
        <v>669.627191447132</v>
      </c>
    </row>
    <row r="7111" customFormat="false" ht="17.15" hidden="false" customHeight="false" outlineLevel="0" collapsed="false">
      <c r="A7111" s="1" t="s">
        <v>635</v>
      </c>
    </row>
    <row r="7112" customFormat="false" ht="17.15" hidden="false" customHeight="false" outlineLevel="0" collapsed="false">
      <c r="A7112" s="0" t="s">
        <v>636</v>
      </c>
      <c r="B7112" s="0" t="s">
        <v>86</v>
      </c>
      <c r="C7112" s="38" t="n">
        <f aca="false">Sens!$C$7093-ext_sh*Sens!$C$7095</f>
        <v>1.80694998843362</v>
      </c>
      <c r="D7112" s="38" t="n">
        <f aca="false">Sens!$D$7093-ext_sh*Sens!$D$7095</f>
        <v>6.77606245662607</v>
      </c>
      <c r="E7112" s="38" t="n">
        <f aca="false">Sens!$E$7093-ext_sh*Sens!$E$7095</f>
        <v>6.62548329092326</v>
      </c>
      <c r="F7112" s="38" t="n">
        <f aca="false">Sens!$F$7093-ext_sh*Sens!$F$7095</f>
        <v>11.7200577158706</v>
      </c>
      <c r="G7112" s="38" t="n">
        <f aca="false">Sens!$G$7093-ext_sh*Sens!$G$7095</f>
        <v>18.3455410067939</v>
      </c>
      <c r="H7112" s="38" t="n">
        <f aca="false">Sens!$H$7093-ext_sh*Sens!$H$7095</f>
        <v>47.5171727060453</v>
      </c>
      <c r="I7112" s="38" t="n">
        <f aca="false">Sens!$I$7093-ext_sh*Sens!$I$7095</f>
        <v>80.5539692643667</v>
      </c>
      <c r="J7112" s="38" t="n">
        <f aca="false">Sens!$J$7093-ext_sh*Sens!$J$7095</f>
        <v>113.759316834883</v>
      </c>
      <c r="K7112" s="38" t="n">
        <f aca="false">Sens!$K$7093-ext_sh*Sens!$K$7095</f>
        <v>142.084411492169</v>
      </c>
      <c r="L7112" s="38" t="n">
        <f aca="false">Sens!$L$7093-ext_sh*Sens!$L$7095</f>
        <v>160.69964615804</v>
      </c>
      <c r="M7112" s="38" t="n">
        <f aca="false">Sens!$M$7093-ext_sh*Sens!$M$7095</f>
        <v>169.577607141793</v>
      </c>
      <c r="N7112" s="38" t="n">
        <f aca="false">Sens!$N$7093-ext_sh*Sens!$N$7095</f>
        <v>2.37162185981912</v>
      </c>
      <c r="O7112" s="38" t="n">
        <f aca="false">Sens!$O$7093-ext_sh*Sens!$O$7095</f>
        <v>4.40444059680694</v>
      </c>
    </row>
    <row r="7113" customFormat="false" ht="17.15" hidden="false" customHeight="false" outlineLevel="0" collapsed="false">
      <c r="A7113" s="1" t="s">
        <v>637</v>
      </c>
      <c r="B7113" s="8" t="s">
        <v>86</v>
      </c>
      <c r="C7113" s="38" t="n">
        <f aca="false">Sens!$C$7112-ext_sh*Sens!$C$7109</f>
        <v>1.64417882953695</v>
      </c>
      <c r="D7113" s="38" t="n">
        <f aca="false">Sens!$D$7112-ext_sh*Sens!$D$7109</f>
        <v>3.8781008067718</v>
      </c>
      <c r="E7113" s="38" t="n">
        <f aca="false">Sens!$E$7112-ext_sh*Sens!$E$7109</f>
        <v>1.41270258088753</v>
      </c>
      <c r="F7113" s="38" t="n">
        <f aca="false">Sens!$F$7112-ext_sh*Sens!$F$7109</f>
        <v>6.50727700583486</v>
      </c>
      <c r="G7113" s="38" t="n">
        <f aca="false">Sens!$G$7112-ext_sh*Sens!$G$7109</f>
        <v>7.9199795867224</v>
      </c>
      <c r="H7113" s="38" t="n">
        <f aca="false">Sens!$H$7112-ext_sh*Sens!$H$7109</f>
        <v>19.2818189481807</v>
      </c>
      <c r="I7113" s="38" t="n">
        <f aca="false">Sens!$I$7112-ext_sh*Sens!$I$7109</f>
        <v>30.140114407202</v>
      </c>
      <c r="J7113" s="38" t="n">
        <f aca="false">Sens!$J$7112-ext_sh*Sens!$J$7109</f>
        <v>40.3569468829854</v>
      </c>
      <c r="K7113" s="38" t="n">
        <f aca="false">Sens!$K$7112-ext_sh*Sens!$K$7109</f>
        <v>45.1418609242305</v>
      </c>
      <c r="L7113" s="38" t="n">
        <f aca="false">Sens!$L$7112-ext_sh*Sens!$L$7109</f>
        <v>48.5617321668703</v>
      </c>
      <c r="M7113" s="38" t="n">
        <f aca="false">Sens!$M$7112-ext_sh*Sens!$M$7109</f>
        <v>48.3987625241529</v>
      </c>
      <c r="N7113" s="38" t="n">
        <f aca="false">Sens!$N$7112-ext_sh*Sens!$N$7109</f>
        <v>0.92264103489199</v>
      </c>
      <c r="O7113" s="38" t="n">
        <f aca="false">Sens!$O$7112-ext_sh*Sens!$O$7109</f>
        <v>2.95545977187981</v>
      </c>
    </row>
    <row r="7114" customFormat="false" ht="17.15" hidden="false" customHeight="false" outlineLevel="0" collapsed="false">
      <c r="A7114" s="0" t="s">
        <v>638</v>
      </c>
      <c r="B7114" s="0" t="s">
        <v>52</v>
      </c>
      <c r="C7114" s="13" t="n">
        <f aca="false">Sens!$C$7113/Sens!$C$7093</f>
        <v>0.708390794789371</v>
      </c>
      <c r="D7114" s="13" t="n">
        <f aca="false">Sens!$D$7113/Sens!$D$7093</f>
        <v>0.445565630441968</v>
      </c>
      <c r="E7114" s="13" t="n">
        <f aca="false">Sens!$E$7113/Sens!$E$7093</f>
        <v>0.165998118402711</v>
      </c>
      <c r="F7114" s="13" t="n">
        <f aca="false">Sens!$F$7113/Sens!$F$7093</f>
        <v>0.434878595403858</v>
      </c>
      <c r="G7114" s="13" t="n">
        <f aca="false">Sens!$G$7113/Sens!$G$7093</f>
        <v>0.3373967615381</v>
      </c>
      <c r="H7114" s="13" t="n">
        <f aca="false">Sens!$H$7113/Sens!$H$7093</f>
        <v>0.320477578041224</v>
      </c>
      <c r="I7114" s="13" t="n">
        <f aca="false">Sens!$I$7113/Sens!$I$7093</f>
        <v>0.296936118226494</v>
      </c>
      <c r="J7114" s="13" t="n">
        <f aca="false">Sens!$J$7113/Sens!$J$7093</f>
        <v>0.282166278613001</v>
      </c>
      <c r="K7114" s="13" t="n">
        <f aca="false">Sens!$K$7113/Sens!$K$7093</f>
        <v>0.252969102881543</v>
      </c>
      <c r="L7114" s="13" t="n">
        <f aca="false">Sens!$L$7113/Sens!$L$7093</f>
        <v>0.240728642826566</v>
      </c>
      <c r="M7114" s="13" t="n">
        <f aca="false">Sens!$M$7113/Sens!$M$7093</f>
        <v>0.227399920863147</v>
      </c>
      <c r="N7114" s="13" t="n">
        <f aca="false">Sens!$N$7113/Sens!$N$7093</f>
        <v>0.302870734830849</v>
      </c>
      <c r="O7114" s="13" t="n">
        <f aca="false">Sens!$O$7113/Sens!$O$7093</f>
        <v>0.52240134346334</v>
      </c>
    </row>
    <row r="7115" customFormat="false" ht="17.15" hidden="false" customHeight="false" outlineLevel="0" collapsed="false">
      <c r="A7115" s="5" t="s">
        <v>639</v>
      </c>
      <c r="B7115" s="0" t="s">
        <v>86</v>
      </c>
      <c r="C7115" s="39" t="n">
        <v>0</v>
      </c>
      <c r="D7115" s="39" t="n">
        <v>0</v>
      </c>
      <c r="E7115" s="39" t="n">
        <v>0</v>
      </c>
      <c r="F7115" s="38" t="n">
        <f aca="false">IF(internal_ai_reading=2,1,0)*(1-ext_sh)/ext_sh*(mw_open*he_open+Sens!$F$7091*Sens!$F$7088)*Sens!$F$7077/1000</f>
        <v>3.77122048175818</v>
      </c>
      <c r="G7115" s="38" t="n">
        <f aca="false">Sens!$E$7115+Sens!$F$7115</f>
        <v>3.77122048175818</v>
      </c>
      <c r="H7115" s="38" t="n">
        <f aca="false">IF(internal_ai_reading=2,1,0)*(1-ext_sh)/ext_sh*(mw_open*he_open+Sens!$H$7091*Sens!$H$7088)*Sens!$H$7077/1000</f>
        <v>15.1635543609893</v>
      </c>
      <c r="I7115" s="38" t="n">
        <f aca="false">IF(internal_ai_reading=2,1,0)*(1-ext_sh)/ext_sh*(mw_open*he_open+Sens!$I$7091*Sens!$I$7088)*Sens!$I$7077/1000</f>
        <v>25.5818843619889</v>
      </c>
      <c r="J7115" s="38" t="n">
        <f aca="false">IF(internal_ai_reading=2,1,0)*(1-ext_sh)/ext_sh*(mw_open*he_open+Sens!$J$7091*Sens!$J$7088)*Sens!$J$7077/1000</f>
        <v>36.0465624179122</v>
      </c>
      <c r="K7115" s="38" t="n">
        <f aca="false">IF(internal_ai_reading=2,1,0)*(1-ext_sh)/ext_sh*(mw_open*he_open+Sens!$K$7091*Sens!$K$7088)*Sens!$K$7077/1000</f>
        <v>44.9741164026038</v>
      </c>
      <c r="L7115" s="38" t="n">
        <f aca="false">IF(internal_ai_reading=2,1,0)*(1-ext_sh)/ext_sh*(mw_open*he_open+Sens!$L$7091*Sens!$L$7088)*Sens!$L$7077/1000</f>
        <v>50.8413488057813</v>
      </c>
      <c r="M7115" s="38" t="n">
        <f aca="false">IF(internal_ai_reading=2,1,0)*(1-ext_sh)/ext_sh*(mw_open*he_open+Sens!$M$7091*Sens!$M$7088)*Sens!$M$7077/1000</f>
        <v>53.6407214274315</v>
      </c>
      <c r="N7115" s="39" t="n">
        <v>0</v>
      </c>
      <c r="O7115" s="39" t="n">
        <v>0</v>
      </c>
      <c r="P7115" s="8" t="s">
        <v>640</v>
      </c>
    </row>
    <row r="7116" customFormat="false" ht="17.15" hidden="false" customHeight="false" outlineLevel="0" collapsed="false">
      <c r="A7116" s="5" t="s">
        <v>641</v>
      </c>
      <c r="B7116" s="0" t="s">
        <v>86</v>
      </c>
      <c r="C7116" s="38" t="n">
        <f aca="false">(1-ext_sh)*(Sens!$C$7095+Sens!$C$7109)</f>
        <v>0.169206631859174</v>
      </c>
      <c r="D7116" s="38" t="n">
        <f aca="false">(1-ext_sh)*(Sens!$D$7095+Sens!$D$7109)</f>
        <v>1.20641732046984</v>
      </c>
      <c r="E7116" s="38" t="n">
        <f aca="false">(1-ext_sh)*(Sens!$E$7095+Sens!$E$7109)</f>
        <v>1.77441259867062</v>
      </c>
      <c r="F7116" s="38" t="n">
        <f aca="false">(1-ext_sh)*(Sens!$F$7095+Sens!$F$7109)</f>
        <v>2.1140391597214</v>
      </c>
      <c r="G7116" s="38" t="n">
        <f aca="false">(1-ext_sh)*(Sens!$G$7095+Sens!$G$7109)</f>
        <v>3.88845175839202</v>
      </c>
      <c r="H7116" s="38" t="n">
        <f aca="false">(1-ext_sh)*(Sens!$H$7095+Sens!$H$7109)</f>
        <v>10.2210179503985</v>
      </c>
      <c r="I7116" s="38" t="n">
        <f aca="false">(1-ext_sh)*(Sens!$I$7095+Sens!$I$7109)</f>
        <v>17.8408961823075</v>
      </c>
      <c r="J7116" s="38" t="n">
        <f aca="false">(1-ext_sh)*(Sens!$J$7095+Sens!$J$7109)</f>
        <v>25.6671150670732</v>
      </c>
      <c r="K7116" s="38" t="n">
        <f aca="false">(1-ext_sh)*(Sens!$K$7095+Sens!$K$7109)</f>
        <v>33.3265648647373</v>
      </c>
      <c r="L7116" s="38" t="n">
        <f aca="false">(1-ext_sh)*(Sens!$L$7095+Sens!$L$7109)</f>
        <v>38.2915924088815</v>
      </c>
      <c r="M7116" s="38" t="n">
        <f aca="false">(1-ext_sh)*(Sens!$M$7095+Sens!$M$7109)</f>
        <v>41.1091697111781</v>
      </c>
      <c r="N7116" s="38" t="n">
        <f aca="false">(1-ext_sh)*(Sens!$N$7095+Sens!$N$7109)</f>
        <v>0.530919624033979</v>
      </c>
      <c r="O7116" s="38" t="n">
        <f aca="false">(1-ext_sh)*(Sens!$O$7095+Sens!$O$7109)</f>
        <v>0.675497696435861</v>
      </c>
    </row>
    <row r="7117" customFormat="false" ht="17.15" hidden="false" customHeight="false" outlineLevel="0" collapsed="false">
      <c r="A7117" s="0" t="s">
        <v>642</v>
      </c>
      <c r="B7117" s="0" t="s">
        <v>86</v>
      </c>
      <c r="C7117" s="38" t="n">
        <f aca="false">Q!$D$24</f>
        <v>39.834</v>
      </c>
      <c r="D7117" s="38" t="n">
        <f aca="false">Q!$E$24</f>
        <v>45.606</v>
      </c>
      <c r="E7117" s="38" t="n">
        <f aca="false">Q!$P$24</f>
        <v>30.782</v>
      </c>
      <c r="N7117" s="38" t="n">
        <f aca="false">Q!$N$24</f>
        <v>21.707</v>
      </c>
      <c r="O7117" s="38" t="n">
        <f aca="false">Q!$O$24</f>
        <v>23.899</v>
      </c>
    </row>
    <row r="7118" customFormat="false" ht="17.15" hidden="false" customHeight="false" outlineLevel="0" collapsed="false">
      <c r="A7118" s="0" t="s">
        <v>643</v>
      </c>
      <c r="B7118" s="0" t="s">
        <v>86</v>
      </c>
      <c r="C7118" s="38" t="n">
        <f aca="false">Sens!$C$7117-Sens!$C$7113</f>
        <v>38.1898211704631</v>
      </c>
      <c r="D7118" s="38" t="n">
        <f aca="false">Sens!$D$7117-Sens!$D$7113</f>
        <v>41.7278991932282</v>
      </c>
      <c r="E7118" s="38" t="n">
        <f aca="false">Sens!$E$7117-Sens!$E$7113</f>
        <v>29.3692974191125</v>
      </c>
      <c r="F7118" s="38" t="n">
        <f aca="false">Sens!$F$7097*Sens!$F$7119</f>
        <v>26.8997276714137</v>
      </c>
      <c r="G7118" s="38" t="n">
        <f aca="false">Sens!$E$7118+Sens!$F$7118</f>
        <v>56.2690250905262</v>
      </c>
      <c r="H7118" s="38" t="n">
        <f aca="false">Sens!$H$7097*Sens!$H$7119</f>
        <v>60.3505333937343</v>
      </c>
      <c r="I7118" s="38" t="n">
        <f aca="false">Sens!$I$7097*Sens!$I$7119</f>
        <v>67.0043857303571</v>
      </c>
      <c r="J7118" s="38" t="n">
        <f aca="false">Sens!$J$7097*Sens!$J$7119</f>
        <v>73.3782922956925</v>
      </c>
      <c r="K7118" s="38" t="n">
        <f aca="false">Sens!$K$7097*Sens!$K$7119</f>
        <v>79.2485556793479</v>
      </c>
      <c r="L7118" s="38" t="n">
        <f aca="false">Sens!$L$7097*Sens!$L$7119</f>
        <v>85.5884401336958</v>
      </c>
      <c r="M7118" s="38" t="n">
        <f aca="false">Sens!$M$7097*Sens!$M$7119</f>
        <v>92.4355153443914</v>
      </c>
      <c r="N7118" s="38" t="n">
        <f aca="false">Sens!$N$7117-Sens!$N$7113</f>
        <v>20.784358965108</v>
      </c>
      <c r="O7118" s="38" t="n">
        <f aca="false">Sens!$O$7117-Sens!$O$7113</f>
        <v>20.9435402281202</v>
      </c>
      <c r="P7118" s="5" t="s">
        <v>644</v>
      </c>
    </row>
    <row r="7119" customFormat="false" ht="17.15" hidden="false" customHeight="false" outlineLevel="0" collapsed="false">
      <c r="A7119" s="0" t="s">
        <v>645</v>
      </c>
      <c r="B7119" s="0" t="s">
        <v>52</v>
      </c>
      <c r="C7119" s="13" t="n">
        <f aca="false">Sens!$C$7118/Sens!$C$7097</f>
        <v>0.362900395443635</v>
      </c>
      <c r="D7119" s="13" t="n">
        <f aca="false">Sens!$D$7118/Sens!$D$7097</f>
        <v>0.34767098474203</v>
      </c>
      <c r="E7119" s="13" t="n">
        <f aca="false">Sens!$E$7118/Sens!$E$7097</f>
        <v>0.411861655558416</v>
      </c>
      <c r="F7119" s="13" t="n">
        <f aca="false">(Sens!$O$7118+Sens!$E$7118)/(Sens!$O$7097+Sens!$E$7097)</f>
        <v>0.37480827803158</v>
      </c>
      <c r="G7119" s="13" t="n">
        <f aca="false">Sens!$G$7118/Sens!$G$7097</f>
        <v>0.393275318395757</v>
      </c>
      <c r="H7119" s="13" t="n">
        <f aca="false">Sens!$F$7119</f>
        <v>0.37480827803158</v>
      </c>
      <c r="I7119" s="13" t="n">
        <f aca="false">Sens!$F$7119</f>
        <v>0.37480827803158</v>
      </c>
      <c r="J7119" s="13" t="n">
        <f aca="false">Sens!$F$7119</f>
        <v>0.37480827803158</v>
      </c>
      <c r="K7119" s="13" t="n">
        <f aca="false">Sens!$F$7119</f>
        <v>0.37480827803158</v>
      </c>
      <c r="L7119" s="13" t="n">
        <f aca="false">Sens!$F$7119</f>
        <v>0.37480827803158</v>
      </c>
      <c r="M7119" s="13" t="n">
        <f aca="false">Sens!$F$7119</f>
        <v>0.37480827803158</v>
      </c>
      <c r="N7119" s="13" t="n">
        <f aca="false">Sens!$N$7118/Sens!$N$7097</f>
        <v>0.364039571356823</v>
      </c>
      <c r="O7119" s="13" t="n">
        <f aca="false">Sens!$O$7118/Sens!$O$7097</f>
        <v>0.332819892300086</v>
      </c>
      <c r="P7119" s="8" t="s">
        <v>646</v>
      </c>
    </row>
    <row r="7120" customFormat="false" ht="17.15" hidden="false" customHeight="false" outlineLevel="0" collapsed="false">
      <c r="A7120" s="0" t="s">
        <v>647</v>
      </c>
      <c r="B7120" s="0" t="s">
        <v>52</v>
      </c>
      <c r="D7120" s="13" t="n">
        <f aca="false">(Q!$E$31-ext_sh*Sens!$D$7109)/Sens!$D$7097</f>
        <v>0.154572973163571</v>
      </c>
    </row>
    <row r="7121" customFormat="false" ht="17.15" hidden="false" customHeight="false" outlineLevel="0" collapsed="false">
      <c r="A7121" s="0" t="s">
        <v>648</v>
      </c>
      <c r="B7121" s="0" t="s">
        <v>86</v>
      </c>
      <c r="C7121" s="38" t="n">
        <f aca="false">Q!$D$31</f>
        <v>13.32</v>
      </c>
      <c r="D7121" s="38" t="n">
        <f aca="false">Q!$E$31</f>
        <v>21.45</v>
      </c>
      <c r="E7121" s="38" t="n">
        <f aca="false">Q!$P$31</f>
        <v>15.353</v>
      </c>
      <c r="F7121" s="38" t="n">
        <f aca="false">ext_sh*Sens!$F$7109+Sens!$D$7120*Sens!$F$7097</f>
        <v>16.3063747611001</v>
      </c>
      <c r="G7121" s="38" t="n">
        <f aca="false">Sens!$E$7121+Sens!$F$7121</f>
        <v>31.6593747611001</v>
      </c>
      <c r="H7121" s="38" t="n">
        <f aca="false">ext_sh*Sens!$H$7109+Sens!$D$7120*Sens!$H$7097</f>
        <v>53.124242092105</v>
      </c>
      <c r="I7121" s="38" t="n">
        <f aca="false">ext_sh*Sens!$I$7109+Sens!$D$7120*Sens!$I$7097</f>
        <v>78.046828098133</v>
      </c>
      <c r="J7121" s="38" t="n">
        <f aca="false">ext_sh*Sens!$J$7109+Sens!$D$7120*Sens!$J$7097</f>
        <v>103.663976940352</v>
      </c>
      <c r="K7121" s="38" t="n">
        <f aca="false">ext_sh*Sens!$K$7109+Sens!$D$7120*Sens!$K$7097</f>
        <v>129.625086115469</v>
      </c>
      <c r="L7121" s="38" t="n">
        <f aca="false">ext_sh*Sens!$L$7109+Sens!$D$7120*Sens!$L$7097</f>
        <v>147.435052382502</v>
      </c>
      <c r="M7121" s="38" t="n">
        <f aca="false">ext_sh*Sens!$M$7109+Sens!$D$7120*Sens!$M$7097</f>
        <v>159.299754080279</v>
      </c>
      <c r="N7121" s="38" t="n">
        <f aca="false">Q!$N$31</f>
        <v>9.234</v>
      </c>
      <c r="O7121" s="38" t="n">
        <f aca="false">Q!$O$31</f>
        <v>12.216</v>
      </c>
    </row>
    <row r="7122" customFormat="false" ht="17.15" hidden="false" customHeight="false" outlineLevel="0" collapsed="false">
      <c r="A7122" s="1" t="s">
        <v>649</v>
      </c>
    </row>
    <row r="7123" customFormat="false" ht="17.15" hidden="false" customHeight="false" outlineLevel="0" collapsed="false">
      <c r="A7123" s="15" t="s">
        <v>650</v>
      </c>
      <c r="B7123" s="14" t="s">
        <v>52</v>
      </c>
      <c r="C7123" s="14"/>
      <c r="D7123" s="14"/>
      <c r="E7123" s="14"/>
      <c r="F7123" s="14"/>
      <c r="G7123" s="17" t="n">
        <f aca="false">Sens!$G$7113*(1-tax)/(ext_sh*(Sens!$D$7110+Sens!$G$7110)/2)</f>
        <v>0.0492184452944045</v>
      </c>
      <c r="H7123" s="17" t="n">
        <f aca="false">Sens!$H$7113*(1-tax)/(ext_sh*(Sens!$G$7110+Sens!$H$7110)/2)</f>
        <v>0.0619414246858107</v>
      </c>
      <c r="I7123" s="17" t="n">
        <f aca="false">Sens!$I$7113*(1-tax)/(ext_sh*(Sens!$H$7110+Sens!$I$7110)/2)</f>
        <v>0.0656831488051666</v>
      </c>
      <c r="J7123" s="17" t="n">
        <f aca="false">Sens!$J$7113*(1-tax)/(ext_sh*(Sens!$I$7110+Sens!$J$7110)/2)</f>
        <v>0.0690334849962116</v>
      </c>
      <c r="K7123" s="17" t="n">
        <f aca="false">Sens!$K$7113*(1-tax)/(ext_sh*(Sens!$J$7110+Sens!$K$7110)/2)</f>
        <v>0.0685772915331967</v>
      </c>
      <c r="L7123" s="17" t="n">
        <f aca="false">Sens!$L$7113*(1-tax)/(ext_sh*(Sens!$K$7110+Sens!$L$7110)/2)</f>
        <v>0.0723938074635756</v>
      </c>
      <c r="M7123" s="17" t="n">
        <f aca="false">Sens!$M$7113*(1-tax)/(ext_sh*(Sens!$L$7110+Sens!$M$7110)/2)</f>
        <v>0.0736061388214139</v>
      </c>
      <c r="N7123" s="14"/>
      <c r="O7123" s="14"/>
      <c r="P7123" s="8" t="s">
        <v>651</v>
      </c>
    </row>
    <row r="7124" customFormat="false" ht="17.15" hidden="false" customHeight="false" outlineLevel="0" collapsed="false">
      <c r="A7124" s="5" t="s">
        <v>652</v>
      </c>
      <c r="B7124" s="0" t="s">
        <v>57</v>
      </c>
      <c r="H7124" s="36" t="n">
        <f aca="false">Sens!$H$7093*1000/(mw_open*he_open+Sens!$H$7091*Sens!$H$7088)</f>
        <v>0.991949006767191</v>
      </c>
      <c r="I7124" s="36" t="n">
        <f aca="false">Sens!$I$7093*1000/(mw_open*he_open+Sens!$I$7091*Sens!$I$7088)</f>
        <v>0.991949006767191</v>
      </c>
      <c r="J7124" s="36" t="n">
        <f aca="false">Sens!$J$7093*1000/(mw_open*he_open+Sens!$J$7091*Sens!$J$7088)</f>
        <v>0.991949006767191</v>
      </c>
      <c r="K7124" s="36" t="n">
        <f aca="false">Sens!$K$7093*1000/(mw_open*he_open+Sens!$K$7091*Sens!$K$7088)</f>
        <v>0.991949006767191</v>
      </c>
      <c r="L7124" s="36" t="n">
        <f aca="false">Sens!$L$7093*1000/(mw_open*he_open+Sens!$L$7091*Sens!$L$7088)</f>
        <v>0.991949006767191</v>
      </c>
      <c r="M7124" s="36" t="n">
        <f aca="false">Sens!$M$7093*1000/(mw_open*he_open+Sens!$M$7091*Sens!$M$7088)</f>
        <v>0.991949006767191</v>
      </c>
    </row>
    <row r="7125" customFormat="false" ht="17.15" hidden="false" customHeight="false" outlineLevel="0" collapsed="false">
      <c r="A7125" s="5" t="s">
        <v>653</v>
      </c>
      <c r="B7125" s="0" t="s">
        <v>57</v>
      </c>
      <c r="H7125" s="36" t="n">
        <f aca="false">Sens!$H$7124*(Sens!$H$7093+wacc*ext_sh*(Sens!$G$7110+Sens!$H$7110)/2/(1-tax)-Sens!$H$7113)/Sens!$H$7093</f>
        <v>1.25551961623259</v>
      </c>
      <c r="I7125" s="36" t="n">
        <f aca="false">Sens!$I$7124*(Sens!$I$7093+wacc*ext_sh*(Sens!$H$7110+Sens!$I$7110)/2/(1-tax)-Sens!$I$7113)/Sens!$I$7093</f>
        <v>1.2054675393263</v>
      </c>
      <c r="J7125" s="36" t="n">
        <f aca="false">Sens!$J$7124*(Sens!$J$7093+wacc*ext_sh*(Sens!$I$7110+Sens!$J$7110)/2/(1-tax)-Sens!$J$7113)/Sens!$J$7093</f>
        <v>1.17141604927023</v>
      </c>
      <c r="K7125" s="36" t="n">
        <f aca="false">Sens!$K$7124*(Sens!$K$7093+wacc*ext_sh*(Sens!$J$7110+Sens!$K$7110)/2/(1-tax)-Sens!$K$7113)/Sens!$K$7093</f>
        <v>1.15558527566281</v>
      </c>
      <c r="L7125" s="36" t="n">
        <f aca="false">Sens!$L$7124*(Sens!$L$7093+wacc*ext_sh*(Sens!$K$7110+Sens!$L$7110)/2/(1-tax)-Sens!$L$7113)/Sens!$L$7093</f>
        <v>1.12686933572495</v>
      </c>
      <c r="M7125" s="36" t="n">
        <f aca="false">Sens!$M$7124*(Sens!$M$7093+wacc*ext_sh*(Sens!$L$7110+Sens!$M$7110)/2/(1-tax)-Sens!$M$7113)/Sens!$M$7093</f>
        <v>1.11358462527531</v>
      </c>
    </row>
    <row r="7126" customFormat="false" ht="17.15" hidden="false" customHeight="false" outlineLevel="0" collapsed="false">
      <c r="A7126" s="5" t="s">
        <v>654</v>
      </c>
      <c r="B7126" s="0" t="s">
        <v>52</v>
      </c>
      <c r="C7126" s="13" t="n">
        <f aca="false">Sens!$C$7094/tk_pq</f>
        <v>0.195316432429398</v>
      </c>
      <c r="D7126" s="13" t="n">
        <f aca="false">Sens!$D$7094/tk_pq</f>
        <v>0.195316432429398</v>
      </c>
      <c r="E7126" s="13" t="n">
        <f aca="false">Sens!$E$7094/tk_pq</f>
        <v>0.195316432429398</v>
      </c>
      <c r="F7126" s="13" t="n">
        <f aca="false">Sens!$F$7094/tk_pq</f>
        <v>0.202241827274866</v>
      </c>
      <c r="G7126" s="13" t="n">
        <f aca="false">Sens!$G$7094/tk_pq</f>
        <v>0.199675016194063</v>
      </c>
      <c r="H7126" s="13" t="n">
        <f aca="false">Sens!$H$7094/tk_pq</f>
        <v>0.212647947710325</v>
      </c>
      <c r="I7126" s="13" t="n">
        <f aca="false">Sens!$I$7094/tk_pq</f>
        <v>0.219285125475351</v>
      </c>
      <c r="J7126" s="13" t="n">
        <f aca="false">Sens!$J$7094/tk_pq</f>
        <v>0.222492493217189</v>
      </c>
      <c r="K7126" s="13" t="n">
        <f aca="false">Sens!$K$7094/tk_pq</f>
        <v>0.224053502812094</v>
      </c>
      <c r="L7126" s="13" t="n">
        <f aca="false">Sens!$L$7094/tk_pq</f>
        <v>0.224786916785614</v>
      </c>
      <c r="M7126" s="13" t="n">
        <f aca="false">Sens!$M$7094/tk_pq</f>
        <v>0.225048671566937</v>
      </c>
      <c r="N7126" s="13" t="n">
        <f aca="false">Sens!$N$7094/tk_pq</f>
        <v>0.195316432429398</v>
      </c>
      <c r="O7126" s="13" t="n">
        <f aca="false">Sens!$O$7094/tk_pq</f>
        <v>0.195316432429398</v>
      </c>
      <c r="P7126" s="5" t="s">
        <v>655</v>
      </c>
    </row>
    <row r="7129" customFormat="false" ht="17.15" hidden="false" customHeight="false" outlineLevel="0" collapsed="false">
      <c r="A7129" s="1" t="s">
        <v>684</v>
      </c>
    </row>
    <row r="7130" customFormat="false" ht="17.15" hidden="false" customHeight="false" outlineLevel="0" collapsed="false">
      <c r="A7130" s="0" t="s">
        <v>685</v>
      </c>
      <c r="B7130" s="0" t="s">
        <v>86</v>
      </c>
      <c r="C7130" s="38" t="n">
        <f aca="false">Sens!$C$7093</f>
        <v>2.32100535697364</v>
      </c>
      <c r="D7130" s="38" t="n">
        <f aca="false">Sens!$D$7093</f>
        <v>8.70377008865116</v>
      </c>
      <c r="E7130" s="38" t="n">
        <f aca="false">Sens!$E$7093</f>
        <v>8.51035297557002</v>
      </c>
      <c r="F7130" s="38" t="n">
        <f aca="false">Sens!$F$7093</f>
        <v>14.9634336447205</v>
      </c>
      <c r="G7130" s="38" t="n">
        <f aca="false">Sens!$G$7093</f>
        <v>23.4737866202905</v>
      </c>
      <c r="H7130" s="38" t="n">
        <f aca="false">Sens!$H$7093</f>
        <v>60.1658907497746</v>
      </c>
      <c r="I7130" s="38" t="n">
        <f aca="false">Sens!$I$7093</f>
        <v>101.503699136432</v>
      </c>
      <c r="J7130" s="38" t="n">
        <f aca="false">Sens!$J$7093</f>
        <v>143.025407151278</v>
      </c>
      <c r="K7130" s="38" t="n">
        <f aca="false">Sens!$K$7093</f>
        <v>178.44812038318</v>
      </c>
      <c r="L7130" s="38" t="n">
        <f aca="false">Sens!$L$7093</f>
        <v>201.728101802396</v>
      </c>
      <c r="M7130" s="38" t="n">
        <f aca="false">Sens!$M$7093</f>
        <v>212.835441368865</v>
      </c>
      <c r="N7130" s="38" t="n">
        <f aca="false">Sens!$N$7093</f>
        <v>3.04631953102791</v>
      </c>
      <c r="O7130" s="38" t="n">
        <f aca="false">Sens!$O$7093</f>
        <v>5.65745055762326</v>
      </c>
      <c r="P7130" s="8" t="s">
        <v>686</v>
      </c>
    </row>
    <row r="7131" customFormat="false" ht="17.15" hidden="false" customHeight="false" outlineLevel="0" collapsed="false">
      <c r="A7131" s="0" t="s">
        <v>687</v>
      </c>
      <c r="B7131" s="0" t="s">
        <v>86</v>
      </c>
      <c r="C7131" s="38" t="n">
        <f aca="false">Sens!$C$7097</f>
        <v>105.234994643026</v>
      </c>
      <c r="D7131" s="38" t="n">
        <f aca="false">Sens!$D$7097</f>
        <v>120.021229911349</v>
      </c>
      <c r="E7131" s="38" t="n">
        <f aca="false">Sens!$E$7097</f>
        <v>71.30864702443</v>
      </c>
      <c r="F7131" s="38" t="n">
        <f aca="false">Sens!$F$7097</f>
        <v>71.7692997942464</v>
      </c>
      <c r="G7131" s="38" t="n">
        <f aca="false">Sens!$G$7097</f>
        <v>143.077946818676</v>
      </c>
      <c r="H7131" s="38" t="n">
        <f aca="false">Sens!$H$7097</f>
        <v>161.017077079203</v>
      </c>
      <c r="I7131" s="38" t="n">
        <f aca="false">Sens!$I$7097</f>
        <v>178.769759521457</v>
      </c>
      <c r="J7131" s="38" t="n">
        <f aca="false">Sens!$J$7097</f>
        <v>195.775538045907</v>
      </c>
      <c r="K7131" s="38" t="n">
        <f aca="false">Sens!$K$7097</f>
        <v>211.43758108958</v>
      </c>
      <c r="L7131" s="38" t="n">
        <f aca="false">Sens!$L$7097</f>
        <v>228.352587576746</v>
      </c>
      <c r="M7131" s="38" t="n">
        <f aca="false">Sens!$M$7097</f>
        <v>246.620794582886</v>
      </c>
      <c r="N7131" s="38" t="n">
        <f aca="false">Sens!$N$7097</f>
        <v>57.0936804689721</v>
      </c>
      <c r="O7131" s="38" t="n">
        <f aca="false">Sens!$O$7097</f>
        <v>62.9275494423768</v>
      </c>
      <c r="P7131" s="8" t="s">
        <v>686</v>
      </c>
    </row>
    <row r="7132" customFormat="false" ht="17.15" hidden="false" customHeight="false" outlineLevel="0" collapsed="false">
      <c r="A7132" s="1" t="s">
        <v>513</v>
      </c>
      <c r="B7132" s="8" t="s">
        <v>86</v>
      </c>
      <c r="C7132" s="38" t="n">
        <f aca="false">Q!$D$7</f>
        <v>107.556</v>
      </c>
      <c r="D7132" s="38" t="n">
        <f aca="false">Q!$E$7</f>
        <v>128.725</v>
      </c>
      <c r="E7132" s="38" t="n">
        <f aca="false">Q!$P$7</f>
        <v>79.819</v>
      </c>
      <c r="F7132" s="38" t="n">
        <f aca="false">Sens!$F$7130+Sens!$F$7131</f>
        <v>86.7327334389669</v>
      </c>
      <c r="G7132" s="38" t="n">
        <f aca="false">Sens!$G$7130+Sens!$G$7131</f>
        <v>166.551733438967</v>
      </c>
      <c r="H7132" s="38" t="n">
        <f aca="false">Sens!$H$7130+Sens!$H$7131</f>
        <v>221.182967828978</v>
      </c>
      <c r="I7132" s="38" t="n">
        <f aca="false">Sens!$I$7130+Sens!$I$7131</f>
        <v>280.27345865789</v>
      </c>
      <c r="J7132" s="38" t="n">
        <f aca="false">Sens!$J$7130+Sens!$J$7131</f>
        <v>338.800945197185</v>
      </c>
      <c r="K7132" s="38" t="n">
        <f aca="false">Sens!$K$7130+Sens!$K$7131</f>
        <v>389.88570147276</v>
      </c>
      <c r="L7132" s="38" t="n">
        <f aca="false">Sens!$L$7130+Sens!$L$7131</f>
        <v>430.080689379143</v>
      </c>
      <c r="M7132" s="38" t="n">
        <f aca="false">Sens!$M$7130+Sens!$M$7131</f>
        <v>459.456235951751</v>
      </c>
      <c r="N7132" s="38" t="n">
        <f aca="false">Q!$N$7</f>
        <v>60.14</v>
      </c>
      <c r="O7132" s="38" t="n">
        <f aca="false">Q!$O$7</f>
        <v>68.585</v>
      </c>
      <c r="P7132" s="5" t="s">
        <v>688</v>
      </c>
    </row>
    <row r="7133" customFormat="false" ht="15" hidden="false" customHeight="false" outlineLevel="0" collapsed="false">
      <c r="A7133" s="3" t="s">
        <v>689</v>
      </c>
      <c r="B7133" s="8" t="s">
        <v>86</v>
      </c>
      <c r="C7133" s="38" t="n">
        <f aca="false">Q!$D$8</f>
        <v>637.959</v>
      </c>
      <c r="D7133" s="38" t="n">
        <f aca="false">Q!$E$8</f>
        <v>716.924</v>
      </c>
      <c r="E7133" s="38" t="n">
        <f aca="false">Q!$P$8</f>
        <v>382.125</v>
      </c>
      <c r="F7133" s="38" t="n">
        <f aca="false">Sens!$F$7065+Sens!$F$7132</f>
        <v>435.780975084504</v>
      </c>
      <c r="G7133" s="38" t="n">
        <f aca="false">Sens!$G$7065+Sens!$G$7132</f>
        <v>817.905975084504</v>
      </c>
      <c r="H7133" s="38" t="n">
        <f aca="false">Sens!$H$7065+Sens!$H$7132</f>
        <v>942.279857350364</v>
      </c>
      <c r="I7133" s="38" t="n">
        <f aca="false">Sens!$I$7065+Sens!$I$7132</f>
        <v>1068.80284981042</v>
      </c>
      <c r="J7133" s="38" t="n">
        <f aca="false">Sens!$J$7065+Sens!$J$7132</f>
        <v>1189.90935093863</v>
      </c>
      <c r="K7133" s="38" t="n">
        <f aca="false">Sens!$K$7065+Sens!$K$7132</f>
        <v>1296.06215690385</v>
      </c>
      <c r="L7133" s="38" t="n">
        <f aca="false">Sens!$L$7065+Sens!$L$7132</f>
        <v>1395.17379585473</v>
      </c>
      <c r="M7133" s="38" t="n">
        <f aca="false">Sens!$M$7065+Sens!$M$7132</f>
        <v>1487.60414389864</v>
      </c>
      <c r="N7133" s="38" t="n">
        <f aca="false">Q!$N$8</f>
        <v>323.369</v>
      </c>
      <c r="O7133" s="38" t="n">
        <f aca="false">Q!$O$8</f>
        <v>393.555</v>
      </c>
    </row>
    <row r="7134" customFormat="false" ht="17.15" hidden="false" customHeight="false" outlineLevel="0" collapsed="false">
      <c r="A7134" s="24" t="s">
        <v>697</v>
      </c>
      <c r="B7134" s="25" t="s">
        <v>86</v>
      </c>
      <c r="C7134" s="41" t="n">
        <f aca="false">Sens!$C$7065-(Sens!$C$7067+Sens!$C$7068)</f>
        <v>0</v>
      </c>
      <c r="D7134" s="41" t="n">
        <f aca="false">Sens!$D$7065-(Sens!$D$7067+Sens!$D$7068)</f>
        <v>0</v>
      </c>
      <c r="E7134" s="41" t="n">
        <f aca="false">Sens!$E$7065-(Sens!$E$7067+Sens!$E$7068)</f>
        <v>0</v>
      </c>
      <c r="F7134" s="41" t="n">
        <f aca="false">Sens!$F$7065-(Sens!$F$7067+Sens!$F$7068)</f>
        <v>0</v>
      </c>
      <c r="G7134" s="41" t="n">
        <f aca="false">Sens!$G$7065-(Sens!$G$7067+Sens!$G$7068)</f>
        <v>0</v>
      </c>
      <c r="H7134" s="41" t="n">
        <f aca="false">Sens!$H$7065-(Sens!$H$7067+Sens!$H$7068)</f>
        <v>0</v>
      </c>
      <c r="I7134" s="41" t="n">
        <f aca="false">Sens!$I$7065-(Sens!$I$7067+Sens!$I$7068)</f>
        <v>0</v>
      </c>
      <c r="J7134" s="41" t="n">
        <f aca="false">Sens!$J$7065-(Sens!$J$7067+Sens!$J$7068)</f>
        <v>0</v>
      </c>
      <c r="K7134" s="41" t="n">
        <f aca="false">Sens!$K$7065-(Sens!$K$7067+Sens!$K$7068)</f>
        <v>0</v>
      </c>
      <c r="L7134" s="41" t="n">
        <f aca="false">Sens!$L$7065-(Sens!$L$7067+Sens!$L$7068)</f>
        <v>0</v>
      </c>
      <c r="M7134" s="41" t="n">
        <f aca="false">Sens!$M$7065-(Sens!$M$7067+Sens!$M$7068)</f>
        <v>0</v>
      </c>
      <c r="N7134" s="41" t="n">
        <f aca="false">Sens!$N$7065-(Sens!$N$7067+Sens!$N$7068)</f>
        <v>0</v>
      </c>
      <c r="O7134" s="41" t="n">
        <f aca="false">Sens!$O$7065-(Sens!$O$7067+Sens!$O$7068)</f>
        <v>0</v>
      </c>
    </row>
    <row r="7135" customFormat="false" ht="17.15" hidden="false" customHeight="false" outlineLevel="0" collapsed="false">
      <c r="A7135" s="24" t="s">
        <v>698</v>
      </c>
      <c r="B7135" s="25" t="s">
        <v>86</v>
      </c>
      <c r="C7135" s="41" t="n">
        <f aca="false">Sens!$C$7130+Sens!$C$7131-Sens!$C$7132</f>
        <v>0</v>
      </c>
      <c r="D7135" s="41" t="n">
        <f aca="false">Sens!$D$7130+Sens!$D$7131-Sens!$D$7132</f>
        <v>0</v>
      </c>
      <c r="E7135" s="41" t="n">
        <f aca="false">Sens!$E$7130+Sens!$E$7131-Sens!$E$7132</f>
        <v>0</v>
      </c>
      <c r="F7135" s="41" t="n">
        <f aca="false">Sens!$F$7130+Sens!$F$7131-Sens!$F$7132</f>
        <v>0</v>
      </c>
      <c r="G7135" s="41" t="n">
        <f aca="false">Sens!$G$7130+Sens!$G$7131-Sens!$G$7132</f>
        <v>0</v>
      </c>
      <c r="H7135" s="41" t="n">
        <f aca="false">Sens!$H$7130+Sens!$H$7131-Sens!$H$7132</f>
        <v>0</v>
      </c>
      <c r="I7135" s="41" t="n">
        <f aca="false">Sens!$I$7130+Sens!$I$7131-Sens!$I$7132</f>
        <v>0</v>
      </c>
      <c r="J7135" s="41" t="n">
        <f aca="false">Sens!$J$7130+Sens!$J$7131-Sens!$J$7132</f>
        <v>0</v>
      </c>
      <c r="K7135" s="41" t="n">
        <f aca="false">Sens!$K$7130+Sens!$K$7131-Sens!$K$7132</f>
        <v>0</v>
      </c>
      <c r="L7135" s="41" t="n">
        <f aca="false">Sens!$L$7130+Sens!$L$7131-Sens!$L$7132</f>
        <v>0</v>
      </c>
      <c r="M7135" s="41" t="n">
        <f aca="false">Sens!$M$7130+Sens!$M$7131-Sens!$M$7132</f>
        <v>0</v>
      </c>
      <c r="N7135" s="41" t="n">
        <f aca="false">Sens!$N$7130+Sens!$N$7131-Sens!$N$7132</f>
        <v>0</v>
      </c>
      <c r="O7135" s="41" t="n">
        <f aca="false">Sens!$O$7130+Sens!$O$7131-Sens!$O$7132</f>
        <v>0</v>
      </c>
    </row>
    <row r="7136" customFormat="false" ht="17.15" hidden="false" customHeight="false" outlineLevel="0" collapsed="false">
      <c r="A7136" s="24" t="s">
        <v>699</v>
      </c>
      <c r="B7136" s="25" t="s">
        <v>86</v>
      </c>
      <c r="C7136" s="41" t="n">
        <f aca="false">Sens!$C$7067+Sens!$C$7068+Sens!$C$7132-Sens!$C$7133</f>
        <v>0</v>
      </c>
      <c r="D7136" s="41" t="n">
        <f aca="false">Sens!$D$7067+Sens!$D$7068+Sens!$D$7132-Sens!$D$7133</f>
        <v>0</v>
      </c>
      <c r="E7136" s="41" t="n">
        <f aca="false">Sens!$E$7067+Sens!$E$7068+Sens!$E$7132-Sens!$E$7133</f>
        <v>0</v>
      </c>
      <c r="F7136" s="41" t="n">
        <f aca="false">Sens!$F$7067+Sens!$F$7068+Sens!$F$7132-Sens!$F$7133</f>
        <v>0</v>
      </c>
      <c r="G7136" s="41" t="n">
        <f aca="false">Sens!$G$7067+Sens!$G$7068+Sens!$G$7132-Sens!$G$7133</f>
        <v>0</v>
      </c>
      <c r="H7136" s="41" t="n">
        <f aca="false">Sens!$H$7067+Sens!$H$7068+Sens!$H$7132-Sens!$H$7133</f>
        <v>0</v>
      </c>
      <c r="I7136" s="41" t="n">
        <f aca="false">Sens!$I$7067+Sens!$I$7068+Sens!$I$7132-Sens!$I$7133</f>
        <v>0</v>
      </c>
      <c r="J7136" s="41" t="n">
        <f aca="false">Sens!$J$7067+Sens!$J$7068+Sens!$J$7132-Sens!$J$7133</f>
        <v>0</v>
      </c>
      <c r="K7136" s="41" t="n">
        <f aca="false">Sens!$K$7067+Sens!$K$7068+Sens!$K$7132-Sens!$K$7133</f>
        <v>0</v>
      </c>
      <c r="L7136" s="41" t="n">
        <f aca="false">Sens!$L$7067+Sens!$L$7068+Sens!$L$7132-Sens!$L$7133</f>
        <v>0</v>
      </c>
      <c r="M7136" s="41" t="n">
        <f aca="false">Sens!$M$7067+Sens!$M$7068+Sens!$M$7132-Sens!$M$7133</f>
        <v>0</v>
      </c>
      <c r="N7136" s="41" t="n">
        <f aca="false">Sens!$N$7067+Sens!$N$7068+Sens!$N$7132-Sens!$N$7133</f>
        <v>0</v>
      </c>
      <c r="O7136" s="41" t="n">
        <f aca="false">Sens!$O$7067+Sens!$O$7068+Sens!$O$7132-Sens!$O$7133</f>
        <v>0</v>
      </c>
    </row>
    <row r="7137" customFormat="false" ht="15" hidden="false" customHeight="false" outlineLevel="0" collapsed="false">
      <c r="A7137" s="5" t="s">
        <v>693</v>
      </c>
      <c r="B7137" s="0" t="s">
        <v>52</v>
      </c>
      <c r="G7137" s="13" t="n">
        <f aca="false">Sens!$G$7133/Sens!$D$7133-1</f>
        <v>0.140854504918937</v>
      </c>
      <c r="H7137" s="13" t="n">
        <f aca="false">Sens!$H$7133/Sens!$G$7133-1</f>
        <v>0.152063789793209</v>
      </c>
      <c r="I7137" s="13" t="n">
        <f aca="false">Sens!$I$7133/Sens!$H$7133-1</f>
        <v>0.134273264437417</v>
      </c>
      <c r="J7137" s="13" t="n">
        <f aca="false">Sens!$J$7133/Sens!$I$7133-1</f>
        <v>0.113310421234083</v>
      </c>
      <c r="K7137" s="13" t="n">
        <f aca="false">Sens!$K$7133/Sens!$J$7133-1</f>
        <v>0.0892108343223652</v>
      </c>
      <c r="L7137" s="13" t="n">
        <f aca="false">Sens!$L$7133/Sens!$K$7133-1</f>
        <v>0.076471362444261</v>
      </c>
      <c r="M7137" s="13" t="n">
        <f aca="false">Sens!$M$7133/Sens!$L$7133-1</f>
        <v>0.066250060256672</v>
      </c>
    </row>
    <row r="7138" customFormat="false" ht="17.15" hidden="false" customHeight="false" outlineLevel="0" collapsed="false">
      <c r="A7138" s="0" t="s">
        <v>694</v>
      </c>
      <c r="B7138" s="0" t="s">
        <v>52</v>
      </c>
      <c r="C7138" s="13" t="n">
        <f aca="false">Sens!$C$7132/Sens!$C$7133</f>
        <v>0.168593906504964</v>
      </c>
      <c r="D7138" s="13" t="n">
        <f aca="false">Sens!$D$7132/Sens!$D$7133</f>
        <v>0.179551807444025</v>
      </c>
      <c r="E7138" s="13" t="n">
        <f aca="false">Sens!$E$7132/Sens!$E$7133</f>
        <v>0.208881910369643</v>
      </c>
      <c r="F7138" s="13" t="n">
        <f aca="false">Sens!$F$7132/Sens!$F$7133</f>
        <v>0.199028269699356</v>
      </c>
      <c r="G7138" s="13" t="n">
        <f aca="false">Sens!$G$7132/Sens!$G$7133</f>
        <v>0.203631882529968</v>
      </c>
      <c r="H7138" s="13" t="n">
        <f aca="false">Sens!$H$7132/Sens!$H$7133</f>
        <v>0.234731715958496</v>
      </c>
      <c r="I7138" s="13" t="n">
        <f aca="false">Sens!$I$7132/Sens!$I$7133</f>
        <v>0.262231204480418</v>
      </c>
      <c r="J7138" s="13" t="n">
        <f aca="false">Sens!$J$7132/Sens!$J$7133</f>
        <v>0.284728366013706</v>
      </c>
      <c r="K7138" s="13" t="n">
        <f aca="false">Sens!$K$7132/Sens!$K$7133</f>
        <v>0.300823304959505</v>
      </c>
      <c r="L7138" s="13" t="n">
        <f aca="false">Sens!$L$7132/Sens!$L$7133</f>
        <v>0.308263164529735</v>
      </c>
      <c r="M7138" s="13" t="n">
        <f aca="false">Sens!$M$7132/Sens!$M$7133</f>
        <v>0.308856517936036</v>
      </c>
      <c r="N7138" s="13" t="n">
        <f aca="false">Sens!$N$7132/Sens!$N$7133</f>
        <v>0.185979484737251</v>
      </c>
      <c r="O7138" s="13" t="n">
        <f aca="false">Sens!$O$7132/Sens!$O$7133</f>
        <v>0.174270432341096</v>
      </c>
    </row>
    <row r="7139" customFormat="false" ht="17.15" hidden="false" customHeight="false" outlineLevel="0" collapsed="false">
      <c r="A7139" s="0" t="s">
        <v>695</v>
      </c>
      <c r="B7139" s="0" t="s">
        <v>52</v>
      </c>
      <c r="C7139" s="13" t="n">
        <f aca="false">Sens!$C$7130/Sens!$C$7132</f>
        <v>0.0215795060896058</v>
      </c>
      <c r="D7139" s="13" t="n">
        <f aca="false">Sens!$D$7130/Sens!$D$7132</f>
        <v>0.0676152269462122</v>
      </c>
      <c r="E7139" s="13" t="n">
        <f aca="false">Sens!$E$7130/Sens!$E$7132</f>
        <v>0.106620641395783</v>
      </c>
      <c r="F7139" s="13" t="n">
        <f aca="false">Sens!$F$7130/Sens!$F$7132</f>
        <v>0.172523487401099</v>
      </c>
      <c r="G7139" s="13" t="n">
        <f aca="false">Sens!$G$7130/Sens!$G$7132</f>
        <v>0.140939911795589</v>
      </c>
      <c r="H7139" s="13" t="n">
        <f aca="false">Sens!$H$7130/Sens!$H$7132</f>
        <v>0.272018642937714</v>
      </c>
      <c r="I7139" s="13" t="n">
        <f aca="false">Sens!$I$7130/Sens!$I$7132</f>
        <v>0.362159512436497</v>
      </c>
      <c r="J7139" s="13" t="n">
        <f aca="false">Sens!$J$7130/Sens!$J$7132</f>
        <v>0.422151735934609</v>
      </c>
      <c r="K7139" s="13" t="n">
        <f aca="false">Sens!$K$7130/Sens!$K$7132</f>
        <v>0.45769342068485</v>
      </c>
      <c r="L7139" s="13" t="n">
        <f aca="false">Sens!$L$7130/Sens!$L$7132</f>
        <v>0.469047103913472</v>
      </c>
      <c r="M7139" s="13" t="n">
        <f aca="false">Sens!$M$7130/Sens!$M$7132</f>
        <v>0.463233328258093</v>
      </c>
      <c r="N7139" s="13" t="n">
        <f aca="false">Sens!$N$7130/Sens!$N$7132</f>
        <v>0.0506537999838362</v>
      </c>
      <c r="O7139" s="13" t="n">
        <f aca="false">Sens!$O$7130/Sens!$O$7132</f>
        <v>0.0824881615167056</v>
      </c>
    </row>
    <row r="7142" customFormat="false" ht="19.4" hidden="false" customHeight="false" outlineLevel="0" collapsed="false">
      <c r="A7142" s="31" t="s">
        <v>1274</v>
      </c>
    </row>
    <row r="7143" customFormat="false" ht="17.15" hidden="false" customHeight="false" outlineLevel="0" collapsed="false">
      <c r="A7143" s="6" t="s">
        <v>16</v>
      </c>
      <c r="B7143" s="6" t="s">
        <v>17</v>
      </c>
      <c r="C7143" s="20" t="s">
        <v>494</v>
      </c>
      <c r="D7143" s="20" t="s">
        <v>495</v>
      </c>
      <c r="E7143" s="20" t="s">
        <v>577</v>
      </c>
      <c r="F7143" s="20" t="s">
        <v>578</v>
      </c>
      <c r="G7143" s="20" t="s">
        <v>579</v>
      </c>
      <c r="H7143" s="20" t="s">
        <v>580</v>
      </c>
      <c r="I7143" s="20" t="s">
        <v>581</v>
      </c>
      <c r="J7143" s="20" t="s">
        <v>582</v>
      </c>
      <c r="K7143" s="20" t="s">
        <v>583</v>
      </c>
      <c r="L7143" s="20" t="s">
        <v>584</v>
      </c>
      <c r="M7143" s="20" t="s">
        <v>585</v>
      </c>
      <c r="N7143" s="20" t="s">
        <v>586</v>
      </c>
      <c r="O7143" s="20" t="s">
        <v>587</v>
      </c>
      <c r="P7143" s="6" t="s">
        <v>23</v>
      </c>
      <c r="R7143" s="20" t="n">
        <v>2023</v>
      </c>
      <c r="S7143" s="20" t="n">
        <v>2024</v>
      </c>
      <c r="T7143" s="20" t="n">
        <v>2025</v>
      </c>
      <c r="U7143" s="20" t="n">
        <v>2026</v>
      </c>
      <c r="V7143" s="20" t="n">
        <v>2027</v>
      </c>
      <c r="W7143" s="20" t="n">
        <v>2028</v>
      </c>
      <c r="X7143" s="20" t="n">
        <v>2029</v>
      </c>
      <c r="Y7143" s="20" t="n">
        <v>2030</v>
      </c>
      <c r="Z7143" s="20" t="n">
        <v>2031</v>
      </c>
      <c r="AA7143" s="20" t="n">
        <v>2032</v>
      </c>
    </row>
    <row r="7144" customFormat="false" ht="17.15" hidden="false" customHeight="false" outlineLevel="0" collapsed="false">
      <c r="A7144" s="1" t="s">
        <v>710</v>
      </c>
    </row>
    <row r="7145" customFormat="false" ht="15" hidden="false" customHeight="false" outlineLevel="0" collapsed="false">
      <c r="A7145" s="0" t="s">
        <v>516</v>
      </c>
      <c r="B7145" s="0" t="s">
        <v>86</v>
      </c>
      <c r="C7145" s="38" t="n">
        <f aca="false">Sens!$C$7052</f>
        <v>247.029</v>
      </c>
      <c r="D7145" s="38" t="n">
        <f aca="false">Sens!$D$7052</f>
        <v>269.287</v>
      </c>
      <c r="E7145" s="38" t="n">
        <f aca="false">Sens!$E$7052</f>
        <v>134.686</v>
      </c>
      <c r="F7145" s="38" t="n">
        <f aca="false">Sens!$F$7052</f>
        <v>158.293876822267</v>
      </c>
      <c r="G7145" s="38" t="n">
        <f aca="false">Sens!$G$7052</f>
        <v>292.979876822267</v>
      </c>
      <c r="H7145" s="38" t="n">
        <f aca="false">Sens!$H$7052</f>
        <v>318.184543087396</v>
      </c>
      <c r="I7145" s="38" t="n">
        <f aca="false">Sens!$I$7052</f>
        <v>341.736278761793</v>
      </c>
      <c r="J7145" s="38" t="n">
        <f aca="false">Sens!$J$7052</f>
        <v>362.927192787048</v>
      </c>
      <c r="K7145" s="38" t="n">
        <f aca="false">Sens!$K$7052</f>
        <v>381.0735524264</v>
      </c>
      <c r="L7145" s="38" t="n">
        <f aca="false">Sens!$L$7052</f>
        <v>400.12723004772</v>
      </c>
      <c r="M7145" s="38" t="n">
        <f aca="false">Sens!$M$7052</f>
        <v>420.133591550106</v>
      </c>
      <c r="N7145" s="38" t="n">
        <f aca="false">Sens!$N$7052</f>
        <v>118.892</v>
      </c>
      <c r="O7145" s="38" t="n">
        <f aca="false">Sens!$O$7052</f>
        <v>150.395</v>
      </c>
    </row>
    <row r="7146" customFormat="false" ht="15" hidden="false" customHeight="false" outlineLevel="0" collapsed="false">
      <c r="A7146" s="0" t="s">
        <v>517</v>
      </c>
      <c r="B7146" s="0" t="s">
        <v>86</v>
      </c>
      <c r="C7146" s="38" t="n">
        <f aca="false">Sens!$C$7054</f>
        <v>21.215</v>
      </c>
      <c r="D7146" s="38" t="n">
        <f aca="false">Sens!$D$7054</f>
        <v>22.561</v>
      </c>
      <c r="E7146" s="38" t="n">
        <f aca="false">Sens!$E$7054</f>
        <v>11.579</v>
      </c>
      <c r="F7146" s="38" t="n">
        <f aca="false">Sens!$F$7054</f>
        <v>11.5938724610325</v>
      </c>
      <c r="G7146" s="38" t="n">
        <f aca="false">Sens!$G$7054</f>
        <v>23.1728724610325</v>
      </c>
      <c r="H7146" s="38" t="n">
        <f aca="false">Sens!$H$7054</f>
        <v>24.353392759506</v>
      </c>
      <c r="I7146" s="38" t="n">
        <f aca="false">Sens!$I$7054</f>
        <v>25.4240338872015</v>
      </c>
      <c r="J7146" s="38" t="n">
        <f aca="false">Sens!$J$7054</f>
        <v>26.3642491017174</v>
      </c>
      <c r="K7146" s="38" t="n">
        <f aca="false">Sens!$K$7054</f>
        <v>27.155176574769</v>
      </c>
      <c r="L7146" s="38" t="n">
        <f aca="false">Sens!$L$7054</f>
        <v>27.969831872012</v>
      </c>
      <c r="M7146" s="38" t="n">
        <f aca="false">Sens!$M$7054</f>
        <v>28.8089268281724</v>
      </c>
      <c r="N7146" s="38" t="n">
        <f aca="false">Sens!$N$7054</f>
        <v>11.128</v>
      </c>
      <c r="O7146" s="38" t="n">
        <f aca="false">Sens!$O$7054</f>
        <v>11.433</v>
      </c>
    </row>
    <row r="7147" customFormat="false" ht="15" hidden="false" customHeight="false" outlineLevel="0" collapsed="false">
      <c r="A7147" s="0" t="s">
        <v>518</v>
      </c>
      <c r="B7147" s="0" t="s">
        <v>86</v>
      </c>
      <c r="C7147" s="38" t="n">
        <f aca="false">Sens!$C$7056</f>
        <v>156.146</v>
      </c>
      <c r="D7147" s="38" t="n">
        <f aca="false">Sens!$D$7056</f>
        <v>172.162</v>
      </c>
      <c r="E7147" s="38" t="n">
        <f aca="false">Sens!$E$7056</f>
        <v>88.358</v>
      </c>
      <c r="F7147" s="38" t="n">
        <f aca="false">Sens!$F$7056</f>
        <v>102.004388260171</v>
      </c>
      <c r="G7147" s="38" t="n">
        <f aca="false">Sens!$G$7056</f>
        <v>190.362388260171</v>
      </c>
      <c r="H7147" s="38" t="n">
        <f aca="false">Sens!$H$7056</f>
        <v>210.343106588311</v>
      </c>
      <c r="I7147" s="38" t="n">
        <f aca="false">Sens!$I$7056</f>
        <v>229.969728494648</v>
      </c>
      <c r="J7147" s="38" t="n">
        <f aca="false">Sens!$J$7056</f>
        <v>248.747636972598</v>
      </c>
      <c r="K7147" s="38" t="n">
        <f aca="false">Sens!$K$7056</f>
        <v>266.15997156068</v>
      </c>
      <c r="L7147" s="38" t="n">
        <f aca="false">Sens!$L$7056</f>
        <v>284.791169569927</v>
      </c>
      <c r="M7147" s="38" t="n">
        <f aca="false">Sens!$M$7056</f>
        <v>304.726551439822</v>
      </c>
      <c r="N7147" s="38" t="n">
        <f aca="false">Sens!$N$7056</f>
        <v>76.86</v>
      </c>
      <c r="O7147" s="38" t="n">
        <f aca="false">Sens!$O$7056</f>
        <v>95.302</v>
      </c>
    </row>
    <row r="7148" customFormat="false" ht="15" hidden="false" customHeight="false" outlineLevel="0" collapsed="false">
      <c r="A7148" s="0" t="s">
        <v>519</v>
      </c>
      <c r="B7148" s="0" t="s">
        <v>86</v>
      </c>
      <c r="C7148" s="38" t="n">
        <f aca="false">Sens!$C$7058</f>
        <v>56.214</v>
      </c>
      <c r="D7148" s="38" t="n">
        <f aca="false">Sens!$D$7058</f>
        <v>68.635</v>
      </c>
      <c r="E7148" s="38" t="n">
        <f aca="false">Sens!$E$7058</f>
        <v>37.052</v>
      </c>
      <c r="F7148" s="38" t="n">
        <f aca="false">Sens!$F$7058</f>
        <v>46.1572219944148</v>
      </c>
      <c r="G7148" s="38" t="n">
        <f aca="false">Sens!$G$7058</f>
        <v>83.2092219944148</v>
      </c>
      <c r="H7148" s="38" t="n">
        <f aca="false">Sens!$H$7058</f>
        <v>99.8969223878976</v>
      </c>
      <c r="I7148" s="38" t="n">
        <f aca="false">Sens!$I$7058</f>
        <v>116.583111095496</v>
      </c>
      <c r="J7148" s="38" t="n">
        <f aca="false">Sens!$J$7058</f>
        <v>132.148941941952</v>
      </c>
      <c r="K7148" s="38" t="n">
        <f aca="false">Sens!$K$7058</f>
        <v>145.363836136147</v>
      </c>
      <c r="L7148" s="38" t="n">
        <f aca="false">Sens!$L$7058</f>
        <v>159.900219749762</v>
      </c>
      <c r="M7148" s="38" t="n">
        <f aca="false">Sens!$M$7058</f>
        <v>175.890241724738</v>
      </c>
      <c r="N7148" s="38" t="n">
        <f aca="false">Sens!$N$7058</f>
        <v>29.615</v>
      </c>
      <c r="O7148" s="38" t="n">
        <f aca="false">Sens!$O$7058</f>
        <v>39.02</v>
      </c>
    </row>
    <row r="7149" customFormat="false" ht="15" hidden="false" customHeight="false" outlineLevel="0" collapsed="false">
      <c r="A7149" s="0" t="s">
        <v>520</v>
      </c>
      <c r="B7149" s="0" t="s">
        <v>86</v>
      </c>
      <c r="C7149" s="38" t="n">
        <f aca="false">Sens!$C$7060</f>
        <v>44.374</v>
      </c>
      <c r="D7149" s="38" t="n">
        <f aca="false">Sens!$D$7060</f>
        <v>49.619</v>
      </c>
      <c r="E7149" s="38" t="n">
        <f aca="false">Sens!$E$7060</f>
        <v>27.157</v>
      </c>
      <c r="F7149" s="38" t="n">
        <f aca="false">Sens!$F$7060</f>
        <v>27.7764165988154</v>
      </c>
      <c r="G7149" s="38" t="n">
        <f aca="false">Sens!$G$7060</f>
        <v>54.9334165988154</v>
      </c>
      <c r="H7149" s="38" t="n">
        <f aca="false">Sens!$H$7060</f>
        <v>61.1564112561829</v>
      </c>
      <c r="I7149" s="38" t="n">
        <f aca="false">Sens!$I$7060</f>
        <v>67.2020282103945</v>
      </c>
      <c r="J7149" s="38" t="n">
        <f aca="false">Sens!$J$7060</f>
        <v>72.8757274028885</v>
      </c>
      <c r="K7149" s="38" t="n">
        <f aca="false">Sens!$K$7060</f>
        <v>77.9770283210907</v>
      </c>
      <c r="L7149" s="38" t="n">
        <f aca="false">Sens!$L$7060</f>
        <v>83.4354203035671</v>
      </c>
      <c r="M7149" s="38" t="n">
        <f aca="false">Sens!$M$7060</f>
        <v>89.2758997248168</v>
      </c>
      <c r="N7149" s="38" t="n">
        <f aca="false">Sens!$N$7060</f>
        <v>23.923</v>
      </c>
      <c r="O7149" s="38" t="n">
        <f aca="false">Sens!$O$7060</f>
        <v>25.696</v>
      </c>
    </row>
    <row r="7150" customFormat="false" ht="15" hidden="false" customHeight="false" outlineLevel="0" collapsed="false">
      <c r="A7150" s="0" t="s">
        <v>521</v>
      </c>
      <c r="B7150" s="0" t="s">
        <v>86</v>
      </c>
      <c r="C7150" s="38" t="n">
        <f aca="false">Sens!$C$7062</f>
        <v>5.425</v>
      </c>
      <c r="D7150" s="38" t="n">
        <f aca="false">Sens!$D$7062</f>
        <v>5.935</v>
      </c>
      <c r="E7150" s="38" t="n">
        <f aca="false">Sens!$E$7062</f>
        <v>3.474</v>
      </c>
      <c r="F7150" s="38" t="n">
        <f aca="false">Sens!$F$7062</f>
        <v>3.22246550883619</v>
      </c>
      <c r="G7150" s="38" t="n">
        <f aca="false">Sens!$G$7062</f>
        <v>6.69646550883619</v>
      </c>
      <c r="H7150" s="38" t="n">
        <f aca="false">Sens!$H$7062</f>
        <v>7.16251344209196</v>
      </c>
      <c r="I7150" s="38" t="n">
        <f aca="false">Sens!$I$7062</f>
        <v>7.61421070299826</v>
      </c>
      <c r="J7150" s="38" t="n">
        <f aca="false">Sens!$J$7062</f>
        <v>8.04465753523932</v>
      </c>
      <c r="K7150" s="38" t="n">
        <f aca="false">Sens!$K$7062</f>
        <v>8.44689041200128</v>
      </c>
      <c r="L7150" s="38" t="n">
        <f aca="false">Sens!$L$7062</f>
        <v>8.86923493260135</v>
      </c>
      <c r="M7150" s="38" t="n">
        <f aca="false">Sens!$M$7062</f>
        <v>9.31269667923142</v>
      </c>
      <c r="N7150" s="38" t="n">
        <f aca="false">Sens!$N$7062</f>
        <v>2.811</v>
      </c>
      <c r="O7150" s="38" t="n">
        <f aca="false">Sens!$O$7062</f>
        <v>3.124</v>
      </c>
    </row>
    <row r="7151" customFormat="false" ht="17.15" hidden="false" customHeight="false" outlineLevel="0" collapsed="false">
      <c r="A7151" s="0" t="s">
        <v>711</v>
      </c>
      <c r="B7151" s="0" t="s">
        <v>86</v>
      </c>
      <c r="C7151" s="38" t="n">
        <f aca="false">Sens!$C$7132</f>
        <v>107.556</v>
      </c>
      <c r="D7151" s="38" t="n">
        <f aca="false">Sens!$D$7132</f>
        <v>128.725</v>
      </c>
      <c r="E7151" s="38" t="n">
        <f aca="false">Sens!$E$7132</f>
        <v>79.819</v>
      </c>
      <c r="F7151" s="38" t="n">
        <f aca="false">Sens!$F$7132</f>
        <v>86.7327334389669</v>
      </c>
      <c r="G7151" s="38" t="n">
        <f aca="false">Sens!$G$7132</f>
        <v>166.551733438967</v>
      </c>
      <c r="H7151" s="38" t="n">
        <f aca="false">Sens!$H$7132</f>
        <v>221.182967828978</v>
      </c>
      <c r="I7151" s="38" t="n">
        <f aca="false">Sens!$I$7132</f>
        <v>280.27345865789</v>
      </c>
      <c r="J7151" s="38" t="n">
        <f aca="false">Sens!$J$7132</f>
        <v>338.800945197185</v>
      </c>
      <c r="K7151" s="38" t="n">
        <f aca="false">Sens!$K$7132</f>
        <v>389.88570147276</v>
      </c>
      <c r="L7151" s="38" t="n">
        <f aca="false">Sens!$L$7132</f>
        <v>430.080689379143</v>
      </c>
      <c r="M7151" s="38" t="n">
        <f aca="false">Sens!$M$7132</f>
        <v>459.456235951751</v>
      </c>
      <c r="N7151" s="38" t="n">
        <f aca="false">Sens!$N$7132</f>
        <v>60.14</v>
      </c>
      <c r="O7151" s="38" t="n">
        <f aca="false">Sens!$O$7132</f>
        <v>68.585</v>
      </c>
    </row>
    <row r="7152" customFormat="false" ht="15" hidden="false" customHeight="false" outlineLevel="0" collapsed="false">
      <c r="A7152" s="1" t="s">
        <v>509</v>
      </c>
      <c r="B7152" s="8" t="s">
        <v>86</v>
      </c>
      <c r="C7152" s="38" t="n">
        <f aca="false">Sens!$C$7067</f>
        <v>387.497</v>
      </c>
      <c r="D7152" s="38" t="n">
        <f aca="false">Sens!$D$7067</f>
        <v>426.305</v>
      </c>
      <c r="E7152" s="38" t="n">
        <f aca="false">Sens!$E$7067</f>
        <v>220.32</v>
      </c>
      <c r="F7152" s="38" t="n">
        <f aca="false">Sens!$F$7067</f>
        <v>250.639773480586</v>
      </c>
      <c r="G7152" s="38" t="n">
        <f aca="false">Sens!$G$7067</f>
        <v>470.959773480586</v>
      </c>
      <c r="H7152" s="38" t="n">
        <f aca="false">Sens!$H$7067</f>
        <v>521.386990416437</v>
      </c>
      <c r="I7152" s="38" t="n">
        <f aca="false">Sens!$I$7067</f>
        <v>570.143862887555</v>
      </c>
      <c r="J7152" s="38" t="n">
        <f aca="false">Sens!$J$7067</f>
        <v>615.391435791933</v>
      </c>
      <c r="K7152" s="38" t="n">
        <f aca="false">Sens!$K$7067</f>
        <v>655.208227561543</v>
      </c>
      <c r="L7152" s="38" t="n">
        <f aca="false">Sens!$L$7067</f>
        <v>697.807739249767</v>
      </c>
      <c r="M7152" s="38" t="n">
        <f aca="false">Sens!$M$7067</f>
        <v>743.399328463592</v>
      </c>
      <c r="N7152" s="38" t="n">
        <f aca="false">Sens!$N$7067</f>
        <v>192.955</v>
      </c>
      <c r="O7152" s="38" t="n">
        <f aca="false">Sens!$O$7067</f>
        <v>233.35</v>
      </c>
    </row>
    <row r="7153" customFormat="false" ht="15" hidden="false" customHeight="false" outlineLevel="0" collapsed="false">
      <c r="A7153" s="1" t="s">
        <v>512</v>
      </c>
      <c r="B7153" s="8" t="s">
        <v>86</v>
      </c>
      <c r="C7153" s="38" t="n">
        <f aca="false">Sens!$C$7068</f>
        <v>142.906</v>
      </c>
      <c r="D7153" s="38" t="n">
        <f aca="false">Sens!$D$7068</f>
        <v>161.894</v>
      </c>
      <c r="E7153" s="38" t="n">
        <f aca="false">Sens!$E$7068</f>
        <v>81.986</v>
      </c>
      <c r="F7153" s="38" t="n">
        <f aca="false">Sens!$F$7068</f>
        <v>98.408468164951</v>
      </c>
      <c r="G7153" s="38" t="n">
        <f aca="false">Sens!$G$7068</f>
        <v>180.394468164951</v>
      </c>
      <c r="H7153" s="38" t="n">
        <f aca="false">Sens!$H$7068</f>
        <v>199.709899104949</v>
      </c>
      <c r="I7153" s="38" t="n">
        <f aca="false">Sens!$I$7068</f>
        <v>218.385528264976</v>
      </c>
      <c r="J7153" s="38" t="n">
        <f aca="false">Sens!$J$7068</f>
        <v>235.71696994951</v>
      </c>
      <c r="K7153" s="38" t="n">
        <f aca="false">Sens!$K$7068</f>
        <v>250.968227869545</v>
      </c>
      <c r="L7153" s="38" t="n">
        <f aca="false">Sens!$L$7068</f>
        <v>267.285367225822</v>
      </c>
      <c r="M7153" s="38" t="n">
        <f aca="false">Sens!$M$7068</f>
        <v>284.748579483295</v>
      </c>
      <c r="N7153" s="38" t="n">
        <f aca="false">Sens!$N$7068</f>
        <v>70.274</v>
      </c>
      <c r="O7153" s="38" t="n">
        <f aca="false">Sens!$O$7068</f>
        <v>91.62</v>
      </c>
    </row>
    <row r="7154" customFormat="false" ht="15" hidden="false" customHeight="false" outlineLevel="0" collapsed="false">
      <c r="A7154" s="1" t="s">
        <v>513</v>
      </c>
      <c r="B7154" s="8" t="s">
        <v>86</v>
      </c>
      <c r="C7154" s="38" t="n">
        <f aca="false">Sens!$C$7132</f>
        <v>107.556</v>
      </c>
      <c r="D7154" s="38" t="n">
        <f aca="false">Sens!$D$7132</f>
        <v>128.725</v>
      </c>
      <c r="E7154" s="38" t="n">
        <f aca="false">Sens!$E$7132</f>
        <v>79.819</v>
      </c>
      <c r="F7154" s="38" t="n">
        <f aca="false">Sens!$F$7132</f>
        <v>86.7327334389669</v>
      </c>
      <c r="G7154" s="38" t="n">
        <f aca="false">Sens!$G$7132</f>
        <v>166.551733438967</v>
      </c>
      <c r="H7154" s="38" t="n">
        <f aca="false">Sens!$H$7132</f>
        <v>221.182967828978</v>
      </c>
      <c r="I7154" s="38" t="n">
        <f aca="false">Sens!$I$7132</f>
        <v>280.27345865789</v>
      </c>
      <c r="J7154" s="38" t="n">
        <f aca="false">Sens!$J$7132</f>
        <v>338.800945197185</v>
      </c>
      <c r="K7154" s="38" t="n">
        <f aca="false">Sens!$K$7132</f>
        <v>389.88570147276</v>
      </c>
      <c r="L7154" s="38" t="n">
        <f aca="false">Sens!$L$7132</f>
        <v>430.080689379143</v>
      </c>
      <c r="M7154" s="38" t="n">
        <f aca="false">Sens!$M$7132</f>
        <v>459.456235951751</v>
      </c>
      <c r="N7154" s="38" t="n">
        <f aca="false">Sens!$N$7132</f>
        <v>60.14</v>
      </c>
      <c r="O7154" s="38" t="n">
        <f aca="false">Sens!$O$7132</f>
        <v>68.585</v>
      </c>
    </row>
    <row r="7155" customFormat="false" ht="17.15" hidden="false" customHeight="false" outlineLevel="0" collapsed="false">
      <c r="A7155" s="0" t="s">
        <v>685</v>
      </c>
      <c r="B7155" s="0" t="s">
        <v>86</v>
      </c>
      <c r="C7155" s="38" t="n">
        <f aca="false">Sens!$C$7130</f>
        <v>2.32100535697364</v>
      </c>
      <c r="D7155" s="38" t="n">
        <f aca="false">Sens!$D$7130</f>
        <v>8.70377008865116</v>
      </c>
      <c r="E7155" s="38" t="n">
        <f aca="false">Sens!$E$7130</f>
        <v>8.51035297557002</v>
      </c>
      <c r="F7155" s="38" t="n">
        <f aca="false">Sens!$F$7130</f>
        <v>14.9634336447205</v>
      </c>
      <c r="G7155" s="38" t="n">
        <f aca="false">Sens!$G$7130</f>
        <v>23.4737866202905</v>
      </c>
      <c r="H7155" s="38" t="n">
        <f aca="false">Sens!$H$7130</f>
        <v>60.1658907497746</v>
      </c>
      <c r="I7155" s="38" t="n">
        <f aca="false">Sens!$I$7130</f>
        <v>101.503699136432</v>
      </c>
      <c r="J7155" s="38" t="n">
        <f aca="false">Sens!$J$7130</f>
        <v>143.025407151278</v>
      </c>
      <c r="K7155" s="38" t="n">
        <f aca="false">Sens!$K$7130</f>
        <v>178.44812038318</v>
      </c>
      <c r="L7155" s="38" t="n">
        <f aca="false">Sens!$L$7130</f>
        <v>201.728101802396</v>
      </c>
      <c r="M7155" s="38" t="n">
        <f aca="false">Sens!$M$7130</f>
        <v>212.835441368865</v>
      </c>
      <c r="N7155" s="38" t="n">
        <f aca="false">Sens!$N$7130</f>
        <v>3.04631953102791</v>
      </c>
      <c r="O7155" s="38" t="n">
        <f aca="false">Sens!$O$7130</f>
        <v>5.65745055762326</v>
      </c>
    </row>
    <row r="7156" customFormat="false" ht="17.15" hidden="false" customHeight="false" outlineLevel="0" collapsed="false">
      <c r="A7156" s="0" t="s">
        <v>687</v>
      </c>
      <c r="B7156" s="0" t="s">
        <v>86</v>
      </c>
      <c r="C7156" s="38" t="n">
        <f aca="false">Sens!$C$7131</f>
        <v>105.234994643026</v>
      </c>
      <c r="D7156" s="38" t="n">
        <f aca="false">Sens!$D$7131</f>
        <v>120.021229911349</v>
      </c>
      <c r="E7156" s="38" t="n">
        <f aca="false">Sens!$E$7131</f>
        <v>71.30864702443</v>
      </c>
      <c r="F7156" s="38" t="n">
        <f aca="false">Sens!$F$7131</f>
        <v>71.7692997942464</v>
      </c>
      <c r="G7156" s="38" t="n">
        <f aca="false">Sens!$G$7131</f>
        <v>143.077946818676</v>
      </c>
      <c r="H7156" s="38" t="n">
        <f aca="false">Sens!$H$7131</f>
        <v>161.017077079203</v>
      </c>
      <c r="I7156" s="38" t="n">
        <f aca="false">Sens!$I$7131</f>
        <v>178.769759521457</v>
      </c>
      <c r="J7156" s="38" t="n">
        <f aca="false">Sens!$J$7131</f>
        <v>195.775538045907</v>
      </c>
      <c r="K7156" s="38" t="n">
        <f aca="false">Sens!$K$7131</f>
        <v>211.43758108958</v>
      </c>
      <c r="L7156" s="38" t="n">
        <f aca="false">Sens!$L$7131</f>
        <v>228.352587576746</v>
      </c>
      <c r="M7156" s="38" t="n">
        <f aca="false">Sens!$M$7131</f>
        <v>246.620794582886</v>
      </c>
      <c r="N7156" s="38" t="n">
        <f aca="false">Sens!$N$7131</f>
        <v>57.0936804689721</v>
      </c>
      <c r="O7156" s="38" t="n">
        <f aca="false">Sens!$O$7131</f>
        <v>62.9275494423768</v>
      </c>
    </row>
    <row r="7157" customFormat="false" ht="15" hidden="false" customHeight="false" outlineLevel="0" collapsed="false">
      <c r="A7157" s="3" t="s">
        <v>514</v>
      </c>
      <c r="B7157" s="8" t="s">
        <v>86</v>
      </c>
      <c r="C7157" s="38" t="n">
        <f aca="false">Sens!$C$7133</f>
        <v>637.959</v>
      </c>
      <c r="D7157" s="38" t="n">
        <f aca="false">Sens!$D$7133</f>
        <v>716.924</v>
      </c>
      <c r="E7157" s="38" t="n">
        <f aca="false">Sens!$E$7133</f>
        <v>382.125</v>
      </c>
      <c r="F7157" s="38" t="n">
        <f aca="false">Sens!$F$7133</f>
        <v>435.780975084504</v>
      </c>
      <c r="G7157" s="38" t="n">
        <f aca="false">Sens!$G$7133</f>
        <v>817.905975084504</v>
      </c>
      <c r="H7157" s="38" t="n">
        <f aca="false">Sens!$H$7133</f>
        <v>942.279857350364</v>
      </c>
      <c r="I7157" s="38" t="n">
        <f aca="false">Sens!$I$7133</f>
        <v>1068.80284981042</v>
      </c>
      <c r="J7157" s="38" t="n">
        <f aca="false">Sens!$J$7133</f>
        <v>1189.90935093863</v>
      </c>
      <c r="K7157" s="38" t="n">
        <f aca="false">Sens!$K$7133</f>
        <v>1296.06215690385</v>
      </c>
      <c r="L7157" s="38" t="n">
        <f aca="false">Sens!$L$7133</f>
        <v>1395.17379585473</v>
      </c>
      <c r="M7157" s="38" t="n">
        <f aca="false">Sens!$M$7133</f>
        <v>1487.60414389864</v>
      </c>
      <c r="N7157" s="38" t="n">
        <f aca="false">Sens!$N$7133</f>
        <v>323.369</v>
      </c>
      <c r="O7157" s="38" t="n">
        <f aca="false">Sens!$O$7133</f>
        <v>393.555</v>
      </c>
    </row>
    <row r="7158" customFormat="false" ht="17.15" hidden="false" customHeight="false" outlineLevel="0" collapsed="false">
      <c r="A7158" s="24" t="s">
        <v>697</v>
      </c>
      <c r="B7158" s="25" t="s">
        <v>86</v>
      </c>
      <c r="C7158" s="41" t="n">
        <f aca="false">Sens!$C$7145+Sens!$C$7146+Sens!$C$7147+Sens!$C$7148+Sens!$C$7149+Sens!$C$7150-(Sens!$C$7152+Sens!$C$7153)</f>
        <v>0</v>
      </c>
      <c r="D7158" s="41" t="n">
        <f aca="false">Sens!$D$7145+Sens!$D$7146+Sens!$D$7147+Sens!$D$7148+Sens!$D$7149+Sens!$D$7150-(Sens!$D$7152+Sens!$D$7153)</f>
        <v>0</v>
      </c>
      <c r="E7158" s="41" t="n">
        <f aca="false">Sens!$E$7145+Sens!$E$7146+Sens!$E$7147+Sens!$E$7148+Sens!$E$7149+Sens!$E$7150-(Sens!$E$7152+Sens!$E$7153)</f>
        <v>0</v>
      </c>
      <c r="F7158" s="41" t="n">
        <f aca="false">Sens!$F$7145+Sens!$F$7146+Sens!$F$7147+Sens!$F$7148+Sens!$F$7149+Sens!$F$7150-(Sens!$F$7152+Sens!$F$7153)</f>
        <v>0</v>
      </c>
      <c r="G7158" s="41" t="n">
        <f aca="false">Sens!$G$7145+Sens!$G$7146+Sens!$G$7147+Sens!$G$7148+Sens!$G$7149+Sens!$G$7150-(Sens!$G$7152+Sens!$G$7153)</f>
        <v>0</v>
      </c>
      <c r="H7158" s="41" t="n">
        <f aca="false">Sens!$H$7145+Sens!$H$7146+Sens!$H$7147+Sens!$H$7148+Sens!$H$7149+Sens!$H$7150-(Sens!$H$7152+Sens!$H$7153)</f>
        <v>0</v>
      </c>
      <c r="I7158" s="41" t="n">
        <f aca="false">Sens!$I$7145+Sens!$I$7146+Sens!$I$7147+Sens!$I$7148+Sens!$I$7149+Sens!$I$7150-(Sens!$I$7152+Sens!$I$7153)</f>
        <v>0</v>
      </c>
      <c r="J7158" s="41" t="n">
        <f aca="false">Sens!$J$7145+Sens!$J$7146+Sens!$J$7147+Sens!$J$7148+Sens!$J$7149+Sens!$J$7150-(Sens!$J$7152+Sens!$J$7153)</f>
        <v>0</v>
      </c>
      <c r="K7158" s="41" t="n">
        <f aca="false">Sens!$K$7145+Sens!$K$7146+Sens!$K$7147+Sens!$K$7148+Sens!$K$7149+Sens!$K$7150-(Sens!$K$7152+Sens!$K$7153)</f>
        <v>0</v>
      </c>
      <c r="L7158" s="41" t="n">
        <f aca="false">Sens!$L$7145+Sens!$L$7146+Sens!$L$7147+Sens!$L$7148+Sens!$L$7149+Sens!$L$7150-(Sens!$L$7152+Sens!$L$7153)</f>
        <v>0</v>
      </c>
      <c r="M7158" s="41" t="n">
        <f aca="false">Sens!$M$7145+Sens!$M$7146+Sens!$M$7147+Sens!$M$7148+Sens!$M$7149+Sens!$M$7150-(Sens!$M$7152+Sens!$M$7153)</f>
        <v>0</v>
      </c>
      <c r="N7158" s="41" t="n">
        <f aca="false">Sens!$N$7145+Sens!$N$7146+Sens!$N$7147+Sens!$N$7148+Sens!$N$7149+Sens!$N$7150-(Sens!$N$7152+Sens!$N$7153)</f>
        <v>0</v>
      </c>
      <c r="O7158" s="41" t="n">
        <f aca="false">Sens!$O$7145+Sens!$O$7146+Sens!$O$7147+Sens!$O$7148+Sens!$O$7149+Sens!$O$7150-(Sens!$O$7152+Sens!$O$7153)</f>
        <v>0</v>
      </c>
    </row>
    <row r="7159" customFormat="false" ht="17.15" hidden="false" customHeight="false" outlineLevel="0" collapsed="false">
      <c r="A7159" s="24" t="s">
        <v>698</v>
      </c>
      <c r="B7159" s="25" t="s">
        <v>86</v>
      </c>
      <c r="C7159" s="41" t="n">
        <f aca="false">Sens!$C$7155+Sens!$C$7156-Sens!$C$7154</f>
        <v>0</v>
      </c>
      <c r="D7159" s="41" t="n">
        <f aca="false">Sens!$D$7155+Sens!$D$7156-Sens!$D$7154</f>
        <v>0</v>
      </c>
      <c r="E7159" s="41" t="n">
        <f aca="false">Sens!$E$7155+Sens!$E$7156-Sens!$E$7154</f>
        <v>0</v>
      </c>
      <c r="F7159" s="41" t="n">
        <f aca="false">Sens!$F$7155+Sens!$F$7156-Sens!$F$7154</f>
        <v>0</v>
      </c>
      <c r="G7159" s="41" t="n">
        <f aca="false">Sens!$G$7155+Sens!$G$7156-Sens!$G$7154</f>
        <v>0</v>
      </c>
      <c r="H7159" s="41" t="n">
        <f aca="false">Sens!$H$7155+Sens!$H$7156-Sens!$H$7154</f>
        <v>0</v>
      </c>
      <c r="I7159" s="41" t="n">
        <f aca="false">Sens!$I$7155+Sens!$I$7156-Sens!$I$7154</f>
        <v>0</v>
      </c>
      <c r="J7159" s="41" t="n">
        <f aca="false">Sens!$J$7155+Sens!$J$7156-Sens!$J$7154</f>
        <v>0</v>
      </c>
      <c r="K7159" s="41" t="n">
        <f aca="false">Sens!$K$7155+Sens!$K$7156-Sens!$K$7154</f>
        <v>0</v>
      </c>
      <c r="L7159" s="41" t="n">
        <f aca="false">Sens!$L$7155+Sens!$L$7156-Sens!$L$7154</f>
        <v>0</v>
      </c>
      <c r="M7159" s="41" t="n">
        <f aca="false">Sens!$M$7155+Sens!$M$7156-Sens!$M$7154</f>
        <v>0</v>
      </c>
      <c r="N7159" s="41" t="n">
        <f aca="false">Sens!$N$7155+Sens!$N$7156-Sens!$N$7154</f>
        <v>0</v>
      </c>
      <c r="O7159" s="41" t="n">
        <f aca="false">Sens!$O$7155+Sens!$O$7156-Sens!$O$7154</f>
        <v>0</v>
      </c>
    </row>
    <row r="7160" customFormat="false" ht="17.15" hidden="false" customHeight="false" outlineLevel="0" collapsed="false">
      <c r="A7160" s="24" t="s">
        <v>757</v>
      </c>
      <c r="B7160" s="25" t="s">
        <v>86</v>
      </c>
      <c r="C7160" s="41" t="n">
        <f aca="false">Sens!$C$7145+Sens!$C$7146+Sens!$C$7147+Sens!$C$7148+Sens!$C$7149+Sens!$C$7150+Sens!$C$7151-Sens!$C$7157</f>
        <v>0</v>
      </c>
      <c r="D7160" s="41" t="n">
        <f aca="false">Sens!$D$7145+Sens!$D$7146+Sens!$D$7147+Sens!$D$7148+Sens!$D$7149+Sens!$D$7150+Sens!$D$7151-Sens!$D$7157</f>
        <v>0</v>
      </c>
      <c r="E7160" s="41" t="n">
        <f aca="false">Sens!$E$7145+Sens!$E$7146+Sens!$E$7147+Sens!$E$7148+Sens!$E$7149+Sens!$E$7150+Sens!$E$7151-Sens!$E$7157</f>
        <v>0</v>
      </c>
      <c r="F7160" s="41" t="n">
        <f aca="false">Sens!$F$7145+Sens!$F$7146+Sens!$F$7147+Sens!$F$7148+Sens!$F$7149+Sens!$F$7150+Sens!$F$7151-Sens!$F$7157</f>
        <v>0</v>
      </c>
      <c r="G7160" s="41" t="n">
        <f aca="false">Sens!$G$7145+Sens!$G$7146+Sens!$G$7147+Sens!$G$7148+Sens!$G$7149+Sens!$G$7150+Sens!$G$7151-Sens!$G$7157</f>
        <v>0</v>
      </c>
      <c r="H7160" s="41" t="n">
        <f aca="false">Sens!$H$7145+Sens!$H$7146+Sens!$H$7147+Sens!$H$7148+Sens!$H$7149+Sens!$H$7150+Sens!$H$7151-Sens!$H$7157</f>
        <v>0</v>
      </c>
      <c r="I7160" s="41" t="n">
        <f aca="false">Sens!$I$7145+Sens!$I$7146+Sens!$I$7147+Sens!$I$7148+Sens!$I$7149+Sens!$I$7150+Sens!$I$7151-Sens!$I$7157</f>
        <v>0</v>
      </c>
      <c r="J7160" s="41" t="n">
        <f aca="false">Sens!$J$7145+Sens!$J$7146+Sens!$J$7147+Sens!$J$7148+Sens!$J$7149+Sens!$J$7150+Sens!$J$7151-Sens!$J$7157</f>
        <v>0</v>
      </c>
      <c r="K7160" s="41" t="n">
        <f aca="false">Sens!$K$7145+Sens!$K$7146+Sens!$K$7147+Sens!$K$7148+Sens!$K$7149+Sens!$K$7150+Sens!$K$7151-Sens!$K$7157</f>
        <v>0</v>
      </c>
      <c r="L7160" s="41" t="n">
        <f aca="false">Sens!$L$7145+Sens!$L$7146+Sens!$L$7147+Sens!$L$7148+Sens!$L$7149+Sens!$L$7150+Sens!$L$7151-Sens!$L$7157</f>
        <v>0</v>
      </c>
      <c r="M7160" s="41" t="n">
        <f aca="false">Sens!$M$7145+Sens!$M$7146+Sens!$M$7147+Sens!$M$7148+Sens!$M$7149+Sens!$M$7150+Sens!$M$7151-Sens!$M$7157</f>
        <v>0</v>
      </c>
      <c r="N7160" s="41" t="n">
        <f aca="false">Sens!$N$7145+Sens!$N$7146+Sens!$N$7147+Sens!$N$7148+Sens!$N$7149+Sens!$N$7150+Sens!$N$7151-Sens!$N$7157</f>
        <v>0</v>
      </c>
      <c r="O7160" s="41" t="n">
        <f aca="false">Sens!$O$7145+Sens!$O$7146+Sens!$O$7147+Sens!$O$7148+Sens!$O$7149+Sens!$O$7150+Sens!$O$7151-Sens!$O$7157</f>
        <v>0</v>
      </c>
    </row>
    <row r="7161" customFormat="false" ht="17.15" hidden="false" customHeight="false" outlineLevel="0" collapsed="false">
      <c r="A7161" s="24" t="s">
        <v>699</v>
      </c>
      <c r="B7161" s="25" t="s">
        <v>86</v>
      </c>
      <c r="C7161" s="41" t="n">
        <f aca="false">Sens!$C$7152+Sens!$C$7153+Sens!$C$7154-Sens!$C$7157</f>
        <v>0</v>
      </c>
      <c r="D7161" s="41" t="n">
        <f aca="false">Sens!$D$7152+Sens!$D$7153+Sens!$D$7154-Sens!$D$7157</f>
        <v>0</v>
      </c>
      <c r="E7161" s="41" t="n">
        <f aca="false">Sens!$E$7152+Sens!$E$7153+Sens!$E$7154-Sens!$E$7157</f>
        <v>0</v>
      </c>
      <c r="F7161" s="41" t="n">
        <f aca="false">Sens!$F$7152+Sens!$F$7153+Sens!$F$7154-Sens!$F$7157</f>
        <v>0</v>
      </c>
      <c r="G7161" s="41" t="n">
        <f aca="false">Sens!$G$7152+Sens!$G$7153+Sens!$G$7154-Sens!$G$7157</f>
        <v>0</v>
      </c>
      <c r="H7161" s="41" t="n">
        <f aca="false">Sens!$H$7152+Sens!$H$7153+Sens!$H$7154-Sens!$H$7157</f>
        <v>0</v>
      </c>
      <c r="I7161" s="41" t="n">
        <f aca="false">Sens!$I$7152+Sens!$I$7153+Sens!$I$7154-Sens!$I$7157</f>
        <v>0</v>
      </c>
      <c r="J7161" s="41" t="n">
        <f aca="false">Sens!$J$7152+Sens!$J$7153+Sens!$J$7154-Sens!$J$7157</f>
        <v>0</v>
      </c>
      <c r="K7161" s="41" t="n">
        <f aca="false">Sens!$K$7152+Sens!$K$7153+Sens!$K$7154-Sens!$K$7157</f>
        <v>0</v>
      </c>
      <c r="L7161" s="41" t="n">
        <f aca="false">Sens!$L$7152+Sens!$L$7153+Sens!$L$7154-Sens!$L$7157</f>
        <v>0</v>
      </c>
      <c r="M7161" s="41" t="n">
        <f aca="false">Sens!$M$7152+Sens!$M$7153+Sens!$M$7154-Sens!$M$7157</f>
        <v>0</v>
      </c>
      <c r="N7161" s="41" t="n">
        <f aca="false">Sens!$N$7152+Sens!$N$7153+Sens!$N$7154-Sens!$N$7157</f>
        <v>0</v>
      </c>
      <c r="O7161" s="41" t="n">
        <f aca="false">Sens!$O$7152+Sens!$O$7153+Sens!$O$7154-Sens!$O$7157</f>
        <v>0</v>
      </c>
    </row>
    <row r="7162" customFormat="false" ht="17.15" hidden="false" customHeight="false" outlineLevel="0" collapsed="false">
      <c r="A7162" s="1" t="s">
        <v>713</v>
      </c>
    </row>
    <row r="7163" customFormat="false" ht="17.15" hidden="false" customHeight="false" outlineLevel="0" collapsed="false">
      <c r="A7163" s="0" t="s">
        <v>714</v>
      </c>
      <c r="B7163" s="0" t="s">
        <v>86</v>
      </c>
      <c r="C7163" s="38" t="n">
        <f aca="false">Sens!$C$7069*m_ad</f>
        <v>20.5341564414228</v>
      </c>
      <c r="D7163" s="38" t="n">
        <f aca="false">Sens!$D$7069*m_ad</f>
        <v>24.8720617299587</v>
      </c>
      <c r="E7163" s="38" t="n">
        <f aca="false">Sens!$E$7069*m_ad</f>
        <v>13.5017112462207</v>
      </c>
      <c r="F7163" s="38" t="n">
        <f aca="false">Sens!$F$7069*m_ad</f>
        <v>16.5719724165257</v>
      </c>
      <c r="G7163" s="38" t="n">
        <f aca="false">Sens!$G$7069*m_ad</f>
        <v>30.0820919220415</v>
      </c>
      <c r="H7163" s="38" t="n">
        <f aca="false">Sens!$H$7069*m_ad</f>
        <v>36.1150883276314</v>
      </c>
      <c r="I7163" s="38" t="n">
        <f aca="false">Sens!$I$7069*m_ad</f>
        <v>42.1475382231996</v>
      </c>
      <c r="J7163" s="38" t="n">
        <f aca="false">Sens!$J$7069*m_ad</f>
        <v>47.7749523864693</v>
      </c>
      <c r="K7163" s="38" t="n">
        <f aca="false">Sens!$K$7069*m_ad</f>
        <v>52.5524476251162</v>
      </c>
      <c r="L7163" s="38" t="n">
        <f aca="false">Sens!$L$7069*m_ad</f>
        <v>57.8076923876279</v>
      </c>
      <c r="M7163" s="38" t="n">
        <f aca="false">Sens!$M$7069*m_ad</f>
        <v>63.5884616263907</v>
      </c>
      <c r="N7163" s="38" t="n">
        <f aca="false">Sens!$N$7069*m_ad</f>
        <v>10.8543555706248</v>
      </c>
      <c r="O7163" s="38" t="n">
        <f aca="false">Sens!$O$7069*m_ad</f>
        <v>14.0094731821399</v>
      </c>
    </row>
    <row r="7164" customFormat="false" ht="17.15" hidden="false" customHeight="false" outlineLevel="0" collapsed="false">
      <c r="A7164" s="0" t="s">
        <v>715</v>
      </c>
      <c r="B7164" s="0" t="s">
        <v>86</v>
      </c>
      <c r="C7164" s="38" t="n">
        <f aca="false">Sens!$C$7067-Sens!$C$7069</f>
        <v>346.428687117154</v>
      </c>
      <c r="D7164" s="38" t="n">
        <f aca="false">Sens!$D$7067-Sens!$D$7069</f>
        <v>376.560876540083</v>
      </c>
      <c r="E7164" s="38" t="n">
        <f aca="false">Sens!$E$7067-Sens!$E$7069</f>
        <v>193.316577507559</v>
      </c>
      <c r="F7164" s="38" t="n">
        <f aca="false">Sens!$F$7067-Sens!$F$7069</f>
        <v>217.495828647535</v>
      </c>
      <c r="G7164" s="38" t="n">
        <f aca="false">Sens!$G$7067-Sens!$G$7069</f>
        <v>410.795589636503</v>
      </c>
      <c r="H7164" s="38" t="n">
        <f aca="false">Sens!$H$7067-Sens!$H$7069</f>
        <v>449.156813761174</v>
      </c>
      <c r="I7164" s="38" t="n">
        <f aca="false">Sens!$I$7067-Sens!$I$7069</f>
        <v>485.848786441156</v>
      </c>
      <c r="J7164" s="38" t="n">
        <f aca="false">Sens!$J$7067-Sens!$J$7069</f>
        <v>519.841531018994</v>
      </c>
      <c r="K7164" s="38" t="n">
        <f aca="false">Sens!$K$7067-Sens!$K$7069</f>
        <v>550.103332311311</v>
      </c>
      <c r="L7164" s="38" t="n">
        <f aca="false">Sens!$L$7067-Sens!$L$7069</f>
        <v>582.192354474511</v>
      </c>
      <c r="M7164" s="38" t="n">
        <f aca="false">Sens!$M$7067-Sens!$M$7069</f>
        <v>616.22240521081</v>
      </c>
      <c r="N7164" s="38" t="n">
        <f aca="false">Sens!$N$7067-Sens!$N$7069</f>
        <v>171.24628885875</v>
      </c>
      <c r="O7164" s="38" t="n">
        <f aca="false">Sens!$O$7067-Sens!$O$7069</f>
        <v>205.33105363572</v>
      </c>
    </row>
    <row r="7165" customFormat="false" ht="17.15" hidden="false" customHeight="false" outlineLevel="0" collapsed="false">
      <c r="A7165" s="0" t="s">
        <v>716</v>
      </c>
      <c r="B7165" s="0" t="s">
        <v>86</v>
      </c>
      <c r="C7165" s="38" t="n">
        <f aca="false">Sens!$C$7116*Sens!$C$7066</f>
        <v>0.123617442257179</v>
      </c>
      <c r="D7165" s="38" t="n">
        <f aca="false">Sens!$D$7116*Sens!$D$7066</f>
        <v>0.874366899302609</v>
      </c>
      <c r="E7165" s="38" t="n">
        <f aca="false">Sens!$E$7116*Sens!$E$7066</f>
        <v>1.29318830502574</v>
      </c>
      <c r="F7165" s="38" t="n">
        <f aca="false">Sens!$F$7116*Sens!$F$7066</f>
        <v>1.51802024162534</v>
      </c>
      <c r="G7165" s="38" t="n">
        <f aca="false">Sens!$G$7116*Sens!$G$7066</f>
        <v>2.81153363597665</v>
      </c>
      <c r="H7165" s="38" t="n">
        <f aca="false">Sens!$H$7116*Sens!$H$7066</f>
        <v>7.39027704264226</v>
      </c>
      <c r="I7165" s="38" t="n">
        <f aca="false">Sens!$I$7116*Sens!$I$7066</f>
        <v>12.899807643047</v>
      </c>
      <c r="J7165" s="38" t="n">
        <f aca="false">Sens!$J$7116*Sens!$J$7066</f>
        <v>18.5585322471382</v>
      </c>
      <c r="K7165" s="38" t="n">
        <f aca="false">Sens!$K$7116*Sens!$K$7066</f>
        <v>24.0966749520672</v>
      </c>
      <c r="L7165" s="38" t="n">
        <f aca="false">Sens!$L$7116*Sens!$L$7066</f>
        <v>27.686623551477</v>
      </c>
      <c r="M7165" s="38" t="n">
        <f aca="false">Sens!$M$7116*Sens!$M$7066</f>
        <v>29.7238645537022</v>
      </c>
      <c r="N7165" s="38" t="n">
        <f aca="false">Sens!$N$7116*Sens!$N$7066</f>
        <v>0.389180508437431</v>
      </c>
      <c r="O7165" s="38" t="n">
        <f aca="false">Sens!$O$7116*Sens!$O$7066</f>
        <v>0.485052120082802</v>
      </c>
    </row>
    <row r="7166" customFormat="false" ht="17.15" hidden="false" customHeight="false" outlineLevel="0" collapsed="false">
      <c r="A7166" s="0" t="s">
        <v>717</v>
      </c>
      <c r="B7166" s="0" t="s">
        <v>52</v>
      </c>
      <c r="C7166" s="28" t="n">
        <f aca="false">(Sens!$C$7167-Sens!$C$7163+Sens!$C$7165)/Sens!$C$7164</f>
        <v>0.0131526665379575</v>
      </c>
      <c r="D7166" s="28" t="n">
        <f aca="false">(Sens!$D$7167-Sens!$D$7163+Sens!$D$7165)/Sens!$D$7164</f>
        <v>0.0149280116962589</v>
      </c>
      <c r="E7166" s="28" t="n">
        <f aca="false">(Sens!$E$7167-Sens!$E$7163+Sens!$E$7165)/Sens!$E$7164</f>
        <v>0.0268030663774938</v>
      </c>
      <c r="F7166" s="28" t="n">
        <f aca="false">Sens!$O$7166+(Sens!$E$7166-Sens!$N$7166)</f>
        <v>0.0232379346966962</v>
      </c>
      <c r="G7166" s="28" t="n">
        <f aca="false">(Sens!$G$7167-Sens!$G$7163+Sens!$G$7165)/Sens!$G$7164</f>
        <v>0.0248969268652583</v>
      </c>
      <c r="H7166" s="28" t="n">
        <f aca="false">Sens!$G$7166+step_na</f>
        <v>0.0278969268652583</v>
      </c>
      <c r="I7166" s="28" t="n">
        <f aca="false">Sens!$H$7166+step_na</f>
        <v>0.0308969268652583</v>
      </c>
      <c r="J7166" s="28" t="n">
        <f aca="false">Sens!$I$7166+step_na</f>
        <v>0.0338969268652583</v>
      </c>
      <c r="K7166" s="28" t="n">
        <f aca="false">Sens!$J$7166+step_na</f>
        <v>0.0368969268652584</v>
      </c>
      <c r="L7166" s="28" t="n">
        <f aca="false">Sens!$K$7166</f>
        <v>0.0368969268652584</v>
      </c>
      <c r="M7166" s="28" t="n">
        <f aca="false">Sens!$L$7166</f>
        <v>0.0368969268652584</v>
      </c>
      <c r="N7166" s="28" t="n">
        <f aca="false">(Sens!$N$7167-Sens!$N$7163+Sens!$N$7165)/Sens!$N$7164</f>
        <v>0.0168927744775755</v>
      </c>
      <c r="O7166" s="28" t="n">
        <f aca="false">(Sens!$O$7167-Sens!$O$7163+Sens!$O$7165)/Sens!$O$7164</f>
        <v>0.0133276427967779</v>
      </c>
      <c r="P7166" s="8" t="s">
        <v>718</v>
      </c>
    </row>
    <row r="7167" customFormat="false" ht="17.15" hidden="false" customHeight="false" outlineLevel="0" collapsed="false">
      <c r="A7167" s="1" t="s">
        <v>719</v>
      </c>
      <c r="B7167" s="8" t="s">
        <v>86</v>
      </c>
      <c r="C7167" s="38" t="n">
        <f aca="false">Q!$D$22</f>
        <v>24.967</v>
      </c>
      <c r="D7167" s="38" t="n">
        <f aca="false">Q!$E$22</f>
        <v>29.619</v>
      </c>
      <c r="E7167" s="38" t="n">
        <f aca="false">Q!$P$22</f>
        <v>17.39</v>
      </c>
      <c r="F7167" s="38" t="n">
        <f aca="false">Sens!$F$7163+Sens!$F$7164*Sens!$F$7166-Sens!$F$7165</f>
        <v>20.1081060378156</v>
      </c>
      <c r="G7167" s="38" t="n">
        <f aca="false">Sens!$E$7167+Sens!$F$7167</f>
        <v>37.4981060378156</v>
      </c>
      <c r="H7167" s="38" t="n">
        <f aca="false">Sens!$H$7163+Sens!$H$7164*Sens!$H$7166-Sens!$H$7165</f>
        <v>41.2549060695171</v>
      </c>
      <c r="I7167" s="38" t="n">
        <f aca="false">Sens!$I$7163+Sens!$I$7164*Sens!$I$7166-Sens!$I$7165</f>
        <v>44.2589650023995</v>
      </c>
      <c r="J7167" s="38" t="n">
        <f aca="false">Sens!$J$7163+Sens!$J$7164*Sens!$J$7166-Sens!$J$7165</f>
        <v>46.8374504978059</v>
      </c>
      <c r="K7167" s="38" t="n">
        <f aca="false">Sens!$K$7163+Sens!$K$7164*Sens!$K$7166-Sens!$K$7165</f>
        <v>48.7528950936744</v>
      </c>
      <c r="L7167" s="38" t="n">
        <f aca="false">Sens!$L$7163+Sens!$L$7164*Sens!$L$7166-Sens!$L$7165</f>
        <v>51.6021775607095</v>
      </c>
      <c r="M7167" s="38" t="n">
        <f aca="false">Sens!$M$7163+Sens!$M$7164*Sens!$M$7166-Sens!$M$7165</f>
        <v>56.6013100904853</v>
      </c>
      <c r="N7167" s="38" t="n">
        <f aca="false">Q!$N$22</f>
        <v>13.358</v>
      </c>
      <c r="O7167" s="38" t="n">
        <f aca="false">Q!$O$22</f>
        <v>16.261</v>
      </c>
    </row>
    <row r="7168" customFormat="false" ht="17.15" hidden="false" customHeight="false" outlineLevel="0" collapsed="false">
      <c r="A7168" s="0" t="s">
        <v>720</v>
      </c>
      <c r="B7168" s="0" t="s">
        <v>86</v>
      </c>
      <c r="C7168" s="38" t="n">
        <f aca="false">Sens!$C$7070*m_ad</f>
        <v>7.57284355857716</v>
      </c>
      <c r="D7168" s="38" t="n">
        <f aca="false">Sens!$D$7070*m_ad</f>
        <v>9.44543827004127</v>
      </c>
      <c r="E7168" s="38" t="n">
        <f aca="false">Sens!$E$7070*m_ad</f>
        <v>5.02428875377928</v>
      </c>
      <c r="F7168" s="38" t="n">
        <f aca="false">Sens!$F$7070*m_ad</f>
        <v>6.50663858068173</v>
      </c>
      <c r="G7168" s="38" t="n">
        <f aca="false">Sens!$G$7070*m_ad</f>
        <v>11.5225190751659</v>
      </c>
      <c r="H7168" s="38" t="n">
        <f aca="false">Sens!$H$7070*m_ad</f>
        <v>13.8333728663174</v>
      </c>
      <c r="I7168" s="38" t="n">
        <f aca="false">Sens!$I$7070*m_ad</f>
        <v>16.1440173245485</v>
      </c>
      <c r="J7168" s="38" t="n">
        <f aca="false">Sens!$J$7070*m_ad</f>
        <v>18.2995185845066</v>
      </c>
      <c r="K7168" s="38" t="n">
        <f aca="false">Sens!$K$7070*m_ad</f>
        <v>20.1294704429572</v>
      </c>
      <c r="L7168" s="38" t="n">
        <f aca="false">Sens!$L$7070*m_ad</f>
        <v>22.142417487253</v>
      </c>
      <c r="M7168" s="38" t="n">
        <f aca="false">Sens!$M$7070*m_ad</f>
        <v>24.3566592359783</v>
      </c>
      <c r="N7168" s="38" t="n">
        <f aca="false">Sens!$N$7070*m_ad</f>
        <v>3.95314442937518</v>
      </c>
      <c r="O7168" s="38" t="n">
        <f aca="false">Sens!$O$7070*m_ad</f>
        <v>5.50052681786011</v>
      </c>
    </row>
    <row r="7169" customFormat="false" ht="17.15" hidden="false" customHeight="false" outlineLevel="0" collapsed="false">
      <c r="A7169" s="0" t="s">
        <v>721</v>
      </c>
      <c r="B7169" s="0" t="s">
        <v>86</v>
      </c>
      <c r="C7169" s="38" t="n">
        <f aca="false">Sens!$C$7068-Sens!$C$7070</f>
        <v>127.760312882846</v>
      </c>
      <c r="D7169" s="38" t="n">
        <f aca="false">Sens!$D$7068-Sens!$D$7070</f>
        <v>143.003123459917</v>
      </c>
      <c r="E7169" s="38" t="n">
        <f aca="false">Sens!$E$7068-Sens!$E$7070</f>
        <v>71.9374224924414</v>
      </c>
      <c r="F7169" s="38" t="n">
        <f aca="false">Sens!$F$7068-Sens!$F$7070</f>
        <v>85.3951910035875</v>
      </c>
      <c r="G7169" s="38" t="n">
        <f aca="false">Sens!$G$7068-Sens!$G$7070</f>
        <v>157.349430014619</v>
      </c>
      <c r="H7169" s="38" t="n">
        <f aca="false">Sens!$H$7068-Sens!$H$7070</f>
        <v>172.043153372315</v>
      </c>
      <c r="I7169" s="38" t="n">
        <f aca="false">Sens!$I$7068-Sens!$I$7070</f>
        <v>186.097493615879</v>
      </c>
      <c r="J7169" s="38" t="n">
        <f aca="false">Sens!$J$7068-Sens!$J$7070</f>
        <v>199.117932780497</v>
      </c>
      <c r="K7169" s="38" t="n">
        <f aca="false">Sens!$K$7068-Sens!$K$7070</f>
        <v>210.70928698363</v>
      </c>
      <c r="L7169" s="38" t="n">
        <f aca="false">Sens!$L$7068-Sens!$L$7070</f>
        <v>223.000532251316</v>
      </c>
      <c r="M7169" s="38" t="n">
        <f aca="false">Sens!$M$7068-Sens!$M$7070</f>
        <v>236.035261011339</v>
      </c>
      <c r="N7169" s="38" t="n">
        <f aca="false">Sens!$N$7068-Sens!$N$7070</f>
        <v>62.3677111412496</v>
      </c>
      <c r="O7169" s="38" t="n">
        <f aca="false">Sens!$O$7068-Sens!$O$7070</f>
        <v>80.6189463642798</v>
      </c>
    </row>
    <row r="7170" customFormat="false" ht="17.15" hidden="false" customHeight="false" outlineLevel="0" collapsed="false">
      <c r="A7170" s="0" t="s">
        <v>722</v>
      </c>
      <c r="B7170" s="0" t="s">
        <v>86</v>
      </c>
      <c r="C7170" s="38" t="n">
        <f aca="false">Sens!$C$7116*(1-Sens!$C$7066)</f>
        <v>0.0455891896019953</v>
      </c>
      <c r="D7170" s="38" t="n">
        <f aca="false">Sens!$D$7116*(1-Sens!$D$7066)</f>
        <v>0.332050421167231</v>
      </c>
      <c r="E7170" s="38" t="n">
        <f aca="false">Sens!$E$7116*(1-Sens!$E$7066)</f>
        <v>0.481224293644882</v>
      </c>
      <c r="F7170" s="38" t="n">
        <f aca="false">Sens!$F$7116*(1-Sens!$F$7066)</f>
        <v>0.596018918096053</v>
      </c>
      <c r="G7170" s="38" t="n">
        <f aca="false">Sens!$G$7116*(1-Sens!$G$7066)</f>
        <v>1.07691812241537</v>
      </c>
      <c r="H7170" s="38" t="n">
        <f aca="false">Sens!$H$7116*(1-Sens!$H$7066)</f>
        <v>2.83074090775622</v>
      </c>
      <c r="I7170" s="38" t="n">
        <f aca="false">Sens!$I$7116*(1-Sens!$I$7066)</f>
        <v>4.94108853926048</v>
      </c>
      <c r="J7170" s="38" t="n">
        <f aca="false">Sens!$J$7116*(1-Sens!$J$7066)</f>
        <v>7.10858281993502</v>
      </c>
      <c r="K7170" s="38" t="n">
        <f aca="false">Sens!$K$7116*(1-Sens!$K$7066)</f>
        <v>9.2298899126701</v>
      </c>
      <c r="L7170" s="38" t="n">
        <f aca="false">Sens!$L$7116*(1-Sens!$L$7066)</f>
        <v>10.6049688574045</v>
      </c>
      <c r="M7170" s="38" t="n">
        <f aca="false">Sens!$M$7116*(1-Sens!$M$7066)</f>
        <v>11.3853051574758</v>
      </c>
      <c r="N7170" s="38" t="n">
        <f aca="false">Sens!$N$7116*(1-Sens!$N$7066)</f>
        <v>0.141739115596548</v>
      </c>
      <c r="O7170" s="38" t="n">
        <f aca="false">Sens!$O$7116*(1-Sens!$O$7066)</f>
        <v>0.190445576353059</v>
      </c>
    </row>
    <row r="7171" customFormat="false" ht="17.15" hidden="false" customHeight="false" outlineLevel="0" collapsed="false">
      <c r="A7171" s="0" t="s">
        <v>723</v>
      </c>
      <c r="B7171" s="0" t="s">
        <v>52</v>
      </c>
      <c r="C7171" s="28" t="n">
        <f aca="false">(Sens!$C$7172-Sens!$C$7168+Sens!$C$7170)/Sens!$C$7169</f>
        <v>-0.0292364215826579</v>
      </c>
      <c r="D7171" s="28" t="n">
        <f aca="false">(Sens!$D$7172-Sens!$D$7168+Sens!$D$7170)/Sens!$D$7169</f>
        <v>-0.0305125352740778</v>
      </c>
      <c r="E7171" s="28" t="n">
        <f aca="false">(Sens!$E$7172-Sens!$E$7168+Sens!$E$7170)/Sens!$E$7169</f>
        <v>-0.019490056934994</v>
      </c>
      <c r="F7171" s="28" t="n">
        <f aca="false">Sens!$O$7171+(Sens!$E$7171-Sens!$N$7171)</f>
        <v>-0.0367332293992226</v>
      </c>
      <c r="G7171" s="28" t="n">
        <f aca="false">(Sens!$G$7172-Sens!$G$7168+Sens!$G$7170)/Sens!$G$7169</f>
        <v>-0.0287946542321067</v>
      </c>
      <c r="H7171" s="28" t="n">
        <f aca="false">Sens!$G$7171+step_in</f>
        <v>-0.0287946542321067</v>
      </c>
      <c r="I7171" s="28" t="n">
        <f aca="false">Sens!$H$7171+step_in</f>
        <v>-0.0287946542321067</v>
      </c>
      <c r="J7171" s="28" t="n">
        <f aca="false">Sens!$I$7171+step_in</f>
        <v>-0.0287946542321067</v>
      </c>
      <c r="K7171" s="28" t="n">
        <f aca="false">Sens!$J$7171+step_in</f>
        <v>-0.0287946542321067</v>
      </c>
      <c r="L7171" s="28" t="n">
        <f aca="false">Sens!$K$7171</f>
        <v>-0.0287946542321067</v>
      </c>
      <c r="M7171" s="28" t="n">
        <f aca="false">Sens!$L$7171</f>
        <v>-0.0287946542321067</v>
      </c>
      <c r="N7171" s="28" t="n">
        <f aca="false">(Sens!$N$7172-Sens!$N$7168+Sens!$N$7170)/Sens!$N$7169</f>
        <v>-0.02085061789158</v>
      </c>
      <c r="O7171" s="28" t="n">
        <f aca="false">(Sens!$O$7172-Sens!$O$7168+Sens!$O$7170)/Sens!$O$7169</f>
        <v>-0.0380937903558086</v>
      </c>
      <c r="P7171" s="8" t="s">
        <v>718</v>
      </c>
    </row>
    <row r="7172" customFormat="false" ht="17.15" hidden="false" customHeight="false" outlineLevel="0" collapsed="false">
      <c r="A7172" s="1" t="s">
        <v>724</v>
      </c>
      <c r="B7172" s="8" t="s">
        <v>86</v>
      </c>
      <c r="C7172" s="38" t="n">
        <f aca="false">Q!$D$23</f>
        <v>3.792</v>
      </c>
      <c r="D7172" s="38" t="n">
        <f aca="false">Q!$E$23</f>
        <v>4.75</v>
      </c>
      <c r="E7172" s="38" t="n">
        <f aca="false">Q!$P$23</f>
        <v>3.141</v>
      </c>
      <c r="F7172" s="38" t="n">
        <f aca="false">Sens!$F$7168+Sens!$F$7169*Sens!$F$7171-Sens!$F$7170</f>
        <v>2.77377852186047</v>
      </c>
      <c r="G7172" s="38" t="n">
        <f aca="false">Sens!$E$7172+Sens!$F$7172</f>
        <v>5.91477852186047</v>
      </c>
      <c r="H7172" s="38" t="n">
        <f aca="false">Sens!$H$7168+Sens!$H$7169*Sens!$H$7171-Sens!$H$7170</f>
        <v>6.04870884420403</v>
      </c>
      <c r="I7172" s="38" t="n">
        <f aca="false">Sens!$I$7168+Sens!$I$7169*Sens!$I$7171-Sens!$I$7170</f>
        <v>5.84431580315713</v>
      </c>
      <c r="J7172" s="38" t="n">
        <f aca="false">Sens!$J$7168+Sens!$J$7169*Sens!$J$7171-Sens!$J$7170</f>
        <v>5.45740373874528</v>
      </c>
      <c r="K7172" s="38" t="n">
        <f aca="false">Sens!$K$7168+Sens!$K$7169*Sens!$K$7171-Sens!$K$7170</f>
        <v>4.83227946809976</v>
      </c>
      <c r="L7172" s="38" t="n">
        <f aca="false">Sens!$L$7168+Sens!$L$7169*Sens!$L$7171-Sens!$L$7170</f>
        <v>5.11622541009601</v>
      </c>
      <c r="M7172" s="38" t="n">
        <f aca="false">Sens!$M$7168+Sens!$M$7169*Sens!$M$7171-Sens!$M$7170</f>
        <v>6.17480035109588</v>
      </c>
      <c r="N7172" s="38" t="n">
        <f aca="false">Q!$N$23</f>
        <v>2.511</v>
      </c>
      <c r="O7172" s="38" t="n">
        <f aca="false">Q!$O$23</f>
        <v>2.239</v>
      </c>
    </row>
    <row r="7173" customFormat="false" ht="17.15" hidden="false" customHeight="false" outlineLevel="0" collapsed="false">
      <c r="A7173" s="0" t="s">
        <v>725</v>
      </c>
      <c r="B7173" s="0" t="s">
        <v>86</v>
      </c>
      <c r="C7173" s="38" t="n">
        <f aca="false">Sens!$C$7113</f>
        <v>1.64417882953695</v>
      </c>
      <c r="D7173" s="38" t="n">
        <f aca="false">Sens!$D$7113</f>
        <v>3.8781008067718</v>
      </c>
      <c r="E7173" s="38" t="n">
        <f aca="false">Sens!$E$7113</f>
        <v>1.41270258088753</v>
      </c>
      <c r="F7173" s="38" t="n">
        <f aca="false">Sens!$F$7113</f>
        <v>6.50727700583486</v>
      </c>
      <c r="G7173" s="38" t="n">
        <f aca="false">Sens!$G$7113</f>
        <v>7.9199795867224</v>
      </c>
      <c r="H7173" s="38" t="n">
        <f aca="false">Sens!$H$7113</f>
        <v>19.2818189481807</v>
      </c>
      <c r="I7173" s="38" t="n">
        <f aca="false">Sens!$I$7113</f>
        <v>30.140114407202</v>
      </c>
      <c r="J7173" s="38" t="n">
        <f aca="false">Sens!$J$7113</f>
        <v>40.3569468829854</v>
      </c>
      <c r="K7173" s="38" t="n">
        <f aca="false">Sens!$K$7113</f>
        <v>45.1418609242305</v>
      </c>
      <c r="L7173" s="38" t="n">
        <f aca="false">Sens!$L$7113</f>
        <v>48.5617321668703</v>
      </c>
      <c r="M7173" s="38" t="n">
        <f aca="false">Sens!$M$7113</f>
        <v>48.3987625241529</v>
      </c>
      <c r="N7173" s="38" t="n">
        <f aca="false">Sens!$N$7113</f>
        <v>0.92264103489199</v>
      </c>
      <c r="O7173" s="38" t="n">
        <f aca="false">Sens!$O$7113</f>
        <v>2.95545977187981</v>
      </c>
    </row>
    <row r="7174" customFormat="false" ht="17.15" hidden="false" customHeight="false" outlineLevel="0" collapsed="false">
      <c r="A7174" s="0" t="s">
        <v>643</v>
      </c>
      <c r="B7174" s="0" t="s">
        <v>86</v>
      </c>
      <c r="C7174" s="38" t="n">
        <f aca="false">Sens!$C$7118</f>
        <v>38.1898211704631</v>
      </c>
      <c r="D7174" s="38" t="n">
        <f aca="false">Sens!$D$7118</f>
        <v>41.7278991932282</v>
      </c>
      <c r="E7174" s="38" t="n">
        <f aca="false">Sens!$E$7118</f>
        <v>29.3692974191125</v>
      </c>
      <c r="F7174" s="38" t="n">
        <f aca="false">Sens!$F$7118</f>
        <v>26.8997276714137</v>
      </c>
      <c r="G7174" s="38" t="n">
        <f aca="false">Sens!$G$7118</f>
        <v>56.2690250905262</v>
      </c>
      <c r="H7174" s="38" t="n">
        <f aca="false">Sens!$H$7118</f>
        <v>60.3505333937343</v>
      </c>
      <c r="I7174" s="38" t="n">
        <f aca="false">Sens!$I$7118</f>
        <v>67.0043857303571</v>
      </c>
      <c r="J7174" s="38" t="n">
        <f aca="false">Sens!$J$7118</f>
        <v>73.3782922956925</v>
      </c>
      <c r="K7174" s="38" t="n">
        <f aca="false">Sens!$K$7118</f>
        <v>79.2485556793479</v>
      </c>
      <c r="L7174" s="38" t="n">
        <f aca="false">Sens!$L$7118</f>
        <v>85.5884401336958</v>
      </c>
      <c r="M7174" s="38" t="n">
        <f aca="false">Sens!$M$7118</f>
        <v>92.4355153443914</v>
      </c>
      <c r="N7174" s="38" t="n">
        <f aca="false">Sens!$N$7118</f>
        <v>20.784358965108</v>
      </c>
      <c r="O7174" s="38" t="n">
        <f aca="false">Sens!$O$7118</f>
        <v>20.9435402281202</v>
      </c>
    </row>
    <row r="7175" customFormat="false" ht="17.15" hidden="false" customHeight="false" outlineLevel="0" collapsed="false">
      <c r="A7175" s="1" t="s">
        <v>726</v>
      </c>
      <c r="B7175" s="8" t="s">
        <v>86</v>
      </c>
      <c r="C7175" s="38" t="n">
        <f aca="false">Q!$D$24</f>
        <v>39.834</v>
      </c>
      <c r="D7175" s="38" t="n">
        <f aca="false">Q!$E$24</f>
        <v>45.606</v>
      </c>
      <c r="E7175" s="38" t="n">
        <f aca="false">Q!$P$24</f>
        <v>30.782</v>
      </c>
      <c r="F7175" s="38" t="n">
        <f aca="false">Sens!$F$7173+Sens!$F$7174</f>
        <v>33.4070046772486</v>
      </c>
      <c r="G7175" s="38" t="n">
        <f aca="false">Sens!$G$7173+Sens!$G$7174</f>
        <v>64.1890046772486</v>
      </c>
      <c r="H7175" s="38" t="n">
        <f aca="false">Sens!$H$7173+Sens!$H$7174</f>
        <v>79.6323523419149</v>
      </c>
      <c r="I7175" s="38" t="n">
        <f aca="false">Sens!$I$7173+Sens!$I$7174</f>
        <v>97.1445001375591</v>
      </c>
      <c r="J7175" s="38" t="n">
        <f aca="false">Sens!$J$7173+Sens!$J$7174</f>
        <v>113.735239178678</v>
      </c>
      <c r="K7175" s="38" t="n">
        <f aca="false">Sens!$K$7173+Sens!$K$7174</f>
        <v>124.390416603578</v>
      </c>
      <c r="L7175" s="38" t="n">
        <f aca="false">Sens!$L$7173+Sens!$L$7174</f>
        <v>134.150172300566</v>
      </c>
      <c r="M7175" s="38" t="n">
        <f aca="false">Sens!$M$7173+Sens!$M$7174</f>
        <v>140.834277868544</v>
      </c>
      <c r="N7175" s="38" t="n">
        <f aca="false">Q!$N$24</f>
        <v>21.707</v>
      </c>
      <c r="O7175" s="38" t="n">
        <f aca="false">Q!$O$24</f>
        <v>23.899</v>
      </c>
    </row>
    <row r="7176" customFormat="false" ht="17.15" hidden="false" customHeight="false" outlineLevel="0" collapsed="false">
      <c r="A7176" s="5" t="s">
        <v>727</v>
      </c>
      <c r="B7176" s="0" t="s">
        <v>86</v>
      </c>
      <c r="C7176" s="38" t="n">
        <f aca="false">Q!$D$26</f>
        <v>0</v>
      </c>
      <c r="D7176" s="38" t="n">
        <f aca="false">Q!$E$26</f>
        <v>0</v>
      </c>
      <c r="E7176" s="38" t="n">
        <f aca="false">Q!$P$26</f>
        <v>0</v>
      </c>
      <c r="F7176" s="39" t="n">
        <v>0</v>
      </c>
      <c r="G7176" s="38" t="n">
        <f aca="false">Sens!$E$7176+Sens!$F$7176</f>
        <v>0</v>
      </c>
      <c r="H7176" s="39" t="n">
        <v>0</v>
      </c>
      <c r="I7176" s="39" t="n">
        <v>0</v>
      </c>
      <c r="J7176" s="39" t="n">
        <v>0</v>
      </c>
      <c r="K7176" s="39" t="n">
        <v>0</v>
      </c>
      <c r="L7176" s="39" t="n">
        <v>0</v>
      </c>
      <c r="M7176" s="39" t="n">
        <v>0</v>
      </c>
      <c r="N7176" s="38" t="n">
        <f aca="false">Q!$N$26</f>
        <v>0</v>
      </c>
      <c r="O7176" s="38" t="n">
        <f aca="false">Q!$O$26</f>
        <v>0</v>
      </c>
    </row>
    <row r="7177" customFormat="false" ht="15" hidden="false" customHeight="false" outlineLevel="0" collapsed="false">
      <c r="A7177" s="3" t="s">
        <v>531</v>
      </c>
      <c r="B7177" s="8" t="s">
        <v>86</v>
      </c>
      <c r="C7177" s="38" t="n">
        <f aca="false">Q!$D$25</f>
        <v>68.593</v>
      </c>
      <c r="D7177" s="38" t="n">
        <f aca="false">Q!$E$25</f>
        <v>79.975</v>
      </c>
      <c r="E7177" s="38" t="n">
        <f aca="false">Q!$P$25</f>
        <v>51.313</v>
      </c>
      <c r="F7177" s="38" t="n">
        <f aca="false">Sens!$F$7167+Sens!$F$7172+Sens!$F$7175+Sens!$F$7176</f>
        <v>56.2888892369246</v>
      </c>
      <c r="G7177" s="38" t="n">
        <f aca="false">Sens!$G$7167+Sens!$G$7172+Sens!$G$7175+Sens!$G$7176</f>
        <v>107.601889236925</v>
      </c>
      <c r="H7177" s="38" t="n">
        <f aca="false">Sens!$H$7167+Sens!$H$7172+Sens!$H$7175+Sens!$H$7176</f>
        <v>126.935967255636</v>
      </c>
      <c r="I7177" s="38" t="n">
        <f aca="false">Sens!$I$7167+Sens!$I$7172+Sens!$I$7175+Sens!$I$7176</f>
        <v>147.247780943116</v>
      </c>
      <c r="J7177" s="38" t="n">
        <f aca="false">Sens!$J$7167+Sens!$J$7172+Sens!$J$7175+Sens!$J$7176</f>
        <v>166.030093415229</v>
      </c>
      <c r="K7177" s="38" t="n">
        <f aca="false">Sens!$K$7167+Sens!$K$7172+Sens!$K$7175+Sens!$K$7176</f>
        <v>177.975591165353</v>
      </c>
      <c r="L7177" s="38" t="n">
        <f aca="false">Sens!$L$7167+Sens!$L$7172+Sens!$L$7175+Sens!$L$7176</f>
        <v>190.868575271371</v>
      </c>
      <c r="M7177" s="38" t="n">
        <f aca="false">Sens!$M$7167+Sens!$M$7172+Sens!$M$7175+Sens!$M$7176</f>
        <v>203.610388310126</v>
      </c>
      <c r="N7177" s="38" t="n">
        <f aca="false">Q!$N$25</f>
        <v>37.576</v>
      </c>
      <c r="O7177" s="38" t="n">
        <f aca="false">Q!$O$25</f>
        <v>42.399</v>
      </c>
    </row>
    <row r="7178" customFormat="false" ht="17.15" hidden="false" customHeight="false" outlineLevel="0" collapsed="false">
      <c r="A7178" s="24" t="s">
        <v>758</v>
      </c>
      <c r="B7178" s="25" t="s">
        <v>86</v>
      </c>
      <c r="C7178" s="41" t="n">
        <f aca="false">Sens!$C$7167+Sens!$C$7172+Sens!$C$7175+Sens!$C$7176-Sens!$C$7177</f>
        <v>0</v>
      </c>
      <c r="D7178" s="41" t="n">
        <f aca="false">Sens!$D$7167+Sens!$D$7172+Sens!$D$7175+Sens!$D$7176-Sens!$D$7177</f>
        <v>0</v>
      </c>
      <c r="E7178" s="41" t="n">
        <f aca="false">Sens!$E$7167+Sens!$E$7172+Sens!$E$7175+Sens!$E$7176-Sens!$E$7177</f>
        <v>0</v>
      </c>
      <c r="F7178" s="41" t="n">
        <f aca="false">Sens!$F$7167+Sens!$F$7172+Sens!$F$7175+Sens!$F$7176-Sens!$F$7177</f>
        <v>0</v>
      </c>
      <c r="G7178" s="41" t="n">
        <f aca="false">Sens!$G$7167+Sens!$G$7172+Sens!$G$7175+Sens!$G$7176-Sens!$G$7177</f>
        <v>0</v>
      </c>
      <c r="H7178" s="41" t="n">
        <f aca="false">Sens!$H$7167+Sens!$H$7172+Sens!$H$7175+Sens!$H$7176-Sens!$H$7177</f>
        <v>0</v>
      </c>
      <c r="I7178" s="41" t="n">
        <f aca="false">Sens!$I$7167+Sens!$I$7172+Sens!$I$7175+Sens!$I$7176-Sens!$I$7177</f>
        <v>0</v>
      </c>
      <c r="J7178" s="41" t="n">
        <f aca="false">Sens!$J$7167+Sens!$J$7172+Sens!$J$7175+Sens!$J$7176-Sens!$J$7177</f>
        <v>0</v>
      </c>
      <c r="K7178" s="41" t="n">
        <f aca="false">Sens!$K$7167+Sens!$K$7172+Sens!$K$7175+Sens!$K$7176-Sens!$K$7177</f>
        <v>0</v>
      </c>
      <c r="L7178" s="41" t="n">
        <f aca="false">Sens!$L$7167+Sens!$L$7172+Sens!$L$7175+Sens!$L$7176-Sens!$L$7177</f>
        <v>0</v>
      </c>
      <c r="M7178" s="41" t="n">
        <f aca="false">Sens!$M$7167+Sens!$M$7172+Sens!$M$7175+Sens!$M$7176-Sens!$M$7177</f>
        <v>0</v>
      </c>
      <c r="N7178" s="41" t="n">
        <f aca="false">Sens!$N$7167+Sens!$N$7172+Sens!$N$7175+Sens!$N$7176-Sens!$N$7177</f>
        <v>0</v>
      </c>
      <c r="O7178" s="41" t="n">
        <f aca="false">Sens!$O$7167+Sens!$O$7172+Sens!$O$7175+Sens!$O$7176-Sens!$O$7177</f>
        <v>0</v>
      </c>
    </row>
    <row r="7179" customFormat="false" ht="17.15" hidden="false" customHeight="false" outlineLevel="0" collapsed="false">
      <c r="A7179" s="5" t="s">
        <v>729</v>
      </c>
      <c r="B7179" s="0" t="s">
        <v>86</v>
      </c>
      <c r="C7179" s="38" t="n">
        <f aca="false">Sens!$C$7115</f>
        <v>0</v>
      </c>
      <c r="D7179" s="38" t="n">
        <f aca="false">Sens!$D$7115</f>
        <v>0</v>
      </c>
      <c r="E7179" s="38" t="n">
        <f aca="false">Sens!$E$7115</f>
        <v>0</v>
      </c>
      <c r="F7179" s="38" t="n">
        <f aca="false">Sens!$F$7115</f>
        <v>3.77122048175818</v>
      </c>
      <c r="G7179" s="38" t="n">
        <f aca="false">Sens!$G$7115</f>
        <v>3.77122048175818</v>
      </c>
      <c r="H7179" s="38" t="n">
        <f aca="false">Sens!$H$7115</f>
        <v>15.1635543609893</v>
      </c>
      <c r="I7179" s="38" t="n">
        <f aca="false">Sens!$I$7115</f>
        <v>25.5818843619889</v>
      </c>
      <c r="J7179" s="38" t="n">
        <f aca="false">Sens!$J$7115</f>
        <v>36.0465624179122</v>
      </c>
      <c r="K7179" s="38" t="n">
        <f aca="false">Sens!$K$7115</f>
        <v>44.9741164026038</v>
      </c>
      <c r="L7179" s="38" t="n">
        <f aca="false">Sens!$L$7115</f>
        <v>50.8413488057813</v>
      </c>
      <c r="M7179" s="38" t="n">
        <f aca="false">Sens!$M$7115</f>
        <v>53.6407214274315</v>
      </c>
      <c r="N7179" s="38" t="n">
        <f aca="false">Sens!$N$7115</f>
        <v>0</v>
      </c>
      <c r="O7179" s="38" t="n">
        <f aca="false">Sens!$O$7115</f>
        <v>0</v>
      </c>
      <c r="P7179" s="5" t="s">
        <v>730</v>
      </c>
    </row>
    <row r="7180" customFormat="false" ht="17.15" hidden="false" customHeight="false" outlineLevel="0" collapsed="false">
      <c r="A7180" s="5" t="s">
        <v>731</v>
      </c>
      <c r="B7180" s="0" t="s">
        <v>86</v>
      </c>
      <c r="C7180" s="38" t="n">
        <f aca="false">Sens!$C$7177+Sens!$C$7179</f>
        <v>68.593</v>
      </c>
      <c r="D7180" s="38" t="n">
        <f aca="false">Sens!$D$7177+Sens!$D$7179</f>
        <v>79.975</v>
      </c>
      <c r="E7180" s="38" t="n">
        <f aca="false">Sens!$E$7177+Sens!$E$7179</f>
        <v>51.313</v>
      </c>
      <c r="F7180" s="38" t="n">
        <f aca="false">Sens!$F$7177+Sens!$F$7179</f>
        <v>60.0601097186828</v>
      </c>
      <c r="G7180" s="38" t="n">
        <f aca="false">Sens!$G$7177+Sens!$G$7179</f>
        <v>111.373109718683</v>
      </c>
      <c r="H7180" s="38" t="n">
        <f aca="false">Sens!$H$7177+Sens!$H$7179</f>
        <v>142.099521616625</v>
      </c>
      <c r="I7180" s="38" t="n">
        <f aca="false">Sens!$I$7177+Sens!$I$7179</f>
        <v>172.829665305105</v>
      </c>
      <c r="J7180" s="38" t="n">
        <f aca="false">Sens!$J$7177+Sens!$J$7179</f>
        <v>202.076655833141</v>
      </c>
      <c r="K7180" s="38" t="n">
        <f aca="false">Sens!$K$7177+Sens!$K$7179</f>
        <v>222.949707567956</v>
      </c>
      <c r="L7180" s="38" t="n">
        <f aca="false">Sens!$L$7177+Sens!$L$7179</f>
        <v>241.709924077153</v>
      </c>
      <c r="M7180" s="38" t="n">
        <f aca="false">Sens!$M$7177+Sens!$M$7179</f>
        <v>257.251109737557</v>
      </c>
      <c r="N7180" s="38" t="n">
        <f aca="false">Sens!$N$7177+Sens!$N$7179</f>
        <v>37.576</v>
      </c>
      <c r="O7180" s="38" t="n">
        <f aca="false">Sens!$O$7177+Sens!$O$7179</f>
        <v>42.399</v>
      </c>
    </row>
    <row r="7181" customFormat="false" ht="17.15" hidden="false" customHeight="false" outlineLevel="0" collapsed="false">
      <c r="A7181" s="0" t="s">
        <v>732</v>
      </c>
      <c r="B7181" s="0" t="s">
        <v>52</v>
      </c>
      <c r="C7181" s="13" t="n">
        <f aca="false">Sens!$C$7167/Sens!$C$7152</f>
        <v>0.0644314665661928</v>
      </c>
      <c r="D7181" s="13" t="n">
        <f aca="false">Sens!$D$7167/Sens!$D$7152</f>
        <v>0.0694784250712518</v>
      </c>
      <c r="E7181" s="13" t="n">
        <f aca="false">Sens!$E$7167/Sens!$E$7152</f>
        <v>0.0789306463326071</v>
      </c>
      <c r="F7181" s="13" t="n">
        <f aca="false">Sens!$F$7167/Sens!$F$7152</f>
        <v>0.0802271154277638</v>
      </c>
      <c r="G7181" s="13" t="n">
        <f aca="false">Sens!$G$7167/Sens!$G$7152</f>
        <v>0.0796206133714758</v>
      </c>
      <c r="H7181" s="13" t="n">
        <f aca="false">Sens!$H$7167/Sens!$H$7152</f>
        <v>0.0791253077422711</v>
      </c>
      <c r="I7181" s="13" t="n">
        <f aca="false">Sens!$I$7167/Sens!$I$7152</f>
        <v>0.0776277144828766</v>
      </c>
      <c r="J7181" s="13" t="n">
        <f aca="false">Sens!$J$7167/Sens!$J$7152</f>
        <v>0.0761100135193333</v>
      </c>
      <c r="K7181" s="13" t="n">
        <f aca="false">Sens!$K$7167/Sens!$K$7152</f>
        <v>0.074408246177121</v>
      </c>
      <c r="L7181" s="13" t="n">
        <f aca="false">Sens!$L$7167/Sens!$L$7152</f>
        <v>0.0739489900415671</v>
      </c>
      <c r="M7181" s="13" t="n">
        <f aca="false">Sens!$M$7167/Sens!$M$7152</f>
        <v>0.076138500430805</v>
      </c>
      <c r="N7181" s="13" t="n">
        <f aca="false">Sens!$N$7167/Sens!$N$7152</f>
        <v>0.069228576611127</v>
      </c>
      <c r="O7181" s="13" t="n">
        <f aca="false">Sens!$O$7167/Sens!$O$7152</f>
        <v>0.069685022498393</v>
      </c>
    </row>
    <row r="7182" customFormat="false" ht="17.15" hidden="false" customHeight="false" outlineLevel="0" collapsed="false">
      <c r="A7182" s="0" t="s">
        <v>733</v>
      </c>
      <c r="B7182" s="0" t="s">
        <v>52</v>
      </c>
      <c r="C7182" s="13" t="n">
        <f aca="false">Sens!$C$7172/Sens!$C$7153</f>
        <v>0.026534925055631</v>
      </c>
      <c r="D7182" s="13" t="n">
        <f aca="false">Sens!$D$7172/Sens!$D$7153</f>
        <v>0.0293401855535103</v>
      </c>
      <c r="E7182" s="13" t="n">
        <f aca="false">Sens!$E$7172/Sens!$E$7153</f>
        <v>0.03831141902276</v>
      </c>
      <c r="F7182" s="13" t="n">
        <f aca="false">Sens!$F$7172/Sens!$F$7153</f>
        <v>0.028186380436398</v>
      </c>
      <c r="G7182" s="13" t="n">
        <f aca="false">Sens!$G$7172/Sens!$G$7153</f>
        <v>0.0327880260521739</v>
      </c>
      <c r="H7182" s="13" t="n">
        <f aca="false">Sens!$H$7172/Sens!$H$7153</f>
        <v>0.0302874763409969</v>
      </c>
      <c r="I7182" s="13" t="n">
        <f aca="false">Sens!$I$7172/Sens!$I$7153</f>
        <v>0.0267614610253202</v>
      </c>
      <c r="J7182" s="13" t="n">
        <f aca="false">Sens!$J$7172/Sens!$J$7153</f>
        <v>0.0231523582706593</v>
      </c>
      <c r="K7182" s="13" t="n">
        <f aca="false">Sens!$K$7172/Sens!$K$7153</f>
        <v>0.0192545467174101</v>
      </c>
      <c r="L7182" s="13" t="n">
        <f aca="false">Sens!$L$7172/Sens!$L$7153</f>
        <v>0.0191414347264789</v>
      </c>
      <c r="M7182" s="13" t="n">
        <f aca="false">Sens!$M$7172/Sens!$M$7153</f>
        <v>0.0216850962428001</v>
      </c>
      <c r="N7182" s="13" t="n">
        <f aca="false">Sens!$N$7172/Sens!$N$7153</f>
        <v>0.0357315650169337</v>
      </c>
      <c r="O7182" s="13" t="n">
        <f aca="false">Sens!$O$7172/Sens!$O$7153</f>
        <v>0.0244378956559703</v>
      </c>
    </row>
    <row r="7183" customFormat="false" ht="17.15" hidden="false" customHeight="false" outlineLevel="0" collapsed="false">
      <c r="A7183" s="14" t="s">
        <v>734</v>
      </c>
      <c r="B7183" s="14" t="s">
        <v>52</v>
      </c>
      <c r="C7183" s="17" t="n">
        <f aca="false">Sens!$C$7175/Sens!$C$7154</f>
        <v>0.370355907620217</v>
      </c>
      <c r="D7183" s="17" t="n">
        <f aca="false">Sens!$D$7175/Sens!$D$7154</f>
        <v>0.35429015342785</v>
      </c>
      <c r="E7183" s="17" t="n">
        <f aca="false">Sens!$E$7175/Sens!$E$7154</f>
        <v>0.385647527531039</v>
      </c>
      <c r="F7183" s="17" t="n">
        <f aca="false">Sens!$F$7175/Sens!$F$7154</f>
        <v>0.385171818673936</v>
      </c>
      <c r="G7183" s="17" t="n">
        <f aca="false">Sens!$G$7175/Sens!$G$7154</f>
        <v>0.385399799520974</v>
      </c>
      <c r="H7183" s="17" t="n">
        <f aca="false">Sens!$H$7175/Sens!$H$7154</f>
        <v>0.360029314750347</v>
      </c>
      <c r="I7183" s="17" t="n">
        <f aca="false">Sens!$I$7175/Sens!$I$7154</f>
        <v>0.346606134604193</v>
      </c>
      <c r="J7183" s="17" t="n">
        <f aca="false">Sens!$J$7175/Sens!$J$7154</f>
        <v>0.335699297156574</v>
      </c>
      <c r="K7183" s="17" t="n">
        <f aca="false">Sens!$K$7175/Sens!$K$7154</f>
        <v>0.319043289183739</v>
      </c>
      <c r="L7183" s="17" t="n">
        <f aca="false">Sens!$L$7175/Sens!$L$7154</f>
        <v>0.311918613444893</v>
      </c>
      <c r="M7183" s="17" t="n">
        <f aca="false">Sens!$M$7175/Sens!$M$7154</f>
        <v>0.306523814127389</v>
      </c>
      <c r="N7183" s="17" t="n">
        <f aca="false">Sens!$N$7175/Sens!$N$7154</f>
        <v>0.360941137346192</v>
      </c>
      <c r="O7183" s="17" t="n">
        <f aca="false">Sens!$O$7175/Sens!$O$7154</f>
        <v>0.348458117664212</v>
      </c>
    </row>
    <row r="7184" customFormat="false" ht="17.15" hidden="false" customHeight="false" outlineLevel="0" collapsed="false">
      <c r="A7184" s="0" t="s">
        <v>735</v>
      </c>
      <c r="B7184" s="0" t="s">
        <v>52</v>
      </c>
      <c r="C7184" s="13" t="n">
        <f aca="false">Sens!$C$7173/Sens!$C$7155</f>
        <v>0.708390794789371</v>
      </c>
      <c r="D7184" s="13" t="n">
        <f aca="false">Sens!$D$7173/Sens!$D$7155</f>
        <v>0.445565630441968</v>
      </c>
      <c r="E7184" s="13" t="n">
        <f aca="false">Sens!$E$7173/Sens!$E$7155</f>
        <v>0.165998118402711</v>
      </c>
      <c r="F7184" s="13" t="n">
        <f aca="false">Sens!$F$7173/Sens!$F$7155</f>
        <v>0.434878595403858</v>
      </c>
      <c r="G7184" s="13" t="n">
        <f aca="false">Sens!$G$7173/Sens!$G$7155</f>
        <v>0.3373967615381</v>
      </c>
      <c r="H7184" s="13" t="n">
        <f aca="false">Sens!$H$7173/Sens!$H$7155</f>
        <v>0.320477578041224</v>
      </c>
      <c r="I7184" s="13" t="n">
        <f aca="false">Sens!$I$7173/Sens!$I$7155</f>
        <v>0.296936118226494</v>
      </c>
      <c r="J7184" s="13" t="n">
        <f aca="false">Sens!$J$7173/Sens!$J$7155</f>
        <v>0.282166278613001</v>
      </c>
      <c r="K7184" s="13" t="n">
        <f aca="false">Sens!$K$7173/Sens!$K$7155</f>
        <v>0.252969102881543</v>
      </c>
      <c r="L7184" s="13" t="n">
        <f aca="false">Sens!$L$7173/Sens!$L$7155</f>
        <v>0.240728642826566</v>
      </c>
      <c r="M7184" s="13" t="n">
        <f aca="false">Sens!$M$7173/Sens!$M$7155</f>
        <v>0.227399920863147</v>
      </c>
      <c r="N7184" s="13" t="n">
        <f aca="false">Sens!$N$7173/Sens!$N$7155</f>
        <v>0.302870734830849</v>
      </c>
      <c r="O7184" s="13" t="n">
        <f aca="false">Sens!$O$7173/Sens!$O$7155</f>
        <v>0.52240134346334</v>
      </c>
    </row>
    <row r="7185" customFormat="false" ht="15" hidden="false" customHeight="false" outlineLevel="0" collapsed="false">
      <c r="A7185" s="5" t="s">
        <v>736</v>
      </c>
      <c r="B7185" s="0" t="s">
        <v>52</v>
      </c>
      <c r="C7185" s="13" t="n">
        <f aca="false">Sens!$C$7177/Sens!$C$7157</f>
        <v>0.107519448742004</v>
      </c>
      <c r="D7185" s="13" t="n">
        <f aca="false">Sens!$D$7177/Sens!$D$7157</f>
        <v>0.111552967957552</v>
      </c>
      <c r="E7185" s="13" t="n">
        <f aca="false">Sens!$E$7177/Sens!$E$7157</f>
        <v>0.13428328426562</v>
      </c>
      <c r="F7185" s="13" t="n">
        <f aca="false">Sens!$F$7177/Sens!$F$7157</f>
        <v>0.129167844525589</v>
      </c>
      <c r="G7185" s="13" t="n">
        <f aca="false">Sens!$G$7177/Sens!$G$7157</f>
        <v>0.131557773771988</v>
      </c>
      <c r="H7185" s="13" t="n">
        <f aca="false">Sens!$H$7177/Sens!$H$7157</f>
        <v>0.134711536350329</v>
      </c>
      <c r="I7185" s="13" t="n">
        <f aca="false">Sens!$I$7177/Sens!$I$7157</f>
        <v>0.137768888779847</v>
      </c>
      <c r="J7185" s="13" t="n">
        <f aca="false">Sens!$J$7177/Sens!$J$7157</f>
        <v>0.139531715827143</v>
      </c>
      <c r="K7185" s="13" t="n">
        <f aca="false">Sens!$K$7177/Sens!$K$7157</f>
        <v>0.137320259076553</v>
      </c>
      <c r="L7185" s="13" t="n">
        <f aca="false">Sens!$L$7177/Sens!$L$7157</f>
        <v>0.136806307456799</v>
      </c>
      <c r="M7185" s="13" t="n">
        <f aca="false">Sens!$M$7177/Sens!$M$7157</f>
        <v>0.136871350584245</v>
      </c>
      <c r="N7185" s="13" t="n">
        <f aca="false">Sens!$N$7177/Sens!$N$7157</f>
        <v>0.116201614873411</v>
      </c>
      <c r="O7185" s="13" t="n">
        <f aca="false">Sens!$O$7177/Sens!$O$7157</f>
        <v>0.107733353660861</v>
      </c>
    </row>
    <row r="7186" customFormat="false" ht="17.15" hidden="false" customHeight="false" outlineLevel="0" collapsed="false">
      <c r="A7186" s="1" t="s">
        <v>737</v>
      </c>
    </row>
    <row r="7187" customFormat="false" ht="17.15" hidden="false" customHeight="false" outlineLevel="0" collapsed="false">
      <c r="A7187" s="5" t="s">
        <v>738</v>
      </c>
      <c r="B7187" s="0" t="s">
        <v>52</v>
      </c>
      <c r="D7187" s="28" t="n">
        <f aca="false">(Q!$E$29+Q!$E$30-(1-ext_sh)*Sens!$D$7109)/Sens!$D$7065</f>
        <v>0.0334674312393194</v>
      </c>
    </row>
    <row r="7188" customFormat="false" ht="17.15" hidden="false" customHeight="false" outlineLevel="0" collapsed="false">
      <c r="A7188" s="0" t="s">
        <v>535</v>
      </c>
      <c r="B7188" s="0" t="s">
        <v>86</v>
      </c>
      <c r="C7188" s="38" t="n">
        <f aca="false">Q!$D$29</f>
        <v>14.285</v>
      </c>
      <c r="D7188" s="38" t="n">
        <f aca="false">Q!$E$29</f>
        <v>15.503</v>
      </c>
      <c r="E7188" s="38" t="n">
        <f aca="false">Q!$P$29</f>
        <v>8.78</v>
      </c>
      <c r="F7188" s="38" t="n">
        <f aca="false">(Sens!$D$7187*Sens!$F$7065+(1-ext_sh)*Sens!$F$7109)*Sens!$F$7066</f>
        <v>9.32404990199157</v>
      </c>
      <c r="G7188" s="38" t="n">
        <f aca="false">Sens!$E$7188+Sens!$F$7188</f>
        <v>18.1040499019916</v>
      </c>
      <c r="H7188" s="38" t="n">
        <f aca="false">(Sens!$D$7187*Sens!$H$7065+(1-ext_sh)*Sens!$H$7109)*Sens!$H$7066</f>
        <v>22.5533556752937</v>
      </c>
      <c r="I7188" s="38" t="n">
        <f aca="false">(Sens!$D$7187*Sens!$I$7065+(1-ext_sh)*Sens!$I$7109)*Sens!$I$7066</f>
        <v>28.1941479903215</v>
      </c>
      <c r="J7188" s="38" t="n">
        <f aca="false">(Sens!$D$7187*Sens!$J$7065+(1-ext_sh)*Sens!$J$7109)*Sens!$J$7066</f>
        <v>33.8639126241465</v>
      </c>
      <c r="K7188" s="38" t="n">
        <f aca="false">(Sens!$D$7187*Sens!$K$7065+(1-ext_sh)*Sens!$K$7109)*Sens!$K$7066</f>
        <v>39.4516429979446</v>
      </c>
      <c r="L7188" s="38" t="n">
        <f aca="false">(Sens!$D$7187*Sens!$L$7065+(1-ext_sh)*Sens!$L$7109)*Sens!$L$7066</f>
        <v>43.6240799619622</v>
      </c>
      <c r="M7188" s="38" t="n">
        <f aca="false">(Sens!$D$7187*Sens!$M$7065+(1-ext_sh)*Sens!$M$7109)*Sens!$M$7066</f>
        <v>46.7841679303704</v>
      </c>
      <c r="N7188" s="38" t="n">
        <f aca="false">Q!$N$29</f>
        <v>7.272</v>
      </c>
      <c r="O7188" s="38" t="n">
        <f aca="false">Q!$O$29</f>
        <v>8.231</v>
      </c>
    </row>
    <row r="7189" customFormat="false" ht="17.15" hidden="false" customHeight="false" outlineLevel="0" collapsed="false">
      <c r="A7189" s="0" t="s">
        <v>537</v>
      </c>
      <c r="B7189" s="0" t="s">
        <v>86</v>
      </c>
      <c r="C7189" s="38" t="n">
        <f aca="false">Q!$D$30</f>
        <v>4.462</v>
      </c>
      <c r="D7189" s="38" t="n">
        <f aca="false">Q!$E$30</f>
        <v>4.907</v>
      </c>
      <c r="E7189" s="38" t="n">
        <f aca="false">Q!$P$30</f>
        <v>2.57</v>
      </c>
      <c r="F7189" s="38" t="n">
        <f aca="false">(Sens!$D$7187*Sens!$F$7065+(1-ext_sh)*Sens!$F$7109)*(1-Sens!$F$7066)</f>
        <v>3.66089330199472</v>
      </c>
      <c r="G7189" s="38" t="n">
        <f aca="false">Sens!$E$7189+Sens!$F$7189</f>
        <v>6.23089330199472</v>
      </c>
      <c r="H7189" s="38" t="n">
        <f aca="false">(Sens!$D$7187*Sens!$H$7065+(1-ext_sh)*Sens!$H$7109)*(1-Sens!$H$7066)</f>
        <v>8.63874333111657</v>
      </c>
      <c r="I7189" s="38" t="n">
        <f aca="false">(Sens!$D$7187*Sens!$I$7065+(1-ext_sh)*Sens!$I$7109)*(1-Sens!$I$7066)</f>
        <v>10.7993689025494</v>
      </c>
      <c r="J7189" s="38" t="n">
        <f aca="false">(Sens!$D$7187*Sens!$J$7065+(1-ext_sh)*Sens!$J$7109)*(1-Sens!$J$7066)</f>
        <v>12.9710919101865</v>
      </c>
      <c r="K7189" s="38" t="n">
        <f aca="false">(Sens!$D$7187*Sens!$K$7065+(1-ext_sh)*Sens!$K$7109)*(1-Sens!$K$7066)</f>
        <v>15.1113928568702</v>
      </c>
      <c r="L7189" s="38" t="n">
        <f aca="false">(Sens!$D$7187*Sens!$L$7065+(1-ext_sh)*Sens!$L$7109)*(1-Sens!$L$7066)</f>
        <v>16.7095857163433</v>
      </c>
      <c r="M7189" s="38" t="n">
        <f aca="false">(Sens!$D$7187*Sens!$M$7065+(1-ext_sh)*Sens!$M$7109)*(1-Sens!$M$7066)</f>
        <v>17.9200126371023</v>
      </c>
      <c r="N7189" s="38" t="n">
        <f aca="false">Q!$N$30</f>
        <v>2.316</v>
      </c>
      <c r="O7189" s="38" t="n">
        <f aca="false">Q!$O$30</f>
        <v>2.591</v>
      </c>
    </row>
    <row r="7190" customFormat="false" ht="17.15" hidden="false" customHeight="false" outlineLevel="0" collapsed="false">
      <c r="A7190" s="0" t="s">
        <v>538</v>
      </c>
      <c r="B7190" s="0" t="s">
        <v>86</v>
      </c>
      <c r="C7190" s="38" t="n">
        <f aca="false">Sens!$C$7121</f>
        <v>13.32</v>
      </c>
      <c r="D7190" s="38" t="n">
        <f aca="false">Sens!$D$7121</f>
        <v>21.45</v>
      </c>
      <c r="E7190" s="38" t="n">
        <f aca="false">Sens!$E$7121</f>
        <v>15.353</v>
      </c>
      <c r="F7190" s="38" t="n">
        <f aca="false">Sens!$F$7121</f>
        <v>16.3063747611001</v>
      </c>
      <c r="G7190" s="38" t="n">
        <f aca="false">Sens!$G$7121</f>
        <v>31.6593747611001</v>
      </c>
      <c r="H7190" s="38" t="n">
        <f aca="false">Sens!$H$7121</f>
        <v>53.124242092105</v>
      </c>
      <c r="I7190" s="38" t="n">
        <f aca="false">Sens!$I$7121</f>
        <v>78.046828098133</v>
      </c>
      <c r="J7190" s="38" t="n">
        <f aca="false">Sens!$J$7121</f>
        <v>103.663976940352</v>
      </c>
      <c r="K7190" s="38" t="n">
        <f aca="false">Sens!$K$7121</f>
        <v>129.625086115469</v>
      </c>
      <c r="L7190" s="38" t="n">
        <f aca="false">Sens!$L$7121</f>
        <v>147.435052382502</v>
      </c>
      <c r="M7190" s="38" t="n">
        <f aca="false">Sens!$M$7121</f>
        <v>159.299754080279</v>
      </c>
      <c r="N7190" s="38" t="n">
        <f aca="false">Sens!$N$7121</f>
        <v>9.234</v>
      </c>
      <c r="O7190" s="38" t="n">
        <f aca="false">Sens!$O$7121</f>
        <v>12.216</v>
      </c>
    </row>
    <row r="7191" customFormat="false" ht="17.15" hidden="false" customHeight="false" outlineLevel="0" collapsed="false">
      <c r="A7191" s="5" t="s">
        <v>739</v>
      </c>
      <c r="B7191" s="0" t="s">
        <v>86</v>
      </c>
      <c r="C7191" s="38" t="n">
        <f aca="false">Sens!$C$7188+Sens!$C$7189+Sens!$C$7190</f>
        <v>32.067</v>
      </c>
      <c r="D7191" s="38" t="n">
        <f aca="false">Sens!$D$7188+Sens!$D$7189+Sens!$D$7190</f>
        <v>41.86</v>
      </c>
      <c r="E7191" s="38" t="n">
        <f aca="false">Sens!$E$7188+Sens!$E$7189+Sens!$E$7190</f>
        <v>26.703</v>
      </c>
      <c r="F7191" s="38" t="n">
        <f aca="false">Sens!$F$7188+Sens!$F$7189+Sens!$F$7190</f>
        <v>29.2913179650864</v>
      </c>
      <c r="G7191" s="38" t="n">
        <f aca="false">Sens!$G$7188+Sens!$G$7189+Sens!$G$7190</f>
        <v>55.9943179650864</v>
      </c>
      <c r="H7191" s="38" t="n">
        <f aca="false">Sens!$H$7188+Sens!$H$7189+Sens!$H$7190</f>
        <v>84.3163410985152</v>
      </c>
      <c r="I7191" s="38" t="n">
        <f aca="false">Sens!$I$7188+Sens!$I$7189+Sens!$I$7190</f>
        <v>117.040344991004</v>
      </c>
      <c r="J7191" s="38" t="n">
        <f aca="false">Sens!$J$7188+Sens!$J$7189+Sens!$J$7190</f>
        <v>150.498981474685</v>
      </c>
      <c r="K7191" s="38" t="n">
        <f aca="false">Sens!$K$7188+Sens!$K$7189+Sens!$K$7190</f>
        <v>184.188121970284</v>
      </c>
      <c r="L7191" s="38" t="n">
        <f aca="false">Sens!$L$7188+Sens!$L$7189+Sens!$L$7190</f>
        <v>207.768718060808</v>
      </c>
      <c r="M7191" s="38" t="n">
        <f aca="false">Sens!$M$7188+Sens!$M$7189+Sens!$M$7190</f>
        <v>224.003934647752</v>
      </c>
      <c r="N7191" s="38" t="n">
        <f aca="false">Sens!$N$7188+Sens!$N$7189+Sens!$N$7190</f>
        <v>18.822</v>
      </c>
      <c r="O7191" s="38" t="n">
        <f aca="false">Sens!$O$7188+Sens!$O$7189+Sens!$O$7190</f>
        <v>23.038</v>
      </c>
    </row>
    <row r="7192" customFormat="false" ht="17.15" hidden="false" customHeight="false" outlineLevel="0" collapsed="false">
      <c r="A7192" s="0" t="s">
        <v>740</v>
      </c>
      <c r="B7192" s="0" t="s">
        <v>86</v>
      </c>
      <c r="C7192" s="38" t="n">
        <f aca="false">Sens!$C$7163+Sens!$C$7168</f>
        <v>28.107</v>
      </c>
      <c r="D7192" s="38" t="n">
        <f aca="false">Sens!$D$7163+Sens!$D$7168</f>
        <v>34.3175</v>
      </c>
      <c r="E7192" s="38" t="n">
        <f aca="false">Sens!$E$7163+Sens!$E$7168</f>
        <v>18.526</v>
      </c>
      <c r="F7192" s="38" t="n">
        <f aca="false">Sens!$F$7163+Sens!$F$7168</f>
        <v>23.0786109972074</v>
      </c>
      <c r="G7192" s="38" t="n">
        <f aca="false">Sens!$G$7163+Sens!$G$7168</f>
        <v>41.6046109972074</v>
      </c>
      <c r="H7192" s="38" t="n">
        <f aca="false">Sens!$H$7163+Sens!$H$7168</f>
        <v>49.9484611939488</v>
      </c>
      <c r="I7192" s="38" t="n">
        <f aca="false">Sens!$I$7163+Sens!$I$7168</f>
        <v>58.2915555477481</v>
      </c>
      <c r="J7192" s="38" t="n">
        <f aca="false">Sens!$J$7163+Sens!$J$7168</f>
        <v>66.0744709709759</v>
      </c>
      <c r="K7192" s="38" t="n">
        <f aca="false">Sens!$K$7163+Sens!$K$7168</f>
        <v>72.6819180680735</v>
      </c>
      <c r="L7192" s="38" t="n">
        <f aca="false">Sens!$L$7163+Sens!$L$7168</f>
        <v>79.9501098748808</v>
      </c>
      <c r="M7192" s="38" t="n">
        <f aca="false">Sens!$M$7163+Sens!$M$7168</f>
        <v>87.9451208623689</v>
      </c>
      <c r="N7192" s="38" t="n">
        <f aca="false">Sens!$N$7163+Sens!$N$7168</f>
        <v>14.8075</v>
      </c>
      <c r="O7192" s="38" t="n">
        <f aca="false">Sens!$O$7163+Sens!$O$7168</f>
        <v>19.51</v>
      </c>
    </row>
    <row r="7193" customFormat="false" ht="17.15" hidden="false" customHeight="false" outlineLevel="0" collapsed="false">
      <c r="A7193" s="0" t="s">
        <v>741</v>
      </c>
      <c r="B7193" s="0" t="s">
        <v>86</v>
      </c>
      <c r="C7193" s="38" t="n">
        <f aca="false">Sens!$C$7167+Sens!$C$7172+Sens!$C$7188+Sens!$C$7189-Sens!$C$7192</f>
        <v>19.399</v>
      </c>
      <c r="D7193" s="38" t="n">
        <f aca="false">Sens!$D$7167+Sens!$D$7172+Sens!$D$7188+Sens!$D$7189-Sens!$D$7192</f>
        <v>20.4615</v>
      </c>
      <c r="E7193" s="38" t="n">
        <f aca="false">Sens!$E$7167+Sens!$E$7172+Sens!$E$7188+Sens!$E$7189-Sens!$E$7192</f>
        <v>13.355</v>
      </c>
      <c r="F7193" s="38" t="n">
        <f aca="false">Sens!$F$7167+Sens!$F$7172+Sens!$F$7188+Sens!$F$7189-Sens!$F$7192</f>
        <v>12.7882167664549</v>
      </c>
      <c r="G7193" s="38" t="n">
        <f aca="false">Sens!$G$7167+Sens!$G$7172+Sens!$G$7188+Sens!$G$7189-Sens!$G$7192</f>
        <v>26.1432167664549</v>
      </c>
      <c r="H7193" s="38" t="n">
        <f aca="false">Sens!$H$7167+Sens!$H$7172+Sens!$H$7188+Sens!$H$7189-Sens!$H$7192</f>
        <v>28.5472527261826</v>
      </c>
      <c r="I7193" s="38" t="n">
        <f aca="false">Sens!$I$7167+Sens!$I$7172+Sens!$I$7188+Sens!$I$7189-Sens!$I$7192</f>
        <v>30.8052421506794</v>
      </c>
      <c r="J7193" s="38" t="n">
        <f aca="false">Sens!$J$7167+Sens!$J$7172+Sens!$J$7188+Sens!$J$7189-Sens!$J$7192</f>
        <v>33.0553877999083</v>
      </c>
      <c r="K7193" s="38" t="n">
        <f aca="false">Sens!$K$7167+Sens!$K$7172+Sens!$K$7188+Sens!$K$7189-Sens!$K$7192</f>
        <v>35.4662923485155</v>
      </c>
      <c r="L7193" s="38" t="n">
        <f aca="false">Sens!$L$7167+Sens!$L$7172+Sens!$L$7188+Sens!$L$7189-Sens!$L$7192</f>
        <v>37.1019587742301</v>
      </c>
      <c r="M7193" s="38" t="n">
        <f aca="false">Sens!$M$7167+Sens!$M$7172+Sens!$M$7188+Sens!$M$7189-Sens!$M$7192</f>
        <v>39.5351701466849</v>
      </c>
      <c r="N7193" s="38" t="n">
        <f aca="false">Sens!$N$7167+Sens!$N$7172+Sens!$N$7188+Sens!$N$7189-Sens!$N$7192</f>
        <v>10.6495</v>
      </c>
      <c r="O7193" s="38" t="n">
        <f aca="false">Sens!$O$7167+Sens!$O$7172+Sens!$O$7188+Sens!$O$7189-Sens!$O$7192</f>
        <v>9.81200000000001</v>
      </c>
    </row>
    <row r="7194" customFormat="false" ht="17.15" hidden="false" customHeight="false" outlineLevel="0" collapsed="false">
      <c r="A7194" s="0" t="s">
        <v>742</v>
      </c>
      <c r="B7194" s="0" t="s">
        <v>86</v>
      </c>
      <c r="C7194" s="38" t="n">
        <f aca="false">Sens!$C$7174+Sens!$C$7190-ext_sh*Sens!$C$7109</f>
        <v>51.3470500115664</v>
      </c>
      <c r="D7194" s="38" t="n">
        <f aca="false">Sens!$D$7174+Sens!$D$7190-ext_sh*Sens!$D$7109</f>
        <v>60.2799375433739</v>
      </c>
      <c r="E7194" s="38" t="n">
        <f aca="false">Sens!$E$7174+Sens!$E$7190-ext_sh*Sens!$E$7109</f>
        <v>39.5095167090767</v>
      </c>
      <c r="F7194" s="38" t="n">
        <f aca="false">Sens!$F$7174+Sens!$F$7190-ext_sh*Sens!$F$7109</f>
        <v>37.993321722478</v>
      </c>
      <c r="G7194" s="38" t="n">
        <f aca="false">Sens!$G$7174+Sens!$G$7190-ext_sh*Sens!$G$7109</f>
        <v>77.5028384315548</v>
      </c>
      <c r="H7194" s="38" t="n">
        <f aca="false">Sens!$H$7174+Sens!$H$7190-ext_sh*Sens!$H$7109</f>
        <v>85.2394217279746</v>
      </c>
      <c r="I7194" s="38" t="n">
        <f aca="false">Sens!$I$7174+Sens!$I$7190-ext_sh*Sens!$I$7109</f>
        <v>94.6373589713254</v>
      </c>
      <c r="J7194" s="38" t="n">
        <f aca="false">Sens!$J$7174+Sens!$J$7190-ext_sh*Sens!$J$7109</f>
        <v>103.639899284146</v>
      </c>
      <c r="K7194" s="38" t="n">
        <f aca="false">Sens!$K$7174+Sens!$K$7190-ext_sh*Sens!$K$7109</f>
        <v>111.931091226878</v>
      </c>
      <c r="L7194" s="38" t="n">
        <f aca="false">Sens!$L$7174+Sens!$L$7190-ext_sh*Sens!$L$7109</f>
        <v>120.885578525028</v>
      </c>
      <c r="M7194" s="38" t="n">
        <f aca="false">Sens!$M$7174+Sens!$M$7190-ext_sh*Sens!$M$7109</f>
        <v>130.55642480703</v>
      </c>
      <c r="N7194" s="38" t="n">
        <f aca="false">Sens!$N$7174+Sens!$N$7190-ext_sh*Sens!$N$7109</f>
        <v>28.5693781401809</v>
      </c>
      <c r="O7194" s="38" t="n">
        <f aca="false">Sens!$O$7174+Sens!$O$7190-ext_sh*Sens!$O$7109</f>
        <v>31.7105594031931</v>
      </c>
    </row>
    <row r="7195" customFormat="false" ht="17.15" hidden="false" customHeight="false" outlineLevel="0" collapsed="false">
      <c r="A7195" s="0" t="s">
        <v>743</v>
      </c>
      <c r="B7195" s="0" t="s">
        <v>86</v>
      </c>
      <c r="C7195" s="38" t="n">
        <f aca="false">Sens!$C$7112</f>
        <v>1.80694998843362</v>
      </c>
      <c r="D7195" s="38" t="n">
        <f aca="false">Sens!$D$7112</f>
        <v>6.77606245662607</v>
      </c>
      <c r="E7195" s="38" t="n">
        <f aca="false">Sens!$E$7112</f>
        <v>6.62548329092326</v>
      </c>
      <c r="F7195" s="38" t="n">
        <f aca="false">Sens!$F$7112</f>
        <v>11.7200577158706</v>
      </c>
      <c r="G7195" s="38" t="n">
        <f aca="false">Sens!$G$7112</f>
        <v>18.3455410067939</v>
      </c>
      <c r="H7195" s="38" t="n">
        <f aca="false">Sens!$H$7112</f>
        <v>47.5171727060453</v>
      </c>
      <c r="I7195" s="38" t="n">
        <f aca="false">Sens!$I$7112</f>
        <v>80.5539692643667</v>
      </c>
      <c r="J7195" s="38" t="n">
        <f aca="false">Sens!$J$7112</f>
        <v>113.759316834883</v>
      </c>
      <c r="K7195" s="38" t="n">
        <f aca="false">Sens!$K$7112</f>
        <v>142.084411492169</v>
      </c>
      <c r="L7195" s="38" t="n">
        <f aca="false">Sens!$L$7112</f>
        <v>160.69964615804</v>
      </c>
      <c r="M7195" s="38" t="n">
        <f aca="false">Sens!$M$7112</f>
        <v>169.577607141793</v>
      </c>
      <c r="N7195" s="38" t="n">
        <f aca="false">Sens!$N$7112</f>
        <v>2.37162185981912</v>
      </c>
      <c r="O7195" s="38" t="n">
        <f aca="false">Sens!$O$7112</f>
        <v>4.40444059680694</v>
      </c>
    </row>
    <row r="7196" customFormat="false" ht="17.15" hidden="false" customHeight="false" outlineLevel="0" collapsed="false">
      <c r="A7196" s="0" t="s">
        <v>744</v>
      </c>
      <c r="B7196" s="0" t="s">
        <v>86</v>
      </c>
      <c r="C7196" s="38" t="n">
        <f aca="false">Sens!$C$7177+Sens!$C$7191</f>
        <v>100.66</v>
      </c>
      <c r="D7196" s="38" t="n">
        <f aca="false">Sens!$D$7177+Sens!$D$7191</f>
        <v>121.835</v>
      </c>
      <c r="E7196" s="38" t="n">
        <f aca="false">Sens!$E$7177+Sens!$E$7191</f>
        <v>78.016</v>
      </c>
      <c r="F7196" s="38" t="n">
        <f aca="false">Sens!$F$7177+Sens!$F$7191</f>
        <v>85.580207202011</v>
      </c>
      <c r="G7196" s="38" t="n">
        <f aca="false">Sens!$G$7177+Sens!$G$7191</f>
        <v>163.596207202011</v>
      </c>
      <c r="H7196" s="38" t="n">
        <f aca="false">Sens!$H$7177+Sens!$H$7191</f>
        <v>211.252308354151</v>
      </c>
      <c r="I7196" s="38" t="n">
        <f aca="false">Sens!$I$7177+Sens!$I$7191</f>
        <v>264.28812593412</v>
      </c>
      <c r="J7196" s="38" t="n">
        <f aca="false">Sens!$J$7177+Sens!$J$7191</f>
        <v>316.529074889914</v>
      </c>
      <c r="K7196" s="38" t="n">
        <f aca="false">Sens!$K$7177+Sens!$K$7191</f>
        <v>362.163713135636</v>
      </c>
      <c r="L7196" s="38" t="n">
        <f aca="false">Sens!$L$7177+Sens!$L$7191</f>
        <v>398.637293332179</v>
      </c>
      <c r="M7196" s="38" t="n">
        <f aca="false">Sens!$M$7177+Sens!$M$7191</f>
        <v>427.614322957878</v>
      </c>
      <c r="N7196" s="38" t="n">
        <f aca="false">Sens!$N$7177+Sens!$N$7191</f>
        <v>56.398</v>
      </c>
      <c r="O7196" s="38" t="n">
        <f aca="false">Sens!$O$7177+Sens!$O$7191</f>
        <v>65.437</v>
      </c>
    </row>
    <row r="7197" customFormat="false" ht="17.15" hidden="false" customHeight="false" outlineLevel="0" collapsed="false">
      <c r="A7197" s="1" t="s">
        <v>745</v>
      </c>
    </row>
    <row r="7198" customFormat="false" ht="15" hidden="false" customHeight="false" outlineLevel="0" collapsed="false">
      <c r="A7198" s="5" t="s">
        <v>541</v>
      </c>
      <c r="B7198" s="0" t="s">
        <v>86</v>
      </c>
      <c r="C7198" s="38" t="n">
        <f aca="false">Q!$D$34</f>
        <v>2.406</v>
      </c>
      <c r="D7198" s="38" t="n">
        <f aca="false">Q!$E$34</f>
        <v>2.274</v>
      </c>
      <c r="E7198" s="38" t="n">
        <f aca="false">Q!$P$34</f>
        <v>2.114</v>
      </c>
      <c r="F7198" s="38" t="n">
        <f aca="false">Sens!$F$7236</f>
        <v>3.24888962733561</v>
      </c>
      <c r="G7198" s="38" t="n">
        <f aca="false">Sens!$E$7198+Sens!$F$7198</f>
        <v>5.36288962733561</v>
      </c>
      <c r="H7198" s="38" t="n">
        <f aca="false">Sens!$H$7236</f>
        <v>7.42354172302123</v>
      </c>
      <c r="I7198" s="38" t="n">
        <f aca="false">Sens!$I$7236</f>
        <v>8.2931747618896</v>
      </c>
      <c r="J7198" s="38" t="n">
        <f aca="false">Sens!$J$7236</f>
        <v>9.27718179522602</v>
      </c>
      <c r="K7198" s="38" t="n">
        <f aca="false">Sens!$K$7236</f>
        <v>9.27718179522602</v>
      </c>
      <c r="L7198" s="38" t="n">
        <f aca="false">Sens!$L$7236</f>
        <v>9.27718179522602</v>
      </c>
      <c r="M7198" s="38" t="n">
        <f aca="false">Sens!$M$7236</f>
        <v>9.27718179522602</v>
      </c>
      <c r="N7198" s="38" t="n">
        <f aca="false">Q!$N$34</f>
        <v>1.057</v>
      </c>
      <c r="O7198" s="38" t="n">
        <f aca="false">Q!$O$34</f>
        <v>1.217</v>
      </c>
    </row>
    <row r="7199" customFormat="false" ht="15" hidden="false" customHeight="false" outlineLevel="0" collapsed="false">
      <c r="A7199" s="5" t="s">
        <v>746</v>
      </c>
      <c r="B7199" s="0" t="s">
        <v>86</v>
      </c>
      <c r="F7199" s="38" t="n">
        <f aca="false">Sens!$F$7237</f>
        <v>2.59</v>
      </c>
      <c r="H7199" s="38" t="n">
        <f aca="false">Sens!$H$7237</f>
        <v>3.80133635330174</v>
      </c>
      <c r="I7199" s="38" t="n">
        <f aca="false">Sens!$I$7237</f>
        <v>2.10589651022864</v>
      </c>
      <c r="J7199" s="38" t="n">
        <f aca="false">Sens!$J$7237</f>
        <v>2.10589651022864</v>
      </c>
      <c r="K7199" s="38" t="n">
        <f aca="false">Sens!$K$7237</f>
        <v>3.14850442073996</v>
      </c>
      <c r="L7199" s="38" t="n">
        <f aca="false">Sens!$L$7237</f>
        <v>8.25959583122945</v>
      </c>
      <c r="M7199" s="38" t="n">
        <f aca="false">Sens!$M$7237</f>
        <v>15.8335708401143</v>
      </c>
    </row>
    <row r="7200" customFormat="false" ht="17.15" hidden="false" customHeight="false" outlineLevel="0" collapsed="false">
      <c r="A7200" s="5" t="s">
        <v>747</v>
      </c>
      <c r="B7200" s="0" t="s">
        <v>86</v>
      </c>
      <c r="C7200" s="38" t="n">
        <f aca="false">Q!$D$39</f>
        <v>2.427</v>
      </c>
      <c r="D7200" s="38" t="n">
        <f aca="false">Q!$E$39</f>
        <v>19.61</v>
      </c>
      <c r="E7200" s="38" t="n">
        <f aca="false">Q!$P$39</f>
        <v>71.492</v>
      </c>
      <c r="F7200" s="39" t="n">
        <v>0</v>
      </c>
      <c r="G7200" s="38" t="n">
        <f aca="false">Sens!$E$7200+Sens!$F$7200</f>
        <v>71.492</v>
      </c>
      <c r="H7200" s="39" t="n">
        <v>0</v>
      </c>
      <c r="I7200" s="39" t="n">
        <v>0</v>
      </c>
      <c r="J7200" s="39" t="n">
        <v>0</v>
      </c>
      <c r="K7200" s="39" t="n">
        <v>0</v>
      </c>
      <c r="L7200" s="39" t="n">
        <v>0</v>
      </c>
      <c r="M7200" s="39" t="n">
        <v>0</v>
      </c>
      <c r="N7200" s="38" t="n">
        <f aca="false">Q!$N$39</f>
        <v>6.017</v>
      </c>
      <c r="O7200" s="38" t="n">
        <f aca="false">Q!$O$39</f>
        <v>13.593</v>
      </c>
      <c r="P7200" s="5" t="s">
        <v>748</v>
      </c>
    </row>
    <row r="7201" customFormat="false" ht="15" hidden="false" customHeight="false" outlineLevel="0" collapsed="false">
      <c r="A7201" s="5" t="s">
        <v>544</v>
      </c>
      <c r="B7201" s="0" t="s">
        <v>86</v>
      </c>
      <c r="C7201" s="38" t="n">
        <f aca="false">Q!$D$36</f>
        <v>68.614</v>
      </c>
      <c r="D7201" s="38" t="n">
        <f aca="false">Q!$E$36</f>
        <v>97.311</v>
      </c>
      <c r="E7201" s="38" t="n">
        <f aca="false">Q!$P$36</f>
        <v>120.691</v>
      </c>
      <c r="F7201" s="38" t="n">
        <f aca="false">Sens!$F$7177-Sens!$F$7198+Sens!$F$7199+Sens!$F$7200</f>
        <v>55.629999609589</v>
      </c>
      <c r="G7201" s="38" t="n">
        <f aca="false">Sens!$E$7201+Sens!$F$7201</f>
        <v>176.320999609589</v>
      </c>
      <c r="H7201" s="38" t="n">
        <f aca="false">Sens!$H$7177-Sens!$H$7198+Sens!$H$7199+Sens!$H$7200</f>
        <v>123.313761885917</v>
      </c>
      <c r="I7201" s="38" t="n">
        <f aca="false">Sens!$I$7177-Sens!$I$7198+Sens!$I$7199+Sens!$I$7200</f>
        <v>141.060502691455</v>
      </c>
      <c r="J7201" s="38" t="n">
        <f aca="false">Sens!$J$7177-Sens!$J$7198+Sens!$J$7199+Sens!$J$7200</f>
        <v>158.858808130232</v>
      </c>
      <c r="K7201" s="38" t="n">
        <f aca="false">Sens!$K$7177-Sens!$K$7198+Sens!$K$7199+Sens!$K$7200</f>
        <v>171.846913790867</v>
      </c>
      <c r="L7201" s="38" t="n">
        <f aca="false">Sens!$L$7177-Sens!$L$7198+Sens!$L$7199+Sens!$L$7200</f>
        <v>189.850989307375</v>
      </c>
      <c r="M7201" s="38" t="n">
        <f aca="false">Sens!$M$7177-Sens!$M$7198+Sens!$M$7199+Sens!$M$7200</f>
        <v>210.166777355014</v>
      </c>
      <c r="N7201" s="38" t="n">
        <f aca="false">Q!$N$36</f>
        <v>42.536</v>
      </c>
      <c r="O7201" s="38" t="n">
        <f aca="false">Q!$O$36</f>
        <v>54.775</v>
      </c>
    </row>
    <row r="7202" customFormat="false" ht="15" hidden="false" customHeight="false" outlineLevel="0" collapsed="false">
      <c r="A7202" s="5" t="s">
        <v>545</v>
      </c>
      <c r="B7202" s="0" t="s">
        <v>86</v>
      </c>
      <c r="C7202" s="38" t="n">
        <f aca="false">Q!$D$37</f>
        <v>9.265</v>
      </c>
      <c r="D7202" s="38" t="n">
        <f aca="false">Q!$E$37</f>
        <v>19.087</v>
      </c>
      <c r="E7202" s="38" t="n">
        <f aca="false">Q!$P$37</f>
        <v>27.759</v>
      </c>
      <c r="F7202" s="38" t="n">
        <f aca="false">Sens!$F$7201*tax</f>
        <v>9.65650714815835</v>
      </c>
      <c r="G7202" s="38" t="n">
        <f aca="false">Sens!$E$7202+Sens!$F$7202</f>
        <v>37.4155071481584</v>
      </c>
      <c r="H7202" s="38" t="n">
        <f aca="false">Sens!$H$7201*tax</f>
        <v>21.4053609828247</v>
      </c>
      <c r="I7202" s="38" t="n">
        <f aca="false">Sens!$I$7201*tax</f>
        <v>24.4859205846201</v>
      </c>
      <c r="J7202" s="38" t="n">
        <f aca="false">Sens!$J$7201*tax</f>
        <v>27.5754310088666</v>
      </c>
      <c r="K7202" s="38" t="n">
        <f aca="false">Sens!$K$7201*tax</f>
        <v>29.8299651816718</v>
      </c>
      <c r="L7202" s="38" t="n">
        <f aca="false">Sens!$L$7201*tax</f>
        <v>32.9551941074541</v>
      </c>
      <c r="M7202" s="38" t="n">
        <f aca="false">Sens!$M$7201*tax</f>
        <v>36.4817005586366</v>
      </c>
      <c r="N7202" s="38" t="n">
        <f aca="false">Q!$N$37</f>
        <v>7.231</v>
      </c>
      <c r="O7202" s="38" t="n">
        <f aca="false">Q!$O$37</f>
        <v>11.856</v>
      </c>
    </row>
    <row r="7203" customFormat="false" ht="15" hidden="false" customHeight="false" outlineLevel="0" collapsed="false">
      <c r="A7203" s="3" t="s">
        <v>546</v>
      </c>
      <c r="B7203" s="8" t="s">
        <v>86</v>
      </c>
      <c r="C7203" s="38" t="n">
        <f aca="false">Q!$D$38</f>
        <v>59.248</v>
      </c>
      <c r="D7203" s="38" t="n">
        <f aca="false">Q!$E$38</f>
        <v>77.67</v>
      </c>
      <c r="E7203" s="38" t="n">
        <f aca="false">Q!$P$38</f>
        <v>92.902</v>
      </c>
      <c r="F7203" s="38" t="n">
        <f aca="false">Sens!$F$7201-Sens!$F$7202</f>
        <v>45.9734924614306</v>
      </c>
      <c r="G7203" s="38" t="n">
        <f aca="false">Sens!$E$7203+Sens!$F$7203</f>
        <v>138.875492461431</v>
      </c>
      <c r="H7203" s="38" t="n">
        <f aca="false">Sens!$H$7201-Sens!$H$7202</f>
        <v>101.908400903092</v>
      </c>
      <c r="I7203" s="38" t="n">
        <f aca="false">Sens!$I$7201-Sens!$I$7202</f>
        <v>116.574582106835</v>
      </c>
      <c r="J7203" s="38" t="n">
        <f aca="false">Sens!$J$7201-Sens!$J$7202</f>
        <v>131.283377121365</v>
      </c>
      <c r="K7203" s="38" t="n">
        <f aca="false">Sens!$K$7201-Sens!$K$7202</f>
        <v>142.016948609195</v>
      </c>
      <c r="L7203" s="38" t="n">
        <f aca="false">Sens!$L$7201-Sens!$L$7202</f>
        <v>156.895795199921</v>
      </c>
      <c r="M7203" s="38" t="n">
        <f aca="false">Sens!$M$7201-Sens!$M$7202</f>
        <v>173.685076796377</v>
      </c>
      <c r="N7203" s="38" t="n">
        <f aca="false">Q!$N$38</f>
        <v>35.291</v>
      </c>
      <c r="O7203" s="38" t="n">
        <f aca="false">Q!$O$38</f>
        <v>42.379</v>
      </c>
    </row>
    <row r="7204" customFormat="false" ht="17.15" hidden="false" customHeight="false" outlineLevel="0" collapsed="false">
      <c r="A7204" s="5" t="s">
        <v>549</v>
      </c>
      <c r="B7204" s="5" t="s">
        <v>33</v>
      </c>
      <c r="C7204" s="22" t="n">
        <f aca="false">Q!$D$41</f>
        <v>10.721</v>
      </c>
      <c r="D7204" s="22" t="n">
        <f aca="false">Q!$E$41</f>
        <v>10.827</v>
      </c>
      <c r="E7204" s="22" t="n">
        <f aca="false">(Q!$L$41+Q!$M$41)/2</f>
        <v>10.8885</v>
      </c>
      <c r="F7204" s="22" t="n">
        <f aca="false">Sens!$G$7204</f>
        <v>10.924806</v>
      </c>
      <c r="G7204" s="22" t="n">
        <f aca="false">Q!$M$41*(1+sh_g*0.25)</f>
        <v>10.924806</v>
      </c>
      <c r="H7204" s="22" t="n">
        <f aca="false">Sens!$G$7204*(1+sh_g)</f>
        <v>11.012204448</v>
      </c>
      <c r="I7204" s="22" t="n">
        <f aca="false">Sens!$H$7204*(1+sh_g)</f>
        <v>11.100302083584</v>
      </c>
      <c r="J7204" s="22" t="n">
        <f aca="false">Sens!$I$7204*(1+sh_g)</f>
        <v>11.1891045002527</v>
      </c>
      <c r="K7204" s="22" t="n">
        <f aca="false">Sens!$J$7204*(1+sh_g)</f>
        <v>11.2786173362547</v>
      </c>
      <c r="L7204" s="22" t="n">
        <f aca="false">Sens!$K$7204*(1+sh_g)</f>
        <v>11.3688462749447</v>
      </c>
      <c r="M7204" s="22" t="n">
        <f aca="false">Sens!$L$7204*(1+sh_g)</f>
        <v>11.4597970451443</v>
      </c>
      <c r="P7204" s="5" t="s">
        <v>749</v>
      </c>
    </row>
    <row r="7205" customFormat="false" ht="17.15" hidden="false" customHeight="false" outlineLevel="0" collapsed="false">
      <c r="A7205" s="5" t="s">
        <v>750</v>
      </c>
      <c r="B7205" s="0" t="s">
        <v>86</v>
      </c>
      <c r="C7205" s="38" t="n">
        <f aca="false">Sens!$C$7203+Sens!$C$7179*(1-tax)</f>
        <v>59.248</v>
      </c>
      <c r="D7205" s="38" t="n">
        <f aca="false">Sens!$D$7203+Sens!$D$7179*(1-tax)</f>
        <v>77.67</v>
      </c>
      <c r="E7205" s="38" t="n">
        <f aca="false">Sens!$E$7203+Sens!$E$7179*(1-tax)</f>
        <v>92.902</v>
      </c>
      <c r="F7205" s="38" t="n">
        <f aca="false">Sens!$F$7203+Sens!$F$7179*(1-tax)</f>
        <v>49.0900874210793</v>
      </c>
      <c r="G7205" s="38" t="n">
        <f aca="false">Sens!$G$7203+Sens!$G$7179*(1-tax)</f>
        <v>141.992087421079</v>
      </c>
      <c r="H7205" s="38" t="n">
        <f aca="false">Sens!$H$7203+Sens!$H$7179*(1-tax)</f>
        <v>114.439796858437</v>
      </c>
      <c r="I7205" s="38" t="n">
        <f aca="false">Sens!$I$7203+Sens!$I$7179*(1-tax)</f>
        <v>137.715847181774</v>
      </c>
      <c r="J7205" s="38" t="n">
        <f aca="false">Sens!$J$7203+Sens!$J$7179*(1-tax)</f>
        <v>161.072814065649</v>
      </c>
      <c r="K7205" s="38" t="n">
        <f aca="false">Sens!$K$7203+Sens!$K$7179*(1-tax)</f>
        <v>179.184254305854</v>
      </c>
      <c r="L7205" s="38" t="n">
        <f aca="false">Sens!$L$7203+Sens!$L$7179*(1-tax)</f>
        <v>198.911872540476</v>
      </c>
      <c r="M7205" s="38" t="n">
        <f aca="false">Sens!$M$7203+Sens!$M$7179*(1-tax)</f>
        <v>218.014598987218</v>
      </c>
      <c r="N7205" s="38" t="n">
        <f aca="false">Sens!$N$7203+Sens!$N$7179*(1-tax)</f>
        <v>35.291</v>
      </c>
      <c r="O7205" s="38" t="n">
        <f aca="false">Sens!$O$7203+Sens!$O$7179*(1-tax)</f>
        <v>42.379</v>
      </c>
    </row>
    <row r="7206" customFormat="false" ht="17.15" hidden="false" customHeight="false" outlineLevel="0" collapsed="false">
      <c r="A7206" s="43" t="s">
        <v>751</v>
      </c>
      <c r="B7206" s="14" t="s">
        <v>27</v>
      </c>
      <c r="C7206" s="44" t="n">
        <f aca="false">Sens!$C$7205/Sens!$C$7204</f>
        <v>5.52635015390355</v>
      </c>
      <c r="D7206" s="44" t="n">
        <f aca="false">Sens!$D$7205/Sens!$D$7204</f>
        <v>7.1737323358271</v>
      </c>
      <c r="E7206" s="44" t="n">
        <f aca="false">Sens!$E$7205/Sens!$E$7204</f>
        <v>8.53212104513937</v>
      </c>
      <c r="F7206" s="14"/>
      <c r="G7206" s="44" t="n">
        <f aca="false">Sens!$G$7205/Sens!$G$7204</f>
        <v>12.9972182042481</v>
      </c>
      <c r="H7206" s="44" t="n">
        <f aca="false">Sens!$H$7205/Sens!$H$7204</f>
        <v>10.3920879237963</v>
      </c>
      <c r="I7206" s="44" t="n">
        <f aca="false">Sens!$I$7205/Sens!$I$7204</f>
        <v>12.4064954399249</v>
      </c>
      <c r="J7206" s="44" t="n">
        <f aca="false">Sens!$J$7205/Sens!$J$7204</f>
        <v>14.3955053831172</v>
      </c>
      <c r="K7206" s="44" t="n">
        <f aca="false">Sens!$K$7205/Sens!$K$7204</f>
        <v>15.8870763111957</v>
      </c>
      <c r="L7206" s="44" t="n">
        <f aca="false">Sens!$L$7205/Sens!$L$7204</f>
        <v>17.4962232516811</v>
      </c>
      <c r="M7206" s="44" t="n">
        <f aca="false">Sens!$M$7205/Sens!$M$7204</f>
        <v>19.0242984346389</v>
      </c>
      <c r="N7206" s="14"/>
      <c r="O7206" s="14"/>
    </row>
    <row r="7207" customFormat="false" ht="17.15" hidden="false" customHeight="false" outlineLevel="0" collapsed="false">
      <c r="A7207" s="0" t="s">
        <v>752</v>
      </c>
      <c r="B7207" s="0" t="s">
        <v>27</v>
      </c>
      <c r="C7207" s="30" t="n">
        <f aca="false">Sens!$C$7203/Sens!$C$7204</f>
        <v>5.52635015390355</v>
      </c>
      <c r="D7207" s="30" t="n">
        <f aca="false">Sens!$D$7203/Sens!$D$7204</f>
        <v>7.1737323358271</v>
      </c>
      <c r="E7207" s="30" t="n">
        <f aca="false">Sens!$E$7203/Sens!$E$7204</f>
        <v>8.53212104513937</v>
      </c>
      <c r="G7207" s="30" t="n">
        <f aca="false">Sens!$G$7203/Sens!$G$7204</f>
        <v>12.7119412886078</v>
      </c>
      <c r="H7207" s="30" t="n">
        <f aca="false">Sens!$H$7203/Sens!$H$7204</f>
        <v>9.25413266565353</v>
      </c>
      <c r="I7207" s="30" t="n">
        <f aca="false">Sens!$I$7203/Sens!$I$7204</f>
        <v>10.501928796986</v>
      </c>
      <c r="J7207" s="30" t="n">
        <f aca="false">Sens!$J$7203/Sens!$J$7204</f>
        <v>11.7331442492472</v>
      </c>
      <c r="K7207" s="30" t="n">
        <f aca="false">Sens!$K$7203/Sens!$K$7204</f>
        <v>12.5916984657939</v>
      </c>
      <c r="L7207" s="30" t="n">
        <f aca="false">Sens!$L$7203/Sens!$L$7204</f>
        <v>13.8005028307662</v>
      </c>
      <c r="M7207" s="30" t="n">
        <f aca="false">Sens!$M$7203/Sens!$M$7204</f>
        <v>15.1560342746184</v>
      </c>
    </row>
    <row r="7208" customFormat="false" ht="17.15" hidden="false" customHeight="false" outlineLevel="0" collapsed="false">
      <c r="A7208" s="0" t="s">
        <v>753</v>
      </c>
      <c r="B7208" s="0" t="s">
        <v>27</v>
      </c>
      <c r="C7208" s="30" t="n">
        <f aca="false">(Sens!$C$7203-Sens!$C$7200*(1-tax))/Sens!$C$7204</f>
        <v>5.33926775917445</v>
      </c>
      <c r="D7208" s="30" t="n">
        <f aca="false">(Sens!$D$7203-Sens!$D$7200*(1-tax))/Sens!$D$7204</f>
        <v>5.67691812755503</v>
      </c>
      <c r="E7208" s="30" t="n">
        <f aca="false">(Sens!$E$7203-Sens!$E$7200*(1-tax))/Sens!$E$7204</f>
        <v>3.10602057006846</v>
      </c>
      <c r="G7208" s="30" t="n">
        <f aca="false">(Sens!$G$7203-Sens!$G$7200*(1-tax))/Sens!$G$7204</f>
        <v>7.30387317071086</v>
      </c>
      <c r="H7208" s="30" t="n">
        <f aca="false">(Sens!$H$7203-Sens!$H$7200*(1-tax))/Sens!$H$7204</f>
        <v>9.25413266565353</v>
      </c>
      <c r="I7208" s="30" t="n">
        <f aca="false">(Sens!$I$7203-Sens!$I$7200*(1-tax))/Sens!$I$7204</f>
        <v>10.501928796986</v>
      </c>
      <c r="J7208" s="30" t="n">
        <f aca="false">(Sens!$J$7203-Sens!$J$7200*(1-tax))/Sens!$J$7204</f>
        <v>11.7331442492472</v>
      </c>
      <c r="K7208" s="30" t="n">
        <f aca="false">(Sens!$K$7203-Sens!$K$7200*(1-tax))/Sens!$K$7204</f>
        <v>12.5916984657939</v>
      </c>
      <c r="L7208" s="30" t="n">
        <f aca="false">(Sens!$L$7203-Sens!$L$7200*(1-tax))/Sens!$L$7204</f>
        <v>13.8005028307662</v>
      </c>
      <c r="M7208" s="30" t="n">
        <f aca="false">(Sens!$M$7203-Sens!$M$7200*(1-tax))/Sens!$M$7204</f>
        <v>15.1560342746184</v>
      </c>
      <c r="P7208" s="5" t="s">
        <v>754</v>
      </c>
    </row>
    <row r="7209" customFormat="false" ht="17.15" hidden="false" customHeight="false" outlineLevel="0" collapsed="false">
      <c r="A7209" s="0" t="s">
        <v>755</v>
      </c>
      <c r="B7209" s="0" t="s">
        <v>52</v>
      </c>
      <c r="H7209" s="13" t="n">
        <f aca="false">Sens!$H$7206/Sens!$G$7206-1</f>
        <v>-0.200437527439553</v>
      </c>
      <c r="I7209" s="13" t="n">
        <f aca="false">Sens!$I$7206/Sens!$H$7206-1</f>
        <v>0.193840499705158</v>
      </c>
      <c r="J7209" s="13" t="n">
        <f aca="false">Sens!$J$7206/Sens!$I$7206-1</f>
        <v>0.160320047899391</v>
      </c>
      <c r="K7209" s="13" t="n">
        <f aca="false">Sens!$K$7206/Sens!$J$7206-1</f>
        <v>0.103613654983436</v>
      </c>
      <c r="L7209" s="13" t="n">
        <f aca="false">Sens!$L$7206/Sens!$K$7206-1</f>
        <v>0.101286536865904</v>
      </c>
      <c r="M7209" s="13" t="n">
        <f aca="false">Sens!$M$7206/Sens!$L$7206-1</f>
        <v>0.0873374305400994</v>
      </c>
    </row>
    <row r="7212" customFormat="false" ht="19.4" hidden="false" customHeight="false" outlineLevel="0" collapsed="false">
      <c r="A7212" s="31" t="s">
        <v>1275</v>
      </c>
    </row>
    <row r="7213" customFormat="false" ht="17.15" hidden="false" customHeight="false" outlineLevel="0" collapsed="false">
      <c r="A7213" s="6" t="s">
        <v>16</v>
      </c>
      <c r="B7213" s="6" t="s">
        <v>17</v>
      </c>
      <c r="C7213" s="20" t="s">
        <v>494</v>
      </c>
      <c r="D7213" s="20" t="s">
        <v>495</v>
      </c>
      <c r="E7213" s="20" t="s">
        <v>577</v>
      </c>
      <c r="F7213" s="20" t="s">
        <v>578</v>
      </c>
      <c r="G7213" s="20" t="s">
        <v>579</v>
      </c>
      <c r="H7213" s="20" t="s">
        <v>580</v>
      </c>
      <c r="I7213" s="20" t="s">
        <v>581</v>
      </c>
      <c r="J7213" s="20" t="s">
        <v>582</v>
      </c>
      <c r="K7213" s="20" t="s">
        <v>583</v>
      </c>
      <c r="L7213" s="20" t="s">
        <v>584</v>
      </c>
      <c r="M7213" s="20" t="s">
        <v>585</v>
      </c>
      <c r="N7213" s="20" t="s">
        <v>586</v>
      </c>
      <c r="O7213" s="20" t="s">
        <v>587</v>
      </c>
      <c r="P7213" s="6" t="s">
        <v>23</v>
      </c>
      <c r="R7213" s="20" t="n">
        <v>2023</v>
      </c>
      <c r="S7213" s="20" t="n">
        <v>2024</v>
      </c>
      <c r="T7213" s="20" t="n">
        <v>2025</v>
      </c>
      <c r="U7213" s="20" t="n">
        <v>2026</v>
      </c>
      <c r="V7213" s="20" t="n">
        <v>2027</v>
      </c>
      <c r="W7213" s="20" t="n">
        <v>2028</v>
      </c>
      <c r="X7213" s="20" t="n">
        <v>2029</v>
      </c>
      <c r="Y7213" s="20" t="n">
        <v>2030</v>
      </c>
      <c r="Z7213" s="20" t="n">
        <v>2031</v>
      </c>
      <c r="AA7213" s="20" t="n">
        <v>2032</v>
      </c>
    </row>
    <row r="7214" customFormat="false" ht="15" hidden="false" customHeight="false" outlineLevel="0" collapsed="false">
      <c r="A7214" s="5" t="s">
        <v>546</v>
      </c>
      <c r="B7214" s="0" t="s">
        <v>86</v>
      </c>
      <c r="C7214" s="38" t="n">
        <f aca="false">Sens!$C$7203</f>
        <v>59.248</v>
      </c>
      <c r="D7214" s="38" t="n">
        <f aca="false">Sens!$D$7203</f>
        <v>77.67</v>
      </c>
      <c r="E7214" s="38" t="n">
        <f aca="false">Sens!$E$7203</f>
        <v>92.902</v>
      </c>
      <c r="F7214" s="38" t="n">
        <f aca="false">Sens!$F$7203</f>
        <v>45.9734924614306</v>
      </c>
      <c r="G7214" s="38" t="n">
        <f aca="false">Sens!$G$7203</f>
        <v>138.875492461431</v>
      </c>
      <c r="H7214" s="38" t="n">
        <f aca="false">Sens!$H$7203</f>
        <v>101.908400903092</v>
      </c>
      <c r="I7214" s="38" t="n">
        <f aca="false">Sens!$I$7203</f>
        <v>116.574582106835</v>
      </c>
      <c r="J7214" s="38" t="n">
        <f aca="false">Sens!$J$7203</f>
        <v>131.283377121365</v>
      </c>
      <c r="K7214" s="38" t="n">
        <f aca="false">Sens!$K$7203</f>
        <v>142.016948609195</v>
      </c>
      <c r="L7214" s="38" t="n">
        <f aca="false">Sens!$L$7203</f>
        <v>156.895795199921</v>
      </c>
      <c r="M7214" s="38" t="n">
        <f aca="false">Sens!$M$7203</f>
        <v>173.685076796377</v>
      </c>
    </row>
    <row r="7215" customFormat="false" ht="17.15" hidden="false" customHeight="false" outlineLevel="0" collapsed="false">
      <c r="A7215" s="5" t="s">
        <v>778</v>
      </c>
      <c r="B7215" s="0" t="s">
        <v>86</v>
      </c>
      <c r="C7215" s="38" t="n">
        <f aca="false">Sens!$C$7191</f>
        <v>32.067</v>
      </c>
      <c r="D7215" s="38" t="n">
        <f aca="false">Sens!$D$7191</f>
        <v>41.86</v>
      </c>
      <c r="E7215" s="38" t="n">
        <f aca="false">Sens!$E$7191</f>
        <v>26.703</v>
      </c>
      <c r="F7215" s="38" t="n">
        <f aca="false">Sens!$F$7191</f>
        <v>29.2913179650864</v>
      </c>
      <c r="G7215" s="38" t="n">
        <f aca="false">Sens!$G$7191</f>
        <v>55.9943179650864</v>
      </c>
      <c r="H7215" s="38" t="n">
        <f aca="false">Sens!$H$7191</f>
        <v>84.3163410985152</v>
      </c>
      <c r="I7215" s="38" t="n">
        <f aca="false">Sens!$I$7191</f>
        <v>117.040344991004</v>
      </c>
      <c r="J7215" s="38" t="n">
        <f aca="false">Sens!$J$7191</f>
        <v>150.498981474685</v>
      </c>
      <c r="K7215" s="38" t="n">
        <f aca="false">Sens!$K$7191</f>
        <v>184.188121970284</v>
      </c>
      <c r="L7215" s="38" t="n">
        <f aca="false">Sens!$L$7191</f>
        <v>207.768718060808</v>
      </c>
      <c r="M7215" s="38" t="n">
        <f aca="false">Sens!$M$7191</f>
        <v>224.003934647752</v>
      </c>
    </row>
    <row r="7216" customFormat="false" ht="15" hidden="false" customHeight="false" outlineLevel="0" collapsed="false">
      <c r="A7216" s="5" t="s">
        <v>779</v>
      </c>
      <c r="B7216" s="0" t="s">
        <v>86</v>
      </c>
      <c r="C7216" s="38" t="n">
        <f aca="false">Q!$D$48</f>
        <v>22.011</v>
      </c>
      <c r="D7216" s="38" t="n">
        <f aca="false">Q!$E$48</f>
        <v>19.467</v>
      </c>
      <c r="E7216" s="38" t="n">
        <f aca="false">Q!$P$48</f>
        <v>10.07</v>
      </c>
      <c r="F7216" s="38" t="n">
        <f aca="false">sbc_r*Sens!$F$7133</f>
        <v>10.8507035798037</v>
      </c>
      <c r="G7216" s="38" t="n">
        <f aca="false">Sens!$E$7216+Sens!$F$7216</f>
        <v>20.9207035798037</v>
      </c>
      <c r="H7216" s="38" t="n">
        <f aca="false">sbc_r*Sens!$H$7133</f>
        <v>23.46224366345</v>
      </c>
      <c r="I7216" s="38" t="n">
        <f aca="false">sbc_r*Sens!$I$7133</f>
        <v>26.6125957111676</v>
      </c>
      <c r="J7216" s="38" t="n">
        <f aca="false">sbc_r*Sens!$J$7133</f>
        <v>29.6280801413323</v>
      </c>
      <c r="K7216" s="38" t="n">
        <f aca="false">sbc_r*Sens!$K$7133</f>
        <v>32.2712258901105</v>
      </c>
      <c r="L7216" s="38" t="n">
        <f aca="false">sbc_r*Sens!$L$7133</f>
        <v>34.7390505016737</v>
      </c>
      <c r="M7216" s="38" t="n">
        <f aca="false">sbc_r*Sens!$M$7133</f>
        <v>37.0405146906692</v>
      </c>
    </row>
    <row r="7217" customFormat="false" ht="17.15" hidden="false" customHeight="false" outlineLevel="0" collapsed="false">
      <c r="A7217" s="5" t="s">
        <v>780</v>
      </c>
      <c r="B7217" s="0" t="s">
        <v>86</v>
      </c>
      <c r="C7217" s="38" t="n">
        <f aca="false">Q!$D$44-Sens!$C$7214-Sens!$C$7215-Sens!$C$7216</f>
        <v>2.551</v>
      </c>
      <c r="D7217" s="38" t="n">
        <f aca="false">Q!$E$44-Sens!$D$7214-Sens!$D$7215-Sens!$D$7216</f>
        <v>0.51700000000001</v>
      </c>
      <c r="E7217" s="38" t="n">
        <f aca="false">Q!$P$44-Sens!$E$7214-Sens!$E$7215-Sens!$E$7216</f>
        <v>-58.256</v>
      </c>
      <c r="F7217" s="38" t="n">
        <f aca="false">oth_r*Sens!$F$7133</f>
        <v>5.22265251035878</v>
      </c>
      <c r="G7217" s="38" t="n">
        <f aca="false">Sens!$E$7217+Sens!$F$7217</f>
        <v>-53.0333474896412</v>
      </c>
      <c r="H7217" s="38" t="n">
        <f aca="false">oth_r*Sens!$H$7133</f>
        <v>11.2928295263397</v>
      </c>
      <c r="I7217" s="38" t="n">
        <f aca="false">oth_r*Sens!$I$7133</f>
        <v>12.8091546115766</v>
      </c>
      <c r="J7217" s="38" t="n">
        <f aca="false">oth_r*Sens!$J$7133</f>
        <v>14.2605653162668</v>
      </c>
      <c r="K7217" s="38" t="n">
        <f aca="false">oth_r*Sens!$K$7133</f>
        <v>15.5327622460396</v>
      </c>
      <c r="L7217" s="38" t="n">
        <f aca="false">oth_r*Sens!$L$7133</f>
        <v>16.720573737517</v>
      </c>
      <c r="M7217" s="38" t="n">
        <f aca="false">oth_r*Sens!$M$7133</f>
        <v>17.8283127551536</v>
      </c>
      <c r="P7217" s="8" t="s">
        <v>781</v>
      </c>
    </row>
    <row r="7218" customFormat="false" ht="15" hidden="false" customHeight="false" outlineLevel="0" collapsed="false">
      <c r="A7218" s="3" t="s">
        <v>552</v>
      </c>
      <c r="B7218" s="8" t="s">
        <v>86</v>
      </c>
      <c r="C7218" s="38" t="n">
        <f aca="false">Q!$D$44</f>
        <v>115.877</v>
      </c>
      <c r="D7218" s="38" t="n">
        <f aca="false">Q!$E$44</f>
        <v>139.514</v>
      </c>
      <c r="E7218" s="38" t="n">
        <f aca="false">Q!$P$44</f>
        <v>71.419</v>
      </c>
      <c r="F7218" s="38" t="n">
        <f aca="false">Sens!$F$7214+Sens!$F$7215+Sens!$F$7216+Sens!$F$7217</f>
        <v>91.3381665166794</v>
      </c>
      <c r="G7218" s="38" t="n">
        <f aca="false">Sens!$E$7218+Sens!$F$7218</f>
        <v>162.757166516679</v>
      </c>
      <c r="H7218" s="38" t="n">
        <f aca="false">Sens!$H$7214+Sens!$H$7215+Sens!$H$7216+Sens!$H$7217</f>
        <v>220.979815191397</v>
      </c>
      <c r="I7218" s="38" t="n">
        <f aca="false">Sens!$I$7214+Sens!$I$7215+Sens!$I$7216+Sens!$I$7217</f>
        <v>273.036677420583</v>
      </c>
      <c r="J7218" s="38" t="n">
        <f aca="false">Sens!$J$7214+Sens!$J$7215+Sens!$J$7216+Sens!$J$7217</f>
        <v>325.671004053649</v>
      </c>
      <c r="K7218" s="38" t="n">
        <f aca="false">Sens!$K$7214+Sens!$K$7215+Sens!$K$7216+Sens!$K$7217</f>
        <v>374.009058715629</v>
      </c>
      <c r="L7218" s="38" t="n">
        <f aca="false">Sens!$L$7214+Sens!$L$7215+Sens!$L$7216+Sens!$L$7217</f>
        <v>416.124137499919</v>
      </c>
      <c r="M7218" s="38" t="n">
        <f aca="false">Sens!$M$7214+Sens!$M$7215+Sens!$M$7216+Sens!$M$7217</f>
        <v>452.557838889952</v>
      </c>
    </row>
    <row r="7219" customFormat="false" ht="17.15" hidden="false" customHeight="false" outlineLevel="0" collapsed="false">
      <c r="A7219" s="5" t="s">
        <v>782</v>
      </c>
      <c r="B7219" s="0" t="s">
        <v>86</v>
      </c>
      <c r="C7219" s="38" t="n">
        <f aca="false">Sens!$C$7102</f>
        <v>25.2781053077374</v>
      </c>
      <c r="D7219" s="38" t="n">
        <f aca="false">Sens!$D$7102</f>
        <v>69.5686316310026</v>
      </c>
      <c r="E7219" s="38" t="n">
        <f aca="false">Sens!$E$7102</f>
        <v>64.1899206485108</v>
      </c>
      <c r="F7219" s="38" t="n">
        <f aca="false">Sens!$F$7102</f>
        <v>96.2481299895</v>
      </c>
      <c r="G7219" s="38" t="n">
        <f aca="false">Sens!$G$7102</f>
        <v>160.438050638011</v>
      </c>
      <c r="H7219" s="38" t="n">
        <f aca="false">Sens!$H$7102</f>
        <v>198.57136494475</v>
      </c>
      <c r="I7219" s="38" t="n">
        <f aca="false">Sens!$I$7102</f>
        <v>204.6464699105</v>
      </c>
      <c r="J7219" s="38" t="n">
        <f aca="false">Sens!$J$7102</f>
        <v>209.8832381105</v>
      </c>
      <c r="K7219" s="38" t="n">
        <f aca="false">Sens!$K$7102</f>
        <v>155.238385275201</v>
      </c>
      <c r="L7219" s="38" t="n">
        <f aca="false">Sens!$L$7102</f>
        <v>132.014141639902</v>
      </c>
      <c r="M7219" s="38" t="n">
        <f aca="false">Sens!$M$7102</f>
        <v>132.230981659852</v>
      </c>
    </row>
    <row r="7220" customFormat="false" ht="17.15" hidden="false" customHeight="false" outlineLevel="0" collapsed="false">
      <c r="A7220" s="5" t="s">
        <v>783</v>
      </c>
      <c r="B7220" s="0" t="s">
        <v>86</v>
      </c>
      <c r="C7220" s="38" t="n">
        <f aca="false">cx_awso*Sens!$C$7131</f>
        <v>21.0469989286053</v>
      </c>
      <c r="D7220" s="38" t="n">
        <f aca="false">cx_awso*Sens!$D$7131</f>
        <v>24.0042459822698</v>
      </c>
      <c r="E7220" s="38" t="n">
        <f aca="false">cx_awso*Sens!$E$7131</f>
        <v>14.261729404886</v>
      </c>
      <c r="F7220" s="38" t="n">
        <f aca="false">cx_awso*Sens!$F$7131</f>
        <v>14.3538599588493</v>
      </c>
      <c r="G7220" s="38" t="n">
        <f aca="false">Sens!$E$7220+Sens!$F$7220</f>
        <v>28.6155893637353</v>
      </c>
      <c r="H7220" s="38" t="n">
        <f aca="false">cx_awso*Sens!$H$7131</f>
        <v>32.2034154158406</v>
      </c>
      <c r="I7220" s="38" t="n">
        <f aca="false">cx_awso*Sens!$I$7131</f>
        <v>35.7539519042915</v>
      </c>
      <c r="J7220" s="38" t="n">
        <f aca="false">cx_awso*Sens!$J$7131</f>
        <v>39.1551076091815</v>
      </c>
      <c r="K7220" s="38" t="n">
        <f aca="false">cx_awso*Sens!$K$7131</f>
        <v>42.287516217916</v>
      </c>
      <c r="L7220" s="38" t="n">
        <f aca="false">cx_awso*Sens!$L$7131</f>
        <v>45.6705175153492</v>
      </c>
      <c r="M7220" s="38" t="n">
        <f aca="false">cx_awso*Sens!$M$7131</f>
        <v>49.3241589165772</v>
      </c>
    </row>
    <row r="7221" customFormat="false" ht="17.15" hidden="false" customHeight="false" outlineLevel="0" collapsed="false">
      <c r="A7221" s="5" t="s">
        <v>784</v>
      </c>
      <c r="B7221" s="0" t="s">
        <v>86</v>
      </c>
      <c r="C7221" s="38" t="n">
        <f aca="false">Q!$D$46-Sens!$C$7219-Sens!$C$7220</f>
        <v>31.3328957636573</v>
      </c>
      <c r="D7221" s="38" t="n">
        <f aca="false">Q!$E$46-Sens!$D$7219-Sens!$D$7220</f>
        <v>34.7471223867276</v>
      </c>
      <c r="E7221" s="38" t="n">
        <f aca="false">Q!$P$46-Sens!$E$7219-Sens!$E$7220</f>
        <v>17.8583499466032</v>
      </c>
      <c r="F7221" s="38" t="n">
        <f aca="false">cx_rt*Sens!$F$7065</f>
        <v>20.6195895799373</v>
      </c>
      <c r="G7221" s="38" t="n">
        <f aca="false">Sens!$E$7221+Sens!$F$7221</f>
        <v>38.4779395265405</v>
      </c>
      <c r="H7221" s="38" t="n">
        <f aca="false">cx_rt*Sens!$H$7065</f>
        <v>42.5978994743075</v>
      </c>
      <c r="I7221" s="38" t="n">
        <f aca="false">cx_rt*Sens!$I$7065</f>
        <v>46.5813904136335</v>
      </c>
      <c r="J7221" s="38" t="n">
        <f aca="false">cx_rt*Sens!$J$7065</f>
        <v>50.2781676586844</v>
      </c>
      <c r="K7221" s="38" t="n">
        <f aca="false">cx_rt*Sens!$K$7065</f>
        <v>53.5312440191755</v>
      </c>
      <c r="L7221" s="38" t="n">
        <f aca="false">cx_rt*Sens!$L$7065</f>
        <v>57.0116717051447</v>
      </c>
      <c r="M7221" s="38" t="n">
        <f aca="false">cx_rt*Sens!$M$7065</f>
        <v>60.7365554669226</v>
      </c>
    </row>
    <row r="7222" customFormat="false" ht="15" hidden="false" customHeight="false" outlineLevel="0" collapsed="false">
      <c r="A7222" s="3" t="s">
        <v>785</v>
      </c>
      <c r="B7222" s="8" t="s">
        <v>86</v>
      </c>
      <c r="C7222" s="38" t="n">
        <f aca="false">Q!$D$46</f>
        <v>77.658</v>
      </c>
      <c r="D7222" s="38" t="n">
        <f aca="false">Q!$E$46</f>
        <v>128.32</v>
      </c>
      <c r="E7222" s="38" t="n">
        <f aca="false">Q!$P$46</f>
        <v>96.31</v>
      </c>
      <c r="F7222" s="38" t="n">
        <f aca="false">Sens!$F$7219+Sens!$F$7220+Sens!$F$7221</f>
        <v>131.221579528287</v>
      </c>
      <c r="G7222" s="38" t="n">
        <f aca="false">Sens!$E$7222+Sens!$F$7222</f>
        <v>227.531579528287</v>
      </c>
      <c r="H7222" s="38" t="n">
        <f aca="false">Sens!$H$7219+Sens!$H$7220+Sens!$H$7221</f>
        <v>273.372679834898</v>
      </c>
      <c r="I7222" s="38" t="n">
        <f aca="false">Sens!$I$7219+Sens!$I$7220+Sens!$I$7221</f>
        <v>286.981812228425</v>
      </c>
      <c r="J7222" s="38" t="n">
        <f aca="false">Sens!$J$7219+Sens!$J$7220+Sens!$J$7221</f>
        <v>299.316513378366</v>
      </c>
      <c r="K7222" s="38" t="n">
        <f aca="false">Sens!$K$7219+Sens!$K$7220+Sens!$K$7221</f>
        <v>251.057145512292</v>
      </c>
      <c r="L7222" s="38" t="n">
        <f aca="false">Sens!$L$7219+Sens!$L$7220+Sens!$L$7221</f>
        <v>234.696330860396</v>
      </c>
      <c r="M7222" s="38" t="n">
        <f aca="false">Sens!$M$7219+Sens!$M$7220+Sens!$M$7221</f>
        <v>242.291696043352</v>
      </c>
    </row>
    <row r="7223" customFormat="false" ht="17.15" hidden="false" customHeight="false" outlineLevel="0" collapsed="false">
      <c r="A7223" s="5" t="s">
        <v>560</v>
      </c>
      <c r="B7223" s="0" t="s">
        <v>86</v>
      </c>
      <c r="C7223" s="38" t="n">
        <f aca="false">Q!$D$50</f>
        <v>2.043</v>
      </c>
      <c r="D7223" s="38" t="n">
        <f aca="false">Q!$E$50</f>
        <v>1.557</v>
      </c>
      <c r="E7223" s="38" t="n">
        <f aca="false">lease_pr/2</f>
        <v>0.8</v>
      </c>
      <c r="F7223" s="38" t="n">
        <f aca="false">lease_pr/2</f>
        <v>0.8</v>
      </c>
      <c r="G7223" s="38" t="n">
        <f aca="false">Sens!$E$7223+Sens!$F$7223</f>
        <v>1.6</v>
      </c>
      <c r="H7223" s="38" t="n">
        <f aca="false">lease_pr</f>
        <v>1.6</v>
      </c>
      <c r="I7223" s="38" t="n">
        <f aca="false">lease_pr</f>
        <v>1.6</v>
      </c>
      <c r="J7223" s="38" t="n">
        <f aca="false">lease_pr</f>
        <v>1.6</v>
      </c>
      <c r="K7223" s="38" t="n">
        <f aca="false">lease_pr</f>
        <v>1.6</v>
      </c>
      <c r="L7223" s="38" t="n">
        <f aca="false">lease_pr</f>
        <v>1.6</v>
      </c>
      <c r="M7223" s="38" t="n">
        <f aca="false">lease_pr</f>
        <v>1.6</v>
      </c>
      <c r="P7223" s="8" t="s">
        <v>786</v>
      </c>
    </row>
    <row r="7224" customFormat="false" ht="15" hidden="false" customHeight="false" outlineLevel="0" collapsed="false">
      <c r="A7224" s="47" t="s">
        <v>787</v>
      </c>
      <c r="B7224" s="14" t="s">
        <v>86</v>
      </c>
      <c r="C7224" s="48" t="n">
        <f aca="false">Sens!$C$7218-Sens!$C$7222-Sens!$C$7223</f>
        <v>36.176</v>
      </c>
      <c r="D7224" s="48" t="n">
        <f aca="false">Sens!$D$7218-Sens!$D$7222-Sens!$D$7223</f>
        <v>9.63700000000002</v>
      </c>
      <c r="E7224" s="48" t="n">
        <f aca="false">Sens!$E$7218-Sens!$E$7222-Sens!$E$7223</f>
        <v>-25.691</v>
      </c>
      <c r="F7224" s="48" t="n">
        <f aca="false">Sens!$F$7218-Sens!$F$7222-Sens!$F$7223</f>
        <v>-40.6834130116072</v>
      </c>
      <c r="G7224" s="48" t="n">
        <f aca="false">Sens!$G$7218-Sens!$G$7222-Sens!$G$7223</f>
        <v>-66.3744130116072</v>
      </c>
      <c r="H7224" s="48" t="n">
        <f aca="false">Sens!$H$7218-Sens!$H$7222-Sens!$H$7223</f>
        <v>-53.9928646435014</v>
      </c>
      <c r="I7224" s="48" t="n">
        <f aca="false">Sens!$I$7218-Sens!$I$7222-Sens!$I$7223</f>
        <v>-15.5451348078424</v>
      </c>
      <c r="J7224" s="48" t="n">
        <f aca="false">Sens!$J$7218-Sens!$J$7222-Sens!$J$7223</f>
        <v>24.754490675283</v>
      </c>
      <c r="K7224" s="48" t="n">
        <f aca="false">Sens!$K$7218-Sens!$K$7222-Sens!$K$7223</f>
        <v>121.351913203336</v>
      </c>
      <c r="L7224" s="48" t="n">
        <f aca="false">Sens!$L$7218-Sens!$L$7222-Sens!$L$7223</f>
        <v>179.827806639524</v>
      </c>
      <c r="M7224" s="48" t="n">
        <f aca="false">Sens!$M$7218-Sens!$M$7222-Sens!$M$7223</f>
        <v>208.6661428466</v>
      </c>
      <c r="N7224" s="14"/>
      <c r="O7224" s="14"/>
    </row>
    <row r="7225" customFormat="false" ht="17.15" hidden="false" customHeight="false" outlineLevel="0" collapsed="false">
      <c r="A7225" s="5" t="s">
        <v>788</v>
      </c>
      <c r="B7225" s="0" t="s">
        <v>86</v>
      </c>
      <c r="C7225" s="38" t="n">
        <f aca="false">dps*Sens!$C$7204</f>
        <v>0</v>
      </c>
      <c r="D7225" s="38" t="n">
        <f aca="false">dps*Sens!$D$7204</f>
        <v>0</v>
      </c>
      <c r="E7225" s="38" t="n">
        <f aca="false">dps*Sens!$E$7204</f>
        <v>0</v>
      </c>
      <c r="F7225" s="38" t="n">
        <f aca="false">0</f>
        <v>0</v>
      </c>
      <c r="G7225" s="38" t="n">
        <f aca="false">dps*Sens!$G$7204</f>
        <v>0</v>
      </c>
      <c r="H7225" s="38" t="n">
        <f aca="false">dps*Sens!$H$7204</f>
        <v>0</v>
      </c>
      <c r="I7225" s="38" t="n">
        <f aca="false">dps*Sens!$I$7204</f>
        <v>0</v>
      </c>
      <c r="J7225" s="38" t="n">
        <f aca="false">dps*Sens!$J$7204</f>
        <v>0</v>
      </c>
      <c r="K7225" s="38" t="n">
        <f aca="false">dps*Sens!$K$7204</f>
        <v>0</v>
      </c>
      <c r="L7225" s="38" t="n">
        <f aca="false">dps*Sens!$L$7204</f>
        <v>0</v>
      </c>
      <c r="M7225" s="38" t="n">
        <f aca="false">dps*Sens!$M$7204</f>
        <v>0</v>
      </c>
      <c r="P7225" s="8" t="s">
        <v>789</v>
      </c>
    </row>
    <row r="7226" customFormat="false" ht="17.15" hidden="false" customHeight="false" outlineLevel="0" collapsed="false">
      <c r="A7226" s="5" t="s">
        <v>790</v>
      </c>
      <c r="B7226" s="0" t="s">
        <v>86</v>
      </c>
      <c r="C7226" s="38" t="n">
        <f aca="false">0</f>
        <v>0</v>
      </c>
      <c r="D7226" s="38" t="n">
        <f aca="false">0</f>
        <v>0</v>
      </c>
      <c r="E7226" s="38" t="n">
        <f aca="false">0</f>
        <v>0</v>
      </c>
      <c r="F7226" s="38" t="n">
        <f aca="false">0</f>
        <v>0</v>
      </c>
      <c r="G7226" s="38" t="n">
        <f aca="false">0</f>
        <v>0</v>
      </c>
      <c r="H7226" s="38" t="n">
        <f aca="false">0</f>
        <v>0</v>
      </c>
      <c r="I7226" s="38" t="n">
        <f aca="false">0</f>
        <v>0</v>
      </c>
      <c r="J7226" s="38" t="n">
        <f aca="false">0</f>
        <v>0</v>
      </c>
      <c r="K7226" s="38" t="n">
        <f aca="false">0</f>
        <v>0</v>
      </c>
      <c r="L7226" s="38" t="n">
        <f aca="false">0</f>
        <v>0</v>
      </c>
      <c r="M7226" s="38" t="n">
        <f aca="false">0</f>
        <v>0</v>
      </c>
      <c r="P7226" s="8" t="s">
        <v>791</v>
      </c>
    </row>
    <row r="7227" customFormat="false" ht="15" hidden="false" customHeight="false" outlineLevel="0" collapsed="false">
      <c r="A7227" s="3" t="s">
        <v>792</v>
      </c>
      <c r="B7227" s="8" t="s">
        <v>86</v>
      </c>
      <c r="C7227" s="38" t="n">
        <f aca="false">Sens!$C$7224-Sens!$C$7225</f>
        <v>36.176</v>
      </c>
      <c r="D7227" s="38" t="n">
        <f aca="false">Sens!$D$7224-Sens!$D$7225</f>
        <v>9.63700000000002</v>
      </c>
      <c r="E7227" s="38" t="n">
        <f aca="false">Sens!$E$7224-Sens!$E$7225</f>
        <v>-25.691</v>
      </c>
      <c r="F7227" s="38" t="n">
        <f aca="false">Sens!$F$7224-Sens!$F$7225</f>
        <v>-40.6834130116072</v>
      </c>
      <c r="G7227" s="38" t="n">
        <f aca="false">Sens!$G$7224-Sens!$G$7225</f>
        <v>-66.3744130116072</v>
      </c>
      <c r="H7227" s="38" t="n">
        <f aca="false">Sens!$H$7224-Sens!$H$7225</f>
        <v>-53.9928646435014</v>
      </c>
      <c r="I7227" s="38" t="n">
        <f aca="false">Sens!$I$7224-Sens!$I$7225</f>
        <v>-15.5451348078424</v>
      </c>
      <c r="J7227" s="38" t="n">
        <f aca="false">Sens!$J$7224-Sens!$J$7225</f>
        <v>24.754490675283</v>
      </c>
      <c r="K7227" s="38" t="n">
        <f aca="false">Sens!$K$7224-Sens!$K$7225</f>
        <v>121.351913203336</v>
      </c>
      <c r="L7227" s="38" t="n">
        <f aca="false">Sens!$L$7224-Sens!$L$7225</f>
        <v>179.827806639524</v>
      </c>
      <c r="M7227" s="38" t="n">
        <f aca="false">Sens!$M$7224-Sens!$M$7225</f>
        <v>208.6661428466</v>
      </c>
    </row>
    <row r="7228" customFormat="false" ht="17.15" hidden="false" customHeight="false" outlineLevel="0" collapsed="false">
      <c r="A7228" s="5" t="s">
        <v>793</v>
      </c>
      <c r="B7228" s="0" t="s">
        <v>86</v>
      </c>
      <c r="E7228" s="38" t="n">
        <f aca="false">Q!$P$53</f>
        <v>39.767</v>
      </c>
      <c r="F7228" s="38" t="n">
        <f aca="false">inv_2h26</f>
        <v>21.3</v>
      </c>
      <c r="G7228" s="38" t="n">
        <f aca="false">Sens!$E$7228+Sens!$F$7228</f>
        <v>61.067</v>
      </c>
      <c r="H7228" s="39" t="n">
        <v>0</v>
      </c>
      <c r="I7228" s="39" t="n">
        <v>0</v>
      </c>
      <c r="J7228" s="39" t="n">
        <v>0</v>
      </c>
      <c r="K7228" s="39" t="n">
        <v>0</v>
      </c>
      <c r="L7228" s="39" t="n">
        <v>0</v>
      </c>
      <c r="M7228" s="39" t="n">
        <v>0</v>
      </c>
    </row>
    <row r="7229" customFormat="false" ht="17.15" hidden="false" customHeight="false" outlineLevel="0" collapsed="false">
      <c r="A7229" s="5" t="s">
        <v>794</v>
      </c>
      <c r="B7229" s="0" t="s">
        <v>86</v>
      </c>
      <c r="F7229" s="38" t="n">
        <f aca="false">iss_2h26</f>
        <v>29.249999</v>
      </c>
      <c r="G7229" s="38" t="n">
        <f aca="false">Sens!$F$7229</f>
        <v>29.249999</v>
      </c>
      <c r="H7229" s="39" t="n">
        <v>0</v>
      </c>
      <c r="I7229" s="39" t="n">
        <v>0</v>
      </c>
      <c r="J7229" s="39" t="n">
        <v>0</v>
      </c>
      <c r="K7229" s="39" t="n">
        <v>0</v>
      </c>
      <c r="L7229" s="39" t="n">
        <v>0</v>
      </c>
      <c r="M7229" s="39" t="n">
        <v>0</v>
      </c>
    </row>
    <row r="7230" customFormat="false" ht="17.15" hidden="false" customHeight="false" outlineLevel="0" collapsed="false">
      <c r="A7230" s="5" t="s">
        <v>795</v>
      </c>
      <c r="B7230" s="0" t="s">
        <v>86</v>
      </c>
      <c r="F7230" s="38" t="n">
        <f aca="false">cash_q2</f>
        <v>122.988</v>
      </c>
      <c r="G7230" s="38" t="n">
        <f aca="false">cash_q2</f>
        <v>122.988</v>
      </c>
      <c r="H7230" s="38" t="n">
        <f aca="false">Sens!$G$7233</f>
        <v>90.2545859883928</v>
      </c>
      <c r="I7230" s="38" t="n">
        <f aca="false">Sens!$H$7233</f>
        <v>50</v>
      </c>
      <c r="J7230" s="38" t="n">
        <f aca="false">Sens!$I$7233</f>
        <v>50</v>
      </c>
      <c r="K7230" s="38" t="n">
        <f aca="false">Sens!$J$7233</f>
        <v>74.7544906752831</v>
      </c>
      <c r="L7230" s="38" t="n">
        <f aca="false">Sens!$K$7233</f>
        <v>196.106403878619</v>
      </c>
      <c r="M7230" s="38" t="n">
        <f aca="false">Sens!$L$7233</f>
        <v>375.934210518143</v>
      </c>
    </row>
    <row r="7231" customFormat="false" ht="15" hidden="false" customHeight="false" outlineLevel="0" collapsed="false">
      <c r="A7231" s="5" t="s">
        <v>796</v>
      </c>
      <c r="B7231" s="0" t="s">
        <v>86</v>
      </c>
      <c r="F7231" s="38" t="n">
        <f aca="false">Sens!$F$7230+Sens!$F$7227-Sens!$F$7226-Sens!$F$7228+Sens!$F$7229</f>
        <v>90.2545859883928</v>
      </c>
      <c r="H7231" s="38" t="n">
        <f aca="false">Sens!$H$7230+Sens!$H$7227-Sens!$H$7226-Sens!$H$7228+Sens!$H$7229</f>
        <v>36.2617213448915</v>
      </c>
      <c r="I7231" s="38" t="n">
        <f aca="false">Sens!$I$7230+Sens!$I$7227-Sens!$I$7226-Sens!$I$7228+Sens!$I$7229</f>
        <v>34.4548651921577</v>
      </c>
      <c r="J7231" s="38" t="n">
        <f aca="false">Sens!$J$7230+Sens!$J$7227-Sens!$J$7226-Sens!$J$7228+Sens!$J$7229</f>
        <v>74.7544906752831</v>
      </c>
      <c r="K7231" s="38" t="n">
        <f aca="false">Sens!$K$7230+Sens!$K$7227-Sens!$K$7226-Sens!$K$7228+Sens!$K$7229</f>
        <v>196.106403878619</v>
      </c>
      <c r="L7231" s="38" t="n">
        <f aca="false">Sens!$L$7230+Sens!$L$7227-Sens!$L$7226-Sens!$L$7228+Sens!$L$7229</f>
        <v>375.934210518143</v>
      </c>
      <c r="M7231" s="38" t="n">
        <f aca="false">Sens!$M$7230+Sens!$M$7227-Sens!$M$7226-Sens!$M$7228+Sens!$M$7229</f>
        <v>584.600353364743</v>
      </c>
    </row>
    <row r="7232" customFormat="false" ht="17.15" hidden="false" customHeight="false" outlineLevel="0" collapsed="false">
      <c r="A7232" s="5" t="s">
        <v>797</v>
      </c>
      <c r="B7232" s="0" t="s">
        <v>86</v>
      </c>
      <c r="F7232" s="38" t="n">
        <f aca="false">MAX(0,min_cash-Sens!$F$7231)</f>
        <v>0</v>
      </c>
      <c r="G7232" s="38" t="n">
        <f aca="false">Sens!$F$7232</f>
        <v>0</v>
      </c>
      <c r="H7232" s="38" t="n">
        <f aca="false">MAX(0,min_cash-Sens!$H$7231)</f>
        <v>13.7382786551085</v>
      </c>
      <c r="I7232" s="38" t="n">
        <f aca="false">MAX(0,min_cash-Sens!$I$7231)</f>
        <v>15.5451348078424</v>
      </c>
      <c r="J7232" s="38" t="n">
        <f aca="false">MAX(0,min_cash-Sens!$J$7231)</f>
        <v>0</v>
      </c>
      <c r="K7232" s="38" t="n">
        <f aca="false">MAX(0,min_cash-Sens!$K$7231)</f>
        <v>0</v>
      </c>
      <c r="L7232" s="38" t="n">
        <f aca="false">MAX(0,min_cash-Sens!$L$7231)</f>
        <v>0</v>
      </c>
      <c r="M7232" s="38" t="n">
        <f aca="false">MAX(0,min_cash-Sens!$M$7231)</f>
        <v>0</v>
      </c>
      <c r="P7232" s="5" t="s">
        <v>798</v>
      </c>
    </row>
    <row r="7233" customFormat="false" ht="15" hidden="false" customHeight="false" outlineLevel="0" collapsed="false">
      <c r="A7233" s="5" t="s">
        <v>799</v>
      </c>
      <c r="B7233" s="0" t="s">
        <v>86</v>
      </c>
      <c r="D7233" s="38" t="n">
        <f aca="false">Q!$E$61</f>
        <v>123.029</v>
      </c>
      <c r="E7233" s="38" t="n">
        <f aca="false">Q!$M$61</f>
        <v>122.988</v>
      </c>
      <c r="F7233" s="38" t="n">
        <f aca="false">Sens!$F$7231+Sens!$F$7232</f>
        <v>90.2545859883928</v>
      </c>
      <c r="G7233" s="38" t="n">
        <f aca="false">Sens!$F$7233</f>
        <v>90.2545859883928</v>
      </c>
      <c r="H7233" s="38" t="n">
        <f aca="false">Sens!$H$7231+Sens!$H$7232</f>
        <v>50</v>
      </c>
      <c r="I7233" s="38" t="n">
        <f aca="false">Sens!$I$7231+Sens!$I$7232</f>
        <v>50</v>
      </c>
      <c r="J7233" s="38" t="n">
        <f aca="false">Sens!$J$7231+Sens!$J$7232</f>
        <v>74.7544906752831</v>
      </c>
      <c r="K7233" s="38" t="n">
        <f aca="false">Sens!$K$7231+Sens!$K$7232</f>
        <v>196.106403878619</v>
      </c>
      <c r="L7233" s="38" t="n">
        <f aca="false">Sens!$L$7231+Sens!$L$7232</f>
        <v>375.934210518143</v>
      </c>
      <c r="M7233" s="38" t="n">
        <f aca="false">Sens!$M$7231+Sens!$M$7232</f>
        <v>584.600353364743</v>
      </c>
    </row>
    <row r="7234" customFormat="false" ht="15" hidden="false" customHeight="false" outlineLevel="0" collapsed="false">
      <c r="A7234" s="5" t="s">
        <v>800</v>
      </c>
      <c r="B7234" s="0" t="s">
        <v>86</v>
      </c>
      <c r="D7234" s="38" t="n">
        <f aca="false">Q!$E$62</f>
        <v>68.836</v>
      </c>
      <c r="E7234" s="38" t="n">
        <f aca="false">Q!$M$62</f>
        <v>132.995</v>
      </c>
      <c r="F7234" s="38" t="n">
        <f aca="false">debt_q2+Sens!$F$7229+Sens!$F$7232</f>
        <v>162.244999</v>
      </c>
      <c r="G7234" s="38" t="n">
        <f aca="false">Sens!$F$7234</f>
        <v>162.244999</v>
      </c>
      <c r="H7234" s="38" t="n">
        <f aca="false">Sens!$G$7234+Sens!$H$7232</f>
        <v>175.983277655109</v>
      </c>
      <c r="I7234" s="38" t="n">
        <f aca="false">Sens!$H$7234+Sens!$I$7232</f>
        <v>191.528412462951</v>
      </c>
      <c r="J7234" s="38" t="n">
        <f aca="false">Sens!$I$7234+Sens!$J$7232</f>
        <v>191.528412462951</v>
      </c>
      <c r="K7234" s="38" t="n">
        <f aca="false">Sens!$J$7234+Sens!$K$7232</f>
        <v>191.528412462951</v>
      </c>
      <c r="L7234" s="38" t="n">
        <f aca="false">Sens!$K$7234+Sens!$L$7232</f>
        <v>191.528412462951</v>
      </c>
      <c r="M7234" s="38" t="n">
        <f aca="false">Sens!$L$7234+Sens!$M$7232</f>
        <v>191.528412462951</v>
      </c>
    </row>
    <row r="7235" customFormat="false" ht="15" hidden="false" customHeight="false" outlineLevel="0" collapsed="false">
      <c r="A7235" s="5" t="s">
        <v>801</v>
      </c>
      <c r="B7235" s="0" t="s">
        <v>86</v>
      </c>
      <c r="D7235" s="38" t="n">
        <f aca="false">Sens!$D$7234-Sens!$D$7233</f>
        <v>-54.193</v>
      </c>
      <c r="E7235" s="38" t="n">
        <f aca="false">Sens!$E$7234-Sens!$E$7233</f>
        <v>10.007</v>
      </c>
      <c r="F7235" s="38" t="n">
        <f aca="false">Sens!$F$7234-Sens!$F$7233</f>
        <v>71.9904130116072</v>
      </c>
      <c r="G7235" s="38" t="n">
        <f aca="false">Sens!$G$7234-Sens!$G$7233</f>
        <v>71.9904130116072</v>
      </c>
      <c r="H7235" s="38" t="n">
        <f aca="false">Sens!$H$7234-Sens!$H$7233</f>
        <v>125.983277655109</v>
      </c>
      <c r="I7235" s="38" t="n">
        <f aca="false">Sens!$I$7234-Sens!$I$7233</f>
        <v>141.528412462951</v>
      </c>
      <c r="J7235" s="38" t="n">
        <f aca="false">Sens!$J$7234-Sens!$J$7233</f>
        <v>116.773921787668</v>
      </c>
      <c r="K7235" s="38" t="n">
        <f aca="false">Sens!$K$7234-Sens!$K$7233</f>
        <v>-4.57799141566841</v>
      </c>
      <c r="L7235" s="38" t="n">
        <f aca="false">Sens!$L$7234-Sens!$L$7233</f>
        <v>-184.405798055192</v>
      </c>
      <c r="M7235" s="38" t="n">
        <f aca="false">Sens!$M$7234-Sens!$M$7233</f>
        <v>-393.071940901792</v>
      </c>
    </row>
    <row r="7236" customFormat="false" ht="17.15" hidden="false" customHeight="false" outlineLevel="0" collapsed="false">
      <c r="A7236" s="5" t="s">
        <v>802</v>
      </c>
      <c r="B7236" s="0" t="s">
        <v>86</v>
      </c>
      <c r="F7236" s="38" t="n">
        <f aca="false">debt_q2*kd_book*0.5+iss_2h26*kd_new*iss_t</f>
        <v>3.24888962733561</v>
      </c>
      <c r="H7236" s="38" t="n">
        <f aca="false">debt_q2*kd_book+(Sens!$G$7234-debt_q2)*kd_new</f>
        <v>7.42354172302123</v>
      </c>
      <c r="I7236" s="38" t="n">
        <f aca="false">debt_q2*kd_book+(Sens!$H$7234-debt_q2)*kd_new</f>
        <v>8.2931747618896</v>
      </c>
      <c r="J7236" s="38" t="n">
        <f aca="false">debt_q2*kd_book+(Sens!$I$7234-debt_q2)*kd_new</f>
        <v>9.27718179522602</v>
      </c>
      <c r="K7236" s="38" t="n">
        <f aca="false">debt_q2*kd_book+(Sens!$J$7234-debt_q2)*kd_new</f>
        <v>9.27718179522602</v>
      </c>
      <c r="L7236" s="38" t="n">
        <f aca="false">debt_q2*kd_book+(Sens!$K$7234-debt_q2)*kd_new</f>
        <v>9.27718179522602</v>
      </c>
      <c r="M7236" s="38" t="n">
        <f aca="false">debt_q2*kd_book+(Sens!$L$7234-debt_q2)*kd_new</f>
        <v>9.27718179522602</v>
      </c>
    </row>
    <row r="7237" customFormat="false" ht="17.15" hidden="false" customHeight="false" outlineLevel="0" collapsed="false">
      <c r="A7237" s="5" t="s">
        <v>803</v>
      </c>
      <c r="B7237" s="0" t="s">
        <v>86</v>
      </c>
      <c r="F7237" s="38" t="n">
        <f aca="false">cash_q2*y_cash*0.5</f>
        <v>2.59</v>
      </c>
      <c r="H7237" s="38" t="n">
        <f aca="false">Sens!$G$7233*y_cash</f>
        <v>3.80133635330174</v>
      </c>
      <c r="I7237" s="38" t="n">
        <f aca="false">Sens!$H$7233*y_cash</f>
        <v>2.10589651022864</v>
      </c>
      <c r="J7237" s="38" t="n">
        <f aca="false">Sens!$I$7233*y_cash</f>
        <v>2.10589651022864</v>
      </c>
      <c r="K7237" s="38" t="n">
        <f aca="false">Sens!$J$7233*y_cash</f>
        <v>3.14850442073996</v>
      </c>
      <c r="L7237" s="38" t="n">
        <f aca="false">Sens!$K$7233*y_cash</f>
        <v>8.25959583122945</v>
      </c>
      <c r="M7237" s="38" t="n">
        <f aca="false">Sens!$L$7233*y_cash</f>
        <v>15.8335708401143</v>
      </c>
    </row>
    <row r="7238" customFormat="false" ht="17.15" hidden="false" customHeight="false" outlineLevel="0" collapsed="false">
      <c r="A7238" s="47" t="s">
        <v>804</v>
      </c>
      <c r="B7238" s="14" t="s">
        <v>86</v>
      </c>
      <c r="C7238" s="14"/>
      <c r="D7238" s="14"/>
      <c r="E7238" s="14"/>
      <c r="F7238" s="14"/>
      <c r="G7238" s="48" t="n">
        <f aca="false">SUM(Sens!$G$7227:$K$7227)</f>
        <v>10.1939914156684</v>
      </c>
      <c r="H7238" s="14"/>
      <c r="I7238" s="14"/>
      <c r="J7238" s="14"/>
      <c r="K7238" s="14"/>
      <c r="L7238" s="14"/>
      <c r="M7238" s="14"/>
      <c r="N7238" s="14"/>
      <c r="O7238" s="14"/>
    </row>
    <row r="7239" customFormat="false" ht="17.15" hidden="false" customHeight="false" outlineLevel="0" collapsed="false">
      <c r="A7239" s="0" t="s">
        <v>770</v>
      </c>
      <c r="B7239" s="0" t="s">
        <v>86</v>
      </c>
      <c r="G7239" s="38" t="n">
        <f aca="false">SUM(Sens!$G$7232:$K$7232)</f>
        <v>29.2834134629509</v>
      </c>
    </row>
    <row r="7240" customFormat="false" ht="17.15" hidden="false" customHeight="false" outlineLevel="0" collapsed="false">
      <c r="A7240" s="24" t="s">
        <v>807</v>
      </c>
      <c r="B7240" s="25" t="s">
        <v>86</v>
      </c>
      <c r="C7240" s="25"/>
      <c r="D7240" s="25"/>
      <c r="E7240" s="25"/>
      <c r="F7240" s="25"/>
      <c r="G7240" s="41" t="n">
        <f aca="false">Sens!$G$7238-(Sens!$G$7227+Sens!$H$7227+Sens!$I$7227+Sens!$J$7227+Sens!$K$7227)</f>
        <v>0</v>
      </c>
      <c r="H7240" s="25"/>
      <c r="I7240" s="25"/>
      <c r="J7240" s="25"/>
      <c r="K7240" s="25"/>
      <c r="L7240" s="25"/>
      <c r="M7240" s="25"/>
      <c r="N7240" s="25"/>
      <c r="O7240" s="25"/>
    </row>
    <row r="7243" customFormat="false" ht="19.4" hidden="false" customHeight="false" outlineLevel="0" collapsed="false">
      <c r="A7243" s="31" t="s">
        <v>1276</v>
      </c>
    </row>
    <row r="7244" customFormat="false" ht="17.15" hidden="false" customHeight="false" outlineLevel="0" collapsed="false">
      <c r="A7244" s="6" t="s">
        <v>16</v>
      </c>
      <c r="B7244" s="6" t="s">
        <v>17</v>
      </c>
      <c r="C7244" s="20" t="s">
        <v>494</v>
      </c>
      <c r="D7244" s="20" t="s">
        <v>495</v>
      </c>
      <c r="E7244" s="20" t="s">
        <v>577</v>
      </c>
      <c r="F7244" s="20" t="s">
        <v>578</v>
      </c>
      <c r="G7244" s="20" t="s">
        <v>579</v>
      </c>
      <c r="H7244" s="20" t="s">
        <v>580</v>
      </c>
      <c r="I7244" s="20" t="s">
        <v>581</v>
      </c>
      <c r="J7244" s="20" t="s">
        <v>582</v>
      </c>
      <c r="K7244" s="20" t="s">
        <v>583</v>
      </c>
      <c r="L7244" s="20" t="s">
        <v>584</v>
      </c>
      <c r="M7244" s="20" t="s">
        <v>585</v>
      </c>
      <c r="N7244" s="20" t="s">
        <v>586</v>
      </c>
      <c r="O7244" s="20" t="s">
        <v>587</v>
      </c>
      <c r="P7244" s="6" t="s">
        <v>23</v>
      </c>
      <c r="R7244" s="20" t="n">
        <v>2023</v>
      </c>
      <c r="S7244" s="20" t="n">
        <v>2024</v>
      </c>
      <c r="T7244" s="20" t="n">
        <v>2025</v>
      </c>
      <c r="U7244" s="20" t="n">
        <v>2026</v>
      </c>
      <c r="V7244" s="20" t="n">
        <v>2027</v>
      </c>
      <c r="W7244" s="20" t="n">
        <v>2028</v>
      </c>
      <c r="X7244" s="20" t="n">
        <v>2029</v>
      </c>
      <c r="Y7244" s="20" t="n">
        <v>2030</v>
      </c>
      <c r="Z7244" s="20" t="n">
        <v>2031</v>
      </c>
      <c r="AA7244" s="20" t="n">
        <v>2032</v>
      </c>
    </row>
    <row r="7245" customFormat="false" ht="17.15" hidden="false" customHeight="false" outlineLevel="0" collapsed="false">
      <c r="A7245" s="1" t="s">
        <v>909</v>
      </c>
    </row>
    <row r="7246" customFormat="false" ht="17.15" hidden="false" customHeight="false" outlineLevel="0" collapsed="false">
      <c r="A7246" s="0" t="s">
        <v>910</v>
      </c>
      <c r="B7246" s="0" t="s">
        <v>86</v>
      </c>
      <c r="H7246" s="38" t="n">
        <f aca="false">Sens!$H$7180*(1-tax)</f>
        <v>117.433243423729</v>
      </c>
      <c r="I7246" s="38" t="n">
        <f aca="false">Sens!$I$7180*(1-tax)</f>
        <v>142.829109667048</v>
      </c>
      <c r="J7246" s="38" t="n">
        <f aca="false">Sens!$J$7180*(1-tax)</f>
        <v>166.999275189185</v>
      </c>
      <c r="K7246" s="38" t="n">
        <f aca="false">Sens!$K$7180*(1-tax)</f>
        <v>184.249088119477</v>
      </c>
      <c r="L7246" s="38" t="n">
        <f aca="false">Sens!$L$7180*(1-tax)</f>
        <v>199.752821326616</v>
      </c>
      <c r="M7246" s="38" t="n">
        <f aca="false">Sens!$M$7180*(1-tax)</f>
        <v>212.59629763103</v>
      </c>
    </row>
    <row r="7247" customFormat="false" ht="15" hidden="false" customHeight="false" outlineLevel="0" collapsed="false">
      <c r="A7247" s="5" t="s">
        <v>911</v>
      </c>
      <c r="B7247" s="0" t="s">
        <v>86</v>
      </c>
      <c r="H7247" s="38" t="n">
        <f aca="false">Sens!$H$7191</f>
        <v>84.3163410985152</v>
      </c>
      <c r="I7247" s="38" t="n">
        <f aca="false">Sens!$I$7191</f>
        <v>117.040344991004</v>
      </c>
      <c r="J7247" s="38" t="n">
        <f aca="false">Sens!$J$7191</f>
        <v>150.498981474685</v>
      </c>
      <c r="K7247" s="38" t="n">
        <f aca="false">Sens!$K$7191</f>
        <v>184.188121970284</v>
      </c>
      <c r="L7247" s="38" t="n">
        <f aca="false">Sens!$L$7191</f>
        <v>207.768718060808</v>
      </c>
      <c r="M7247" s="38" t="n">
        <f aca="false">Sens!$M$7191</f>
        <v>224.003934647752</v>
      </c>
    </row>
    <row r="7248" customFormat="false" ht="15" hidden="false" customHeight="false" outlineLevel="0" collapsed="false">
      <c r="A7248" s="5" t="s">
        <v>912</v>
      </c>
      <c r="B7248" s="0" t="s">
        <v>86</v>
      </c>
      <c r="H7248" s="38" t="n">
        <f aca="false">Sens!$H$7222</f>
        <v>273.372679834898</v>
      </c>
      <c r="I7248" s="38" t="n">
        <f aca="false">Sens!$I$7222</f>
        <v>286.981812228425</v>
      </c>
      <c r="J7248" s="38" t="n">
        <f aca="false">Sens!$J$7222</f>
        <v>299.316513378366</v>
      </c>
      <c r="K7248" s="38" t="n">
        <f aca="false">Sens!$K$7222</f>
        <v>251.057145512292</v>
      </c>
      <c r="L7248" s="38" t="n">
        <f aca="false">Sens!$L$7222</f>
        <v>234.696330860396</v>
      </c>
      <c r="M7248" s="38" t="n">
        <f aca="false">Sens!$M$7222</f>
        <v>242.291696043352</v>
      </c>
    </row>
    <row r="7249" customFormat="false" ht="15" hidden="false" customHeight="false" outlineLevel="0" collapsed="false">
      <c r="A7249" s="5" t="s">
        <v>913</v>
      </c>
      <c r="B7249" s="0" t="s">
        <v>86</v>
      </c>
      <c r="H7249" s="38" t="n">
        <f aca="false">Sens!$H$7223</f>
        <v>1.6</v>
      </c>
      <c r="I7249" s="38" t="n">
        <f aca="false">Sens!$I$7223</f>
        <v>1.6</v>
      </c>
      <c r="J7249" s="38" t="n">
        <f aca="false">Sens!$J$7223</f>
        <v>1.6</v>
      </c>
      <c r="K7249" s="38" t="n">
        <f aca="false">Sens!$K$7223</f>
        <v>1.6</v>
      </c>
      <c r="L7249" s="38" t="n">
        <f aca="false">Sens!$L$7223</f>
        <v>1.6</v>
      </c>
      <c r="M7249" s="38" t="n">
        <f aca="false">Sens!$M$7223</f>
        <v>1.6</v>
      </c>
    </row>
    <row r="7250" customFormat="false" ht="15" hidden="false" customHeight="false" outlineLevel="0" collapsed="false">
      <c r="A7250" s="5" t="s">
        <v>914</v>
      </c>
      <c r="B7250" s="0" t="s">
        <v>86</v>
      </c>
      <c r="H7250" s="38" t="n">
        <f aca="false">Sens!$H$7217</f>
        <v>11.2928295263397</v>
      </c>
      <c r="I7250" s="38" t="n">
        <f aca="false">Sens!$I$7217</f>
        <v>12.8091546115766</v>
      </c>
      <c r="J7250" s="38" t="n">
        <f aca="false">Sens!$J$7217</f>
        <v>14.2605653162668</v>
      </c>
      <c r="K7250" s="38" t="n">
        <f aca="false">Sens!$K$7217</f>
        <v>15.5327622460396</v>
      </c>
      <c r="L7250" s="38" t="n">
        <f aca="false">Sens!$L$7217</f>
        <v>16.720573737517</v>
      </c>
      <c r="M7250" s="38" t="n">
        <f aca="false">Sens!$M$7217</f>
        <v>17.8283127551536</v>
      </c>
    </row>
    <row r="7251" customFormat="false" ht="17.15" hidden="false" customHeight="false" outlineLevel="0" collapsed="false">
      <c r="A7251" s="1" t="s">
        <v>915</v>
      </c>
      <c r="B7251" s="8" t="s">
        <v>86</v>
      </c>
      <c r="H7251" s="38" t="n">
        <f aca="false">Sens!$H$7246+Sens!$H$7247-Sens!$H$7248-Sens!$H$7249+Sens!$H$7250</f>
        <v>-61.930265786314</v>
      </c>
      <c r="I7251" s="38" t="n">
        <f aca="false">Sens!$I$7246+Sens!$I$7247-Sens!$I$7248-Sens!$I$7249+Sens!$I$7250</f>
        <v>-15.9032029587969</v>
      </c>
      <c r="J7251" s="38" t="n">
        <f aca="false">Sens!$J$7246+Sens!$J$7247-Sens!$J$7248-Sens!$J$7249+Sens!$J$7250</f>
        <v>30.8423086017711</v>
      </c>
      <c r="K7251" s="38" t="n">
        <f aca="false">Sens!$K$7246+Sens!$K$7247-Sens!$K$7248-Sens!$K$7249+Sens!$K$7250</f>
        <v>131.312826823508</v>
      </c>
      <c r="L7251" s="38" t="n">
        <f aca="false">Sens!$L$7246+Sens!$L$7247-Sens!$L$7248-Sens!$L$7249+Sens!$L$7250</f>
        <v>187.945782264545</v>
      </c>
      <c r="M7251" s="38" t="n">
        <f aca="false">Sens!$M$7246+Sens!$M$7247-Sens!$M$7248-Sens!$M$7249+Sens!$M$7250</f>
        <v>210.536848990583</v>
      </c>
    </row>
    <row r="7252" customFormat="false" ht="15" hidden="false" customHeight="false" outlineLevel="0" collapsed="false">
      <c r="A7252" s="5" t="s">
        <v>916</v>
      </c>
      <c r="B7252" s="0" t="s">
        <v>57</v>
      </c>
      <c r="H7252" s="40" t="n">
        <f aca="false">1/(1+wacc)^(2027-2026-0.5)</f>
        <v>0.947751320380232</v>
      </c>
      <c r="I7252" s="40" t="n">
        <f aca="false">1/(1+wacc)^(2028-2026-0.5)</f>
        <v>0.851301099754987</v>
      </c>
      <c r="J7252" s="40" t="n">
        <f aca="false">1/(1+wacc)^(2029-2026-0.5)</f>
        <v>0.764666370660713</v>
      </c>
      <c r="K7252" s="40" t="n">
        <f aca="false">1/(1+wacc)^(2030-2026-0.5)</f>
        <v>0.686848235703811</v>
      </c>
      <c r="L7252" s="40" t="n">
        <f aca="false">1/(1+wacc)^(2031-2026-0.5)</f>
        <v>0.616949452715975</v>
      </c>
      <c r="M7252" s="40" t="n">
        <f aca="false">1/(1+wacc)^(2032-2026-0.5)</f>
        <v>0.554164089562688</v>
      </c>
    </row>
    <row r="7253" customFormat="false" ht="15" hidden="false" customHeight="false" outlineLevel="0" collapsed="false">
      <c r="A7253" s="5" t="s">
        <v>917</v>
      </c>
      <c r="B7253" s="0" t="s">
        <v>86</v>
      </c>
      <c r="H7253" s="38" t="n">
        <f aca="false">Sens!$H$7251*Sens!$H$7252</f>
        <v>-58.6944911704778</v>
      </c>
      <c r="I7253" s="38" t="n">
        <f aca="false">Sens!$I$7251*Sens!$I$7252</f>
        <v>-13.5384141684505</v>
      </c>
      <c r="J7253" s="38" t="n">
        <f aca="false">Sens!$J$7251*Sens!$J$7252</f>
        <v>23.584076181314</v>
      </c>
      <c r="K7253" s="38" t="n">
        <f aca="false">Sens!$K$7251*Sens!$K$7252</f>
        <v>90.1919834290062</v>
      </c>
      <c r="L7253" s="38" t="n">
        <f aca="false">Sens!$L$7251*Sens!$L$7252</f>
        <v>115.953047508387</v>
      </c>
      <c r="M7253" s="38" t="n">
        <f aca="false">Sens!$M$7251*Sens!$M$7252</f>
        <v>116.671961240264</v>
      </c>
    </row>
    <row r="7254" customFormat="false" ht="15" hidden="false" customHeight="false" outlineLevel="0" collapsed="false">
      <c r="A7254" s="5" t="s">
        <v>918</v>
      </c>
      <c r="B7254" s="0" t="s">
        <v>86</v>
      </c>
      <c r="C7254" s="38" t="n">
        <f aca="false">SUM(Sens!$H$7253:$M$7253)</f>
        <v>274.168163020043</v>
      </c>
    </row>
    <row r="7255" customFormat="false" ht="17.15" hidden="false" customHeight="false" outlineLevel="0" collapsed="false">
      <c r="A7255" s="5" t="s">
        <v>919</v>
      </c>
      <c r="B7255" s="0" t="s">
        <v>86</v>
      </c>
      <c r="C7255" s="38" t="n">
        <f aca="false">Sens!$M$7246*(1+tg)*(1-tg/ronic)/(wacc-tg)</f>
        <v>1932.73757828664</v>
      </c>
    </row>
    <row r="7256" customFormat="false" ht="15" hidden="false" customHeight="false" outlineLevel="0" collapsed="false">
      <c r="A7256" s="5" t="s">
        <v>920</v>
      </c>
      <c r="B7256" s="0" t="s">
        <v>86</v>
      </c>
      <c r="C7256" s="38" t="n">
        <f aca="false">Sens!$C$7255/(1+wacc)^6</f>
        <v>1015.09261565031</v>
      </c>
    </row>
    <row r="7257" customFormat="false" ht="17.15" hidden="false" customHeight="false" outlineLevel="0" collapsed="false">
      <c r="A7257" s="5" t="s">
        <v>921</v>
      </c>
      <c r="B7257" s="0" t="s">
        <v>86</v>
      </c>
      <c r="C7257" s="38" t="n">
        <f aca="false">Sens!$C$7254+Sens!$C$7256</f>
        <v>1289.26077867035</v>
      </c>
    </row>
    <row r="7258" customFormat="false" ht="17.15" hidden="false" customHeight="false" outlineLevel="0" collapsed="false">
      <c r="A7258" s="5" t="s">
        <v>922</v>
      </c>
      <c r="B7258" s="0" t="s">
        <v>52</v>
      </c>
      <c r="C7258" s="13" t="n">
        <f aca="false">Sens!$C$7256/Sens!$C$7257</f>
        <v>0.787344680334726</v>
      </c>
    </row>
    <row r="7259" customFormat="false" ht="17.15" hidden="false" customHeight="false" outlineLevel="0" collapsed="false">
      <c r="A7259" s="5" t="s">
        <v>923</v>
      </c>
      <c r="B7259" s="0" t="s">
        <v>86</v>
      </c>
      <c r="C7259" s="38" t="n">
        <f aca="false">Sens!$G$7235+fin_debt</f>
        <v>96.5114130116072</v>
      </c>
    </row>
    <row r="7260" customFormat="false" ht="17.15" hidden="false" customHeight="false" outlineLevel="0" collapsed="false">
      <c r="A7260" s="5" t="s">
        <v>924</v>
      </c>
      <c r="B7260" s="0" t="s">
        <v>86</v>
      </c>
      <c r="C7260" s="38" t="n">
        <f aca="false">(ant_val*ant_sh_lo+oai_val*oai_sh)*(1-liq_disc)</f>
        <v>155.784</v>
      </c>
    </row>
    <row r="7261" customFormat="false" ht="15" hidden="false" customHeight="false" outlineLevel="0" collapsed="false">
      <c r="A7261" s="5" t="s">
        <v>925</v>
      </c>
      <c r="B7261" s="0" t="s">
        <v>86</v>
      </c>
      <c r="C7261" s="38" t="n">
        <f aca="false">Sens!$C$7257-Sens!$C$7259+Sens!$C$7260</f>
        <v>1348.53336565874</v>
      </c>
    </row>
    <row r="7262" customFormat="false" ht="17.15" hidden="false" customHeight="false" outlineLevel="0" collapsed="false">
      <c r="A7262" s="5" t="s">
        <v>926</v>
      </c>
      <c r="B7262" s="0" t="s">
        <v>27</v>
      </c>
      <c r="C7262" s="30" t="n">
        <f aca="false">Sens!$C$7261/sh_out</f>
        <v>125.022631981485</v>
      </c>
    </row>
    <row r="7263" customFormat="false" ht="17.15" hidden="false" customHeight="false" outlineLevel="0" collapsed="false">
      <c r="A7263" s="1" t="s">
        <v>927</v>
      </c>
      <c r="B7263" s="8" t="s">
        <v>27</v>
      </c>
      <c r="C7263" s="30" t="n">
        <f aca="false">Sens!$C$7262*(1+ke)^tp_yf-dps*tp_yf</f>
        <v>136.945896176782</v>
      </c>
    </row>
    <row r="7264" customFormat="false" ht="17.15" hidden="false" customHeight="false" outlineLevel="0" collapsed="false">
      <c r="A7264" s="3" t="s">
        <v>928</v>
      </c>
    </row>
    <row r="7265" customFormat="false" ht="17.15" hidden="false" customHeight="false" outlineLevel="0" collapsed="false">
      <c r="A7265" s="5" t="s">
        <v>929</v>
      </c>
      <c r="B7265" s="0" t="s">
        <v>86</v>
      </c>
      <c r="C7265" s="38" t="n">
        <f aca="false">(1-tp_yf)*(Sens!$H$7192+Sens!$H$7216*Sens!$H$7058/Sens!$H$7133)+tp_yf*(Sens!$I$7192+Sens!$I$7216*Sens!$I$7058/Sens!$I$7133)</f>
        <v>59.634664536349</v>
      </c>
    </row>
    <row r="7266" customFormat="false" ht="15" hidden="false" customHeight="false" outlineLevel="0" collapsed="false">
      <c r="A7266" s="5" t="s">
        <v>930</v>
      </c>
      <c r="B7266" s="0" t="s">
        <v>57</v>
      </c>
      <c r="C7266" s="30" t="n">
        <f aca="false">m_ads*m_x</f>
        <v>9.11</v>
      </c>
    </row>
    <row r="7267" customFormat="false" ht="17.15" hidden="false" customHeight="false" outlineLevel="0" collapsed="false">
      <c r="A7267" s="5" t="s">
        <v>931</v>
      </c>
      <c r="B7267" s="0" t="s">
        <v>86</v>
      </c>
      <c r="C7267" s="38" t="n">
        <f aca="false">Sens!$C$7265*Sens!$C$7266</f>
        <v>543.271793926139</v>
      </c>
    </row>
    <row r="7268" customFormat="false" ht="17.15" hidden="false" customHeight="false" outlineLevel="0" collapsed="false">
      <c r="A7268" s="5" t="s">
        <v>932</v>
      </c>
      <c r="B7268" s="0" t="s">
        <v>86</v>
      </c>
      <c r="C7268" s="38" t="n">
        <f aca="false">(1-tp_yf)*(Sens!$H$7193+Sens!$H$7216*(Sens!$H$7065-Sens!$H$7058)/Sens!$H$7133+IF(internal_ai_reading=2,1,0)*(1-ext_sh)*Sens!$H$7095)+tp_yf*(Sens!$I$7193+Sens!$I$7216*(Sens!$I$7065-Sens!$I$7058)/Sens!$I$7133+IF(internal_ai_reading=2,1,0)*(1-ext_sh)*Sens!$I$7095)</f>
        <v>51.7770728324773</v>
      </c>
    </row>
    <row r="7269" customFormat="false" ht="17.15" hidden="false" customHeight="false" outlineLevel="0" collapsed="false">
      <c r="A7269" s="5" t="s">
        <v>933</v>
      </c>
      <c r="B7269" s="0" t="s">
        <v>57</v>
      </c>
      <c r="C7269" s="30" t="n">
        <f aca="false">m_retail*m_x</f>
        <v>17.72</v>
      </c>
    </row>
    <row r="7270" customFormat="false" ht="17.15" hidden="false" customHeight="false" outlineLevel="0" collapsed="false">
      <c r="A7270" s="5" t="s">
        <v>934</v>
      </c>
      <c r="B7270" s="0" t="s">
        <v>86</v>
      </c>
      <c r="C7270" s="38" t="n">
        <f aca="false">Sens!$C$7268*Sens!$C$7269</f>
        <v>917.489730591498</v>
      </c>
    </row>
    <row r="7271" customFormat="false" ht="17.15" hidden="false" customHeight="false" outlineLevel="0" collapsed="false">
      <c r="A7271" s="0" t="s">
        <v>935</v>
      </c>
      <c r="B7271" s="0" t="s">
        <v>86</v>
      </c>
      <c r="C7271" s="38" t="n">
        <f aca="false">(1-tp_yf)*(Sens!$H$7194+Sens!$H$7216*Sens!$H$7131/Sens!$H$7133)+tp_yf*(Sens!$I$7194+Sens!$I$7216*Sens!$I$7131/Sens!$I$7133)</f>
        <v>97.3363031479074</v>
      </c>
    </row>
    <row r="7272" customFormat="false" ht="17.15" hidden="false" customHeight="false" outlineLevel="0" collapsed="false">
      <c r="A7272" s="0" t="s">
        <v>936</v>
      </c>
      <c r="B7272" s="0" t="s">
        <v>57</v>
      </c>
      <c r="C7272" s="30" t="n">
        <f aca="false">m_cloud*m_x</f>
        <v>13.82</v>
      </c>
    </row>
    <row r="7273" customFormat="false" ht="17.15" hidden="false" customHeight="false" outlineLevel="0" collapsed="false">
      <c r="A7273" s="0" t="s">
        <v>937</v>
      </c>
      <c r="B7273" s="0" t="s">
        <v>86</v>
      </c>
      <c r="C7273" s="38" t="n">
        <f aca="false">Sens!$C$7271*Sens!$C$7272</f>
        <v>1345.18770950408</v>
      </c>
    </row>
    <row r="7274" customFormat="false" ht="17.15" hidden="false" customHeight="false" outlineLevel="0" collapsed="false">
      <c r="A7274" s="0" t="s">
        <v>938</v>
      </c>
      <c r="B7274" s="0" t="s">
        <v>86</v>
      </c>
      <c r="H7274" s="38" t="n">
        <f aca="false">Sens!$H$7112-tax*Sens!$H$7113-ext_sh*Sens!$H$7102</f>
        <v>-114.686944664267</v>
      </c>
      <c r="I7274" s="38" t="n">
        <f aca="false">Sens!$I$7112-tax*Sens!$I$7113-ext_sh*Sens!$I$7102</f>
        <v>-88.3950641557111</v>
      </c>
      <c r="J7274" s="38" t="n">
        <f aca="false">Sens!$J$7112-tax*Sens!$J$7113-ext_sh*Sens!$J$7102</f>
        <v>-61.1526151740695</v>
      </c>
      <c r="K7274" s="38" t="n">
        <f aca="false">Sens!$K$7112-tax*Sens!$K$7113-ext_sh*Sens!$K$7102</f>
        <v>10.057774712684</v>
      </c>
      <c r="L7274" s="38" t="n">
        <f aca="false">Sens!$L$7112-tax*Sens!$L$7113-ext_sh*Sens!$L$7102</f>
        <v>46.6587675560356</v>
      </c>
      <c r="M7274" s="38" t="n">
        <f aca="false">Sens!$M$7112-tax*Sens!$M$7113-ext_sh*Sens!$M$7102</f>
        <v>55.3915455321129</v>
      </c>
    </row>
    <row r="7275" customFormat="false" ht="17.15" hidden="false" customHeight="false" outlineLevel="0" collapsed="false">
      <c r="A7275" s="5" t="s">
        <v>939</v>
      </c>
      <c r="B7275" s="0" t="s">
        <v>86</v>
      </c>
      <c r="H7275" s="38" t="n">
        <f aca="false">Sens!$H$7274*Sens!$H$7252</f>
        <v>-108.694703235934</v>
      </c>
      <c r="I7275" s="38" t="n">
        <f aca="false">Sens!$I$7274*Sens!$I$7252</f>
        <v>-75.2508153286695</v>
      </c>
      <c r="J7275" s="38" t="n">
        <f aca="false">Sens!$J$7274*Sens!$J$7252</f>
        <v>-46.761348301567</v>
      </c>
      <c r="K7275" s="38" t="n">
        <f aca="false">Sens!$K$7274*Sens!$K$7252</f>
        <v>6.90816481651338</v>
      </c>
      <c r="L7275" s="38" t="n">
        <f aca="false">Sens!$L$7274*Sens!$L$7252</f>
        <v>28.7861011080981</v>
      </c>
      <c r="M7275" s="38" t="n">
        <f aca="false">Sens!$M$7274*Sens!$M$7252</f>
        <v>30.6960053992735</v>
      </c>
    </row>
    <row r="7276" customFormat="false" ht="17.15" hidden="false" customHeight="false" outlineLevel="0" collapsed="false">
      <c r="A7276" s="5" t="s">
        <v>940</v>
      </c>
      <c r="B7276" s="0" t="s">
        <v>86</v>
      </c>
      <c r="C7276" s="38" t="n">
        <f aca="false">Sens!$M$7113*(1-tax)*(1+tg)*(1-tg/ronic)/(wacc-tg)</f>
        <v>363.621782500497</v>
      </c>
    </row>
    <row r="7277" customFormat="false" ht="17.15" hidden="false" customHeight="false" outlineLevel="0" collapsed="false">
      <c r="A7277" s="0" t="s">
        <v>941</v>
      </c>
      <c r="B7277" s="0" t="s">
        <v>86</v>
      </c>
      <c r="C7277" s="38" t="n">
        <f aca="false">(SUM(Sens!$H$7275:$M$7275)+Sens!$C$7276/(1+wacc)^6)*(1+wacc)^tp_yf</f>
        <v>29.1198269558345</v>
      </c>
    </row>
    <row r="7278" customFormat="false" ht="17.15" hidden="false" customHeight="false" outlineLevel="0" collapsed="false">
      <c r="A7278" s="5" t="s">
        <v>942</v>
      </c>
      <c r="B7278" s="0" t="s">
        <v>86</v>
      </c>
      <c r="C7278" s="38" t="n">
        <f aca="false">(1-tp_yf)*(Sens!$H$7195)+tp_yf*(Sens!$I$7195)</f>
        <v>74.6707041238437</v>
      </c>
    </row>
    <row r="7279" customFormat="false" ht="17.15" hidden="false" customHeight="false" outlineLevel="0" collapsed="false">
      <c r="A7279" s="5" t="s">
        <v>943</v>
      </c>
      <c r="B7279" s="0" t="s">
        <v>86</v>
      </c>
      <c r="C7279" s="38" t="n">
        <f aca="false">Sens!$C$7278*m_ai</f>
        <v>448.024224743062</v>
      </c>
    </row>
    <row r="7280" customFormat="false" ht="17.15" hidden="false" customHeight="false" outlineLevel="0" collapsed="false">
      <c r="A7280" s="0" t="s">
        <v>944</v>
      </c>
      <c r="B7280" s="0" t="s">
        <v>86</v>
      </c>
      <c r="C7280" s="38" t="n">
        <f aca="false">IF(ai_leg=1,Sens!$C$7277,Sens!$C$7279)</f>
        <v>29.1198269558345</v>
      </c>
    </row>
    <row r="7281" customFormat="false" ht="17.15" hidden="false" customHeight="false" outlineLevel="0" collapsed="false">
      <c r="A7281" s="5" t="s">
        <v>945</v>
      </c>
      <c r="B7281" s="0" t="s">
        <v>86</v>
      </c>
      <c r="C7281" s="38" t="n">
        <f aca="false">Sens!$C$7267+Sens!$C$7270+Sens!$C$7273+Sens!$C$7280</f>
        <v>2835.06906097755</v>
      </c>
    </row>
    <row r="7282" customFormat="false" ht="17.15" hidden="false" customHeight="false" outlineLevel="0" collapsed="false">
      <c r="A7282" s="5" t="s">
        <v>946</v>
      </c>
      <c r="B7282" s="0" t="s">
        <v>86</v>
      </c>
      <c r="C7282" s="38" t="n">
        <f aca="false">Sens!$H$7235+fin_debt</f>
        <v>150.504277655109</v>
      </c>
    </row>
    <row r="7283" customFormat="false" ht="15" hidden="false" customHeight="false" outlineLevel="0" collapsed="false">
      <c r="A7283" s="5" t="s">
        <v>947</v>
      </c>
      <c r="B7283" s="0" t="s">
        <v>86</v>
      </c>
      <c r="C7283" s="38" t="n">
        <f aca="false">Sens!$C$7281-Sens!$C$7282+Sens!$C$7260</f>
        <v>2840.34878332244</v>
      </c>
    </row>
    <row r="7284" customFormat="false" ht="15" hidden="false" customHeight="false" outlineLevel="0" collapsed="false">
      <c r="A7284" s="3" t="s">
        <v>948</v>
      </c>
      <c r="B7284" s="8" t="s">
        <v>27</v>
      </c>
      <c r="C7284" s="30" t="n">
        <f aca="false">Sens!$C$7283/sh_val</f>
        <v>257.503891849538</v>
      </c>
    </row>
    <row r="7285" customFormat="false" ht="17.15" hidden="false" customHeight="false" outlineLevel="0" collapsed="false">
      <c r="A7285" s="47" t="s">
        <v>949</v>
      </c>
      <c r="B7285" s="14" t="s">
        <v>27</v>
      </c>
      <c r="C7285" s="44" t="n">
        <f aca="false">w_dcf*Sens!$C$7263+(1-w_dcf)*Sens!$C$7284</f>
        <v>197.22489401316</v>
      </c>
      <c r="D7285" s="14"/>
      <c r="E7285" s="14"/>
      <c r="F7285" s="14"/>
      <c r="G7285" s="14"/>
      <c r="H7285" s="14"/>
      <c r="I7285" s="14"/>
      <c r="J7285" s="14"/>
      <c r="K7285" s="14"/>
      <c r="L7285" s="14"/>
      <c r="M7285" s="14"/>
      <c r="N7285" s="14"/>
      <c r="O7285" s="14"/>
    </row>
    <row r="7286" customFormat="false" ht="17.15" hidden="false" customHeight="false" outlineLevel="0" collapsed="false">
      <c r="A7286" s="5" t="s">
        <v>950</v>
      </c>
      <c r="B7286" s="0" t="s">
        <v>27</v>
      </c>
      <c r="C7286" s="30" t="n">
        <f aca="false">v022_wdcf*Sens!$C$7263+(1-v022_wdcf)*Sens!$C$7284</f>
        <v>203.252793796798</v>
      </c>
    </row>
    <row r="7287" customFormat="false" ht="17.15" hidden="false" customHeight="false" outlineLevel="0" collapsed="false">
      <c r="A7287" s="5" t="s">
        <v>951</v>
      </c>
      <c r="B7287" s="0" t="s">
        <v>27</v>
      </c>
      <c r="C7287" s="30" t="n">
        <f aca="false">(Sens!$C$7283-Sens!$C$7280+Sens!$C$7279)/sh_val</f>
        <v>295.481450583335</v>
      </c>
    </row>
    <row r="7290" customFormat="false" ht="19.4" hidden="false" customHeight="false" outlineLevel="0" collapsed="false">
      <c r="A7290" s="31" t="s">
        <v>1277</v>
      </c>
    </row>
    <row r="7291" customFormat="false" ht="17.15" hidden="false" customHeight="false" outlineLevel="0" collapsed="false">
      <c r="A7291" s="6" t="s">
        <v>16</v>
      </c>
      <c r="B7291" s="6" t="s">
        <v>17</v>
      </c>
      <c r="C7291" s="20" t="s">
        <v>494</v>
      </c>
      <c r="D7291" s="20" t="s">
        <v>495</v>
      </c>
      <c r="E7291" s="20" t="s">
        <v>577</v>
      </c>
      <c r="F7291" s="20" t="s">
        <v>578</v>
      </c>
      <c r="G7291" s="20" t="s">
        <v>579</v>
      </c>
      <c r="H7291" s="20" t="s">
        <v>580</v>
      </c>
      <c r="I7291" s="20" t="s">
        <v>581</v>
      </c>
      <c r="J7291" s="20" t="s">
        <v>582</v>
      </c>
      <c r="K7291" s="20" t="s">
        <v>583</v>
      </c>
      <c r="L7291" s="20" t="s">
        <v>584</v>
      </c>
      <c r="M7291" s="20" t="s">
        <v>585</v>
      </c>
      <c r="N7291" s="20" t="s">
        <v>586</v>
      </c>
      <c r="O7291" s="20" t="s">
        <v>587</v>
      </c>
      <c r="P7291" s="6" t="s">
        <v>23</v>
      </c>
      <c r="R7291" s="20" t="n">
        <v>2023</v>
      </c>
      <c r="S7291" s="20" t="n">
        <v>2024</v>
      </c>
      <c r="T7291" s="20" t="n">
        <v>2025</v>
      </c>
      <c r="U7291" s="20" t="n">
        <v>2026</v>
      </c>
      <c r="V7291" s="20" t="n">
        <v>2027</v>
      </c>
      <c r="W7291" s="20" t="n">
        <v>2028</v>
      </c>
      <c r="X7291" s="20" t="n">
        <v>2029</v>
      </c>
      <c r="Y7291" s="20" t="n">
        <v>2030</v>
      </c>
      <c r="Z7291" s="20" t="n">
        <v>2031</v>
      </c>
      <c r="AA7291" s="20" t="n">
        <v>2032</v>
      </c>
    </row>
    <row r="7292" customFormat="false" ht="17.15" hidden="false" customHeight="false" outlineLevel="0" collapsed="false">
      <c r="A7292" s="1" t="s">
        <v>660</v>
      </c>
    </row>
    <row r="7293" customFormat="false" ht="17.15" hidden="false" customHeight="false" outlineLevel="0" collapsed="false">
      <c r="A7293" s="0" t="s">
        <v>516</v>
      </c>
      <c r="B7293" s="0" t="s">
        <v>86</v>
      </c>
      <c r="C7293" s="38" t="n">
        <f aca="false">Q!$D$10</f>
        <v>247.029</v>
      </c>
      <c r="D7293" s="38" t="n">
        <f aca="false">Q!$E$10</f>
        <v>269.287</v>
      </c>
      <c r="E7293" s="38" t="n">
        <f aca="false">Q!$P$10</f>
        <v>134.686</v>
      </c>
      <c r="F7293" s="38" t="n">
        <f aca="false">Sens!$O$7293*(1+Sens!$F$7294)*Sens!$F$7305</f>
        <v>158.293876822267</v>
      </c>
      <c r="G7293" s="38" t="n">
        <f aca="false">Sens!$E$7293+Sens!$F$7293</f>
        <v>292.979876822267</v>
      </c>
      <c r="H7293" s="38" t="n">
        <f aca="false">Sens!$G$7293*(1+Sens!$H$7294)</f>
        <v>318.184543087396</v>
      </c>
      <c r="I7293" s="38" t="n">
        <f aca="false">Sens!$H$7293*(1+Sens!$I$7294)</f>
        <v>341.736278761793</v>
      </c>
      <c r="J7293" s="38" t="n">
        <f aca="false">Sens!$I$7293*(1+Sens!$J$7294)</f>
        <v>362.927192787048</v>
      </c>
      <c r="K7293" s="38" t="n">
        <f aca="false">Sens!$J$7293*(1+Sens!$K$7294)</f>
        <v>381.0735524264</v>
      </c>
      <c r="L7293" s="38" t="n">
        <f aca="false">Sens!$K$7293*(1+Sens!$L$7294)</f>
        <v>400.12723004772</v>
      </c>
      <c r="M7293" s="38" t="n">
        <f aca="false">Sens!$L$7293*(1+Sens!$M$7294)</f>
        <v>420.133591550106</v>
      </c>
      <c r="N7293" s="38" t="n">
        <f aca="false">Q!$N$10</f>
        <v>118.892</v>
      </c>
      <c r="O7293" s="38" t="n">
        <f aca="false">Q!$O$10</f>
        <v>150.395</v>
      </c>
      <c r="P7293" s="8" t="s">
        <v>661</v>
      </c>
    </row>
    <row r="7294" customFormat="false" ht="17.15" hidden="false" customHeight="false" outlineLevel="0" collapsed="false">
      <c r="A7294" s="0" t="s">
        <v>662</v>
      </c>
      <c r="B7294" s="0" t="s">
        <v>52</v>
      </c>
      <c r="E7294" s="13" t="n">
        <f aca="false">Sens!$E$7293/Sens!$N$7293-1</f>
        <v>0.132843252699929</v>
      </c>
      <c r="F7294" s="13" t="n">
        <f aca="false">Sens!$O$7293/(Q!$F$10+Q!$G$10)-1</f>
        <v>0.0980382135842941</v>
      </c>
      <c r="G7294" s="13" t="n">
        <f aca="false">Sens!$G$7293/Sens!$D$7293-1</f>
        <v>0.0879837378791657</v>
      </c>
      <c r="H7294" s="13" t="n">
        <f aca="false">Sens!$F$7294+(g_os-Sens!$F$7294)*1/4</f>
        <v>0.0860286601882206</v>
      </c>
      <c r="I7294" s="13" t="n">
        <f aca="false">Sens!$F$7294+(g_os-Sens!$F$7294)*2/4</f>
        <v>0.074019106792147</v>
      </c>
      <c r="J7294" s="13" t="n">
        <f aca="false">Sens!$F$7294+(g_os-Sens!$F$7294)*3/4</f>
        <v>0.0620095533960735</v>
      </c>
      <c r="K7294" s="13" t="n">
        <f aca="false">Sens!$F$7294+(g_os-Sens!$F$7294)*4/4</f>
        <v>0.05</v>
      </c>
      <c r="L7294" s="13" t="n">
        <f aca="false">g_os</f>
        <v>0.05</v>
      </c>
      <c r="M7294" s="13" t="n">
        <f aca="false">g_os</f>
        <v>0.05</v>
      </c>
      <c r="P7294" s="8" t="s">
        <v>663</v>
      </c>
    </row>
    <row r="7295" customFormat="false" ht="17.15" hidden="false" customHeight="false" outlineLevel="0" collapsed="false">
      <c r="A7295" s="0" t="s">
        <v>517</v>
      </c>
      <c r="B7295" s="0" t="s">
        <v>86</v>
      </c>
      <c r="C7295" s="38" t="n">
        <f aca="false">Q!$D$11</f>
        <v>21.215</v>
      </c>
      <c r="D7295" s="38" t="n">
        <f aca="false">Q!$E$11</f>
        <v>22.561</v>
      </c>
      <c r="E7295" s="38" t="n">
        <f aca="false">Q!$P$11</f>
        <v>11.579</v>
      </c>
      <c r="F7295" s="38" t="n">
        <f aca="false">Sens!$O$7295*(1+Sens!$F$7296)*Sens!$F$7305</f>
        <v>11.5938724610325</v>
      </c>
      <c r="G7295" s="38" t="n">
        <f aca="false">Sens!$E$7295+Sens!$F$7295</f>
        <v>23.1728724610325</v>
      </c>
      <c r="H7295" s="38" t="n">
        <f aca="false">Sens!$G$7295*(1+Sens!$H$7296)</f>
        <v>24.353392759506</v>
      </c>
      <c r="I7295" s="38" t="n">
        <f aca="false">Sens!$H$7295*(1+Sens!$I$7296)</f>
        <v>25.4240338872015</v>
      </c>
      <c r="J7295" s="38" t="n">
        <f aca="false">Sens!$I$7295*(1+Sens!$J$7296)</f>
        <v>26.3642491017174</v>
      </c>
      <c r="K7295" s="38" t="n">
        <f aca="false">Sens!$J$7295*(1+Sens!$K$7296)</f>
        <v>27.155176574769</v>
      </c>
      <c r="L7295" s="38" t="n">
        <f aca="false">Sens!$K$7295*(1+Sens!$L$7296)</f>
        <v>27.969831872012</v>
      </c>
      <c r="M7295" s="38" t="n">
        <f aca="false">Sens!$L$7295*(1+Sens!$M$7296)</f>
        <v>28.8089268281724</v>
      </c>
      <c r="N7295" s="38" t="n">
        <f aca="false">Q!$N$11</f>
        <v>11.128</v>
      </c>
      <c r="O7295" s="38" t="n">
        <f aca="false">Q!$O$11</f>
        <v>11.433</v>
      </c>
      <c r="P7295" s="8" t="s">
        <v>661</v>
      </c>
    </row>
    <row r="7296" customFormat="false" ht="17.15" hidden="false" customHeight="false" outlineLevel="0" collapsed="false">
      <c r="A7296" s="0" t="s">
        <v>664</v>
      </c>
      <c r="B7296" s="0" t="s">
        <v>52</v>
      </c>
      <c r="E7296" s="13" t="n">
        <f aca="false">Sens!$E$7295/Sens!$N$7295-1</f>
        <v>0.0405283968368082</v>
      </c>
      <c r="F7296" s="13" t="n">
        <f aca="false">Sens!$O$7295/(Q!$F$11+Q!$G$11)-1</f>
        <v>0.0579254187100955</v>
      </c>
      <c r="G7296" s="13" t="n">
        <f aca="false">Sens!$G$7295/Sens!$D$7295-1</f>
        <v>0.0271208040881397</v>
      </c>
      <c r="H7296" s="13" t="n">
        <f aca="false">Sens!$F$7296+(g_ps-Sens!$F$7296)*1/4</f>
        <v>0.0509440640325716</v>
      </c>
      <c r="I7296" s="13" t="n">
        <f aca="false">Sens!$F$7296+(g_ps-Sens!$F$7296)*2/4</f>
        <v>0.0439627093550477</v>
      </c>
      <c r="J7296" s="13" t="n">
        <f aca="false">Sens!$F$7296+(g_ps-Sens!$F$7296)*3/4</f>
        <v>0.0369813546775239</v>
      </c>
      <c r="K7296" s="13" t="n">
        <f aca="false">Sens!$F$7296+(g_ps-Sens!$F$7296)*4/4</f>
        <v>0.03</v>
      </c>
      <c r="L7296" s="13" t="n">
        <f aca="false">g_ps</f>
        <v>0.03</v>
      </c>
      <c r="M7296" s="13" t="n">
        <f aca="false">g_ps</f>
        <v>0.03</v>
      </c>
      <c r="P7296" s="8" t="s">
        <v>665</v>
      </c>
    </row>
    <row r="7297" customFormat="false" ht="17.15" hidden="false" customHeight="false" outlineLevel="0" collapsed="false">
      <c r="A7297" s="0" t="s">
        <v>518</v>
      </c>
      <c r="B7297" s="0" t="s">
        <v>86</v>
      </c>
      <c r="C7297" s="38" t="n">
        <f aca="false">Q!$D$12</f>
        <v>156.146</v>
      </c>
      <c r="D7297" s="38" t="n">
        <f aca="false">Q!$E$12</f>
        <v>172.162</v>
      </c>
      <c r="E7297" s="38" t="n">
        <f aca="false">Q!$P$12</f>
        <v>88.358</v>
      </c>
      <c r="F7297" s="38" t="n">
        <f aca="false">Sens!$O$7297*(1+Sens!$F$7298)*Sens!$F$7305</f>
        <v>102.004388260171</v>
      </c>
      <c r="G7297" s="38" t="n">
        <f aca="false">Sens!$E$7297+Sens!$F$7297</f>
        <v>190.362388260171</v>
      </c>
      <c r="H7297" s="38" t="n">
        <f aca="false">Sens!$G$7297*(1+Sens!$H$7298)</f>
        <v>210.343106588311</v>
      </c>
      <c r="I7297" s="38" t="n">
        <f aca="false">Sens!$H$7297*(1+Sens!$I$7298)</f>
        <v>229.969728494648</v>
      </c>
      <c r="J7297" s="38" t="n">
        <f aca="false">Sens!$I$7297*(1+Sens!$J$7298)</f>
        <v>248.747636972598</v>
      </c>
      <c r="K7297" s="38" t="n">
        <f aca="false">Sens!$J$7297*(1+Sens!$K$7298)</f>
        <v>266.15997156068</v>
      </c>
      <c r="L7297" s="38" t="n">
        <f aca="false">Sens!$K$7297*(1+Sens!$L$7298)</f>
        <v>284.791169569927</v>
      </c>
      <c r="M7297" s="38" t="n">
        <f aca="false">Sens!$L$7297*(1+Sens!$M$7298)</f>
        <v>304.726551439822</v>
      </c>
      <c r="N7297" s="38" t="n">
        <f aca="false">Q!$N$12</f>
        <v>76.86</v>
      </c>
      <c r="O7297" s="38" t="n">
        <f aca="false">Q!$O$12</f>
        <v>95.302</v>
      </c>
      <c r="P7297" s="8" t="s">
        <v>661</v>
      </c>
    </row>
    <row r="7298" customFormat="false" ht="17.15" hidden="false" customHeight="false" outlineLevel="0" collapsed="false">
      <c r="A7298" s="0" t="s">
        <v>666</v>
      </c>
      <c r="B7298" s="0" t="s">
        <v>52</v>
      </c>
      <c r="E7298" s="13" t="n">
        <f aca="false">Sens!$E$7297/Sens!$N$7297-1</f>
        <v>0.1495966692688</v>
      </c>
      <c r="F7298" s="13" t="n">
        <f aca="false">Sens!$O$7297/(Q!$F$12+Q!$G$12)-1</f>
        <v>0.11661530890813</v>
      </c>
      <c r="G7298" s="13" t="n">
        <f aca="false">Sens!$G$7297/Sens!$D$7297-1</f>
        <v>0.105716640490767</v>
      </c>
      <c r="H7298" s="13" t="n">
        <f aca="false">Sens!$F$7298+(g_sp-Sens!$F$7298)*1/4</f>
        <v>0.104961481681098</v>
      </c>
      <c r="I7298" s="13" t="n">
        <f aca="false">Sens!$F$7298+(g_sp-Sens!$F$7298)*2/4</f>
        <v>0.0933076544540651</v>
      </c>
      <c r="J7298" s="13" t="n">
        <f aca="false">Sens!$F$7298+(g_sp-Sens!$F$7298)*3/4</f>
        <v>0.0816538272270325</v>
      </c>
      <c r="K7298" s="13" t="n">
        <f aca="false">Sens!$F$7298+(g_sp-Sens!$F$7298)*4/4</f>
        <v>0.07</v>
      </c>
      <c r="L7298" s="13" t="n">
        <f aca="false">g_sp</f>
        <v>0.07</v>
      </c>
      <c r="M7298" s="13" t="n">
        <f aca="false">g_sp</f>
        <v>0.07</v>
      </c>
      <c r="P7298" s="8" t="s">
        <v>667</v>
      </c>
    </row>
    <row r="7299" customFormat="false" ht="17.15" hidden="false" customHeight="false" outlineLevel="0" collapsed="false">
      <c r="A7299" s="0" t="s">
        <v>519</v>
      </c>
      <c r="B7299" s="0" t="s">
        <v>86</v>
      </c>
      <c r="C7299" s="38" t="n">
        <f aca="false">Q!$D$13</f>
        <v>56.214</v>
      </c>
      <c r="D7299" s="38" t="n">
        <f aca="false">Q!$E$13</f>
        <v>68.635</v>
      </c>
      <c r="E7299" s="38" t="n">
        <f aca="false">Q!$P$13</f>
        <v>37.052</v>
      </c>
      <c r="F7299" s="38" t="n">
        <f aca="false">Sens!$O$7299*(1+Sens!$F$7300)*Sens!$F$7305</f>
        <v>46.1572219944148</v>
      </c>
      <c r="G7299" s="38" t="n">
        <f aca="false">Sens!$E$7299+Sens!$F$7299</f>
        <v>83.2092219944148</v>
      </c>
      <c r="H7299" s="38" t="n">
        <f aca="false">Sens!$G$7299*(1+Sens!$H$7300)</f>
        <v>99.8969223878976</v>
      </c>
      <c r="I7299" s="38" t="n">
        <f aca="false">Sens!$H$7299*(1+Sens!$I$7300)</f>
        <v>116.583111095496</v>
      </c>
      <c r="J7299" s="38" t="n">
        <f aca="false">Sens!$I$7299*(1+Sens!$J$7300)</f>
        <v>132.148941941952</v>
      </c>
      <c r="K7299" s="38" t="n">
        <f aca="false">Sens!$J$7299*(1+Sens!$K$7300)</f>
        <v>145.363836136147</v>
      </c>
      <c r="L7299" s="38" t="n">
        <f aca="false">Sens!$K$7299*(1+Sens!$L$7300)</f>
        <v>159.900219749762</v>
      </c>
      <c r="M7299" s="38" t="n">
        <f aca="false">Sens!$L$7299*(1+Sens!$M$7300)</f>
        <v>175.890241724738</v>
      </c>
      <c r="N7299" s="38" t="n">
        <f aca="false">Q!$N$13</f>
        <v>29.615</v>
      </c>
      <c r="O7299" s="38" t="n">
        <f aca="false">Q!$O$13</f>
        <v>39.02</v>
      </c>
      <c r="P7299" s="8" t="s">
        <v>661</v>
      </c>
    </row>
    <row r="7300" customFormat="false" ht="17.15" hidden="false" customHeight="false" outlineLevel="0" collapsed="false">
      <c r="A7300" s="0" t="s">
        <v>668</v>
      </c>
      <c r="B7300" s="0" t="s">
        <v>52</v>
      </c>
      <c r="E7300" s="13" t="n">
        <f aca="false">Sens!$E$7299/Sens!$N$7299-1</f>
        <v>0.25112274185379</v>
      </c>
      <c r="F7300" s="13" t="n">
        <f aca="false">Sens!$O$7299/(Q!$F$13+Q!$G$13)-1</f>
        <v>0.234068123596572</v>
      </c>
      <c r="G7300" s="13" t="n">
        <f aca="false">Sens!$G$7299/Sens!$D$7299-1</f>
        <v>0.212343876949294</v>
      </c>
      <c r="H7300" s="13" t="n">
        <f aca="false">Sens!$F$7300+(g_ad-Sens!$F$7300)*1/4</f>
        <v>0.200551092697429</v>
      </c>
      <c r="I7300" s="13" t="n">
        <f aca="false">Sens!$F$7300+(g_ad-Sens!$F$7300)*2/4</f>
        <v>0.167034061798286</v>
      </c>
      <c r="J7300" s="13" t="n">
        <f aca="false">Sens!$F$7300+(g_ad-Sens!$F$7300)*3/4</f>
        <v>0.133517030899143</v>
      </c>
      <c r="K7300" s="13" t="n">
        <f aca="false">Sens!$F$7300+(g_ad-Sens!$F$7300)*4/4</f>
        <v>0.1</v>
      </c>
      <c r="L7300" s="13" t="n">
        <f aca="false">g_ad</f>
        <v>0.1</v>
      </c>
      <c r="M7300" s="13" t="n">
        <f aca="false">g_ad</f>
        <v>0.1</v>
      </c>
      <c r="P7300" s="8" t="s">
        <v>669</v>
      </c>
    </row>
    <row r="7301" customFormat="false" ht="17.15" hidden="false" customHeight="false" outlineLevel="0" collapsed="false">
      <c r="A7301" s="0" t="s">
        <v>520</v>
      </c>
      <c r="B7301" s="0" t="s">
        <v>86</v>
      </c>
      <c r="C7301" s="38" t="n">
        <f aca="false">Q!$D$14</f>
        <v>44.374</v>
      </c>
      <c r="D7301" s="38" t="n">
        <f aca="false">Q!$E$14</f>
        <v>49.619</v>
      </c>
      <c r="E7301" s="38" t="n">
        <f aca="false">Q!$P$14</f>
        <v>27.157</v>
      </c>
      <c r="F7301" s="38" t="n">
        <f aca="false">Sens!$O$7301*(1+Sens!$F$7302)*Sens!$F$7305</f>
        <v>27.7764165988154</v>
      </c>
      <c r="G7301" s="38" t="n">
        <f aca="false">Sens!$E$7301+Sens!$F$7301</f>
        <v>54.9334165988154</v>
      </c>
      <c r="H7301" s="38" t="n">
        <f aca="false">Sens!$G$7301*(1+Sens!$H$7302)</f>
        <v>61.1564112561829</v>
      </c>
      <c r="I7301" s="38" t="n">
        <f aca="false">Sens!$H$7301*(1+Sens!$I$7302)</f>
        <v>67.2020282103945</v>
      </c>
      <c r="J7301" s="38" t="n">
        <f aca="false">Sens!$I$7301*(1+Sens!$J$7302)</f>
        <v>72.8757274028885</v>
      </c>
      <c r="K7301" s="38" t="n">
        <f aca="false">Sens!$J$7301*(1+Sens!$K$7302)</f>
        <v>77.9770283210907</v>
      </c>
      <c r="L7301" s="38" t="n">
        <f aca="false">Sens!$K$7301*(1+Sens!$L$7302)</f>
        <v>83.4354203035671</v>
      </c>
      <c r="M7301" s="38" t="n">
        <f aca="false">Sens!$L$7301*(1+Sens!$M$7302)</f>
        <v>89.2758997248168</v>
      </c>
      <c r="N7301" s="38" t="n">
        <f aca="false">Q!$N$14</f>
        <v>23.923</v>
      </c>
      <c r="O7301" s="38" t="n">
        <f aca="false">Q!$O$14</f>
        <v>25.696</v>
      </c>
      <c r="P7301" s="8" t="s">
        <v>661</v>
      </c>
    </row>
    <row r="7302" customFormat="false" ht="17.15" hidden="false" customHeight="false" outlineLevel="0" collapsed="false">
      <c r="A7302" s="0" t="s">
        <v>670</v>
      </c>
      <c r="B7302" s="0" t="s">
        <v>52</v>
      </c>
      <c r="E7302" s="13" t="n">
        <f aca="false">Sens!$E$7301/Sens!$N$7301-1</f>
        <v>0.135183714417088</v>
      </c>
      <c r="F7302" s="13" t="n">
        <f aca="false">Sens!$O$7301/(Q!$F$14+Q!$G$14)-1</f>
        <v>0.127709997366804</v>
      </c>
      <c r="G7302" s="13" t="n">
        <f aca="false">Sens!$G$7301/Sens!$D$7301-1</f>
        <v>0.107104468022641</v>
      </c>
      <c r="H7302" s="13" t="n">
        <f aca="false">Sens!$F$7302+(g_sub-Sens!$F$7302)*1/4</f>
        <v>0.113282498025103</v>
      </c>
      <c r="I7302" s="13" t="n">
        <f aca="false">Sens!$F$7302+(g_sub-Sens!$F$7302)*2/4</f>
        <v>0.0988549986834021</v>
      </c>
      <c r="J7302" s="13" t="n">
        <f aca="false">Sens!$F$7302+(g_sub-Sens!$F$7302)*3/4</f>
        <v>0.084427499341701</v>
      </c>
      <c r="K7302" s="13" t="n">
        <f aca="false">Sens!$F$7302+(g_sub-Sens!$F$7302)*4/4</f>
        <v>0.07</v>
      </c>
      <c r="L7302" s="13" t="n">
        <f aca="false">g_sub</f>
        <v>0.07</v>
      </c>
      <c r="M7302" s="13" t="n">
        <f aca="false">g_sub</f>
        <v>0.07</v>
      </c>
      <c r="P7302" s="8" t="s">
        <v>671</v>
      </c>
    </row>
    <row r="7303" customFormat="false" ht="17.15" hidden="false" customHeight="false" outlineLevel="0" collapsed="false">
      <c r="A7303" s="0" t="s">
        <v>521</v>
      </c>
      <c r="B7303" s="0" t="s">
        <v>86</v>
      </c>
      <c r="C7303" s="38" t="n">
        <f aca="false">Q!$D$15</f>
        <v>5.425</v>
      </c>
      <c r="D7303" s="38" t="n">
        <f aca="false">Q!$E$15</f>
        <v>5.935</v>
      </c>
      <c r="E7303" s="38" t="n">
        <f aca="false">Q!$P$15</f>
        <v>3.474</v>
      </c>
      <c r="F7303" s="38" t="n">
        <f aca="false">Sens!$O$7303*(1+Sens!$F$7304)*Sens!$F$7305</f>
        <v>3.22246550883619</v>
      </c>
      <c r="G7303" s="38" t="n">
        <f aca="false">Sens!$E$7303+Sens!$F$7303</f>
        <v>6.69646550883619</v>
      </c>
      <c r="H7303" s="38" t="n">
        <f aca="false">Sens!$G$7303*(1+Sens!$H$7304)</f>
        <v>7.16251344209196</v>
      </c>
      <c r="I7303" s="38" t="n">
        <f aca="false">Sens!$H$7303*(1+Sens!$I$7304)</f>
        <v>7.61421070299826</v>
      </c>
      <c r="J7303" s="38" t="n">
        <f aca="false">Sens!$I$7303*(1+Sens!$J$7304)</f>
        <v>8.04465753523932</v>
      </c>
      <c r="K7303" s="38" t="n">
        <f aca="false">Sens!$J$7303*(1+Sens!$K$7304)</f>
        <v>8.44689041200128</v>
      </c>
      <c r="L7303" s="38" t="n">
        <f aca="false">Sens!$K$7303*(1+Sens!$L$7304)</f>
        <v>8.86923493260135</v>
      </c>
      <c r="M7303" s="38" t="n">
        <f aca="false">Sens!$L$7303*(1+Sens!$M$7304)</f>
        <v>9.31269667923142</v>
      </c>
      <c r="N7303" s="38" t="n">
        <f aca="false">Q!$N$15</f>
        <v>2.811</v>
      </c>
      <c r="O7303" s="38" t="n">
        <f aca="false">Q!$O$15</f>
        <v>3.124</v>
      </c>
      <c r="P7303" s="8" t="s">
        <v>661</v>
      </c>
    </row>
    <row r="7304" customFormat="false" ht="17.15" hidden="false" customHeight="false" outlineLevel="0" collapsed="false">
      <c r="A7304" s="0" t="s">
        <v>672</v>
      </c>
      <c r="B7304" s="0" t="s">
        <v>52</v>
      </c>
      <c r="E7304" s="13" t="n">
        <f aca="false">Sens!$E$7303/Sens!$N$7303-1</f>
        <v>0.235859124866596</v>
      </c>
      <c r="F7304" s="13" t="n">
        <f aca="false">Sens!$O$7303/(Q!$F$15+Q!$G$15)-1</f>
        <v>0.0761281433000345</v>
      </c>
      <c r="G7304" s="13" t="n">
        <f aca="false">Sens!$G$7303/Sens!$D$7303-1</f>
        <v>0.128300843948811</v>
      </c>
      <c r="H7304" s="13" t="n">
        <f aca="false">Sens!$F$7304+(g_ot-Sens!$F$7304)*1/4</f>
        <v>0.0695961074750259</v>
      </c>
      <c r="I7304" s="13" t="n">
        <f aca="false">Sens!$F$7304+(g_ot-Sens!$F$7304)*2/4</f>
        <v>0.0630640716500172</v>
      </c>
      <c r="J7304" s="13" t="n">
        <f aca="false">Sens!$F$7304+(g_ot-Sens!$F$7304)*3/4</f>
        <v>0.0565320358250086</v>
      </c>
      <c r="K7304" s="13" t="n">
        <f aca="false">Sens!$F$7304+(g_ot-Sens!$F$7304)*4/4</f>
        <v>0.05</v>
      </c>
      <c r="L7304" s="13" t="n">
        <f aca="false">g_ot</f>
        <v>0.05</v>
      </c>
      <c r="M7304" s="13" t="n">
        <f aca="false">g_ot</f>
        <v>0.05</v>
      </c>
      <c r="P7304" s="8" t="s">
        <v>673</v>
      </c>
    </row>
    <row r="7305" customFormat="false" ht="17.15" hidden="false" customHeight="false" outlineLevel="0" collapsed="false">
      <c r="A7305" s="0" t="s">
        <v>674</v>
      </c>
      <c r="B7305" s="0" t="s">
        <v>57</v>
      </c>
      <c r="F7305" s="40" t="n">
        <f aca="false">(g26q3_mid*Q!$O$8/Q!$J$8-Sens!$F$7334-Sens!$F$7338)/(Sens!$O$7293*(1+Sens!$F$7294)+Sens!$O$7295*(1+Sens!$F$7296)+Sens!$O$7297*(1+Sens!$F$7298)+Sens!$O$7299*(1+Sens!$F$7300)+Sens!$O$7301*(1+Sens!$F$7302)+Sens!$O$7303*(1+Sens!$F$7304))</f>
        <v>0.958546670622329</v>
      </c>
      <c r="P7305" s="8" t="s">
        <v>675</v>
      </c>
    </row>
    <row r="7306" customFormat="false" ht="17.15" hidden="false" customHeight="false" outlineLevel="0" collapsed="false">
      <c r="A7306" s="3" t="s">
        <v>676</v>
      </c>
      <c r="B7306" s="8" t="s">
        <v>86</v>
      </c>
      <c r="C7306" s="38" t="n">
        <f aca="false">Sens!$C$7293+Sens!$C$7295+Sens!$C$7297+Sens!$C$7299+Sens!$C$7301+Sens!$C$7303</f>
        <v>530.403</v>
      </c>
      <c r="D7306" s="38" t="n">
        <f aca="false">Sens!$D$7293+Sens!$D$7295+Sens!$D$7297+Sens!$D$7299+Sens!$D$7301+Sens!$D$7303</f>
        <v>588.199</v>
      </c>
      <c r="E7306" s="38" t="n">
        <f aca="false">Sens!$E$7293+Sens!$E$7295+Sens!$E$7297+Sens!$E$7299+Sens!$E$7301+Sens!$E$7303</f>
        <v>302.306</v>
      </c>
      <c r="F7306" s="38" t="n">
        <f aca="false">Sens!$F$7293+Sens!$F$7295+Sens!$F$7297+Sens!$F$7299+Sens!$F$7301+Sens!$F$7303</f>
        <v>349.048241645537</v>
      </c>
      <c r="G7306" s="38" t="n">
        <f aca="false">Sens!$G$7293+Sens!$G$7295+Sens!$G$7297+Sens!$G$7299+Sens!$G$7301+Sens!$G$7303</f>
        <v>651.354241645537</v>
      </c>
      <c r="H7306" s="38" t="n">
        <f aca="false">Sens!$H$7293+Sens!$H$7295+Sens!$H$7297+Sens!$H$7299+Sens!$H$7301+Sens!$H$7303</f>
        <v>721.096889521386</v>
      </c>
      <c r="I7306" s="38" t="n">
        <f aca="false">Sens!$I$7293+Sens!$I$7295+Sens!$I$7297+Sens!$I$7299+Sens!$I$7301+Sens!$I$7303</f>
        <v>788.529391152531</v>
      </c>
      <c r="J7306" s="38" t="n">
        <f aca="false">Sens!$J$7293+Sens!$J$7295+Sens!$J$7297+Sens!$J$7299+Sens!$J$7301+Sens!$J$7303</f>
        <v>851.108405741443</v>
      </c>
      <c r="K7306" s="38" t="n">
        <f aca="false">Sens!$K$7293+Sens!$K$7295+Sens!$K$7297+Sens!$K$7299+Sens!$K$7301+Sens!$K$7303</f>
        <v>906.176455431088</v>
      </c>
      <c r="L7306" s="38" t="n">
        <f aca="false">Sens!$L$7293+Sens!$L$7295+Sens!$L$7297+Sens!$L$7299+Sens!$L$7301+Sens!$L$7303</f>
        <v>965.093106475589</v>
      </c>
      <c r="M7306" s="38" t="n">
        <f aca="false">Sens!$M$7293+Sens!$M$7295+Sens!$M$7297+Sens!$M$7299+Sens!$M$7301+Sens!$M$7303</f>
        <v>1028.14790794689</v>
      </c>
      <c r="N7306" s="38" t="n">
        <f aca="false">Sens!$N$7293+Sens!$N$7295+Sens!$N$7297+Sens!$N$7299+Sens!$N$7301+Sens!$N$7303</f>
        <v>263.229</v>
      </c>
      <c r="O7306" s="38" t="n">
        <f aca="false">Sens!$O$7293+Sens!$O$7295+Sens!$O$7297+Sens!$O$7299+Sens!$O$7301+Sens!$O$7303</f>
        <v>324.97</v>
      </c>
    </row>
    <row r="7307" customFormat="false" ht="17.15" hidden="false" customHeight="false" outlineLevel="0" collapsed="false">
      <c r="A7307" s="5" t="s">
        <v>677</v>
      </c>
      <c r="B7307" s="0" t="s">
        <v>52</v>
      </c>
      <c r="C7307" s="13" t="n">
        <f aca="false">Q!$D$5/(Q!$D$5+Q!$D$6)</f>
        <v>0.730570905519011</v>
      </c>
      <c r="D7307" s="13" t="n">
        <f aca="false">Q!$E$5/(Q!$E$5+Q!$E$6)</f>
        <v>0.724763217890544</v>
      </c>
      <c r="E7307" s="13" t="n">
        <f aca="false">Q!$P$5/(Q!$P$5+Q!$P$6)</f>
        <v>0.728797972914861</v>
      </c>
      <c r="F7307" s="13" t="n">
        <f aca="false">Sens!$O$7307</f>
        <v>0.718066283041511</v>
      </c>
      <c r="G7307" s="13" t="n">
        <f aca="false">Sens!$G$7308/Sens!$G$7306</f>
        <v>0.723047066202847</v>
      </c>
      <c r="H7307" s="13" t="n">
        <f aca="false">Sens!$G$7307</f>
        <v>0.723047066202847</v>
      </c>
      <c r="I7307" s="13" t="n">
        <f aca="false">Sens!$G$7307</f>
        <v>0.723047066202847</v>
      </c>
      <c r="J7307" s="13" t="n">
        <f aca="false">Sens!$G$7307</f>
        <v>0.723047066202847</v>
      </c>
      <c r="K7307" s="13" t="n">
        <f aca="false">Sens!$G$7307</f>
        <v>0.723047066202847</v>
      </c>
      <c r="L7307" s="13" t="n">
        <f aca="false">Sens!$G$7307</f>
        <v>0.723047066202847</v>
      </c>
      <c r="M7307" s="13" t="n">
        <f aca="false">Sens!$G$7307</f>
        <v>0.723047066202847</v>
      </c>
      <c r="N7307" s="13" t="n">
        <f aca="false">Q!$N$5/(Q!$N$5+Q!$N$6)</f>
        <v>0.733030935041352</v>
      </c>
      <c r="O7307" s="13" t="n">
        <f aca="false">Q!$O$5/(Q!$O$5+Q!$O$6)</f>
        <v>0.718066283041511</v>
      </c>
      <c r="P7307" s="8" t="s">
        <v>678</v>
      </c>
    </row>
    <row r="7308" customFormat="false" ht="17.15" hidden="false" customHeight="false" outlineLevel="0" collapsed="false">
      <c r="A7308" s="1" t="s">
        <v>509</v>
      </c>
      <c r="B7308" s="8" t="s">
        <v>86</v>
      </c>
      <c r="C7308" s="38" t="n">
        <f aca="false">Q!$D$5</f>
        <v>387.497</v>
      </c>
      <c r="D7308" s="38" t="n">
        <f aca="false">Q!$E$5</f>
        <v>426.305</v>
      </c>
      <c r="E7308" s="38" t="n">
        <f aca="false">Q!$P$5</f>
        <v>220.32</v>
      </c>
      <c r="F7308" s="38" t="n">
        <f aca="false">Sens!$F$7306*Sens!$F$7307</f>
        <v>250.639773480586</v>
      </c>
      <c r="G7308" s="38" t="n">
        <f aca="false">Sens!$E$7308+Sens!$F$7308</f>
        <v>470.959773480586</v>
      </c>
      <c r="H7308" s="38" t="n">
        <f aca="false">Sens!$H$7306*Sens!$H$7307</f>
        <v>521.386990416437</v>
      </c>
      <c r="I7308" s="38" t="n">
        <f aca="false">Sens!$I$7306*Sens!$I$7307</f>
        <v>570.143862887555</v>
      </c>
      <c r="J7308" s="38" t="n">
        <f aca="false">Sens!$J$7306*Sens!$J$7307</f>
        <v>615.391435791933</v>
      </c>
      <c r="K7308" s="38" t="n">
        <f aca="false">Sens!$K$7306*Sens!$K$7307</f>
        <v>655.208227561543</v>
      </c>
      <c r="L7308" s="38" t="n">
        <f aca="false">Sens!$L$7306*Sens!$L$7307</f>
        <v>697.807739249767</v>
      </c>
      <c r="M7308" s="38" t="n">
        <f aca="false">Sens!$M$7306*Sens!$M$7307</f>
        <v>743.399328463592</v>
      </c>
      <c r="N7308" s="38" t="n">
        <f aca="false">Q!$N$5</f>
        <v>192.955</v>
      </c>
      <c r="O7308" s="38" t="n">
        <f aca="false">Q!$O$5</f>
        <v>233.35</v>
      </c>
      <c r="P7308" s="5" t="s">
        <v>679</v>
      </c>
    </row>
    <row r="7309" customFormat="false" ht="17.15" hidden="false" customHeight="false" outlineLevel="0" collapsed="false">
      <c r="A7309" s="1" t="s">
        <v>512</v>
      </c>
      <c r="B7309" s="8" t="s">
        <v>86</v>
      </c>
      <c r="C7309" s="38" t="n">
        <f aca="false">Q!$D$6</f>
        <v>142.906</v>
      </c>
      <c r="D7309" s="38" t="n">
        <f aca="false">Q!$E$6</f>
        <v>161.894</v>
      </c>
      <c r="E7309" s="38" t="n">
        <f aca="false">Q!$P$6</f>
        <v>81.986</v>
      </c>
      <c r="F7309" s="38" t="n">
        <f aca="false">Sens!$F$7306*(1-Sens!$F$7307)</f>
        <v>98.408468164951</v>
      </c>
      <c r="G7309" s="38" t="n">
        <f aca="false">Sens!$E$7309+Sens!$F$7309</f>
        <v>180.394468164951</v>
      </c>
      <c r="H7309" s="38" t="n">
        <f aca="false">Sens!$H$7306*(1-Sens!$H$7307)</f>
        <v>199.709899104949</v>
      </c>
      <c r="I7309" s="38" t="n">
        <f aca="false">Sens!$I$7306*(1-Sens!$I$7307)</f>
        <v>218.385528264976</v>
      </c>
      <c r="J7309" s="38" t="n">
        <f aca="false">Sens!$J$7306*(1-Sens!$J$7307)</f>
        <v>235.71696994951</v>
      </c>
      <c r="K7309" s="38" t="n">
        <f aca="false">Sens!$K$7306*(1-Sens!$K$7307)</f>
        <v>250.968227869545</v>
      </c>
      <c r="L7309" s="38" t="n">
        <f aca="false">Sens!$L$7306*(1-Sens!$L$7307)</f>
        <v>267.285367225822</v>
      </c>
      <c r="M7309" s="38" t="n">
        <f aca="false">Sens!$M$7306*(1-Sens!$M$7307)</f>
        <v>284.748579483295</v>
      </c>
      <c r="N7309" s="38" t="n">
        <f aca="false">Q!$N$6</f>
        <v>70.274</v>
      </c>
      <c r="O7309" s="38" t="n">
        <f aca="false">Q!$O$6</f>
        <v>91.62</v>
      </c>
      <c r="P7309" s="5" t="s">
        <v>680</v>
      </c>
    </row>
    <row r="7310" customFormat="false" ht="17.15" hidden="false" customHeight="false" outlineLevel="0" collapsed="false">
      <c r="A7310" s="5" t="s">
        <v>681</v>
      </c>
      <c r="B7310" s="0" t="s">
        <v>86</v>
      </c>
      <c r="C7310" s="38" t="n">
        <f aca="false">Sens!$C$7299*Sens!$C$7307</f>
        <v>41.0683128828457</v>
      </c>
      <c r="D7310" s="38" t="n">
        <f aca="false">Sens!$D$7299*Sens!$D$7307</f>
        <v>49.7441234599175</v>
      </c>
      <c r="E7310" s="38" t="n">
        <f aca="false">Sens!$E$7299*Sens!$E$7307</f>
        <v>27.0034224924414</v>
      </c>
      <c r="F7310" s="38" t="n">
        <f aca="false">Sens!$F$7299*Sens!$F$7307</f>
        <v>33.1439448330513</v>
      </c>
      <c r="G7310" s="38" t="n">
        <f aca="false">Sens!$G$7299*Sens!$G$7307</f>
        <v>60.164183844083</v>
      </c>
      <c r="H7310" s="38" t="n">
        <f aca="false">Sens!$H$7299*Sens!$H$7307</f>
        <v>72.2301766552629</v>
      </c>
      <c r="I7310" s="38" t="n">
        <f aca="false">Sens!$I$7299*Sens!$I$7307</f>
        <v>84.2950764463991</v>
      </c>
      <c r="J7310" s="38" t="n">
        <f aca="false">Sens!$J$7299*Sens!$J$7307</f>
        <v>95.5499047729386</v>
      </c>
      <c r="K7310" s="38" t="n">
        <f aca="false">Sens!$K$7299*Sens!$K$7307</f>
        <v>105.104895250232</v>
      </c>
      <c r="L7310" s="38" t="n">
        <f aca="false">Sens!$L$7299*Sens!$L$7307</f>
        <v>115.615384775256</v>
      </c>
      <c r="M7310" s="38" t="n">
        <f aca="false">Sens!$M$7299*Sens!$M$7307</f>
        <v>127.176923252781</v>
      </c>
      <c r="N7310" s="38" t="n">
        <f aca="false">Sens!$N$7299*Sens!$N$7307</f>
        <v>21.7087111412496</v>
      </c>
      <c r="O7310" s="38" t="n">
        <f aca="false">Sens!$O$7299*Sens!$O$7307</f>
        <v>28.0189463642798</v>
      </c>
      <c r="P7310" s="5" t="s">
        <v>682</v>
      </c>
    </row>
    <row r="7311" customFormat="false" ht="15" hidden="false" customHeight="false" outlineLevel="0" collapsed="false">
      <c r="A7311" s="5" t="s">
        <v>683</v>
      </c>
      <c r="B7311" s="0" t="s">
        <v>86</v>
      </c>
      <c r="C7311" s="38" t="n">
        <f aca="false">Sens!$C$7299-Sens!$C$7310</f>
        <v>15.1456871171543</v>
      </c>
      <c r="D7311" s="38" t="n">
        <f aca="false">Sens!$D$7299-Sens!$D$7310</f>
        <v>18.8908765400825</v>
      </c>
      <c r="E7311" s="38" t="n">
        <f aca="false">Sens!$E$7299-Sens!$E$7310</f>
        <v>10.0485775075586</v>
      </c>
      <c r="F7311" s="38" t="n">
        <f aca="false">Sens!$F$7299-Sens!$F$7310</f>
        <v>13.0132771613635</v>
      </c>
      <c r="G7311" s="38" t="n">
        <f aca="false">Sens!$G$7299-Sens!$G$7310</f>
        <v>23.0450381503318</v>
      </c>
      <c r="H7311" s="38" t="n">
        <f aca="false">Sens!$H$7299-Sens!$H$7310</f>
        <v>27.6667457326347</v>
      </c>
      <c r="I7311" s="38" t="n">
        <f aca="false">Sens!$I$7299-Sens!$I$7310</f>
        <v>32.2880346490971</v>
      </c>
      <c r="J7311" s="38" t="n">
        <f aca="false">Sens!$J$7299-Sens!$J$7310</f>
        <v>36.5990371690132</v>
      </c>
      <c r="K7311" s="38" t="n">
        <f aca="false">Sens!$K$7299-Sens!$K$7310</f>
        <v>40.2589408859145</v>
      </c>
      <c r="L7311" s="38" t="n">
        <f aca="false">Sens!$L$7299-Sens!$L$7310</f>
        <v>44.2848349745059</v>
      </c>
      <c r="M7311" s="38" t="n">
        <f aca="false">Sens!$M$7299-Sens!$M$7310</f>
        <v>48.7133184719565</v>
      </c>
      <c r="N7311" s="38" t="n">
        <f aca="false">Sens!$N$7299-Sens!$N$7310</f>
        <v>7.90628885875037</v>
      </c>
      <c r="O7311" s="38" t="n">
        <f aca="false">Sens!$O$7299-Sens!$O$7310</f>
        <v>11.0010536357202</v>
      </c>
    </row>
    <row r="7312" customFormat="false" ht="19.4" hidden="false" customHeight="false" outlineLevel="0" collapsed="false">
      <c r="A7312" s="31" t="s">
        <v>1278</v>
      </c>
    </row>
    <row r="7313" customFormat="false" ht="17.15" hidden="false" customHeight="false" outlineLevel="0" collapsed="false">
      <c r="A7313" s="6" t="s">
        <v>16</v>
      </c>
      <c r="B7313" s="6" t="s">
        <v>17</v>
      </c>
      <c r="C7313" s="20" t="s">
        <v>494</v>
      </c>
      <c r="D7313" s="20" t="s">
        <v>495</v>
      </c>
      <c r="E7313" s="20" t="s">
        <v>577</v>
      </c>
      <c r="F7313" s="20" t="s">
        <v>578</v>
      </c>
      <c r="G7313" s="20" t="s">
        <v>579</v>
      </c>
      <c r="H7313" s="20" t="s">
        <v>580</v>
      </c>
      <c r="I7313" s="20" t="s">
        <v>581</v>
      </c>
      <c r="J7313" s="20" t="s">
        <v>582</v>
      </c>
      <c r="K7313" s="20" t="s">
        <v>583</v>
      </c>
      <c r="L7313" s="20" t="s">
        <v>584</v>
      </c>
      <c r="M7313" s="20" t="s">
        <v>585</v>
      </c>
      <c r="N7313" s="20" t="s">
        <v>586</v>
      </c>
      <c r="O7313" s="20" t="s">
        <v>587</v>
      </c>
      <c r="P7313" s="6" t="s">
        <v>23</v>
      </c>
      <c r="R7313" s="20" t="n">
        <v>2023</v>
      </c>
      <c r="S7313" s="20" t="n">
        <v>2024</v>
      </c>
      <c r="T7313" s="20" t="n">
        <v>2025</v>
      </c>
      <c r="U7313" s="20" t="n">
        <v>2026</v>
      </c>
      <c r="V7313" s="20" t="n">
        <v>2027</v>
      </c>
      <c r="W7313" s="20" t="n">
        <v>2028</v>
      </c>
      <c r="X7313" s="20" t="n">
        <v>2029</v>
      </c>
      <c r="Y7313" s="20" t="n">
        <v>2030</v>
      </c>
      <c r="Z7313" s="20" t="n">
        <v>2031</v>
      </c>
      <c r="AA7313" s="20" t="n">
        <v>2032</v>
      </c>
    </row>
    <row r="7314" customFormat="false" ht="17.15" hidden="false" customHeight="false" outlineLevel="0" collapsed="false">
      <c r="A7314" s="1" t="s">
        <v>588</v>
      </c>
    </row>
    <row r="7315" customFormat="false" ht="17.15" hidden="false" customHeight="false" outlineLevel="0" collapsed="false">
      <c r="A7315" s="5" t="s">
        <v>589</v>
      </c>
      <c r="B7315" s="0" t="s">
        <v>144</v>
      </c>
      <c r="H7315" s="32" t="n">
        <f aca="false">pace_B</f>
        <v>3634.3</v>
      </c>
      <c r="I7315" s="32" t="n">
        <f aca="false">pace_B</f>
        <v>3634.3</v>
      </c>
      <c r="J7315" s="32" t="n">
        <f aca="false">pace_B</f>
        <v>3634.3</v>
      </c>
      <c r="K7315" s="32" t="n">
        <f aca="false">pace_B+(Sens!$J$7316*tg-pace_B)*1/3</f>
        <v>2570.86716666667</v>
      </c>
      <c r="L7315" s="32" t="n">
        <f aca="false">pace_B+(Sens!$J$7316*tg-pace_B)*2/3</f>
        <v>1507.43433333333</v>
      </c>
      <c r="M7315" s="32" t="n">
        <f aca="false">pace_B+(Sens!$J$7316*tg-pace_B)*3/3</f>
        <v>444.0015</v>
      </c>
      <c r="P7315" s="5" t="s">
        <v>590</v>
      </c>
    </row>
    <row r="7316" customFormat="false" ht="17.15" hidden="false" customHeight="false" outlineLevel="0" collapsed="false">
      <c r="A7316" s="15" t="s">
        <v>591</v>
      </c>
      <c r="B7316" s="14" t="s">
        <v>129</v>
      </c>
      <c r="C7316" s="33" t="n">
        <f aca="false">mw_ye24</f>
        <v>360</v>
      </c>
      <c r="D7316" s="33" t="n">
        <f aca="false">mw_ye25</f>
        <v>1440</v>
      </c>
      <c r="E7316" s="33" t="n">
        <f aca="false">mw_open</f>
        <v>2080</v>
      </c>
      <c r="F7316" s="33" t="n">
        <f aca="false">Sens!$E$7316+pace_B*0.5</f>
        <v>3897.15</v>
      </c>
      <c r="G7316" s="33" t="n">
        <f aca="false">Sens!$F$7316</f>
        <v>3897.15</v>
      </c>
      <c r="H7316" s="33" t="n">
        <f aca="false">Sens!$G$7316+Sens!$H$7315</f>
        <v>7531.45</v>
      </c>
      <c r="I7316" s="33" t="n">
        <f aca="false">Sens!$H$7316+Sens!$I$7315</f>
        <v>11165.75</v>
      </c>
      <c r="J7316" s="33" t="n">
        <f aca="false">Sens!$I$7316+Sens!$J$7315</f>
        <v>14800.05</v>
      </c>
      <c r="K7316" s="33" t="n">
        <f aca="false">Sens!$J$7316+Sens!$K$7315</f>
        <v>17370.9171666667</v>
      </c>
      <c r="L7316" s="33" t="n">
        <f aca="false">Sens!$K$7316+Sens!$L$7315</f>
        <v>18878.3515</v>
      </c>
      <c r="M7316" s="33" t="n">
        <f aca="false">Sens!$L$7316+Sens!$M$7315</f>
        <v>19322.353</v>
      </c>
      <c r="N7316" s="33" t="n">
        <f aca="false">(mw_ye24+mw_ye25)/2</f>
        <v>900</v>
      </c>
      <c r="O7316" s="33" t="n">
        <f aca="false">mw_ye25</f>
        <v>1440</v>
      </c>
      <c r="P7316" s="5" t="s">
        <v>592</v>
      </c>
    </row>
    <row r="7317" customFormat="false" ht="17.15" hidden="false" customHeight="false" outlineLevel="0" collapsed="false">
      <c r="A7317" s="5" t="s">
        <v>593</v>
      </c>
      <c r="B7317" s="0" t="s">
        <v>129</v>
      </c>
      <c r="C7317" s="32" t="n">
        <f aca="false">(mw_ye23+mw_ye24)/2</f>
        <v>240</v>
      </c>
      <c r="D7317" s="32" t="n">
        <f aca="false">(Sens!$C$7316+Sens!$D$7316)/2</f>
        <v>900</v>
      </c>
      <c r="E7317" s="32" t="n">
        <f aca="false">(Sens!$D$7316+Sens!$E$7316)/2</f>
        <v>1760</v>
      </c>
      <c r="F7317" s="32" t="n">
        <f aca="false">(Sens!$E$7316+Sens!$F$7316)/2</f>
        <v>2988.575</v>
      </c>
      <c r="G7317" s="32" t="n">
        <f aca="false">(Sens!$E$7317+Sens!$F$7317)/2</f>
        <v>2374.2875</v>
      </c>
      <c r="H7317" s="32" t="n">
        <f aca="false">(Sens!$G$7316+Sens!$H$7316)/2</f>
        <v>5714.3</v>
      </c>
      <c r="I7317" s="32" t="n">
        <f aca="false">(Sens!$H$7316+Sens!$I$7316)/2</f>
        <v>9348.6</v>
      </c>
      <c r="J7317" s="32" t="n">
        <f aca="false">(Sens!$I$7316+Sens!$J$7316)/2</f>
        <v>12982.9</v>
      </c>
      <c r="K7317" s="32" t="n">
        <f aca="false">(Sens!$J$7316+Sens!$K$7316)/2</f>
        <v>16085.4835833333</v>
      </c>
      <c r="L7317" s="32" t="n">
        <f aca="false">(Sens!$K$7316+Sens!$L$7316)/2</f>
        <v>18124.6343333333</v>
      </c>
      <c r="M7317" s="32" t="n">
        <f aca="false">(Sens!$L$7316+Sens!$M$7316)/2</f>
        <v>19100.35225</v>
      </c>
      <c r="N7317" s="32" t="n">
        <f aca="false">(Sens!$C$7316+Sens!$N$7316)/2</f>
        <v>630</v>
      </c>
      <c r="O7317" s="32" t="n">
        <f aca="false">(Sens!$N$7316+Sens!$O$7316)/2</f>
        <v>1170</v>
      </c>
    </row>
    <row r="7318" customFormat="false" ht="15" hidden="false" customHeight="false" outlineLevel="0" collapsed="false">
      <c r="A7318" s="5" t="s">
        <v>594</v>
      </c>
      <c r="B7318" s="5" t="s">
        <v>123</v>
      </c>
      <c r="C7318" s="34" t="n">
        <v>1</v>
      </c>
      <c r="D7318" s="34" t="n">
        <v>1</v>
      </c>
      <c r="E7318" s="34" t="n">
        <v>0.5</v>
      </c>
      <c r="F7318" s="34" t="n">
        <v>0.5</v>
      </c>
      <c r="G7318" s="34" t="n">
        <v>1</v>
      </c>
      <c r="H7318" s="34" t="n">
        <v>1</v>
      </c>
      <c r="I7318" s="34" t="n">
        <v>1</v>
      </c>
      <c r="J7318" s="34" t="n">
        <v>1</v>
      </c>
      <c r="K7318" s="34" t="n">
        <v>1</v>
      </c>
      <c r="L7318" s="34" t="n">
        <v>1</v>
      </c>
      <c r="M7318" s="34" t="n">
        <v>1</v>
      </c>
      <c r="N7318" s="34" t="n">
        <v>0.5</v>
      </c>
      <c r="O7318" s="34" t="n">
        <v>0.5</v>
      </c>
    </row>
    <row r="7319" customFormat="false" ht="17.15" hidden="false" customHeight="false" outlineLevel="0" collapsed="false">
      <c r="A7319" s="5" t="s">
        <v>595</v>
      </c>
      <c r="B7319" s="0" t="s">
        <v>129</v>
      </c>
      <c r="C7319" s="32" t="n">
        <f aca="false">Sens!$C$7316-mw_ye23</f>
        <v>240</v>
      </c>
      <c r="D7319" s="32" t="n">
        <f aca="false">Sens!$D$7316-Sens!$C$7316</f>
        <v>1080</v>
      </c>
      <c r="E7319" s="32" t="n">
        <f aca="false">Sens!$E$7316-Sens!$D$7316</f>
        <v>640</v>
      </c>
      <c r="F7319" s="32" t="n">
        <f aca="false">Sens!$F$7316-Sens!$E$7316</f>
        <v>1817.15</v>
      </c>
      <c r="G7319" s="32" t="n">
        <f aca="false">Sens!$E$7319+Sens!$F$7319</f>
        <v>2457.15</v>
      </c>
      <c r="H7319" s="32" t="n">
        <f aca="false">Sens!$H$7316-Sens!$G$7316</f>
        <v>3634.3</v>
      </c>
      <c r="I7319" s="32" t="n">
        <f aca="false">Sens!$I$7316-Sens!$H$7316</f>
        <v>3634.3</v>
      </c>
      <c r="J7319" s="32" t="n">
        <f aca="false">Sens!$J$7316-Sens!$I$7316</f>
        <v>3634.3</v>
      </c>
      <c r="K7319" s="32" t="n">
        <f aca="false">Sens!$K$7316-Sens!$J$7316</f>
        <v>2570.86716666667</v>
      </c>
      <c r="L7319" s="32" t="n">
        <f aca="false">Sens!$L$7316-Sens!$K$7316</f>
        <v>1507.43433333333</v>
      </c>
      <c r="M7319" s="32" t="n">
        <f aca="false">Sens!$M$7316-Sens!$L$7316</f>
        <v>444.001499999999</v>
      </c>
      <c r="N7319" s="32" t="n">
        <f aca="false">Sens!$N$7316-Sens!$C$7316</f>
        <v>540</v>
      </c>
      <c r="O7319" s="32" t="n">
        <f aca="false">Sens!$O$7316-Sens!$N$7316</f>
        <v>540</v>
      </c>
    </row>
    <row r="7320" customFormat="false" ht="17.15" hidden="false" customHeight="false" outlineLevel="0" collapsed="false">
      <c r="A7320" s="5" t="s">
        <v>596</v>
      </c>
      <c r="B7320" s="0" t="s">
        <v>129</v>
      </c>
      <c r="C7320" s="32" t="n">
        <f aca="false">Sens!$C$7319/ext_sh</f>
        <v>300</v>
      </c>
      <c r="D7320" s="32" t="n">
        <f aca="false">Sens!$D$7319/ext_sh</f>
        <v>1350</v>
      </c>
      <c r="E7320" s="32" t="n">
        <f aca="false">Sens!$E$7319/ext_sh</f>
        <v>800</v>
      </c>
      <c r="F7320" s="32" t="n">
        <f aca="false">Sens!$F$7319/ext_sh</f>
        <v>2271.4375</v>
      </c>
      <c r="G7320" s="32" t="n">
        <f aca="false">Sens!$G$7319/ext_sh</f>
        <v>3071.4375</v>
      </c>
      <c r="H7320" s="32" t="n">
        <f aca="false">Sens!$H$7319/ext_sh</f>
        <v>4542.875</v>
      </c>
      <c r="I7320" s="32" t="n">
        <f aca="false">Sens!$I$7319/ext_sh</f>
        <v>4542.875</v>
      </c>
      <c r="J7320" s="32" t="n">
        <f aca="false">Sens!$J$7319/ext_sh</f>
        <v>4542.875</v>
      </c>
      <c r="K7320" s="32" t="n">
        <f aca="false">Sens!$K$7319/ext_sh</f>
        <v>3213.58395833333</v>
      </c>
      <c r="L7320" s="32" t="n">
        <f aca="false">Sens!$L$7319/ext_sh</f>
        <v>1884.29291666667</v>
      </c>
      <c r="M7320" s="32" t="n">
        <f aca="false">Sens!$M$7319/ext_sh</f>
        <v>555.001874999998</v>
      </c>
      <c r="N7320" s="32" t="n">
        <f aca="false">Sens!$N$7319/ext_sh</f>
        <v>675</v>
      </c>
      <c r="O7320" s="32" t="n">
        <f aca="false">Sens!$O$7319/ext_sh</f>
        <v>675</v>
      </c>
      <c r="P7320" s="8" t="s">
        <v>597</v>
      </c>
      <c r="R7320" s="32" t="n">
        <f aca="false">mw_ye23/ext_sh</f>
        <v>150</v>
      </c>
      <c r="S7320" s="32" t="n">
        <f aca="false">Sens!$C$7320</f>
        <v>300</v>
      </c>
      <c r="T7320" s="32" t="n">
        <f aca="false">Sens!$D$7320</f>
        <v>1350</v>
      </c>
      <c r="U7320" s="32" t="n">
        <f aca="false">Sens!$G$7320</f>
        <v>3071.4375</v>
      </c>
      <c r="V7320" s="32" t="n">
        <f aca="false">Sens!$H$7320</f>
        <v>4542.875</v>
      </c>
      <c r="W7320" s="32" t="n">
        <f aca="false">Sens!$I$7320</f>
        <v>4542.875</v>
      </c>
      <c r="X7320" s="32" t="n">
        <f aca="false">Sens!$J$7320</f>
        <v>4542.875</v>
      </c>
      <c r="Y7320" s="32" t="n">
        <f aca="false">Sens!$K$7320</f>
        <v>3213.58395833333</v>
      </c>
      <c r="Z7320" s="32" t="n">
        <f aca="false">Sens!$L$7320</f>
        <v>1884.29291666667</v>
      </c>
      <c r="AA7320" s="32" t="n">
        <f aca="false">Sens!$M$7320</f>
        <v>555.001874999998</v>
      </c>
    </row>
    <row r="7321" customFormat="false" ht="17.15" hidden="false" customHeight="false" outlineLevel="0" collapsed="false">
      <c r="A7321" s="1" t="s">
        <v>598</v>
      </c>
    </row>
    <row r="7322" customFormat="false" ht="17.15" hidden="false" customHeight="false" outlineLevel="0" collapsed="false">
      <c r="A7322" s="0" t="s">
        <v>599</v>
      </c>
      <c r="B7322" s="0" t="s">
        <v>52</v>
      </c>
      <c r="F7322" s="35" t="n">
        <f aca="false">na_vr26</f>
        <v>0</v>
      </c>
      <c r="G7322" s="35" t="n">
        <f aca="false">na_vr26</f>
        <v>0</v>
      </c>
      <c r="H7322" s="35" t="n">
        <f aca="false">na_vr27</f>
        <v>0.5</v>
      </c>
      <c r="I7322" s="35" t="n">
        <f aca="false">na_vr28</f>
        <v>1</v>
      </c>
      <c r="J7322" s="35" t="n">
        <f aca="false">na_vr28</f>
        <v>1</v>
      </c>
      <c r="K7322" s="35" t="n">
        <f aca="false">na_vr28</f>
        <v>1</v>
      </c>
      <c r="L7322" s="35" t="n">
        <f aca="false">na_vr28</f>
        <v>1</v>
      </c>
      <c r="M7322" s="35" t="n">
        <f aca="false">na_vr28</f>
        <v>1</v>
      </c>
    </row>
    <row r="7323" customFormat="false" ht="17.15" hidden="false" customHeight="false" outlineLevel="0" collapsed="false">
      <c r="A7323" s="5" t="s">
        <v>600</v>
      </c>
      <c r="B7323" s="0" t="s">
        <v>173</v>
      </c>
      <c r="F7323" s="36" t="n">
        <f aca="false">cust_sh*tk_he_gb300*cf_chip+(1-cust_sh)*((1-Sens!$F$7322)*tk_he_gb300+Sens!$F$7322*tk_he_vr200)</f>
        <v>10.8864110021101</v>
      </c>
      <c r="G7323" s="36" t="n">
        <f aca="false">cust_sh*tk_he_gb300*cf_chip+(1-cust_sh)*((1-Sens!$G$7322)*tk_he_gb300+Sens!$G$7322*tk_he_vr200)</f>
        <v>10.8864110021101</v>
      </c>
      <c r="H7323" s="36" t="n">
        <f aca="false">cust_sh*tk_he_gb300*cf_chip+(1-cust_sh)*((1-Sens!$H$7322)*tk_he_gb300+Sens!$H$7322*tk_he_vr200)</f>
        <v>11.2211760027286</v>
      </c>
      <c r="I7323" s="36" t="n">
        <f aca="false">cust_sh*tk_he_gb300*cf_chip+(1-cust_sh)*((1-Sens!$I$7322)*tk_he_gb300+Sens!$I$7322*tk_he_vr200)</f>
        <v>11.5559410033471</v>
      </c>
      <c r="J7323" s="36" t="n">
        <f aca="false">cust_sh*tk_he_gb300*cf_chip+(1-cust_sh)*((1-Sens!$J$7322)*tk_he_gb300+Sens!$J$7322*tk_he_vr200)</f>
        <v>11.5559410033471</v>
      </c>
      <c r="K7323" s="36" t="n">
        <f aca="false">cust_sh*tk_he_gb300*cf_chip+(1-cust_sh)*((1-Sens!$K$7322)*tk_he_gb300+Sens!$K$7322*tk_he_vr200)</f>
        <v>11.5559410033471</v>
      </c>
      <c r="L7323" s="36" t="n">
        <f aca="false">cust_sh*tk_he_gb300*cf_chip+(1-cust_sh)*((1-Sens!$L$7322)*tk_he_gb300+Sens!$L$7322*tk_he_vr200)</f>
        <v>11.5559410033471</v>
      </c>
      <c r="M7323" s="36" t="n">
        <f aca="false">cust_sh*tk_he_gb300*cf_chip+(1-cust_sh)*((1-Sens!$M$7322)*tk_he_gb300+Sens!$M$7322*tk_he_vr200)</f>
        <v>11.5559410033471</v>
      </c>
    </row>
    <row r="7324" customFormat="false" ht="17.15" hidden="false" customHeight="false" outlineLevel="0" collapsed="false">
      <c r="A7324" s="5" t="s">
        <v>601</v>
      </c>
      <c r="B7324" s="0" t="s">
        <v>173</v>
      </c>
      <c r="F7324" s="36" t="n">
        <f aca="false">cust_sh*tk_ox_gb300+(1-cust_sh)*((1-Sens!$F$7322)*tk_ox_gb300+Sens!$F$7322*tk_ox_vr200)</f>
        <v>1.98263481314457</v>
      </c>
      <c r="G7324" s="36" t="n">
        <f aca="false">cust_sh*tk_ox_gb300+(1-cust_sh)*((1-Sens!$G$7322)*tk_ox_gb300+Sens!$G$7322*tk_ox_vr200)</f>
        <v>1.98263481314457</v>
      </c>
      <c r="H7324" s="36" t="n">
        <f aca="false">cust_sh*tk_ox_gb300+(1-cust_sh)*((1-Sens!$H$7322)*tk_ox_gb300+Sens!$H$7322*tk_ox_vr200)</f>
        <v>2.01034999693694</v>
      </c>
      <c r="I7324" s="36" t="n">
        <f aca="false">cust_sh*tk_ox_gb300+(1-cust_sh)*((1-Sens!$I$7322)*tk_ox_gb300+Sens!$I$7322*tk_ox_vr200)</f>
        <v>2.0380651807293</v>
      </c>
      <c r="J7324" s="36" t="n">
        <f aca="false">cust_sh*tk_ox_gb300+(1-cust_sh)*((1-Sens!$J$7322)*tk_ox_gb300+Sens!$J$7322*tk_ox_vr200)</f>
        <v>2.0380651807293</v>
      </c>
      <c r="K7324" s="36" t="n">
        <f aca="false">cust_sh*tk_ox_gb300+(1-cust_sh)*((1-Sens!$K$7322)*tk_ox_gb300+Sens!$K$7322*tk_ox_vr200)</f>
        <v>2.0380651807293</v>
      </c>
      <c r="L7324" s="36" t="n">
        <f aca="false">cust_sh*tk_ox_gb300+(1-cust_sh)*((1-Sens!$L$7322)*tk_ox_gb300+Sens!$L$7322*tk_ox_vr200)</f>
        <v>2.0380651807293</v>
      </c>
      <c r="M7324" s="36" t="n">
        <f aca="false">cust_sh*tk_ox_gb300+(1-cust_sh)*((1-Sens!$M$7322)*tk_ox_gb300+Sens!$M$7322*tk_ox_vr200)</f>
        <v>2.0380651807293</v>
      </c>
    </row>
    <row r="7325" customFormat="false" ht="17.15" hidden="false" customHeight="false" outlineLevel="0" collapsed="false">
      <c r="A7325" s="5" t="s">
        <v>602</v>
      </c>
      <c r="B7325" s="0" t="s">
        <v>192</v>
      </c>
      <c r="F7325" s="36" t="n">
        <f aca="false">cust_sh*tk_cx_gb300*cf_cx+(1-cust_sh)*((1-Sens!$F$7322)*tk_cx_gb300+Sens!$F$7322*tk_cx_vr200)</f>
        <v>32.237224</v>
      </c>
      <c r="G7325" s="36" t="n">
        <f aca="false">cust_sh*tk_cx_gb300*cf_cx+(1-cust_sh)*((1-Sens!$G$7322)*tk_cx_gb300+Sens!$G$7322*tk_cx_vr200)</f>
        <v>32.237224</v>
      </c>
      <c r="H7325" s="36" t="n">
        <f aca="false">cust_sh*tk_cx_gb300*cf_cx+(1-cust_sh)*((1-Sens!$H$7322)*tk_cx_gb300+Sens!$H$7322*tk_cx_vr200)</f>
        <v>33.574506</v>
      </c>
      <c r="I7325" s="36" t="n">
        <f aca="false">cust_sh*tk_cx_gb300*cf_cx+(1-cust_sh)*((1-Sens!$I$7322)*tk_cx_gb300+Sens!$I$7322*tk_cx_vr200)</f>
        <v>34.911788</v>
      </c>
      <c r="J7325" s="36" t="n">
        <f aca="false">cust_sh*tk_cx_gb300*cf_cx+(1-cust_sh)*((1-Sens!$J$7322)*tk_cx_gb300+Sens!$J$7322*tk_cx_vr200)</f>
        <v>34.911788</v>
      </c>
      <c r="K7325" s="36" t="n">
        <f aca="false">cust_sh*tk_cx_gb300*cf_cx+(1-cust_sh)*((1-Sens!$K$7322)*tk_cx_gb300+Sens!$K$7322*tk_cx_vr200)</f>
        <v>34.911788</v>
      </c>
      <c r="L7325" s="36" t="n">
        <f aca="false">cust_sh*tk_cx_gb300*cf_cx+(1-cust_sh)*((1-Sens!$L$7322)*tk_cx_gb300+Sens!$L$7322*tk_cx_vr200)</f>
        <v>34.911788</v>
      </c>
      <c r="M7325" s="36" t="n">
        <f aca="false">cust_sh*tk_cx_gb300*cf_cx+(1-cust_sh)*((1-Sens!$M$7322)*tk_cx_gb300+Sens!$M$7322*tk_cx_vr200)</f>
        <v>34.911788</v>
      </c>
    </row>
    <row r="7326" customFormat="false" ht="17.15" hidden="false" customHeight="false" outlineLevel="0" collapsed="false">
      <c r="A7326" s="5" t="s">
        <v>603</v>
      </c>
      <c r="B7326" s="0" t="s">
        <v>129</v>
      </c>
      <c r="F7326" s="32" t="n">
        <f aca="false">Sens!$F$7316-mw_open</f>
        <v>1817.15</v>
      </c>
      <c r="G7326" s="32" t="n">
        <f aca="false">Sens!$F$7326</f>
        <v>1817.15</v>
      </c>
      <c r="H7326" s="32" t="n">
        <f aca="false">Sens!$H$7316-mw_open</f>
        <v>5451.45</v>
      </c>
      <c r="I7326" s="32" t="n">
        <f aca="false">Sens!$I$7316-mw_open</f>
        <v>9085.75</v>
      </c>
      <c r="J7326" s="32" t="n">
        <f aca="false">Sens!$J$7316-mw_open</f>
        <v>12720.05</v>
      </c>
      <c r="K7326" s="32" t="n">
        <f aca="false">Sens!$K$7316-mw_open</f>
        <v>15290.9171666667</v>
      </c>
      <c r="L7326" s="32" t="n">
        <f aca="false">Sens!$L$7316-mw_open</f>
        <v>16798.3515</v>
      </c>
      <c r="M7326" s="32" t="n">
        <f aca="false">Sens!$M$7316-mw_open</f>
        <v>17242.353</v>
      </c>
    </row>
    <row r="7327" customFormat="false" ht="17.15" hidden="false" customHeight="false" outlineLevel="0" collapsed="false">
      <c r="A7327" s="0" t="s">
        <v>604</v>
      </c>
      <c r="B7327" s="0" t="s">
        <v>605</v>
      </c>
      <c r="F7327" s="32" t="n">
        <f aca="false">Sens!$F$7319*Sens!$F$7323</f>
        <v>19782.2417524844</v>
      </c>
      <c r="G7327" s="32" t="n">
        <f aca="false">Sens!$F$7327</f>
        <v>19782.2417524844</v>
      </c>
      <c r="H7327" s="32" t="n">
        <f aca="false">Sens!$G$7327+Sens!$H$7319*Sens!$H$7323</f>
        <v>60563.3616992009</v>
      </c>
      <c r="I7327" s="32" t="n">
        <f aca="false">Sens!$H$7327+Sens!$I$7319*Sens!$I$7323</f>
        <v>102561.118087665</v>
      </c>
      <c r="J7327" s="32" t="n">
        <f aca="false">Sens!$I$7327+Sens!$J$7319*Sens!$J$7323</f>
        <v>144558.87447613</v>
      </c>
      <c r="K7327" s="32" t="n">
        <f aca="false">Sens!$J$7327+Sens!$K$7319*Sens!$K$7323</f>
        <v>174267.663781572</v>
      </c>
      <c r="L7327" s="32" t="n">
        <f aca="false">Sens!$K$7327+Sens!$L$7319*Sens!$L$7323</f>
        <v>191687.486003992</v>
      </c>
      <c r="M7327" s="32" t="n">
        <f aca="false">Sens!$L$7327+Sens!$M$7319*Sens!$M$7323</f>
        <v>196818.341143389</v>
      </c>
    </row>
    <row r="7328" customFormat="false" ht="17.15" hidden="false" customHeight="false" outlineLevel="0" collapsed="false">
      <c r="A7328" s="0" t="s">
        <v>606</v>
      </c>
      <c r="B7328" s="0" t="s">
        <v>605</v>
      </c>
      <c r="F7328" s="32" t="n">
        <f aca="false">Sens!$F$7319*Sens!$F$7324</f>
        <v>3602.74485070566</v>
      </c>
      <c r="G7328" s="32" t="n">
        <f aca="false">Sens!$F$7328</f>
        <v>3602.74485070566</v>
      </c>
      <c r="H7328" s="32" t="n">
        <f aca="false">Sens!$G$7328+Sens!$H$7319*Sens!$H$7324</f>
        <v>10908.9598445736</v>
      </c>
      <c r="I7328" s="32" t="n">
        <f aca="false">Sens!$H$7328+Sens!$I$7319*Sens!$I$7324</f>
        <v>18315.9001308981</v>
      </c>
      <c r="J7328" s="32" t="n">
        <f aca="false">Sens!$I$7328+Sens!$J$7319*Sens!$J$7324</f>
        <v>25722.8404172225</v>
      </c>
      <c r="K7328" s="32" t="n">
        <f aca="false">Sens!$J$7328+Sens!$K$7319*Sens!$K$7324</f>
        <v>30962.4352738861</v>
      </c>
      <c r="L7328" s="32" t="n">
        <f aca="false">Sens!$K$7328+Sens!$L$7319*Sens!$L$7324</f>
        <v>34034.6847008886</v>
      </c>
      <c r="M7328" s="32" t="n">
        <f aca="false">Sens!$L$7328+Sens!$M$7319*Sens!$M$7324</f>
        <v>34939.5886982302</v>
      </c>
    </row>
    <row r="7329" customFormat="false" ht="17.15" hidden="false" customHeight="false" outlineLevel="0" collapsed="false">
      <c r="A7329" s="5" t="s">
        <v>607</v>
      </c>
      <c r="B7329" s="0" t="s">
        <v>173</v>
      </c>
      <c r="F7329" s="36" t="n">
        <f aca="false">IF(Sens!$F$7326&gt;0,Sens!$F$7327/Sens!$F$7326,Sens!$F$7323)</f>
        <v>10.8864110021101</v>
      </c>
      <c r="G7329" s="36" t="n">
        <f aca="false">IF(Sens!$G$7326&gt;0,Sens!$G$7327/Sens!$G$7326,Sens!$G$7323)</f>
        <v>10.8864110021101</v>
      </c>
      <c r="H7329" s="36" t="n">
        <f aca="false">IF(Sens!$H$7326&gt;0,Sens!$H$7327/Sens!$H$7326,Sens!$H$7323)</f>
        <v>11.1095876691891</v>
      </c>
      <c r="I7329" s="36" t="n">
        <f aca="false">IF(Sens!$I$7326&gt;0,Sens!$I$7327/Sens!$I$7326,Sens!$I$7323)</f>
        <v>11.2881290028523</v>
      </c>
      <c r="J7329" s="36" t="n">
        <f aca="false">IF(Sens!$J$7326&gt;0,Sens!$J$7327/Sens!$J$7326,Sens!$J$7323)</f>
        <v>11.3646467172794</v>
      </c>
      <c r="K7329" s="36" t="n">
        <f aca="false">IF(Sens!$K$7326&gt;0,Sens!$K$7327/Sens!$K$7326,Sens!$K$7323)</f>
        <v>11.3968090914432</v>
      </c>
      <c r="L7329" s="36" t="n">
        <f aca="false">IF(Sens!$L$7326&gt;0,Sens!$L$7327/Sens!$L$7326,Sens!$L$7323)</f>
        <v>11.4110891181192</v>
      </c>
      <c r="M7329" s="36" t="n">
        <f aca="false">IF(Sens!$M$7326&gt;0,Sens!$M$7327/Sens!$M$7326,Sens!$M$7323)</f>
        <v>11.4148191458201</v>
      </c>
    </row>
    <row r="7330" customFormat="false" ht="17.15" hidden="false" customHeight="false" outlineLevel="0" collapsed="false">
      <c r="A7330" s="5" t="s">
        <v>608</v>
      </c>
      <c r="B7330" s="0" t="s">
        <v>173</v>
      </c>
      <c r="F7330" s="36" t="n">
        <f aca="false">IF(Sens!$F$7326&gt;0,Sens!$F$7328/Sens!$F$7326,Sens!$F$7324)</f>
        <v>1.98263481314457</v>
      </c>
      <c r="G7330" s="36" t="n">
        <f aca="false">IF(Sens!$G$7326&gt;0,Sens!$G$7328/Sens!$G$7326,Sens!$G$7324)</f>
        <v>1.98263481314457</v>
      </c>
      <c r="H7330" s="36" t="n">
        <f aca="false">IF(Sens!$H$7326&gt;0,Sens!$H$7328/Sens!$H$7326,Sens!$H$7324)</f>
        <v>2.00111160233948</v>
      </c>
      <c r="I7330" s="36" t="n">
        <f aca="false">IF(Sens!$I$7326&gt;0,Sens!$I$7328/Sens!$I$7326,Sens!$I$7324)</f>
        <v>2.01589303369541</v>
      </c>
      <c r="J7330" s="36" t="n">
        <f aca="false">IF(Sens!$J$7326&gt;0,Sens!$J$7328/Sens!$J$7326,Sens!$J$7324)</f>
        <v>2.02222793284795</v>
      </c>
      <c r="K7330" s="36" t="n">
        <f aca="false">IF(Sens!$K$7326&gt;0,Sens!$K$7328/Sens!$K$7326,Sens!$K$7324)</f>
        <v>2.02489065478573</v>
      </c>
      <c r="L7330" s="36" t="n">
        <f aca="false">IF(Sens!$L$7326&gt;0,Sens!$L$7328/Sens!$L$7326,Sens!$L$7324)</f>
        <v>2.0260728977417</v>
      </c>
      <c r="M7330" s="36" t="n">
        <f aca="false">IF(Sens!$M$7326&gt;0,Sens!$M$7328/Sens!$M$7326,Sens!$M$7324)</f>
        <v>2.02638170661685</v>
      </c>
    </row>
    <row r="7331" customFormat="false" ht="17.15" hidden="false" customHeight="false" outlineLevel="0" collapsed="false">
      <c r="A7331" s="15" t="s">
        <v>609</v>
      </c>
      <c r="B7331" s="14" t="s">
        <v>173</v>
      </c>
      <c r="C7331" s="14"/>
      <c r="D7331" s="14"/>
      <c r="E7331" s="14"/>
      <c r="F7331" s="37" t="n">
        <f aca="false">Sens!$F$7329*k_B</f>
        <v>10.7987645808025</v>
      </c>
      <c r="G7331" s="37" t="n">
        <f aca="false">Sens!$G$7329*k_B</f>
        <v>10.7987645808025</v>
      </c>
      <c r="H7331" s="37" t="n">
        <f aca="false">Sens!$H$7329*k_B</f>
        <v>11.0201444540452</v>
      </c>
      <c r="I7331" s="37" t="n">
        <f aca="false">Sens!$I$7329*k_B</f>
        <v>11.1972483526393</v>
      </c>
      <c r="J7331" s="37" t="n">
        <f aca="false">Sens!$J$7329*k_B</f>
        <v>11.2731500234653</v>
      </c>
      <c r="K7331" s="37" t="n">
        <f aca="false">Sens!$K$7329*k_B</f>
        <v>11.3050534585724</v>
      </c>
      <c r="L7331" s="37" t="n">
        <f aca="false">Sens!$L$7329*k_B</f>
        <v>11.3192185168503</v>
      </c>
      <c r="M7331" s="37" t="n">
        <f aca="false">Sens!$M$7329*k_B</f>
        <v>11.3229185141234</v>
      </c>
      <c r="N7331" s="14"/>
      <c r="O7331" s="14"/>
      <c r="P7331" s="5" t="s">
        <v>610</v>
      </c>
    </row>
    <row r="7332" customFormat="false" ht="17.15" hidden="false" customHeight="false" outlineLevel="0" collapsed="false">
      <c r="A7332" s="5" t="s">
        <v>611</v>
      </c>
      <c r="B7332" s="0" t="s">
        <v>129</v>
      </c>
      <c r="F7332" s="32" t="n">
        <f aca="false">Sens!$F$7326/2</f>
        <v>908.575</v>
      </c>
      <c r="H7332" s="32" t="n">
        <f aca="false">(Sens!$G$7326+Sens!$H$7326)/2</f>
        <v>3634.3</v>
      </c>
      <c r="I7332" s="32" t="n">
        <f aca="false">(Sens!$H$7326+Sens!$I$7326)/2</f>
        <v>7268.6</v>
      </c>
      <c r="J7332" s="32" t="n">
        <f aca="false">(Sens!$I$7326+Sens!$J$7326)/2</f>
        <v>10902.9</v>
      </c>
      <c r="K7332" s="32" t="n">
        <f aca="false">(Sens!$J$7326+Sens!$K$7326)/2</f>
        <v>14005.4835833333</v>
      </c>
      <c r="L7332" s="32" t="n">
        <f aca="false">(Sens!$K$7326+Sens!$L$7326)/2</f>
        <v>16044.6343333333</v>
      </c>
      <c r="M7332" s="32" t="n">
        <f aca="false">(Sens!$L$7326+Sens!$M$7326)/2</f>
        <v>17020.35225</v>
      </c>
    </row>
    <row r="7333" customFormat="false" ht="17.15" hidden="false" customHeight="false" outlineLevel="0" collapsed="false">
      <c r="A7333" s="1" t="s">
        <v>612</v>
      </c>
    </row>
    <row r="7334" customFormat="false" ht="17.15" hidden="false" customHeight="false" outlineLevel="0" collapsed="false">
      <c r="A7334" s="1" t="s">
        <v>613</v>
      </c>
      <c r="B7334" s="8" t="s">
        <v>86</v>
      </c>
      <c r="C7334" s="38" t="n">
        <f aca="false">Sens!$C$7317*rpm_open*Sens!$C$7318/1000</f>
        <v>2.32100535697364</v>
      </c>
      <c r="D7334" s="38" t="n">
        <f aca="false">Sens!$D$7317*rpm_open*Sens!$D$7318/1000</f>
        <v>8.70377008865116</v>
      </c>
      <c r="E7334" s="38" t="n">
        <f aca="false">Sens!$E$7317*rpm_open*Sens!$E$7318/1000</f>
        <v>8.51035297557002</v>
      </c>
      <c r="F7334" s="38" t="n">
        <f aca="false">(mw_open*rpm_open+Sens!$F$7332*Sens!$F$7331)*Sens!$F$7318/1000</f>
        <v>14.9634336447205</v>
      </c>
      <c r="G7334" s="38" t="n">
        <f aca="false">Sens!$E$7334+Sens!$F$7334</f>
        <v>23.4737866202905</v>
      </c>
      <c r="H7334" s="38" t="n">
        <f aca="false">(mw_open*rpm_open+Sens!$H$7332*Sens!$H$7331)/1000</f>
        <v>60.1658907497746</v>
      </c>
      <c r="I7334" s="38" t="n">
        <f aca="false">(mw_open*rpm_open+Sens!$I$7332*Sens!$I$7331)/1000</f>
        <v>101.503699136432</v>
      </c>
      <c r="J7334" s="38" t="n">
        <f aca="false">(mw_open*rpm_open+Sens!$J$7332*Sens!$J$7331)/1000</f>
        <v>143.025407151278</v>
      </c>
      <c r="K7334" s="38" t="n">
        <f aca="false">(mw_open*rpm_open+Sens!$K$7332*Sens!$K$7331)/1000</f>
        <v>178.44812038318</v>
      </c>
      <c r="L7334" s="38" t="n">
        <f aca="false">(mw_open*rpm_open+Sens!$L$7332*Sens!$L$7331)/1000</f>
        <v>201.728101802396</v>
      </c>
      <c r="M7334" s="38" t="n">
        <f aca="false">(mw_open*rpm_open+Sens!$M$7332*Sens!$M$7331)/1000</f>
        <v>212.835441368865</v>
      </c>
      <c r="N7334" s="38" t="n">
        <f aca="false">Sens!$N$7317*rpm_open*Sens!$N$7318/1000</f>
        <v>3.04631953102791</v>
      </c>
      <c r="O7334" s="38" t="n">
        <f aca="false">Sens!$O$7317*rpm_open*Sens!$O$7318/1000</f>
        <v>5.65745055762326</v>
      </c>
      <c r="P7334" s="5" t="s">
        <v>614</v>
      </c>
    </row>
    <row r="7335" customFormat="false" ht="17.15" hidden="false" customHeight="false" outlineLevel="0" collapsed="false">
      <c r="A7335" s="5" t="s">
        <v>615</v>
      </c>
      <c r="B7335" s="0" t="s">
        <v>173</v>
      </c>
      <c r="C7335" s="36" t="n">
        <f aca="false">Sens!$C$7334*1000/(Sens!$C$7317*Sens!$C$7318)</f>
        <v>9.67085565405685</v>
      </c>
      <c r="D7335" s="36" t="n">
        <f aca="false">Sens!$D$7334*1000/(Sens!$D$7317*Sens!$D$7318)</f>
        <v>9.67085565405685</v>
      </c>
      <c r="E7335" s="36" t="n">
        <f aca="false">Sens!$E$7334*1000/(Sens!$E$7317*Sens!$E$7318)</f>
        <v>9.67085565405685</v>
      </c>
      <c r="F7335" s="36" t="n">
        <f aca="false">Sens!$F$7334*1000/(Sens!$F$7317*Sens!$F$7318)</f>
        <v>10.0137581588017</v>
      </c>
      <c r="G7335" s="36" t="n">
        <f aca="false">Sens!$G$7334*1000/(Sens!$G$7317*Sens!$G$7318)</f>
        <v>9.88666562928478</v>
      </c>
      <c r="H7335" s="36" t="n">
        <f aca="false">Sens!$H$7334*1000/(Sens!$H$7317*Sens!$H$7318)</f>
        <v>10.5290045586992</v>
      </c>
      <c r="I7335" s="36" t="n">
        <f aca="false">Sens!$I$7334*1000/(Sens!$I$7317*Sens!$I$7318)</f>
        <v>10.8576363451674</v>
      </c>
      <c r="J7335" s="36" t="n">
        <f aca="false">Sens!$J$7334*1000/(Sens!$J$7317*Sens!$J$7318)</f>
        <v>11.0164452588619</v>
      </c>
      <c r="K7335" s="36" t="n">
        <f aca="false">Sens!$K$7334*1000/(Sens!$K$7317*Sens!$K$7318)</f>
        <v>11.0937367508227</v>
      </c>
      <c r="L7335" s="36" t="n">
        <f aca="false">Sens!$L$7334*1000/(Sens!$L$7317*Sens!$L$7318)</f>
        <v>11.1300508519168</v>
      </c>
      <c r="M7335" s="36" t="n">
        <f aca="false">Sens!$M$7334*1000/(Sens!$M$7317*Sens!$M$7318)</f>
        <v>11.1430113216297</v>
      </c>
      <c r="N7335" s="36" t="n">
        <f aca="false">Sens!$N$7334*1000/(Sens!$N$7317*Sens!$N$7318)</f>
        <v>9.67085565405685</v>
      </c>
      <c r="O7335" s="36" t="n">
        <f aca="false">Sens!$O$7334*1000/(Sens!$O$7317*Sens!$O$7318)</f>
        <v>9.67085565405685</v>
      </c>
    </row>
    <row r="7336" customFormat="false" ht="17.15" hidden="false" customHeight="false" outlineLevel="0" collapsed="false">
      <c r="A7336" s="0" t="s">
        <v>616</v>
      </c>
      <c r="B7336" s="0" t="s">
        <v>86</v>
      </c>
      <c r="C7336" s="38" t="n">
        <f aca="false">Sens!$C$7317/ext_sh*(ox_open+rent_mw)*Sens!$C$7318/1000</f>
        <v>0.642569210675032</v>
      </c>
      <c r="D7336" s="38" t="n">
        <f aca="false">Sens!$D$7317/ext_sh*(ox_open+rent_mw)*Sens!$D$7318/1000</f>
        <v>2.40963454003137</v>
      </c>
      <c r="E7336" s="38" t="n">
        <f aca="false">Sens!$E$7317/ext_sh*(ox_open+rent_mw)*Sens!$E$7318/1000</f>
        <v>2.35608710580845</v>
      </c>
      <c r="F7336" s="38" t="n">
        <f aca="false">((mw_open*ox_open+Sens!$F$7332*Sens!$F$7330)/ext_sh+Sens!$F$7317/ext_sh*rent_mw)*Sens!$F$7318/1000</f>
        <v>4.05421991106232</v>
      </c>
      <c r="G7336" s="38" t="n">
        <f aca="false">Sens!$E$7336+Sens!$F$7336</f>
        <v>6.41030701687077</v>
      </c>
      <c r="H7336" s="38" t="n">
        <f aca="false">((mw_open*ox_open+Sens!$H$7332*Sens!$H$7330)/ext_sh+Sens!$H$7317/ext_sh*rent_mw)*Sens!$H$7318/1000</f>
        <v>15.8108975546616</v>
      </c>
      <c r="I7336" s="38" t="n">
        <f aca="false">((mw_open*ox_open+Sens!$I$7332*Sens!$I$7330)/ext_sh+Sens!$I$7317/ext_sh*rent_mw)*Sens!$I$7318/1000</f>
        <v>26.1871623400817</v>
      </c>
      <c r="J7336" s="38" t="n">
        <f aca="false">((mw_open*ox_open+Sens!$J$7332*Sens!$J$7330)/ext_sh+Sens!$J$7317/ext_sh*rent_mw)*Sens!$J$7318/1000</f>
        <v>36.5826128954935</v>
      </c>
      <c r="K7336" s="38" t="n">
        <f aca="false">((mw_open*ox_open+Sens!$K$7332*Sens!$K$7330)/ext_sh+Sens!$K$7317/ext_sh*rent_mw)*Sens!$K$7318/1000</f>
        <v>45.4546361137628</v>
      </c>
      <c r="L7336" s="38" t="n">
        <f aca="false">((mw_open*ox_open+Sens!$L$7332*Sens!$L$7330)/ext_sh+Sens!$L$7317/ext_sh*rent_mw)*Sens!$L$7318/1000</f>
        <v>51.2855695554452</v>
      </c>
      <c r="M7336" s="38" t="n">
        <f aca="false">((mw_open*ox_open+Sens!$M$7332*Sens!$M$7330)/ext_sh+Sens!$M$7317/ext_sh*rent_mw)*Sens!$M$7318/1000</f>
        <v>54.0722927838398</v>
      </c>
      <c r="N7336" s="38" t="n">
        <f aca="false">Sens!$N$7317/ext_sh*(ox_open+rent_mw)*Sens!$N$7318/1000</f>
        <v>0.84337208901098</v>
      </c>
      <c r="O7336" s="38" t="n">
        <f aca="false">Sens!$O$7317/ext_sh*(ox_open+rent_mw)*Sens!$O$7318/1000</f>
        <v>1.56626245102039</v>
      </c>
    </row>
    <row r="7337" customFormat="false" ht="17.15" hidden="false" customHeight="false" outlineLevel="0" collapsed="false">
      <c r="A7337" s="0" t="s">
        <v>617</v>
      </c>
      <c r="B7337" s="0" t="s">
        <v>86</v>
      </c>
      <c r="C7337" s="38" t="n">
        <f aca="false">Q!$D$7</f>
        <v>107.556</v>
      </c>
      <c r="D7337" s="38" t="n">
        <f aca="false">Q!$E$7</f>
        <v>128.725</v>
      </c>
      <c r="E7337" s="38" t="n">
        <f aca="false">Q!$P$7</f>
        <v>79.819</v>
      </c>
      <c r="N7337" s="38" t="n">
        <f aca="false">Q!$N$7</f>
        <v>60.14</v>
      </c>
      <c r="O7337" s="38" t="n">
        <f aca="false">Q!$O$7</f>
        <v>68.585</v>
      </c>
    </row>
    <row r="7338" customFormat="false" ht="17.15" hidden="false" customHeight="false" outlineLevel="0" collapsed="false">
      <c r="A7338" s="1" t="s">
        <v>618</v>
      </c>
      <c r="B7338" s="8" t="s">
        <v>86</v>
      </c>
      <c r="C7338" s="38" t="n">
        <f aca="false">Sens!$C$7337-Sens!$C$7334</f>
        <v>105.234994643026</v>
      </c>
      <c r="D7338" s="38" t="n">
        <f aca="false">Sens!$D$7337-Sens!$D$7334</f>
        <v>120.021229911349</v>
      </c>
      <c r="E7338" s="38" t="n">
        <f aca="false">Sens!$E$7337-Sens!$E$7334</f>
        <v>71.30864702443</v>
      </c>
      <c r="F7338" s="38" t="n">
        <f aca="false">Sens!$O$7338*(1+Sens!$F$7339)</f>
        <v>71.7692997942464</v>
      </c>
      <c r="G7338" s="38" t="n">
        <f aca="false">Sens!$E$7338+Sens!$F$7338</f>
        <v>143.077946818676</v>
      </c>
      <c r="H7338" s="38" t="n">
        <f aca="false">Sens!$G$7338*(1+Sens!$H$7339)</f>
        <v>161.017077079203</v>
      </c>
      <c r="I7338" s="38" t="n">
        <f aca="false">Sens!$H$7338*(1+Sens!$I$7339)</f>
        <v>178.769759521457</v>
      </c>
      <c r="J7338" s="38" t="n">
        <f aca="false">Sens!$I$7338*(1+Sens!$J$7339)</f>
        <v>195.775538045907</v>
      </c>
      <c r="K7338" s="38" t="n">
        <f aca="false">Sens!$J$7338*(1+Sens!$K$7339)</f>
        <v>211.43758108958</v>
      </c>
      <c r="L7338" s="38" t="n">
        <f aca="false">Sens!$K$7338*(1+Sens!$L$7339)</f>
        <v>228.352587576746</v>
      </c>
      <c r="M7338" s="38" t="n">
        <f aca="false">Sens!$L$7338*(1+Sens!$M$7339)</f>
        <v>246.620794582886</v>
      </c>
      <c r="N7338" s="38" t="n">
        <f aca="false">Sens!$N$7337-Sens!$N$7334</f>
        <v>57.0936804689721</v>
      </c>
      <c r="O7338" s="38" t="n">
        <f aca="false">Sens!$O$7337-Sens!$O$7334</f>
        <v>62.9275494423768</v>
      </c>
      <c r="P7338" s="5" t="s">
        <v>619</v>
      </c>
    </row>
    <row r="7339" customFormat="false" ht="17.15" hidden="false" customHeight="false" outlineLevel="0" collapsed="false">
      <c r="A7339" s="0" t="s">
        <v>620</v>
      </c>
      <c r="B7339" s="0" t="s">
        <v>52</v>
      </c>
      <c r="D7339" s="13" t="n">
        <f aca="false">Sens!$D$7338/Sens!$C$7338-1</f>
        <v>0.140506827776062</v>
      </c>
      <c r="E7339" s="13" t="n">
        <f aca="false">Sens!$E$7338/Sens!$N$7338-1</f>
        <v>0.248976181579029</v>
      </c>
      <c r="F7339" s="13" t="n">
        <f aca="false">Sens!$D$7339</f>
        <v>0.140506827776062</v>
      </c>
      <c r="G7339" s="13" t="n">
        <f aca="false">Sens!$G$7338/Sens!$D$7338-1</f>
        <v>0.19210532106993</v>
      </c>
      <c r="H7339" s="13" t="n">
        <f aca="false">Sens!$F$7339+(g_awso_lt-Sens!$F$7339)*1/4</f>
        <v>0.125380120832046</v>
      </c>
      <c r="I7339" s="13" t="n">
        <f aca="false">Sens!$F$7339+(g_awso_lt-Sens!$F$7339)*2/4</f>
        <v>0.110253413888031</v>
      </c>
      <c r="J7339" s="13" t="n">
        <f aca="false">Sens!$F$7339+(g_awso_lt-Sens!$F$7339)*3/4</f>
        <v>0.0951267069440154</v>
      </c>
      <c r="K7339" s="13" t="n">
        <f aca="false">Sens!$F$7339+(g_awso_lt-Sens!$F$7339)*4/4</f>
        <v>0.08</v>
      </c>
      <c r="L7339" s="13" t="n">
        <f aca="false">g_awso_lt</f>
        <v>0.08</v>
      </c>
      <c r="M7339" s="13" t="n">
        <f aca="false">g_awso_lt</f>
        <v>0.08</v>
      </c>
      <c r="P7339" s="5" t="s">
        <v>621</v>
      </c>
    </row>
    <row r="7340" customFormat="false" ht="17.15" hidden="false" customHeight="false" outlineLevel="0" collapsed="false">
      <c r="A7340" s="1" t="s">
        <v>622</v>
      </c>
    </row>
    <row r="7341" customFormat="false" ht="17.15" hidden="false" customHeight="false" outlineLevel="0" collapsed="false">
      <c r="A7341" s="0" t="s">
        <v>623</v>
      </c>
      <c r="B7341" s="0" t="s">
        <v>86</v>
      </c>
      <c r="F7341" s="38" t="n">
        <f aca="false">cx_rt*Sens!$F$7306+cx_awso*Sens!$F$7338</f>
        <v>34.9734495387866</v>
      </c>
    </row>
    <row r="7342" customFormat="false" ht="17.15" hidden="false" customHeight="false" outlineLevel="0" collapsed="false">
      <c r="A7342" s="0" t="s">
        <v>624</v>
      </c>
      <c r="B7342" s="0" t="s">
        <v>52</v>
      </c>
      <c r="C7342" s="13" t="n">
        <f aca="false">tk_cx_h100/(tk_cx_h100+tk_fac*(1-colo_sh))</f>
        <v>0.730756458006641</v>
      </c>
      <c r="D7342" s="13" t="n">
        <f aca="false">tk_cx_h100/(tk_cx_h100+tk_fac*(1-colo_sh))</f>
        <v>0.730756458006641</v>
      </c>
      <c r="E7342" s="13" t="n">
        <f aca="false">Sens!$F$7342</f>
        <v>0.760792334328868</v>
      </c>
      <c r="F7342" s="13" t="n">
        <f aca="false">Sens!$F$7325/(Sens!$F$7325+tk_fac*(1-colo_sh))</f>
        <v>0.760792334328868</v>
      </c>
      <c r="G7342" s="13" t="n">
        <f aca="false">Sens!$G$7325/(Sens!$G$7325+tk_fac*(1-colo_sh))</f>
        <v>0.760792334328868</v>
      </c>
      <c r="H7342" s="13" t="n">
        <f aca="false">Sens!$H$7325/(Sens!$H$7325+tk_fac*(1-colo_sh))</f>
        <v>0.768110668862996</v>
      </c>
      <c r="I7342" s="13" t="n">
        <f aca="false">Sens!$I$7325/(Sens!$I$7325+tk_fac*(1-colo_sh))</f>
        <v>0.77499450139483</v>
      </c>
      <c r="J7342" s="13" t="n">
        <f aca="false">Sens!$J$7325/(Sens!$J$7325+tk_fac*(1-colo_sh))</f>
        <v>0.77499450139483</v>
      </c>
      <c r="K7342" s="13" t="n">
        <f aca="false">Sens!$K$7325/(Sens!$K$7325+tk_fac*(1-colo_sh))</f>
        <v>0.77499450139483</v>
      </c>
      <c r="L7342" s="13" t="n">
        <f aca="false">Sens!$L$7325/(Sens!$L$7325+tk_fac*(1-colo_sh))</f>
        <v>0.77499450139483</v>
      </c>
      <c r="M7342" s="13" t="n">
        <f aca="false">Sens!$M$7325/(Sens!$M$7325+tk_fac*(1-colo_sh))</f>
        <v>0.77499450139483</v>
      </c>
    </row>
    <row r="7343" customFormat="false" ht="17.15" hidden="false" customHeight="false" outlineLevel="0" collapsed="false">
      <c r="A7343" s="1" t="s">
        <v>625</v>
      </c>
      <c r="B7343" s="8" t="s">
        <v>86</v>
      </c>
      <c r="C7343" s="38" t="n">
        <f aca="false">Q!$D$46-cx_rt*Q!$D$16-cx_awso*Sens!$C$7338</f>
        <v>25.2781053077374</v>
      </c>
      <c r="D7343" s="38" t="n">
        <f aca="false">Q!$E$46-cx_rt*Q!$E$16-cx_awso*Sens!$D$7338</f>
        <v>69.5686316310026</v>
      </c>
      <c r="E7343" s="38" t="n">
        <f aca="false">Q!$P$46-cx_rt*Q!$P$16-cx_awso*Sens!$E$7338</f>
        <v>64.1899206485108</v>
      </c>
      <c r="F7343" s="38" t="n">
        <f aca="false">MAX(Sens!$F$7320*(Sens!$F$7325+tk_fac*(1-colo_sh))/1000,capex_g26-Q!$P$46-Sens!$F$7341)</f>
        <v>96.2481299895</v>
      </c>
      <c r="G7343" s="38" t="n">
        <f aca="false">Sens!$E$7343+Sens!$F$7343</f>
        <v>160.438050638011</v>
      </c>
      <c r="H7343" s="38" t="n">
        <f aca="false">Sens!$H$7320*(Sens!$H$7325+tk_fac*(1-colo_sh))/1000+Sens!$H$7344</f>
        <v>198.57136494475</v>
      </c>
      <c r="I7343" s="38" t="n">
        <f aca="false">Sens!$I$7320*(Sens!$I$7325+tk_fac*(1-colo_sh))/1000+Sens!$I$7344</f>
        <v>204.6464699105</v>
      </c>
      <c r="J7343" s="38" t="n">
        <f aca="false">Sens!$J$7320*(Sens!$J$7325+tk_fac*(1-colo_sh))/1000+Sens!$J$7344</f>
        <v>209.8832381105</v>
      </c>
      <c r="K7343" s="38" t="n">
        <f aca="false">Sens!$K$7320*(Sens!$K$7325+tk_fac*(1-colo_sh))/1000+Sens!$K$7344</f>
        <v>155.238385275201</v>
      </c>
      <c r="L7343" s="38" t="n">
        <f aca="false">Sens!$L$7320*(Sens!$L$7325+tk_fac*(1-colo_sh))/1000+Sens!$L$7344</f>
        <v>132.014141639902</v>
      </c>
      <c r="M7343" s="38" t="n">
        <f aca="false">Sens!$M$7320*(Sens!$M$7325+tk_fac*(1-colo_sh))/1000+Sens!$M$7344</f>
        <v>132.230981659852</v>
      </c>
      <c r="P7343" s="5" t="s">
        <v>626</v>
      </c>
      <c r="R7343" s="38" t="n">
        <f aca="false">Q!$C$46-cx_rt*Q!$C$16-cx_awso*(Q!$C$7-mw_ye23/2*rpm_open/1000)</f>
        <v>1.50429979529945</v>
      </c>
      <c r="S7343" s="38" t="n">
        <f aca="false">Sens!$C$7343</f>
        <v>25.2781053077374</v>
      </c>
      <c r="T7343" s="38" t="n">
        <f aca="false">Sens!$D$7343</f>
        <v>69.5686316310026</v>
      </c>
      <c r="U7343" s="38" t="n">
        <f aca="false">Sens!$G$7343</f>
        <v>160.438050638011</v>
      </c>
      <c r="V7343" s="38" t="n">
        <f aca="false">Sens!$H$7343</f>
        <v>198.57136494475</v>
      </c>
      <c r="W7343" s="38" t="n">
        <f aca="false">Sens!$I$7343</f>
        <v>204.6464699105</v>
      </c>
      <c r="X7343" s="38" t="n">
        <f aca="false">Sens!$J$7343</f>
        <v>209.8832381105</v>
      </c>
      <c r="Y7343" s="38" t="n">
        <f aca="false">Sens!$K$7343</f>
        <v>155.238385275201</v>
      </c>
      <c r="Z7343" s="38" t="n">
        <f aca="false">Sens!$L$7343</f>
        <v>132.014141639902</v>
      </c>
      <c r="AA7343" s="38" t="n">
        <f aca="false">Sens!$M$7343</f>
        <v>132.230981659852</v>
      </c>
    </row>
    <row r="7344" customFormat="false" ht="17.15" hidden="false" customHeight="false" outlineLevel="0" collapsed="false">
      <c r="A7344" s="0" t="s">
        <v>627</v>
      </c>
      <c r="B7344" s="0" t="s">
        <v>86</v>
      </c>
      <c r="H7344" s="38" t="n">
        <f aca="false">SUMPRODUCT(--(Sens!$R$7313:$AA$7313=2027-tk_life),Sens!$R$7320:$AA$7320)*Sens!$H$7325/1000</f>
        <v>0</v>
      </c>
      <c r="I7344" s="38" t="n">
        <f aca="false">SUMPRODUCT(--(Sens!$R$7313:$AA$7313=2028-tk_life),Sens!$R$7320:$AA$7320)*Sens!$I$7325/1000</f>
        <v>0</v>
      </c>
      <c r="J7344" s="38" t="n">
        <f aca="false">SUMPRODUCT(--(Sens!$R$7313:$AA$7313=2029-tk_life),Sens!$R$7320:$AA$7320)*Sens!$J$7325/1000</f>
        <v>5.2367682</v>
      </c>
      <c r="K7344" s="38" t="n">
        <f aca="false">SUMPRODUCT(--(Sens!$R$7313:$AA$7313=2030-tk_life),Sens!$R$7320:$AA$7320)*Sens!$K$7325/1000</f>
        <v>10.4735364</v>
      </c>
      <c r="L7344" s="38" t="n">
        <f aca="false">SUMPRODUCT(--(Sens!$R$7313:$AA$7313=2031-tk_life),Sens!$R$7320:$AA$7320)*Sens!$L$7325/1000</f>
        <v>47.1309138</v>
      </c>
      <c r="M7344" s="38" t="n">
        <f aca="false">SUMPRODUCT(--(Sens!$R$7313:$AA$7313=2032-tk_life),Sens!$R$7320:$AA$7320)*Sens!$M$7325/1000</f>
        <v>107.22937485525</v>
      </c>
    </row>
    <row r="7345" customFormat="false" ht="17.15" hidden="false" customHeight="false" outlineLevel="0" collapsed="false">
      <c r="A7345" s="5" t="s">
        <v>628</v>
      </c>
      <c r="B7345" s="0" t="s">
        <v>86</v>
      </c>
      <c r="C7345" s="38" t="n">
        <f aca="false">Sens!$C$7343*Sens!$C$7342</f>
        <v>18.472138699801</v>
      </c>
      <c r="D7345" s="38" t="n">
        <f aca="false">Sens!$D$7343*Sens!$D$7342</f>
        <v>50.8377268390402</v>
      </c>
      <c r="E7345" s="38" t="n">
        <f aca="false">Sens!$E$7343*Sens!$E$7342</f>
        <v>48.8351995705653</v>
      </c>
      <c r="F7345" s="38" t="n">
        <f aca="false">Sens!$F$7343*Sens!$F$7342</f>
        <v>73.2248394895</v>
      </c>
      <c r="G7345" s="38" t="n">
        <f aca="false">Sens!$E$7345+Sens!$F$7345</f>
        <v>122.060039060065</v>
      </c>
      <c r="H7345" s="38" t="n">
        <f aca="false">(Sens!$H$7343-Sens!$H$7344)*Sens!$H$7342+Sens!$H$7344</f>
        <v>152.52478394475</v>
      </c>
      <c r="I7345" s="38" t="n">
        <f aca="false">(Sens!$I$7343-Sens!$I$7344)*Sens!$I$7342+Sens!$I$7344</f>
        <v>158.5998889105</v>
      </c>
      <c r="J7345" s="38" t="n">
        <f aca="false">(Sens!$J$7343-Sens!$J$7344)*Sens!$J$7342+Sens!$J$7344</f>
        <v>163.8366571105</v>
      </c>
      <c r="K7345" s="38" t="n">
        <f aca="false">(Sens!$K$7343-Sens!$K$7344)*Sens!$K$7342+Sens!$K$7344</f>
        <v>122.665498273534</v>
      </c>
      <c r="L7345" s="38" t="n">
        <f aca="false">(Sens!$L$7343-Sens!$L$7344)*Sens!$L$7342+Sens!$L$7344</f>
        <v>112.914948636568</v>
      </c>
      <c r="M7345" s="38" t="n">
        <f aca="false">(Sens!$M$7343-Sens!$M$7344)*Sens!$M$7342+Sens!$M$7344</f>
        <v>126.605482654852</v>
      </c>
      <c r="R7345" s="38" t="n">
        <f aca="false">Sens!$R$7343*Sens!$C$7342</f>
        <v>1.09927679019314</v>
      </c>
      <c r="S7345" s="38" t="n">
        <f aca="false">Sens!$C$7345</f>
        <v>18.472138699801</v>
      </c>
      <c r="T7345" s="38" t="n">
        <f aca="false">Sens!$D$7345</f>
        <v>50.8377268390402</v>
      </c>
      <c r="U7345" s="38" t="n">
        <f aca="false">Sens!$G$7345</f>
        <v>122.060039060065</v>
      </c>
      <c r="V7345" s="38" t="n">
        <f aca="false">Sens!$H$7345</f>
        <v>152.52478394475</v>
      </c>
      <c r="W7345" s="38" t="n">
        <f aca="false">Sens!$I$7345</f>
        <v>158.5998889105</v>
      </c>
      <c r="X7345" s="38" t="n">
        <f aca="false">Sens!$J$7345</f>
        <v>163.8366571105</v>
      </c>
      <c r="Y7345" s="38" t="n">
        <f aca="false">Sens!$K$7345</f>
        <v>122.665498273534</v>
      </c>
      <c r="Z7345" s="38" t="n">
        <f aca="false">Sens!$L$7345</f>
        <v>112.914948636568</v>
      </c>
      <c r="AA7345" s="38" t="n">
        <f aca="false">Sens!$M$7345</f>
        <v>126.605482654852</v>
      </c>
    </row>
    <row r="7346" customFormat="false" ht="15" hidden="false" customHeight="false" outlineLevel="0" collapsed="false">
      <c r="A7346" s="5" t="s">
        <v>629</v>
      </c>
      <c r="B7346" s="0" t="s">
        <v>86</v>
      </c>
      <c r="C7346" s="38" t="n">
        <f aca="false">Sens!$C$7343-Sens!$C$7345</f>
        <v>6.80596660793636</v>
      </c>
      <c r="D7346" s="38" t="n">
        <f aca="false">Sens!$D$7343-Sens!$D$7345</f>
        <v>18.7309047919624</v>
      </c>
      <c r="E7346" s="38" t="n">
        <f aca="false">Sens!$E$7343-Sens!$E$7345</f>
        <v>15.3547210779455</v>
      </c>
      <c r="F7346" s="38" t="n">
        <f aca="false">Sens!$F$7343-Sens!$F$7345</f>
        <v>23.0232905</v>
      </c>
      <c r="G7346" s="38" t="n">
        <f aca="false">Sens!$G$7343-Sens!$G$7345</f>
        <v>38.3780115779455</v>
      </c>
      <c r="H7346" s="38" t="n">
        <f aca="false">Sens!$H$7343-Sens!$H$7345</f>
        <v>46.046581</v>
      </c>
      <c r="I7346" s="38" t="n">
        <f aca="false">Sens!$I$7343-Sens!$I$7345</f>
        <v>46.046581</v>
      </c>
      <c r="J7346" s="38" t="n">
        <f aca="false">Sens!$J$7343-Sens!$J$7345</f>
        <v>46.046581</v>
      </c>
      <c r="K7346" s="38" t="n">
        <f aca="false">Sens!$K$7343-Sens!$K$7345</f>
        <v>32.5728870016667</v>
      </c>
      <c r="L7346" s="38" t="n">
        <f aca="false">Sens!$L$7343-Sens!$L$7345</f>
        <v>19.0991930033334</v>
      </c>
      <c r="M7346" s="38" t="n">
        <f aca="false">Sens!$M$7343-Sens!$M$7345</f>
        <v>5.62549900499998</v>
      </c>
      <c r="R7346" s="38" t="n">
        <f aca="false">Sens!$R$7343-Sens!$R$7345</f>
        <v>0.405023005106309</v>
      </c>
      <c r="S7346" s="38" t="n">
        <f aca="false">Sens!$S$7343-Sens!$S$7345</f>
        <v>6.80596660793636</v>
      </c>
      <c r="T7346" s="38" t="n">
        <f aca="false">Sens!$T$7343-Sens!$T$7345</f>
        <v>18.7309047919624</v>
      </c>
      <c r="U7346" s="38" t="n">
        <f aca="false">Sens!$U$7343-Sens!$U$7345</f>
        <v>38.3780115779455</v>
      </c>
      <c r="V7346" s="38" t="n">
        <f aca="false">Sens!$V$7343-Sens!$V$7345</f>
        <v>46.046581</v>
      </c>
      <c r="W7346" s="38" t="n">
        <f aca="false">Sens!$W$7343-Sens!$W$7345</f>
        <v>46.046581</v>
      </c>
      <c r="X7346" s="38" t="n">
        <f aca="false">Sens!$X$7343-Sens!$X$7345</f>
        <v>46.046581</v>
      </c>
      <c r="Y7346" s="38" t="n">
        <f aca="false">Sens!$Y$7343-Sens!$Y$7345</f>
        <v>32.5728870016667</v>
      </c>
      <c r="Z7346" s="38" t="n">
        <f aca="false">Sens!$Z$7343-Sens!$Z$7345</f>
        <v>19.0991930033334</v>
      </c>
      <c r="AA7346" s="38" t="n">
        <f aca="false">Sens!$AA$7343-Sens!$AA$7345</f>
        <v>5.62549900499998</v>
      </c>
    </row>
    <row r="7347" customFormat="false" ht="17.15" hidden="false" customHeight="false" outlineLevel="0" collapsed="false">
      <c r="A7347" s="0" t="s">
        <v>630</v>
      </c>
      <c r="B7347" s="0" t="s">
        <v>52</v>
      </c>
      <c r="C7347" s="13" t="n">
        <f aca="false">Sens!$C$7343/Sens!$C$7463</f>
        <v>0.325505489553393</v>
      </c>
      <c r="D7347" s="13" t="n">
        <f aca="false">Sens!$D$7343/Sens!$D$7463</f>
        <v>0.54214956071542</v>
      </c>
      <c r="E7347" s="13" t="n">
        <f aca="false">Sens!$E$7343/Sens!$E$7463</f>
        <v>0.666492790452817</v>
      </c>
      <c r="F7347" s="13" t="n">
        <f aca="false">Sens!$F$7343/Sens!$F$7463</f>
        <v>0.733477910687338</v>
      </c>
      <c r="G7347" s="13" t="n">
        <f aca="false">Sens!$G$7343/Sens!$G$7463</f>
        <v>0.705124321514523</v>
      </c>
      <c r="H7347" s="13" t="n">
        <f aca="false">Sens!$H$7343/Sens!$H$7463</f>
        <v>0.726376041178204</v>
      </c>
      <c r="I7347" s="13" t="n">
        <f aca="false">Sens!$I$7343/Sens!$I$7463</f>
        <v>0.713099092661699</v>
      </c>
      <c r="J7347" s="13" t="n">
        <f aca="false">Sens!$J$7343/Sens!$J$7463</f>
        <v>0.701208348786245</v>
      </c>
      <c r="K7347" s="13" t="n">
        <f aca="false">Sens!$K$7343/Sens!$K$7463</f>
        <v>0.618338844562383</v>
      </c>
      <c r="L7347" s="13" t="n">
        <f aca="false">Sens!$L$7343/Sens!$L$7463</f>
        <v>0.562489158462506</v>
      </c>
      <c r="M7347" s="13" t="n">
        <f aca="false">Sens!$M$7343/Sens!$M$7463</f>
        <v>0.545751190895923</v>
      </c>
    </row>
    <row r="7348" customFormat="false" ht="17.15" hidden="false" customHeight="false" outlineLevel="0" collapsed="false">
      <c r="A7348" s="0" t="s">
        <v>631</v>
      </c>
      <c r="B7348" s="0" t="s">
        <v>86</v>
      </c>
      <c r="C7348" s="38" t="n">
        <f aca="false">Sens!$S$7348</f>
        <v>0.183212798365523</v>
      </c>
      <c r="D7348" s="38" t="n">
        <f aca="false">Sens!$T$7348</f>
        <v>3.2619025816657</v>
      </c>
      <c r="E7348" s="38" t="n">
        <f aca="false">Sens!$G$7348/2</f>
        <v>5.86742852741953</v>
      </c>
      <c r="F7348" s="38" t="n">
        <f aca="false">Sens!$G$7348/2</f>
        <v>5.86742852741953</v>
      </c>
      <c r="G7348" s="38" t="n">
        <f aca="false">Sens!$U$7348</f>
        <v>11.7348570548391</v>
      </c>
      <c r="H7348" s="38" t="n">
        <f aca="false">Sens!$V$7348</f>
        <v>32.0781968981833</v>
      </c>
      <c r="I7348" s="38" t="n">
        <f aca="false">Sens!$W$7348</f>
        <v>57.4989942223083</v>
      </c>
      <c r="J7348" s="38" t="n">
        <f aca="false">Sens!$X$7348</f>
        <v>83.932309040725</v>
      </c>
      <c r="K7348" s="38" t="n">
        <f aca="false">Sens!$Y$7348</f>
        <v>111.055205760776</v>
      </c>
      <c r="L7348" s="38" t="n">
        <f aca="false">Sens!$Z$7348</f>
        <v>128.420765689732</v>
      </c>
      <c r="M7348" s="38" t="n">
        <f aca="false">Sens!$AA$7348</f>
        <v>138.766969322653</v>
      </c>
      <c r="N7348" s="38" t="n">
        <f aca="false">Sens!$D$7348/2</f>
        <v>1.63095129083285</v>
      </c>
      <c r="O7348" s="38" t="n">
        <f aca="false">Sens!$D$7348/2</f>
        <v>1.63095129083285</v>
      </c>
      <c r="R7348" s="38" t="n">
        <f aca="false">SUMPRODUCT(--(Sens!$R$7313:$AA$7313&lt;Sens!R$7313),--(Sens!$R$7313:$AA$7313&gt;=Sens!R$7313-tk_life),Sens!$R$7345:$AA$7345)/tk_life</f>
        <v>0</v>
      </c>
      <c r="S7348" s="38" t="n">
        <f aca="false">SUMPRODUCT(--(Sens!$R$7313:$AA$7313&lt;Sens!S$7313),--(Sens!$R$7313:$AA$7313&gt;=Sens!S$7313-tk_life),Sens!$R$7345:$AA$7345)/tk_life</f>
        <v>0.183212798365523</v>
      </c>
      <c r="T7348" s="38" t="n">
        <f aca="false">SUMPRODUCT(--(Sens!$R$7313:$AA$7313&lt;Sens!T$7313),--(Sens!$R$7313:$AA$7313&gt;=Sens!T$7313-tk_life),Sens!$R$7345:$AA$7345)/tk_life</f>
        <v>3.2619025816657</v>
      </c>
      <c r="U7348" s="38" t="n">
        <f aca="false">SUMPRODUCT(--(Sens!$R$7313:$AA$7313&lt;Sens!U$7313),--(Sens!$R$7313:$AA$7313&gt;=Sens!U$7313-tk_life),Sens!$R$7345:$AA$7345)/tk_life</f>
        <v>11.7348570548391</v>
      </c>
      <c r="V7348" s="38" t="n">
        <f aca="false">SUMPRODUCT(--(Sens!$R$7313:$AA$7313&lt;Sens!V$7313),--(Sens!$R$7313:$AA$7313&gt;=Sens!V$7313-tk_life),Sens!$R$7345:$AA$7345)/tk_life</f>
        <v>32.0781968981833</v>
      </c>
      <c r="W7348" s="38" t="n">
        <f aca="false">SUMPRODUCT(--(Sens!$R$7313:$AA$7313&lt;Sens!W$7313),--(Sens!$R$7313:$AA$7313&gt;=Sens!W$7313-tk_life),Sens!$R$7345:$AA$7345)/tk_life</f>
        <v>57.4989942223083</v>
      </c>
      <c r="X7348" s="38" t="n">
        <f aca="false">SUMPRODUCT(--(Sens!$R$7313:$AA$7313&lt;Sens!X$7313),--(Sens!$R$7313:$AA$7313&gt;=Sens!X$7313-tk_life),Sens!$R$7345:$AA$7345)/tk_life</f>
        <v>83.932309040725</v>
      </c>
      <c r="Y7348" s="38" t="n">
        <f aca="false">SUMPRODUCT(--(Sens!$R$7313:$AA$7313&lt;Sens!Y$7313),--(Sens!$R$7313:$AA$7313&gt;=Sens!Y$7313-tk_life),Sens!$R$7345:$AA$7345)/tk_life</f>
        <v>111.055205760776</v>
      </c>
      <c r="Z7348" s="38" t="n">
        <f aca="false">SUMPRODUCT(--(Sens!$R$7313:$AA$7313&lt;Sens!Z$7313),--(Sens!$R$7313:$AA$7313&gt;=Sens!Z$7313-tk_life),Sens!$R$7345:$AA$7345)/tk_life</f>
        <v>128.420765689732</v>
      </c>
      <c r="AA7348" s="38" t="n">
        <f aca="false">SUMPRODUCT(--(Sens!$R$7313:$AA$7313&lt;Sens!AA$7313),--(Sens!$R$7313:$AA$7313&gt;=Sens!AA$7313-tk_life),Sens!$R$7345:$AA$7345)/tk_life</f>
        <v>138.766969322653</v>
      </c>
    </row>
    <row r="7349" customFormat="false" ht="17.15" hidden="false" customHeight="false" outlineLevel="0" collapsed="false">
      <c r="A7349" s="0" t="s">
        <v>632</v>
      </c>
      <c r="B7349" s="0" t="s">
        <v>86</v>
      </c>
      <c r="C7349" s="38" t="n">
        <f aca="false">Sens!$S$7349</f>
        <v>0.0202511502553155</v>
      </c>
      <c r="D7349" s="38" t="n">
        <f aca="false">Sens!$T$7349</f>
        <v>0.360549480652134</v>
      </c>
      <c r="E7349" s="38" t="n">
        <f aca="false">Sens!$G$7349/2</f>
        <v>0.648547360125127</v>
      </c>
      <c r="F7349" s="38" t="n">
        <f aca="false">Sens!$G$7349/2</f>
        <v>0.648547360125127</v>
      </c>
      <c r="G7349" s="38" t="n">
        <f aca="false">Sens!$U$7349</f>
        <v>1.29709472025025</v>
      </c>
      <c r="H7349" s="38" t="n">
        <f aca="false">Sens!$V$7349</f>
        <v>3.21599529914753</v>
      </c>
      <c r="I7349" s="38" t="n">
        <f aca="false">Sens!$W$7349</f>
        <v>5.51832434914753</v>
      </c>
      <c r="J7349" s="38" t="n">
        <f aca="false">Sens!$X$7349</f>
        <v>7.82065339914753</v>
      </c>
      <c r="K7349" s="38" t="n">
        <f aca="false">Sens!$Y$7349</f>
        <v>10.1229824491475</v>
      </c>
      <c r="L7349" s="38" t="n">
        <f aca="false">Sens!$Z$7349</f>
        <v>11.7516267992309</v>
      </c>
      <c r="M7349" s="38" t="n">
        <f aca="false">Sens!$AA$7349</f>
        <v>12.7065864493975</v>
      </c>
      <c r="N7349" s="38" t="n">
        <f aca="false">Sens!$D$7349/2</f>
        <v>0.180274740326067</v>
      </c>
      <c r="O7349" s="38" t="n">
        <f aca="false">Sens!$D$7349/2</f>
        <v>0.180274740326067</v>
      </c>
      <c r="R7349" s="38" t="n">
        <f aca="false">SUMPRODUCT(--(Sens!$R$7313:$AA$7313&lt;Sens!R$7313),Sens!$R$7346:$AA$7346)/fac_life</f>
        <v>0</v>
      </c>
      <c r="S7349" s="38" t="n">
        <f aca="false">SUMPRODUCT(--(Sens!$R$7313:$AA$7313&lt;Sens!S$7313),Sens!$R$7346:$AA$7346)/fac_life</f>
        <v>0.0202511502553155</v>
      </c>
      <c r="T7349" s="38" t="n">
        <f aca="false">SUMPRODUCT(--(Sens!$R$7313:$AA$7313&lt;Sens!T$7313),Sens!$R$7346:$AA$7346)/fac_life</f>
        <v>0.360549480652134</v>
      </c>
      <c r="U7349" s="38" t="n">
        <f aca="false">SUMPRODUCT(--(Sens!$R$7313:$AA$7313&lt;Sens!U$7313),Sens!$R$7346:$AA$7346)/fac_life</f>
        <v>1.29709472025025</v>
      </c>
      <c r="V7349" s="38" t="n">
        <f aca="false">SUMPRODUCT(--(Sens!$R$7313:$AA$7313&lt;Sens!V$7313),Sens!$R$7346:$AA$7346)/fac_life</f>
        <v>3.21599529914753</v>
      </c>
      <c r="W7349" s="38" t="n">
        <f aca="false">SUMPRODUCT(--(Sens!$R$7313:$AA$7313&lt;Sens!W$7313),Sens!$R$7346:$AA$7346)/fac_life</f>
        <v>5.51832434914753</v>
      </c>
      <c r="X7349" s="38" t="n">
        <f aca="false">SUMPRODUCT(--(Sens!$R$7313:$AA$7313&lt;Sens!X$7313),Sens!$R$7346:$AA$7346)/fac_life</f>
        <v>7.82065339914753</v>
      </c>
      <c r="Y7349" s="38" t="n">
        <f aca="false">SUMPRODUCT(--(Sens!$R$7313:$AA$7313&lt;Sens!Y$7313),Sens!$R$7346:$AA$7346)/fac_life</f>
        <v>10.1229824491475</v>
      </c>
      <c r="Z7349" s="38" t="n">
        <f aca="false">SUMPRODUCT(--(Sens!$R$7313:$AA$7313&lt;Sens!Z$7313),Sens!$R$7346:$AA$7346)/fac_life</f>
        <v>11.7516267992309</v>
      </c>
      <c r="AA7349" s="38" t="n">
        <f aca="false">SUMPRODUCT(--(Sens!$R$7313:$AA$7313&lt;Sens!AA$7313),Sens!$R$7346:$AA$7346)/fac_life</f>
        <v>12.7065864493975</v>
      </c>
    </row>
    <row r="7350" customFormat="false" ht="17.15" hidden="false" customHeight="false" outlineLevel="0" collapsed="false">
      <c r="A7350" s="1" t="s">
        <v>633</v>
      </c>
      <c r="B7350" s="8" t="s">
        <v>86</v>
      </c>
      <c r="C7350" s="38" t="n">
        <f aca="false">Sens!$C$7348+Sens!$C$7349</f>
        <v>0.203463948620839</v>
      </c>
      <c r="D7350" s="38" t="n">
        <f aca="false">Sens!$D$7348+Sens!$D$7349</f>
        <v>3.62245206231783</v>
      </c>
      <c r="E7350" s="38" t="n">
        <f aca="false">Sens!$E$7348+Sens!$E$7349</f>
        <v>6.51597588754466</v>
      </c>
      <c r="F7350" s="38" t="n">
        <f aca="false">Sens!$F$7348+Sens!$F$7349</f>
        <v>6.51597588754466</v>
      </c>
      <c r="G7350" s="38" t="n">
        <f aca="false">Sens!$G$7348+Sens!$G$7349</f>
        <v>13.0319517750893</v>
      </c>
      <c r="H7350" s="38" t="n">
        <f aca="false">Sens!$H$7348+Sens!$H$7349</f>
        <v>35.2941921973308</v>
      </c>
      <c r="I7350" s="38" t="n">
        <f aca="false">Sens!$I$7348+Sens!$I$7349</f>
        <v>63.0173185714558</v>
      </c>
      <c r="J7350" s="38" t="n">
        <f aca="false">Sens!$J$7348+Sens!$J$7349</f>
        <v>91.7529624398725</v>
      </c>
      <c r="K7350" s="38" t="n">
        <f aca="false">Sens!$K$7348+Sens!$K$7349</f>
        <v>121.178188209924</v>
      </c>
      <c r="L7350" s="38" t="n">
        <f aca="false">Sens!$L$7348+Sens!$L$7349</f>
        <v>140.172392488963</v>
      </c>
      <c r="M7350" s="38" t="n">
        <f aca="false">Sens!$M$7348+Sens!$M$7349</f>
        <v>151.473555772051</v>
      </c>
      <c r="N7350" s="38" t="n">
        <f aca="false">Sens!$N$7348+Sens!$N$7349</f>
        <v>1.81122603115892</v>
      </c>
      <c r="O7350" s="38" t="n">
        <f aca="false">Sens!$O$7348+Sens!$O$7349</f>
        <v>1.81122603115892</v>
      </c>
      <c r="R7350" s="38" t="n">
        <f aca="false">Sens!$R$7348+Sens!$R$7349</f>
        <v>0</v>
      </c>
      <c r="S7350" s="38" t="n">
        <f aca="false">Sens!$S$7348+Sens!$S$7349</f>
        <v>0.203463948620839</v>
      </c>
      <c r="T7350" s="38" t="n">
        <f aca="false">Sens!$T$7348+Sens!$T$7349</f>
        <v>3.62245206231783</v>
      </c>
      <c r="U7350" s="38" t="n">
        <f aca="false">Sens!$U$7348+Sens!$U$7349</f>
        <v>13.0319517750893</v>
      </c>
      <c r="V7350" s="38" t="n">
        <f aca="false">Sens!$V$7348+Sens!$V$7349</f>
        <v>35.2941921973308</v>
      </c>
      <c r="W7350" s="38" t="n">
        <f aca="false">Sens!$W$7348+Sens!$W$7349</f>
        <v>63.0173185714558</v>
      </c>
      <c r="X7350" s="38" t="n">
        <f aca="false">Sens!$X$7348+Sens!$X$7349</f>
        <v>91.7529624398725</v>
      </c>
      <c r="Y7350" s="38" t="n">
        <f aca="false">Sens!$Y$7348+Sens!$Y$7349</f>
        <v>121.178188209924</v>
      </c>
      <c r="Z7350" s="38" t="n">
        <f aca="false">Sens!$Z$7348+Sens!$Z$7349</f>
        <v>140.172392488963</v>
      </c>
      <c r="AA7350" s="38" t="n">
        <f aca="false">Sens!$AA$7348+Sens!$AA$7349</f>
        <v>151.473555772051</v>
      </c>
    </row>
    <row r="7351" customFormat="false" ht="17.15" hidden="false" customHeight="false" outlineLevel="0" collapsed="false">
      <c r="A7351" s="0" t="s">
        <v>634</v>
      </c>
      <c r="B7351" s="0" t="s">
        <v>86</v>
      </c>
      <c r="C7351" s="38" t="n">
        <f aca="false">Sens!$S$7351</f>
        <v>26.578941154416</v>
      </c>
      <c r="D7351" s="38" t="n">
        <f aca="false">Sens!$T$7351</f>
        <v>92.5251207231008</v>
      </c>
      <c r="G7351" s="38" t="n">
        <f aca="false">Sens!$U$7351</f>
        <v>239.931219586022</v>
      </c>
      <c r="H7351" s="38" t="n">
        <f aca="false">Sens!$V$7351</f>
        <v>403.208392333442</v>
      </c>
      <c r="I7351" s="38" t="n">
        <f aca="false">Sens!$W$7351</f>
        <v>544.837543672486</v>
      </c>
      <c r="J7351" s="38" t="n">
        <f aca="false">Sens!$X$7351</f>
        <v>662.967819343113</v>
      </c>
      <c r="K7351" s="38" t="n">
        <f aca="false">Sens!$Y$7351</f>
        <v>697.028016408391</v>
      </c>
      <c r="L7351" s="38" t="n">
        <f aca="false">Sens!$Z$7351</f>
        <v>688.86976555933</v>
      </c>
      <c r="M7351" s="38" t="n">
        <f aca="false">Sens!$AA$7351</f>
        <v>669.627191447132</v>
      </c>
      <c r="R7351" s="38" t="n">
        <f aca="false">SUM(Sens!$R$7343:$R$7343)-SUM(Sens!$R$7350:$R$7350)</f>
        <v>1.50429979529945</v>
      </c>
      <c r="S7351" s="38" t="n">
        <f aca="false">SUM(Sens!$R$7343:$S$7343)-SUM(Sens!$R$7350:$S$7350)</f>
        <v>26.578941154416</v>
      </c>
      <c r="T7351" s="38" t="n">
        <f aca="false">SUM(Sens!$R$7343:$T$7343)-SUM(Sens!$R$7350:$T$7350)</f>
        <v>92.5251207231008</v>
      </c>
      <c r="U7351" s="38" t="n">
        <f aca="false">SUM(Sens!$R$7343:$U$7343)-SUM(Sens!$R$7350:$U$7350)</f>
        <v>239.931219586022</v>
      </c>
      <c r="V7351" s="38" t="n">
        <f aca="false">SUM(Sens!$R$7343:$V$7343)-SUM(Sens!$R$7350:$V$7350)</f>
        <v>403.208392333442</v>
      </c>
      <c r="W7351" s="38" t="n">
        <f aca="false">SUM(Sens!$R$7343:$W$7343)-SUM(Sens!$R$7350:$W$7350)</f>
        <v>544.837543672486</v>
      </c>
      <c r="X7351" s="38" t="n">
        <f aca="false">SUM(Sens!$R$7343:$X$7343)-SUM(Sens!$R$7350:$X$7350)</f>
        <v>662.967819343113</v>
      </c>
      <c r="Y7351" s="38" t="n">
        <f aca="false">SUM(Sens!$R$7343:$Y$7343)-SUM(Sens!$R$7350:$Y$7350)</f>
        <v>697.028016408391</v>
      </c>
      <c r="Z7351" s="38" t="n">
        <f aca="false">SUM(Sens!$R$7343:$Z$7343)-SUM(Sens!$R$7350:$Z$7350)</f>
        <v>688.86976555933</v>
      </c>
      <c r="AA7351" s="38" t="n">
        <f aca="false">SUM(Sens!$R$7343:$AA$7343)-SUM(Sens!$R$7350:$AA$7350)</f>
        <v>669.627191447132</v>
      </c>
    </row>
    <row r="7352" customFormat="false" ht="17.15" hidden="false" customHeight="false" outlineLevel="0" collapsed="false">
      <c r="A7352" s="1" t="s">
        <v>635</v>
      </c>
    </row>
    <row r="7353" customFormat="false" ht="17.15" hidden="false" customHeight="false" outlineLevel="0" collapsed="false">
      <c r="A7353" s="0" t="s">
        <v>636</v>
      </c>
      <c r="B7353" s="0" t="s">
        <v>86</v>
      </c>
      <c r="C7353" s="38" t="n">
        <f aca="false">Sens!$C$7334-ext_sh*Sens!$C$7336</f>
        <v>1.80694998843362</v>
      </c>
      <c r="D7353" s="38" t="n">
        <f aca="false">Sens!$D$7334-ext_sh*Sens!$D$7336</f>
        <v>6.77606245662607</v>
      </c>
      <c r="E7353" s="38" t="n">
        <f aca="false">Sens!$E$7334-ext_sh*Sens!$E$7336</f>
        <v>6.62548329092326</v>
      </c>
      <c r="F7353" s="38" t="n">
        <f aca="false">Sens!$F$7334-ext_sh*Sens!$F$7336</f>
        <v>11.7200577158706</v>
      </c>
      <c r="G7353" s="38" t="n">
        <f aca="false">Sens!$G$7334-ext_sh*Sens!$G$7336</f>
        <v>18.3455410067939</v>
      </c>
      <c r="H7353" s="38" t="n">
        <f aca="false">Sens!$H$7334-ext_sh*Sens!$H$7336</f>
        <v>47.5171727060453</v>
      </c>
      <c r="I7353" s="38" t="n">
        <f aca="false">Sens!$I$7334-ext_sh*Sens!$I$7336</f>
        <v>80.5539692643667</v>
      </c>
      <c r="J7353" s="38" t="n">
        <f aca="false">Sens!$J$7334-ext_sh*Sens!$J$7336</f>
        <v>113.759316834883</v>
      </c>
      <c r="K7353" s="38" t="n">
        <f aca="false">Sens!$K$7334-ext_sh*Sens!$K$7336</f>
        <v>142.084411492169</v>
      </c>
      <c r="L7353" s="38" t="n">
        <f aca="false">Sens!$L$7334-ext_sh*Sens!$L$7336</f>
        <v>160.69964615804</v>
      </c>
      <c r="M7353" s="38" t="n">
        <f aca="false">Sens!$M$7334-ext_sh*Sens!$M$7336</f>
        <v>169.577607141793</v>
      </c>
      <c r="N7353" s="38" t="n">
        <f aca="false">Sens!$N$7334-ext_sh*Sens!$N$7336</f>
        <v>2.37162185981912</v>
      </c>
      <c r="O7353" s="38" t="n">
        <f aca="false">Sens!$O$7334-ext_sh*Sens!$O$7336</f>
        <v>4.40444059680694</v>
      </c>
    </row>
    <row r="7354" customFormat="false" ht="17.15" hidden="false" customHeight="false" outlineLevel="0" collapsed="false">
      <c r="A7354" s="1" t="s">
        <v>637</v>
      </c>
      <c r="B7354" s="8" t="s">
        <v>86</v>
      </c>
      <c r="C7354" s="38" t="n">
        <f aca="false">Sens!$C$7353-ext_sh*Sens!$C$7350</f>
        <v>1.64417882953695</v>
      </c>
      <c r="D7354" s="38" t="n">
        <f aca="false">Sens!$D$7353-ext_sh*Sens!$D$7350</f>
        <v>3.8781008067718</v>
      </c>
      <c r="E7354" s="38" t="n">
        <f aca="false">Sens!$E$7353-ext_sh*Sens!$E$7350</f>
        <v>1.41270258088753</v>
      </c>
      <c r="F7354" s="38" t="n">
        <f aca="false">Sens!$F$7353-ext_sh*Sens!$F$7350</f>
        <v>6.50727700583486</v>
      </c>
      <c r="G7354" s="38" t="n">
        <f aca="false">Sens!$G$7353-ext_sh*Sens!$G$7350</f>
        <v>7.9199795867224</v>
      </c>
      <c r="H7354" s="38" t="n">
        <f aca="false">Sens!$H$7353-ext_sh*Sens!$H$7350</f>
        <v>19.2818189481807</v>
      </c>
      <c r="I7354" s="38" t="n">
        <f aca="false">Sens!$I$7353-ext_sh*Sens!$I$7350</f>
        <v>30.140114407202</v>
      </c>
      <c r="J7354" s="38" t="n">
        <f aca="false">Sens!$J$7353-ext_sh*Sens!$J$7350</f>
        <v>40.3569468829854</v>
      </c>
      <c r="K7354" s="38" t="n">
        <f aca="false">Sens!$K$7353-ext_sh*Sens!$K$7350</f>
        <v>45.1418609242305</v>
      </c>
      <c r="L7354" s="38" t="n">
        <f aca="false">Sens!$L$7353-ext_sh*Sens!$L$7350</f>
        <v>48.5617321668703</v>
      </c>
      <c r="M7354" s="38" t="n">
        <f aca="false">Sens!$M$7353-ext_sh*Sens!$M$7350</f>
        <v>48.3987625241529</v>
      </c>
      <c r="N7354" s="38" t="n">
        <f aca="false">Sens!$N$7353-ext_sh*Sens!$N$7350</f>
        <v>0.92264103489199</v>
      </c>
      <c r="O7354" s="38" t="n">
        <f aca="false">Sens!$O$7353-ext_sh*Sens!$O$7350</f>
        <v>2.95545977187981</v>
      </c>
    </row>
    <row r="7355" customFormat="false" ht="17.15" hidden="false" customHeight="false" outlineLevel="0" collapsed="false">
      <c r="A7355" s="0" t="s">
        <v>638</v>
      </c>
      <c r="B7355" s="0" t="s">
        <v>52</v>
      </c>
      <c r="C7355" s="13" t="n">
        <f aca="false">Sens!$C$7354/Sens!$C$7334</f>
        <v>0.708390794789371</v>
      </c>
      <c r="D7355" s="13" t="n">
        <f aca="false">Sens!$D$7354/Sens!$D$7334</f>
        <v>0.445565630441968</v>
      </c>
      <c r="E7355" s="13" t="n">
        <f aca="false">Sens!$E$7354/Sens!$E$7334</f>
        <v>0.165998118402711</v>
      </c>
      <c r="F7355" s="13" t="n">
        <f aca="false">Sens!$F$7354/Sens!$F$7334</f>
        <v>0.434878595403858</v>
      </c>
      <c r="G7355" s="13" t="n">
        <f aca="false">Sens!$G$7354/Sens!$G$7334</f>
        <v>0.3373967615381</v>
      </c>
      <c r="H7355" s="13" t="n">
        <f aca="false">Sens!$H$7354/Sens!$H$7334</f>
        <v>0.320477578041224</v>
      </c>
      <c r="I7355" s="13" t="n">
        <f aca="false">Sens!$I$7354/Sens!$I$7334</f>
        <v>0.296936118226494</v>
      </c>
      <c r="J7355" s="13" t="n">
        <f aca="false">Sens!$J$7354/Sens!$J$7334</f>
        <v>0.282166278613001</v>
      </c>
      <c r="K7355" s="13" t="n">
        <f aca="false">Sens!$K$7354/Sens!$K$7334</f>
        <v>0.252969102881543</v>
      </c>
      <c r="L7355" s="13" t="n">
        <f aca="false">Sens!$L$7354/Sens!$L$7334</f>
        <v>0.240728642826566</v>
      </c>
      <c r="M7355" s="13" t="n">
        <f aca="false">Sens!$M$7354/Sens!$M$7334</f>
        <v>0.227399920863147</v>
      </c>
      <c r="N7355" s="13" t="n">
        <f aca="false">Sens!$N$7354/Sens!$N$7334</f>
        <v>0.302870734830849</v>
      </c>
      <c r="O7355" s="13" t="n">
        <f aca="false">Sens!$O$7354/Sens!$O$7334</f>
        <v>0.52240134346334</v>
      </c>
    </row>
    <row r="7356" customFormat="false" ht="17.15" hidden="false" customHeight="false" outlineLevel="0" collapsed="false">
      <c r="A7356" s="5" t="s">
        <v>639</v>
      </c>
      <c r="B7356" s="0" t="s">
        <v>86</v>
      </c>
      <c r="C7356" s="39" t="n">
        <v>0</v>
      </c>
      <c r="D7356" s="39" t="n">
        <v>0</v>
      </c>
      <c r="E7356" s="39" t="n">
        <v>0</v>
      </c>
      <c r="F7356" s="38" t="n">
        <f aca="false">IF(internal_ai_reading=2,1,0)*(1-ext_sh)/ext_sh*(mw_open*he_open+Sens!$F$7332*Sens!$F$7329)*Sens!$F$7318/1000</f>
        <v>3.77122048175818</v>
      </c>
      <c r="G7356" s="38" t="n">
        <f aca="false">Sens!$E$7356+Sens!$F$7356</f>
        <v>3.77122048175818</v>
      </c>
      <c r="H7356" s="38" t="n">
        <f aca="false">IF(internal_ai_reading=2,1,0)*(1-ext_sh)/ext_sh*(mw_open*he_open+Sens!$H$7332*Sens!$H$7329)*Sens!$H$7318/1000</f>
        <v>15.1635543609893</v>
      </c>
      <c r="I7356" s="38" t="n">
        <f aca="false">IF(internal_ai_reading=2,1,0)*(1-ext_sh)/ext_sh*(mw_open*he_open+Sens!$I$7332*Sens!$I$7329)*Sens!$I$7318/1000</f>
        <v>25.5818843619889</v>
      </c>
      <c r="J7356" s="38" t="n">
        <f aca="false">IF(internal_ai_reading=2,1,0)*(1-ext_sh)/ext_sh*(mw_open*he_open+Sens!$J$7332*Sens!$J$7329)*Sens!$J$7318/1000</f>
        <v>36.0465624179122</v>
      </c>
      <c r="K7356" s="38" t="n">
        <f aca="false">IF(internal_ai_reading=2,1,0)*(1-ext_sh)/ext_sh*(mw_open*he_open+Sens!$K$7332*Sens!$K$7329)*Sens!$K$7318/1000</f>
        <v>44.9741164026038</v>
      </c>
      <c r="L7356" s="38" t="n">
        <f aca="false">IF(internal_ai_reading=2,1,0)*(1-ext_sh)/ext_sh*(mw_open*he_open+Sens!$L$7332*Sens!$L$7329)*Sens!$L$7318/1000</f>
        <v>50.8413488057813</v>
      </c>
      <c r="M7356" s="38" t="n">
        <f aca="false">IF(internal_ai_reading=2,1,0)*(1-ext_sh)/ext_sh*(mw_open*he_open+Sens!$M$7332*Sens!$M$7329)*Sens!$M$7318/1000</f>
        <v>53.6407214274315</v>
      </c>
      <c r="N7356" s="39" t="n">
        <v>0</v>
      </c>
      <c r="O7356" s="39" t="n">
        <v>0</v>
      </c>
      <c r="P7356" s="8" t="s">
        <v>640</v>
      </c>
    </row>
    <row r="7357" customFormat="false" ht="17.15" hidden="false" customHeight="false" outlineLevel="0" collapsed="false">
      <c r="A7357" s="5" t="s">
        <v>641</v>
      </c>
      <c r="B7357" s="0" t="s">
        <v>86</v>
      </c>
      <c r="C7357" s="38" t="n">
        <f aca="false">(1-ext_sh)*(Sens!$C$7336+Sens!$C$7350)</f>
        <v>0.169206631859174</v>
      </c>
      <c r="D7357" s="38" t="n">
        <f aca="false">(1-ext_sh)*(Sens!$D$7336+Sens!$D$7350)</f>
        <v>1.20641732046984</v>
      </c>
      <c r="E7357" s="38" t="n">
        <f aca="false">(1-ext_sh)*(Sens!$E$7336+Sens!$E$7350)</f>
        <v>1.77441259867062</v>
      </c>
      <c r="F7357" s="38" t="n">
        <f aca="false">(1-ext_sh)*(Sens!$F$7336+Sens!$F$7350)</f>
        <v>2.1140391597214</v>
      </c>
      <c r="G7357" s="38" t="n">
        <f aca="false">(1-ext_sh)*(Sens!$G$7336+Sens!$G$7350)</f>
        <v>3.88845175839202</v>
      </c>
      <c r="H7357" s="38" t="n">
        <f aca="false">(1-ext_sh)*(Sens!$H$7336+Sens!$H$7350)</f>
        <v>10.2210179503985</v>
      </c>
      <c r="I7357" s="38" t="n">
        <f aca="false">(1-ext_sh)*(Sens!$I$7336+Sens!$I$7350)</f>
        <v>17.8408961823075</v>
      </c>
      <c r="J7357" s="38" t="n">
        <f aca="false">(1-ext_sh)*(Sens!$J$7336+Sens!$J$7350)</f>
        <v>25.6671150670732</v>
      </c>
      <c r="K7357" s="38" t="n">
        <f aca="false">(1-ext_sh)*(Sens!$K$7336+Sens!$K$7350)</f>
        <v>33.3265648647373</v>
      </c>
      <c r="L7357" s="38" t="n">
        <f aca="false">(1-ext_sh)*(Sens!$L$7336+Sens!$L$7350)</f>
        <v>38.2915924088815</v>
      </c>
      <c r="M7357" s="38" t="n">
        <f aca="false">(1-ext_sh)*(Sens!$M$7336+Sens!$M$7350)</f>
        <v>41.1091697111781</v>
      </c>
      <c r="N7357" s="38" t="n">
        <f aca="false">(1-ext_sh)*(Sens!$N$7336+Sens!$N$7350)</f>
        <v>0.530919624033979</v>
      </c>
      <c r="O7357" s="38" t="n">
        <f aca="false">(1-ext_sh)*(Sens!$O$7336+Sens!$O$7350)</f>
        <v>0.675497696435861</v>
      </c>
    </row>
    <row r="7358" customFormat="false" ht="17.15" hidden="false" customHeight="false" outlineLevel="0" collapsed="false">
      <c r="A7358" s="0" t="s">
        <v>642</v>
      </c>
      <c r="B7358" s="0" t="s">
        <v>86</v>
      </c>
      <c r="C7358" s="38" t="n">
        <f aca="false">Q!$D$24</f>
        <v>39.834</v>
      </c>
      <c r="D7358" s="38" t="n">
        <f aca="false">Q!$E$24</f>
        <v>45.606</v>
      </c>
      <c r="E7358" s="38" t="n">
        <f aca="false">Q!$P$24</f>
        <v>30.782</v>
      </c>
      <c r="N7358" s="38" t="n">
        <f aca="false">Q!$N$24</f>
        <v>21.707</v>
      </c>
      <c r="O7358" s="38" t="n">
        <f aca="false">Q!$O$24</f>
        <v>23.899</v>
      </c>
    </row>
    <row r="7359" customFormat="false" ht="17.15" hidden="false" customHeight="false" outlineLevel="0" collapsed="false">
      <c r="A7359" s="0" t="s">
        <v>643</v>
      </c>
      <c r="B7359" s="0" t="s">
        <v>86</v>
      </c>
      <c r="C7359" s="38" t="n">
        <f aca="false">Sens!$C$7358-Sens!$C$7354</f>
        <v>38.1898211704631</v>
      </c>
      <c r="D7359" s="38" t="n">
        <f aca="false">Sens!$D$7358-Sens!$D$7354</f>
        <v>41.7278991932282</v>
      </c>
      <c r="E7359" s="38" t="n">
        <f aca="false">Sens!$E$7358-Sens!$E$7354</f>
        <v>29.3692974191125</v>
      </c>
      <c r="F7359" s="38" t="n">
        <f aca="false">Sens!$F$7338*Sens!$F$7360</f>
        <v>26.8997276714137</v>
      </c>
      <c r="G7359" s="38" t="n">
        <f aca="false">Sens!$E$7359+Sens!$F$7359</f>
        <v>56.2690250905262</v>
      </c>
      <c r="H7359" s="38" t="n">
        <f aca="false">Sens!$H$7338*Sens!$H$7360</f>
        <v>60.3505333937343</v>
      </c>
      <c r="I7359" s="38" t="n">
        <f aca="false">Sens!$I$7338*Sens!$I$7360</f>
        <v>67.0043857303571</v>
      </c>
      <c r="J7359" s="38" t="n">
        <f aca="false">Sens!$J$7338*Sens!$J$7360</f>
        <v>73.3782922956925</v>
      </c>
      <c r="K7359" s="38" t="n">
        <f aca="false">Sens!$K$7338*Sens!$K$7360</f>
        <v>79.2485556793479</v>
      </c>
      <c r="L7359" s="38" t="n">
        <f aca="false">Sens!$L$7338*Sens!$L$7360</f>
        <v>85.5884401336958</v>
      </c>
      <c r="M7359" s="38" t="n">
        <f aca="false">Sens!$M$7338*Sens!$M$7360</f>
        <v>92.4355153443914</v>
      </c>
      <c r="N7359" s="38" t="n">
        <f aca="false">Sens!$N$7358-Sens!$N$7354</f>
        <v>20.784358965108</v>
      </c>
      <c r="O7359" s="38" t="n">
        <f aca="false">Sens!$O$7358-Sens!$O$7354</f>
        <v>20.9435402281202</v>
      </c>
      <c r="P7359" s="5" t="s">
        <v>644</v>
      </c>
    </row>
    <row r="7360" customFormat="false" ht="17.15" hidden="false" customHeight="false" outlineLevel="0" collapsed="false">
      <c r="A7360" s="0" t="s">
        <v>645</v>
      </c>
      <c r="B7360" s="0" t="s">
        <v>52</v>
      </c>
      <c r="C7360" s="13" t="n">
        <f aca="false">Sens!$C$7359/Sens!$C$7338</f>
        <v>0.362900395443635</v>
      </c>
      <c r="D7360" s="13" t="n">
        <f aca="false">Sens!$D$7359/Sens!$D$7338</f>
        <v>0.34767098474203</v>
      </c>
      <c r="E7360" s="13" t="n">
        <f aca="false">Sens!$E$7359/Sens!$E$7338</f>
        <v>0.411861655558416</v>
      </c>
      <c r="F7360" s="13" t="n">
        <f aca="false">(Sens!$O$7359+Sens!$E$7359)/(Sens!$O$7338+Sens!$E$7338)</f>
        <v>0.37480827803158</v>
      </c>
      <c r="G7360" s="13" t="n">
        <f aca="false">Sens!$G$7359/Sens!$G$7338</f>
        <v>0.393275318395757</v>
      </c>
      <c r="H7360" s="13" t="n">
        <f aca="false">Sens!$F$7360</f>
        <v>0.37480827803158</v>
      </c>
      <c r="I7360" s="13" t="n">
        <f aca="false">Sens!$F$7360</f>
        <v>0.37480827803158</v>
      </c>
      <c r="J7360" s="13" t="n">
        <f aca="false">Sens!$F$7360</f>
        <v>0.37480827803158</v>
      </c>
      <c r="K7360" s="13" t="n">
        <f aca="false">Sens!$F$7360</f>
        <v>0.37480827803158</v>
      </c>
      <c r="L7360" s="13" t="n">
        <f aca="false">Sens!$F$7360</f>
        <v>0.37480827803158</v>
      </c>
      <c r="M7360" s="13" t="n">
        <f aca="false">Sens!$F$7360</f>
        <v>0.37480827803158</v>
      </c>
      <c r="N7360" s="13" t="n">
        <f aca="false">Sens!$N$7359/Sens!$N$7338</f>
        <v>0.364039571356823</v>
      </c>
      <c r="O7360" s="13" t="n">
        <f aca="false">Sens!$O$7359/Sens!$O$7338</f>
        <v>0.332819892300086</v>
      </c>
      <c r="P7360" s="8" t="s">
        <v>646</v>
      </c>
    </row>
    <row r="7361" customFormat="false" ht="17.15" hidden="false" customHeight="false" outlineLevel="0" collapsed="false">
      <c r="A7361" s="0" t="s">
        <v>647</v>
      </c>
      <c r="B7361" s="0" t="s">
        <v>52</v>
      </c>
      <c r="D7361" s="13" t="n">
        <f aca="false">(Q!$E$31-ext_sh*Sens!$D$7350)/Sens!$D$7338</f>
        <v>0.154572973163571</v>
      </c>
    </row>
    <row r="7362" customFormat="false" ht="17.15" hidden="false" customHeight="false" outlineLevel="0" collapsed="false">
      <c r="A7362" s="0" t="s">
        <v>648</v>
      </c>
      <c r="B7362" s="0" t="s">
        <v>86</v>
      </c>
      <c r="C7362" s="38" t="n">
        <f aca="false">Q!$D$31</f>
        <v>13.32</v>
      </c>
      <c r="D7362" s="38" t="n">
        <f aca="false">Q!$E$31</f>
        <v>21.45</v>
      </c>
      <c r="E7362" s="38" t="n">
        <f aca="false">Q!$P$31</f>
        <v>15.353</v>
      </c>
      <c r="F7362" s="38" t="n">
        <f aca="false">ext_sh*Sens!$F$7350+Sens!$D$7361*Sens!$F$7338</f>
        <v>16.3063747611001</v>
      </c>
      <c r="G7362" s="38" t="n">
        <f aca="false">Sens!$E$7362+Sens!$F$7362</f>
        <v>31.6593747611001</v>
      </c>
      <c r="H7362" s="38" t="n">
        <f aca="false">ext_sh*Sens!$H$7350+Sens!$D$7361*Sens!$H$7338</f>
        <v>53.124242092105</v>
      </c>
      <c r="I7362" s="38" t="n">
        <f aca="false">ext_sh*Sens!$I$7350+Sens!$D$7361*Sens!$I$7338</f>
        <v>78.046828098133</v>
      </c>
      <c r="J7362" s="38" t="n">
        <f aca="false">ext_sh*Sens!$J$7350+Sens!$D$7361*Sens!$J$7338</f>
        <v>103.663976940352</v>
      </c>
      <c r="K7362" s="38" t="n">
        <f aca="false">ext_sh*Sens!$K$7350+Sens!$D$7361*Sens!$K$7338</f>
        <v>129.625086115469</v>
      </c>
      <c r="L7362" s="38" t="n">
        <f aca="false">ext_sh*Sens!$L$7350+Sens!$D$7361*Sens!$L$7338</f>
        <v>147.435052382502</v>
      </c>
      <c r="M7362" s="38" t="n">
        <f aca="false">ext_sh*Sens!$M$7350+Sens!$D$7361*Sens!$M$7338</f>
        <v>159.299754080279</v>
      </c>
      <c r="N7362" s="38" t="n">
        <f aca="false">Q!$N$31</f>
        <v>9.234</v>
      </c>
      <c r="O7362" s="38" t="n">
        <f aca="false">Q!$O$31</f>
        <v>12.216</v>
      </c>
    </row>
    <row r="7363" customFormat="false" ht="17.15" hidden="false" customHeight="false" outlineLevel="0" collapsed="false">
      <c r="A7363" s="1" t="s">
        <v>649</v>
      </c>
    </row>
    <row r="7364" customFormat="false" ht="17.15" hidden="false" customHeight="false" outlineLevel="0" collapsed="false">
      <c r="A7364" s="15" t="s">
        <v>650</v>
      </c>
      <c r="B7364" s="14" t="s">
        <v>52</v>
      </c>
      <c r="C7364" s="14"/>
      <c r="D7364" s="14"/>
      <c r="E7364" s="14"/>
      <c r="F7364" s="14"/>
      <c r="G7364" s="17" t="n">
        <f aca="false">Sens!$G$7354*(1-tax)/(ext_sh*(Sens!$D$7351+Sens!$G$7351)/2)</f>
        <v>0.0492184452944045</v>
      </c>
      <c r="H7364" s="17" t="n">
        <f aca="false">Sens!$H$7354*(1-tax)/(ext_sh*(Sens!$G$7351+Sens!$H$7351)/2)</f>
        <v>0.0619414246858107</v>
      </c>
      <c r="I7364" s="17" t="n">
        <f aca="false">Sens!$I$7354*(1-tax)/(ext_sh*(Sens!$H$7351+Sens!$I$7351)/2)</f>
        <v>0.0656831488051666</v>
      </c>
      <c r="J7364" s="17" t="n">
        <f aca="false">Sens!$J$7354*(1-tax)/(ext_sh*(Sens!$I$7351+Sens!$J$7351)/2)</f>
        <v>0.0690334849962116</v>
      </c>
      <c r="K7364" s="17" t="n">
        <f aca="false">Sens!$K$7354*(1-tax)/(ext_sh*(Sens!$J$7351+Sens!$K$7351)/2)</f>
        <v>0.0685772915331967</v>
      </c>
      <c r="L7364" s="17" t="n">
        <f aca="false">Sens!$L$7354*(1-tax)/(ext_sh*(Sens!$K$7351+Sens!$L$7351)/2)</f>
        <v>0.0723938074635756</v>
      </c>
      <c r="M7364" s="17" t="n">
        <f aca="false">Sens!$M$7354*(1-tax)/(ext_sh*(Sens!$L$7351+Sens!$M$7351)/2)</f>
        <v>0.0736061388214139</v>
      </c>
      <c r="N7364" s="14"/>
      <c r="O7364" s="14"/>
      <c r="P7364" s="8" t="s">
        <v>651</v>
      </c>
    </row>
    <row r="7365" customFormat="false" ht="17.15" hidden="false" customHeight="false" outlineLevel="0" collapsed="false">
      <c r="A7365" s="5" t="s">
        <v>652</v>
      </c>
      <c r="B7365" s="0" t="s">
        <v>57</v>
      </c>
      <c r="H7365" s="36" t="n">
        <f aca="false">Sens!$H$7334*1000/(mw_open*he_open+Sens!$H$7332*Sens!$H$7329)</f>
        <v>0.991949006767191</v>
      </c>
      <c r="I7365" s="36" t="n">
        <f aca="false">Sens!$I$7334*1000/(mw_open*he_open+Sens!$I$7332*Sens!$I$7329)</f>
        <v>0.991949006767191</v>
      </c>
      <c r="J7365" s="36" t="n">
        <f aca="false">Sens!$J$7334*1000/(mw_open*he_open+Sens!$J$7332*Sens!$J$7329)</f>
        <v>0.991949006767191</v>
      </c>
      <c r="K7365" s="36" t="n">
        <f aca="false">Sens!$K$7334*1000/(mw_open*he_open+Sens!$K$7332*Sens!$K$7329)</f>
        <v>0.991949006767191</v>
      </c>
      <c r="L7365" s="36" t="n">
        <f aca="false">Sens!$L$7334*1000/(mw_open*he_open+Sens!$L$7332*Sens!$L$7329)</f>
        <v>0.991949006767191</v>
      </c>
      <c r="M7365" s="36" t="n">
        <f aca="false">Sens!$M$7334*1000/(mw_open*he_open+Sens!$M$7332*Sens!$M$7329)</f>
        <v>0.991949006767191</v>
      </c>
    </row>
    <row r="7366" customFormat="false" ht="17.15" hidden="false" customHeight="false" outlineLevel="0" collapsed="false">
      <c r="A7366" s="5" t="s">
        <v>653</v>
      </c>
      <c r="B7366" s="0" t="s">
        <v>57</v>
      </c>
      <c r="H7366" s="36" t="n">
        <f aca="false">Sens!$H$7365*(Sens!$H$7334+wacc*ext_sh*(Sens!$G$7351+Sens!$H$7351)/2/(1-tax)-Sens!$H$7354)/Sens!$H$7334</f>
        <v>1.25551961623259</v>
      </c>
      <c r="I7366" s="36" t="n">
        <f aca="false">Sens!$I$7365*(Sens!$I$7334+wacc*ext_sh*(Sens!$H$7351+Sens!$I$7351)/2/(1-tax)-Sens!$I$7354)/Sens!$I$7334</f>
        <v>1.2054675393263</v>
      </c>
      <c r="J7366" s="36" t="n">
        <f aca="false">Sens!$J$7365*(Sens!$J$7334+wacc*ext_sh*(Sens!$I$7351+Sens!$J$7351)/2/(1-tax)-Sens!$J$7354)/Sens!$J$7334</f>
        <v>1.17141604927023</v>
      </c>
      <c r="K7366" s="36" t="n">
        <f aca="false">Sens!$K$7365*(Sens!$K$7334+wacc*ext_sh*(Sens!$J$7351+Sens!$K$7351)/2/(1-tax)-Sens!$K$7354)/Sens!$K$7334</f>
        <v>1.15558527566281</v>
      </c>
      <c r="L7366" s="36" t="n">
        <f aca="false">Sens!$L$7365*(Sens!$L$7334+wacc*ext_sh*(Sens!$K$7351+Sens!$L$7351)/2/(1-tax)-Sens!$L$7354)/Sens!$L$7334</f>
        <v>1.12686933572495</v>
      </c>
      <c r="M7366" s="36" t="n">
        <f aca="false">Sens!$M$7365*(Sens!$M$7334+wacc*ext_sh*(Sens!$L$7351+Sens!$M$7351)/2/(1-tax)-Sens!$M$7354)/Sens!$M$7334</f>
        <v>1.11358462527531</v>
      </c>
    </row>
    <row r="7367" customFormat="false" ht="17.15" hidden="false" customHeight="false" outlineLevel="0" collapsed="false">
      <c r="A7367" s="5" t="s">
        <v>654</v>
      </c>
      <c r="B7367" s="0" t="s">
        <v>52</v>
      </c>
      <c r="C7367" s="13" t="n">
        <f aca="false">Sens!$C$7335/tk_pq</f>
        <v>0.195316432429398</v>
      </c>
      <c r="D7367" s="13" t="n">
        <f aca="false">Sens!$D$7335/tk_pq</f>
        <v>0.195316432429398</v>
      </c>
      <c r="E7367" s="13" t="n">
        <f aca="false">Sens!$E$7335/tk_pq</f>
        <v>0.195316432429398</v>
      </c>
      <c r="F7367" s="13" t="n">
        <f aca="false">Sens!$F$7335/tk_pq</f>
        <v>0.202241827274866</v>
      </c>
      <c r="G7367" s="13" t="n">
        <f aca="false">Sens!$G$7335/tk_pq</f>
        <v>0.199675016194063</v>
      </c>
      <c r="H7367" s="13" t="n">
        <f aca="false">Sens!$H$7335/tk_pq</f>
        <v>0.212647947710325</v>
      </c>
      <c r="I7367" s="13" t="n">
        <f aca="false">Sens!$I$7335/tk_pq</f>
        <v>0.219285125475351</v>
      </c>
      <c r="J7367" s="13" t="n">
        <f aca="false">Sens!$J$7335/tk_pq</f>
        <v>0.222492493217189</v>
      </c>
      <c r="K7367" s="13" t="n">
        <f aca="false">Sens!$K$7335/tk_pq</f>
        <v>0.224053502812094</v>
      </c>
      <c r="L7367" s="13" t="n">
        <f aca="false">Sens!$L$7335/tk_pq</f>
        <v>0.224786916785614</v>
      </c>
      <c r="M7367" s="13" t="n">
        <f aca="false">Sens!$M$7335/tk_pq</f>
        <v>0.225048671566937</v>
      </c>
      <c r="N7367" s="13" t="n">
        <f aca="false">Sens!$N$7335/tk_pq</f>
        <v>0.195316432429398</v>
      </c>
      <c r="O7367" s="13" t="n">
        <f aca="false">Sens!$O$7335/tk_pq</f>
        <v>0.195316432429398</v>
      </c>
      <c r="P7367" s="5" t="s">
        <v>655</v>
      </c>
    </row>
    <row r="7370" customFormat="false" ht="17.15" hidden="false" customHeight="false" outlineLevel="0" collapsed="false">
      <c r="A7370" s="1" t="s">
        <v>684</v>
      </c>
    </row>
    <row r="7371" customFormat="false" ht="17.15" hidden="false" customHeight="false" outlineLevel="0" collapsed="false">
      <c r="A7371" s="0" t="s">
        <v>685</v>
      </c>
      <c r="B7371" s="0" t="s">
        <v>86</v>
      </c>
      <c r="C7371" s="38" t="n">
        <f aca="false">Sens!$C$7334</f>
        <v>2.32100535697364</v>
      </c>
      <c r="D7371" s="38" t="n">
        <f aca="false">Sens!$D$7334</f>
        <v>8.70377008865116</v>
      </c>
      <c r="E7371" s="38" t="n">
        <f aca="false">Sens!$E$7334</f>
        <v>8.51035297557002</v>
      </c>
      <c r="F7371" s="38" t="n">
        <f aca="false">Sens!$F$7334</f>
        <v>14.9634336447205</v>
      </c>
      <c r="G7371" s="38" t="n">
        <f aca="false">Sens!$G$7334</f>
        <v>23.4737866202905</v>
      </c>
      <c r="H7371" s="38" t="n">
        <f aca="false">Sens!$H$7334</f>
        <v>60.1658907497746</v>
      </c>
      <c r="I7371" s="38" t="n">
        <f aca="false">Sens!$I$7334</f>
        <v>101.503699136432</v>
      </c>
      <c r="J7371" s="38" t="n">
        <f aca="false">Sens!$J$7334</f>
        <v>143.025407151278</v>
      </c>
      <c r="K7371" s="38" t="n">
        <f aca="false">Sens!$K$7334</f>
        <v>178.44812038318</v>
      </c>
      <c r="L7371" s="38" t="n">
        <f aca="false">Sens!$L$7334</f>
        <v>201.728101802396</v>
      </c>
      <c r="M7371" s="38" t="n">
        <f aca="false">Sens!$M$7334</f>
        <v>212.835441368865</v>
      </c>
      <c r="N7371" s="38" t="n">
        <f aca="false">Sens!$N$7334</f>
        <v>3.04631953102791</v>
      </c>
      <c r="O7371" s="38" t="n">
        <f aca="false">Sens!$O$7334</f>
        <v>5.65745055762326</v>
      </c>
      <c r="P7371" s="8" t="s">
        <v>686</v>
      </c>
    </row>
    <row r="7372" customFormat="false" ht="17.15" hidden="false" customHeight="false" outlineLevel="0" collapsed="false">
      <c r="A7372" s="0" t="s">
        <v>687</v>
      </c>
      <c r="B7372" s="0" t="s">
        <v>86</v>
      </c>
      <c r="C7372" s="38" t="n">
        <f aca="false">Sens!$C$7338</f>
        <v>105.234994643026</v>
      </c>
      <c r="D7372" s="38" t="n">
        <f aca="false">Sens!$D$7338</f>
        <v>120.021229911349</v>
      </c>
      <c r="E7372" s="38" t="n">
        <f aca="false">Sens!$E$7338</f>
        <v>71.30864702443</v>
      </c>
      <c r="F7372" s="38" t="n">
        <f aca="false">Sens!$F$7338</f>
        <v>71.7692997942464</v>
      </c>
      <c r="G7372" s="38" t="n">
        <f aca="false">Sens!$G$7338</f>
        <v>143.077946818676</v>
      </c>
      <c r="H7372" s="38" t="n">
        <f aca="false">Sens!$H$7338</f>
        <v>161.017077079203</v>
      </c>
      <c r="I7372" s="38" t="n">
        <f aca="false">Sens!$I$7338</f>
        <v>178.769759521457</v>
      </c>
      <c r="J7372" s="38" t="n">
        <f aca="false">Sens!$J$7338</f>
        <v>195.775538045907</v>
      </c>
      <c r="K7372" s="38" t="n">
        <f aca="false">Sens!$K$7338</f>
        <v>211.43758108958</v>
      </c>
      <c r="L7372" s="38" t="n">
        <f aca="false">Sens!$L$7338</f>
        <v>228.352587576746</v>
      </c>
      <c r="M7372" s="38" t="n">
        <f aca="false">Sens!$M$7338</f>
        <v>246.620794582886</v>
      </c>
      <c r="N7372" s="38" t="n">
        <f aca="false">Sens!$N$7338</f>
        <v>57.0936804689721</v>
      </c>
      <c r="O7372" s="38" t="n">
        <f aca="false">Sens!$O$7338</f>
        <v>62.9275494423768</v>
      </c>
      <c r="P7372" s="8" t="s">
        <v>686</v>
      </c>
    </row>
    <row r="7373" customFormat="false" ht="17.15" hidden="false" customHeight="false" outlineLevel="0" collapsed="false">
      <c r="A7373" s="1" t="s">
        <v>513</v>
      </c>
      <c r="B7373" s="8" t="s">
        <v>86</v>
      </c>
      <c r="C7373" s="38" t="n">
        <f aca="false">Q!$D$7</f>
        <v>107.556</v>
      </c>
      <c r="D7373" s="38" t="n">
        <f aca="false">Q!$E$7</f>
        <v>128.725</v>
      </c>
      <c r="E7373" s="38" t="n">
        <f aca="false">Q!$P$7</f>
        <v>79.819</v>
      </c>
      <c r="F7373" s="38" t="n">
        <f aca="false">Sens!$F$7371+Sens!$F$7372</f>
        <v>86.7327334389669</v>
      </c>
      <c r="G7373" s="38" t="n">
        <f aca="false">Sens!$G$7371+Sens!$G$7372</f>
        <v>166.551733438967</v>
      </c>
      <c r="H7373" s="38" t="n">
        <f aca="false">Sens!$H$7371+Sens!$H$7372</f>
        <v>221.182967828978</v>
      </c>
      <c r="I7373" s="38" t="n">
        <f aca="false">Sens!$I$7371+Sens!$I$7372</f>
        <v>280.27345865789</v>
      </c>
      <c r="J7373" s="38" t="n">
        <f aca="false">Sens!$J$7371+Sens!$J$7372</f>
        <v>338.800945197185</v>
      </c>
      <c r="K7373" s="38" t="n">
        <f aca="false">Sens!$K$7371+Sens!$K$7372</f>
        <v>389.88570147276</v>
      </c>
      <c r="L7373" s="38" t="n">
        <f aca="false">Sens!$L$7371+Sens!$L$7372</f>
        <v>430.080689379143</v>
      </c>
      <c r="M7373" s="38" t="n">
        <f aca="false">Sens!$M$7371+Sens!$M$7372</f>
        <v>459.456235951751</v>
      </c>
      <c r="N7373" s="38" t="n">
        <f aca="false">Q!$N$7</f>
        <v>60.14</v>
      </c>
      <c r="O7373" s="38" t="n">
        <f aca="false">Q!$O$7</f>
        <v>68.585</v>
      </c>
      <c r="P7373" s="5" t="s">
        <v>688</v>
      </c>
    </row>
    <row r="7374" customFormat="false" ht="15" hidden="false" customHeight="false" outlineLevel="0" collapsed="false">
      <c r="A7374" s="3" t="s">
        <v>689</v>
      </c>
      <c r="B7374" s="8" t="s">
        <v>86</v>
      </c>
      <c r="C7374" s="38" t="n">
        <f aca="false">Q!$D$8</f>
        <v>637.959</v>
      </c>
      <c r="D7374" s="38" t="n">
        <f aca="false">Q!$E$8</f>
        <v>716.924</v>
      </c>
      <c r="E7374" s="38" t="n">
        <f aca="false">Q!$P$8</f>
        <v>382.125</v>
      </c>
      <c r="F7374" s="38" t="n">
        <f aca="false">Sens!$F$7306+Sens!$F$7373</f>
        <v>435.780975084504</v>
      </c>
      <c r="G7374" s="38" t="n">
        <f aca="false">Sens!$G$7306+Sens!$G$7373</f>
        <v>817.905975084504</v>
      </c>
      <c r="H7374" s="38" t="n">
        <f aca="false">Sens!$H$7306+Sens!$H$7373</f>
        <v>942.279857350364</v>
      </c>
      <c r="I7374" s="38" t="n">
        <f aca="false">Sens!$I$7306+Sens!$I$7373</f>
        <v>1068.80284981042</v>
      </c>
      <c r="J7374" s="38" t="n">
        <f aca="false">Sens!$J$7306+Sens!$J$7373</f>
        <v>1189.90935093863</v>
      </c>
      <c r="K7374" s="38" t="n">
        <f aca="false">Sens!$K$7306+Sens!$K$7373</f>
        <v>1296.06215690385</v>
      </c>
      <c r="L7374" s="38" t="n">
        <f aca="false">Sens!$L$7306+Sens!$L$7373</f>
        <v>1395.17379585473</v>
      </c>
      <c r="M7374" s="38" t="n">
        <f aca="false">Sens!$M$7306+Sens!$M$7373</f>
        <v>1487.60414389864</v>
      </c>
      <c r="N7374" s="38" t="n">
        <f aca="false">Q!$N$8</f>
        <v>323.369</v>
      </c>
      <c r="O7374" s="38" t="n">
        <f aca="false">Q!$O$8</f>
        <v>393.555</v>
      </c>
    </row>
    <row r="7375" customFormat="false" ht="17.15" hidden="false" customHeight="false" outlineLevel="0" collapsed="false">
      <c r="A7375" s="24" t="s">
        <v>697</v>
      </c>
      <c r="B7375" s="25" t="s">
        <v>86</v>
      </c>
      <c r="C7375" s="41" t="n">
        <f aca="false">Sens!$C$7306-(Sens!$C$7308+Sens!$C$7309)</f>
        <v>0</v>
      </c>
      <c r="D7375" s="41" t="n">
        <f aca="false">Sens!$D$7306-(Sens!$D$7308+Sens!$D$7309)</f>
        <v>0</v>
      </c>
      <c r="E7375" s="41" t="n">
        <f aca="false">Sens!$E$7306-(Sens!$E$7308+Sens!$E$7309)</f>
        <v>0</v>
      </c>
      <c r="F7375" s="41" t="n">
        <f aca="false">Sens!$F$7306-(Sens!$F$7308+Sens!$F$7309)</f>
        <v>0</v>
      </c>
      <c r="G7375" s="41" t="n">
        <f aca="false">Sens!$G$7306-(Sens!$G$7308+Sens!$G$7309)</f>
        <v>0</v>
      </c>
      <c r="H7375" s="41" t="n">
        <f aca="false">Sens!$H$7306-(Sens!$H$7308+Sens!$H$7309)</f>
        <v>0</v>
      </c>
      <c r="I7375" s="41" t="n">
        <f aca="false">Sens!$I$7306-(Sens!$I$7308+Sens!$I$7309)</f>
        <v>0</v>
      </c>
      <c r="J7375" s="41" t="n">
        <f aca="false">Sens!$J$7306-(Sens!$J$7308+Sens!$J$7309)</f>
        <v>0</v>
      </c>
      <c r="K7375" s="41" t="n">
        <f aca="false">Sens!$K$7306-(Sens!$K$7308+Sens!$K$7309)</f>
        <v>0</v>
      </c>
      <c r="L7375" s="41" t="n">
        <f aca="false">Sens!$L$7306-(Sens!$L$7308+Sens!$L$7309)</f>
        <v>0</v>
      </c>
      <c r="M7375" s="41" t="n">
        <f aca="false">Sens!$M$7306-(Sens!$M$7308+Sens!$M$7309)</f>
        <v>0</v>
      </c>
      <c r="N7375" s="41" t="n">
        <f aca="false">Sens!$N$7306-(Sens!$N$7308+Sens!$N$7309)</f>
        <v>0</v>
      </c>
      <c r="O7375" s="41" t="n">
        <f aca="false">Sens!$O$7306-(Sens!$O$7308+Sens!$O$7309)</f>
        <v>0</v>
      </c>
    </row>
    <row r="7376" customFormat="false" ht="17.15" hidden="false" customHeight="false" outlineLevel="0" collapsed="false">
      <c r="A7376" s="24" t="s">
        <v>698</v>
      </c>
      <c r="B7376" s="25" t="s">
        <v>86</v>
      </c>
      <c r="C7376" s="41" t="n">
        <f aca="false">Sens!$C$7371+Sens!$C$7372-Sens!$C$7373</f>
        <v>0</v>
      </c>
      <c r="D7376" s="41" t="n">
        <f aca="false">Sens!$D$7371+Sens!$D$7372-Sens!$D$7373</f>
        <v>0</v>
      </c>
      <c r="E7376" s="41" t="n">
        <f aca="false">Sens!$E$7371+Sens!$E$7372-Sens!$E$7373</f>
        <v>0</v>
      </c>
      <c r="F7376" s="41" t="n">
        <f aca="false">Sens!$F$7371+Sens!$F$7372-Sens!$F$7373</f>
        <v>0</v>
      </c>
      <c r="G7376" s="41" t="n">
        <f aca="false">Sens!$G$7371+Sens!$G$7372-Sens!$G$7373</f>
        <v>0</v>
      </c>
      <c r="H7376" s="41" t="n">
        <f aca="false">Sens!$H$7371+Sens!$H$7372-Sens!$H$7373</f>
        <v>0</v>
      </c>
      <c r="I7376" s="41" t="n">
        <f aca="false">Sens!$I$7371+Sens!$I$7372-Sens!$I$7373</f>
        <v>0</v>
      </c>
      <c r="J7376" s="41" t="n">
        <f aca="false">Sens!$J$7371+Sens!$J$7372-Sens!$J$7373</f>
        <v>0</v>
      </c>
      <c r="K7376" s="41" t="n">
        <f aca="false">Sens!$K$7371+Sens!$K$7372-Sens!$K$7373</f>
        <v>0</v>
      </c>
      <c r="L7376" s="41" t="n">
        <f aca="false">Sens!$L$7371+Sens!$L$7372-Sens!$L$7373</f>
        <v>0</v>
      </c>
      <c r="M7376" s="41" t="n">
        <f aca="false">Sens!$M$7371+Sens!$M$7372-Sens!$M$7373</f>
        <v>0</v>
      </c>
      <c r="N7376" s="41" t="n">
        <f aca="false">Sens!$N$7371+Sens!$N$7372-Sens!$N$7373</f>
        <v>0</v>
      </c>
      <c r="O7376" s="41" t="n">
        <f aca="false">Sens!$O$7371+Sens!$O$7372-Sens!$O$7373</f>
        <v>0</v>
      </c>
    </row>
    <row r="7377" customFormat="false" ht="17.15" hidden="false" customHeight="false" outlineLevel="0" collapsed="false">
      <c r="A7377" s="24" t="s">
        <v>699</v>
      </c>
      <c r="B7377" s="25" t="s">
        <v>86</v>
      </c>
      <c r="C7377" s="41" t="n">
        <f aca="false">Sens!$C$7308+Sens!$C$7309+Sens!$C$7373-Sens!$C$7374</f>
        <v>0</v>
      </c>
      <c r="D7377" s="41" t="n">
        <f aca="false">Sens!$D$7308+Sens!$D$7309+Sens!$D$7373-Sens!$D$7374</f>
        <v>0</v>
      </c>
      <c r="E7377" s="41" t="n">
        <f aca="false">Sens!$E$7308+Sens!$E$7309+Sens!$E$7373-Sens!$E$7374</f>
        <v>0</v>
      </c>
      <c r="F7377" s="41" t="n">
        <f aca="false">Sens!$F$7308+Sens!$F$7309+Sens!$F$7373-Sens!$F$7374</f>
        <v>0</v>
      </c>
      <c r="G7377" s="41" t="n">
        <f aca="false">Sens!$G$7308+Sens!$G$7309+Sens!$G$7373-Sens!$G$7374</f>
        <v>0</v>
      </c>
      <c r="H7377" s="41" t="n">
        <f aca="false">Sens!$H$7308+Sens!$H$7309+Sens!$H$7373-Sens!$H$7374</f>
        <v>0</v>
      </c>
      <c r="I7377" s="41" t="n">
        <f aca="false">Sens!$I$7308+Sens!$I$7309+Sens!$I$7373-Sens!$I$7374</f>
        <v>0</v>
      </c>
      <c r="J7377" s="41" t="n">
        <f aca="false">Sens!$J$7308+Sens!$J$7309+Sens!$J$7373-Sens!$J$7374</f>
        <v>0</v>
      </c>
      <c r="K7377" s="41" t="n">
        <f aca="false">Sens!$K$7308+Sens!$K$7309+Sens!$K$7373-Sens!$K$7374</f>
        <v>0</v>
      </c>
      <c r="L7377" s="41" t="n">
        <f aca="false">Sens!$L$7308+Sens!$L$7309+Sens!$L$7373-Sens!$L$7374</f>
        <v>0</v>
      </c>
      <c r="M7377" s="41" t="n">
        <f aca="false">Sens!$M$7308+Sens!$M$7309+Sens!$M$7373-Sens!$M$7374</f>
        <v>0</v>
      </c>
      <c r="N7377" s="41" t="n">
        <f aca="false">Sens!$N$7308+Sens!$N$7309+Sens!$N$7373-Sens!$N$7374</f>
        <v>0</v>
      </c>
      <c r="O7377" s="41" t="n">
        <f aca="false">Sens!$O$7308+Sens!$O$7309+Sens!$O$7373-Sens!$O$7374</f>
        <v>0</v>
      </c>
    </row>
    <row r="7378" customFormat="false" ht="15" hidden="false" customHeight="false" outlineLevel="0" collapsed="false">
      <c r="A7378" s="5" t="s">
        <v>693</v>
      </c>
      <c r="B7378" s="0" t="s">
        <v>52</v>
      </c>
      <c r="G7378" s="13" t="n">
        <f aca="false">Sens!$G$7374/Sens!$D$7374-1</f>
        <v>0.140854504918937</v>
      </c>
      <c r="H7378" s="13" t="n">
        <f aca="false">Sens!$H$7374/Sens!$G$7374-1</f>
        <v>0.152063789793209</v>
      </c>
      <c r="I7378" s="13" t="n">
        <f aca="false">Sens!$I$7374/Sens!$H$7374-1</f>
        <v>0.134273264437417</v>
      </c>
      <c r="J7378" s="13" t="n">
        <f aca="false">Sens!$J$7374/Sens!$I$7374-1</f>
        <v>0.113310421234083</v>
      </c>
      <c r="K7378" s="13" t="n">
        <f aca="false">Sens!$K$7374/Sens!$J$7374-1</f>
        <v>0.0892108343223652</v>
      </c>
      <c r="L7378" s="13" t="n">
        <f aca="false">Sens!$L$7374/Sens!$K$7374-1</f>
        <v>0.076471362444261</v>
      </c>
      <c r="M7378" s="13" t="n">
        <f aca="false">Sens!$M$7374/Sens!$L$7374-1</f>
        <v>0.066250060256672</v>
      </c>
    </row>
    <row r="7379" customFormat="false" ht="17.15" hidden="false" customHeight="false" outlineLevel="0" collapsed="false">
      <c r="A7379" s="0" t="s">
        <v>694</v>
      </c>
      <c r="B7379" s="0" t="s">
        <v>52</v>
      </c>
      <c r="C7379" s="13" t="n">
        <f aca="false">Sens!$C$7373/Sens!$C$7374</f>
        <v>0.168593906504964</v>
      </c>
      <c r="D7379" s="13" t="n">
        <f aca="false">Sens!$D$7373/Sens!$D$7374</f>
        <v>0.179551807444025</v>
      </c>
      <c r="E7379" s="13" t="n">
        <f aca="false">Sens!$E$7373/Sens!$E$7374</f>
        <v>0.208881910369643</v>
      </c>
      <c r="F7379" s="13" t="n">
        <f aca="false">Sens!$F$7373/Sens!$F$7374</f>
        <v>0.199028269699356</v>
      </c>
      <c r="G7379" s="13" t="n">
        <f aca="false">Sens!$G$7373/Sens!$G$7374</f>
        <v>0.203631882529968</v>
      </c>
      <c r="H7379" s="13" t="n">
        <f aca="false">Sens!$H$7373/Sens!$H$7374</f>
        <v>0.234731715958496</v>
      </c>
      <c r="I7379" s="13" t="n">
        <f aca="false">Sens!$I$7373/Sens!$I$7374</f>
        <v>0.262231204480418</v>
      </c>
      <c r="J7379" s="13" t="n">
        <f aca="false">Sens!$J$7373/Sens!$J$7374</f>
        <v>0.284728366013706</v>
      </c>
      <c r="K7379" s="13" t="n">
        <f aca="false">Sens!$K$7373/Sens!$K$7374</f>
        <v>0.300823304959505</v>
      </c>
      <c r="L7379" s="13" t="n">
        <f aca="false">Sens!$L$7373/Sens!$L$7374</f>
        <v>0.308263164529735</v>
      </c>
      <c r="M7379" s="13" t="n">
        <f aca="false">Sens!$M$7373/Sens!$M$7374</f>
        <v>0.308856517936036</v>
      </c>
      <c r="N7379" s="13" t="n">
        <f aca="false">Sens!$N$7373/Sens!$N$7374</f>
        <v>0.185979484737251</v>
      </c>
      <c r="O7379" s="13" t="n">
        <f aca="false">Sens!$O$7373/Sens!$O$7374</f>
        <v>0.174270432341096</v>
      </c>
    </row>
    <row r="7380" customFormat="false" ht="17.15" hidden="false" customHeight="false" outlineLevel="0" collapsed="false">
      <c r="A7380" s="0" t="s">
        <v>695</v>
      </c>
      <c r="B7380" s="0" t="s">
        <v>52</v>
      </c>
      <c r="C7380" s="13" t="n">
        <f aca="false">Sens!$C$7371/Sens!$C$7373</f>
        <v>0.0215795060896058</v>
      </c>
      <c r="D7380" s="13" t="n">
        <f aca="false">Sens!$D$7371/Sens!$D$7373</f>
        <v>0.0676152269462122</v>
      </c>
      <c r="E7380" s="13" t="n">
        <f aca="false">Sens!$E$7371/Sens!$E$7373</f>
        <v>0.106620641395783</v>
      </c>
      <c r="F7380" s="13" t="n">
        <f aca="false">Sens!$F$7371/Sens!$F$7373</f>
        <v>0.172523487401099</v>
      </c>
      <c r="G7380" s="13" t="n">
        <f aca="false">Sens!$G$7371/Sens!$G$7373</f>
        <v>0.140939911795589</v>
      </c>
      <c r="H7380" s="13" t="n">
        <f aca="false">Sens!$H$7371/Sens!$H$7373</f>
        <v>0.272018642937714</v>
      </c>
      <c r="I7380" s="13" t="n">
        <f aca="false">Sens!$I$7371/Sens!$I$7373</f>
        <v>0.362159512436497</v>
      </c>
      <c r="J7380" s="13" t="n">
        <f aca="false">Sens!$J$7371/Sens!$J$7373</f>
        <v>0.422151735934609</v>
      </c>
      <c r="K7380" s="13" t="n">
        <f aca="false">Sens!$K$7371/Sens!$K$7373</f>
        <v>0.45769342068485</v>
      </c>
      <c r="L7380" s="13" t="n">
        <f aca="false">Sens!$L$7371/Sens!$L$7373</f>
        <v>0.469047103913472</v>
      </c>
      <c r="M7380" s="13" t="n">
        <f aca="false">Sens!$M$7371/Sens!$M$7373</f>
        <v>0.463233328258093</v>
      </c>
      <c r="N7380" s="13" t="n">
        <f aca="false">Sens!$N$7371/Sens!$N$7373</f>
        <v>0.0506537999838362</v>
      </c>
      <c r="O7380" s="13" t="n">
        <f aca="false">Sens!$O$7371/Sens!$O$7373</f>
        <v>0.0824881615167056</v>
      </c>
    </row>
    <row r="7383" customFormat="false" ht="19.4" hidden="false" customHeight="false" outlineLevel="0" collapsed="false">
      <c r="A7383" s="31" t="s">
        <v>1279</v>
      </c>
    </row>
    <row r="7384" customFormat="false" ht="17.15" hidden="false" customHeight="false" outlineLevel="0" collapsed="false">
      <c r="A7384" s="6" t="s">
        <v>16</v>
      </c>
      <c r="B7384" s="6" t="s">
        <v>17</v>
      </c>
      <c r="C7384" s="20" t="s">
        <v>494</v>
      </c>
      <c r="D7384" s="20" t="s">
        <v>495</v>
      </c>
      <c r="E7384" s="20" t="s">
        <v>577</v>
      </c>
      <c r="F7384" s="20" t="s">
        <v>578</v>
      </c>
      <c r="G7384" s="20" t="s">
        <v>579</v>
      </c>
      <c r="H7384" s="20" t="s">
        <v>580</v>
      </c>
      <c r="I7384" s="20" t="s">
        <v>581</v>
      </c>
      <c r="J7384" s="20" t="s">
        <v>582</v>
      </c>
      <c r="K7384" s="20" t="s">
        <v>583</v>
      </c>
      <c r="L7384" s="20" t="s">
        <v>584</v>
      </c>
      <c r="M7384" s="20" t="s">
        <v>585</v>
      </c>
      <c r="N7384" s="20" t="s">
        <v>586</v>
      </c>
      <c r="O7384" s="20" t="s">
        <v>587</v>
      </c>
      <c r="P7384" s="6" t="s">
        <v>23</v>
      </c>
      <c r="R7384" s="20" t="n">
        <v>2023</v>
      </c>
      <c r="S7384" s="20" t="n">
        <v>2024</v>
      </c>
      <c r="T7384" s="20" t="n">
        <v>2025</v>
      </c>
      <c r="U7384" s="20" t="n">
        <v>2026</v>
      </c>
      <c r="V7384" s="20" t="n">
        <v>2027</v>
      </c>
      <c r="W7384" s="20" t="n">
        <v>2028</v>
      </c>
      <c r="X7384" s="20" t="n">
        <v>2029</v>
      </c>
      <c r="Y7384" s="20" t="n">
        <v>2030</v>
      </c>
      <c r="Z7384" s="20" t="n">
        <v>2031</v>
      </c>
      <c r="AA7384" s="20" t="n">
        <v>2032</v>
      </c>
    </row>
    <row r="7385" customFormat="false" ht="17.15" hidden="false" customHeight="false" outlineLevel="0" collapsed="false">
      <c r="A7385" s="1" t="s">
        <v>710</v>
      </c>
    </row>
    <row r="7386" customFormat="false" ht="15" hidden="false" customHeight="false" outlineLevel="0" collapsed="false">
      <c r="A7386" s="0" t="s">
        <v>516</v>
      </c>
      <c r="B7386" s="0" t="s">
        <v>86</v>
      </c>
      <c r="C7386" s="38" t="n">
        <f aca="false">Sens!$C$7293</f>
        <v>247.029</v>
      </c>
      <c r="D7386" s="38" t="n">
        <f aca="false">Sens!$D$7293</f>
        <v>269.287</v>
      </c>
      <c r="E7386" s="38" t="n">
        <f aca="false">Sens!$E$7293</f>
        <v>134.686</v>
      </c>
      <c r="F7386" s="38" t="n">
        <f aca="false">Sens!$F$7293</f>
        <v>158.293876822267</v>
      </c>
      <c r="G7386" s="38" t="n">
        <f aca="false">Sens!$G$7293</f>
        <v>292.979876822267</v>
      </c>
      <c r="H7386" s="38" t="n">
        <f aca="false">Sens!$H$7293</f>
        <v>318.184543087396</v>
      </c>
      <c r="I7386" s="38" t="n">
        <f aca="false">Sens!$I$7293</f>
        <v>341.736278761793</v>
      </c>
      <c r="J7386" s="38" t="n">
        <f aca="false">Sens!$J$7293</f>
        <v>362.927192787048</v>
      </c>
      <c r="K7386" s="38" t="n">
        <f aca="false">Sens!$K$7293</f>
        <v>381.0735524264</v>
      </c>
      <c r="L7386" s="38" t="n">
        <f aca="false">Sens!$L$7293</f>
        <v>400.12723004772</v>
      </c>
      <c r="M7386" s="38" t="n">
        <f aca="false">Sens!$M$7293</f>
        <v>420.133591550106</v>
      </c>
      <c r="N7386" s="38" t="n">
        <f aca="false">Sens!$N$7293</f>
        <v>118.892</v>
      </c>
      <c r="O7386" s="38" t="n">
        <f aca="false">Sens!$O$7293</f>
        <v>150.395</v>
      </c>
    </row>
    <row r="7387" customFormat="false" ht="15" hidden="false" customHeight="false" outlineLevel="0" collapsed="false">
      <c r="A7387" s="0" t="s">
        <v>517</v>
      </c>
      <c r="B7387" s="0" t="s">
        <v>86</v>
      </c>
      <c r="C7387" s="38" t="n">
        <f aca="false">Sens!$C$7295</f>
        <v>21.215</v>
      </c>
      <c r="D7387" s="38" t="n">
        <f aca="false">Sens!$D$7295</f>
        <v>22.561</v>
      </c>
      <c r="E7387" s="38" t="n">
        <f aca="false">Sens!$E$7295</f>
        <v>11.579</v>
      </c>
      <c r="F7387" s="38" t="n">
        <f aca="false">Sens!$F$7295</f>
        <v>11.5938724610325</v>
      </c>
      <c r="G7387" s="38" t="n">
        <f aca="false">Sens!$G$7295</f>
        <v>23.1728724610325</v>
      </c>
      <c r="H7387" s="38" t="n">
        <f aca="false">Sens!$H$7295</f>
        <v>24.353392759506</v>
      </c>
      <c r="I7387" s="38" t="n">
        <f aca="false">Sens!$I$7295</f>
        <v>25.4240338872015</v>
      </c>
      <c r="J7387" s="38" t="n">
        <f aca="false">Sens!$J$7295</f>
        <v>26.3642491017174</v>
      </c>
      <c r="K7387" s="38" t="n">
        <f aca="false">Sens!$K$7295</f>
        <v>27.155176574769</v>
      </c>
      <c r="L7387" s="38" t="n">
        <f aca="false">Sens!$L$7295</f>
        <v>27.969831872012</v>
      </c>
      <c r="M7387" s="38" t="n">
        <f aca="false">Sens!$M$7295</f>
        <v>28.8089268281724</v>
      </c>
      <c r="N7387" s="38" t="n">
        <f aca="false">Sens!$N$7295</f>
        <v>11.128</v>
      </c>
      <c r="O7387" s="38" t="n">
        <f aca="false">Sens!$O$7295</f>
        <v>11.433</v>
      </c>
    </row>
    <row r="7388" customFormat="false" ht="15" hidden="false" customHeight="false" outlineLevel="0" collapsed="false">
      <c r="A7388" s="0" t="s">
        <v>518</v>
      </c>
      <c r="B7388" s="0" t="s">
        <v>86</v>
      </c>
      <c r="C7388" s="38" t="n">
        <f aca="false">Sens!$C$7297</f>
        <v>156.146</v>
      </c>
      <c r="D7388" s="38" t="n">
        <f aca="false">Sens!$D$7297</f>
        <v>172.162</v>
      </c>
      <c r="E7388" s="38" t="n">
        <f aca="false">Sens!$E$7297</f>
        <v>88.358</v>
      </c>
      <c r="F7388" s="38" t="n">
        <f aca="false">Sens!$F$7297</f>
        <v>102.004388260171</v>
      </c>
      <c r="G7388" s="38" t="n">
        <f aca="false">Sens!$G$7297</f>
        <v>190.362388260171</v>
      </c>
      <c r="H7388" s="38" t="n">
        <f aca="false">Sens!$H$7297</f>
        <v>210.343106588311</v>
      </c>
      <c r="I7388" s="38" t="n">
        <f aca="false">Sens!$I$7297</f>
        <v>229.969728494648</v>
      </c>
      <c r="J7388" s="38" t="n">
        <f aca="false">Sens!$J$7297</f>
        <v>248.747636972598</v>
      </c>
      <c r="K7388" s="38" t="n">
        <f aca="false">Sens!$K$7297</f>
        <v>266.15997156068</v>
      </c>
      <c r="L7388" s="38" t="n">
        <f aca="false">Sens!$L$7297</f>
        <v>284.791169569927</v>
      </c>
      <c r="M7388" s="38" t="n">
        <f aca="false">Sens!$M$7297</f>
        <v>304.726551439822</v>
      </c>
      <c r="N7388" s="38" t="n">
        <f aca="false">Sens!$N$7297</f>
        <v>76.86</v>
      </c>
      <c r="O7388" s="38" t="n">
        <f aca="false">Sens!$O$7297</f>
        <v>95.302</v>
      </c>
    </row>
    <row r="7389" customFormat="false" ht="15" hidden="false" customHeight="false" outlineLevel="0" collapsed="false">
      <c r="A7389" s="0" t="s">
        <v>519</v>
      </c>
      <c r="B7389" s="0" t="s">
        <v>86</v>
      </c>
      <c r="C7389" s="38" t="n">
        <f aca="false">Sens!$C$7299</f>
        <v>56.214</v>
      </c>
      <c r="D7389" s="38" t="n">
        <f aca="false">Sens!$D$7299</f>
        <v>68.635</v>
      </c>
      <c r="E7389" s="38" t="n">
        <f aca="false">Sens!$E$7299</f>
        <v>37.052</v>
      </c>
      <c r="F7389" s="38" t="n">
        <f aca="false">Sens!$F$7299</f>
        <v>46.1572219944148</v>
      </c>
      <c r="G7389" s="38" t="n">
        <f aca="false">Sens!$G$7299</f>
        <v>83.2092219944148</v>
      </c>
      <c r="H7389" s="38" t="n">
        <f aca="false">Sens!$H$7299</f>
        <v>99.8969223878976</v>
      </c>
      <c r="I7389" s="38" t="n">
        <f aca="false">Sens!$I$7299</f>
        <v>116.583111095496</v>
      </c>
      <c r="J7389" s="38" t="n">
        <f aca="false">Sens!$J$7299</f>
        <v>132.148941941952</v>
      </c>
      <c r="K7389" s="38" t="n">
        <f aca="false">Sens!$K$7299</f>
        <v>145.363836136147</v>
      </c>
      <c r="L7389" s="38" t="n">
        <f aca="false">Sens!$L$7299</f>
        <v>159.900219749762</v>
      </c>
      <c r="M7389" s="38" t="n">
        <f aca="false">Sens!$M$7299</f>
        <v>175.890241724738</v>
      </c>
      <c r="N7389" s="38" t="n">
        <f aca="false">Sens!$N$7299</f>
        <v>29.615</v>
      </c>
      <c r="O7389" s="38" t="n">
        <f aca="false">Sens!$O$7299</f>
        <v>39.02</v>
      </c>
    </row>
    <row r="7390" customFormat="false" ht="15" hidden="false" customHeight="false" outlineLevel="0" collapsed="false">
      <c r="A7390" s="0" t="s">
        <v>520</v>
      </c>
      <c r="B7390" s="0" t="s">
        <v>86</v>
      </c>
      <c r="C7390" s="38" t="n">
        <f aca="false">Sens!$C$7301</f>
        <v>44.374</v>
      </c>
      <c r="D7390" s="38" t="n">
        <f aca="false">Sens!$D$7301</f>
        <v>49.619</v>
      </c>
      <c r="E7390" s="38" t="n">
        <f aca="false">Sens!$E$7301</f>
        <v>27.157</v>
      </c>
      <c r="F7390" s="38" t="n">
        <f aca="false">Sens!$F$7301</f>
        <v>27.7764165988154</v>
      </c>
      <c r="G7390" s="38" t="n">
        <f aca="false">Sens!$G$7301</f>
        <v>54.9334165988154</v>
      </c>
      <c r="H7390" s="38" t="n">
        <f aca="false">Sens!$H$7301</f>
        <v>61.1564112561829</v>
      </c>
      <c r="I7390" s="38" t="n">
        <f aca="false">Sens!$I$7301</f>
        <v>67.2020282103945</v>
      </c>
      <c r="J7390" s="38" t="n">
        <f aca="false">Sens!$J$7301</f>
        <v>72.8757274028885</v>
      </c>
      <c r="K7390" s="38" t="n">
        <f aca="false">Sens!$K$7301</f>
        <v>77.9770283210907</v>
      </c>
      <c r="L7390" s="38" t="n">
        <f aca="false">Sens!$L$7301</f>
        <v>83.4354203035671</v>
      </c>
      <c r="M7390" s="38" t="n">
        <f aca="false">Sens!$M$7301</f>
        <v>89.2758997248168</v>
      </c>
      <c r="N7390" s="38" t="n">
        <f aca="false">Sens!$N$7301</f>
        <v>23.923</v>
      </c>
      <c r="O7390" s="38" t="n">
        <f aca="false">Sens!$O$7301</f>
        <v>25.696</v>
      </c>
    </row>
    <row r="7391" customFormat="false" ht="15" hidden="false" customHeight="false" outlineLevel="0" collapsed="false">
      <c r="A7391" s="0" t="s">
        <v>521</v>
      </c>
      <c r="B7391" s="0" t="s">
        <v>86</v>
      </c>
      <c r="C7391" s="38" t="n">
        <f aca="false">Sens!$C$7303</f>
        <v>5.425</v>
      </c>
      <c r="D7391" s="38" t="n">
        <f aca="false">Sens!$D$7303</f>
        <v>5.935</v>
      </c>
      <c r="E7391" s="38" t="n">
        <f aca="false">Sens!$E$7303</f>
        <v>3.474</v>
      </c>
      <c r="F7391" s="38" t="n">
        <f aca="false">Sens!$F$7303</f>
        <v>3.22246550883619</v>
      </c>
      <c r="G7391" s="38" t="n">
        <f aca="false">Sens!$G$7303</f>
        <v>6.69646550883619</v>
      </c>
      <c r="H7391" s="38" t="n">
        <f aca="false">Sens!$H$7303</f>
        <v>7.16251344209196</v>
      </c>
      <c r="I7391" s="38" t="n">
        <f aca="false">Sens!$I$7303</f>
        <v>7.61421070299826</v>
      </c>
      <c r="J7391" s="38" t="n">
        <f aca="false">Sens!$J$7303</f>
        <v>8.04465753523932</v>
      </c>
      <c r="K7391" s="38" t="n">
        <f aca="false">Sens!$K$7303</f>
        <v>8.44689041200128</v>
      </c>
      <c r="L7391" s="38" t="n">
        <f aca="false">Sens!$L$7303</f>
        <v>8.86923493260135</v>
      </c>
      <c r="M7391" s="38" t="n">
        <f aca="false">Sens!$M$7303</f>
        <v>9.31269667923142</v>
      </c>
      <c r="N7391" s="38" t="n">
        <f aca="false">Sens!$N$7303</f>
        <v>2.811</v>
      </c>
      <c r="O7391" s="38" t="n">
        <f aca="false">Sens!$O$7303</f>
        <v>3.124</v>
      </c>
    </row>
    <row r="7392" customFormat="false" ht="17.15" hidden="false" customHeight="false" outlineLevel="0" collapsed="false">
      <c r="A7392" s="0" t="s">
        <v>711</v>
      </c>
      <c r="B7392" s="0" t="s">
        <v>86</v>
      </c>
      <c r="C7392" s="38" t="n">
        <f aca="false">Sens!$C$7373</f>
        <v>107.556</v>
      </c>
      <c r="D7392" s="38" t="n">
        <f aca="false">Sens!$D$7373</f>
        <v>128.725</v>
      </c>
      <c r="E7392" s="38" t="n">
        <f aca="false">Sens!$E$7373</f>
        <v>79.819</v>
      </c>
      <c r="F7392" s="38" t="n">
        <f aca="false">Sens!$F$7373</f>
        <v>86.7327334389669</v>
      </c>
      <c r="G7392" s="38" t="n">
        <f aca="false">Sens!$G$7373</f>
        <v>166.551733438967</v>
      </c>
      <c r="H7392" s="38" t="n">
        <f aca="false">Sens!$H$7373</f>
        <v>221.182967828978</v>
      </c>
      <c r="I7392" s="38" t="n">
        <f aca="false">Sens!$I$7373</f>
        <v>280.27345865789</v>
      </c>
      <c r="J7392" s="38" t="n">
        <f aca="false">Sens!$J$7373</f>
        <v>338.800945197185</v>
      </c>
      <c r="K7392" s="38" t="n">
        <f aca="false">Sens!$K$7373</f>
        <v>389.88570147276</v>
      </c>
      <c r="L7392" s="38" t="n">
        <f aca="false">Sens!$L$7373</f>
        <v>430.080689379143</v>
      </c>
      <c r="M7392" s="38" t="n">
        <f aca="false">Sens!$M$7373</f>
        <v>459.456235951751</v>
      </c>
      <c r="N7392" s="38" t="n">
        <f aca="false">Sens!$N$7373</f>
        <v>60.14</v>
      </c>
      <c r="O7392" s="38" t="n">
        <f aca="false">Sens!$O$7373</f>
        <v>68.585</v>
      </c>
    </row>
    <row r="7393" customFormat="false" ht="15" hidden="false" customHeight="false" outlineLevel="0" collapsed="false">
      <c r="A7393" s="1" t="s">
        <v>509</v>
      </c>
      <c r="B7393" s="8" t="s">
        <v>86</v>
      </c>
      <c r="C7393" s="38" t="n">
        <f aca="false">Sens!$C$7308</f>
        <v>387.497</v>
      </c>
      <c r="D7393" s="38" t="n">
        <f aca="false">Sens!$D$7308</f>
        <v>426.305</v>
      </c>
      <c r="E7393" s="38" t="n">
        <f aca="false">Sens!$E$7308</f>
        <v>220.32</v>
      </c>
      <c r="F7393" s="38" t="n">
        <f aca="false">Sens!$F$7308</f>
        <v>250.639773480586</v>
      </c>
      <c r="G7393" s="38" t="n">
        <f aca="false">Sens!$G$7308</f>
        <v>470.959773480586</v>
      </c>
      <c r="H7393" s="38" t="n">
        <f aca="false">Sens!$H$7308</f>
        <v>521.386990416437</v>
      </c>
      <c r="I7393" s="38" t="n">
        <f aca="false">Sens!$I$7308</f>
        <v>570.143862887555</v>
      </c>
      <c r="J7393" s="38" t="n">
        <f aca="false">Sens!$J$7308</f>
        <v>615.391435791933</v>
      </c>
      <c r="K7393" s="38" t="n">
        <f aca="false">Sens!$K$7308</f>
        <v>655.208227561543</v>
      </c>
      <c r="L7393" s="38" t="n">
        <f aca="false">Sens!$L$7308</f>
        <v>697.807739249767</v>
      </c>
      <c r="M7393" s="38" t="n">
        <f aca="false">Sens!$M$7308</f>
        <v>743.399328463592</v>
      </c>
      <c r="N7393" s="38" t="n">
        <f aca="false">Sens!$N$7308</f>
        <v>192.955</v>
      </c>
      <c r="O7393" s="38" t="n">
        <f aca="false">Sens!$O$7308</f>
        <v>233.35</v>
      </c>
    </row>
    <row r="7394" customFormat="false" ht="15" hidden="false" customHeight="false" outlineLevel="0" collapsed="false">
      <c r="A7394" s="1" t="s">
        <v>512</v>
      </c>
      <c r="B7394" s="8" t="s">
        <v>86</v>
      </c>
      <c r="C7394" s="38" t="n">
        <f aca="false">Sens!$C$7309</f>
        <v>142.906</v>
      </c>
      <c r="D7394" s="38" t="n">
        <f aca="false">Sens!$D$7309</f>
        <v>161.894</v>
      </c>
      <c r="E7394" s="38" t="n">
        <f aca="false">Sens!$E$7309</f>
        <v>81.986</v>
      </c>
      <c r="F7394" s="38" t="n">
        <f aca="false">Sens!$F$7309</f>
        <v>98.408468164951</v>
      </c>
      <c r="G7394" s="38" t="n">
        <f aca="false">Sens!$G$7309</f>
        <v>180.394468164951</v>
      </c>
      <c r="H7394" s="38" t="n">
        <f aca="false">Sens!$H$7309</f>
        <v>199.709899104949</v>
      </c>
      <c r="I7394" s="38" t="n">
        <f aca="false">Sens!$I$7309</f>
        <v>218.385528264976</v>
      </c>
      <c r="J7394" s="38" t="n">
        <f aca="false">Sens!$J$7309</f>
        <v>235.71696994951</v>
      </c>
      <c r="K7394" s="38" t="n">
        <f aca="false">Sens!$K$7309</f>
        <v>250.968227869545</v>
      </c>
      <c r="L7394" s="38" t="n">
        <f aca="false">Sens!$L$7309</f>
        <v>267.285367225822</v>
      </c>
      <c r="M7394" s="38" t="n">
        <f aca="false">Sens!$M$7309</f>
        <v>284.748579483295</v>
      </c>
      <c r="N7394" s="38" t="n">
        <f aca="false">Sens!$N$7309</f>
        <v>70.274</v>
      </c>
      <c r="O7394" s="38" t="n">
        <f aca="false">Sens!$O$7309</f>
        <v>91.62</v>
      </c>
    </row>
    <row r="7395" customFormat="false" ht="15" hidden="false" customHeight="false" outlineLevel="0" collapsed="false">
      <c r="A7395" s="1" t="s">
        <v>513</v>
      </c>
      <c r="B7395" s="8" t="s">
        <v>86</v>
      </c>
      <c r="C7395" s="38" t="n">
        <f aca="false">Sens!$C$7373</f>
        <v>107.556</v>
      </c>
      <c r="D7395" s="38" t="n">
        <f aca="false">Sens!$D$7373</f>
        <v>128.725</v>
      </c>
      <c r="E7395" s="38" t="n">
        <f aca="false">Sens!$E$7373</f>
        <v>79.819</v>
      </c>
      <c r="F7395" s="38" t="n">
        <f aca="false">Sens!$F$7373</f>
        <v>86.7327334389669</v>
      </c>
      <c r="G7395" s="38" t="n">
        <f aca="false">Sens!$G$7373</f>
        <v>166.551733438967</v>
      </c>
      <c r="H7395" s="38" t="n">
        <f aca="false">Sens!$H$7373</f>
        <v>221.182967828978</v>
      </c>
      <c r="I7395" s="38" t="n">
        <f aca="false">Sens!$I$7373</f>
        <v>280.27345865789</v>
      </c>
      <c r="J7395" s="38" t="n">
        <f aca="false">Sens!$J$7373</f>
        <v>338.800945197185</v>
      </c>
      <c r="K7395" s="38" t="n">
        <f aca="false">Sens!$K$7373</f>
        <v>389.88570147276</v>
      </c>
      <c r="L7395" s="38" t="n">
        <f aca="false">Sens!$L$7373</f>
        <v>430.080689379143</v>
      </c>
      <c r="M7395" s="38" t="n">
        <f aca="false">Sens!$M$7373</f>
        <v>459.456235951751</v>
      </c>
      <c r="N7395" s="38" t="n">
        <f aca="false">Sens!$N$7373</f>
        <v>60.14</v>
      </c>
      <c r="O7395" s="38" t="n">
        <f aca="false">Sens!$O$7373</f>
        <v>68.585</v>
      </c>
    </row>
    <row r="7396" customFormat="false" ht="17.15" hidden="false" customHeight="false" outlineLevel="0" collapsed="false">
      <c r="A7396" s="0" t="s">
        <v>685</v>
      </c>
      <c r="B7396" s="0" t="s">
        <v>86</v>
      </c>
      <c r="C7396" s="38" t="n">
        <f aca="false">Sens!$C$7371</f>
        <v>2.32100535697364</v>
      </c>
      <c r="D7396" s="38" t="n">
        <f aca="false">Sens!$D$7371</f>
        <v>8.70377008865116</v>
      </c>
      <c r="E7396" s="38" t="n">
        <f aca="false">Sens!$E$7371</f>
        <v>8.51035297557002</v>
      </c>
      <c r="F7396" s="38" t="n">
        <f aca="false">Sens!$F$7371</f>
        <v>14.9634336447205</v>
      </c>
      <c r="G7396" s="38" t="n">
        <f aca="false">Sens!$G$7371</f>
        <v>23.4737866202905</v>
      </c>
      <c r="H7396" s="38" t="n">
        <f aca="false">Sens!$H$7371</f>
        <v>60.1658907497746</v>
      </c>
      <c r="I7396" s="38" t="n">
        <f aca="false">Sens!$I$7371</f>
        <v>101.503699136432</v>
      </c>
      <c r="J7396" s="38" t="n">
        <f aca="false">Sens!$J$7371</f>
        <v>143.025407151278</v>
      </c>
      <c r="K7396" s="38" t="n">
        <f aca="false">Sens!$K$7371</f>
        <v>178.44812038318</v>
      </c>
      <c r="L7396" s="38" t="n">
        <f aca="false">Sens!$L$7371</f>
        <v>201.728101802396</v>
      </c>
      <c r="M7396" s="38" t="n">
        <f aca="false">Sens!$M$7371</f>
        <v>212.835441368865</v>
      </c>
      <c r="N7396" s="38" t="n">
        <f aca="false">Sens!$N$7371</f>
        <v>3.04631953102791</v>
      </c>
      <c r="O7396" s="38" t="n">
        <f aca="false">Sens!$O$7371</f>
        <v>5.65745055762326</v>
      </c>
    </row>
    <row r="7397" customFormat="false" ht="17.15" hidden="false" customHeight="false" outlineLevel="0" collapsed="false">
      <c r="A7397" s="0" t="s">
        <v>687</v>
      </c>
      <c r="B7397" s="0" t="s">
        <v>86</v>
      </c>
      <c r="C7397" s="38" t="n">
        <f aca="false">Sens!$C$7372</f>
        <v>105.234994643026</v>
      </c>
      <c r="D7397" s="38" t="n">
        <f aca="false">Sens!$D$7372</f>
        <v>120.021229911349</v>
      </c>
      <c r="E7397" s="38" t="n">
        <f aca="false">Sens!$E$7372</f>
        <v>71.30864702443</v>
      </c>
      <c r="F7397" s="38" t="n">
        <f aca="false">Sens!$F$7372</f>
        <v>71.7692997942464</v>
      </c>
      <c r="G7397" s="38" t="n">
        <f aca="false">Sens!$G$7372</f>
        <v>143.077946818676</v>
      </c>
      <c r="H7397" s="38" t="n">
        <f aca="false">Sens!$H$7372</f>
        <v>161.017077079203</v>
      </c>
      <c r="I7397" s="38" t="n">
        <f aca="false">Sens!$I$7372</f>
        <v>178.769759521457</v>
      </c>
      <c r="J7397" s="38" t="n">
        <f aca="false">Sens!$J$7372</f>
        <v>195.775538045907</v>
      </c>
      <c r="K7397" s="38" t="n">
        <f aca="false">Sens!$K$7372</f>
        <v>211.43758108958</v>
      </c>
      <c r="L7397" s="38" t="n">
        <f aca="false">Sens!$L$7372</f>
        <v>228.352587576746</v>
      </c>
      <c r="M7397" s="38" t="n">
        <f aca="false">Sens!$M$7372</f>
        <v>246.620794582886</v>
      </c>
      <c r="N7397" s="38" t="n">
        <f aca="false">Sens!$N$7372</f>
        <v>57.0936804689721</v>
      </c>
      <c r="O7397" s="38" t="n">
        <f aca="false">Sens!$O$7372</f>
        <v>62.9275494423768</v>
      </c>
    </row>
    <row r="7398" customFormat="false" ht="15" hidden="false" customHeight="false" outlineLevel="0" collapsed="false">
      <c r="A7398" s="3" t="s">
        <v>514</v>
      </c>
      <c r="B7398" s="8" t="s">
        <v>86</v>
      </c>
      <c r="C7398" s="38" t="n">
        <f aca="false">Sens!$C$7374</f>
        <v>637.959</v>
      </c>
      <c r="D7398" s="38" t="n">
        <f aca="false">Sens!$D$7374</f>
        <v>716.924</v>
      </c>
      <c r="E7398" s="38" t="n">
        <f aca="false">Sens!$E$7374</f>
        <v>382.125</v>
      </c>
      <c r="F7398" s="38" t="n">
        <f aca="false">Sens!$F$7374</f>
        <v>435.780975084504</v>
      </c>
      <c r="G7398" s="38" t="n">
        <f aca="false">Sens!$G$7374</f>
        <v>817.905975084504</v>
      </c>
      <c r="H7398" s="38" t="n">
        <f aca="false">Sens!$H$7374</f>
        <v>942.279857350364</v>
      </c>
      <c r="I7398" s="38" t="n">
        <f aca="false">Sens!$I$7374</f>
        <v>1068.80284981042</v>
      </c>
      <c r="J7398" s="38" t="n">
        <f aca="false">Sens!$J$7374</f>
        <v>1189.90935093863</v>
      </c>
      <c r="K7398" s="38" t="n">
        <f aca="false">Sens!$K$7374</f>
        <v>1296.06215690385</v>
      </c>
      <c r="L7398" s="38" t="n">
        <f aca="false">Sens!$L$7374</f>
        <v>1395.17379585473</v>
      </c>
      <c r="M7398" s="38" t="n">
        <f aca="false">Sens!$M$7374</f>
        <v>1487.60414389864</v>
      </c>
      <c r="N7398" s="38" t="n">
        <f aca="false">Sens!$N$7374</f>
        <v>323.369</v>
      </c>
      <c r="O7398" s="38" t="n">
        <f aca="false">Sens!$O$7374</f>
        <v>393.555</v>
      </c>
    </row>
    <row r="7399" customFormat="false" ht="17.15" hidden="false" customHeight="false" outlineLevel="0" collapsed="false">
      <c r="A7399" s="24" t="s">
        <v>697</v>
      </c>
      <c r="B7399" s="25" t="s">
        <v>86</v>
      </c>
      <c r="C7399" s="41" t="n">
        <f aca="false">Sens!$C$7386+Sens!$C$7387+Sens!$C$7388+Sens!$C$7389+Sens!$C$7390+Sens!$C$7391-(Sens!$C$7393+Sens!$C$7394)</f>
        <v>0</v>
      </c>
      <c r="D7399" s="41" t="n">
        <f aca="false">Sens!$D$7386+Sens!$D$7387+Sens!$D$7388+Sens!$D$7389+Sens!$D$7390+Sens!$D$7391-(Sens!$D$7393+Sens!$D$7394)</f>
        <v>0</v>
      </c>
      <c r="E7399" s="41" t="n">
        <f aca="false">Sens!$E$7386+Sens!$E$7387+Sens!$E$7388+Sens!$E$7389+Sens!$E$7390+Sens!$E$7391-(Sens!$E$7393+Sens!$E$7394)</f>
        <v>0</v>
      </c>
      <c r="F7399" s="41" t="n">
        <f aca="false">Sens!$F$7386+Sens!$F$7387+Sens!$F$7388+Sens!$F$7389+Sens!$F$7390+Sens!$F$7391-(Sens!$F$7393+Sens!$F$7394)</f>
        <v>0</v>
      </c>
      <c r="G7399" s="41" t="n">
        <f aca="false">Sens!$G$7386+Sens!$G$7387+Sens!$G$7388+Sens!$G$7389+Sens!$G$7390+Sens!$G$7391-(Sens!$G$7393+Sens!$G$7394)</f>
        <v>0</v>
      </c>
      <c r="H7399" s="41" t="n">
        <f aca="false">Sens!$H$7386+Sens!$H$7387+Sens!$H$7388+Sens!$H$7389+Sens!$H$7390+Sens!$H$7391-(Sens!$H$7393+Sens!$H$7394)</f>
        <v>0</v>
      </c>
      <c r="I7399" s="41" t="n">
        <f aca="false">Sens!$I$7386+Sens!$I$7387+Sens!$I$7388+Sens!$I$7389+Sens!$I$7390+Sens!$I$7391-(Sens!$I$7393+Sens!$I$7394)</f>
        <v>0</v>
      </c>
      <c r="J7399" s="41" t="n">
        <f aca="false">Sens!$J$7386+Sens!$J$7387+Sens!$J$7388+Sens!$J$7389+Sens!$J$7390+Sens!$J$7391-(Sens!$J$7393+Sens!$J$7394)</f>
        <v>0</v>
      </c>
      <c r="K7399" s="41" t="n">
        <f aca="false">Sens!$K$7386+Sens!$K$7387+Sens!$K$7388+Sens!$K$7389+Sens!$K$7390+Sens!$K$7391-(Sens!$K$7393+Sens!$K$7394)</f>
        <v>0</v>
      </c>
      <c r="L7399" s="41" t="n">
        <f aca="false">Sens!$L$7386+Sens!$L$7387+Sens!$L$7388+Sens!$L$7389+Sens!$L$7390+Sens!$L$7391-(Sens!$L$7393+Sens!$L$7394)</f>
        <v>0</v>
      </c>
      <c r="M7399" s="41" t="n">
        <f aca="false">Sens!$M$7386+Sens!$M$7387+Sens!$M$7388+Sens!$M$7389+Sens!$M$7390+Sens!$M$7391-(Sens!$M$7393+Sens!$M$7394)</f>
        <v>0</v>
      </c>
      <c r="N7399" s="41" t="n">
        <f aca="false">Sens!$N$7386+Sens!$N$7387+Sens!$N$7388+Sens!$N$7389+Sens!$N$7390+Sens!$N$7391-(Sens!$N$7393+Sens!$N$7394)</f>
        <v>0</v>
      </c>
      <c r="O7399" s="41" t="n">
        <f aca="false">Sens!$O$7386+Sens!$O$7387+Sens!$O$7388+Sens!$O$7389+Sens!$O$7390+Sens!$O$7391-(Sens!$O$7393+Sens!$O$7394)</f>
        <v>0</v>
      </c>
    </row>
    <row r="7400" customFormat="false" ht="17.15" hidden="false" customHeight="false" outlineLevel="0" collapsed="false">
      <c r="A7400" s="24" t="s">
        <v>698</v>
      </c>
      <c r="B7400" s="25" t="s">
        <v>86</v>
      </c>
      <c r="C7400" s="41" t="n">
        <f aca="false">Sens!$C$7396+Sens!$C$7397-Sens!$C$7395</f>
        <v>0</v>
      </c>
      <c r="D7400" s="41" t="n">
        <f aca="false">Sens!$D$7396+Sens!$D$7397-Sens!$D$7395</f>
        <v>0</v>
      </c>
      <c r="E7400" s="41" t="n">
        <f aca="false">Sens!$E$7396+Sens!$E$7397-Sens!$E$7395</f>
        <v>0</v>
      </c>
      <c r="F7400" s="41" t="n">
        <f aca="false">Sens!$F$7396+Sens!$F$7397-Sens!$F$7395</f>
        <v>0</v>
      </c>
      <c r="G7400" s="41" t="n">
        <f aca="false">Sens!$G$7396+Sens!$G$7397-Sens!$G$7395</f>
        <v>0</v>
      </c>
      <c r="H7400" s="41" t="n">
        <f aca="false">Sens!$H$7396+Sens!$H$7397-Sens!$H$7395</f>
        <v>0</v>
      </c>
      <c r="I7400" s="41" t="n">
        <f aca="false">Sens!$I$7396+Sens!$I$7397-Sens!$I$7395</f>
        <v>0</v>
      </c>
      <c r="J7400" s="41" t="n">
        <f aca="false">Sens!$J$7396+Sens!$J$7397-Sens!$J$7395</f>
        <v>0</v>
      </c>
      <c r="K7400" s="41" t="n">
        <f aca="false">Sens!$K$7396+Sens!$K$7397-Sens!$K$7395</f>
        <v>0</v>
      </c>
      <c r="L7400" s="41" t="n">
        <f aca="false">Sens!$L$7396+Sens!$L$7397-Sens!$L$7395</f>
        <v>0</v>
      </c>
      <c r="M7400" s="41" t="n">
        <f aca="false">Sens!$M$7396+Sens!$M$7397-Sens!$M$7395</f>
        <v>0</v>
      </c>
      <c r="N7400" s="41" t="n">
        <f aca="false">Sens!$N$7396+Sens!$N$7397-Sens!$N$7395</f>
        <v>0</v>
      </c>
      <c r="O7400" s="41" t="n">
        <f aca="false">Sens!$O$7396+Sens!$O$7397-Sens!$O$7395</f>
        <v>0</v>
      </c>
    </row>
    <row r="7401" customFormat="false" ht="17.15" hidden="false" customHeight="false" outlineLevel="0" collapsed="false">
      <c r="A7401" s="24" t="s">
        <v>757</v>
      </c>
      <c r="B7401" s="25" t="s">
        <v>86</v>
      </c>
      <c r="C7401" s="41" t="n">
        <f aca="false">Sens!$C$7386+Sens!$C$7387+Sens!$C$7388+Sens!$C$7389+Sens!$C$7390+Sens!$C$7391+Sens!$C$7392-Sens!$C$7398</f>
        <v>0</v>
      </c>
      <c r="D7401" s="41" t="n">
        <f aca="false">Sens!$D$7386+Sens!$D$7387+Sens!$D$7388+Sens!$D$7389+Sens!$D$7390+Sens!$D$7391+Sens!$D$7392-Sens!$D$7398</f>
        <v>0</v>
      </c>
      <c r="E7401" s="41" t="n">
        <f aca="false">Sens!$E$7386+Sens!$E$7387+Sens!$E$7388+Sens!$E$7389+Sens!$E$7390+Sens!$E$7391+Sens!$E$7392-Sens!$E$7398</f>
        <v>0</v>
      </c>
      <c r="F7401" s="41" t="n">
        <f aca="false">Sens!$F$7386+Sens!$F$7387+Sens!$F$7388+Sens!$F$7389+Sens!$F$7390+Sens!$F$7391+Sens!$F$7392-Sens!$F$7398</f>
        <v>0</v>
      </c>
      <c r="G7401" s="41" t="n">
        <f aca="false">Sens!$G$7386+Sens!$G$7387+Sens!$G$7388+Sens!$G$7389+Sens!$G$7390+Sens!$G$7391+Sens!$G$7392-Sens!$G$7398</f>
        <v>0</v>
      </c>
      <c r="H7401" s="41" t="n">
        <f aca="false">Sens!$H$7386+Sens!$H$7387+Sens!$H$7388+Sens!$H$7389+Sens!$H$7390+Sens!$H$7391+Sens!$H$7392-Sens!$H$7398</f>
        <v>0</v>
      </c>
      <c r="I7401" s="41" t="n">
        <f aca="false">Sens!$I$7386+Sens!$I$7387+Sens!$I$7388+Sens!$I$7389+Sens!$I$7390+Sens!$I$7391+Sens!$I$7392-Sens!$I$7398</f>
        <v>0</v>
      </c>
      <c r="J7401" s="41" t="n">
        <f aca="false">Sens!$J$7386+Sens!$J$7387+Sens!$J$7388+Sens!$J$7389+Sens!$J$7390+Sens!$J$7391+Sens!$J$7392-Sens!$J$7398</f>
        <v>0</v>
      </c>
      <c r="K7401" s="41" t="n">
        <f aca="false">Sens!$K$7386+Sens!$K$7387+Sens!$K$7388+Sens!$K$7389+Sens!$K$7390+Sens!$K$7391+Sens!$K$7392-Sens!$K$7398</f>
        <v>0</v>
      </c>
      <c r="L7401" s="41" t="n">
        <f aca="false">Sens!$L$7386+Sens!$L$7387+Sens!$L$7388+Sens!$L$7389+Sens!$L$7390+Sens!$L$7391+Sens!$L$7392-Sens!$L$7398</f>
        <v>0</v>
      </c>
      <c r="M7401" s="41" t="n">
        <f aca="false">Sens!$M$7386+Sens!$M$7387+Sens!$M$7388+Sens!$M$7389+Sens!$M$7390+Sens!$M$7391+Sens!$M$7392-Sens!$M$7398</f>
        <v>0</v>
      </c>
      <c r="N7401" s="41" t="n">
        <f aca="false">Sens!$N$7386+Sens!$N$7387+Sens!$N$7388+Sens!$N$7389+Sens!$N$7390+Sens!$N$7391+Sens!$N$7392-Sens!$N$7398</f>
        <v>0</v>
      </c>
      <c r="O7401" s="41" t="n">
        <f aca="false">Sens!$O$7386+Sens!$O$7387+Sens!$O$7388+Sens!$O$7389+Sens!$O$7390+Sens!$O$7391+Sens!$O$7392-Sens!$O$7398</f>
        <v>0</v>
      </c>
    </row>
    <row r="7402" customFormat="false" ht="17.15" hidden="false" customHeight="false" outlineLevel="0" collapsed="false">
      <c r="A7402" s="24" t="s">
        <v>699</v>
      </c>
      <c r="B7402" s="25" t="s">
        <v>86</v>
      </c>
      <c r="C7402" s="41" t="n">
        <f aca="false">Sens!$C$7393+Sens!$C$7394+Sens!$C$7395-Sens!$C$7398</f>
        <v>0</v>
      </c>
      <c r="D7402" s="41" t="n">
        <f aca="false">Sens!$D$7393+Sens!$D$7394+Sens!$D$7395-Sens!$D$7398</f>
        <v>0</v>
      </c>
      <c r="E7402" s="41" t="n">
        <f aca="false">Sens!$E$7393+Sens!$E$7394+Sens!$E$7395-Sens!$E$7398</f>
        <v>0</v>
      </c>
      <c r="F7402" s="41" t="n">
        <f aca="false">Sens!$F$7393+Sens!$F$7394+Sens!$F$7395-Sens!$F$7398</f>
        <v>0</v>
      </c>
      <c r="G7402" s="41" t="n">
        <f aca="false">Sens!$G$7393+Sens!$G$7394+Sens!$G$7395-Sens!$G$7398</f>
        <v>0</v>
      </c>
      <c r="H7402" s="41" t="n">
        <f aca="false">Sens!$H$7393+Sens!$H$7394+Sens!$H$7395-Sens!$H$7398</f>
        <v>0</v>
      </c>
      <c r="I7402" s="41" t="n">
        <f aca="false">Sens!$I$7393+Sens!$I$7394+Sens!$I$7395-Sens!$I$7398</f>
        <v>0</v>
      </c>
      <c r="J7402" s="41" t="n">
        <f aca="false">Sens!$J$7393+Sens!$J$7394+Sens!$J$7395-Sens!$J$7398</f>
        <v>0</v>
      </c>
      <c r="K7402" s="41" t="n">
        <f aca="false">Sens!$K$7393+Sens!$K$7394+Sens!$K$7395-Sens!$K$7398</f>
        <v>0</v>
      </c>
      <c r="L7402" s="41" t="n">
        <f aca="false">Sens!$L$7393+Sens!$L$7394+Sens!$L$7395-Sens!$L$7398</f>
        <v>0</v>
      </c>
      <c r="M7402" s="41" t="n">
        <f aca="false">Sens!$M$7393+Sens!$M$7394+Sens!$M$7395-Sens!$M$7398</f>
        <v>0</v>
      </c>
      <c r="N7402" s="41" t="n">
        <f aca="false">Sens!$N$7393+Sens!$N$7394+Sens!$N$7395-Sens!$N$7398</f>
        <v>0</v>
      </c>
      <c r="O7402" s="41" t="n">
        <f aca="false">Sens!$O$7393+Sens!$O$7394+Sens!$O$7395-Sens!$O$7398</f>
        <v>0</v>
      </c>
    </row>
    <row r="7403" customFormat="false" ht="17.15" hidden="false" customHeight="false" outlineLevel="0" collapsed="false">
      <c r="A7403" s="1" t="s">
        <v>713</v>
      </c>
    </row>
    <row r="7404" customFormat="false" ht="17.15" hidden="false" customHeight="false" outlineLevel="0" collapsed="false">
      <c r="A7404" s="0" t="s">
        <v>714</v>
      </c>
      <c r="B7404" s="0" t="s">
        <v>86</v>
      </c>
      <c r="C7404" s="38" t="n">
        <f aca="false">Sens!$C$7310*m_ad</f>
        <v>20.5341564414228</v>
      </c>
      <c r="D7404" s="38" t="n">
        <f aca="false">Sens!$D$7310*m_ad</f>
        <v>24.8720617299587</v>
      </c>
      <c r="E7404" s="38" t="n">
        <f aca="false">Sens!$E$7310*m_ad</f>
        <v>13.5017112462207</v>
      </c>
      <c r="F7404" s="38" t="n">
        <f aca="false">Sens!$F$7310*m_ad</f>
        <v>16.5719724165257</v>
      </c>
      <c r="G7404" s="38" t="n">
        <f aca="false">Sens!$G$7310*m_ad</f>
        <v>30.0820919220415</v>
      </c>
      <c r="H7404" s="38" t="n">
        <f aca="false">Sens!$H$7310*m_ad</f>
        <v>36.1150883276314</v>
      </c>
      <c r="I7404" s="38" t="n">
        <f aca="false">Sens!$I$7310*m_ad</f>
        <v>42.1475382231996</v>
      </c>
      <c r="J7404" s="38" t="n">
        <f aca="false">Sens!$J$7310*m_ad</f>
        <v>47.7749523864693</v>
      </c>
      <c r="K7404" s="38" t="n">
        <f aca="false">Sens!$K$7310*m_ad</f>
        <v>52.5524476251162</v>
      </c>
      <c r="L7404" s="38" t="n">
        <f aca="false">Sens!$L$7310*m_ad</f>
        <v>57.8076923876279</v>
      </c>
      <c r="M7404" s="38" t="n">
        <f aca="false">Sens!$M$7310*m_ad</f>
        <v>63.5884616263907</v>
      </c>
      <c r="N7404" s="38" t="n">
        <f aca="false">Sens!$N$7310*m_ad</f>
        <v>10.8543555706248</v>
      </c>
      <c r="O7404" s="38" t="n">
        <f aca="false">Sens!$O$7310*m_ad</f>
        <v>14.0094731821399</v>
      </c>
    </row>
    <row r="7405" customFormat="false" ht="17.15" hidden="false" customHeight="false" outlineLevel="0" collapsed="false">
      <c r="A7405" s="0" t="s">
        <v>715</v>
      </c>
      <c r="B7405" s="0" t="s">
        <v>86</v>
      </c>
      <c r="C7405" s="38" t="n">
        <f aca="false">Sens!$C$7308-Sens!$C$7310</f>
        <v>346.428687117154</v>
      </c>
      <c r="D7405" s="38" t="n">
        <f aca="false">Sens!$D$7308-Sens!$D$7310</f>
        <v>376.560876540083</v>
      </c>
      <c r="E7405" s="38" t="n">
        <f aca="false">Sens!$E$7308-Sens!$E$7310</f>
        <v>193.316577507559</v>
      </c>
      <c r="F7405" s="38" t="n">
        <f aca="false">Sens!$F$7308-Sens!$F$7310</f>
        <v>217.495828647535</v>
      </c>
      <c r="G7405" s="38" t="n">
        <f aca="false">Sens!$G$7308-Sens!$G$7310</f>
        <v>410.795589636503</v>
      </c>
      <c r="H7405" s="38" t="n">
        <f aca="false">Sens!$H$7308-Sens!$H$7310</f>
        <v>449.156813761174</v>
      </c>
      <c r="I7405" s="38" t="n">
        <f aca="false">Sens!$I$7308-Sens!$I$7310</f>
        <v>485.848786441156</v>
      </c>
      <c r="J7405" s="38" t="n">
        <f aca="false">Sens!$J$7308-Sens!$J$7310</f>
        <v>519.841531018994</v>
      </c>
      <c r="K7405" s="38" t="n">
        <f aca="false">Sens!$K$7308-Sens!$K$7310</f>
        <v>550.103332311311</v>
      </c>
      <c r="L7405" s="38" t="n">
        <f aca="false">Sens!$L$7308-Sens!$L$7310</f>
        <v>582.192354474511</v>
      </c>
      <c r="M7405" s="38" t="n">
        <f aca="false">Sens!$M$7308-Sens!$M$7310</f>
        <v>616.22240521081</v>
      </c>
      <c r="N7405" s="38" t="n">
        <f aca="false">Sens!$N$7308-Sens!$N$7310</f>
        <v>171.24628885875</v>
      </c>
      <c r="O7405" s="38" t="n">
        <f aca="false">Sens!$O$7308-Sens!$O$7310</f>
        <v>205.33105363572</v>
      </c>
    </row>
    <row r="7406" customFormat="false" ht="17.15" hidden="false" customHeight="false" outlineLevel="0" collapsed="false">
      <c r="A7406" s="0" t="s">
        <v>716</v>
      </c>
      <c r="B7406" s="0" t="s">
        <v>86</v>
      </c>
      <c r="C7406" s="38" t="n">
        <f aca="false">Sens!$C$7357*Sens!$C$7307</f>
        <v>0.123617442257179</v>
      </c>
      <c r="D7406" s="38" t="n">
        <f aca="false">Sens!$D$7357*Sens!$D$7307</f>
        <v>0.874366899302609</v>
      </c>
      <c r="E7406" s="38" t="n">
        <f aca="false">Sens!$E$7357*Sens!$E$7307</f>
        <v>1.29318830502574</v>
      </c>
      <c r="F7406" s="38" t="n">
        <f aca="false">Sens!$F$7357*Sens!$F$7307</f>
        <v>1.51802024162534</v>
      </c>
      <c r="G7406" s="38" t="n">
        <f aca="false">Sens!$G$7357*Sens!$G$7307</f>
        <v>2.81153363597665</v>
      </c>
      <c r="H7406" s="38" t="n">
        <f aca="false">Sens!$H$7357*Sens!$H$7307</f>
        <v>7.39027704264226</v>
      </c>
      <c r="I7406" s="38" t="n">
        <f aca="false">Sens!$I$7357*Sens!$I$7307</f>
        <v>12.899807643047</v>
      </c>
      <c r="J7406" s="38" t="n">
        <f aca="false">Sens!$J$7357*Sens!$J$7307</f>
        <v>18.5585322471382</v>
      </c>
      <c r="K7406" s="38" t="n">
        <f aca="false">Sens!$K$7357*Sens!$K$7307</f>
        <v>24.0966749520672</v>
      </c>
      <c r="L7406" s="38" t="n">
        <f aca="false">Sens!$L$7357*Sens!$L$7307</f>
        <v>27.686623551477</v>
      </c>
      <c r="M7406" s="38" t="n">
        <f aca="false">Sens!$M$7357*Sens!$M$7307</f>
        <v>29.7238645537022</v>
      </c>
      <c r="N7406" s="38" t="n">
        <f aca="false">Sens!$N$7357*Sens!$N$7307</f>
        <v>0.389180508437431</v>
      </c>
      <c r="O7406" s="38" t="n">
        <f aca="false">Sens!$O$7357*Sens!$O$7307</f>
        <v>0.485052120082802</v>
      </c>
    </row>
    <row r="7407" customFormat="false" ht="17.15" hidden="false" customHeight="false" outlineLevel="0" collapsed="false">
      <c r="A7407" s="0" t="s">
        <v>717</v>
      </c>
      <c r="B7407" s="0" t="s">
        <v>52</v>
      </c>
      <c r="C7407" s="28" t="n">
        <f aca="false">(Sens!$C$7408-Sens!$C$7404+Sens!$C$7406)/Sens!$C$7405</f>
        <v>0.0131526665379575</v>
      </c>
      <c r="D7407" s="28" t="n">
        <f aca="false">(Sens!$D$7408-Sens!$D$7404+Sens!$D$7406)/Sens!$D$7405</f>
        <v>0.0149280116962589</v>
      </c>
      <c r="E7407" s="28" t="n">
        <f aca="false">(Sens!$E$7408-Sens!$E$7404+Sens!$E$7406)/Sens!$E$7405</f>
        <v>0.0268030663774938</v>
      </c>
      <c r="F7407" s="28" t="n">
        <f aca="false">Sens!$O$7407+(Sens!$E$7407-Sens!$N$7407)</f>
        <v>0.0232379346966962</v>
      </c>
      <c r="G7407" s="28" t="n">
        <f aca="false">(Sens!$G$7408-Sens!$G$7404+Sens!$G$7406)/Sens!$G$7405</f>
        <v>0.0248969268652583</v>
      </c>
      <c r="H7407" s="28" t="n">
        <f aca="false">Sens!$G$7407+step_na</f>
        <v>0.0278969268652583</v>
      </c>
      <c r="I7407" s="28" t="n">
        <f aca="false">Sens!$H$7407+step_na</f>
        <v>0.0308969268652583</v>
      </c>
      <c r="J7407" s="28" t="n">
        <f aca="false">Sens!$I$7407+step_na</f>
        <v>0.0338969268652583</v>
      </c>
      <c r="K7407" s="28" t="n">
        <f aca="false">Sens!$J$7407+step_na</f>
        <v>0.0368969268652584</v>
      </c>
      <c r="L7407" s="28" t="n">
        <f aca="false">Sens!$K$7407</f>
        <v>0.0368969268652584</v>
      </c>
      <c r="M7407" s="28" t="n">
        <f aca="false">Sens!$L$7407</f>
        <v>0.0368969268652584</v>
      </c>
      <c r="N7407" s="28" t="n">
        <f aca="false">(Sens!$N$7408-Sens!$N$7404+Sens!$N$7406)/Sens!$N$7405</f>
        <v>0.0168927744775755</v>
      </c>
      <c r="O7407" s="28" t="n">
        <f aca="false">(Sens!$O$7408-Sens!$O$7404+Sens!$O$7406)/Sens!$O$7405</f>
        <v>0.0133276427967779</v>
      </c>
      <c r="P7407" s="8" t="s">
        <v>718</v>
      </c>
    </row>
    <row r="7408" customFormat="false" ht="17.15" hidden="false" customHeight="false" outlineLevel="0" collapsed="false">
      <c r="A7408" s="1" t="s">
        <v>719</v>
      </c>
      <c r="B7408" s="8" t="s">
        <v>86</v>
      </c>
      <c r="C7408" s="38" t="n">
        <f aca="false">Q!$D$22</f>
        <v>24.967</v>
      </c>
      <c r="D7408" s="38" t="n">
        <f aca="false">Q!$E$22</f>
        <v>29.619</v>
      </c>
      <c r="E7408" s="38" t="n">
        <f aca="false">Q!$P$22</f>
        <v>17.39</v>
      </c>
      <c r="F7408" s="38" t="n">
        <f aca="false">Sens!$F$7404+Sens!$F$7405*Sens!$F$7407-Sens!$F$7406</f>
        <v>20.1081060378156</v>
      </c>
      <c r="G7408" s="38" t="n">
        <f aca="false">Sens!$E$7408+Sens!$F$7408</f>
        <v>37.4981060378156</v>
      </c>
      <c r="H7408" s="38" t="n">
        <f aca="false">Sens!$H$7404+Sens!$H$7405*Sens!$H$7407-Sens!$H$7406</f>
        <v>41.2549060695171</v>
      </c>
      <c r="I7408" s="38" t="n">
        <f aca="false">Sens!$I$7404+Sens!$I$7405*Sens!$I$7407-Sens!$I$7406</f>
        <v>44.2589650023995</v>
      </c>
      <c r="J7408" s="38" t="n">
        <f aca="false">Sens!$J$7404+Sens!$J$7405*Sens!$J$7407-Sens!$J$7406</f>
        <v>46.8374504978059</v>
      </c>
      <c r="K7408" s="38" t="n">
        <f aca="false">Sens!$K$7404+Sens!$K$7405*Sens!$K$7407-Sens!$K$7406</f>
        <v>48.7528950936744</v>
      </c>
      <c r="L7408" s="38" t="n">
        <f aca="false">Sens!$L$7404+Sens!$L$7405*Sens!$L$7407-Sens!$L$7406</f>
        <v>51.6021775607095</v>
      </c>
      <c r="M7408" s="38" t="n">
        <f aca="false">Sens!$M$7404+Sens!$M$7405*Sens!$M$7407-Sens!$M$7406</f>
        <v>56.6013100904853</v>
      </c>
      <c r="N7408" s="38" t="n">
        <f aca="false">Q!$N$22</f>
        <v>13.358</v>
      </c>
      <c r="O7408" s="38" t="n">
        <f aca="false">Q!$O$22</f>
        <v>16.261</v>
      </c>
    </row>
    <row r="7409" customFormat="false" ht="17.15" hidden="false" customHeight="false" outlineLevel="0" collapsed="false">
      <c r="A7409" s="0" t="s">
        <v>720</v>
      </c>
      <c r="B7409" s="0" t="s">
        <v>86</v>
      </c>
      <c r="C7409" s="38" t="n">
        <f aca="false">Sens!$C$7311*m_ad</f>
        <v>7.57284355857716</v>
      </c>
      <c r="D7409" s="38" t="n">
        <f aca="false">Sens!$D$7311*m_ad</f>
        <v>9.44543827004127</v>
      </c>
      <c r="E7409" s="38" t="n">
        <f aca="false">Sens!$E$7311*m_ad</f>
        <v>5.02428875377928</v>
      </c>
      <c r="F7409" s="38" t="n">
        <f aca="false">Sens!$F$7311*m_ad</f>
        <v>6.50663858068173</v>
      </c>
      <c r="G7409" s="38" t="n">
        <f aca="false">Sens!$G$7311*m_ad</f>
        <v>11.5225190751659</v>
      </c>
      <c r="H7409" s="38" t="n">
        <f aca="false">Sens!$H$7311*m_ad</f>
        <v>13.8333728663174</v>
      </c>
      <c r="I7409" s="38" t="n">
        <f aca="false">Sens!$I$7311*m_ad</f>
        <v>16.1440173245485</v>
      </c>
      <c r="J7409" s="38" t="n">
        <f aca="false">Sens!$J$7311*m_ad</f>
        <v>18.2995185845066</v>
      </c>
      <c r="K7409" s="38" t="n">
        <f aca="false">Sens!$K$7311*m_ad</f>
        <v>20.1294704429572</v>
      </c>
      <c r="L7409" s="38" t="n">
        <f aca="false">Sens!$L$7311*m_ad</f>
        <v>22.142417487253</v>
      </c>
      <c r="M7409" s="38" t="n">
        <f aca="false">Sens!$M$7311*m_ad</f>
        <v>24.3566592359783</v>
      </c>
      <c r="N7409" s="38" t="n">
        <f aca="false">Sens!$N$7311*m_ad</f>
        <v>3.95314442937518</v>
      </c>
      <c r="O7409" s="38" t="n">
        <f aca="false">Sens!$O$7311*m_ad</f>
        <v>5.50052681786011</v>
      </c>
    </row>
    <row r="7410" customFormat="false" ht="17.15" hidden="false" customHeight="false" outlineLevel="0" collapsed="false">
      <c r="A7410" s="0" t="s">
        <v>721</v>
      </c>
      <c r="B7410" s="0" t="s">
        <v>86</v>
      </c>
      <c r="C7410" s="38" t="n">
        <f aca="false">Sens!$C$7309-Sens!$C$7311</f>
        <v>127.760312882846</v>
      </c>
      <c r="D7410" s="38" t="n">
        <f aca="false">Sens!$D$7309-Sens!$D$7311</f>
        <v>143.003123459917</v>
      </c>
      <c r="E7410" s="38" t="n">
        <f aca="false">Sens!$E$7309-Sens!$E$7311</f>
        <v>71.9374224924414</v>
      </c>
      <c r="F7410" s="38" t="n">
        <f aca="false">Sens!$F$7309-Sens!$F$7311</f>
        <v>85.3951910035875</v>
      </c>
      <c r="G7410" s="38" t="n">
        <f aca="false">Sens!$G$7309-Sens!$G$7311</f>
        <v>157.349430014619</v>
      </c>
      <c r="H7410" s="38" t="n">
        <f aca="false">Sens!$H$7309-Sens!$H$7311</f>
        <v>172.043153372315</v>
      </c>
      <c r="I7410" s="38" t="n">
        <f aca="false">Sens!$I$7309-Sens!$I$7311</f>
        <v>186.097493615879</v>
      </c>
      <c r="J7410" s="38" t="n">
        <f aca="false">Sens!$J$7309-Sens!$J$7311</f>
        <v>199.117932780497</v>
      </c>
      <c r="K7410" s="38" t="n">
        <f aca="false">Sens!$K$7309-Sens!$K$7311</f>
        <v>210.70928698363</v>
      </c>
      <c r="L7410" s="38" t="n">
        <f aca="false">Sens!$L$7309-Sens!$L$7311</f>
        <v>223.000532251316</v>
      </c>
      <c r="M7410" s="38" t="n">
        <f aca="false">Sens!$M$7309-Sens!$M$7311</f>
        <v>236.035261011339</v>
      </c>
      <c r="N7410" s="38" t="n">
        <f aca="false">Sens!$N$7309-Sens!$N$7311</f>
        <v>62.3677111412496</v>
      </c>
      <c r="O7410" s="38" t="n">
        <f aca="false">Sens!$O$7309-Sens!$O$7311</f>
        <v>80.6189463642798</v>
      </c>
    </row>
    <row r="7411" customFormat="false" ht="17.15" hidden="false" customHeight="false" outlineLevel="0" collapsed="false">
      <c r="A7411" s="0" t="s">
        <v>722</v>
      </c>
      <c r="B7411" s="0" t="s">
        <v>86</v>
      </c>
      <c r="C7411" s="38" t="n">
        <f aca="false">Sens!$C$7357*(1-Sens!$C$7307)</f>
        <v>0.0455891896019953</v>
      </c>
      <c r="D7411" s="38" t="n">
        <f aca="false">Sens!$D$7357*(1-Sens!$D$7307)</f>
        <v>0.332050421167231</v>
      </c>
      <c r="E7411" s="38" t="n">
        <f aca="false">Sens!$E$7357*(1-Sens!$E$7307)</f>
        <v>0.481224293644882</v>
      </c>
      <c r="F7411" s="38" t="n">
        <f aca="false">Sens!$F$7357*(1-Sens!$F$7307)</f>
        <v>0.596018918096053</v>
      </c>
      <c r="G7411" s="38" t="n">
        <f aca="false">Sens!$G$7357*(1-Sens!$G$7307)</f>
        <v>1.07691812241537</v>
      </c>
      <c r="H7411" s="38" t="n">
        <f aca="false">Sens!$H$7357*(1-Sens!$H$7307)</f>
        <v>2.83074090775622</v>
      </c>
      <c r="I7411" s="38" t="n">
        <f aca="false">Sens!$I$7357*(1-Sens!$I$7307)</f>
        <v>4.94108853926048</v>
      </c>
      <c r="J7411" s="38" t="n">
        <f aca="false">Sens!$J$7357*(1-Sens!$J$7307)</f>
        <v>7.10858281993502</v>
      </c>
      <c r="K7411" s="38" t="n">
        <f aca="false">Sens!$K$7357*(1-Sens!$K$7307)</f>
        <v>9.2298899126701</v>
      </c>
      <c r="L7411" s="38" t="n">
        <f aca="false">Sens!$L$7357*(1-Sens!$L$7307)</f>
        <v>10.6049688574045</v>
      </c>
      <c r="M7411" s="38" t="n">
        <f aca="false">Sens!$M$7357*(1-Sens!$M$7307)</f>
        <v>11.3853051574758</v>
      </c>
      <c r="N7411" s="38" t="n">
        <f aca="false">Sens!$N$7357*(1-Sens!$N$7307)</f>
        <v>0.141739115596548</v>
      </c>
      <c r="O7411" s="38" t="n">
        <f aca="false">Sens!$O$7357*(1-Sens!$O$7307)</f>
        <v>0.190445576353059</v>
      </c>
    </row>
    <row r="7412" customFormat="false" ht="17.15" hidden="false" customHeight="false" outlineLevel="0" collapsed="false">
      <c r="A7412" s="0" t="s">
        <v>723</v>
      </c>
      <c r="B7412" s="0" t="s">
        <v>52</v>
      </c>
      <c r="C7412" s="28" t="n">
        <f aca="false">(Sens!$C$7413-Sens!$C$7409+Sens!$C$7411)/Sens!$C$7410</f>
        <v>-0.0292364215826579</v>
      </c>
      <c r="D7412" s="28" t="n">
        <f aca="false">(Sens!$D$7413-Sens!$D$7409+Sens!$D$7411)/Sens!$D$7410</f>
        <v>-0.0305125352740778</v>
      </c>
      <c r="E7412" s="28" t="n">
        <f aca="false">(Sens!$E$7413-Sens!$E$7409+Sens!$E$7411)/Sens!$E$7410</f>
        <v>-0.019490056934994</v>
      </c>
      <c r="F7412" s="28" t="n">
        <f aca="false">Sens!$O$7412+(Sens!$E$7412-Sens!$N$7412)</f>
        <v>-0.0367332293992226</v>
      </c>
      <c r="G7412" s="28" t="n">
        <f aca="false">(Sens!$G$7413-Sens!$G$7409+Sens!$G$7411)/Sens!$G$7410</f>
        <v>-0.0287946542321067</v>
      </c>
      <c r="H7412" s="28" t="n">
        <f aca="false">Sens!$G$7412+step_in</f>
        <v>-0.0287946542321067</v>
      </c>
      <c r="I7412" s="28" t="n">
        <f aca="false">Sens!$H$7412+step_in</f>
        <v>-0.0287946542321067</v>
      </c>
      <c r="J7412" s="28" t="n">
        <f aca="false">Sens!$I$7412+step_in</f>
        <v>-0.0287946542321067</v>
      </c>
      <c r="K7412" s="28" t="n">
        <f aca="false">Sens!$J$7412+step_in</f>
        <v>-0.0287946542321067</v>
      </c>
      <c r="L7412" s="28" t="n">
        <f aca="false">Sens!$K$7412</f>
        <v>-0.0287946542321067</v>
      </c>
      <c r="M7412" s="28" t="n">
        <f aca="false">Sens!$L$7412</f>
        <v>-0.0287946542321067</v>
      </c>
      <c r="N7412" s="28" t="n">
        <f aca="false">(Sens!$N$7413-Sens!$N$7409+Sens!$N$7411)/Sens!$N$7410</f>
        <v>-0.02085061789158</v>
      </c>
      <c r="O7412" s="28" t="n">
        <f aca="false">(Sens!$O$7413-Sens!$O$7409+Sens!$O$7411)/Sens!$O$7410</f>
        <v>-0.0380937903558086</v>
      </c>
      <c r="P7412" s="8" t="s">
        <v>718</v>
      </c>
    </row>
    <row r="7413" customFormat="false" ht="17.15" hidden="false" customHeight="false" outlineLevel="0" collapsed="false">
      <c r="A7413" s="1" t="s">
        <v>724</v>
      </c>
      <c r="B7413" s="8" t="s">
        <v>86</v>
      </c>
      <c r="C7413" s="38" t="n">
        <f aca="false">Q!$D$23</f>
        <v>3.792</v>
      </c>
      <c r="D7413" s="38" t="n">
        <f aca="false">Q!$E$23</f>
        <v>4.75</v>
      </c>
      <c r="E7413" s="38" t="n">
        <f aca="false">Q!$P$23</f>
        <v>3.141</v>
      </c>
      <c r="F7413" s="38" t="n">
        <f aca="false">Sens!$F$7409+Sens!$F$7410*Sens!$F$7412-Sens!$F$7411</f>
        <v>2.77377852186047</v>
      </c>
      <c r="G7413" s="38" t="n">
        <f aca="false">Sens!$E$7413+Sens!$F$7413</f>
        <v>5.91477852186047</v>
      </c>
      <c r="H7413" s="38" t="n">
        <f aca="false">Sens!$H$7409+Sens!$H$7410*Sens!$H$7412-Sens!$H$7411</f>
        <v>6.04870884420403</v>
      </c>
      <c r="I7413" s="38" t="n">
        <f aca="false">Sens!$I$7409+Sens!$I$7410*Sens!$I$7412-Sens!$I$7411</f>
        <v>5.84431580315713</v>
      </c>
      <c r="J7413" s="38" t="n">
        <f aca="false">Sens!$J$7409+Sens!$J$7410*Sens!$J$7412-Sens!$J$7411</f>
        <v>5.45740373874528</v>
      </c>
      <c r="K7413" s="38" t="n">
        <f aca="false">Sens!$K$7409+Sens!$K$7410*Sens!$K$7412-Sens!$K$7411</f>
        <v>4.83227946809976</v>
      </c>
      <c r="L7413" s="38" t="n">
        <f aca="false">Sens!$L$7409+Sens!$L$7410*Sens!$L$7412-Sens!$L$7411</f>
        <v>5.11622541009601</v>
      </c>
      <c r="M7413" s="38" t="n">
        <f aca="false">Sens!$M$7409+Sens!$M$7410*Sens!$M$7412-Sens!$M$7411</f>
        <v>6.17480035109588</v>
      </c>
      <c r="N7413" s="38" t="n">
        <f aca="false">Q!$N$23</f>
        <v>2.511</v>
      </c>
      <c r="O7413" s="38" t="n">
        <f aca="false">Q!$O$23</f>
        <v>2.239</v>
      </c>
    </row>
    <row r="7414" customFormat="false" ht="17.15" hidden="false" customHeight="false" outlineLevel="0" collapsed="false">
      <c r="A7414" s="0" t="s">
        <v>725</v>
      </c>
      <c r="B7414" s="0" t="s">
        <v>86</v>
      </c>
      <c r="C7414" s="38" t="n">
        <f aca="false">Sens!$C$7354</f>
        <v>1.64417882953695</v>
      </c>
      <c r="D7414" s="38" t="n">
        <f aca="false">Sens!$D$7354</f>
        <v>3.8781008067718</v>
      </c>
      <c r="E7414" s="38" t="n">
        <f aca="false">Sens!$E$7354</f>
        <v>1.41270258088753</v>
      </c>
      <c r="F7414" s="38" t="n">
        <f aca="false">Sens!$F$7354</f>
        <v>6.50727700583486</v>
      </c>
      <c r="G7414" s="38" t="n">
        <f aca="false">Sens!$G$7354</f>
        <v>7.9199795867224</v>
      </c>
      <c r="H7414" s="38" t="n">
        <f aca="false">Sens!$H$7354</f>
        <v>19.2818189481807</v>
      </c>
      <c r="I7414" s="38" t="n">
        <f aca="false">Sens!$I$7354</f>
        <v>30.140114407202</v>
      </c>
      <c r="J7414" s="38" t="n">
        <f aca="false">Sens!$J$7354</f>
        <v>40.3569468829854</v>
      </c>
      <c r="K7414" s="38" t="n">
        <f aca="false">Sens!$K$7354</f>
        <v>45.1418609242305</v>
      </c>
      <c r="L7414" s="38" t="n">
        <f aca="false">Sens!$L$7354</f>
        <v>48.5617321668703</v>
      </c>
      <c r="M7414" s="38" t="n">
        <f aca="false">Sens!$M$7354</f>
        <v>48.3987625241529</v>
      </c>
      <c r="N7414" s="38" t="n">
        <f aca="false">Sens!$N$7354</f>
        <v>0.92264103489199</v>
      </c>
      <c r="O7414" s="38" t="n">
        <f aca="false">Sens!$O$7354</f>
        <v>2.95545977187981</v>
      </c>
    </row>
    <row r="7415" customFormat="false" ht="17.15" hidden="false" customHeight="false" outlineLevel="0" collapsed="false">
      <c r="A7415" s="0" t="s">
        <v>643</v>
      </c>
      <c r="B7415" s="0" t="s">
        <v>86</v>
      </c>
      <c r="C7415" s="38" t="n">
        <f aca="false">Sens!$C$7359</f>
        <v>38.1898211704631</v>
      </c>
      <c r="D7415" s="38" t="n">
        <f aca="false">Sens!$D$7359</f>
        <v>41.7278991932282</v>
      </c>
      <c r="E7415" s="38" t="n">
        <f aca="false">Sens!$E$7359</f>
        <v>29.3692974191125</v>
      </c>
      <c r="F7415" s="38" t="n">
        <f aca="false">Sens!$F$7359</f>
        <v>26.8997276714137</v>
      </c>
      <c r="G7415" s="38" t="n">
        <f aca="false">Sens!$G$7359</f>
        <v>56.2690250905262</v>
      </c>
      <c r="H7415" s="38" t="n">
        <f aca="false">Sens!$H$7359</f>
        <v>60.3505333937343</v>
      </c>
      <c r="I7415" s="38" t="n">
        <f aca="false">Sens!$I$7359</f>
        <v>67.0043857303571</v>
      </c>
      <c r="J7415" s="38" t="n">
        <f aca="false">Sens!$J$7359</f>
        <v>73.3782922956925</v>
      </c>
      <c r="K7415" s="38" t="n">
        <f aca="false">Sens!$K$7359</f>
        <v>79.2485556793479</v>
      </c>
      <c r="L7415" s="38" t="n">
        <f aca="false">Sens!$L$7359</f>
        <v>85.5884401336958</v>
      </c>
      <c r="M7415" s="38" t="n">
        <f aca="false">Sens!$M$7359</f>
        <v>92.4355153443914</v>
      </c>
      <c r="N7415" s="38" t="n">
        <f aca="false">Sens!$N$7359</f>
        <v>20.784358965108</v>
      </c>
      <c r="O7415" s="38" t="n">
        <f aca="false">Sens!$O$7359</f>
        <v>20.9435402281202</v>
      </c>
    </row>
    <row r="7416" customFormat="false" ht="17.15" hidden="false" customHeight="false" outlineLevel="0" collapsed="false">
      <c r="A7416" s="1" t="s">
        <v>726</v>
      </c>
      <c r="B7416" s="8" t="s">
        <v>86</v>
      </c>
      <c r="C7416" s="38" t="n">
        <f aca="false">Q!$D$24</f>
        <v>39.834</v>
      </c>
      <c r="D7416" s="38" t="n">
        <f aca="false">Q!$E$24</f>
        <v>45.606</v>
      </c>
      <c r="E7416" s="38" t="n">
        <f aca="false">Q!$P$24</f>
        <v>30.782</v>
      </c>
      <c r="F7416" s="38" t="n">
        <f aca="false">Sens!$F$7414+Sens!$F$7415</f>
        <v>33.4070046772486</v>
      </c>
      <c r="G7416" s="38" t="n">
        <f aca="false">Sens!$G$7414+Sens!$G$7415</f>
        <v>64.1890046772486</v>
      </c>
      <c r="H7416" s="38" t="n">
        <f aca="false">Sens!$H$7414+Sens!$H$7415</f>
        <v>79.6323523419149</v>
      </c>
      <c r="I7416" s="38" t="n">
        <f aca="false">Sens!$I$7414+Sens!$I$7415</f>
        <v>97.1445001375591</v>
      </c>
      <c r="J7416" s="38" t="n">
        <f aca="false">Sens!$J$7414+Sens!$J$7415</f>
        <v>113.735239178678</v>
      </c>
      <c r="K7416" s="38" t="n">
        <f aca="false">Sens!$K$7414+Sens!$K$7415</f>
        <v>124.390416603578</v>
      </c>
      <c r="L7416" s="38" t="n">
        <f aca="false">Sens!$L$7414+Sens!$L$7415</f>
        <v>134.150172300566</v>
      </c>
      <c r="M7416" s="38" t="n">
        <f aca="false">Sens!$M$7414+Sens!$M$7415</f>
        <v>140.834277868544</v>
      </c>
      <c r="N7416" s="38" t="n">
        <f aca="false">Q!$N$24</f>
        <v>21.707</v>
      </c>
      <c r="O7416" s="38" t="n">
        <f aca="false">Q!$O$24</f>
        <v>23.899</v>
      </c>
    </row>
    <row r="7417" customFormat="false" ht="17.15" hidden="false" customHeight="false" outlineLevel="0" collapsed="false">
      <c r="A7417" s="5" t="s">
        <v>727</v>
      </c>
      <c r="B7417" s="0" t="s">
        <v>86</v>
      </c>
      <c r="C7417" s="38" t="n">
        <f aca="false">Q!$D$26</f>
        <v>0</v>
      </c>
      <c r="D7417" s="38" t="n">
        <f aca="false">Q!$E$26</f>
        <v>0</v>
      </c>
      <c r="E7417" s="38" t="n">
        <f aca="false">Q!$P$26</f>
        <v>0</v>
      </c>
      <c r="F7417" s="39" t="n">
        <v>0</v>
      </c>
      <c r="G7417" s="38" t="n">
        <f aca="false">Sens!$E$7417+Sens!$F$7417</f>
        <v>0</v>
      </c>
      <c r="H7417" s="39" t="n">
        <v>0</v>
      </c>
      <c r="I7417" s="39" t="n">
        <v>0</v>
      </c>
      <c r="J7417" s="39" t="n">
        <v>0</v>
      </c>
      <c r="K7417" s="39" t="n">
        <v>0</v>
      </c>
      <c r="L7417" s="39" t="n">
        <v>0</v>
      </c>
      <c r="M7417" s="39" t="n">
        <v>0</v>
      </c>
      <c r="N7417" s="38" t="n">
        <f aca="false">Q!$N$26</f>
        <v>0</v>
      </c>
      <c r="O7417" s="38" t="n">
        <f aca="false">Q!$O$26</f>
        <v>0</v>
      </c>
    </row>
    <row r="7418" customFormat="false" ht="15" hidden="false" customHeight="false" outlineLevel="0" collapsed="false">
      <c r="A7418" s="3" t="s">
        <v>531</v>
      </c>
      <c r="B7418" s="8" t="s">
        <v>86</v>
      </c>
      <c r="C7418" s="38" t="n">
        <f aca="false">Q!$D$25</f>
        <v>68.593</v>
      </c>
      <c r="D7418" s="38" t="n">
        <f aca="false">Q!$E$25</f>
        <v>79.975</v>
      </c>
      <c r="E7418" s="38" t="n">
        <f aca="false">Q!$P$25</f>
        <v>51.313</v>
      </c>
      <c r="F7418" s="38" t="n">
        <f aca="false">Sens!$F$7408+Sens!$F$7413+Sens!$F$7416+Sens!$F$7417</f>
        <v>56.2888892369246</v>
      </c>
      <c r="G7418" s="38" t="n">
        <f aca="false">Sens!$G$7408+Sens!$G$7413+Sens!$G$7416+Sens!$G$7417</f>
        <v>107.601889236925</v>
      </c>
      <c r="H7418" s="38" t="n">
        <f aca="false">Sens!$H$7408+Sens!$H$7413+Sens!$H$7416+Sens!$H$7417</f>
        <v>126.935967255636</v>
      </c>
      <c r="I7418" s="38" t="n">
        <f aca="false">Sens!$I$7408+Sens!$I$7413+Sens!$I$7416+Sens!$I$7417</f>
        <v>147.247780943116</v>
      </c>
      <c r="J7418" s="38" t="n">
        <f aca="false">Sens!$J$7408+Sens!$J$7413+Sens!$J$7416+Sens!$J$7417</f>
        <v>166.030093415229</v>
      </c>
      <c r="K7418" s="38" t="n">
        <f aca="false">Sens!$K$7408+Sens!$K$7413+Sens!$K$7416+Sens!$K$7417</f>
        <v>177.975591165353</v>
      </c>
      <c r="L7418" s="38" t="n">
        <f aca="false">Sens!$L$7408+Sens!$L$7413+Sens!$L$7416+Sens!$L$7417</f>
        <v>190.868575271371</v>
      </c>
      <c r="M7418" s="38" t="n">
        <f aca="false">Sens!$M$7408+Sens!$M$7413+Sens!$M$7416+Sens!$M$7417</f>
        <v>203.610388310126</v>
      </c>
      <c r="N7418" s="38" t="n">
        <f aca="false">Q!$N$25</f>
        <v>37.576</v>
      </c>
      <c r="O7418" s="38" t="n">
        <f aca="false">Q!$O$25</f>
        <v>42.399</v>
      </c>
    </row>
    <row r="7419" customFormat="false" ht="17.15" hidden="false" customHeight="false" outlineLevel="0" collapsed="false">
      <c r="A7419" s="24" t="s">
        <v>758</v>
      </c>
      <c r="B7419" s="25" t="s">
        <v>86</v>
      </c>
      <c r="C7419" s="41" t="n">
        <f aca="false">Sens!$C$7408+Sens!$C$7413+Sens!$C$7416+Sens!$C$7417-Sens!$C$7418</f>
        <v>0</v>
      </c>
      <c r="D7419" s="41" t="n">
        <f aca="false">Sens!$D$7408+Sens!$D$7413+Sens!$D$7416+Sens!$D$7417-Sens!$D$7418</f>
        <v>0</v>
      </c>
      <c r="E7419" s="41" t="n">
        <f aca="false">Sens!$E$7408+Sens!$E$7413+Sens!$E$7416+Sens!$E$7417-Sens!$E$7418</f>
        <v>0</v>
      </c>
      <c r="F7419" s="41" t="n">
        <f aca="false">Sens!$F$7408+Sens!$F$7413+Sens!$F$7416+Sens!$F$7417-Sens!$F$7418</f>
        <v>0</v>
      </c>
      <c r="G7419" s="41" t="n">
        <f aca="false">Sens!$G$7408+Sens!$G$7413+Sens!$G$7416+Sens!$G$7417-Sens!$G$7418</f>
        <v>0</v>
      </c>
      <c r="H7419" s="41" t="n">
        <f aca="false">Sens!$H$7408+Sens!$H$7413+Sens!$H$7416+Sens!$H$7417-Sens!$H$7418</f>
        <v>0</v>
      </c>
      <c r="I7419" s="41" t="n">
        <f aca="false">Sens!$I$7408+Sens!$I$7413+Sens!$I$7416+Sens!$I$7417-Sens!$I$7418</f>
        <v>0</v>
      </c>
      <c r="J7419" s="41" t="n">
        <f aca="false">Sens!$J$7408+Sens!$J$7413+Sens!$J$7416+Sens!$J$7417-Sens!$J$7418</f>
        <v>0</v>
      </c>
      <c r="K7419" s="41" t="n">
        <f aca="false">Sens!$K$7408+Sens!$K$7413+Sens!$K$7416+Sens!$K$7417-Sens!$K$7418</f>
        <v>0</v>
      </c>
      <c r="L7419" s="41" t="n">
        <f aca="false">Sens!$L$7408+Sens!$L$7413+Sens!$L$7416+Sens!$L$7417-Sens!$L$7418</f>
        <v>0</v>
      </c>
      <c r="M7419" s="41" t="n">
        <f aca="false">Sens!$M$7408+Sens!$M$7413+Sens!$M$7416+Sens!$M$7417-Sens!$M$7418</f>
        <v>0</v>
      </c>
      <c r="N7419" s="41" t="n">
        <f aca="false">Sens!$N$7408+Sens!$N$7413+Sens!$N$7416+Sens!$N$7417-Sens!$N$7418</f>
        <v>0</v>
      </c>
      <c r="O7419" s="41" t="n">
        <f aca="false">Sens!$O$7408+Sens!$O$7413+Sens!$O$7416+Sens!$O$7417-Sens!$O$7418</f>
        <v>0</v>
      </c>
    </row>
    <row r="7420" customFormat="false" ht="17.15" hidden="false" customHeight="false" outlineLevel="0" collapsed="false">
      <c r="A7420" s="5" t="s">
        <v>729</v>
      </c>
      <c r="B7420" s="0" t="s">
        <v>86</v>
      </c>
      <c r="C7420" s="38" t="n">
        <f aca="false">Sens!$C$7356</f>
        <v>0</v>
      </c>
      <c r="D7420" s="38" t="n">
        <f aca="false">Sens!$D$7356</f>
        <v>0</v>
      </c>
      <c r="E7420" s="38" t="n">
        <f aca="false">Sens!$E$7356</f>
        <v>0</v>
      </c>
      <c r="F7420" s="38" t="n">
        <f aca="false">Sens!$F$7356</f>
        <v>3.77122048175818</v>
      </c>
      <c r="G7420" s="38" t="n">
        <f aca="false">Sens!$G$7356</f>
        <v>3.77122048175818</v>
      </c>
      <c r="H7420" s="38" t="n">
        <f aca="false">Sens!$H$7356</f>
        <v>15.1635543609893</v>
      </c>
      <c r="I7420" s="38" t="n">
        <f aca="false">Sens!$I$7356</f>
        <v>25.5818843619889</v>
      </c>
      <c r="J7420" s="38" t="n">
        <f aca="false">Sens!$J$7356</f>
        <v>36.0465624179122</v>
      </c>
      <c r="K7420" s="38" t="n">
        <f aca="false">Sens!$K$7356</f>
        <v>44.9741164026038</v>
      </c>
      <c r="L7420" s="38" t="n">
        <f aca="false">Sens!$L$7356</f>
        <v>50.8413488057813</v>
      </c>
      <c r="M7420" s="38" t="n">
        <f aca="false">Sens!$M$7356</f>
        <v>53.6407214274315</v>
      </c>
      <c r="N7420" s="38" t="n">
        <f aca="false">Sens!$N$7356</f>
        <v>0</v>
      </c>
      <c r="O7420" s="38" t="n">
        <f aca="false">Sens!$O$7356</f>
        <v>0</v>
      </c>
      <c r="P7420" s="5" t="s">
        <v>730</v>
      </c>
    </row>
    <row r="7421" customFormat="false" ht="17.15" hidden="false" customHeight="false" outlineLevel="0" collapsed="false">
      <c r="A7421" s="5" t="s">
        <v>731</v>
      </c>
      <c r="B7421" s="0" t="s">
        <v>86</v>
      </c>
      <c r="C7421" s="38" t="n">
        <f aca="false">Sens!$C$7418+Sens!$C$7420</f>
        <v>68.593</v>
      </c>
      <c r="D7421" s="38" t="n">
        <f aca="false">Sens!$D$7418+Sens!$D$7420</f>
        <v>79.975</v>
      </c>
      <c r="E7421" s="38" t="n">
        <f aca="false">Sens!$E$7418+Sens!$E$7420</f>
        <v>51.313</v>
      </c>
      <c r="F7421" s="38" t="n">
        <f aca="false">Sens!$F$7418+Sens!$F$7420</f>
        <v>60.0601097186828</v>
      </c>
      <c r="G7421" s="38" t="n">
        <f aca="false">Sens!$G$7418+Sens!$G$7420</f>
        <v>111.373109718683</v>
      </c>
      <c r="H7421" s="38" t="n">
        <f aca="false">Sens!$H$7418+Sens!$H$7420</f>
        <v>142.099521616625</v>
      </c>
      <c r="I7421" s="38" t="n">
        <f aca="false">Sens!$I$7418+Sens!$I$7420</f>
        <v>172.829665305105</v>
      </c>
      <c r="J7421" s="38" t="n">
        <f aca="false">Sens!$J$7418+Sens!$J$7420</f>
        <v>202.076655833141</v>
      </c>
      <c r="K7421" s="38" t="n">
        <f aca="false">Sens!$K$7418+Sens!$K$7420</f>
        <v>222.949707567956</v>
      </c>
      <c r="L7421" s="38" t="n">
        <f aca="false">Sens!$L$7418+Sens!$L$7420</f>
        <v>241.709924077153</v>
      </c>
      <c r="M7421" s="38" t="n">
        <f aca="false">Sens!$M$7418+Sens!$M$7420</f>
        <v>257.251109737557</v>
      </c>
      <c r="N7421" s="38" t="n">
        <f aca="false">Sens!$N$7418+Sens!$N$7420</f>
        <v>37.576</v>
      </c>
      <c r="O7421" s="38" t="n">
        <f aca="false">Sens!$O$7418+Sens!$O$7420</f>
        <v>42.399</v>
      </c>
    </row>
    <row r="7422" customFormat="false" ht="17.15" hidden="false" customHeight="false" outlineLevel="0" collapsed="false">
      <c r="A7422" s="0" t="s">
        <v>732</v>
      </c>
      <c r="B7422" s="0" t="s">
        <v>52</v>
      </c>
      <c r="C7422" s="13" t="n">
        <f aca="false">Sens!$C$7408/Sens!$C$7393</f>
        <v>0.0644314665661928</v>
      </c>
      <c r="D7422" s="13" t="n">
        <f aca="false">Sens!$D$7408/Sens!$D$7393</f>
        <v>0.0694784250712518</v>
      </c>
      <c r="E7422" s="13" t="n">
        <f aca="false">Sens!$E$7408/Sens!$E$7393</f>
        <v>0.0789306463326071</v>
      </c>
      <c r="F7422" s="13" t="n">
        <f aca="false">Sens!$F$7408/Sens!$F$7393</f>
        <v>0.0802271154277638</v>
      </c>
      <c r="G7422" s="13" t="n">
        <f aca="false">Sens!$G$7408/Sens!$G$7393</f>
        <v>0.0796206133714758</v>
      </c>
      <c r="H7422" s="13" t="n">
        <f aca="false">Sens!$H$7408/Sens!$H$7393</f>
        <v>0.0791253077422711</v>
      </c>
      <c r="I7422" s="13" t="n">
        <f aca="false">Sens!$I$7408/Sens!$I$7393</f>
        <v>0.0776277144828766</v>
      </c>
      <c r="J7422" s="13" t="n">
        <f aca="false">Sens!$J$7408/Sens!$J$7393</f>
        <v>0.0761100135193333</v>
      </c>
      <c r="K7422" s="13" t="n">
        <f aca="false">Sens!$K$7408/Sens!$K$7393</f>
        <v>0.074408246177121</v>
      </c>
      <c r="L7422" s="13" t="n">
        <f aca="false">Sens!$L$7408/Sens!$L$7393</f>
        <v>0.0739489900415671</v>
      </c>
      <c r="M7422" s="13" t="n">
        <f aca="false">Sens!$M$7408/Sens!$M$7393</f>
        <v>0.076138500430805</v>
      </c>
      <c r="N7422" s="13" t="n">
        <f aca="false">Sens!$N$7408/Sens!$N$7393</f>
        <v>0.069228576611127</v>
      </c>
      <c r="O7422" s="13" t="n">
        <f aca="false">Sens!$O$7408/Sens!$O$7393</f>
        <v>0.069685022498393</v>
      </c>
    </row>
    <row r="7423" customFormat="false" ht="17.15" hidden="false" customHeight="false" outlineLevel="0" collapsed="false">
      <c r="A7423" s="0" t="s">
        <v>733</v>
      </c>
      <c r="B7423" s="0" t="s">
        <v>52</v>
      </c>
      <c r="C7423" s="13" t="n">
        <f aca="false">Sens!$C$7413/Sens!$C$7394</f>
        <v>0.026534925055631</v>
      </c>
      <c r="D7423" s="13" t="n">
        <f aca="false">Sens!$D$7413/Sens!$D$7394</f>
        <v>0.0293401855535103</v>
      </c>
      <c r="E7423" s="13" t="n">
        <f aca="false">Sens!$E$7413/Sens!$E$7394</f>
        <v>0.03831141902276</v>
      </c>
      <c r="F7423" s="13" t="n">
        <f aca="false">Sens!$F$7413/Sens!$F$7394</f>
        <v>0.028186380436398</v>
      </c>
      <c r="G7423" s="13" t="n">
        <f aca="false">Sens!$G$7413/Sens!$G$7394</f>
        <v>0.0327880260521739</v>
      </c>
      <c r="H7423" s="13" t="n">
        <f aca="false">Sens!$H$7413/Sens!$H$7394</f>
        <v>0.0302874763409969</v>
      </c>
      <c r="I7423" s="13" t="n">
        <f aca="false">Sens!$I$7413/Sens!$I$7394</f>
        <v>0.0267614610253202</v>
      </c>
      <c r="J7423" s="13" t="n">
        <f aca="false">Sens!$J$7413/Sens!$J$7394</f>
        <v>0.0231523582706593</v>
      </c>
      <c r="K7423" s="13" t="n">
        <f aca="false">Sens!$K$7413/Sens!$K$7394</f>
        <v>0.0192545467174101</v>
      </c>
      <c r="L7423" s="13" t="n">
        <f aca="false">Sens!$L$7413/Sens!$L$7394</f>
        <v>0.0191414347264789</v>
      </c>
      <c r="M7423" s="13" t="n">
        <f aca="false">Sens!$M$7413/Sens!$M$7394</f>
        <v>0.0216850962428001</v>
      </c>
      <c r="N7423" s="13" t="n">
        <f aca="false">Sens!$N$7413/Sens!$N$7394</f>
        <v>0.0357315650169337</v>
      </c>
      <c r="O7423" s="13" t="n">
        <f aca="false">Sens!$O$7413/Sens!$O$7394</f>
        <v>0.0244378956559703</v>
      </c>
    </row>
    <row r="7424" customFormat="false" ht="17.15" hidden="false" customHeight="false" outlineLevel="0" collapsed="false">
      <c r="A7424" s="14" t="s">
        <v>734</v>
      </c>
      <c r="B7424" s="14" t="s">
        <v>52</v>
      </c>
      <c r="C7424" s="17" t="n">
        <f aca="false">Sens!$C$7416/Sens!$C$7395</f>
        <v>0.370355907620217</v>
      </c>
      <c r="D7424" s="17" t="n">
        <f aca="false">Sens!$D$7416/Sens!$D$7395</f>
        <v>0.35429015342785</v>
      </c>
      <c r="E7424" s="17" t="n">
        <f aca="false">Sens!$E$7416/Sens!$E$7395</f>
        <v>0.385647527531039</v>
      </c>
      <c r="F7424" s="17" t="n">
        <f aca="false">Sens!$F$7416/Sens!$F$7395</f>
        <v>0.385171818673936</v>
      </c>
      <c r="G7424" s="17" t="n">
        <f aca="false">Sens!$G$7416/Sens!$G$7395</f>
        <v>0.385399799520974</v>
      </c>
      <c r="H7424" s="17" t="n">
        <f aca="false">Sens!$H$7416/Sens!$H$7395</f>
        <v>0.360029314750347</v>
      </c>
      <c r="I7424" s="17" t="n">
        <f aca="false">Sens!$I$7416/Sens!$I$7395</f>
        <v>0.346606134604193</v>
      </c>
      <c r="J7424" s="17" t="n">
        <f aca="false">Sens!$J$7416/Sens!$J$7395</f>
        <v>0.335699297156574</v>
      </c>
      <c r="K7424" s="17" t="n">
        <f aca="false">Sens!$K$7416/Sens!$K$7395</f>
        <v>0.319043289183739</v>
      </c>
      <c r="L7424" s="17" t="n">
        <f aca="false">Sens!$L$7416/Sens!$L$7395</f>
        <v>0.311918613444893</v>
      </c>
      <c r="M7424" s="17" t="n">
        <f aca="false">Sens!$M$7416/Sens!$M$7395</f>
        <v>0.306523814127389</v>
      </c>
      <c r="N7424" s="17" t="n">
        <f aca="false">Sens!$N$7416/Sens!$N$7395</f>
        <v>0.360941137346192</v>
      </c>
      <c r="O7424" s="17" t="n">
        <f aca="false">Sens!$O$7416/Sens!$O$7395</f>
        <v>0.348458117664212</v>
      </c>
    </row>
    <row r="7425" customFormat="false" ht="17.15" hidden="false" customHeight="false" outlineLevel="0" collapsed="false">
      <c r="A7425" s="0" t="s">
        <v>735</v>
      </c>
      <c r="B7425" s="0" t="s">
        <v>52</v>
      </c>
      <c r="C7425" s="13" t="n">
        <f aca="false">Sens!$C$7414/Sens!$C$7396</f>
        <v>0.708390794789371</v>
      </c>
      <c r="D7425" s="13" t="n">
        <f aca="false">Sens!$D$7414/Sens!$D$7396</f>
        <v>0.445565630441968</v>
      </c>
      <c r="E7425" s="13" t="n">
        <f aca="false">Sens!$E$7414/Sens!$E$7396</f>
        <v>0.165998118402711</v>
      </c>
      <c r="F7425" s="13" t="n">
        <f aca="false">Sens!$F$7414/Sens!$F$7396</f>
        <v>0.434878595403858</v>
      </c>
      <c r="G7425" s="13" t="n">
        <f aca="false">Sens!$G$7414/Sens!$G$7396</f>
        <v>0.3373967615381</v>
      </c>
      <c r="H7425" s="13" t="n">
        <f aca="false">Sens!$H$7414/Sens!$H$7396</f>
        <v>0.320477578041224</v>
      </c>
      <c r="I7425" s="13" t="n">
        <f aca="false">Sens!$I$7414/Sens!$I$7396</f>
        <v>0.296936118226494</v>
      </c>
      <c r="J7425" s="13" t="n">
        <f aca="false">Sens!$J$7414/Sens!$J$7396</f>
        <v>0.282166278613001</v>
      </c>
      <c r="K7425" s="13" t="n">
        <f aca="false">Sens!$K$7414/Sens!$K$7396</f>
        <v>0.252969102881543</v>
      </c>
      <c r="L7425" s="13" t="n">
        <f aca="false">Sens!$L$7414/Sens!$L$7396</f>
        <v>0.240728642826566</v>
      </c>
      <c r="M7425" s="13" t="n">
        <f aca="false">Sens!$M$7414/Sens!$M$7396</f>
        <v>0.227399920863147</v>
      </c>
      <c r="N7425" s="13" t="n">
        <f aca="false">Sens!$N$7414/Sens!$N$7396</f>
        <v>0.302870734830849</v>
      </c>
      <c r="O7425" s="13" t="n">
        <f aca="false">Sens!$O$7414/Sens!$O$7396</f>
        <v>0.52240134346334</v>
      </c>
    </row>
    <row r="7426" customFormat="false" ht="15" hidden="false" customHeight="false" outlineLevel="0" collapsed="false">
      <c r="A7426" s="5" t="s">
        <v>736</v>
      </c>
      <c r="B7426" s="0" t="s">
        <v>52</v>
      </c>
      <c r="C7426" s="13" t="n">
        <f aca="false">Sens!$C$7418/Sens!$C$7398</f>
        <v>0.107519448742004</v>
      </c>
      <c r="D7426" s="13" t="n">
        <f aca="false">Sens!$D$7418/Sens!$D$7398</f>
        <v>0.111552967957552</v>
      </c>
      <c r="E7426" s="13" t="n">
        <f aca="false">Sens!$E$7418/Sens!$E$7398</f>
        <v>0.13428328426562</v>
      </c>
      <c r="F7426" s="13" t="n">
        <f aca="false">Sens!$F$7418/Sens!$F$7398</f>
        <v>0.129167844525589</v>
      </c>
      <c r="G7426" s="13" t="n">
        <f aca="false">Sens!$G$7418/Sens!$G$7398</f>
        <v>0.131557773771988</v>
      </c>
      <c r="H7426" s="13" t="n">
        <f aca="false">Sens!$H$7418/Sens!$H$7398</f>
        <v>0.134711536350329</v>
      </c>
      <c r="I7426" s="13" t="n">
        <f aca="false">Sens!$I$7418/Sens!$I$7398</f>
        <v>0.137768888779847</v>
      </c>
      <c r="J7426" s="13" t="n">
        <f aca="false">Sens!$J$7418/Sens!$J$7398</f>
        <v>0.139531715827143</v>
      </c>
      <c r="K7426" s="13" t="n">
        <f aca="false">Sens!$K$7418/Sens!$K$7398</f>
        <v>0.137320259076553</v>
      </c>
      <c r="L7426" s="13" t="n">
        <f aca="false">Sens!$L$7418/Sens!$L$7398</f>
        <v>0.136806307456799</v>
      </c>
      <c r="M7426" s="13" t="n">
        <f aca="false">Sens!$M$7418/Sens!$M$7398</f>
        <v>0.136871350584245</v>
      </c>
      <c r="N7426" s="13" t="n">
        <f aca="false">Sens!$N$7418/Sens!$N$7398</f>
        <v>0.116201614873411</v>
      </c>
      <c r="O7426" s="13" t="n">
        <f aca="false">Sens!$O$7418/Sens!$O$7398</f>
        <v>0.107733353660861</v>
      </c>
    </row>
    <row r="7427" customFormat="false" ht="17.15" hidden="false" customHeight="false" outlineLevel="0" collapsed="false">
      <c r="A7427" s="1" t="s">
        <v>737</v>
      </c>
    </row>
    <row r="7428" customFormat="false" ht="17.15" hidden="false" customHeight="false" outlineLevel="0" collapsed="false">
      <c r="A7428" s="5" t="s">
        <v>738</v>
      </c>
      <c r="B7428" s="0" t="s">
        <v>52</v>
      </c>
      <c r="D7428" s="28" t="n">
        <f aca="false">(Q!$E$29+Q!$E$30-(1-ext_sh)*Sens!$D$7350)/Sens!$D$7306</f>
        <v>0.0334674312393194</v>
      </c>
    </row>
    <row r="7429" customFormat="false" ht="17.15" hidden="false" customHeight="false" outlineLevel="0" collapsed="false">
      <c r="A7429" s="0" t="s">
        <v>535</v>
      </c>
      <c r="B7429" s="0" t="s">
        <v>86</v>
      </c>
      <c r="C7429" s="38" t="n">
        <f aca="false">Q!$D$29</f>
        <v>14.285</v>
      </c>
      <c r="D7429" s="38" t="n">
        <f aca="false">Q!$E$29</f>
        <v>15.503</v>
      </c>
      <c r="E7429" s="38" t="n">
        <f aca="false">Q!$P$29</f>
        <v>8.78</v>
      </c>
      <c r="F7429" s="38" t="n">
        <f aca="false">(Sens!$D$7428*Sens!$F$7306+(1-ext_sh)*Sens!$F$7350)*Sens!$F$7307</f>
        <v>9.32404990199157</v>
      </c>
      <c r="G7429" s="38" t="n">
        <f aca="false">Sens!$E$7429+Sens!$F$7429</f>
        <v>18.1040499019916</v>
      </c>
      <c r="H7429" s="38" t="n">
        <f aca="false">(Sens!$D$7428*Sens!$H$7306+(1-ext_sh)*Sens!$H$7350)*Sens!$H$7307</f>
        <v>22.5533556752937</v>
      </c>
      <c r="I7429" s="38" t="n">
        <f aca="false">(Sens!$D$7428*Sens!$I$7306+(1-ext_sh)*Sens!$I$7350)*Sens!$I$7307</f>
        <v>28.1941479903215</v>
      </c>
      <c r="J7429" s="38" t="n">
        <f aca="false">(Sens!$D$7428*Sens!$J$7306+(1-ext_sh)*Sens!$J$7350)*Sens!$J$7307</f>
        <v>33.8639126241465</v>
      </c>
      <c r="K7429" s="38" t="n">
        <f aca="false">(Sens!$D$7428*Sens!$K$7306+(1-ext_sh)*Sens!$K$7350)*Sens!$K$7307</f>
        <v>39.4516429979446</v>
      </c>
      <c r="L7429" s="38" t="n">
        <f aca="false">(Sens!$D$7428*Sens!$L$7306+(1-ext_sh)*Sens!$L$7350)*Sens!$L$7307</f>
        <v>43.6240799619622</v>
      </c>
      <c r="M7429" s="38" t="n">
        <f aca="false">(Sens!$D$7428*Sens!$M$7306+(1-ext_sh)*Sens!$M$7350)*Sens!$M$7307</f>
        <v>46.7841679303704</v>
      </c>
      <c r="N7429" s="38" t="n">
        <f aca="false">Q!$N$29</f>
        <v>7.272</v>
      </c>
      <c r="O7429" s="38" t="n">
        <f aca="false">Q!$O$29</f>
        <v>8.231</v>
      </c>
    </row>
    <row r="7430" customFormat="false" ht="17.15" hidden="false" customHeight="false" outlineLevel="0" collapsed="false">
      <c r="A7430" s="0" t="s">
        <v>537</v>
      </c>
      <c r="B7430" s="0" t="s">
        <v>86</v>
      </c>
      <c r="C7430" s="38" t="n">
        <f aca="false">Q!$D$30</f>
        <v>4.462</v>
      </c>
      <c r="D7430" s="38" t="n">
        <f aca="false">Q!$E$30</f>
        <v>4.907</v>
      </c>
      <c r="E7430" s="38" t="n">
        <f aca="false">Q!$P$30</f>
        <v>2.57</v>
      </c>
      <c r="F7430" s="38" t="n">
        <f aca="false">(Sens!$D$7428*Sens!$F$7306+(1-ext_sh)*Sens!$F$7350)*(1-Sens!$F$7307)</f>
        <v>3.66089330199472</v>
      </c>
      <c r="G7430" s="38" t="n">
        <f aca="false">Sens!$E$7430+Sens!$F$7430</f>
        <v>6.23089330199472</v>
      </c>
      <c r="H7430" s="38" t="n">
        <f aca="false">(Sens!$D$7428*Sens!$H$7306+(1-ext_sh)*Sens!$H$7350)*(1-Sens!$H$7307)</f>
        <v>8.63874333111657</v>
      </c>
      <c r="I7430" s="38" t="n">
        <f aca="false">(Sens!$D$7428*Sens!$I$7306+(1-ext_sh)*Sens!$I$7350)*(1-Sens!$I$7307)</f>
        <v>10.7993689025494</v>
      </c>
      <c r="J7430" s="38" t="n">
        <f aca="false">(Sens!$D$7428*Sens!$J$7306+(1-ext_sh)*Sens!$J$7350)*(1-Sens!$J$7307)</f>
        <v>12.9710919101865</v>
      </c>
      <c r="K7430" s="38" t="n">
        <f aca="false">(Sens!$D$7428*Sens!$K$7306+(1-ext_sh)*Sens!$K$7350)*(1-Sens!$K$7307)</f>
        <v>15.1113928568702</v>
      </c>
      <c r="L7430" s="38" t="n">
        <f aca="false">(Sens!$D$7428*Sens!$L$7306+(1-ext_sh)*Sens!$L$7350)*(1-Sens!$L$7307)</f>
        <v>16.7095857163433</v>
      </c>
      <c r="M7430" s="38" t="n">
        <f aca="false">(Sens!$D$7428*Sens!$M$7306+(1-ext_sh)*Sens!$M$7350)*(1-Sens!$M$7307)</f>
        <v>17.9200126371023</v>
      </c>
      <c r="N7430" s="38" t="n">
        <f aca="false">Q!$N$30</f>
        <v>2.316</v>
      </c>
      <c r="O7430" s="38" t="n">
        <f aca="false">Q!$O$30</f>
        <v>2.591</v>
      </c>
    </row>
    <row r="7431" customFormat="false" ht="17.15" hidden="false" customHeight="false" outlineLevel="0" collapsed="false">
      <c r="A7431" s="0" t="s">
        <v>538</v>
      </c>
      <c r="B7431" s="0" t="s">
        <v>86</v>
      </c>
      <c r="C7431" s="38" t="n">
        <f aca="false">Sens!$C$7362</f>
        <v>13.32</v>
      </c>
      <c r="D7431" s="38" t="n">
        <f aca="false">Sens!$D$7362</f>
        <v>21.45</v>
      </c>
      <c r="E7431" s="38" t="n">
        <f aca="false">Sens!$E$7362</f>
        <v>15.353</v>
      </c>
      <c r="F7431" s="38" t="n">
        <f aca="false">Sens!$F$7362</f>
        <v>16.3063747611001</v>
      </c>
      <c r="G7431" s="38" t="n">
        <f aca="false">Sens!$G$7362</f>
        <v>31.6593747611001</v>
      </c>
      <c r="H7431" s="38" t="n">
        <f aca="false">Sens!$H$7362</f>
        <v>53.124242092105</v>
      </c>
      <c r="I7431" s="38" t="n">
        <f aca="false">Sens!$I$7362</f>
        <v>78.046828098133</v>
      </c>
      <c r="J7431" s="38" t="n">
        <f aca="false">Sens!$J$7362</f>
        <v>103.663976940352</v>
      </c>
      <c r="K7431" s="38" t="n">
        <f aca="false">Sens!$K$7362</f>
        <v>129.625086115469</v>
      </c>
      <c r="L7431" s="38" t="n">
        <f aca="false">Sens!$L$7362</f>
        <v>147.435052382502</v>
      </c>
      <c r="M7431" s="38" t="n">
        <f aca="false">Sens!$M$7362</f>
        <v>159.299754080279</v>
      </c>
      <c r="N7431" s="38" t="n">
        <f aca="false">Sens!$N$7362</f>
        <v>9.234</v>
      </c>
      <c r="O7431" s="38" t="n">
        <f aca="false">Sens!$O$7362</f>
        <v>12.216</v>
      </c>
    </row>
    <row r="7432" customFormat="false" ht="17.15" hidden="false" customHeight="false" outlineLevel="0" collapsed="false">
      <c r="A7432" s="5" t="s">
        <v>739</v>
      </c>
      <c r="B7432" s="0" t="s">
        <v>86</v>
      </c>
      <c r="C7432" s="38" t="n">
        <f aca="false">Sens!$C$7429+Sens!$C$7430+Sens!$C$7431</f>
        <v>32.067</v>
      </c>
      <c r="D7432" s="38" t="n">
        <f aca="false">Sens!$D$7429+Sens!$D$7430+Sens!$D$7431</f>
        <v>41.86</v>
      </c>
      <c r="E7432" s="38" t="n">
        <f aca="false">Sens!$E$7429+Sens!$E$7430+Sens!$E$7431</f>
        <v>26.703</v>
      </c>
      <c r="F7432" s="38" t="n">
        <f aca="false">Sens!$F$7429+Sens!$F$7430+Sens!$F$7431</f>
        <v>29.2913179650864</v>
      </c>
      <c r="G7432" s="38" t="n">
        <f aca="false">Sens!$G$7429+Sens!$G$7430+Sens!$G$7431</f>
        <v>55.9943179650864</v>
      </c>
      <c r="H7432" s="38" t="n">
        <f aca="false">Sens!$H$7429+Sens!$H$7430+Sens!$H$7431</f>
        <v>84.3163410985152</v>
      </c>
      <c r="I7432" s="38" t="n">
        <f aca="false">Sens!$I$7429+Sens!$I$7430+Sens!$I$7431</f>
        <v>117.040344991004</v>
      </c>
      <c r="J7432" s="38" t="n">
        <f aca="false">Sens!$J$7429+Sens!$J$7430+Sens!$J$7431</f>
        <v>150.498981474685</v>
      </c>
      <c r="K7432" s="38" t="n">
        <f aca="false">Sens!$K$7429+Sens!$K$7430+Sens!$K$7431</f>
        <v>184.188121970284</v>
      </c>
      <c r="L7432" s="38" t="n">
        <f aca="false">Sens!$L$7429+Sens!$L$7430+Sens!$L$7431</f>
        <v>207.768718060808</v>
      </c>
      <c r="M7432" s="38" t="n">
        <f aca="false">Sens!$M$7429+Sens!$M$7430+Sens!$M$7431</f>
        <v>224.003934647752</v>
      </c>
      <c r="N7432" s="38" t="n">
        <f aca="false">Sens!$N$7429+Sens!$N$7430+Sens!$N$7431</f>
        <v>18.822</v>
      </c>
      <c r="O7432" s="38" t="n">
        <f aca="false">Sens!$O$7429+Sens!$O$7430+Sens!$O$7431</f>
        <v>23.038</v>
      </c>
    </row>
    <row r="7433" customFormat="false" ht="17.15" hidden="false" customHeight="false" outlineLevel="0" collapsed="false">
      <c r="A7433" s="0" t="s">
        <v>740</v>
      </c>
      <c r="B7433" s="0" t="s">
        <v>86</v>
      </c>
      <c r="C7433" s="38" t="n">
        <f aca="false">Sens!$C$7404+Sens!$C$7409</f>
        <v>28.107</v>
      </c>
      <c r="D7433" s="38" t="n">
        <f aca="false">Sens!$D$7404+Sens!$D$7409</f>
        <v>34.3175</v>
      </c>
      <c r="E7433" s="38" t="n">
        <f aca="false">Sens!$E$7404+Sens!$E$7409</f>
        <v>18.526</v>
      </c>
      <c r="F7433" s="38" t="n">
        <f aca="false">Sens!$F$7404+Sens!$F$7409</f>
        <v>23.0786109972074</v>
      </c>
      <c r="G7433" s="38" t="n">
        <f aca="false">Sens!$G$7404+Sens!$G$7409</f>
        <v>41.6046109972074</v>
      </c>
      <c r="H7433" s="38" t="n">
        <f aca="false">Sens!$H$7404+Sens!$H$7409</f>
        <v>49.9484611939488</v>
      </c>
      <c r="I7433" s="38" t="n">
        <f aca="false">Sens!$I$7404+Sens!$I$7409</f>
        <v>58.2915555477481</v>
      </c>
      <c r="J7433" s="38" t="n">
        <f aca="false">Sens!$J$7404+Sens!$J$7409</f>
        <v>66.0744709709759</v>
      </c>
      <c r="K7433" s="38" t="n">
        <f aca="false">Sens!$K$7404+Sens!$K$7409</f>
        <v>72.6819180680735</v>
      </c>
      <c r="L7433" s="38" t="n">
        <f aca="false">Sens!$L$7404+Sens!$L$7409</f>
        <v>79.9501098748808</v>
      </c>
      <c r="M7433" s="38" t="n">
        <f aca="false">Sens!$M$7404+Sens!$M$7409</f>
        <v>87.9451208623689</v>
      </c>
      <c r="N7433" s="38" t="n">
        <f aca="false">Sens!$N$7404+Sens!$N$7409</f>
        <v>14.8075</v>
      </c>
      <c r="O7433" s="38" t="n">
        <f aca="false">Sens!$O$7404+Sens!$O$7409</f>
        <v>19.51</v>
      </c>
    </row>
    <row r="7434" customFormat="false" ht="17.15" hidden="false" customHeight="false" outlineLevel="0" collapsed="false">
      <c r="A7434" s="0" t="s">
        <v>741</v>
      </c>
      <c r="B7434" s="0" t="s">
        <v>86</v>
      </c>
      <c r="C7434" s="38" t="n">
        <f aca="false">Sens!$C$7408+Sens!$C$7413+Sens!$C$7429+Sens!$C$7430-Sens!$C$7433</f>
        <v>19.399</v>
      </c>
      <c r="D7434" s="38" t="n">
        <f aca="false">Sens!$D$7408+Sens!$D$7413+Sens!$D$7429+Sens!$D$7430-Sens!$D$7433</f>
        <v>20.4615</v>
      </c>
      <c r="E7434" s="38" t="n">
        <f aca="false">Sens!$E$7408+Sens!$E$7413+Sens!$E$7429+Sens!$E$7430-Sens!$E$7433</f>
        <v>13.355</v>
      </c>
      <c r="F7434" s="38" t="n">
        <f aca="false">Sens!$F$7408+Sens!$F$7413+Sens!$F$7429+Sens!$F$7430-Sens!$F$7433</f>
        <v>12.7882167664549</v>
      </c>
      <c r="G7434" s="38" t="n">
        <f aca="false">Sens!$G$7408+Sens!$G$7413+Sens!$G$7429+Sens!$G$7430-Sens!$G$7433</f>
        <v>26.1432167664549</v>
      </c>
      <c r="H7434" s="38" t="n">
        <f aca="false">Sens!$H$7408+Sens!$H$7413+Sens!$H$7429+Sens!$H$7430-Sens!$H$7433</f>
        <v>28.5472527261826</v>
      </c>
      <c r="I7434" s="38" t="n">
        <f aca="false">Sens!$I$7408+Sens!$I$7413+Sens!$I$7429+Sens!$I$7430-Sens!$I$7433</f>
        <v>30.8052421506794</v>
      </c>
      <c r="J7434" s="38" t="n">
        <f aca="false">Sens!$J$7408+Sens!$J$7413+Sens!$J$7429+Sens!$J$7430-Sens!$J$7433</f>
        <v>33.0553877999083</v>
      </c>
      <c r="K7434" s="38" t="n">
        <f aca="false">Sens!$K$7408+Sens!$K$7413+Sens!$K$7429+Sens!$K$7430-Sens!$K$7433</f>
        <v>35.4662923485155</v>
      </c>
      <c r="L7434" s="38" t="n">
        <f aca="false">Sens!$L$7408+Sens!$L$7413+Sens!$L$7429+Sens!$L$7430-Sens!$L$7433</f>
        <v>37.1019587742301</v>
      </c>
      <c r="M7434" s="38" t="n">
        <f aca="false">Sens!$M$7408+Sens!$M$7413+Sens!$M$7429+Sens!$M$7430-Sens!$M$7433</f>
        <v>39.5351701466849</v>
      </c>
      <c r="N7434" s="38" t="n">
        <f aca="false">Sens!$N$7408+Sens!$N$7413+Sens!$N$7429+Sens!$N$7430-Sens!$N$7433</f>
        <v>10.6495</v>
      </c>
      <c r="O7434" s="38" t="n">
        <f aca="false">Sens!$O$7408+Sens!$O$7413+Sens!$O$7429+Sens!$O$7430-Sens!$O$7433</f>
        <v>9.81200000000001</v>
      </c>
    </row>
    <row r="7435" customFormat="false" ht="17.15" hidden="false" customHeight="false" outlineLevel="0" collapsed="false">
      <c r="A7435" s="0" t="s">
        <v>742</v>
      </c>
      <c r="B7435" s="0" t="s">
        <v>86</v>
      </c>
      <c r="C7435" s="38" t="n">
        <f aca="false">Sens!$C$7415+Sens!$C$7431-ext_sh*Sens!$C$7350</f>
        <v>51.3470500115664</v>
      </c>
      <c r="D7435" s="38" t="n">
        <f aca="false">Sens!$D$7415+Sens!$D$7431-ext_sh*Sens!$D$7350</f>
        <v>60.2799375433739</v>
      </c>
      <c r="E7435" s="38" t="n">
        <f aca="false">Sens!$E$7415+Sens!$E$7431-ext_sh*Sens!$E$7350</f>
        <v>39.5095167090767</v>
      </c>
      <c r="F7435" s="38" t="n">
        <f aca="false">Sens!$F$7415+Sens!$F$7431-ext_sh*Sens!$F$7350</f>
        <v>37.993321722478</v>
      </c>
      <c r="G7435" s="38" t="n">
        <f aca="false">Sens!$G$7415+Sens!$G$7431-ext_sh*Sens!$G$7350</f>
        <v>77.5028384315548</v>
      </c>
      <c r="H7435" s="38" t="n">
        <f aca="false">Sens!$H$7415+Sens!$H$7431-ext_sh*Sens!$H$7350</f>
        <v>85.2394217279746</v>
      </c>
      <c r="I7435" s="38" t="n">
        <f aca="false">Sens!$I$7415+Sens!$I$7431-ext_sh*Sens!$I$7350</f>
        <v>94.6373589713254</v>
      </c>
      <c r="J7435" s="38" t="n">
        <f aca="false">Sens!$J$7415+Sens!$J$7431-ext_sh*Sens!$J$7350</f>
        <v>103.639899284146</v>
      </c>
      <c r="K7435" s="38" t="n">
        <f aca="false">Sens!$K$7415+Sens!$K$7431-ext_sh*Sens!$K$7350</f>
        <v>111.931091226878</v>
      </c>
      <c r="L7435" s="38" t="n">
        <f aca="false">Sens!$L$7415+Sens!$L$7431-ext_sh*Sens!$L$7350</f>
        <v>120.885578525028</v>
      </c>
      <c r="M7435" s="38" t="n">
        <f aca="false">Sens!$M$7415+Sens!$M$7431-ext_sh*Sens!$M$7350</f>
        <v>130.55642480703</v>
      </c>
      <c r="N7435" s="38" t="n">
        <f aca="false">Sens!$N$7415+Sens!$N$7431-ext_sh*Sens!$N$7350</f>
        <v>28.5693781401809</v>
      </c>
      <c r="O7435" s="38" t="n">
        <f aca="false">Sens!$O$7415+Sens!$O$7431-ext_sh*Sens!$O$7350</f>
        <v>31.7105594031931</v>
      </c>
    </row>
    <row r="7436" customFormat="false" ht="17.15" hidden="false" customHeight="false" outlineLevel="0" collapsed="false">
      <c r="A7436" s="0" t="s">
        <v>743</v>
      </c>
      <c r="B7436" s="0" t="s">
        <v>86</v>
      </c>
      <c r="C7436" s="38" t="n">
        <f aca="false">Sens!$C$7353</f>
        <v>1.80694998843362</v>
      </c>
      <c r="D7436" s="38" t="n">
        <f aca="false">Sens!$D$7353</f>
        <v>6.77606245662607</v>
      </c>
      <c r="E7436" s="38" t="n">
        <f aca="false">Sens!$E$7353</f>
        <v>6.62548329092326</v>
      </c>
      <c r="F7436" s="38" t="n">
        <f aca="false">Sens!$F$7353</f>
        <v>11.7200577158706</v>
      </c>
      <c r="G7436" s="38" t="n">
        <f aca="false">Sens!$G$7353</f>
        <v>18.3455410067939</v>
      </c>
      <c r="H7436" s="38" t="n">
        <f aca="false">Sens!$H$7353</f>
        <v>47.5171727060453</v>
      </c>
      <c r="I7436" s="38" t="n">
        <f aca="false">Sens!$I$7353</f>
        <v>80.5539692643667</v>
      </c>
      <c r="J7436" s="38" t="n">
        <f aca="false">Sens!$J$7353</f>
        <v>113.759316834883</v>
      </c>
      <c r="K7436" s="38" t="n">
        <f aca="false">Sens!$K$7353</f>
        <v>142.084411492169</v>
      </c>
      <c r="L7436" s="38" t="n">
        <f aca="false">Sens!$L$7353</f>
        <v>160.69964615804</v>
      </c>
      <c r="M7436" s="38" t="n">
        <f aca="false">Sens!$M$7353</f>
        <v>169.577607141793</v>
      </c>
      <c r="N7436" s="38" t="n">
        <f aca="false">Sens!$N$7353</f>
        <v>2.37162185981912</v>
      </c>
      <c r="O7436" s="38" t="n">
        <f aca="false">Sens!$O$7353</f>
        <v>4.40444059680694</v>
      </c>
    </row>
    <row r="7437" customFormat="false" ht="17.15" hidden="false" customHeight="false" outlineLevel="0" collapsed="false">
      <c r="A7437" s="0" t="s">
        <v>744</v>
      </c>
      <c r="B7437" s="0" t="s">
        <v>86</v>
      </c>
      <c r="C7437" s="38" t="n">
        <f aca="false">Sens!$C$7418+Sens!$C$7432</f>
        <v>100.66</v>
      </c>
      <c r="D7437" s="38" t="n">
        <f aca="false">Sens!$D$7418+Sens!$D$7432</f>
        <v>121.835</v>
      </c>
      <c r="E7437" s="38" t="n">
        <f aca="false">Sens!$E$7418+Sens!$E$7432</f>
        <v>78.016</v>
      </c>
      <c r="F7437" s="38" t="n">
        <f aca="false">Sens!$F$7418+Sens!$F$7432</f>
        <v>85.580207202011</v>
      </c>
      <c r="G7437" s="38" t="n">
        <f aca="false">Sens!$G$7418+Sens!$G$7432</f>
        <v>163.596207202011</v>
      </c>
      <c r="H7437" s="38" t="n">
        <f aca="false">Sens!$H$7418+Sens!$H$7432</f>
        <v>211.252308354151</v>
      </c>
      <c r="I7437" s="38" t="n">
        <f aca="false">Sens!$I$7418+Sens!$I$7432</f>
        <v>264.28812593412</v>
      </c>
      <c r="J7437" s="38" t="n">
        <f aca="false">Sens!$J$7418+Sens!$J$7432</f>
        <v>316.529074889914</v>
      </c>
      <c r="K7437" s="38" t="n">
        <f aca="false">Sens!$K$7418+Sens!$K$7432</f>
        <v>362.163713135636</v>
      </c>
      <c r="L7437" s="38" t="n">
        <f aca="false">Sens!$L$7418+Sens!$L$7432</f>
        <v>398.637293332179</v>
      </c>
      <c r="M7437" s="38" t="n">
        <f aca="false">Sens!$M$7418+Sens!$M$7432</f>
        <v>427.614322957878</v>
      </c>
      <c r="N7437" s="38" t="n">
        <f aca="false">Sens!$N$7418+Sens!$N$7432</f>
        <v>56.398</v>
      </c>
      <c r="O7437" s="38" t="n">
        <f aca="false">Sens!$O$7418+Sens!$O$7432</f>
        <v>65.437</v>
      </c>
    </row>
    <row r="7438" customFormat="false" ht="17.15" hidden="false" customHeight="false" outlineLevel="0" collapsed="false">
      <c r="A7438" s="1" t="s">
        <v>745</v>
      </c>
    </row>
    <row r="7439" customFormat="false" ht="15" hidden="false" customHeight="false" outlineLevel="0" collapsed="false">
      <c r="A7439" s="5" t="s">
        <v>541</v>
      </c>
      <c r="B7439" s="0" t="s">
        <v>86</v>
      </c>
      <c r="C7439" s="38" t="n">
        <f aca="false">Q!$D$34</f>
        <v>2.406</v>
      </c>
      <c r="D7439" s="38" t="n">
        <f aca="false">Q!$E$34</f>
        <v>2.274</v>
      </c>
      <c r="E7439" s="38" t="n">
        <f aca="false">Q!$P$34</f>
        <v>2.114</v>
      </c>
      <c r="F7439" s="38" t="n">
        <f aca="false">Sens!$F$7477</f>
        <v>3.24888962733561</v>
      </c>
      <c r="G7439" s="38" t="n">
        <f aca="false">Sens!$E$7439+Sens!$F$7439</f>
        <v>5.36288962733561</v>
      </c>
      <c r="H7439" s="38" t="n">
        <f aca="false">Sens!$H$7477</f>
        <v>7.42354172302123</v>
      </c>
      <c r="I7439" s="38" t="n">
        <f aca="false">Sens!$I$7477</f>
        <v>8.2931747618896</v>
      </c>
      <c r="J7439" s="38" t="n">
        <f aca="false">Sens!$J$7477</f>
        <v>9.27718179522602</v>
      </c>
      <c r="K7439" s="38" t="n">
        <f aca="false">Sens!$K$7477</f>
        <v>9.27718179522602</v>
      </c>
      <c r="L7439" s="38" t="n">
        <f aca="false">Sens!$L$7477</f>
        <v>9.27718179522602</v>
      </c>
      <c r="M7439" s="38" t="n">
        <f aca="false">Sens!$M$7477</f>
        <v>9.27718179522602</v>
      </c>
      <c r="N7439" s="38" t="n">
        <f aca="false">Q!$N$34</f>
        <v>1.057</v>
      </c>
      <c r="O7439" s="38" t="n">
        <f aca="false">Q!$O$34</f>
        <v>1.217</v>
      </c>
    </row>
    <row r="7440" customFormat="false" ht="15" hidden="false" customHeight="false" outlineLevel="0" collapsed="false">
      <c r="A7440" s="5" t="s">
        <v>746</v>
      </c>
      <c r="B7440" s="0" t="s">
        <v>86</v>
      </c>
      <c r="F7440" s="38" t="n">
        <f aca="false">Sens!$F$7478</f>
        <v>2.59</v>
      </c>
      <c r="H7440" s="38" t="n">
        <f aca="false">Sens!$H$7478</f>
        <v>3.80133635330174</v>
      </c>
      <c r="I7440" s="38" t="n">
        <f aca="false">Sens!$I$7478</f>
        <v>2.10589651022864</v>
      </c>
      <c r="J7440" s="38" t="n">
        <f aca="false">Sens!$J$7478</f>
        <v>2.10589651022864</v>
      </c>
      <c r="K7440" s="38" t="n">
        <f aca="false">Sens!$K$7478</f>
        <v>3.14850442073996</v>
      </c>
      <c r="L7440" s="38" t="n">
        <f aca="false">Sens!$L$7478</f>
        <v>8.25959583122945</v>
      </c>
      <c r="M7440" s="38" t="n">
        <f aca="false">Sens!$M$7478</f>
        <v>15.8335708401143</v>
      </c>
    </row>
    <row r="7441" customFormat="false" ht="17.15" hidden="false" customHeight="false" outlineLevel="0" collapsed="false">
      <c r="A7441" s="5" t="s">
        <v>747</v>
      </c>
      <c r="B7441" s="0" t="s">
        <v>86</v>
      </c>
      <c r="C7441" s="38" t="n">
        <f aca="false">Q!$D$39</f>
        <v>2.427</v>
      </c>
      <c r="D7441" s="38" t="n">
        <f aca="false">Q!$E$39</f>
        <v>19.61</v>
      </c>
      <c r="E7441" s="38" t="n">
        <f aca="false">Q!$P$39</f>
        <v>71.492</v>
      </c>
      <c r="F7441" s="39" t="n">
        <v>0</v>
      </c>
      <c r="G7441" s="38" t="n">
        <f aca="false">Sens!$E$7441+Sens!$F$7441</f>
        <v>71.492</v>
      </c>
      <c r="H7441" s="39" t="n">
        <v>0</v>
      </c>
      <c r="I7441" s="39" t="n">
        <v>0</v>
      </c>
      <c r="J7441" s="39" t="n">
        <v>0</v>
      </c>
      <c r="K7441" s="39" t="n">
        <v>0</v>
      </c>
      <c r="L7441" s="39" t="n">
        <v>0</v>
      </c>
      <c r="M7441" s="39" t="n">
        <v>0</v>
      </c>
      <c r="N7441" s="38" t="n">
        <f aca="false">Q!$N$39</f>
        <v>6.017</v>
      </c>
      <c r="O7441" s="38" t="n">
        <f aca="false">Q!$O$39</f>
        <v>13.593</v>
      </c>
      <c r="P7441" s="5" t="s">
        <v>748</v>
      </c>
    </row>
    <row r="7442" customFormat="false" ht="15" hidden="false" customHeight="false" outlineLevel="0" collapsed="false">
      <c r="A7442" s="5" t="s">
        <v>544</v>
      </c>
      <c r="B7442" s="0" t="s">
        <v>86</v>
      </c>
      <c r="C7442" s="38" t="n">
        <f aca="false">Q!$D$36</f>
        <v>68.614</v>
      </c>
      <c r="D7442" s="38" t="n">
        <f aca="false">Q!$E$36</f>
        <v>97.311</v>
      </c>
      <c r="E7442" s="38" t="n">
        <f aca="false">Q!$P$36</f>
        <v>120.691</v>
      </c>
      <c r="F7442" s="38" t="n">
        <f aca="false">Sens!$F$7418-Sens!$F$7439+Sens!$F$7440+Sens!$F$7441</f>
        <v>55.629999609589</v>
      </c>
      <c r="G7442" s="38" t="n">
        <f aca="false">Sens!$E$7442+Sens!$F$7442</f>
        <v>176.320999609589</v>
      </c>
      <c r="H7442" s="38" t="n">
        <f aca="false">Sens!$H$7418-Sens!$H$7439+Sens!$H$7440+Sens!$H$7441</f>
        <v>123.313761885917</v>
      </c>
      <c r="I7442" s="38" t="n">
        <f aca="false">Sens!$I$7418-Sens!$I$7439+Sens!$I$7440+Sens!$I$7441</f>
        <v>141.060502691455</v>
      </c>
      <c r="J7442" s="38" t="n">
        <f aca="false">Sens!$J$7418-Sens!$J$7439+Sens!$J$7440+Sens!$J$7441</f>
        <v>158.858808130232</v>
      </c>
      <c r="K7442" s="38" t="n">
        <f aca="false">Sens!$K$7418-Sens!$K$7439+Sens!$K$7440+Sens!$K$7441</f>
        <v>171.846913790867</v>
      </c>
      <c r="L7442" s="38" t="n">
        <f aca="false">Sens!$L$7418-Sens!$L$7439+Sens!$L$7440+Sens!$L$7441</f>
        <v>189.850989307375</v>
      </c>
      <c r="M7442" s="38" t="n">
        <f aca="false">Sens!$M$7418-Sens!$M$7439+Sens!$M$7440+Sens!$M$7441</f>
        <v>210.166777355014</v>
      </c>
      <c r="N7442" s="38" t="n">
        <f aca="false">Q!$N$36</f>
        <v>42.536</v>
      </c>
      <c r="O7442" s="38" t="n">
        <f aca="false">Q!$O$36</f>
        <v>54.775</v>
      </c>
    </row>
    <row r="7443" customFormat="false" ht="15" hidden="false" customHeight="false" outlineLevel="0" collapsed="false">
      <c r="A7443" s="5" t="s">
        <v>545</v>
      </c>
      <c r="B7443" s="0" t="s">
        <v>86</v>
      </c>
      <c r="C7443" s="38" t="n">
        <f aca="false">Q!$D$37</f>
        <v>9.265</v>
      </c>
      <c r="D7443" s="38" t="n">
        <f aca="false">Q!$E$37</f>
        <v>19.087</v>
      </c>
      <c r="E7443" s="38" t="n">
        <f aca="false">Q!$P$37</f>
        <v>27.759</v>
      </c>
      <c r="F7443" s="38" t="n">
        <f aca="false">Sens!$F$7442*tax</f>
        <v>9.65650714815835</v>
      </c>
      <c r="G7443" s="38" t="n">
        <f aca="false">Sens!$E$7443+Sens!$F$7443</f>
        <v>37.4155071481584</v>
      </c>
      <c r="H7443" s="38" t="n">
        <f aca="false">Sens!$H$7442*tax</f>
        <v>21.4053609828247</v>
      </c>
      <c r="I7443" s="38" t="n">
        <f aca="false">Sens!$I$7442*tax</f>
        <v>24.4859205846201</v>
      </c>
      <c r="J7443" s="38" t="n">
        <f aca="false">Sens!$J$7442*tax</f>
        <v>27.5754310088666</v>
      </c>
      <c r="K7443" s="38" t="n">
        <f aca="false">Sens!$K$7442*tax</f>
        <v>29.8299651816718</v>
      </c>
      <c r="L7443" s="38" t="n">
        <f aca="false">Sens!$L$7442*tax</f>
        <v>32.9551941074541</v>
      </c>
      <c r="M7443" s="38" t="n">
        <f aca="false">Sens!$M$7442*tax</f>
        <v>36.4817005586366</v>
      </c>
      <c r="N7443" s="38" t="n">
        <f aca="false">Q!$N$37</f>
        <v>7.231</v>
      </c>
      <c r="O7443" s="38" t="n">
        <f aca="false">Q!$O$37</f>
        <v>11.856</v>
      </c>
    </row>
    <row r="7444" customFormat="false" ht="15" hidden="false" customHeight="false" outlineLevel="0" collapsed="false">
      <c r="A7444" s="3" t="s">
        <v>546</v>
      </c>
      <c r="B7444" s="8" t="s">
        <v>86</v>
      </c>
      <c r="C7444" s="38" t="n">
        <f aca="false">Q!$D$38</f>
        <v>59.248</v>
      </c>
      <c r="D7444" s="38" t="n">
        <f aca="false">Q!$E$38</f>
        <v>77.67</v>
      </c>
      <c r="E7444" s="38" t="n">
        <f aca="false">Q!$P$38</f>
        <v>92.902</v>
      </c>
      <c r="F7444" s="38" t="n">
        <f aca="false">Sens!$F$7442-Sens!$F$7443</f>
        <v>45.9734924614306</v>
      </c>
      <c r="G7444" s="38" t="n">
        <f aca="false">Sens!$E$7444+Sens!$F$7444</f>
        <v>138.875492461431</v>
      </c>
      <c r="H7444" s="38" t="n">
        <f aca="false">Sens!$H$7442-Sens!$H$7443</f>
        <v>101.908400903092</v>
      </c>
      <c r="I7444" s="38" t="n">
        <f aca="false">Sens!$I$7442-Sens!$I$7443</f>
        <v>116.574582106835</v>
      </c>
      <c r="J7444" s="38" t="n">
        <f aca="false">Sens!$J$7442-Sens!$J$7443</f>
        <v>131.283377121365</v>
      </c>
      <c r="K7444" s="38" t="n">
        <f aca="false">Sens!$K$7442-Sens!$K$7443</f>
        <v>142.016948609195</v>
      </c>
      <c r="L7444" s="38" t="n">
        <f aca="false">Sens!$L$7442-Sens!$L$7443</f>
        <v>156.895795199921</v>
      </c>
      <c r="M7444" s="38" t="n">
        <f aca="false">Sens!$M$7442-Sens!$M$7443</f>
        <v>173.685076796377</v>
      </c>
      <c r="N7444" s="38" t="n">
        <f aca="false">Q!$N$38</f>
        <v>35.291</v>
      </c>
      <c r="O7444" s="38" t="n">
        <f aca="false">Q!$O$38</f>
        <v>42.379</v>
      </c>
    </row>
    <row r="7445" customFormat="false" ht="17.15" hidden="false" customHeight="false" outlineLevel="0" collapsed="false">
      <c r="A7445" s="5" t="s">
        <v>549</v>
      </c>
      <c r="B7445" s="5" t="s">
        <v>33</v>
      </c>
      <c r="C7445" s="22" t="n">
        <f aca="false">Q!$D$41</f>
        <v>10.721</v>
      </c>
      <c r="D7445" s="22" t="n">
        <f aca="false">Q!$E$41</f>
        <v>10.827</v>
      </c>
      <c r="E7445" s="22" t="n">
        <f aca="false">(Q!$L$41+Q!$M$41)/2</f>
        <v>10.8885</v>
      </c>
      <c r="F7445" s="22" t="n">
        <f aca="false">Sens!$G$7445</f>
        <v>10.924806</v>
      </c>
      <c r="G7445" s="22" t="n">
        <f aca="false">Q!$M$41*(1+sh_g*0.25)</f>
        <v>10.924806</v>
      </c>
      <c r="H7445" s="22" t="n">
        <f aca="false">Sens!$G$7445*(1+sh_g)</f>
        <v>11.012204448</v>
      </c>
      <c r="I7445" s="22" t="n">
        <f aca="false">Sens!$H$7445*(1+sh_g)</f>
        <v>11.100302083584</v>
      </c>
      <c r="J7445" s="22" t="n">
        <f aca="false">Sens!$I$7445*(1+sh_g)</f>
        <v>11.1891045002527</v>
      </c>
      <c r="K7445" s="22" t="n">
        <f aca="false">Sens!$J$7445*(1+sh_g)</f>
        <v>11.2786173362547</v>
      </c>
      <c r="L7445" s="22" t="n">
        <f aca="false">Sens!$K$7445*(1+sh_g)</f>
        <v>11.3688462749447</v>
      </c>
      <c r="M7445" s="22" t="n">
        <f aca="false">Sens!$L$7445*(1+sh_g)</f>
        <v>11.4597970451443</v>
      </c>
      <c r="P7445" s="5" t="s">
        <v>749</v>
      </c>
    </row>
    <row r="7446" customFormat="false" ht="17.15" hidden="false" customHeight="false" outlineLevel="0" collapsed="false">
      <c r="A7446" s="5" t="s">
        <v>750</v>
      </c>
      <c r="B7446" s="0" t="s">
        <v>86</v>
      </c>
      <c r="C7446" s="38" t="n">
        <f aca="false">Sens!$C$7444+Sens!$C$7420*(1-tax)</f>
        <v>59.248</v>
      </c>
      <c r="D7446" s="38" t="n">
        <f aca="false">Sens!$D$7444+Sens!$D$7420*(1-tax)</f>
        <v>77.67</v>
      </c>
      <c r="E7446" s="38" t="n">
        <f aca="false">Sens!$E$7444+Sens!$E$7420*(1-tax)</f>
        <v>92.902</v>
      </c>
      <c r="F7446" s="38" t="n">
        <f aca="false">Sens!$F$7444+Sens!$F$7420*(1-tax)</f>
        <v>49.0900874210793</v>
      </c>
      <c r="G7446" s="38" t="n">
        <f aca="false">Sens!$G$7444+Sens!$G$7420*(1-tax)</f>
        <v>141.992087421079</v>
      </c>
      <c r="H7446" s="38" t="n">
        <f aca="false">Sens!$H$7444+Sens!$H$7420*(1-tax)</f>
        <v>114.439796858437</v>
      </c>
      <c r="I7446" s="38" t="n">
        <f aca="false">Sens!$I$7444+Sens!$I$7420*(1-tax)</f>
        <v>137.715847181774</v>
      </c>
      <c r="J7446" s="38" t="n">
        <f aca="false">Sens!$J$7444+Sens!$J$7420*(1-tax)</f>
        <v>161.072814065649</v>
      </c>
      <c r="K7446" s="38" t="n">
        <f aca="false">Sens!$K$7444+Sens!$K$7420*(1-tax)</f>
        <v>179.184254305854</v>
      </c>
      <c r="L7446" s="38" t="n">
        <f aca="false">Sens!$L$7444+Sens!$L$7420*(1-tax)</f>
        <v>198.911872540476</v>
      </c>
      <c r="M7446" s="38" t="n">
        <f aca="false">Sens!$M$7444+Sens!$M$7420*(1-tax)</f>
        <v>218.014598987218</v>
      </c>
      <c r="N7446" s="38" t="n">
        <f aca="false">Sens!$N$7444+Sens!$N$7420*(1-tax)</f>
        <v>35.291</v>
      </c>
      <c r="O7446" s="38" t="n">
        <f aca="false">Sens!$O$7444+Sens!$O$7420*(1-tax)</f>
        <v>42.379</v>
      </c>
    </row>
    <row r="7447" customFormat="false" ht="17.15" hidden="false" customHeight="false" outlineLevel="0" collapsed="false">
      <c r="A7447" s="43" t="s">
        <v>751</v>
      </c>
      <c r="B7447" s="14" t="s">
        <v>27</v>
      </c>
      <c r="C7447" s="44" t="n">
        <f aca="false">Sens!$C$7446/Sens!$C$7445</f>
        <v>5.52635015390355</v>
      </c>
      <c r="D7447" s="44" t="n">
        <f aca="false">Sens!$D$7446/Sens!$D$7445</f>
        <v>7.1737323358271</v>
      </c>
      <c r="E7447" s="44" t="n">
        <f aca="false">Sens!$E$7446/Sens!$E$7445</f>
        <v>8.53212104513937</v>
      </c>
      <c r="F7447" s="14"/>
      <c r="G7447" s="44" t="n">
        <f aca="false">Sens!$G$7446/Sens!$G$7445</f>
        <v>12.9972182042481</v>
      </c>
      <c r="H7447" s="44" t="n">
        <f aca="false">Sens!$H$7446/Sens!$H$7445</f>
        <v>10.3920879237963</v>
      </c>
      <c r="I7447" s="44" t="n">
        <f aca="false">Sens!$I$7446/Sens!$I$7445</f>
        <v>12.4064954399249</v>
      </c>
      <c r="J7447" s="44" t="n">
        <f aca="false">Sens!$J$7446/Sens!$J$7445</f>
        <v>14.3955053831172</v>
      </c>
      <c r="K7447" s="44" t="n">
        <f aca="false">Sens!$K$7446/Sens!$K$7445</f>
        <v>15.8870763111957</v>
      </c>
      <c r="L7447" s="44" t="n">
        <f aca="false">Sens!$L$7446/Sens!$L$7445</f>
        <v>17.4962232516811</v>
      </c>
      <c r="M7447" s="44" t="n">
        <f aca="false">Sens!$M$7446/Sens!$M$7445</f>
        <v>19.0242984346389</v>
      </c>
      <c r="N7447" s="14"/>
      <c r="O7447" s="14"/>
    </row>
    <row r="7448" customFormat="false" ht="17.15" hidden="false" customHeight="false" outlineLevel="0" collapsed="false">
      <c r="A7448" s="0" t="s">
        <v>752</v>
      </c>
      <c r="B7448" s="0" t="s">
        <v>27</v>
      </c>
      <c r="C7448" s="30" t="n">
        <f aca="false">Sens!$C$7444/Sens!$C$7445</f>
        <v>5.52635015390355</v>
      </c>
      <c r="D7448" s="30" t="n">
        <f aca="false">Sens!$D$7444/Sens!$D$7445</f>
        <v>7.1737323358271</v>
      </c>
      <c r="E7448" s="30" t="n">
        <f aca="false">Sens!$E$7444/Sens!$E$7445</f>
        <v>8.53212104513937</v>
      </c>
      <c r="G7448" s="30" t="n">
        <f aca="false">Sens!$G$7444/Sens!$G$7445</f>
        <v>12.7119412886078</v>
      </c>
      <c r="H7448" s="30" t="n">
        <f aca="false">Sens!$H$7444/Sens!$H$7445</f>
        <v>9.25413266565353</v>
      </c>
      <c r="I7448" s="30" t="n">
        <f aca="false">Sens!$I$7444/Sens!$I$7445</f>
        <v>10.501928796986</v>
      </c>
      <c r="J7448" s="30" t="n">
        <f aca="false">Sens!$J$7444/Sens!$J$7445</f>
        <v>11.7331442492472</v>
      </c>
      <c r="K7448" s="30" t="n">
        <f aca="false">Sens!$K$7444/Sens!$K$7445</f>
        <v>12.5916984657939</v>
      </c>
      <c r="L7448" s="30" t="n">
        <f aca="false">Sens!$L$7444/Sens!$L$7445</f>
        <v>13.8005028307662</v>
      </c>
      <c r="M7448" s="30" t="n">
        <f aca="false">Sens!$M$7444/Sens!$M$7445</f>
        <v>15.1560342746184</v>
      </c>
    </row>
    <row r="7449" customFormat="false" ht="17.15" hidden="false" customHeight="false" outlineLevel="0" collapsed="false">
      <c r="A7449" s="0" t="s">
        <v>753</v>
      </c>
      <c r="B7449" s="0" t="s">
        <v>27</v>
      </c>
      <c r="C7449" s="30" t="n">
        <f aca="false">(Sens!$C$7444-Sens!$C$7441*(1-tax))/Sens!$C$7445</f>
        <v>5.33926775917445</v>
      </c>
      <c r="D7449" s="30" t="n">
        <f aca="false">(Sens!$D$7444-Sens!$D$7441*(1-tax))/Sens!$D$7445</f>
        <v>5.67691812755503</v>
      </c>
      <c r="E7449" s="30" t="n">
        <f aca="false">(Sens!$E$7444-Sens!$E$7441*(1-tax))/Sens!$E$7445</f>
        <v>3.10602057006846</v>
      </c>
      <c r="G7449" s="30" t="n">
        <f aca="false">(Sens!$G$7444-Sens!$G$7441*(1-tax))/Sens!$G$7445</f>
        <v>7.30387317071086</v>
      </c>
      <c r="H7449" s="30" t="n">
        <f aca="false">(Sens!$H$7444-Sens!$H$7441*(1-tax))/Sens!$H$7445</f>
        <v>9.25413266565353</v>
      </c>
      <c r="I7449" s="30" t="n">
        <f aca="false">(Sens!$I$7444-Sens!$I$7441*(1-tax))/Sens!$I$7445</f>
        <v>10.501928796986</v>
      </c>
      <c r="J7449" s="30" t="n">
        <f aca="false">(Sens!$J$7444-Sens!$J$7441*(1-tax))/Sens!$J$7445</f>
        <v>11.7331442492472</v>
      </c>
      <c r="K7449" s="30" t="n">
        <f aca="false">(Sens!$K$7444-Sens!$K$7441*(1-tax))/Sens!$K$7445</f>
        <v>12.5916984657939</v>
      </c>
      <c r="L7449" s="30" t="n">
        <f aca="false">(Sens!$L$7444-Sens!$L$7441*(1-tax))/Sens!$L$7445</f>
        <v>13.8005028307662</v>
      </c>
      <c r="M7449" s="30" t="n">
        <f aca="false">(Sens!$M$7444-Sens!$M$7441*(1-tax))/Sens!$M$7445</f>
        <v>15.1560342746184</v>
      </c>
      <c r="P7449" s="5" t="s">
        <v>754</v>
      </c>
    </row>
    <row r="7450" customFormat="false" ht="17.15" hidden="false" customHeight="false" outlineLevel="0" collapsed="false">
      <c r="A7450" s="0" t="s">
        <v>755</v>
      </c>
      <c r="B7450" s="0" t="s">
        <v>52</v>
      </c>
      <c r="H7450" s="13" t="n">
        <f aca="false">Sens!$H$7447/Sens!$G$7447-1</f>
        <v>-0.200437527439553</v>
      </c>
      <c r="I7450" s="13" t="n">
        <f aca="false">Sens!$I$7447/Sens!$H$7447-1</f>
        <v>0.193840499705158</v>
      </c>
      <c r="J7450" s="13" t="n">
        <f aca="false">Sens!$J$7447/Sens!$I$7447-1</f>
        <v>0.160320047899391</v>
      </c>
      <c r="K7450" s="13" t="n">
        <f aca="false">Sens!$K$7447/Sens!$J$7447-1</f>
        <v>0.103613654983436</v>
      </c>
      <c r="L7450" s="13" t="n">
        <f aca="false">Sens!$L$7447/Sens!$K$7447-1</f>
        <v>0.101286536865904</v>
      </c>
      <c r="M7450" s="13" t="n">
        <f aca="false">Sens!$M$7447/Sens!$L$7447-1</f>
        <v>0.0873374305400994</v>
      </c>
    </row>
    <row r="7453" customFormat="false" ht="19.4" hidden="false" customHeight="false" outlineLevel="0" collapsed="false">
      <c r="A7453" s="31" t="s">
        <v>1280</v>
      </c>
    </row>
    <row r="7454" customFormat="false" ht="17.15" hidden="false" customHeight="false" outlineLevel="0" collapsed="false">
      <c r="A7454" s="6" t="s">
        <v>16</v>
      </c>
      <c r="B7454" s="6" t="s">
        <v>17</v>
      </c>
      <c r="C7454" s="20" t="s">
        <v>494</v>
      </c>
      <c r="D7454" s="20" t="s">
        <v>495</v>
      </c>
      <c r="E7454" s="20" t="s">
        <v>577</v>
      </c>
      <c r="F7454" s="20" t="s">
        <v>578</v>
      </c>
      <c r="G7454" s="20" t="s">
        <v>579</v>
      </c>
      <c r="H7454" s="20" t="s">
        <v>580</v>
      </c>
      <c r="I7454" s="20" t="s">
        <v>581</v>
      </c>
      <c r="J7454" s="20" t="s">
        <v>582</v>
      </c>
      <c r="K7454" s="20" t="s">
        <v>583</v>
      </c>
      <c r="L7454" s="20" t="s">
        <v>584</v>
      </c>
      <c r="M7454" s="20" t="s">
        <v>585</v>
      </c>
      <c r="N7454" s="20" t="s">
        <v>586</v>
      </c>
      <c r="O7454" s="20" t="s">
        <v>587</v>
      </c>
      <c r="P7454" s="6" t="s">
        <v>23</v>
      </c>
      <c r="R7454" s="20" t="n">
        <v>2023</v>
      </c>
      <c r="S7454" s="20" t="n">
        <v>2024</v>
      </c>
      <c r="T7454" s="20" t="n">
        <v>2025</v>
      </c>
      <c r="U7454" s="20" t="n">
        <v>2026</v>
      </c>
      <c r="V7454" s="20" t="n">
        <v>2027</v>
      </c>
      <c r="W7454" s="20" t="n">
        <v>2028</v>
      </c>
      <c r="X7454" s="20" t="n">
        <v>2029</v>
      </c>
      <c r="Y7454" s="20" t="n">
        <v>2030</v>
      </c>
      <c r="Z7454" s="20" t="n">
        <v>2031</v>
      </c>
      <c r="AA7454" s="20" t="n">
        <v>2032</v>
      </c>
    </row>
    <row r="7455" customFormat="false" ht="15" hidden="false" customHeight="false" outlineLevel="0" collapsed="false">
      <c r="A7455" s="5" t="s">
        <v>546</v>
      </c>
      <c r="B7455" s="0" t="s">
        <v>86</v>
      </c>
      <c r="C7455" s="38" t="n">
        <f aca="false">Sens!$C$7444</f>
        <v>59.248</v>
      </c>
      <c r="D7455" s="38" t="n">
        <f aca="false">Sens!$D$7444</f>
        <v>77.67</v>
      </c>
      <c r="E7455" s="38" t="n">
        <f aca="false">Sens!$E$7444</f>
        <v>92.902</v>
      </c>
      <c r="F7455" s="38" t="n">
        <f aca="false">Sens!$F$7444</f>
        <v>45.9734924614306</v>
      </c>
      <c r="G7455" s="38" t="n">
        <f aca="false">Sens!$G$7444</f>
        <v>138.875492461431</v>
      </c>
      <c r="H7455" s="38" t="n">
        <f aca="false">Sens!$H$7444</f>
        <v>101.908400903092</v>
      </c>
      <c r="I7455" s="38" t="n">
        <f aca="false">Sens!$I$7444</f>
        <v>116.574582106835</v>
      </c>
      <c r="J7455" s="38" t="n">
        <f aca="false">Sens!$J$7444</f>
        <v>131.283377121365</v>
      </c>
      <c r="K7455" s="38" t="n">
        <f aca="false">Sens!$K$7444</f>
        <v>142.016948609195</v>
      </c>
      <c r="L7455" s="38" t="n">
        <f aca="false">Sens!$L$7444</f>
        <v>156.895795199921</v>
      </c>
      <c r="M7455" s="38" t="n">
        <f aca="false">Sens!$M$7444</f>
        <v>173.685076796377</v>
      </c>
    </row>
    <row r="7456" customFormat="false" ht="17.15" hidden="false" customHeight="false" outlineLevel="0" collapsed="false">
      <c r="A7456" s="5" t="s">
        <v>778</v>
      </c>
      <c r="B7456" s="0" t="s">
        <v>86</v>
      </c>
      <c r="C7456" s="38" t="n">
        <f aca="false">Sens!$C$7432</f>
        <v>32.067</v>
      </c>
      <c r="D7456" s="38" t="n">
        <f aca="false">Sens!$D$7432</f>
        <v>41.86</v>
      </c>
      <c r="E7456" s="38" t="n">
        <f aca="false">Sens!$E$7432</f>
        <v>26.703</v>
      </c>
      <c r="F7456" s="38" t="n">
        <f aca="false">Sens!$F$7432</f>
        <v>29.2913179650864</v>
      </c>
      <c r="G7456" s="38" t="n">
        <f aca="false">Sens!$G$7432</f>
        <v>55.9943179650864</v>
      </c>
      <c r="H7456" s="38" t="n">
        <f aca="false">Sens!$H$7432</f>
        <v>84.3163410985152</v>
      </c>
      <c r="I7456" s="38" t="n">
        <f aca="false">Sens!$I$7432</f>
        <v>117.040344991004</v>
      </c>
      <c r="J7456" s="38" t="n">
        <f aca="false">Sens!$J$7432</f>
        <v>150.498981474685</v>
      </c>
      <c r="K7456" s="38" t="n">
        <f aca="false">Sens!$K$7432</f>
        <v>184.188121970284</v>
      </c>
      <c r="L7456" s="38" t="n">
        <f aca="false">Sens!$L$7432</f>
        <v>207.768718060808</v>
      </c>
      <c r="M7456" s="38" t="n">
        <f aca="false">Sens!$M$7432</f>
        <v>224.003934647752</v>
      </c>
    </row>
    <row r="7457" customFormat="false" ht="15" hidden="false" customHeight="false" outlineLevel="0" collapsed="false">
      <c r="A7457" s="5" t="s">
        <v>779</v>
      </c>
      <c r="B7457" s="0" t="s">
        <v>86</v>
      </c>
      <c r="C7457" s="38" t="n">
        <f aca="false">Q!$D$48</f>
        <v>22.011</v>
      </c>
      <c r="D7457" s="38" t="n">
        <f aca="false">Q!$E$48</f>
        <v>19.467</v>
      </c>
      <c r="E7457" s="38" t="n">
        <f aca="false">Q!$P$48</f>
        <v>10.07</v>
      </c>
      <c r="F7457" s="38" t="n">
        <f aca="false">sbc_r*Sens!$F$7374</f>
        <v>10.8507035798037</v>
      </c>
      <c r="G7457" s="38" t="n">
        <f aca="false">Sens!$E$7457+Sens!$F$7457</f>
        <v>20.9207035798037</v>
      </c>
      <c r="H7457" s="38" t="n">
        <f aca="false">sbc_r*Sens!$H$7374</f>
        <v>23.46224366345</v>
      </c>
      <c r="I7457" s="38" t="n">
        <f aca="false">sbc_r*Sens!$I$7374</f>
        <v>26.6125957111676</v>
      </c>
      <c r="J7457" s="38" t="n">
        <f aca="false">sbc_r*Sens!$J$7374</f>
        <v>29.6280801413323</v>
      </c>
      <c r="K7457" s="38" t="n">
        <f aca="false">sbc_r*Sens!$K$7374</f>
        <v>32.2712258901105</v>
      </c>
      <c r="L7457" s="38" t="n">
        <f aca="false">sbc_r*Sens!$L$7374</f>
        <v>34.7390505016737</v>
      </c>
      <c r="M7457" s="38" t="n">
        <f aca="false">sbc_r*Sens!$M$7374</f>
        <v>37.0405146906692</v>
      </c>
    </row>
    <row r="7458" customFormat="false" ht="17.15" hidden="false" customHeight="false" outlineLevel="0" collapsed="false">
      <c r="A7458" s="5" t="s">
        <v>780</v>
      </c>
      <c r="B7458" s="0" t="s">
        <v>86</v>
      </c>
      <c r="C7458" s="38" t="n">
        <f aca="false">Q!$D$44-Sens!$C$7455-Sens!$C$7456-Sens!$C$7457</f>
        <v>2.551</v>
      </c>
      <c r="D7458" s="38" t="n">
        <f aca="false">Q!$E$44-Sens!$D$7455-Sens!$D$7456-Sens!$D$7457</f>
        <v>0.51700000000001</v>
      </c>
      <c r="E7458" s="38" t="n">
        <f aca="false">Q!$P$44-Sens!$E$7455-Sens!$E$7456-Sens!$E$7457</f>
        <v>-58.256</v>
      </c>
      <c r="F7458" s="38" t="n">
        <f aca="false">oth_r*Sens!$F$7374</f>
        <v>5.22265251035878</v>
      </c>
      <c r="G7458" s="38" t="n">
        <f aca="false">Sens!$E$7458+Sens!$F$7458</f>
        <v>-53.0333474896412</v>
      </c>
      <c r="H7458" s="38" t="n">
        <f aca="false">oth_r*Sens!$H$7374</f>
        <v>11.2928295263397</v>
      </c>
      <c r="I7458" s="38" t="n">
        <f aca="false">oth_r*Sens!$I$7374</f>
        <v>12.8091546115766</v>
      </c>
      <c r="J7458" s="38" t="n">
        <f aca="false">oth_r*Sens!$J$7374</f>
        <v>14.2605653162668</v>
      </c>
      <c r="K7458" s="38" t="n">
        <f aca="false">oth_r*Sens!$K$7374</f>
        <v>15.5327622460396</v>
      </c>
      <c r="L7458" s="38" t="n">
        <f aca="false">oth_r*Sens!$L$7374</f>
        <v>16.720573737517</v>
      </c>
      <c r="M7458" s="38" t="n">
        <f aca="false">oth_r*Sens!$M$7374</f>
        <v>17.8283127551536</v>
      </c>
      <c r="P7458" s="8" t="s">
        <v>781</v>
      </c>
    </row>
    <row r="7459" customFormat="false" ht="15" hidden="false" customHeight="false" outlineLevel="0" collapsed="false">
      <c r="A7459" s="3" t="s">
        <v>552</v>
      </c>
      <c r="B7459" s="8" t="s">
        <v>86</v>
      </c>
      <c r="C7459" s="38" t="n">
        <f aca="false">Q!$D$44</f>
        <v>115.877</v>
      </c>
      <c r="D7459" s="38" t="n">
        <f aca="false">Q!$E$44</f>
        <v>139.514</v>
      </c>
      <c r="E7459" s="38" t="n">
        <f aca="false">Q!$P$44</f>
        <v>71.419</v>
      </c>
      <c r="F7459" s="38" t="n">
        <f aca="false">Sens!$F$7455+Sens!$F$7456+Sens!$F$7457+Sens!$F$7458</f>
        <v>91.3381665166794</v>
      </c>
      <c r="G7459" s="38" t="n">
        <f aca="false">Sens!$E$7459+Sens!$F$7459</f>
        <v>162.757166516679</v>
      </c>
      <c r="H7459" s="38" t="n">
        <f aca="false">Sens!$H$7455+Sens!$H$7456+Sens!$H$7457+Sens!$H$7458</f>
        <v>220.979815191397</v>
      </c>
      <c r="I7459" s="38" t="n">
        <f aca="false">Sens!$I$7455+Sens!$I$7456+Sens!$I$7457+Sens!$I$7458</f>
        <v>273.036677420583</v>
      </c>
      <c r="J7459" s="38" t="n">
        <f aca="false">Sens!$J$7455+Sens!$J$7456+Sens!$J$7457+Sens!$J$7458</f>
        <v>325.671004053649</v>
      </c>
      <c r="K7459" s="38" t="n">
        <f aca="false">Sens!$K$7455+Sens!$K$7456+Sens!$K$7457+Sens!$K$7458</f>
        <v>374.009058715629</v>
      </c>
      <c r="L7459" s="38" t="n">
        <f aca="false">Sens!$L$7455+Sens!$L$7456+Sens!$L$7457+Sens!$L$7458</f>
        <v>416.124137499919</v>
      </c>
      <c r="M7459" s="38" t="n">
        <f aca="false">Sens!$M$7455+Sens!$M$7456+Sens!$M$7457+Sens!$M$7458</f>
        <v>452.557838889952</v>
      </c>
    </row>
    <row r="7460" customFormat="false" ht="17.15" hidden="false" customHeight="false" outlineLevel="0" collapsed="false">
      <c r="A7460" s="5" t="s">
        <v>782</v>
      </c>
      <c r="B7460" s="0" t="s">
        <v>86</v>
      </c>
      <c r="C7460" s="38" t="n">
        <f aca="false">Sens!$C$7343</f>
        <v>25.2781053077374</v>
      </c>
      <c r="D7460" s="38" t="n">
        <f aca="false">Sens!$D$7343</f>
        <v>69.5686316310026</v>
      </c>
      <c r="E7460" s="38" t="n">
        <f aca="false">Sens!$E$7343</f>
        <v>64.1899206485108</v>
      </c>
      <c r="F7460" s="38" t="n">
        <f aca="false">Sens!$F$7343</f>
        <v>96.2481299895</v>
      </c>
      <c r="G7460" s="38" t="n">
        <f aca="false">Sens!$G$7343</f>
        <v>160.438050638011</v>
      </c>
      <c r="H7460" s="38" t="n">
        <f aca="false">Sens!$H$7343</f>
        <v>198.57136494475</v>
      </c>
      <c r="I7460" s="38" t="n">
        <f aca="false">Sens!$I$7343</f>
        <v>204.6464699105</v>
      </c>
      <c r="J7460" s="38" t="n">
        <f aca="false">Sens!$J$7343</f>
        <v>209.8832381105</v>
      </c>
      <c r="K7460" s="38" t="n">
        <f aca="false">Sens!$K$7343</f>
        <v>155.238385275201</v>
      </c>
      <c r="L7460" s="38" t="n">
        <f aca="false">Sens!$L$7343</f>
        <v>132.014141639902</v>
      </c>
      <c r="M7460" s="38" t="n">
        <f aca="false">Sens!$M$7343</f>
        <v>132.230981659852</v>
      </c>
    </row>
    <row r="7461" customFormat="false" ht="17.15" hidden="false" customHeight="false" outlineLevel="0" collapsed="false">
      <c r="A7461" s="5" t="s">
        <v>783</v>
      </c>
      <c r="B7461" s="0" t="s">
        <v>86</v>
      </c>
      <c r="C7461" s="38" t="n">
        <f aca="false">cx_awso*Sens!$C$7372</f>
        <v>21.0469989286053</v>
      </c>
      <c r="D7461" s="38" t="n">
        <f aca="false">cx_awso*Sens!$D$7372</f>
        <v>24.0042459822698</v>
      </c>
      <c r="E7461" s="38" t="n">
        <f aca="false">cx_awso*Sens!$E$7372</f>
        <v>14.261729404886</v>
      </c>
      <c r="F7461" s="38" t="n">
        <f aca="false">cx_awso*Sens!$F$7372</f>
        <v>14.3538599588493</v>
      </c>
      <c r="G7461" s="38" t="n">
        <f aca="false">Sens!$E$7461+Sens!$F$7461</f>
        <v>28.6155893637353</v>
      </c>
      <c r="H7461" s="38" t="n">
        <f aca="false">cx_awso*Sens!$H$7372</f>
        <v>32.2034154158406</v>
      </c>
      <c r="I7461" s="38" t="n">
        <f aca="false">cx_awso*Sens!$I$7372</f>
        <v>35.7539519042915</v>
      </c>
      <c r="J7461" s="38" t="n">
        <f aca="false">cx_awso*Sens!$J$7372</f>
        <v>39.1551076091815</v>
      </c>
      <c r="K7461" s="38" t="n">
        <f aca="false">cx_awso*Sens!$K$7372</f>
        <v>42.287516217916</v>
      </c>
      <c r="L7461" s="38" t="n">
        <f aca="false">cx_awso*Sens!$L$7372</f>
        <v>45.6705175153492</v>
      </c>
      <c r="M7461" s="38" t="n">
        <f aca="false">cx_awso*Sens!$M$7372</f>
        <v>49.3241589165772</v>
      </c>
    </row>
    <row r="7462" customFormat="false" ht="17.15" hidden="false" customHeight="false" outlineLevel="0" collapsed="false">
      <c r="A7462" s="5" t="s">
        <v>784</v>
      </c>
      <c r="B7462" s="0" t="s">
        <v>86</v>
      </c>
      <c r="C7462" s="38" t="n">
        <f aca="false">Q!$D$46-Sens!$C$7460-Sens!$C$7461</f>
        <v>31.3328957636573</v>
      </c>
      <c r="D7462" s="38" t="n">
        <f aca="false">Q!$E$46-Sens!$D$7460-Sens!$D$7461</f>
        <v>34.7471223867276</v>
      </c>
      <c r="E7462" s="38" t="n">
        <f aca="false">Q!$P$46-Sens!$E$7460-Sens!$E$7461</f>
        <v>17.8583499466032</v>
      </c>
      <c r="F7462" s="38" t="n">
        <f aca="false">cx_rt*Sens!$F$7306</f>
        <v>20.6195895799373</v>
      </c>
      <c r="G7462" s="38" t="n">
        <f aca="false">Sens!$E$7462+Sens!$F$7462</f>
        <v>38.4779395265405</v>
      </c>
      <c r="H7462" s="38" t="n">
        <f aca="false">cx_rt*Sens!$H$7306</f>
        <v>42.5978994743075</v>
      </c>
      <c r="I7462" s="38" t="n">
        <f aca="false">cx_rt*Sens!$I$7306</f>
        <v>46.5813904136335</v>
      </c>
      <c r="J7462" s="38" t="n">
        <f aca="false">cx_rt*Sens!$J$7306</f>
        <v>50.2781676586844</v>
      </c>
      <c r="K7462" s="38" t="n">
        <f aca="false">cx_rt*Sens!$K$7306</f>
        <v>53.5312440191755</v>
      </c>
      <c r="L7462" s="38" t="n">
        <f aca="false">cx_rt*Sens!$L$7306</f>
        <v>57.0116717051447</v>
      </c>
      <c r="M7462" s="38" t="n">
        <f aca="false">cx_rt*Sens!$M$7306</f>
        <v>60.7365554669226</v>
      </c>
    </row>
    <row r="7463" customFormat="false" ht="15" hidden="false" customHeight="false" outlineLevel="0" collapsed="false">
      <c r="A7463" s="3" t="s">
        <v>785</v>
      </c>
      <c r="B7463" s="8" t="s">
        <v>86</v>
      </c>
      <c r="C7463" s="38" t="n">
        <f aca="false">Q!$D$46</f>
        <v>77.658</v>
      </c>
      <c r="D7463" s="38" t="n">
        <f aca="false">Q!$E$46</f>
        <v>128.32</v>
      </c>
      <c r="E7463" s="38" t="n">
        <f aca="false">Q!$P$46</f>
        <v>96.31</v>
      </c>
      <c r="F7463" s="38" t="n">
        <f aca="false">Sens!$F$7460+Sens!$F$7461+Sens!$F$7462</f>
        <v>131.221579528287</v>
      </c>
      <c r="G7463" s="38" t="n">
        <f aca="false">Sens!$E$7463+Sens!$F$7463</f>
        <v>227.531579528287</v>
      </c>
      <c r="H7463" s="38" t="n">
        <f aca="false">Sens!$H$7460+Sens!$H$7461+Sens!$H$7462</f>
        <v>273.372679834898</v>
      </c>
      <c r="I7463" s="38" t="n">
        <f aca="false">Sens!$I$7460+Sens!$I$7461+Sens!$I$7462</f>
        <v>286.981812228425</v>
      </c>
      <c r="J7463" s="38" t="n">
        <f aca="false">Sens!$J$7460+Sens!$J$7461+Sens!$J$7462</f>
        <v>299.316513378366</v>
      </c>
      <c r="K7463" s="38" t="n">
        <f aca="false">Sens!$K$7460+Sens!$K$7461+Sens!$K$7462</f>
        <v>251.057145512292</v>
      </c>
      <c r="L7463" s="38" t="n">
        <f aca="false">Sens!$L$7460+Sens!$L$7461+Sens!$L$7462</f>
        <v>234.696330860396</v>
      </c>
      <c r="M7463" s="38" t="n">
        <f aca="false">Sens!$M$7460+Sens!$M$7461+Sens!$M$7462</f>
        <v>242.291696043352</v>
      </c>
    </row>
    <row r="7464" customFormat="false" ht="17.15" hidden="false" customHeight="false" outlineLevel="0" collapsed="false">
      <c r="A7464" s="5" t="s">
        <v>560</v>
      </c>
      <c r="B7464" s="0" t="s">
        <v>86</v>
      </c>
      <c r="C7464" s="38" t="n">
        <f aca="false">Q!$D$50</f>
        <v>2.043</v>
      </c>
      <c r="D7464" s="38" t="n">
        <f aca="false">Q!$E$50</f>
        <v>1.557</v>
      </c>
      <c r="E7464" s="38" t="n">
        <f aca="false">lease_pr/2</f>
        <v>0.8</v>
      </c>
      <c r="F7464" s="38" t="n">
        <f aca="false">lease_pr/2</f>
        <v>0.8</v>
      </c>
      <c r="G7464" s="38" t="n">
        <f aca="false">Sens!$E$7464+Sens!$F$7464</f>
        <v>1.6</v>
      </c>
      <c r="H7464" s="38" t="n">
        <f aca="false">lease_pr</f>
        <v>1.6</v>
      </c>
      <c r="I7464" s="38" t="n">
        <f aca="false">lease_pr</f>
        <v>1.6</v>
      </c>
      <c r="J7464" s="38" t="n">
        <f aca="false">lease_pr</f>
        <v>1.6</v>
      </c>
      <c r="K7464" s="38" t="n">
        <f aca="false">lease_pr</f>
        <v>1.6</v>
      </c>
      <c r="L7464" s="38" t="n">
        <f aca="false">lease_pr</f>
        <v>1.6</v>
      </c>
      <c r="M7464" s="38" t="n">
        <f aca="false">lease_pr</f>
        <v>1.6</v>
      </c>
      <c r="P7464" s="8" t="s">
        <v>786</v>
      </c>
    </row>
    <row r="7465" customFormat="false" ht="15" hidden="false" customHeight="false" outlineLevel="0" collapsed="false">
      <c r="A7465" s="47" t="s">
        <v>787</v>
      </c>
      <c r="B7465" s="14" t="s">
        <v>86</v>
      </c>
      <c r="C7465" s="48" t="n">
        <f aca="false">Sens!$C$7459-Sens!$C$7463-Sens!$C$7464</f>
        <v>36.176</v>
      </c>
      <c r="D7465" s="48" t="n">
        <f aca="false">Sens!$D$7459-Sens!$D$7463-Sens!$D$7464</f>
        <v>9.63700000000002</v>
      </c>
      <c r="E7465" s="48" t="n">
        <f aca="false">Sens!$E$7459-Sens!$E$7463-Sens!$E$7464</f>
        <v>-25.691</v>
      </c>
      <c r="F7465" s="48" t="n">
        <f aca="false">Sens!$F$7459-Sens!$F$7463-Sens!$F$7464</f>
        <v>-40.6834130116072</v>
      </c>
      <c r="G7465" s="48" t="n">
        <f aca="false">Sens!$G$7459-Sens!$G$7463-Sens!$G$7464</f>
        <v>-66.3744130116072</v>
      </c>
      <c r="H7465" s="48" t="n">
        <f aca="false">Sens!$H$7459-Sens!$H$7463-Sens!$H$7464</f>
        <v>-53.9928646435014</v>
      </c>
      <c r="I7465" s="48" t="n">
        <f aca="false">Sens!$I$7459-Sens!$I$7463-Sens!$I$7464</f>
        <v>-15.5451348078424</v>
      </c>
      <c r="J7465" s="48" t="n">
        <f aca="false">Sens!$J$7459-Sens!$J$7463-Sens!$J$7464</f>
        <v>24.754490675283</v>
      </c>
      <c r="K7465" s="48" t="n">
        <f aca="false">Sens!$K$7459-Sens!$K$7463-Sens!$K$7464</f>
        <v>121.351913203336</v>
      </c>
      <c r="L7465" s="48" t="n">
        <f aca="false">Sens!$L$7459-Sens!$L$7463-Sens!$L$7464</f>
        <v>179.827806639524</v>
      </c>
      <c r="M7465" s="48" t="n">
        <f aca="false">Sens!$M$7459-Sens!$M$7463-Sens!$M$7464</f>
        <v>208.6661428466</v>
      </c>
      <c r="N7465" s="14"/>
      <c r="O7465" s="14"/>
    </row>
    <row r="7466" customFormat="false" ht="17.15" hidden="false" customHeight="false" outlineLevel="0" collapsed="false">
      <c r="A7466" s="5" t="s">
        <v>788</v>
      </c>
      <c r="B7466" s="0" t="s">
        <v>86</v>
      </c>
      <c r="C7466" s="38" t="n">
        <f aca="false">dps*Sens!$C$7445</f>
        <v>0</v>
      </c>
      <c r="D7466" s="38" t="n">
        <f aca="false">dps*Sens!$D$7445</f>
        <v>0</v>
      </c>
      <c r="E7466" s="38" t="n">
        <f aca="false">dps*Sens!$E$7445</f>
        <v>0</v>
      </c>
      <c r="F7466" s="38" t="n">
        <f aca="false">0</f>
        <v>0</v>
      </c>
      <c r="G7466" s="38" t="n">
        <f aca="false">dps*Sens!$G$7445</f>
        <v>0</v>
      </c>
      <c r="H7466" s="38" t="n">
        <f aca="false">dps*Sens!$H$7445</f>
        <v>0</v>
      </c>
      <c r="I7466" s="38" t="n">
        <f aca="false">dps*Sens!$I$7445</f>
        <v>0</v>
      </c>
      <c r="J7466" s="38" t="n">
        <f aca="false">dps*Sens!$J$7445</f>
        <v>0</v>
      </c>
      <c r="K7466" s="38" t="n">
        <f aca="false">dps*Sens!$K$7445</f>
        <v>0</v>
      </c>
      <c r="L7466" s="38" t="n">
        <f aca="false">dps*Sens!$L$7445</f>
        <v>0</v>
      </c>
      <c r="M7466" s="38" t="n">
        <f aca="false">dps*Sens!$M$7445</f>
        <v>0</v>
      </c>
      <c r="P7466" s="8" t="s">
        <v>789</v>
      </c>
    </row>
    <row r="7467" customFormat="false" ht="17.15" hidden="false" customHeight="false" outlineLevel="0" collapsed="false">
      <c r="A7467" s="5" t="s">
        <v>790</v>
      </c>
      <c r="B7467" s="0" t="s">
        <v>86</v>
      </c>
      <c r="C7467" s="38" t="n">
        <f aca="false">0</f>
        <v>0</v>
      </c>
      <c r="D7467" s="38" t="n">
        <f aca="false">0</f>
        <v>0</v>
      </c>
      <c r="E7467" s="38" t="n">
        <f aca="false">0</f>
        <v>0</v>
      </c>
      <c r="F7467" s="38" t="n">
        <f aca="false">0</f>
        <v>0</v>
      </c>
      <c r="G7467" s="38" t="n">
        <f aca="false">0</f>
        <v>0</v>
      </c>
      <c r="H7467" s="38" t="n">
        <f aca="false">0</f>
        <v>0</v>
      </c>
      <c r="I7467" s="38" t="n">
        <f aca="false">0</f>
        <v>0</v>
      </c>
      <c r="J7467" s="38" t="n">
        <f aca="false">0</f>
        <v>0</v>
      </c>
      <c r="K7467" s="38" t="n">
        <f aca="false">0</f>
        <v>0</v>
      </c>
      <c r="L7467" s="38" t="n">
        <f aca="false">0</f>
        <v>0</v>
      </c>
      <c r="M7467" s="38" t="n">
        <f aca="false">0</f>
        <v>0</v>
      </c>
      <c r="P7467" s="8" t="s">
        <v>791</v>
      </c>
    </row>
    <row r="7468" customFormat="false" ht="15" hidden="false" customHeight="false" outlineLevel="0" collapsed="false">
      <c r="A7468" s="3" t="s">
        <v>792</v>
      </c>
      <c r="B7468" s="8" t="s">
        <v>86</v>
      </c>
      <c r="C7468" s="38" t="n">
        <f aca="false">Sens!$C$7465-Sens!$C$7466</f>
        <v>36.176</v>
      </c>
      <c r="D7468" s="38" t="n">
        <f aca="false">Sens!$D$7465-Sens!$D$7466</f>
        <v>9.63700000000002</v>
      </c>
      <c r="E7468" s="38" t="n">
        <f aca="false">Sens!$E$7465-Sens!$E$7466</f>
        <v>-25.691</v>
      </c>
      <c r="F7468" s="38" t="n">
        <f aca="false">Sens!$F$7465-Sens!$F$7466</f>
        <v>-40.6834130116072</v>
      </c>
      <c r="G7468" s="38" t="n">
        <f aca="false">Sens!$G$7465-Sens!$G$7466</f>
        <v>-66.3744130116072</v>
      </c>
      <c r="H7468" s="38" t="n">
        <f aca="false">Sens!$H$7465-Sens!$H$7466</f>
        <v>-53.9928646435014</v>
      </c>
      <c r="I7468" s="38" t="n">
        <f aca="false">Sens!$I$7465-Sens!$I$7466</f>
        <v>-15.5451348078424</v>
      </c>
      <c r="J7468" s="38" t="n">
        <f aca="false">Sens!$J$7465-Sens!$J$7466</f>
        <v>24.754490675283</v>
      </c>
      <c r="K7468" s="38" t="n">
        <f aca="false">Sens!$K$7465-Sens!$K$7466</f>
        <v>121.351913203336</v>
      </c>
      <c r="L7468" s="38" t="n">
        <f aca="false">Sens!$L$7465-Sens!$L$7466</f>
        <v>179.827806639524</v>
      </c>
      <c r="M7468" s="38" t="n">
        <f aca="false">Sens!$M$7465-Sens!$M$7466</f>
        <v>208.6661428466</v>
      </c>
    </row>
    <row r="7469" customFormat="false" ht="17.15" hidden="false" customHeight="false" outlineLevel="0" collapsed="false">
      <c r="A7469" s="5" t="s">
        <v>793</v>
      </c>
      <c r="B7469" s="0" t="s">
        <v>86</v>
      </c>
      <c r="E7469" s="38" t="n">
        <f aca="false">Q!$P$53</f>
        <v>39.767</v>
      </c>
      <c r="F7469" s="38" t="n">
        <f aca="false">inv_2h26</f>
        <v>21.3</v>
      </c>
      <c r="G7469" s="38" t="n">
        <f aca="false">Sens!$E$7469+Sens!$F$7469</f>
        <v>61.067</v>
      </c>
      <c r="H7469" s="39" t="n">
        <v>0</v>
      </c>
      <c r="I7469" s="39" t="n">
        <v>0</v>
      </c>
      <c r="J7469" s="39" t="n">
        <v>0</v>
      </c>
      <c r="K7469" s="39" t="n">
        <v>0</v>
      </c>
      <c r="L7469" s="39" t="n">
        <v>0</v>
      </c>
      <c r="M7469" s="39" t="n">
        <v>0</v>
      </c>
    </row>
    <row r="7470" customFormat="false" ht="17.15" hidden="false" customHeight="false" outlineLevel="0" collapsed="false">
      <c r="A7470" s="5" t="s">
        <v>794</v>
      </c>
      <c r="B7470" s="0" t="s">
        <v>86</v>
      </c>
      <c r="F7470" s="38" t="n">
        <f aca="false">iss_2h26</f>
        <v>29.249999</v>
      </c>
      <c r="G7470" s="38" t="n">
        <f aca="false">Sens!$F$7470</f>
        <v>29.249999</v>
      </c>
      <c r="H7470" s="39" t="n">
        <v>0</v>
      </c>
      <c r="I7470" s="39" t="n">
        <v>0</v>
      </c>
      <c r="J7470" s="39" t="n">
        <v>0</v>
      </c>
      <c r="K7470" s="39" t="n">
        <v>0</v>
      </c>
      <c r="L7470" s="39" t="n">
        <v>0</v>
      </c>
      <c r="M7470" s="39" t="n">
        <v>0</v>
      </c>
    </row>
    <row r="7471" customFormat="false" ht="17.15" hidden="false" customHeight="false" outlineLevel="0" collapsed="false">
      <c r="A7471" s="5" t="s">
        <v>795</v>
      </c>
      <c r="B7471" s="0" t="s">
        <v>86</v>
      </c>
      <c r="F7471" s="38" t="n">
        <f aca="false">cash_q2</f>
        <v>122.988</v>
      </c>
      <c r="G7471" s="38" t="n">
        <f aca="false">cash_q2</f>
        <v>122.988</v>
      </c>
      <c r="H7471" s="38" t="n">
        <f aca="false">Sens!$G$7474</f>
        <v>90.2545859883928</v>
      </c>
      <c r="I7471" s="38" t="n">
        <f aca="false">Sens!$H$7474</f>
        <v>50</v>
      </c>
      <c r="J7471" s="38" t="n">
        <f aca="false">Sens!$I$7474</f>
        <v>50</v>
      </c>
      <c r="K7471" s="38" t="n">
        <f aca="false">Sens!$J$7474</f>
        <v>74.7544906752831</v>
      </c>
      <c r="L7471" s="38" t="n">
        <f aca="false">Sens!$K$7474</f>
        <v>196.106403878619</v>
      </c>
      <c r="M7471" s="38" t="n">
        <f aca="false">Sens!$L$7474</f>
        <v>375.934210518143</v>
      </c>
    </row>
    <row r="7472" customFormat="false" ht="15" hidden="false" customHeight="false" outlineLevel="0" collapsed="false">
      <c r="A7472" s="5" t="s">
        <v>796</v>
      </c>
      <c r="B7472" s="0" t="s">
        <v>86</v>
      </c>
      <c r="F7472" s="38" t="n">
        <f aca="false">Sens!$F$7471+Sens!$F$7468-Sens!$F$7467-Sens!$F$7469+Sens!$F$7470</f>
        <v>90.2545859883928</v>
      </c>
      <c r="H7472" s="38" t="n">
        <f aca="false">Sens!$H$7471+Sens!$H$7468-Sens!$H$7467-Sens!$H$7469+Sens!$H$7470</f>
        <v>36.2617213448915</v>
      </c>
      <c r="I7472" s="38" t="n">
        <f aca="false">Sens!$I$7471+Sens!$I$7468-Sens!$I$7467-Sens!$I$7469+Sens!$I$7470</f>
        <v>34.4548651921577</v>
      </c>
      <c r="J7472" s="38" t="n">
        <f aca="false">Sens!$J$7471+Sens!$J$7468-Sens!$J$7467-Sens!$J$7469+Sens!$J$7470</f>
        <v>74.7544906752831</v>
      </c>
      <c r="K7472" s="38" t="n">
        <f aca="false">Sens!$K$7471+Sens!$K$7468-Sens!$K$7467-Sens!$K$7469+Sens!$K$7470</f>
        <v>196.106403878619</v>
      </c>
      <c r="L7472" s="38" t="n">
        <f aca="false">Sens!$L$7471+Sens!$L$7468-Sens!$L$7467-Sens!$L$7469+Sens!$L$7470</f>
        <v>375.934210518143</v>
      </c>
      <c r="M7472" s="38" t="n">
        <f aca="false">Sens!$M$7471+Sens!$M$7468-Sens!$M$7467-Sens!$M$7469+Sens!$M$7470</f>
        <v>584.600353364743</v>
      </c>
    </row>
    <row r="7473" customFormat="false" ht="17.15" hidden="false" customHeight="false" outlineLevel="0" collapsed="false">
      <c r="A7473" s="5" t="s">
        <v>797</v>
      </c>
      <c r="B7473" s="0" t="s">
        <v>86</v>
      </c>
      <c r="F7473" s="38" t="n">
        <f aca="false">MAX(0,min_cash-Sens!$F$7472)</f>
        <v>0</v>
      </c>
      <c r="G7473" s="38" t="n">
        <f aca="false">Sens!$F$7473</f>
        <v>0</v>
      </c>
      <c r="H7473" s="38" t="n">
        <f aca="false">MAX(0,min_cash-Sens!$H$7472)</f>
        <v>13.7382786551085</v>
      </c>
      <c r="I7473" s="38" t="n">
        <f aca="false">MAX(0,min_cash-Sens!$I$7472)</f>
        <v>15.5451348078424</v>
      </c>
      <c r="J7473" s="38" t="n">
        <f aca="false">MAX(0,min_cash-Sens!$J$7472)</f>
        <v>0</v>
      </c>
      <c r="K7473" s="38" t="n">
        <f aca="false">MAX(0,min_cash-Sens!$K$7472)</f>
        <v>0</v>
      </c>
      <c r="L7473" s="38" t="n">
        <f aca="false">MAX(0,min_cash-Sens!$L$7472)</f>
        <v>0</v>
      </c>
      <c r="M7473" s="38" t="n">
        <f aca="false">MAX(0,min_cash-Sens!$M$7472)</f>
        <v>0</v>
      </c>
      <c r="P7473" s="5" t="s">
        <v>798</v>
      </c>
    </row>
    <row r="7474" customFormat="false" ht="15" hidden="false" customHeight="false" outlineLevel="0" collapsed="false">
      <c r="A7474" s="5" t="s">
        <v>799</v>
      </c>
      <c r="B7474" s="0" t="s">
        <v>86</v>
      </c>
      <c r="D7474" s="38" t="n">
        <f aca="false">Q!$E$61</f>
        <v>123.029</v>
      </c>
      <c r="E7474" s="38" t="n">
        <f aca="false">Q!$M$61</f>
        <v>122.988</v>
      </c>
      <c r="F7474" s="38" t="n">
        <f aca="false">Sens!$F$7472+Sens!$F$7473</f>
        <v>90.2545859883928</v>
      </c>
      <c r="G7474" s="38" t="n">
        <f aca="false">Sens!$F$7474</f>
        <v>90.2545859883928</v>
      </c>
      <c r="H7474" s="38" t="n">
        <f aca="false">Sens!$H$7472+Sens!$H$7473</f>
        <v>50</v>
      </c>
      <c r="I7474" s="38" t="n">
        <f aca="false">Sens!$I$7472+Sens!$I$7473</f>
        <v>50</v>
      </c>
      <c r="J7474" s="38" t="n">
        <f aca="false">Sens!$J$7472+Sens!$J$7473</f>
        <v>74.7544906752831</v>
      </c>
      <c r="K7474" s="38" t="n">
        <f aca="false">Sens!$K$7472+Sens!$K$7473</f>
        <v>196.106403878619</v>
      </c>
      <c r="L7474" s="38" t="n">
        <f aca="false">Sens!$L$7472+Sens!$L$7473</f>
        <v>375.934210518143</v>
      </c>
      <c r="M7474" s="38" t="n">
        <f aca="false">Sens!$M$7472+Sens!$M$7473</f>
        <v>584.600353364743</v>
      </c>
    </row>
    <row r="7475" customFormat="false" ht="15" hidden="false" customHeight="false" outlineLevel="0" collapsed="false">
      <c r="A7475" s="5" t="s">
        <v>800</v>
      </c>
      <c r="B7475" s="0" t="s">
        <v>86</v>
      </c>
      <c r="D7475" s="38" t="n">
        <f aca="false">Q!$E$62</f>
        <v>68.836</v>
      </c>
      <c r="E7475" s="38" t="n">
        <f aca="false">Q!$M$62</f>
        <v>132.995</v>
      </c>
      <c r="F7475" s="38" t="n">
        <f aca="false">debt_q2+Sens!$F$7470+Sens!$F$7473</f>
        <v>162.244999</v>
      </c>
      <c r="G7475" s="38" t="n">
        <f aca="false">Sens!$F$7475</f>
        <v>162.244999</v>
      </c>
      <c r="H7475" s="38" t="n">
        <f aca="false">Sens!$G$7475+Sens!$H$7473</f>
        <v>175.983277655109</v>
      </c>
      <c r="I7475" s="38" t="n">
        <f aca="false">Sens!$H$7475+Sens!$I$7473</f>
        <v>191.528412462951</v>
      </c>
      <c r="J7475" s="38" t="n">
        <f aca="false">Sens!$I$7475+Sens!$J$7473</f>
        <v>191.528412462951</v>
      </c>
      <c r="K7475" s="38" t="n">
        <f aca="false">Sens!$J$7475+Sens!$K$7473</f>
        <v>191.528412462951</v>
      </c>
      <c r="L7475" s="38" t="n">
        <f aca="false">Sens!$K$7475+Sens!$L$7473</f>
        <v>191.528412462951</v>
      </c>
      <c r="M7475" s="38" t="n">
        <f aca="false">Sens!$L$7475+Sens!$M$7473</f>
        <v>191.528412462951</v>
      </c>
    </row>
    <row r="7476" customFormat="false" ht="15" hidden="false" customHeight="false" outlineLevel="0" collapsed="false">
      <c r="A7476" s="5" t="s">
        <v>801</v>
      </c>
      <c r="B7476" s="0" t="s">
        <v>86</v>
      </c>
      <c r="D7476" s="38" t="n">
        <f aca="false">Sens!$D$7475-Sens!$D$7474</f>
        <v>-54.193</v>
      </c>
      <c r="E7476" s="38" t="n">
        <f aca="false">Sens!$E$7475-Sens!$E$7474</f>
        <v>10.007</v>
      </c>
      <c r="F7476" s="38" t="n">
        <f aca="false">Sens!$F$7475-Sens!$F$7474</f>
        <v>71.9904130116072</v>
      </c>
      <c r="G7476" s="38" t="n">
        <f aca="false">Sens!$G$7475-Sens!$G$7474</f>
        <v>71.9904130116072</v>
      </c>
      <c r="H7476" s="38" t="n">
        <f aca="false">Sens!$H$7475-Sens!$H$7474</f>
        <v>125.983277655109</v>
      </c>
      <c r="I7476" s="38" t="n">
        <f aca="false">Sens!$I$7475-Sens!$I$7474</f>
        <v>141.528412462951</v>
      </c>
      <c r="J7476" s="38" t="n">
        <f aca="false">Sens!$J$7475-Sens!$J$7474</f>
        <v>116.773921787668</v>
      </c>
      <c r="K7476" s="38" t="n">
        <f aca="false">Sens!$K$7475-Sens!$K$7474</f>
        <v>-4.57799141566841</v>
      </c>
      <c r="L7476" s="38" t="n">
        <f aca="false">Sens!$L$7475-Sens!$L$7474</f>
        <v>-184.405798055192</v>
      </c>
      <c r="M7476" s="38" t="n">
        <f aca="false">Sens!$M$7475-Sens!$M$7474</f>
        <v>-393.071940901792</v>
      </c>
    </row>
    <row r="7477" customFormat="false" ht="17.15" hidden="false" customHeight="false" outlineLevel="0" collapsed="false">
      <c r="A7477" s="5" t="s">
        <v>802</v>
      </c>
      <c r="B7477" s="0" t="s">
        <v>86</v>
      </c>
      <c r="F7477" s="38" t="n">
        <f aca="false">debt_q2*kd_book*0.5+iss_2h26*kd_new*iss_t</f>
        <v>3.24888962733561</v>
      </c>
      <c r="H7477" s="38" t="n">
        <f aca="false">debt_q2*kd_book+(Sens!$G$7475-debt_q2)*kd_new</f>
        <v>7.42354172302123</v>
      </c>
      <c r="I7477" s="38" t="n">
        <f aca="false">debt_q2*kd_book+(Sens!$H$7475-debt_q2)*kd_new</f>
        <v>8.2931747618896</v>
      </c>
      <c r="J7477" s="38" t="n">
        <f aca="false">debt_q2*kd_book+(Sens!$I$7475-debt_q2)*kd_new</f>
        <v>9.27718179522602</v>
      </c>
      <c r="K7477" s="38" t="n">
        <f aca="false">debt_q2*kd_book+(Sens!$J$7475-debt_q2)*kd_new</f>
        <v>9.27718179522602</v>
      </c>
      <c r="L7477" s="38" t="n">
        <f aca="false">debt_q2*kd_book+(Sens!$K$7475-debt_q2)*kd_new</f>
        <v>9.27718179522602</v>
      </c>
      <c r="M7477" s="38" t="n">
        <f aca="false">debt_q2*kd_book+(Sens!$L$7475-debt_q2)*kd_new</f>
        <v>9.27718179522602</v>
      </c>
    </row>
    <row r="7478" customFormat="false" ht="17.15" hidden="false" customHeight="false" outlineLevel="0" collapsed="false">
      <c r="A7478" s="5" t="s">
        <v>803</v>
      </c>
      <c r="B7478" s="0" t="s">
        <v>86</v>
      </c>
      <c r="F7478" s="38" t="n">
        <f aca="false">cash_q2*y_cash*0.5</f>
        <v>2.59</v>
      </c>
      <c r="H7478" s="38" t="n">
        <f aca="false">Sens!$G$7474*y_cash</f>
        <v>3.80133635330174</v>
      </c>
      <c r="I7478" s="38" t="n">
        <f aca="false">Sens!$H$7474*y_cash</f>
        <v>2.10589651022864</v>
      </c>
      <c r="J7478" s="38" t="n">
        <f aca="false">Sens!$I$7474*y_cash</f>
        <v>2.10589651022864</v>
      </c>
      <c r="K7478" s="38" t="n">
        <f aca="false">Sens!$J$7474*y_cash</f>
        <v>3.14850442073996</v>
      </c>
      <c r="L7478" s="38" t="n">
        <f aca="false">Sens!$K$7474*y_cash</f>
        <v>8.25959583122945</v>
      </c>
      <c r="M7478" s="38" t="n">
        <f aca="false">Sens!$L$7474*y_cash</f>
        <v>15.8335708401143</v>
      </c>
    </row>
    <row r="7479" customFormat="false" ht="17.15" hidden="false" customHeight="false" outlineLevel="0" collapsed="false">
      <c r="A7479" s="47" t="s">
        <v>804</v>
      </c>
      <c r="B7479" s="14" t="s">
        <v>86</v>
      </c>
      <c r="C7479" s="14"/>
      <c r="D7479" s="14"/>
      <c r="E7479" s="14"/>
      <c r="F7479" s="14"/>
      <c r="G7479" s="48" t="n">
        <f aca="false">SUM(Sens!$G$7468:$K$7468)</f>
        <v>10.1939914156684</v>
      </c>
      <c r="H7479" s="14"/>
      <c r="I7479" s="14"/>
      <c r="J7479" s="14"/>
      <c r="K7479" s="14"/>
      <c r="L7479" s="14"/>
      <c r="M7479" s="14"/>
      <c r="N7479" s="14"/>
      <c r="O7479" s="14"/>
    </row>
    <row r="7480" customFormat="false" ht="17.15" hidden="false" customHeight="false" outlineLevel="0" collapsed="false">
      <c r="A7480" s="0" t="s">
        <v>770</v>
      </c>
      <c r="B7480" s="0" t="s">
        <v>86</v>
      </c>
      <c r="G7480" s="38" t="n">
        <f aca="false">SUM(Sens!$G$7473:$K$7473)</f>
        <v>29.2834134629509</v>
      </c>
    </row>
    <row r="7481" customFormat="false" ht="17.15" hidden="false" customHeight="false" outlineLevel="0" collapsed="false">
      <c r="A7481" s="24" t="s">
        <v>807</v>
      </c>
      <c r="B7481" s="25" t="s">
        <v>86</v>
      </c>
      <c r="C7481" s="25"/>
      <c r="D7481" s="25"/>
      <c r="E7481" s="25"/>
      <c r="F7481" s="25"/>
      <c r="G7481" s="41" t="n">
        <f aca="false">Sens!$G$7479-(Sens!$G$7468+Sens!$H$7468+Sens!$I$7468+Sens!$J$7468+Sens!$K$7468)</f>
        <v>0</v>
      </c>
      <c r="H7481" s="25"/>
      <c r="I7481" s="25"/>
      <c r="J7481" s="25"/>
      <c r="K7481" s="25"/>
      <c r="L7481" s="25"/>
      <c r="M7481" s="25"/>
      <c r="N7481" s="25"/>
      <c r="O7481" s="25"/>
    </row>
    <row r="7484" customFormat="false" ht="19.4" hidden="false" customHeight="false" outlineLevel="0" collapsed="false">
      <c r="A7484" s="31" t="s">
        <v>1281</v>
      </c>
    </row>
    <row r="7485" customFormat="false" ht="17.15" hidden="false" customHeight="false" outlineLevel="0" collapsed="false">
      <c r="A7485" s="6" t="s">
        <v>16</v>
      </c>
      <c r="B7485" s="6" t="s">
        <v>17</v>
      </c>
      <c r="C7485" s="20" t="s">
        <v>494</v>
      </c>
      <c r="D7485" s="20" t="s">
        <v>495</v>
      </c>
      <c r="E7485" s="20" t="s">
        <v>577</v>
      </c>
      <c r="F7485" s="20" t="s">
        <v>578</v>
      </c>
      <c r="G7485" s="20" t="s">
        <v>579</v>
      </c>
      <c r="H7485" s="20" t="s">
        <v>580</v>
      </c>
      <c r="I7485" s="20" t="s">
        <v>581</v>
      </c>
      <c r="J7485" s="20" t="s">
        <v>582</v>
      </c>
      <c r="K7485" s="20" t="s">
        <v>583</v>
      </c>
      <c r="L7485" s="20" t="s">
        <v>584</v>
      </c>
      <c r="M7485" s="20" t="s">
        <v>585</v>
      </c>
      <c r="N7485" s="20" t="s">
        <v>586</v>
      </c>
      <c r="O7485" s="20" t="s">
        <v>587</v>
      </c>
      <c r="P7485" s="6" t="s">
        <v>23</v>
      </c>
      <c r="R7485" s="20" t="n">
        <v>2023</v>
      </c>
      <c r="S7485" s="20" t="n">
        <v>2024</v>
      </c>
      <c r="T7485" s="20" t="n">
        <v>2025</v>
      </c>
      <c r="U7485" s="20" t="n">
        <v>2026</v>
      </c>
      <c r="V7485" s="20" t="n">
        <v>2027</v>
      </c>
      <c r="W7485" s="20" t="n">
        <v>2028</v>
      </c>
      <c r="X7485" s="20" t="n">
        <v>2029</v>
      </c>
      <c r="Y7485" s="20" t="n">
        <v>2030</v>
      </c>
      <c r="Z7485" s="20" t="n">
        <v>2031</v>
      </c>
      <c r="AA7485" s="20" t="n">
        <v>2032</v>
      </c>
    </row>
    <row r="7486" customFormat="false" ht="17.15" hidden="false" customHeight="false" outlineLevel="0" collapsed="false">
      <c r="A7486" s="1" t="s">
        <v>909</v>
      </c>
    </row>
    <row r="7487" customFormat="false" ht="17.15" hidden="false" customHeight="false" outlineLevel="0" collapsed="false">
      <c r="A7487" s="0" t="s">
        <v>910</v>
      </c>
      <c r="B7487" s="0" t="s">
        <v>86</v>
      </c>
      <c r="H7487" s="38" t="n">
        <f aca="false">Sens!$H$7421*(1-tax)</f>
        <v>117.433243423729</v>
      </c>
      <c r="I7487" s="38" t="n">
        <f aca="false">Sens!$I$7421*(1-tax)</f>
        <v>142.829109667048</v>
      </c>
      <c r="J7487" s="38" t="n">
        <f aca="false">Sens!$J$7421*(1-tax)</f>
        <v>166.999275189185</v>
      </c>
      <c r="K7487" s="38" t="n">
        <f aca="false">Sens!$K$7421*(1-tax)</f>
        <v>184.249088119477</v>
      </c>
      <c r="L7487" s="38" t="n">
        <f aca="false">Sens!$L$7421*(1-tax)</f>
        <v>199.752821326616</v>
      </c>
      <c r="M7487" s="38" t="n">
        <f aca="false">Sens!$M$7421*(1-tax)</f>
        <v>212.59629763103</v>
      </c>
    </row>
    <row r="7488" customFormat="false" ht="15" hidden="false" customHeight="false" outlineLevel="0" collapsed="false">
      <c r="A7488" s="5" t="s">
        <v>911</v>
      </c>
      <c r="B7488" s="0" t="s">
        <v>86</v>
      </c>
      <c r="H7488" s="38" t="n">
        <f aca="false">Sens!$H$7432</f>
        <v>84.3163410985152</v>
      </c>
      <c r="I7488" s="38" t="n">
        <f aca="false">Sens!$I$7432</f>
        <v>117.040344991004</v>
      </c>
      <c r="J7488" s="38" t="n">
        <f aca="false">Sens!$J$7432</f>
        <v>150.498981474685</v>
      </c>
      <c r="K7488" s="38" t="n">
        <f aca="false">Sens!$K$7432</f>
        <v>184.188121970284</v>
      </c>
      <c r="L7488" s="38" t="n">
        <f aca="false">Sens!$L$7432</f>
        <v>207.768718060808</v>
      </c>
      <c r="M7488" s="38" t="n">
        <f aca="false">Sens!$M$7432</f>
        <v>224.003934647752</v>
      </c>
    </row>
    <row r="7489" customFormat="false" ht="15" hidden="false" customHeight="false" outlineLevel="0" collapsed="false">
      <c r="A7489" s="5" t="s">
        <v>912</v>
      </c>
      <c r="B7489" s="0" t="s">
        <v>86</v>
      </c>
      <c r="H7489" s="38" t="n">
        <f aca="false">Sens!$H$7463</f>
        <v>273.372679834898</v>
      </c>
      <c r="I7489" s="38" t="n">
        <f aca="false">Sens!$I$7463</f>
        <v>286.981812228425</v>
      </c>
      <c r="J7489" s="38" t="n">
        <f aca="false">Sens!$J$7463</f>
        <v>299.316513378366</v>
      </c>
      <c r="K7489" s="38" t="n">
        <f aca="false">Sens!$K$7463</f>
        <v>251.057145512292</v>
      </c>
      <c r="L7489" s="38" t="n">
        <f aca="false">Sens!$L$7463</f>
        <v>234.696330860396</v>
      </c>
      <c r="M7489" s="38" t="n">
        <f aca="false">Sens!$M$7463</f>
        <v>242.291696043352</v>
      </c>
    </row>
    <row r="7490" customFormat="false" ht="15" hidden="false" customHeight="false" outlineLevel="0" collapsed="false">
      <c r="A7490" s="5" t="s">
        <v>913</v>
      </c>
      <c r="B7490" s="0" t="s">
        <v>86</v>
      </c>
      <c r="H7490" s="38" t="n">
        <f aca="false">Sens!$H$7464</f>
        <v>1.6</v>
      </c>
      <c r="I7490" s="38" t="n">
        <f aca="false">Sens!$I$7464</f>
        <v>1.6</v>
      </c>
      <c r="J7490" s="38" t="n">
        <f aca="false">Sens!$J$7464</f>
        <v>1.6</v>
      </c>
      <c r="K7490" s="38" t="n">
        <f aca="false">Sens!$K$7464</f>
        <v>1.6</v>
      </c>
      <c r="L7490" s="38" t="n">
        <f aca="false">Sens!$L$7464</f>
        <v>1.6</v>
      </c>
      <c r="M7490" s="38" t="n">
        <f aca="false">Sens!$M$7464</f>
        <v>1.6</v>
      </c>
    </row>
    <row r="7491" customFormat="false" ht="15" hidden="false" customHeight="false" outlineLevel="0" collapsed="false">
      <c r="A7491" s="5" t="s">
        <v>914</v>
      </c>
      <c r="B7491" s="0" t="s">
        <v>86</v>
      </c>
      <c r="H7491" s="38" t="n">
        <f aca="false">Sens!$H$7458</f>
        <v>11.2928295263397</v>
      </c>
      <c r="I7491" s="38" t="n">
        <f aca="false">Sens!$I$7458</f>
        <v>12.8091546115766</v>
      </c>
      <c r="J7491" s="38" t="n">
        <f aca="false">Sens!$J$7458</f>
        <v>14.2605653162668</v>
      </c>
      <c r="K7491" s="38" t="n">
        <f aca="false">Sens!$K$7458</f>
        <v>15.5327622460396</v>
      </c>
      <c r="L7491" s="38" t="n">
        <f aca="false">Sens!$L$7458</f>
        <v>16.720573737517</v>
      </c>
      <c r="M7491" s="38" t="n">
        <f aca="false">Sens!$M$7458</f>
        <v>17.8283127551536</v>
      </c>
    </row>
    <row r="7492" customFormat="false" ht="17.15" hidden="false" customHeight="false" outlineLevel="0" collapsed="false">
      <c r="A7492" s="1" t="s">
        <v>915</v>
      </c>
      <c r="B7492" s="8" t="s">
        <v>86</v>
      </c>
      <c r="H7492" s="38" t="n">
        <f aca="false">Sens!$H$7487+Sens!$H$7488-Sens!$H$7489-Sens!$H$7490+Sens!$H$7491</f>
        <v>-61.930265786314</v>
      </c>
      <c r="I7492" s="38" t="n">
        <f aca="false">Sens!$I$7487+Sens!$I$7488-Sens!$I$7489-Sens!$I$7490+Sens!$I$7491</f>
        <v>-15.9032029587969</v>
      </c>
      <c r="J7492" s="38" t="n">
        <f aca="false">Sens!$J$7487+Sens!$J$7488-Sens!$J$7489-Sens!$J$7490+Sens!$J$7491</f>
        <v>30.8423086017711</v>
      </c>
      <c r="K7492" s="38" t="n">
        <f aca="false">Sens!$K$7487+Sens!$K$7488-Sens!$K$7489-Sens!$K$7490+Sens!$K$7491</f>
        <v>131.312826823508</v>
      </c>
      <c r="L7492" s="38" t="n">
        <f aca="false">Sens!$L$7487+Sens!$L$7488-Sens!$L$7489-Sens!$L$7490+Sens!$L$7491</f>
        <v>187.945782264545</v>
      </c>
      <c r="M7492" s="38" t="n">
        <f aca="false">Sens!$M$7487+Sens!$M$7488-Sens!$M$7489-Sens!$M$7490+Sens!$M$7491</f>
        <v>210.536848990583</v>
      </c>
    </row>
    <row r="7493" customFormat="false" ht="15" hidden="false" customHeight="false" outlineLevel="0" collapsed="false">
      <c r="A7493" s="5" t="s">
        <v>916</v>
      </c>
      <c r="B7493" s="0" t="s">
        <v>57</v>
      </c>
      <c r="H7493" s="40" t="n">
        <f aca="false">1/(1+wacc)^(2027-2026-0.5)</f>
        <v>0.947751320380232</v>
      </c>
      <c r="I7493" s="40" t="n">
        <f aca="false">1/(1+wacc)^(2028-2026-0.5)</f>
        <v>0.851301099754987</v>
      </c>
      <c r="J7493" s="40" t="n">
        <f aca="false">1/(1+wacc)^(2029-2026-0.5)</f>
        <v>0.764666370660713</v>
      </c>
      <c r="K7493" s="40" t="n">
        <f aca="false">1/(1+wacc)^(2030-2026-0.5)</f>
        <v>0.686848235703811</v>
      </c>
      <c r="L7493" s="40" t="n">
        <f aca="false">1/(1+wacc)^(2031-2026-0.5)</f>
        <v>0.616949452715975</v>
      </c>
      <c r="M7493" s="40" t="n">
        <f aca="false">1/(1+wacc)^(2032-2026-0.5)</f>
        <v>0.554164089562688</v>
      </c>
    </row>
    <row r="7494" customFormat="false" ht="15" hidden="false" customHeight="false" outlineLevel="0" collapsed="false">
      <c r="A7494" s="5" t="s">
        <v>917</v>
      </c>
      <c r="B7494" s="0" t="s">
        <v>86</v>
      </c>
      <c r="H7494" s="38" t="n">
        <f aca="false">Sens!$H$7492*Sens!$H$7493</f>
        <v>-58.6944911704778</v>
      </c>
      <c r="I7494" s="38" t="n">
        <f aca="false">Sens!$I$7492*Sens!$I$7493</f>
        <v>-13.5384141684505</v>
      </c>
      <c r="J7494" s="38" t="n">
        <f aca="false">Sens!$J$7492*Sens!$J$7493</f>
        <v>23.584076181314</v>
      </c>
      <c r="K7494" s="38" t="n">
        <f aca="false">Sens!$K$7492*Sens!$K$7493</f>
        <v>90.1919834290062</v>
      </c>
      <c r="L7494" s="38" t="n">
        <f aca="false">Sens!$L$7492*Sens!$L$7493</f>
        <v>115.953047508387</v>
      </c>
      <c r="M7494" s="38" t="n">
        <f aca="false">Sens!$M$7492*Sens!$M$7493</f>
        <v>116.671961240264</v>
      </c>
    </row>
    <row r="7495" customFormat="false" ht="15" hidden="false" customHeight="false" outlineLevel="0" collapsed="false">
      <c r="A7495" s="5" t="s">
        <v>918</v>
      </c>
      <c r="B7495" s="0" t="s">
        <v>86</v>
      </c>
      <c r="C7495" s="38" t="n">
        <f aca="false">SUM(Sens!$H$7494:$M$7494)</f>
        <v>274.168163020043</v>
      </c>
    </row>
    <row r="7496" customFormat="false" ht="17.15" hidden="false" customHeight="false" outlineLevel="0" collapsed="false">
      <c r="A7496" s="5" t="s">
        <v>919</v>
      </c>
      <c r="B7496" s="0" t="s">
        <v>86</v>
      </c>
      <c r="C7496" s="38" t="n">
        <f aca="false">Sens!$M$7487*(1+tg)*(1-tg/ronic)/(wacc-tg)</f>
        <v>1932.73757828664</v>
      </c>
    </row>
    <row r="7497" customFormat="false" ht="15" hidden="false" customHeight="false" outlineLevel="0" collapsed="false">
      <c r="A7497" s="5" t="s">
        <v>920</v>
      </c>
      <c r="B7497" s="0" t="s">
        <v>86</v>
      </c>
      <c r="C7497" s="38" t="n">
        <f aca="false">Sens!$C$7496/(1+wacc)^6</f>
        <v>1015.09261565031</v>
      </c>
    </row>
    <row r="7498" customFormat="false" ht="17.15" hidden="false" customHeight="false" outlineLevel="0" collapsed="false">
      <c r="A7498" s="5" t="s">
        <v>921</v>
      </c>
      <c r="B7498" s="0" t="s">
        <v>86</v>
      </c>
      <c r="C7498" s="38" t="n">
        <f aca="false">Sens!$C$7495+Sens!$C$7497</f>
        <v>1289.26077867035</v>
      </c>
    </row>
    <row r="7499" customFormat="false" ht="17.15" hidden="false" customHeight="false" outlineLevel="0" collapsed="false">
      <c r="A7499" s="5" t="s">
        <v>922</v>
      </c>
      <c r="B7499" s="0" t="s">
        <v>52</v>
      </c>
      <c r="C7499" s="13" t="n">
        <f aca="false">Sens!$C$7497/Sens!$C$7498</f>
        <v>0.787344680334726</v>
      </c>
    </row>
    <row r="7500" customFormat="false" ht="17.15" hidden="false" customHeight="false" outlineLevel="0" collapsed="false">
      <c r="A7500" s="5" t="s">
        <v>923</v>
      </c>
      <c r="B7500" s="0" t="s">
        <v>86</v>
      </c>
      <c r="C7500" s="38" t="n">
        <f aca="false">Sens!$G$7476+fin_debt</f>
        <v>96.5114130116072</v>
      </c>
    </row>
    <row r="7501" customFormat="false" ht="17.15" hidden="false" customHeight="false" outlineLevel="0" collapsed="false">
      <c r="A7501" s="5" t="s">
        <v>924</v>
      </c>
      <c r="B7501" s="0" t="s">
        <v>86</v>
      </c>
      <c r="C7501" s="38" t="n">
        <f aca="false">(ant_val*ant_sh_hi+oai_val*oai_sh)*(1-liq_disc)</f>
        <v>202.104</v>
      </c>
    </row>
    <row r="7502" customFormat="false" ht="15" hidden="false" customHeight="false" outlineLevel="0" collapsed="false">
      <c r="A7502" s="5" t="s">
        <v>925</v>
      </c>
      <c r="B7502" s="0" t="s">
        <v>86</v>
      </c>
      <c r="C7502" s="38" t="n">
        <f aca="false">Sens!$C$7498-Sens!$C$7500+Sens!$C$7501</f>
        <v>1394.85336565874</v>
      </c>
    </row>
    <row r="7503" customFormat="false" ht="17.15" hidden="false" customHeight="false" outlineLevel="0" collapsed="false">
      <c r="A7503" s="5" t="s">
        <v>926</v>
      </c>
      <c r="B7503" s="0" t="s">
        <v>27</v>
      </c>
      <c r="C7503" s="30" t="n">
        <f aca="false">Sens!$C$7502/sh_out</f>
        <v>129.316962741743</v>
      </c>
    </row>
    <row r="7504" customFormat="false" ht="17.15" hidden="false" customHeight="false" outlineLevel="0" collapsed="false">
      <c r="A7504" s="1" t="s">
        <v>927</v>
      </c>
      <c r="B7504" s="8" t="s">
        <v>27</v>
      </c>
      <c r="C7504" s="30" t="n">
        <f aca="false">Sens!$C$7503*(1+ke)^tp_yf-dps*tp_yf</f>
        <v>141.649772308026</v>
      </c>
    </row>
    <row r="7505" customFormat="false" ht="17.15" hidden="false" customHeight="false" outlineLevel="0" collapsed="false">
      <c r="A7505" s="3" t="s">
        <v>928</v>
      </c>
    </row>
    <row r="7506" customFormat="false" ht="17.15" hidden="false" customHeight="false" outlineLevel="0" collapsed="false">
      <c r="A7506" s="5" t="s">
        <v>929</v>
      </c>
      <c r="B7506" s="0" t="s">
        <v>86</v>
      </c>
      <c r="C7506" s="38" t="n">
        <f aca="false">(1-tp_yf)*(Sens!$H$7433+Sens!$H$7457*Sens!$H$7299/Sens!$H$7374)+tp_yf*(Sens!$I$7433+Sens!$I$7457*Sens!$I$7299/Sens!$I$7374)</f>
        <v>59.634664536349</v>
      </c>
    </row>
    <row r="7507" customFormat="false" ht="15" hidden="false" customHeight="false" outlineLevel="0" collapsed="false">
      <c r="A7507" s="5" t="s">
        <v>930</v>
      </c>
      <c r="B7507" s="0" t="s">
        <v>57</v>
      </c>
      <c r="C7507" s="30" t="n">
        <f aca="false">m_ads*m_x</f>
        <v>9.11</v>
      </c>
    </row>
    <row r="7508" customFormat="false" ht="17.15" hidden="false" customHeight="false" outlineLevel="0" collapsed="false">
      <c r="A7508" s="5" t="s">
        <v>931</v>
      </c>
      <c r="B7508" s="0" t="s">
        <v>86</v>
      </c>
      <c r="C7508" s="38" t="n">
        <f aca="false">Sens!$C$7506*Sens!$C$7507</f>
        <v>543.271793926139</v>
      </c>
    </row>
    <row r="7509" customFormat="false" ht="17.15" hidden="false" customHeight="false" outlineLevel="0" collapsed="false">
      <c r="A7509" s="5" t="s">
        <v>932</v>
      </c>
      <c r="B7509" s="0" t="s">
        <v>86</v>
      </c>
      <c r="C7509" s="38" t="n">
        <f aca="false">(1-tp_yf)*(Sens!$H$7434+Sens!$H$7457*(Sens!$H$7306-Sens!$H$7299)/Sens!$H$7374+IF(internal_ai_reading=2,1,0)*(1-ext_sh)*Sens!$H$7336)+tp_yf*(Sens!$I$7434+Sens!$I$7457*(Sens!$I$7306-Sens!$I$7299)/Sens!$I$7374+IF(internal_ai_reading=2,1,0)*(1-ext_sh)*Sens!$I$7336)</f>
        <v>51.7770728324773</v>
      </c>
    </row>
    <row r="7510" customFormat="false" ht="17.15" hidden="false" customHeight="false" outlineLevel="0" collapsed="false">
      <c r="A7510" s="5" t="s">
        <v>933</v>
      </c>
      <c r="B7510" s="0" t="s">
        <v>57</v>
      </c>
      <c r="C7510" s="30" t="n">
        <f aca="false">m_retail*m_x</f>
        <v>17.72</v>
      </c>
    </row>
    <row r="7511" customFormat="false" ht="17.15" hidden="false" customHeight="false" outlineLevel="0" collapsed="false">
      <c r="A7511" s="5" t="s">
        <v>934</v>
      </c>
      <c r="B7511" s="0" t="s">
        <v>86</v>
      </c>
      <c r="C7511" s="38" t="n">
        <f aca="false">Sens!$C$7509*Sens!$C$7510</f>
        <v>917.489730591498</v>
      </c>
    </row>
    <row r="7512" customFormat="false" ht="17.15" hidden="false" customHeight="false" outlineLevel="0" collapsed="false">
      <c r="A7512" s="0" t="s">
        <v>935</v>
      </c>
      <c r="B7512" s="0" t="s">
        <v>86</v>
      </c>
      <c r="C7512" s="38" t="n">
        <f aca="false">(1-tp_yf)*(Sens!$H$7435+Sens!$H$7457*Sens!$H$7372/Sens!$H$7374)+tp_yf*(Sens!$I$7435+Sens!$I$7457*Sens!$I$7372/Sens!$I$7374)</f>
        <v>97.3363031479074</v>
      </c>
    </row>
    <row r="7513" customFormat="false" ht="17.15" hidden="false" customHeight="false" outlineLevel="0" collapsed="false">
      <c r="A7513" s="0" t="s">
        <v>936</v>
      </c>
      <c r="B7513" s="0" t="s">
        <v>57</v>
      </c>
      <c r="C7513" s="30" t="n">
        <f aca="false">m_cloud*m_x</f>
        <v>13.82</v>
      </c>
    </row>
    <row r="7514" customFormat="false" ht="17.15" hidden="false" customHeight="false" outlineLevel="0" collapsed="false">
      <c r="A7514" s="0" t="s">
        <v>937</v>
      </c>
      <c r="B7514" s="0" t="s">
        <v>86</v>
      </c>
      <c r="C7514" s="38" t="n">
        <f aca="false">Sens!$C$7512*Sens!$C$7513</f>
        <v>1345.18770950408</v>
      </c>
    </row>
    <row r="7515" customFormat="false" ht="17.15" hidden="false" customHeight="false" outlineLevel="0" collapsed="false">
      <c r="A7515" s="0" t="s">
        <v>938</v>
      </c>
      <c r="B7515" s="0" t="s">
        <v>86</v>
      </c>
      <c r="H7515" s="38" t="n">
        <f aca="false">Sens!$H$7353-tax*Sens!$H$7354-ext_sh*Sens!$H$7343</f>
        <v>-114.686944664267</v>
      </c>
      <c r="I7515" s="38" t="n">
        <f aca="false">Sens!$I$7353-tax*Sens!$I$7354-ext_sh*Sens!$I$7343</f>
        <v>-88.3950641557111</v>
      </c>
      <c r="J7515" s="38" t="n">
        <f aca="false">Sens!$J$7353-tax*Sens!$J$7354-ext_sh*Sens!$J$7343</f>
        <v>-61.1526151740695</v>
      </c>
      <c r="K7515" s="38" t="n">
        <f aca="false">Sens!$K$7353-tax*Sens!$K$7354-ext_sh*Sens!$K$7343</f>
        <v>10.057774712684</v>
      </c>
      <c r="L7515" s="38" t="n">
        <f aca="false">Sens!$L$7353-tax*Sens!$L$7354-ext_sh*Sens!$L$7343</f>
        <v>46.6587675560356</v>
      </c>
      <c r="M7515" s="38" t="n">
        <f aca="false">Sens!$M$7353-tax*Sens!$M$7354-ext_sh*Sens!$M$7343</f>
        <v>55.3915455321129</v>
      </c>
    </row>
    <row r="7516" customFormat="false" ht="17.15" hidden="false" customHeight="false" outlineLevel="0" collapsed="false">
      <c r="A7516" s="5" t="s">
        <v>939</v>
      </c>
      <c r="B7516" s="0" t="s">
        <v>86</v>
      </c>
      <c r="H7516" s="38" t="n">
        <f aca="false">Sens!$H$7515*Sens!$H$7493</f>
        <v>-108.694703235934</v>
      </c>
      <c r="I7516" s="38" t="n">
        <f aca="false">Sens!$I$7515*Sens!$I$7493</f>
        <v>-75.2508153286695</v>
      </c>
      <c r="J7516" s="38" t="n">
        <f aca="false">Sens!$J$7515*Sens!$J$7493</f>
        <v>-46.761348301567</v>
      </c>
      <c r="K7516" s="38" t="n">
        <f aca="false">Sens!$K$7515*Sens!$K$7493</f>
        <v>6.90816481651338</v>
      </c>
      <c r="L7516" s="38" t="n">
        <f aca="false">Sens!$L$7515*Sens!$L$7493</f>
        <v>28.7861011080981</v>
      </c>
      <c r="M7516" s="38" t="n">
        <f aca="false">Sens!$M$7515*Sens!$M$7493</f>
        <v>30.6960053992735</v>
      </c>
    </row>
    <row r="7517" customFormat="false" ht="17.15" hidden="false" customHeight="false" outlineLevel="0" collapsed="false">
      <c r="A7517" s="5" t="s">
        <v>940</v>
      </c>
      <c r="B7517" s="0" t="s">
        <v>86</v>
      </c>
      <c r="C7517" s="38" t="n">
        <f aca="false">Sens!$M$7354*(1-tax)*(1+tg)*(1-tg/ronic)/(wacc-tg)</f>
        <v>363.621782500497</v>
      </c>
    </row>
    <row r="7518" customFormat="false" ht="17.15" hidden="false" customHeight="false" outlineLevel="0" collapsed="false">
      <c r="A7518" s="0" t="s">
        <v>941</v>
      </c>
      <c r="B7518" s="0" t="s">
        <v>86</v>
      </c>
      <c r="C7518" s="38" t="n">
        <f aca="false">(SUM(Sens!$H$7516:$M$7516)+Sens!$C$7517/(1+wacc)^6)*(1+wacc)^tp_yf</f>
        <v>29.1198269558345</v>
      </c>
    </row>
    <row r="7519" customFormat="false" ht="17.15" hidden="false" customHeight="false" outlineLevel="0" collapsed="false">
      <c r="A7519" s="5" t="s">
        <v>942</v>
      </c>
      <c r="B7519" s="0" t="s">
        <v>86</v>
      </c>
      <c r="C7519" s="38" t="n">
        <f aca="false">(1-tp_yf)*(Sens!$H$7436)+tp_yf*(Sens!$I$7436)</f>
        <v>74.6707041238437</v>
      </c>
    </row>
    <row r="7520" customFormat="false" ht="17.15" hidden="false" customHeight="false" outlineLevel="0" collapsed="false">
      <c r="A7520" s="5" t="s">
        <v>943</v>
      </c>
      <c r="B7520" s="0" t="s">
        <v>86</v>
      </c>
      <c r="C7520" s="38" t="n">
        <f aca="false">Sens!$C$7519*m_ai</f>
        <v>448.024224743062</v>
      </c>
    </row>
    <row r="7521" customFormat="false" ht="17.15" hidden="false" customHeight="false" outlineLevel="0" collapsed="false">
      <c r="A7521" s="0" t="s">
        <v>944</v>
      </c>
      <c r="B7521" s="0" t="s">
        <v>86</v>
      </c>
      <c r="C7521" s="38" t="n">
        <f aca="false">IF(ai_leg=1,Sens!$C$7518,Sens!$C$7520)</f>
        <v>29.1198269558345</v>
      </c>
    </row>
    <row r="7522" customFormat="false" ht="17.15" hidden="false" customHeight="false" outlineLevel="0" collapsed="false">
      <c r="A7522" s="5" t="s">
        <v>945</v>
      </c>
      <c r="B7522" s="0" t="s">
        <v>86</v>
      </c>
      <c r="C7522" s="38" t="n">
        <f aca="false">Sens!$C$7508+Sens!$C$7511+Sens!$C$7514+Sens!$C$7521</f>
        <v>2835.06906097755</v>
      </c>
    </row>
    <row r="7523" customFormat="false" ht="17.15" hidden="false" customHeight="false" outlineLevel="0" collapsed="false">
      <c r="A7523" s="5" t="s">
        <v>946</v>
      </c>
      <c r="B7523" s="0" t="s">
        <v>86</v>
      </c>
      <c r="C7523" s="38" t="n">
        <f aca="false">Sens!$H$7476+fin_debt</f>
        <v>150.504277655109</v>
      </c>
    </row>
    <row r="7524" customFormat="false" ht="15" hidden="false" customHeight="false" outlineLevel="0" collapsed="false">
      <c r="A7524" s="5" t="s">
        <v>947</v>
      </c>
      <c r="B7524" s="0" t="s">
        <v>86</v>
      </c>
      <c r="C7524" s="38" t="n">
        <f aca="false">Sens!$C$7522-Sens!$C$7523+Sens!$C$7501</f>
        <v>2886.66878332244</v>
      </c>
    </row>
    <row r="7525" customFormat="false" ht="15" hidden="false" customHeight="false" outlineLevel="0" collapsed="false">
      <c r="A7525" s="3" t="s">
        <v>948</v>
      </c>
      <c r="B7525" s="8" t="s">
        <v>27</v>
      </c>
      <c r="C7525" s="30" t="n">
        <f aca="false">Sens!$C$7524/sh_val</f>
        <v>261.703228332615</v>
      </c>
    </row>
    <row r="7526" customFormat="false" ht="17.15" hidden="false" customHeight="false" outlineLevel="0" collapsed="false">
      <c r="A7526" s="47" t="s">
        <v>949</v>
      </c>
      <c r="B7526" s="14" t="s">
        <v>27</v>
      </c>
      <c r="C7526" s="44" t="n">
        <f aca="false">w_dcf*Sens!$C$7504+(1-w_dcf)*Sens!$C$7525</f>
        <v>201.676500320321</v>
      </c>
      <c r="D7526" s="14"/>
      <c r="E7526" s="14"/>
      <c r="F7526" s="14"/>
      <c r="G7526" s="14"/>
      <c r="H7526" s="14"/>
      <c r="I7526" s="14"/>
      <c r="J7526" s="14"/>
      <c r="K7526" s="14"/>
      <c r="L7526" s="14"/>
      <c r="M7526" s="14"/>
      <c r="N7526" s="14"/>
      <c r="O7526" s="14"/>
    </row>
    <row r="7527" customFormat="false" ht="17.15" hidden="false" customHeight="false" outlineLevel="0" collapsed="false">
      <c r="A7527" s="5" t="s">
        <v>950</v>
      </c>
      <c r="B7527" s="0" t="s">
        <v>27</v>
      </c>
      <c r="C7527" s="30" t="n">
        <f aca="false">v022_wdcf*Sens!$C$7504+(1-v022_wdcf)*Sens!$C$7525</f>
        <v>207.67917312155</v>
      </c>
    </row>
    <row r="7528" customFormat="false" ht="17.15" hidden="false" customHeight="false" outlineLevel="0" collapsed="false">
      <c r="A7528" s="5" t="s">
        <v>951</v>
      </c>
      <c r="B7528" s="0" t="s">
        <v>27</v>
      </c>
      <c r="C7528" s="30" t="n">
        <f aca="false">(Sens!$C$7524-Sens!$C$7521+Sens!$C$7520)/sh_val</f>
        <v>299.680787066413</v>
      </c>
    </row>
    <row r="7531" customFormat="false" ht="19.4" hidden="false" customHeight="false" outlineLevel="0" collapsed="false">
      <c r="A7531" s="31" t="s">
        <v>1282</v>
      </c>
    </row>
    <row r="7532" customFormat="false" ht="17.15" hidden="false" customHeight="false" outlineLevel="0" collapsed="false">
      <c r="A7532" s="6" t="s">
        <v>16</v>
      </c>
      <c r="B7532" s="6" t="s">
        <v>17</v>
      </c>
      <c r="C7532" s="20" t="s">
        <v>494</v>
      </c>
      <c r="D7532" s="20" t="s">
        <v>495</v>
      </c>
      <c r="E7532" s="20" t="s">
        <v>577</v>
      </c>
      <c r="F7532" s="20" t="s">
        <v>578</v>
      </c>
      <c r="G7532" s="20" t="s">
        <v>579</v>
      </c>
      <c r="H7532" s="20" t="s">
        <v>580</v>
      </c>
      <c r="I7532" s="20" t="s">
        <v>581</v>
      </c>
      <c r="J7532" s="20" t="s">
        <v>582</v>
      </c>
      <c r="K7532" s="20" t="s">
        <v>583</v>
      </c>
      <c r="L7532" s="20" t="s">
        <v>584</v>
      </c>
      <c r="M7532" s="20" t="s">
        <v>585</v>
      </c>
      <c r="N7532" s="20" t="s">
        <v>586</v>
      </c>
      <c r="O7532" s="20" t="s">
        <v>587</v>
      </c>
      <c r="P7532" s="6" t="s">
        <v>23</v>
      </c>
      <c r="R7532" s="20" t="n">
        <v>2023</v>
      </c>
      <c r="S7532" s="20" t="n">
        <v>2024</v>
      </c>
      <c r="T7532" s="20" t="n">
        <v>2025</v>
      </c>
      <c r="U7532" s="20" t="n">
        <v>2026</v>
      </c>
      <c r="V7532" s="20" t="n">
        <v>2027</v>
      </c>
      <c r="W7532" s="20" t="n">
        <v>2028</v>
      </c>
      <c r="X7532" s="20" t="n">
        <v>2029</v>
      </c>
      <c r="Y7532" s="20" t="n">
        <v>2030</v>
      </c>
      <c r="Z7532" s="20" t="n">
        <v>2031</v>
      </c>
      <c r="AA7532" s="20" t="n">
        <v>2032</v>
      </c>
    </row>
    <row r="7533" customFormat="false" ht="17.15" hidden="false" customHeight="false" outlineLevel="0" collapsed="false">
      <c r="A7533" s="1" t="s">
        <v>660</v>
      </c>
    </row>
    <row r="7534" customFormat="false" ht="17.15" hidden="false" customHeight="false" outlineLevel="0" collapsed="false">
      <c r="A7534" s="0" t="s">
        <v>516</v>
      </c>
      <c r="B7534" s="0" t="s">
        <v>86</v>
      </c>
      <c r="C7534" s="38" t="n">
        <f aca="false">Q!$D$10</f>
        <v>247.029</v>
      </c>
      <c r="D7534" s="38" t="n">
        <f aca="false">Q!$E$10</f>
        <v>269.287</v>
      </c>
      <c r="E7534" s="38" t="n">
        <f aca="false">Q!$P$10</f>
        <v>134.686</v>
      </c>
      <c r="F7534" s="38" t="n">
        <f aca="false">Sens!$O$7534*(1+Sens!$F$7535)*Sens!$F$7546</f>
        <v>158.293876822267</v>
      </c>
      <c r="G7534" s="38" t="n">
        <f aca="false">Sens!$E$7534+Sens!$F$7534</f>
        <v>292.979876822267</v>
      </c>
      <c r="H7534" s="38" t="n">
        <f aca="false">Sens!$G$7534*(1+Sens!$H$7535)</f>
        <v>318.184543087396</v>
      </c>
      <c r="I7534" s="38" t="n">
        <f aca="false">Sens!$H$7534*(1+Sens!$I$7535)</f>
        <v>341.736278761793</v>
      </c>
      <c r="J7534" s="38" t="n">
        <f aca="false">Sens!$I$7534*(1+Sens!$J$7535)</f>
        <v>362.927192787048</v>
      </c>
      <c r="K7534" s="38" t="n">
        <f aca="false">Sens!$J$7534*(1+Sens!$K$7535)</f>
        <v>381.0735524264</v>
      </c>
      <c r="L7534" s="38" t="n">
        <f aca="false">Sens!$K$7534*(1+Sens!$L$7535)</f>
        <v>400.12723004772</v>
      </c>
      <c r="M7534" s="38" t="n">
        <f aca="false">Sens!$L$7534*(1+Sens!$M$7535)</f>
        <v>420.133591550106</v>
      </c>
      <c r="N7534" s="38" t="n">
        <f aca="false">Q!$N$10</f>
        <v>118.892</v>
      </c>
      <c r="O7534" s="38" t="n">
        <f aca="false">Q!$O$10</f>
        <v>150.395</v>
      </c>
      <c r="P7534" s="8" t="s">
        <v>661</v>
      </c>
    </row>
    <row r="7535" customFormat="false" ht="17.15" hidden="false" customHeight="false" outlineLevel="0" collapsed="false">
      <c r="A7535" s="0" t="s">
        <v>662</v>
      </c>
      <c r="B7535" s="0" t="s">
        <v>52</v>
      </c>
      <c r="E7535" s="13" t="n">
        <f aca="false">Sens!$E$7534/Sens!$N$7534-1</f>
        <v>0.132843252699929</v>
      </c>
      <c r="F7535" s="13" t="n">
        <f aca="false">Sens!$O$7534/(Q!$F$10+Q!$G$10)-1</f>
        <v>0.0980382135842941</v>
      </c>
      <c r="G7535" s="13" t="n">
        <f aca="false">Sens!$G$7534/Sens!$D$7534-1</f>
        <v>0.0879837378791657</v>
      </c>
      <c r="H7535" s="13" t="n">
        <f aca="false">Sens!$F$7535+(g_os-Sens!$F$7535)*1/4</f>
        <v>0.0860286601882206</v>
      </c>
      <c r="I7535" s="13" t="n">
        <f aca="false">Sens!$F$7535+(g_os-Sens!$F$7535)*2/4</f>
        <v>0.074019106792147</v>
      </c>
      <c r="J7535" s="13" t="n">
        <f aca="false">Sens!$F$7535+(g_os-Sens!$F$7535)*3/4</f>
        <v>0.0620095533960735</v>
      </c>
      <c r="K7535" s="13" t="n">
        <f aca="false">Sens!$F$7535+(g_os-Sens!$F$7535)*4/4</f>
        <v>0.05</v>
      </c>
      <c r="L7535" s="13" t="n">
        <f aca="false">g_os</f>
        <v>0.05</v>
      </c>
      <c r="M7535" s="13" t="n">
        <f aca="false">g_os</f>
        <v>0.05</v>
      </c>
      <c r="P7535" s="8" t="s">
        <v>663</v>
      </c>
    </row>
    <row r="7536" customFormat="false" ht="17.15" hidden="false" customHeight="false" outlineLevel="0" collapsed="false">
      <c r="A7536" s="0" t="s">
        <v>517</v>
      </c>
      <c r="B7536" s="0" t="s">
        <v>86</v>
      </c>
      <c r="C7536" s="38" t="n">
        <f aca="false">Q!$D$11</f>
        <v>21.215</v>
      </c>
      <c r="D7536" s="38" t="n">
        <f aca="false">Q!$E$11</f>
        <v>22.561</v>
      </c>
      <c r="E7536" s="38" t="n">
        <f aca="false">Q!$P$11</f>
        <v>11.579</v>
      </c>
      <c r="F7536" s="38" t="n">
        <f aca="false">Sens!$O$7536*(1+Sens!$F$7537)*Sens!$F$7546</f>
        <v>11.5938724610325</v>
      </c>
      <c r="G7536" s="38" t="n">
        <f aca="false">Sens!$E$7536+Sens!$F$7536</f>
        <v>23.1728724610325</v>
      </c>
      <c r="H7536" s="38" t="n">
        <f aca="false">Sens!$G$7536*(1+Sens!$H$7537)</f>
        <v>24.353392759506</v>
      </c>
      <c r="I7536" s="38" t="n">
        <f aca="false">Sens!$H$7536*(1+Sens!$I$7537)</f>
        <v>25.4240338872015</v>
      </c>
      <c r="J7536" s="38" t="n">
        <f aca="false">Sens!$I$7536*(1+Sens!$J$7537)</f>
        <v>26.3642491017174</v>
      </c>
      <c r="K7536" s="38" t="n">
        <f aca="false">Sens!$J$7536*(1+Sens!$K$7537)</f>
        <v>27.155176574769</v>
      </c>
      <c r="L7536" s="38" t="n">
        <f aca="false">Sens!$K$7536*(1+Sens!$L$7537)</f>
        <v>27.969831872012</v>
      </c>
      <c r="M7536" s="38" t="n">
        <f aca="false">Sens!$L$7536*(1+Sens!$M$7537)</f>
        <v>28.8089268281724</v>
      </c>
      <c r="N7536" s="38" t="n">
        <f aca="false">Q!$N$11</f>
        <v>11.128</v>
      </c>
      <c r="O7536" s="38" t="n">
        <f aca="false">Q!$O$11</f>
        <v>11.433</v>
      </c>
      <c r="P7536" s="8" t="s">
        <v>661</v>
      </c>
    </row>
    <row r="7537" customFormat="false" ht="17.15" hidden="false" customHeight="false" outlineLevel="0" collapsed="false">
      <c r="A7537" s="0" t="s">
        <v>664</v>
      </c>
      <c r="B7537" s="0" t="s">
        <v>52</v>
      </c>
      <c r="E7537" s="13" t="n">
        <f aca="false">Sens!$E$7536/Sens!$N$7536-1</f>
        <v>0.0405283968368082</v>
      </c>
      <c r="F7537" s="13" t="n">
        <f aca="false">Sens!$O$7536/(Q!$F$11+Q!$G$11)-1</f>
        <v>0.0579254187100955</v>
      </c>
      <c r="G7537" s="13" t="n">
        <f aca="false">Sens!$G$7536/Sens!$D$7536-1</f>
        <v>0.0271208040881397</v>
      </c>
      <c r="H7537" s="13" t="n">
        <f aca="false">Sens!$F$7537+(g_ps-Sens!$F$7537)*1/4</f>
        <v>0.0509440640325716</v>
      </c>
      <c r="I7537" s="13" t="n">
        <f aca="false">Sens!$F$7537+(g_ps-Sens!$F$7537)*2/4</f>
        <v>0.0439627093550477</v>
      </c>
      <c r="J7537" s="13" t="n">
        <f aca="false">Sens!$F$7537+(g_ps-Sens!$F$7537)*3/4</f>
        <v>0.0369813546775239</v>
      </c>
      <c r="K7537" s="13" t="n">
        <f aca="false">Sens!$F$7537+(g_ps-Sens!$F$7537)*4/4</f>
        <v>0.03</v>
      </c>
      <c r="L7537" s="13" t="n">
        <f aca="false">g_ps</f>
        <v>0.03</v>
      </c>
      <c r="M7537" s="13" t="n">
        <f aca="false">g_ps</f>
        <v>0.03</v>
      </c>
      <c r="P7537" s="8" t="s">
        <v>665</v>
      </c>
    </row>
    <row r="7538" customFormat="false" ht="17.15" hidden="false" customHeight="false" outlineLevel="0" collapsed="false">
      <c r="A7538" s="0" t="s">
        <v>518</v>
      </c>
      <c r="B7538" s="0" t="s">
        <v>86</v>
      </c>
      <c r="C7538" s="38" t="n">
        <f aca="false">Q!$D$12</f>
        <v>156.146</v>
      </c>
      <c r="D7538" s="38" t="n">
        <f aca="false">Q!$E$12</f>
        <v>172.162</v>
      </c>
      <c r="E7538" s="38" t="n">
        <f aca="false">Q!$P$12</f>
        <v>88.358</v>
      </c>
      <c r="F7538" s="38" t="n">
        <f aca="false">Sens!$O$7538*(1+Sens!$F$7539)*Sens!$F$7546</f>
        <v>102.004388260171</v>
      </c>
      <c r="G7538" s="38" t="n">
        <f aca="false">Sens!$E$7538+Sens!$F$7538</f>
        <v>190.362388260171</v>
      </c>
      <c r="H7538" s="38" t="n">
        <f aca="false">Sens!$G$7538*(1+Sens!$H$7539)</f>
        <v>210.343106588311</v>
      </c>
      <c r="I7538" s="38" t="n">
        <f aca="false">Sens!$H$7538*(1+Sens!$I$7539)</f>
        <v>229.969728494648</v>
      </c>
      <c r="J7538" s="38" t="n">
        <f aca="false">Sens!$I$7538*(1+Sens!$J$7539)</f>
        <v>248.747636972598</v>
      </c>
      <c r="K7538" s="38" t="n">
        <f aca="false">Sens!$J$7538*(1+Sens!$K$7539)</f>
        <v>266.15997156068</v>
      </c>
      <c r="L7538" s="38" t="n">
        <f aca="false">Sens!$K$7538*(1+Sens!$L$7539)</f>
        <v>284.791169569927</v>
      </c>
      <c r="M7538" s="38" t="n">
        <f aca="false">Sens!$L$7538*(1+Sens!$M$7539)</f>
        <v>304.726551439822</v>
      </c>
      <c r="N7538" s="38" t="n">
        <f aca="false">Q!$N$12</f>
        <v>76.86</v>
      </c>
      <c r="O7538" s="38" t="n">
        <f aca="false">Q!$O$12</f>
        <v>95.302</v>
      </c>
      <c r="P7538" s="8" t="s">
        <v>661</v>
      </c>
    </row>
    <row r="7539" customFormat="false" ht="17.15" hidden="false" customHeight="false" outlineLevel="0" collapsed="false">
      <c r="A7539" s="0" t="s">
        <v>666</v>
      </c>
      <c r="B7539" s="0" t="s">
        <v>52</v>
      </c>
      <c r="E7539" s="13" t="n">
        <f aca="false">Sens!$E$7538/Sens!$N$7538-1</f>
        <v>0.1495966692688</v>
      </c>
      <c r="F7539" s="13" t="n">
        <f aca="false">Sens!$O$7538/(Q!$F$12+Q!$G$12)-1</f>
        <v>0.11661530890813</v>
      </c>
      <c r="G7539" s="13" t="n">
        <f aca="false">Sens!$G$7538/Sens!$D$7538-1</f>
        <v>0.105716640490767</v>
      </c>
      <c r="H7539" s="13" t="n">
        <f aca="false">Sens!$F$7539+(g_sp-Sens!$F$7539)*1/4</f>
        <v>0.104961481681098</v>
      </c>
      <c r="I7539" s="13" t="n">
        <f aca="false">Sens!$F$7539+(g_sp-Sens!$F$7539)*2/4</f>
        <v>0.0933076544540651</v>
      </c>
      <c r="J7539" s="13" t="n">
        <f aca="false">Sens!$F$7539+(g_sp-Sens!$F$7539)*3/4</f>
        <v>0.0816538272270325</v>
      </c>
      <c r="K7539" s="13" t="n">
        <f aca="false">Sens!$F$7539+(g_sp-Sens!$F$7539)*4/4</f>
        <v>0.07</v>
      </c>
      <c r="L7539" s="13" t="n">
        <f aca="false">g_sp</f>
        <v>0.07</v>
      </c>
      <c r="M7539" s="13" t="n">
        <f aca="false">g_sp</f>
        <v>0.07</v>
      </c>
      <c r="P7539" s="8" t="s">
        <v>667</v>
      </c>
    </row>
    <row r="7540" customFormat="false" ht="17.15" hidden="false" customHeight="false" outlineLevel="0" collapsed="false">
      <c r="A7540" s="0" t="s">
        <v>519</v>
      </c>
      <c r="B7540" s="0" t="s">
        <v>86</v>
      </c>
      <c r="C7540" s="38" t="n">
        <f aca="false">Q!$D$13</f>
        <v>56.214</v>
      </c>
      <c r="D7540" s="38" t="n">
        <f aca="false">Q!$E$13</f>
        <v>68.635</v>
      </c>
      <c r="E7540" s="38" t="n">
        <f aca="false">Q!$P$13</f>
        <v>37.052</v>
      </c>
      <c r="F7540" s="38" t="n">
        <f aca="false">Sens!$O$7540*(1+Sens!$F$7541)*Sens!$F$7546</f>
        <v>46.1572219944148</v>
      </c>
      <c r="G7540" s="38" t="n">
        <f aca="false">Sens!$E$7540+Sens!$F$7540</f>
        <v>83.2092219944148</v>
      </c>
      <c r="H7540" s="38" t="n">
        <f aca="false">Sens!$G$7540*(1+Sens!$H$7541)</f>
        <v>99.8969223878976</v>
      </c>
      <c r="I7540" s="38" t="n">
        <f aca="false">Sens!$H$7540*(1+Sens!$I$7541)</f>
        <v>116.583111095496</v>
      </c>
      <c r="J7540" s="38" t="n">
        <f aca="false">Sens!$I$7540*(1+Sens!$J$7541)</f>
        <v>132.148941941952</v>
      </c>
      <c r="K7540" s="38" t="n">
        <f aca="false">Sens!$J$7540*(1+Sens!$K$7541)</f>
        <v>145.363836136147</v>
      </c>
      <c r="L7540" s="38" t="n">
        <f aca="false">Sens!$K$7540*(1+Sens!$L$7541)</f>
        <v>159.900219749762</v>
      </c>
      <c r="M7540" s="38" t="n">
        <f aca="false">Sens!$L$7540*(1+Sens!$M$7541)</f>
        <v>175.890241724738</v>
      </c>
      <c r="N7540" s="38" t="n">
        <f aca="false">Q!$N$13</f>
        <v>29.615</v>
      </c>
      <c r="O7540" s="38" t="n">
        <f aca="false">Q!$O$13</f>
        <v>39.02</v>
      </c>
      <c r="P7540" s="8" t="s">
        <v>661</v>
      </c>
    </row>
    <row r="7541" customFormat="false" ht="17.15" hidden="false" customHeight="false" outlineLevel="0" collapsed="false">
      <c r="A7541" s="0" t="s">
        <v>668</v>
      </c>
      <c r="B7541" s="0" t="s">
        <v>52</v>
      </c>
      <c r="E7541" s="13" t="n">
        <f aca="false">Sens!$E$7540/Sens!$N$7540-1</f>
        <v>0.25112274185379</v>
      </c>
      <c r="F7541" s="13" t="n">
        <f aca="false">Sens!$O$7540/(Q!$F$13+Q!$G$13)-1</f>
        <v>0.234068123596572</v>
      </c>
      <c r="G7541" s="13" t="n">
        <f aca="false">Sens!$G$7540/Sens!$D$7540-1</f>
        <v>0.212343876949294</v>
      </c>
      <c r="H7541" s="13" t="n">
        <f aca="false">Sens!$F$7541+(g_ad-Sens!$F$7541)*1/4</f>
        <v>0.200551092697429</v>
      </c>
      <c r="I7541" s="13" t="n">
        <f aca="false">Sens!$F$7541+(g_ad-Sens!$F$7541)*2/4</f>
        <v>0.167034061798286</v>
      </c>
      <c r="J7541" s="13" t="n">
        <f aca="false">Sens!$F$7541+(g_ad-Sens!$F$7541)*3/4</f>
        <v>0.133517030899143</v>
      </c>
      <c r="K7541" s="13" t="n">
        <f aca="false">Sens!$F$7541+(g_ad-Sens!$F$7541)*4/4</f>
        <v>0.1</v>
      </c>
      <c r="L7541" s="13" t="n">
        <f aca="false">g_ad</f>
        <v>0.1</v>
      </c>
      <c r="M7541" s="13" t="n">
        <f aca="false">g_ad</f>
        <v>0.1</v>
      </c>
      <c r="P7541" s="8" t="s">
        <v>669</v>
      </c>
    </row>
    <row r="7542" customFormat="false" ht="17.15" hidden="false" customHeight="false" outlineLevel="0" collapsed="false">
      <c r="A7542" s="0" t="s">
        <v>520</v>
      </c>
      <c r="B7542" s="0" t="s">
        <v>86</v>
      </c>
      <c r="C7542" s="38" t="n">
        <f aca="false">Q!$D$14</f>
        <v>44.374</v>
      </c>
      <c r="D7542" s="38" t="n">
        <f aca="false">Q!$E$14</f>
        <v>49.619</v>
      </c>
      <c r="E7542" s="38" t="n">
        <f aca="false">Q!$P$14</f>
        <v>27.157</v>
      </c>
      <c r="F7542" s="38" t="n">
        <f aca="false">Sens!$O$7542*(1+Sens!$F$7543)*Sens!$F$7546</f>
        <v>27.7764165988154</v>
      </c>
      <c r="G7542" s="38" t="n">
        <f aca="false">Sens!$E$7542+Sens!$F$7542</f>
        <v>54.9334165988154</v>
      </c>
      <c r="H7542" s="38" t="n">
        <f aca="false">Sens!$G$7542*(1+Sens!$H$7543)</f>
        <v>61.1564112561829</v>
      </c>
      <c r="I7542" s="38" t="n">
        <f aca="false">Sens!$H$7542*(1+Sens!$I$7543)</f>
        <v>67.2020282103945</v>
      </c>
      <c r="J7542" s="38" t="n">
        <f aca="false">Sens!$I$7542*(1+Sens!$J$7543)</f>
        <v>72.8757274028885</v>
      </c>
      <c r="K7542" s="38" t="n">
        <f aca="false">Sens!$J$7542*(1+Sens!$K$7543)</f>
        <v>77.9770283210907</v>
      </c>
      <c r="L7542" s="38" t="n">
        <f aca="false">Sens!$K$7542*(1+Sens!$L$7543)</f>
        <v>83.4354203035671</v>
      </c>
      <c r="M7542" s="38" t="n">
        <f aca="false">Sens!$L$7542*(1+Sens!$M$7543)</f>
        <v>89.2758997248168</v>
      </c>
      <c r="N7542" s="38" t="n">
        <f aca="false">Q!$N$14</f>
        <v>23.923</v>
      </c>
      <c r="O7542" s="38" t="n">
        <f aca="false">Q!$O$14</f>
        <v>25.696</v>
      </c>
      <c r="P7542" s="8" t="s">
        <v>661</v>
      </c>
    </row>
    <row r="7543" customFormat="false" ht="17.15" hidden="false" customHeight="false" outlineLevel="0" collapsed="false">
      <c r="A7543" s="0" t="s">
        <v>670</v>
      </c>
      <c r="B7543" s="0" t="s">
        <v>52</v>
      </c>
      <c r="E7543" s="13" t="n">
        <f aca="false">Sens!$E$7542/Sens!$N$7542-1</f>
        <v>0.135183714417088</v>
      </c>
      <c r="F7543" s="13" t="n">
        <f aca="false">Sens!$O$7542/(Q!$F$14+Q!$G$14)-1</f>
        <v>0.127709997366804</v>
      </c>
      <c r="G7543" s="13" t="n">
        <f aca="false">Sens!$G$7542/Sens!$D$7542-1</f>
        <v>0.107104468022641</v>
      </c>
      <c r="H7543" s="13" t="n">
        <f aca="false">Sens!$F$7543+(g_sub-Sens!$F$7543)*1/4</f>
        <v>0.113282498025103</v>
      </c>
      <c r="I7543" s="13" t="n">
        <f aca="false">Sens!$F$7543+(g_sub-Sens!$F$7543)*2/4</f>
        <v>0.0988549986834021</v>
      </c>
      <c r="J7543" s="13" t="n">
        <f aca="false">Sens!$F$7543+(g_sub-Sens!$F$7543)*3/4</f>
        <v>0.084427499341701</v>
      </c>
      <c r="K7543" s="13" t="n">
        <f aca="false">Sens!$F$7543+(g_sub-Sens!$F$7543)*4/4</f>
        <v>0.07</v>
      </c>
      <c r="L7543" s="13" t="n">
        <f aca="false">g_sub</f>
        <v>0.07</v>
      </c>
      <c r="M7543" s="13" t="n">
        <f aca="false">g_sub</f>
        <v>0.07</v>
      </c>
      <c r="P7543" s="8" t="s">
        <v>671</v>
      </c>
    </row>
    <row r="7544" customFormat="false" ht="17.15" hidden="false" customHeight="false" outlineLevel="0" collapsed="false">
      <c r="A7544" s="0" t="s">
        <v>521</v>
      </c>
      <c r="B7544" s="0" t="s">
        <v>86</v>
      </c>
      <c r="C7544" s="38" t="n">
        <f aca="false">Q!$D$15</f>
        <v>5.425</v>
      </c>
      <c r="D7544" s="38" t="n">
        <f aca="false">Q!$E$15</f>
        <v>5.935</v>
      </c>
      <c r="E7544" s="38" t="n">
        <f aca="false">Q!$P$15</f>
        <v>3.474</v>
      </c>
      <c r="F7544" s="38" t="n">
        <f aca="false">Sens!$O$7544*(1+Sens!$F$7545)*Sens!$F$7546</f>
        <v>3.22246550883619</v>
      </c>
      <c r="G7544" s="38" t="n">
        <f aca="false">Sens!$E$7544+Sens!$F$7544</f>
        <v>6.69646550883619</v>
      </c>
      <c r="H7544" s="38" t="n">
        <f aca="false">Sens!$G$7544*(1+Sens!$H$7545)</f>
        <v>7.16251344209196</v>
      </c>
      <c r="I7544" s="38" t="n">
        <f aca="false">Sens!$H$7544*(1+Sens!$I$7545)</f>
        <v>7.61421070299826</v>
      </c>
      <c r="J7544" s="38" t="n">
        <f aca="false">Sens!$I$7544*(1+Sens!$J$7545)</f>
        <v>8.04465753523932</v>
      </c>
      <c r="K7544" s="38" t="n">
        <f aca="false">Sens!$J$7544*(1+Sens!$K$7545)</f>
        <v>8.44689041200128</v>
      </c>
      <c r="L7544" s="38" t="n">
        <f aca="false">Sens!$K$7544*(1+Sens!$L$7545)</f>
        <v>8.86923493260135</v>
      </c>
      <c r="M7544" s="38" t="n">
        <f aca="false">Sens!$L$7544*(1+Sens!$M$7545)</f>
        <v>9.31269667923142</v>
      </c>
      <c r="N7544" s="38" t="n">
        <f aca="false">Q!$N$15</f>
        <v>2.811</v>
      </c>
      <c r="O7544" s="38" t="n">
        <f aca="false">Q!$O$15</f>
        <v>3.124</v>
      </c>
      <c r="P7544" s="8" t="s">
        <v>661</v>
      </c>
    </row>
    <row r="7545" customFormat="false" ht="17.15" hidden="false" customHeight="false" outlineLevel="0" collapsed="false">
      <c r="A7545" s="0" t="s">
        <v>672</v>
      </c>
      <c r="B7545" s="0" t="s">
        <v>52</v>
      </c>
      <c r="E7545" s="13" t="n">
        <f aca="false">Sens!$E$7544/Sens!$N$7544-1</f>
        <v>0.235859124866596</v>
      </c>
      <c r="F7545" s="13" t="n">
        <f aca="false">Sens!$O$7544/(Q!$F$15+Q!$G$15)-1</f>
        <v>0.0761281433000345</v>
      </c>
      <c r="G7545" s="13" t="n">
        <f aca="false">Sens!$G$7544/Sens!$D$7544-1</f>
        <v>0.128300843948811</v>
      </c>
      <c r="H7545" s="13" t="n">
        <f aca="false">Sens!$F$7545+(g_ot-Sens!$F$7545)*1/4</f>
        <v>0.0695961074750259</v>
      </c>
      <c r="I7545" s="13" t="n">
        <f aca="false">Sens!$F$7545+(g_ot-Sens!$F$7545)*2/4</f>
        <v>0.0630640716500172</v>
      </c>
      <c r="J7545" s="13" t="n">
        <f aca="false">Sens!$F$7545+(g_ot-Sens!$F$7545)*3/4</f>
        <v>0.0565320358250086</v>
      </c>
      <c r="K7545" s="13" t="n">
        <f aca="false">Sens!$F$7545+(g_ot-Sens!$F$7545)*4/4</f>
        <v>0.05</v>
      </c>
      <c r="L7545" s="13" t="n">
        <f aca="false">g_ot</f>
        <v>0.05</v>
      </c>
      <c r="M7545" s="13" t="n">
        <f aca="false">g_ot</f>
        <v>0.05</v>
      </c>
      <c r="P7545" s="8" t="s">
        <v>673</v>
      </c>
    </row>
    <row r="7546" customFormat="false" ht="17.15" hidden="false" customHeight="false" outlineLevel="0" collapsed="false">
      <c r="A7546" s="0" t="s">
        <v>674</v>
      </c>
      <c r="B7546" s="0" t="s">
        <v>57</v>
      </c>
      <c r="F7546" s="40" t="n">
        <f aca="false">(g26q3_mid*Q!$O$8/Q!$J$8-Sens!$F$7575-Sens!$F$7579)/(Sens!$O$7534*(1+Sens!$F$7535)+Sens!$O$7536*(1+Sens!$F$7537)+Sens!$O$7538*(1+Sens!$F$7539)+Sens!$O$7540*(1+Sens!$F$7541)+Sens!$O$7542*(1+Sens!$F$7543)+Sens!$O$7544*(1+Sens!$F$7545))</f>
        <v>0.958546670622329</v>
      </c>
      <c r="P7546" s="8" t="s">
        <v>675</v>
      </c>
    </row>
    <row r="7547" customFormat="false" ht="17.15" hidden="false" customHeight="false" outlineLevel="0" collapsed="false">
      <c r="A7547" s="3" t="s">
        <v>676</v>
      </c>
      <c r="B7547" s="8" t="s">
        <v>86</v>
      </c>
      <c r="C7547" s="38" t="n">
        <f aca="false">Sens!$C$7534+Sens!$C$7536+Sens!$C$7538+Sens!$C$7540+Sens!$C$7542+Sens!$C$7544</f>
        <v>530.403</v>
      </c>
      <c r="D7547" s="38" t="n">
        <f aca="false">Sens!$D$7534+Sens!$D$7536+Sens!$D$7538+Sens!$D$7540+Sens!$D$7542+Sens!$D$7544</f>
        <v>588.199</v>
      </c>
      <c r="E7547" s="38" t="n">
        <f aca="false">Sens!$E$7534+Sens!$E$7536+Sens!$E$7538+Sens!$E$7540+Sens!$E$7542+Sens!$E$7544</f>
        <v>302.306</v>
      </c>
      <c r="F7547" s="38" t="n">
        <f aca="false">Sens!$F$7534+Sens!$F$7536+Sens!$F$7538+Sens!$F$7540+Sens!$F$7542+Sens!$F$7544</f>
        <v>349.048241645537</v>
      </c>
      <c r="G7547" s="38" t="n">
        <f aca="false">Sens!$G$7534+Sens!$G$7536+Sens!$G$7538+Sens!$G$7540+Sens!$G$7542+Sens!$G$7544</f>
        <v>651.354241645537</v>
      </c>
      <c r="H7547" s="38" t="n">
        <f aca="false">Sens!$H$7534+Sens!$H$7536+Sens!$H$7538+Sens!$H$7540+Sens!$H$7542+Sens!$H$7544</f>
        <v>721.096889521386</v>
      </c>
      <c r="I7547" s="38" t="n">
        <f aca="false">Sens!$I$7534+Sens!$I$7536+Sens!$I$7538+Sens!$I$7540+Sens!$I$7542+Sens!$I$7544</f>
        <v>788.529391152531</v>
      </c>
      <c r="J7547" s="38" t="n">
        <f aca="false">Sens!$J$7534+Sens!$J$7536+Sens!$J$7538+Sens!$J$7540+Sens!$J$7542+Sens!$J$7544</f>
        <v>851.108405741443</v>
      </c>
      <c r="K7547" s="38" t="n">
        <f aca="false">Sens!$K$7534+Sens!$K$7536+Sens!$K$7538+Sens!$K$7540+Sens!$K$7542+Sens!$K$7544</f>
        <v>906.176455431088</v>
      </c>
      <c r="L7547" s="38" t="n">
        <f aca="false">Sens!$L$7534+Sens!$L$7536+Sens!$L$7538+Sens!$L$7540+Sens!$L$7542+Sens!$L$7544</f>
        <v>965.093106475589</v>
      </c>
      <c r="M7547" s="38" t="n">
        <f aca="false">Sens!$M$7534+Sens!$M$7536+Sens!$M$7538+Sens!$M$7540+Sens!$M$7542+Sens!$M$7544</f>
        <v>1028.14790794689</v>
      </c>
      <c r="N7547" s="38" t="n">
        <f aca="false">Sens!$N$7534+Sens!$N$7536+Sens!$N$7538+Sens!$N$7540+Sens!$N$7542+Sens!$N$7544</f>
        <v>263.229</v>
      </c>
      <c r="O7547" s="38" t="n">
        <f aca="false">Sens!$O$7534+Sens!$O$7536+Sens!$O$7538+Sens!$O$7540+Sens!$O$7542+Sens!$O$7544</f>
        <v>324.97</v>
      </c>
    </row>
    <row r="7548" customFormat="false" ht="17.15" hidden="false" customHeight="false" outlineLevel="0" collapsed="false">
      <c r="A7548" s="5" t="s">
        <v>677</v>
      </c>
      <c r="B7548" s="0" t="s">
        <v>52</v>
      </c>
      <c r="C7548" s="13" t="n">
        <f aca="false">Q!$D$5/(Q!$D$5+Q!$D$6)</f>
        <v>0.730570905519011</v>
      </c>
      <c r="D7548" s="13" t="n">
        <f aca="false">Q!$E$5/(Q!$E$5+Q!$E$6)</f>
        <v>0.724763217890544</v>
      </c>
      <c r="E7548" s="13" t="n">
        <f aca="false">Q!$P$5/(Q!$P$5+Q!$P$6)</f>
        <v>0.728797972914861</v>
      </c>
      <c r="F7548" s="13" t="n">
        <f aca="false">Sens!$O$7548</f>
        <v>0.718066283041511</v>
      </c>
      <c r="G7548" s="13" t="n">
        <f aca="false">Sens!$G$7549/Sens!$G$7547</f>
        <v>0.723047066202847</v>
      </c>
      <c r="H7548" s="13" t="n">
        <f aca="false">Sens!$G$7548</f>
        <v>0.723047066202847</v>
      </c>
      <c r="I7548" s="13" t="n">
        <f aca="false">Sens!$G$7548</f>
        <v>0.723047066202847</v>
      </c>
      <c r="J7548" s="13" t="n">
        <f aca="false">Sens!$G$7548</f>
        <v>0.723047066202847</v>
      </c>
      <c r="K7548" s="13" t="n">
        <f aca="false">Sens!$G$7548</f>
        <v>0.723047066202847</v>
      </c>
      <c r="L7548" s="13" t="n">
        <f aca="false">Sens!$G$7548</f>
        <v>0.723047066202847</v>
      </c>
      <c r="M7548" s="13" t="n">
        <f aca="false">Sens!$G$7548</f>
        <v>0.723047066202847</v>
      </c>
      <c r="N7548" s="13" t="n">
        <f aca="false">Q!$N$5/(Q!$N$5+Q!$N$6)</f>
        <v>0.733030935041352</v>
      </c>
      <c r="O7548" s="13" t="n">
        <f aca="false">Q!$O$5/(Q!$O$5+Q!$O$6)</f>
        <v>0.718066283041511</v>
      </c>
      <c r="P7548" s="8" t="s">
        <v>678</v>
      </c>
    </row>
    <row r="7549" customFormat="false" ht="17.15" hidden="false" customHeight="false" outlineLevel="0" collapsed="false">
      <c r="A7549" s="1" t="s">
        <v>509</v>
      </c>
      <c r="B7549" s="8" t="s">
        <v>86</v>
      </c>
      <c r="C7549" s="38" t="n">
        <f aca="false">Q!$D$5</f>
        <v>387.497</v>
      </c>
      <c r="D7549" s="38" t="n">
        <f aca="false">Q!$E$5</f>
        <v>426.305</v>
      </c>
      <c r="E7549" s="38" t="n">
        <f aca="false">Q!$P$5</f>
        <v>220.32</v>
      </c>
      <c r="F7549" s="38" t="n">
        <f aca="false">Sens!$F$7547*Sens!$F$7548</f>
        <v>250.639773480586</v>
      </c>
      <c r="G7549" s="38" t="n">
        <f aca="false">Sens!$E$7549+Sens!$F$7549</f>
        <v>470.959773480586</v>
      </c>
      <c r="H7549" s="38" t="n">
        <f aca="false">Sens!$H$7547*Sens!$H$7548</f>
        <v>521.386990416437</v>
      </c>
      <c r="I7549" s="38" t="n">
        <f aca="false">Sens!$I$7547*Sens!$I$7548</f>
        <v>570.143862887555</v>
      </c>
      <c r="J7549" s="38" t="n">
        <f aca="false">Sens!$J$7547*Sens!$J$7548</f>
        <v>615.391435791933</v>
      </c>
      <c r="K7549" s="38" t="n">
        <f aca="false">Sens!$K$7547*Sens!$K$7548</f>
        <v>655.208227561543</v>
      </c>
      <c r="L7549" s="38" t="n">
        <f aca="false">Sens!$L$7547*Sens!$L$7548</f>
        <v>697.807739249767</v>
      </c>
      <c r="M7549" s="38" t="n">
        <f aca="false">Sens!$M$7547*Sens!$M$7548</f>
        <v>743.399328463592</v>
      </c>
      <c r="N7549" s="38" t="n">
        <f aca="false">Q!$N$5</f>
        <v>192.955</v>
      </c>
      <c r="O7549" s="38" t="n">
        <f aca="false">Q!$O$5</f>
        <v>233.35</v>
      </c>
      <c r="P7549" s="5" t="s">
        <v>679</v>
      </c>
    </row>
    <row r="7550" customFormat="false" ht="17.15" hidden="false" customHeight="false" outlineLevel="0" collapsed="false">
      <c r="A7550" s="1" t="s">
        <v>512</v>
      </c>
      <c r="B7550" s="8" t="s">
        <v>86</v>
      </c>
      <c r="C7550" s="38" t="n">
        <f aca="false">Q!$D$6</f>
        <v>142.906</v>
      </c>
      <c r="D7550" s="38" t="n">
        <f aca="false">Q!$E$6</f>
        <v>161.894</v>
      </c>
      <c r="E7550" s="38" t="n">
        <f aca="false">Q!$P$6</f>
        <v>81.986</v>
      </c>
      <c r="F7550" s="38" t="n">
        <f aca="false">Sens!$F$7547*(1-Sens!$F$7548)</f>
        <v>98.408468164951</v>
      </c>
      <c r="G7550" s="38" t="n">
        <f aca="false">Sens!$E$7550+Sens!$F$7550</f>
        <v>180.394468164951</v>
      </c>
      <c r="H7550" s="38" t="n">
        <f aca="false">Sens!$H$7547*(1-Sens!$H$7548)</f>
        <v>199.709899104949</v>
      </c>
      <c r="I7550" s="38" t="n">
        <f aca="false">Sens!$I$7547*(1-Sens!$I$7548)</f>
        <v>218.385528264976</v>
      </c>
      <c r="J7550" s="38" t="n">
        <f aca="false">Sens!$J$7547*(1-Sens!$J$7548)</f>
        <v>235.71696994951</v>
      </c>
      <c r="K7550" s="38" t="n">
        <f aca="false">Sens!$K$7547*(1-Sens!$K$7548)</f>
        <v>250.968227869545</v>
      </c>
      <c r="L7550" s="38" t="n">
        <f aca="false">Sens!$L$7547*(1-Sens!$L$7548)</f>
        <v>267.285367225822</v>
      </c>
      <c r="M7550" s="38" t="n">
        <f aca="false">Sens!$M$7547*(1-Sens!$M$7548)</f>
        <v>284.748579483295</v>
      </c>
      <c r="N7550" s="38" t="n">
        <f aca="false">Q!$N$6</f>
        <v>70.274</v>
      </c>
      <c r="O7550" s="38" t="n">
        <f aca="false">Q!$O$6</f>
        <v>91.62</v>
      </c>
      <c r="P7550" s="5" t="s">
        <v>680</v>
      </c>
    </row>
    <row r="7551" customFormat="false" ht="17.15" hidden="false" customHeight="false" outlineLevel="0" collapsed="false">
      <c r="A7551" s="5" t="s">
        <v>681</v>
      </c>
      <c r="B7551" s="0" t="s">
        <v>86</v>
      </c>
      <c r="C7551" s="38" t="n">
        <f aca="false">Sens!$C$7540*Sens!$C$7548</f>
        <v>41.0683128828457</v>
      </c>
      <c r="D7551" s="38" t="n">
        <f aca="false">Sens!$D$7540*Sens!$D$7548</f>
        <v>49.7441234599175</v>
      </c>
      <c r="E7551" s="38" t="n">
        <f aca="false">Sens!$E$7540*Sens!$E$7548</f>
        <v>27.0034224924414</v>
      </c>
      <c r="F7551" s="38" t="n">
        <f aca="false">Sens!$F$7540*Sens!$F$7548</f>
        <v>33.1439448330513</v>
      </c>
      <c r="G7551" s="38" t="n">
        <f aca="false">Sens!$G$7540*Sens!$G$7548</f>
        <v>60.164183844083</v>
      </c>
      <c r="H7551" s="38" t="n">
        <f aca="false">Sens!$H$7540*Sens!$H$7548</f>
        <v>72.2301766552629</v>
      </c>
      <c r="I7551" s="38" t="n">
        <f aca="false">Sens!$I$7540*Sens!$I$7548</f>
        <v>84.2950764463991</v>
      </c>
      <c r="J7551" s="38" t="n">
        <f aca="false">Sens!$J$7540*Sens!$J$7548</f>
        <v>95.5499047729386</v>
      </c>
      <c r="K7551" s="38" t="n">
        <f aca="false">Sens!$K$7540*Sens!$K$7548</f>
        <v>105.104895250232</v>
      </c>
      <c r="L7551" s="38" t="n">
        <f aca="false">Sens!$L$7540*Sens!$L$7548</f>
        <v>115.615384775256</v>
      </c>
      <c r="M7551" s="38" t="n">
        <f aca="false">Sens!$M$7540*Sens!$M$7548</f>
        <v>127.176923252781</v>
      </c>
      <c r="N7551" s="38" t="n">
        <f aca="false">Sens!$N$7540*Sens!$N$7548</f>
        <v>21.7087111412496</v>
      </c>
      <c r="O7551" s="38" t="n">
        <f aca="false">Sens!$O$7540*Sens!$O$7548</f>
        <v>28.0189463642798</v>
      </c>
      <c r="P7551" s="5" t="s">
        <v>682</v>
      </c>
    </row>
    <row r="7552" customFormat="false" ht="15" hidden="false" customHeight="false" outlineLevel="0" collapsed="false">
      <c r="A7552" s="5" t="s">
        <v>683</v>
      </c>
      <c r="B7552" s="0" t="s">
        <v>86</v>
      </c>
      <c r="C7552" s="38" t="n">
        <f aca="false">Sens!$C$7540-Sens!$C$7551</f>
        <v>15.1456871171543</v>
      </c>
      <c r="D7552" s="38" t="n">
        <f aca="false">Sens!$D$7540-Sens!$D$7551</f>
        <v>18.8908765400825</v>
      </c>
      <c r="E7552" s="38" t="n">
        <f aca="false">Sens!$E$7540-Sens!$E$7551</f>
        <v>10.0485775075586</v>
      </c>
      <c r="F7552" s="38" t="n">
        <f aca="false">Sens!$F$7540-Sens!$F$7551</f>
        <v>13.0132771613635</v>
      </c>
      <c r="G7552" s="38" t="n">
        <f aca="false">Sens!$G$7540-Sens!$G$7551</f>
        <v>23.0450381503318</v>
      </c>
      <c r="H7552" s="38" t="n">
        <f aca="false">Sens!$H$7540-Sens!$H$7551</f>
        <v>27.6667457326347</v>
      </c>
      <c r="I7552" s="38" t="n">
        <f aca="false">Sens!$I$7540-Sens!$I$7551</f>
        <v>32.2880346490971</v>
      </c>
      <c r="J7552" s="38" t="n">
        <f aca="false">Sens!$J$7540-Sens!$J$7551</f>
        <v>36.5990371690132</v>
      </c>
      <c r="K7552" s="38" t="n">
        <f aca="false">Sens!$K$7540-Sens!$K$7551</f>
        <v>40.2589408859145</v>
      </c>
      <c r="L7552" s="38" t="n">
        <f aca="false">Sens!$L$7540-Sens!$L$7551</f>
        <v>44.2848349745059</v>
      </c>
      <c r="M7552" s="38" t="n">
        <f aca="false">Sens!$M$7540-Sens!$M$7551</f>
        <v>48.7133184719565</v>
      </c>
      <c r="N7552" s="38" t="n">
        <f aca="false">Sens!$N$7540-Sens!$N$7551</f>
        <v>7.90628885875037</v>
      </c>
      <c r="O7552" s="38" t="n">
        <f aca="false">Sens!$O$7540-Sens!$O$7551</f>
        <v>11.0010536357202</v>
      </c>
    </row>
    <row r="7553" customFormat="false" ht="19.4" hidden="false" customHeight="false" outlineLevel="0" collapsed="false">
      <c r="A7553" s="31" t="s">
        <v>1283</v>
      </c>
    </row>
    <row r="7554" customFormat="false" ht="17.15" hidden="false" customHeight="false" outlineLevel="0" collapsed="false">
      <c r="A7554" s="6" t="s">
        <v>16</v>
      </c>
      <c r="B7554" s="6" t="s">
        <v>17</v>
      </c>
      <c r="C7554" s="20" t="s">
        <v>494</v>
      </c>
      <c r="D7554" s="20" t="s">
        <v>495</v>
      </c>
      <c r="E7554" s="20" t="s">
        <v>577</v>
      </c>
      <c r="F7554" s="20" t="s">
        <v>578</v>
      </c>
      <c r="G7554" s="20" t="s">
        <v>579</v>
      </c>
      <c r="H7554" s="20" t="s">
        <v>580</v>
      </c>
      <c r="I7554" s="20" t="s">
        <v>581</v>
      </c>
      <c r="J7554" s="20" t="s">
        <v>582</v>
      </c>
      <c r="K7554" s="20" t="s">
        <v>583</v>
      </c>
      <c r="L7554" s="20" t="s">
        <v>584</v>
      </c>
      <c r="M7554" s="20" t="s">
        <v>585</v>
      </c>
      <c r="N7554" s="20" t="s">
        <v>586</v>
      </c>
      <c r="O7554" s="20" t="s">
        <v>587</v>
      </c>
      <c r="P7554" s="6" t="s">
        <v>23</v>
      </c>
      <c r="R7554" s="20" t="n">
        <v>2023</v>
      </c>
      <c r="S7554" s="20" t="n">
        <v>2024</v>
      </c>
      <c r="T7554" s="20" t="n">
        <v>2025</v>
      </c>
      <c r="U7554" s="20" t="n">
        <v>2026</v>
      </c>
      <c r="V7554" s="20" t="n">
        <v>2027</v>
      </c>
      <c r="W7554" s="20" t="n">
        <v>2028</v>
      </c>
      <c r="X7554" s="20" t="n">
        <v>2029</v>
      </c>
      <c r="Y7554" s="20" t="n">
        <v>2030</v>
      </c>
      <c r="Z7554" s="20" t="n">
        <v>2031</v>
      </c>
      <c r="AA7554" s="20" t="n">
        <v>2032</v>
      </c>
    </row>
    <row r="7555" customFormat="false" ht="17.15" hidden="false" customHeight="false" outlineLevel="0" collapsed="false">
      <c r="A7555" s="1" t="s">
        <v>588</v>
      </c>
    </row>
    <row r="7556" customFormat="false" ht="17.15" hidden="false" customHeight="false" outlineLevel="0" collapsed="false">
      <c r="A7556" s="5" t="s">
        <v>589</v>
      </c>
      <c r="B7556" s="0" t="s">
        <v>144</v>
      </c>
      <c r="H7556" s="32" t="n">
        <f aca="false">pace_B</f>
        <v>3634.3</v>
      </c>
      <c r="I7556" s="32" t="n">
        <f aca="false">pace_B</f>
        <v>3634.3</v>
      </c>
      <c r="J7556" s="32" t="n">
        <f aca="false">pace_B</f>
        <v>3634.3</v>
      </c>
      <c r="K7556" s="32" t="n">
        <f aca="false">pace_B+(Sens!$J$7557*tg-pace_B)*1/3</f>
        <v>2570.86716666667</v>
      </c>
      <c r="L7556" s="32" t="n">
        <f aca="false">pace_B+(Sens!$J$7557*tg-pace_B)*2/3</f>
        <v>1507.43433333333</v>
      </c>
      <c r="M7556" s="32" t="n">
        <f aca="false">pace_B+(Sens!$J$7557*tg-pace_B)*3/3</f>
        <v>444.0015</v>
      </c>
      <c r="P7556" s="5" t="s">
        <v>590</v>
      </c>
    </row>
    <row r="7557" customFormat="false" ht="17.15" hidden="false" customHeight="false" outlineLevel="0" collapsed="false">
      <c r="A7557" s="15" t="s">
        <v>591</v>
      </c>
      <c r="B7557" s="14" t="s">
        <v>129</v>
      </c>
      <c r="C7557" s="33" t="n">
        <f aca="false">mw_ye24</f>
        <v>360</v>
      </c>
      <c r="D7557" s="33" t="n">
        <f aca="false">mw_ye25</f>
        <v>1440</v>
      </c>
      <c r="E7557" s="33" t="n">
        <f aca="false">mw_open</f>
        <v>2080</v>
      </c>
      <c r="F7557" s="33" t="n">
        <f aca="false">Sens!$E$7557+pace_B*0.5</f>
        <v>3897.15</v>
      </c>
      <c r="G7557" s="33" t="n">
        <f aca="false">Sens!$F$7557</f>
        <v>3897.15</v>
      </c>
      <c r="H7557" s="33" t="n">
        <f aca="false">Sens!$G$7557+Sens!$H$7556</f>
        <v>7531.45</v>
      </c>
      <c r="I7557" s="33" t="n">
        <f aca="false">Sens!$H$7557+Sens!$I$7556</f>
        <v>11165.75</v>
      </c>
      <c r="J7557" s="33" t="n">
        <f aca="false">Sens!$I$7557+Sens!$J$7556</f>
        <v>14800.05</v>
      </c>
      <c r="K7557" s="33" t="n">
        <f aca="false">Sens!$J$7557+Sens!$K$7556</f>
        <v>17370.9171666667</v>
      </c>
      <c r="L7557" s="33" t="n">
        <f aca="false">Sens!$K$7557+Sens!$L$7556</f>
        <v>18878.3515</v>
      </c>
      <c r="M7557" s="33" t="n">
        <f aca="false">Sens!$L$7557+Sens!$M$7556</f>
        <v>19322.353</v>
      </c>
      <c r="N7557" s="33" t="n">
        <f aca="false">(mw_ye24+mw_ye25)/2</f>
        <v>900</v>
      </c>
      <c r="O7557" s="33" t="n">
        <f aca="false">mw_ye25</f>
        <v>1440</v>
      </c>
      <c r="P7557" s="5" t="s">
        <v>592</v>
      </c>
    </row>
    <row r="7558" customFormat="false" ht="17.15" hidden="false" customHeight="false" outlineLevel="0" collapsed="false">
      <c r="A7558" s="5" t="s">
        <v>593</v>
      </c>
      <c r="B7558" s="0" t="s">
        <v>129</v>
      </c>
      <c r="C7558" s="32" t="n">
        <f aca="false">(mw_ye23+mw_ye24)/2</f>
        <v>240</v>
      </c>
      <c r="D7558" s="32" t="n">
        <f aca="false">(Sens!$C$7557+Sens!$D$7557)/2</f>
        <v>900</v>
      </c>
      <c r="E7558" s="32" t="n">
        <f aca="false">(Sens!$D$7557+Sens!$E$7557)/2</f>
        <v>1760</v>
      </c>
      <c r="F7558" s="32" t="n">
        <f aca="false">(Sens!$E$7557+Sens!$F$7557)/2</f>
        <v>2988.575</v>
      </c>
      <c r="G7558" s="32" t="n">
        <f aca="false">(Sens!$E$7558+Sens!$F$7558)/2</f>
        <v>2374.2875</v>
      </c>
      <c r="H7558" s="32" t="n">
        <f aca="false">(Sens!$G$7557+Sens!$H$7557)/2</f>
        <v>5714.3</v>
      </c>
      <c r="I7558" s="32" t="n">
        <f aca="false">(Sens!$H$7557+Sens!$I$7557)/2</f>
        <v>9348.6</v>
      </c>
      <c r="J7558" s="32" t="n">
        <f aca="false">(Sens!$I$7557+Sens!$J$7557)/2</f>
        <v>12982.9</v>
      </c>
      <c r="K7558" s="32" t="n">
        <f aca="false">(Sens!$J$7557+Sens!$K$7557)/2</f>
        <v>16085.4835833333</v>
      </c>
      <c r="L7558" s="32" t="n">
        <f aca="false">(Sens!$K$7557+Sens!$L$7557)/2</f>
        <v>18124.6343333333</v>
      </c>
      <c r="M7558" s="32" t="n">
        <f aca="false">(Sens!$L$7557+Sens!$M$7557)/2</f>
        <v>19100.35225</v>
      </c>
      <c r="N7558" s="32" t="n">
        <f aca="false">(Sens!$C$7557+Sens!$N$7557)/2</f>
        <v>630</v>
      </c>
      <c r="O7558" s="32" t="n">
        <f aca="false">(Sens!$N$7557+Sens!$O$7557)/2</f>
        <v>1170</v>
      </c>
    </row>
    <row r="7559" customFormat="false" ht="15" hidden="false" customHeight="false" outlineLevel="0" collapsed="false">
      <c r="A7559" s="5" t="s">
        <v>594</v>
      </c>
      <c r="B7559" s="5" t="s">
        <v>123</v>
      </c>
      <c r="C7559" s="34" t="n">
        <v>1</v>
      </c>
      <c r="D7559" s="34" t="n">
        <v>1</v>
      </c>
      <c r="E7559" s="34" t="n">
        <v>0.5</v>
      </c>
      <c r="F7559" s="34" t="n">
        <v>0.5</v>
      </c>
      <c r="G7559" s="34" t="n">
        <v>1</v>
      </c>
      <c r="H7559" s="34" t="n">
        <v>1</v>
      </c>
      <c r="I7559" s="34" t="n">
        <v>1</v>
      </c>
      <c r="J7559" s="34" t="n">
        <v>1</v>
      </c>
      <c r="K7559" s="34" t="n">
        <v>1</v>
      </c>
      <c r="L7559" s="34" t="n">
        <v>1</v>
      </c>
      <c r="M7559" s="34" t="n">
        <v>1</v>
      </c>
      <c r="N7559" s="34" t="n">
        <v>0.5</v>
      </c>
      <c r="O7559" s="34" t="n">
        <v>0.5</v>
      </c>
    </row>
    <row r="7560" customFormat="false" ht="17.15" hidden="false" customHeight="false" outlineLevel="0" collapsed="false">
      <c r="A7560" s="5" t="s">
        <v>595</v>
      </c>
      <c r="B7560" s="0" t="s">
        <v>129</v>
      </c>
      <c r="C7560" s="32" t="n">
        <f aca="false">Sens!$C$7557-mw_ye23</f>
        <v>240</v>
      </c>
      <c r="D7560" s="32" t="n">
        <f aca="false">Sens!$D$7557-Sens!$C$7557</f>
        <v>1080</v>
      </c>
      <c r="E7560" s="32" t="n">
        <f aca="false">Sens!$E$7557-Sens!$D$7557</f>
        <v>640</v>
      </c>
      <c r="F7560" s="32" t="n">
        <f aca="false">Sens!$F$7557-Sens!$E$7557</f>
        <v>1817.15</v>
      </c>
      <c r="G7560" s="32" t="n">
        <f aca="false">Sens!$E$7560+Sens!$F$7560</f>
        <v>2457.15</v>
      </c>
      <c r="H7560" s="32" t="n">
        <f aca="false">Sens!$H$7557-Sens!$G$7557</f>
        <v>3634.3</v>
      </c>
      <c r="I7560" s="32" t="n">
        <f aca="false">Sens!$I$7557-Sens!$H$7557</f>
        <v>3634.3</v>
      </c>
      <c r="J7560" s="32" t="n">
        <f aca="false">Sens!$J$7557-Sens!$I$7557</f>
        <v>3634.3</v>
      </c>
      <c r="K7560" s="32" t="n">
        <f aca="false">Sens!$K$7557-Sens!$J$7557</f>
        <v>2570.86716666667</v>
      </c>
      <c r="L7560" s="32" t="n">
        <f aca="false">Sens!$L$7557-Sens!$K$7557</f>
        <v>1507.43433333333</v>
      </c>
      <c r="M7560" s="32" t="n">
        <f aca="false">Sens!$M$7557-Sens!$L$7557</f>
        <v>444.001499999999</v>
      </c>
      <c r="N7560" s="32" t="n">
        <f aca="false">Sens!$N$7557-Sens!$C$7557</f>
        <v>540</v>
      </c>
      <c r="O7560" s="32" t="n">
        <f aca="false">Sens!$O$7557-Sens!$N$7557</f>
        <v>540</v>
      </c>
    </row>
    <row r="7561" customFormat="false" ht="17.15" hidden="false" customHeight="false" outlineLevel="0" collapsed="false">
      <c r="A7561" s="5" t="s">
        <v>596</v>
      </c>
      <c r="B7561" s="0" t="s">
        <v>129</v>
      </c>
      <c r="C7561" s="32" t="n">
        <f aca="false">Sens!$C$7560/ext_sh</f>
        <v>300</v>
      </c>
      <c r="D7561" s="32" t="n">
        <f aca="false">Sens!$D$7560/ext_sh</f>
        <v>1350</v>
      </c>
      <c r="E7561" s="32" t="n">
        <f aca="false">Sens!$E$7560/ext_sh</f>
        <v>800</v>
      </c>
      <c r="F7561" s="32" t="n">
        <f aca="false">Sens!$F$7560/ext_sh</f>
        <v>2271.4375</v>
      </c>
      <c r="G7561" s="32" t="n">
        <f aca="false">Sens!$G$7560/ext_sh</f>
        <v>3071.4375</v>
      </c>
      <c r="H7561" s="32" t="n">
        <f aca="false">Sens!$H$7560/ext_sh</f>
        <v>4542.875</v>
      </c>
      <c r="I7561" s="32" t="n">
        <f aca="false">Sens!$I$7560/ext_sh</f>
        <v>4542.875</v>
      </c>
      <c r="J7561" s="32" t="n">
        <f aca="false">Sens!$J$7560/ext_sh</f>
        <v>4542.875</v>
      </c>
      <c r="K7561" s="32" t="n">
        <f aca="false">Sens!$K$7560/ext_sh</f>
        <v>3213.58395833333</v>
      </c>
      <c r="L7561" s="32" t="n">
        <f aca="false">Sens!$L$7560/ext_sh</f>
        <v>1884.29291666667</v>
      </c>
      <c r="M7561" s="32" t="n">
        <f aca="false">Sens!$M$7560/ext_sh</f>
        <v>555.001874999998</v>
      </c>
      <c r="N7561" s="32" t="n">
        <f aca="false">Sens!$N$7560/ext_sh</f>
        <v>675</v>
      </c>
      <c r="O7561" s="32" t="n">
        <f aca="false">Sens!$O$7560/ext_sh</f>
        <v>675</v>
      </c>
      <c r="P7561" s="8" t="s">
        <v>597</v>
      </c>
      <c r="R7561" s="32" t="n">
        <f aca="false">mw_ye23/ext_sh</f>
        <v>150</v>
      </c>
      <c r="S7561" s="32" t="n">
        <f aca="false">Sens!$C$7561</f>
        <v>300</v>
      </c>
      <c r="T7561" s="32" t="n">
        <f aca="false">Sens!$D$7561</f>
        <v>1350</v>
      </c>
      <c r="U7561" s="32" t="n">
        <f aca="false">Sens!$G$7561</f>
        <v>3071.4375</v>
      </c>
      <c r="V7561" s="32" t="n">
        <f aca="false">Sens!$H$7561</f>
        <v>4542.875</v>
      </c>
      <c r="W7561" s="32" t="n">
        <f aca="false">Sens!$I$7561</f>
        <v>4542.875</v>
      </c>
      <c r="X7561" s="32" t="n">
        <f aca="false">Sens!$J$7561</f>
        <v>4542.875</v>
      </c>
      <c r="Y7561" s="32" t="n">
        <f aca="false">Sens!$K$7561</f>
        <v>3213.58395833333</v>
      </c>
      <c r="Z7561" s="32" t="n">
        <f aca="false">Sens!$L$7561</f>
        <v>1884.29291666667</v>
      </c>
      <c r="AA7561" s="32" t="n">
        <f aca="false">Sens!$M$7561</f>
        <v>555.001874999998</v>
      </c>
    </row>
    <row r="7562" customFormat="false" ht="17.15" hidden="false" customHeight="false" outlineLevel="0" collapsed="false">
      <c r="A7562" s="1" t="s">
        <v>598</v>
      </c>
    </row>
    <row r="7563" customFormat="false" ht="17.15" hidden="false" customHeight="false" outlineLevel="0" collapsed="false">
      <c r="A7563" s="0" t="s">
        <v>599</v>
      </c>
      <c r="B7563" s="0" t="s">
        <v>52</v>
      </c>
      <c r="F7563" s="35" t="n">
        <f aca="false">na_vr26</f>
        <v>0</v>
      </c>
      <c r="G7563" s="35" t="n">
        <f aca="false">na_vr26</f>
        <v>0</v>
      </c>
      <c r="H7563" s="35" t="n">
        <f aca="false">na_vr27</f>
        <v>0.5</v>
      </c>
      <c r="I7563" s="35" t="n">
        <f aca="false">na_vr28</f>
        <v>1</v>
      </c>
      <c r="J7563" s="35" t="n">
        <f aca="false">na_vr28</f>
        <v>1</v>
      </c>
      <c r="K7563" s="35" t="n">
        <f aca="false">na_vr28</f>
        <v>1</v>
      </c>
      <c r="L7563" s="35" t="n">
        <f aca="false">na_vr28</f>
        <v>1</v>
      </c>
      <c r="M7563" s="35" t="n">
        <f aca="false">na_vr28</f>
        <v>1</v>
      </c>
    </row>
    <row r="7564" customFormat="false" ht="17.15" hidden="false" customHeight="false" outlineLevel="0" collapsed="false">
      <c r="A7564" s="5" t="s">
        <v>600</v>
      </c>
      <c r="B7564" s="0" t="s">
        <v>173</v>
      </c>
      <c r="F7564" s="36" t="n">
        <f aca="false">cust_sh*tk_he_gb300*cf_chip+(1-cust_sh)*((1-Sens!$F$7563)*tk_he_gb300+Sens!$F$7563*tk_he_vr200)</f>
        <v>10.8864110021101</v>
      </c>
      <c r="G7564" s="36" t="n">
        <f aca="false">cust_sh*tk_he_gb300*cf_chip+(1-cust_sh)*((1-Sens!$G$7563)*tk_he_gb300+Sens!$G$7563*tk_he_vr200)</f>
        <v>10.8864110021101</v>
      </c>
      <c r="H7564" s="36" t="n">
        <f aca="false">cust_sh*tk_he_gb300*cf_chip+(1-cust_sh)*((1-Sens!$H$7563)*tk_he_gb300+Sens!$H$7563*tk_he_vr200)</f>
        <v>11.2211760027286</v>
      </c>
      <c r="I7564" s="36" t="n">
        <f aca="false">cust_sh*tk_he_gb300*cf_chip+(1-cust_sh)*((1-Sens!$I$7563)*tk_he_gb300+Sens!$I$7563*tk_he_vr200)</f>
        <v>11.5559410033471</v>
      </c>
      <c r="J7564" s="36" t="n">
        <f aca="false">cust_sh*tk_he_gb300*cf_chip+(1-cust_sh)*((1-Sens!$J$7563)*tk_he_gb300+Sens!$J$7563*tk_he_vr200)</f>
        <v>11.5559410033471</v>
      </c>
      <c r="K7564" s="36" t="n">
        <f aca="false">cust_sh*tk_he_gb300*cf_chip+(1-cust_sh)*((1-Sens!$K$7563)*tk_he_gb300+Sens!$K$7563*tk_he_vr200)</f>
        <v>11.5559410033471</v>
      </c>
      <c r="L7564" s="36" t="n">
        <f aca="false">cust_sh*tk_he_gb300*cf_chip+(1-cust_sh)*((1-Sens!$L$7563)*tk_he_gb300+Sens!$L$7563*tk_he_vr200)</f>
        <v>11.5559410033471</v>
      </c>
      <c r="M7564" s="36" t="n">
        <f aca="false">cust_sh*tk_he_gb300*cf_chip+(1-cust_sh)*((1-Sens!$M$7563)*tk_he_gb300+Sens!$M$7563*tk_he_vr200)</f>
        <v>11.5559410033471</v>
      </c>
    </row>
    <row r="7565" customFormat="false" ht="17.15" hidden="false" customHeight="false" outlineLevel="0" collapsed="false">
      <c r="A7565" s="5" t="s">
        <v>601</v>
      </c>
      <c r="B7565" s="0" t="s">
        <v>173</v>
      </c>
      <c r="F7565" s="36" t="n">
        <f aca="false">cust_sh*tk_ox_gb300+(1-cust_sh)*((1-Sens!$F$7563)*tk_ox_gb300+Sens!$F$7563*tk_ox_vr200)</f>
        <v>1.98263481314457</v>
      </c>
      <c r="G7565" s="36" t="n">
        <f aca="false">cust_sh*tk_ox_gb300+(1-cust_sh)*((1-Sens!$G$7563)*tk_ox_gb300+Sens!$G$7563*tk_ox_vr200)</f>
        <v>1.98263481314457</v>
      </c>
      <c r="H7565" s="36" t="n">
        <f aca="false">cust_sh*tk_ox_gb300+(1-cust_sh)*((1-Sens!$H$7563)*tk_ox_gb300+Sens!$H$7563*tk_ox_vr200)</f>
        <v>2.01034999693694</v>
      </c>
      <c r="I7565" s="36" t="n">
        <f aca="false">cust_sh*tk_ox_gb300+(1-cust_sh)*((1-Sens!$I$7563)*tk_ox_gb300+Sens!$I$7563*tk_ox_vr200)</f>
        <v>2.0380651807293</v>
      </c>
      <c r="J7565" s="36" t="n">
        <f aca="false">cust_sh*tk_ox_gb300+(1-cust_sh)*((1-Sens!$J$7563)*tk_ox_gb300+Sens!$J$7563*tk_ox_vr200)</f>
        <v>2.0380651807293</v>
      </c>
      <c r="K7565" s="36" t="n">
        <f aca="false">cust_sh*tk_ox_gb300+(1-cust_sh)*((1-Sens!$K$7563)*tk_ox_gb300+Sens!$K$7563*tk_ox_vr200)</f>
        <v>2.0380651807293</v>
      </c>
      <c r="L7565" s="36" t="n">
        <f aca="false">cust_sh*tk_ox_gb300+(1-cust_sh)*((1-Sens!$L$7563)*tk_ox_gb300+Sens!$L$7563*tk_ox_vr200)</f>
        <v>2.0380651807293</v>
      </c>
      <c r="M7565" s="36" t="n">
        <f aca="false">cust_sh*tk_ox_gb300+(1-cust_sh)*((1-Sens!$M$7563)*tk_ox_gb300+Sens!$M$7563*tk_ox_vr200)</f>
        <v>2.0380651807293</v>
      </c>
    </row>
    <row r="7566" customFormat="false" ht="17.15" hidden="false" customHeight="false" outlineLevel="0" collapsed="false">
      <c r="A7566" s="5" t="s">
        <v>602</v>
      </c>
      <c r="B7566" s="0" t="s">
        <v>192</v>
      </c>
      <c r="F7566" s="36" t="n">
        <f aca="false">cust_sh*tk_cx_gb300*cf_cx+(1-cust_sh)*((1-Sens!$F$7563)*tk_cx_gb300+Sens!$F$7563*tk_cx_vr200)</f>
        <v>32.237224</v>
      </c>
      <c r="G7566" s="36" t="n">
        <f aca="false">cust_sh*tk_cx_gb300*cf_cx+(1-cust_sh)*((1-Sens!$G$7563)*tk_cx_gb300+Sens!$G$7563*tk_cx_vr200)</f>
        <v>32.237224</v>
      </c>
      <c r="H7566" s="36" t="n">
        <f aca="false">cust_sh*tk_cx_gb300*cf_cx+(1-cust_sh)*((1-Sens!$H$7563)*tk_cx_gb300+Sens!$H$7563*tk_cx_vr200)</f>
        <v>33.574506</v>
      </c>
      <c r="I7566" s="36" t="n">
        <f aca="false">cust_sh*tk_cx_gb300*cf_cx+(1-cust_sh)*((1-Sens!$I$7563)*tk_cx_gb300+Sens!$I$7563*tk_cx_vr200)</f>
        <v>34.911788</v>
      </c>
      <c r="J7566" s="36" t="n">
        <f aca="false">cust_sh*tk_cx_gb300*cf_cx+(1-cust_sh)*((1-Sens!$J$7563)*tk_cx_gb300+Sens!$J$7563*tk_cx_vr200)</f>
        <v>34.911788</v>
      </c>
      <c r="K7566" s="36" t="n">
        <f aca="false">cust_sh*tk_cx_gb300*cf_cx+(1-cust_sh)*((1-Sens!$K$7563)*tk_cx_gb300+Sens!$K$7563*tk_cx_vr200)</f>
        <v>34.911788</v>
      </c>
      <c r="L7566" s="36" t="n">
        <f aca="false">cust_sh*tk_cx_gb300*cf_cx+(1-cust_sh)*((1-Sens!$L$7563)*tk_cx_gb300+Sens!$L$7563*tk_cx_vr200)</f>
        <v>34.911788</v>
      </c>
      <c r="M7566" s="36" t="n">
        <f aca="false">cust_sh*tk_cx_gb300*cf_cx+(1-cust_sh)*((1-Sens!$M$7563)*tk_cx_gb300+Sens!$M$7563*tk_cx_vr200)</f>
        <v>34.911788</v>
      </c>
    </row>
    <row r="7567" customFormat="false" ht="17.15" hidden="false" customHeight="false" outlineLevel="0" collapsed="false">
      <c r="A7567" s="5" t="s">
        <v>603</v>
      </c>
      <c r="B7567" s="0" t="s">
        <v>129</v>
      </c>
      <c r="F7567" s="32" t="n">
        <f aca="false">Sens!$F$7557-mw_open</f>
        <v>1817.15</v>
      </c>
      <c r="G7567" s="32" t="n">
        <f aca="false">Sens!$F$7567</f>
        <v>1817.15</v>
      </c>
      <c r="H7567" s="32" t="n">
        <f aca="false">Sens!$H$7557-mw_open</f>
        <v>5451.45</v>
      </c>
      <c r="I7567" s="32" t="n">
        <f aca="false">Sens!$I$7557-mw_open</f>
        <v>9085.75</v>
      </c>
      <c r="J7567" s="32" t="n">
        <f aca="false">Sens!$J$7557-mw_open</f>
        <v>12720.05</v>
      </c>
      <c r="K7567" s="32" t="n">
        <f aca="false">Sens!$K$7557-mw_open</f>
        <v>15290.9171666667</v>
      </c>
      <c r="L7567" s="32" t="n">
        <f aca="false">Sens!$L$7557-mw_open</f>
        <v>16798.3515</v>
      </c>
      <c r="M7567" s="32" t="n">
        <f aca="false">Sens!$M$7557-mw_open</f>
        <v>17242.353</v>
      </c>
    </row>
    <row r="7568" customFormat="false" ht="17.15" hidden="false" customHeight="false" outlineLevel="0" collapsed="false">
      <c r="A7568" s="0" t="s">
        <v>604</v>
      </c>
      <c r="B7568" s="0" t="s">
        <v>605</v>
      </c>
      <c r="F7568" s="32" t="n">
        <f aca="false">Sens!$F$7560*Sens!$F$7564</f>
        <v>19782.2417524844</v>
      </c>
      <c r="G7568" s="32" t="n">
        <f aca="false">Sens!$F$7568</f>
        <v>19782.2417524844</v>
      </c>
      <c r="H7568" s="32" t="n">
        <f aca="false">Sens!$G$7568+Sens!$H$7560*Sens!$H$7564</f>
        <v>60563.3616992009</v>
      </c>
      <c r="I7568" s="32" t="n">
        <f aca="false">Sens!$H$7568+Sens!$I$7560*Sens!$I$7564</f>
        <v>102561.118087665</v>
      </c>
      <c r="J7568" s="32" t="n">
        <f aca="false">Sens!$I$7568+Sens!$J$7560*Sens!$J$7564</f>
        <v>144558.87447613</v>
      </c>
      <c r="K7568" s="32" t="n">
        <f aca="false">Sens!$J$7568+Sens!$K$7560*Sens!$K$7564</f>
        <v>174267.663781572</v>
      </c>
      <c r="L7568" s="32" t="n">
        <f aca="false">Sens!$K$7568+Sens!$L$7560*Sens!$L$7564</f>
        <v>191687.486003992</v>
      </c>
      <c r="M7568" s="32" t="n">
        <f aca="false">Sens!$L$7568+Sens!$M$7560*Sens!$M$7564</f>
        <v>196818.341143389</v>
      </c>
    </row>
    <row r="7569" customFormat="false" ht="17.15" hidden="false" customHeight="false" outlineLevel="0" collapsed="false">
      <c r="A7569" s="0" t="s">
        <v>606</v>
      </c>
      <c r="B7569" s="0" t="s">
        <v>605</v>
      </c>
      <c r="F7569" s="32" t="n">
        <f aca="false">Sens!$F$7560*Sens!$F$7565</f>
        <v>3602.74485070566</v>
      </c>
      <c r="G7569" s="32" t="n">
        <f aca="false">Sens!$F$7569</f>
        <v>3602.74485070566</v>
      </c>
      <c r="H7569" s="32" t="n">
        <f aca="false">Sens!$G$7569+Sens!$H$7560*Sens!$H$7565</f>
        <v>10908.9598445736</v>
      </c>
      <c r="I7569" s="32" t="n">
        <f aca="false">Sens!$H$7569+Sens!$I$7560*Sens!$I$7565</f>
        <v>18315.9001308981</v>
      </c>
      <c r="J7569" s="32" t="n">
        <f aca="false">Sens!$I$7569+Sens!$J$7560*Sens!$J$7565</f>
        <v>25722.8404172225</v>
      </c>
      <c r="K7569" s="32" t="n">
        <f aca="false">Sens!$J$7569+Sens!$K$7560*Sens!$K$7565</f>
        <v>30962.4352738861</v>
      </c>
      <c r="L7569" s="32" t="n">
        <f aca="false">Sens!$K$7569+Sens!$L$7560*Sens!$L$7565</f>
        <v>34034.6847008886</v>
      </c>
      <c r="M7569" s="32" t="n">
        <f aca="false">Sens!$L$7569+Sens!$M$7560*Sens!$M$7565</f>
        <v>34939.5886982302</v>
      </c>
    </row>
    <row r="7570" customFormat="false" ht="17.15" hidden="false" customHeight="false" outlineLevel="0" collapsed="false">
      <c r="A7570" s="5" t="s">
        <v>607</v>
      </c>
      <c r="B7570" s="0" t="s">
        <v>173</v>
      </c>
      <c r="F7570" s="36" t="n">
        <f aca="false">IF(Sens!$F$7567&gt;0,Sens!$F$7568/Sens!$F$7567,Sens!$F$7564)</f>
        <v>10.8864110021101</v>
      </c>
      <c r="G7570" s="36" t="n">
        <f aca="false">IF(Sens!$G$7567&gt;0,Sens!$G$7568/Sens!$G$7567,Sens!$G$7564)</f>
        <v>10.8864110021101</v>
      </c>
      <c r="H7570" s="36" t="n">
        <f aca="false">IF(Sens!$H$7567&gt;0,Sens!$H$7568/Sens!$H$7567,Sens!$H$7564)</f>
        <v>11.1095876691891</v>
      </c>
      <c r="I7570" s="36" t="n">
        <f aca="false">IF(Sens!$I$7567&gt;0,Sens!$I$7568/Sens!$I$7567,Sens!$I$7564)</f>
        <v>11.2881290028523</v>
      </c>
      <c r="J7570" s="36" t="n">
        <f aca="false">IF(Sens!$J$7567&gt;0,Sens!$J$7568/Sens!$J$7567,Sens!$J$7564)</f>
        <v>11.3646467172794</v>
      </c>
      <c r="K7570" s="36" t="n">
        <f aca="false">IF(Sens!$K$7567&gt;0,Sens!$K$7568/Sens!$K$7567,Sens!$K$7564)</f>
        <v>11.3968090914432</v>
      </c>
      <c r="L7570" s="36" t="n">
        <f aca="false">IF(Sens!$L$7567&gt;0,Sens!$L$7568/Sens!$L$7567,Sens!$L$7564)</f>
        <v>11.4110891181192</v>
      </c>
      <c r="M7570" s="36" t="n">
        <f aca="false">IF(Sens!$M$7567&gt;0,Sens!$M$7568/Sens!$M$7567,Sens!$M$7564)</f>
        <v>11.4148191458201</v>
      </c>
    </row>
    <row r="7571" customFormat="false" ht="17.15" hidden="false" customHeight="false" outlineLevel="0" collapsed="false">
      <c r="A7571" s="5" t="s">
        <v>608</v>
      </c>
      <c r="B7571" s="0" t="s">
        <v>173</v>
      </c>
      <c r="F7571" s="36" t="n">
        <f aca="false">IF(Sens!$F$7567&gt;0,Sens!$F$7569/Sens!$F$7567,Sens!$F$7565)</f>
        <v>1.98263481314457</v>
      </c>
      <c r="G7571" s="36" t="n">
        <f aca="false">IF(Sens!$G$7567&gt;0,Sens!$G$7569/Sens!$G$7567,Sens!$G$7565)</f>
        <v>1.98263481314457</v>
      </c>
      <c r="H7571" s="36" t="n">
        <f aca="false">IF(Sens!$H$7567&gt;0,Sens!$H$7569/Sens!$H$7567,Sens!$H$7565)</f>
        <v>2.00111160233948</v>
      </c>
      <c r="I7571" s="36" t="n">
        <f aca="false">IF(Sens!$I$7567&gt;0,Sens!$I$7569/Sens!$I$7567,Sens!$I$7565)</f>
        <v>2.01589303369541</v>
      </c>
      <c r="J7571" s="36" t="n">
        <f aca="false">IF(Sens!$J$7567&gt;0,Sens!$J$7569/Sens!$J$7567,Sens!$J$7565)</f>
        <v>2.02222793284795</v>
      </c>
      <c r="K7571" s="36" t="n">
        <f aca="false">IF(Sens!$K$7567&gt;0,Sens!$K$7569/Sens!$K$7567,Sens!$K$7565)</f>
        <v>2.02489065478573</v>
      </c>
      <c r="L7571" s="36" t="n">
        <f aca="false">IF(Sens!$L$7567&gt;0,Sens!$L$7569/Sens!$L$7567,Sens!$L$7565)</f>
        <v>2.0260728977417</v>
      </c>
      <c r="M7571" s="36" t="n">
        <f aca="false">IF(Sens!$M$7567&gt;0,Sens!$M$7569/Sens!$M$7567,Sens!$M$7565)</f>
        <v>2.02638170661685</v>
      </c>
    </row>
    <row r="7572" customFormat="false" ht="17.15" hidden="false" customHeight="false" outlineLevel="0" collapsed="false">
      <c r="A7572" s="15" t="s">
        <v>609</v>
      </c>
      <c r="B7572" s="14" t="s">
        <v>173</v>
      </c>
      <c r="C7572" s="14"/>
      <c r="D7572" s="14"/>
      <c r="E7572" s="14"/>
      <c r="F7572" s="37" t="n">
        <f aca="false">Sens!$F$7570*k_B</f>
        <v>10.7987645808025</v>
      </c>
      <c r="G7572" s="37" t="n">
        <f aca="false">Sens!$G$7570*k_B</f>
        <v>10.7987645808025</v>
      </c>
      <c r="H7572" s="37" t="n">
        <f aca="false">Sens!$H$7570*k_B</f>
        <v>11.0201444540452</v>
      </c>
      <c r="I7572" s="37" t="n">
        <f aca="false">Sens!$I$7570*k_B</f>
        <v>11.1972483526393</v>
      </c>
      <c r="J7572" s="37" t="n">
        <f aca="false">Sens!$J$7570*k_B</f>
        <v>11.2731500234653</v>
      </c>
      <c r="K7572" s="37" t="n">
        <f aca="false">Sens!$K$7570*k_B</f>
        <v>11.3050534585724</v>
      </c>
      <c r="L7572" s="37" t="n">
        <f aca="false">Sens!$L$7570*k_B</f>
        <v>11.3192185168503</v>
      </c>
      <c r="M7572" s="37" t="n">
        <f aca="false">Sens!$M$7570*k_B</f>
        <v>11.3229185141234</v>
      </c>
      <c r="N7572" s="14"/>
      <c r="O7572" s="14"/>
      <c r="P7572" s="5" t="s">
        <v>610</v>
      </c>
    </row>
    <row r="7573" customFormat="false" ht="17.15" hidden="false" customHeight="false" outlineLevel="0" collapsed="false">
      <c r="A7573" s="5" t="s">
        <v>611</v>
      </c>
      <c r="B7573" s="0" t="s">
        <v>129</v>
      </c>
      <c r="F7573" s="32" t="n">
        <f aca="false">Sens!$F$7567/2</f>
        <v>908.575</v>
      </c>
      <c r="H7573" s="32" t="n">
        <f aca="false">(Sens!$G$7567+Sens!$H$7567)/2</f>
        <v>3634.3</v>
      </c>
      <c r="I7573" s="32" t="n">
        <f aca="false">(Sens!$H$7567+Sens!$I$7567)/2</f>
        <v>7268.6</v>
      </c>
      <c r="J7573" s="32" t="n">
        <f aca="false">(Sens!$I$7567+Sens!$J$7567)/2</f>
        <v>10902.9</v>
      </c>
      <c r="K7573" s="32" t="n">
        <f aca="false">(Sens!$J$7567+Sens!$K$7567)/2</f>
        <v>14005.4835833333</v>
      </c>
      <c r="L7573" s="32" t="n">
        <f aca="false">(Sens!$K$7567+Sens!$L$7567)/2</f>
        <v>16044.6343333333</v>
      </c>
      <c r="M7573" s="32" t="n">
        <f aca="false">(Sens!$L$7567+Sens!$M$7567)/2</f>
        <v>17020.35225</v>
      </c>
    </row>
    <row r="7574" customFormat="false" ht="17.15" hidden="false" customHeight="false" outlineLevel="0" collapsed="false">
      <c r="A7574" s="1" t="s">
        <v>612</v>
      </c>
    </row>
    <row r="7575" customFormat="false" ht="17.15" hidden="false" customHeight="false" outlineLevel="0" collapsed="false">
      <c r="A7575" s="1" t="s">
        <v>613</v>
      </c>
      <c r="B7575" s="8" t="s">
        <v>86</v>
      </c>
      <c r="C7575" s="38" t="n">
        <f aca="false">Sens!$C$7558*rpm_open*Sens!$C$7559/1000</f>
        <v>2.32100535697364</v>
      </c>
      <c r="D7575" s="38" t="n">
        <f aca="false">Sens!$D$7558*rpm_open*Sens!$D$7559/1000</f>
        <v>8.70377008865116</v>
      </c>
      <c r="E7575" s="38" t="n">
        <f aca="false">Sens!$E$7558*rpm_open*Sens!$E$7559/1000</f>
        <v>8.51035297557002</v>
      </c>
      <c r="F7575" s="38" t="n">
        <f aca="false">(mw_open*rpm_open+Sens!$F$7573*Sens!$F$7572)*Sens!$F$7559/1000</f>
        <v>14.9634336447205</v>
      </c>
      <c r="G7575" s="38" t="n">
        <f aca="false">Sens!$E$7575+Sens!$F$7575</f>
        <v>23.4737866202905</v>
      </c>
      <c r="H7575" s="38" t="n">
        <f aca="false">(mw_open*rpm_open+Sens!$H$7573*Sens!$H$7572)/1000</f>
        <v>60.1658907497746</v>
      </c>
      <c r="I7575" s="38" t="n">
        <f aca="false">(mw_open*rpm_open+Sens!$I$7573*Sens!$I$7572)/1000</f>
        <v>101.503699136432</v>
      </c>
      <c r="J7575" s="38" t="n">
        <f aca="false">(mw_open*rpm_open+Sens!$J$7573*Sens!$J$7572)/1000</f>
        <v>143.025407151278</v>
      </c>
      <c r="K7575" s="38" t="n">
        <f aca="false">(mw_open*rpm_open+Sens!$K$7573*Sens!$K$7572)/1000</f>
        <v>178.44812038318</v>
      </c>
      <c r="L7575" s="38" t="n">
        <f aca="false">(mw_open*rpm_open+Sens!$L$7573*Sens!$L$7572)/1000</f>
        <v>201.728101802396</v>
      </c>
      <c r="M7575" s="38" t="n">
        <f aca="false">(mw_open*rpm_open+Sens!$M$7573*Sens!$M$7572)/1000</f>
        <v>212.835441368865</v>
      </c>
      <c r="N7575" s="38" t="n">
        <f aca="false">Sens!$N$7558*rpm_open*Sens!$N$7559/1000</f>
        <v>3.04631953102791</v>
      </c>
      <c r="O7575" s="38" t="n">
        <f aca="false">Sens!$O$7558*rpm_open*Sens!$O$7559/1000</f>
        <v>5.65745055762326</v>
      </c>
      <c r="P7575" s="5" t="s">
        <v>614</v>
      </c>
    </row>
    <row r="7576" customFormat="false" ht="17.15" hidden="false" customHeight="false" outlineLevel="0" collapsed="false">
      <c r="A7576" s="5" t="s">
        <v>615</v>
      </c>
      <c r="B7576" s="0" t="s">
        <v>173</v>
      </c>
      <c r="C7576" s="36" t="n">
        <f aca="false">Sens!$C$7575*1000/(Sens!$C$7558*Sens!$C$7559)</f>
        <v>9.67085565405685</v>
      </c>
      <c r="D7576" s="36" t="n">
        <f aca="false">Sens!$D$7575*1000/(Sens!$D$7558*Sens!$D$7559)</f>
        <v>9.67085565405685</v>
      </c>
      <c r="E7576" s="36" t="n">
        <f aca="false">Sens!$E$7575*1000/(Sens!$E$7558*Sens!$E$7559)</f>
        <v>9.67085565405685</v>
      </c>
      <c r="F7576" s="36" t="n">
        <f aca="false">Sens!$F$7575*1000/(Sens!$F$7558*Sens!$F$7559)</f>
        <v>10.0137581588017</v>
      </c>
      <c r="G7576" s="36" t="n">
        <f aca="false">Sens!$G$7575*1000/(Sens!$G$7558*Sens!$G$7559)</f>
        <v>9.88666562928478</v>
      </c>
      <c r="H7576" s="36" t="n">
        <f aca="false">Sens!$H$7575*1000/(Sens!$H$7558*Sens!$H$7559)</f>
        <v>10.5290045586992</v>
      </c>
      <c r="I7576" s="36" t="n">
        <f aca="false">Sens!$I$7575*1000/(Sens!$I$7558*Sens!$I$7559)</f>
        <v>10.8576363451674</v>
      </c>
      <c r="J7576" s="36" t="n">
        <f aca="false">Sens!$J$7575*1000/(Sens!$J$7558*Sens!$J$7559)</f>
        <v>11.0164452588619</v>
      </c>
      <c r="K7576" s="36" t="n">
        <f aca="false">Sens!$K$7575*1000/(Sens!$K$7558*Sens!$K$7559)</f>
        <v>11.0937367508227</v>
      </c>
      <c r="L7576" s="36" t="n">
        <f aca="false">Sens!$L$7575*1000/(Sens!$L$7558*Sens!$L$7559)</f>
        <v>11.1300508519168</v>
      </c>
      <c r="M7576" s="36" t="n">
        <f aca="false">Sens!$M$7575*1000/(Sens!$M$7558*Sens!$M$7559)</f>
        <v>11.1430113216297</v>
      </c>
      <c r="N7576" s="36" t="n">
        <f aca="false">Sens!$N$7575*1000/(Sens!$N$7558*Sens!$N$7559)</f>
        <v>9.67085565405685</v>
      </c>
      <c r="O7576" s="36" t="n">
        <f aca="false">Sens!$O$7575*1000/(Sens!$O$7558*Sens!$O$7559)</f>
        <v>9.67085565405685</v>
      </c>
    </row>
    <row r="7577" customFormat="false" ht="17.15" hidden="false" customHeight="false" outlineLevel="0" collapsed="false">
      <c r="A7577" s="0" t="s">
        <v>616</v>
      </c>
      <c r="B7577" s="0" t="s">
        <v>86</v>
      </c>
      <c r="C7577" s="38" t="n">
        <f aca="false">Sens!$C$7558/ext_sh*(ox_open+rent_mw)*Sens!$C$7559/1000</f>
        <v>0.642569210675032</v>
      </c>
      <c r="D7577" s="38" t="n">
        <f aca="false">Sens!$D$7558/ext_sh*(ox_open+rent_mw)*Sens!$D$7559/1000</f>
        <v>2.40963454003137</v>
      </c>
      <c r="E7577" s="38" t="n">
        <f aca="false">Sens!$E$7558/ext_sh*(ox_open+rent_mw)*Sens!$E$7559/1000</f>
        <v>2.35608710580845</v>
      </c>
      <c r="F7577" s="38" t="n">
        <f aca="false">((mw_open*ox_open+Sens!$F$7573*Sens!$F$7571)/ext_sh+Sens!$F$7558/ext_sh*rent_mw)*Sens!$F$7559/1000</f>
        <v>4.05421991106232</v>
      </c>
      <c r="G7577" s="38" t="n">
        <f aca="false">Sens!$E$7577+Sens!$F$7577</f>
        <v>6.41030701687077</v>
      </c>
      <c r="H7577" s="38" t="n">
        <f aca="false">((mw_open*ox_open+Sens!$H$7573*Sens!$H$7571)/ext_sh+Sens!$H$7558/ext_sh*rent_mw)*Sens!$H$7559/1000</f>
        <v>15.8108975546616</v>
      </c>
      <c r="I7577" s="38" t="n">
        <f aca="false">((mw_open*ox_open+Sens!$I$7573*Sens!$I$7571)/ext_sh+Sens!$I$7558/ext_sh*rent_mw)*Sens!$I$7559/1000</f>
        <v>26.1871623400817</v>
      </c>
      <c r="J7577" s="38" t="n">
        <f aca="false">((mw_open*ox_open+Sens!$J$7573*Sens!$J$7571)/ext_sh+Sens!$J$7558/ext_sh*rent_mw)*Sens!$J$7559/1000</f>
        <v>36.5826128954935</v>
      </c>
      <c r="K7577" s="38" t="n">
        <f aca="false">((mw_open*ox_open+Sens!$K$7573*Sens!$K$7571)/ext_sh+Sens!$K$7558/ext_sh*rent_mw)*Sens!$K$7559/1000</f>
        <v>45.4546361137628</v>
      </c>
      <c r="L7577" s="38" t="n">
        <f aca="false">((mw_open*ox_open+Sens!$L$7573*Sens!$L$7571)/ext_sh+Sens!$L$7558/ext_sh*rent_mw)*Sens!$L$7559/1000</f>
        <v>51.2855695554452</v>
      </c>
      <c r="M7577" s="38" t="n">
        <f aca="false">((mw_open*ox_open+Sens!$M$7573*Sens!$M$7571)/ext_sh+Sens!$M$7558/ext_sh*rent_mw)*Sens!$M$7559/1000</f>
        <v>54.0722927838398</v>
      </c>
      <c r="N7577" s="38" t="n">
        <f aca="false">Sens!$N$7558/ext_sh*(ox_open+rent_mw)*Sens!$N$7559/1000</f>
        <v>0.84337208901098</v>
      </c>
      <c r="O7577" s="38" t="n">
        <f aca="false">Sens!$O$7558/ext_sh*(ox_open+rent_mw)*Sens!$O$7559/1000</f>
        <v>1.56626245102039</v>
      </c>
    </row>
    <row r="7578" customFormat="false" ht="17.15" hidden="false" customHeight="false" outlineLevel="0" collapsed="false">
      <c r="A7578" s="0" t="s">
        <v>617</v>
      </c>
      <c r="B7578" s="0" t="s">
        <v>86</v>
      </c>
      <c r="C7578" s="38" t="n">
        <f aca="false">Q!$D$7</f>
        <v>107.556</v>
      </c>
      <c r="D7578" s="38" t="n">
        <f aca="false">Q!$E$7</f>
        <v>128.725</v>
      </c>
      <c r="E7578" s="38" t="n">
        <f aca="false">Q!$P$7</f>
        <v>79.819</v>
      </c>
      <c r="N7578" s="38" t="n">
        <f aca="false">Q!$N$7</f>
        <v>60.14</v>
      </c>
      <c r="O7578" s="38" t="n">
        <f aca="false">Q!$O$7</f>
        <v>68.585</v>
      </c>
    </row>
    <row r="7579" customFormat="false" ht="17.15" hidden="false" customHeight="false" outlineLevel="0" collapsed="false">
      <c r="A7579" s="1" t="s">
        <v>618</v>
      </c>
      <c r="B7579" s="8" t="s">
        <v>86</v>
      </c>
      <c r="C7579" s="38" t="n">
        <f aca="false">Sens!$C$7578-Sens!$C$7575</f>
        <v>105.234994643026</v>
      </c>
      <c r="D7579" s="38" t="n">
        <f aca="false">Sens!$D$7578-Sens!$D$7575</f>
        <v>120.021229911349</v>
      </c>
      <c r="E7579" s="38" t="n">
        <f aca="false">Sens!$E$7578-Sens!$E$7575</f>
        <v>71.30864702443</v>
      </c>
      <c r="F7579" s="38" t="n">
        <f aca="false">Sens!$O$7579*(1+Sens!$F$7580)</f>
        <v>71.7692997942464</v>
      </c>
      <c r="G7579" s="38" t="n">
        <f aca="false">Sens!$E$7579+Sens!$F$7579</f>
        <v>143.077946818676</v>
      </c>
      <c r="H7579" s="38" t="n">
        <f aca="false">Sens!$G$7579*(1+Sens!$H$7580)</f>
        <v>161.017077079203</v>
      </c>
      <c r="I7579" s="38" t="n">
        <f aca="false">Sens!$H$7579*(1+Sens!$I$7580)</f>
        <v>178.769759521457</v>
      </c>
      <c r="J7579" s="38" t="n">
        <f aca="false">Sens!$I$7579*(1+Sens!$J$7580)</f>
        <v>195.775538045907</v>
      </c>
      <c r="K7579" s="38" t="n">
        <f aca="false">Sens!$J$7579*(1+Sens!$K$7580)</f>
        <v>211.43758108958</v>
      </c>
      <c r="L7579" s="38" t="n">
        <f aca="false">Sens!$K$7579*(1+Sens!$L$7580)</f>
        <v>228.352587576746</v>
      </c>
      <c r="M7579" s="38" t="n">
        <f aca="false">Sens!$L$7579*(1+Sens!$M$7580)</f>
        <v>246.620794582886</v>
      </c>
      <c r="N7579" s="38" t="n">
        <f aca="false">Sens!$N$7578-Sens!$N$7575</f>
        <v>57.0936804689721</v>
      </c>
      <c r="O7579" s="38" t="n">
        <f aca="false">Sens!$O$7578-Sens!$O$7575</f>
        <v>62.9275494423768</v>
      </c>
      <c r="P7579" s="5" t="s">
        <v>619</v>
      </c>
    </row>
    <row r="7580" customFormat="false" ht="17.15" hidden="false" customHeight="false" outlineLevel="0" collapsed="false">
      <c r="A7580" s="0" t="s">
        <v>620</v>
      </c>
      <c r="B7580" s="0" t="s">
        <v>52</v>
      </c>
      <c r="D7580" s="13" t="n">
        <f aca="false">Sens!$D$7579/Sens!$C$7579-1</f>
        <v>0.140506827776062</v>
      </c>
      <c r="E7580" s="13" t="n">
        <f aca="false">Sens!$E$7579/Sens!$N$7579-1</f>
        <v>0.248976181579029</v>
      </c>
      <c r="F7580" s="13" t="n">
        <f aca="false">Sens!$D$7580</f>
        <v>0.140506827776062</v>
      </c>
      <c r="G7580" s="13" t="n">
        <f aca="false">Sens!$G$7579/Sens!$D$7579-1</f>
        <v>0.19210532106993</v>
      </c>
      <c r="H7580" s="13" t="n">
        <f aca="false">Sens!$F$7580+(g_awso_lt-Sens!$F$7580)*1/4</f>
        <v>0.125380120832046</v>
      </c>
      <c r="I7580" s="13" t="n">
        <f aca="false">Sens!$F$7580+(g_awso_lt-Sens!$F$7580)*2/4</f>
        <v>0.110253413888031</v>
      </c>
      <c r="J7580" s="13" t="n">
        <f aca="false">Sens!$F$7580+(g_awso_lt-Sens!$F$7580)*3/4</f>
        <v>0.0951267069440154</v>
      </c>
      <c r="K7580" s="13" t="n">
        <f aca="false">Sens!$F$7580+(g_awso_lt-Sens!$F$7580)*4/4</f>
        <v>0.08</v>
      </c>
      <c r="L7580" s="13" t="n">
        <f aca="false">g_awso_lt</f>
        <v>0.08</v>
      </c>
      <c r="M7580" s="13" t="n">
        <f aca="false">g_awso_lt</f>
        <v>0.08</v>
      </c>
      <c r="P7580" s="5" t="s">
        <v>621</v>
      </c>
    </row>
    <row r="7581" customFormat="false" ht="17.15" hidden="false" customHeight="false" outlineLevel="0" collapsed="false">
      <c r="A7581" s="1" t="s">
        <v>622</v>
      </c>
    </row>
    <row r="7582" customFormat="false" ht="17.15" hidden="false" customHeight="false" outlineLevel="0" collapsed="false">
      <c r="A7582" s="0" t="s">
        <v>623</v>
      </c>
      <c r="B7582" s="0" t="s">
        <v>86</v>
      </c>
      <c r="F7582" s="38" t="n">
        <f aca="false">cx_rt*Sens!$F$7547+cx_awso*Sens!$F$7579</f>
        <v>34.9734495387866</v>
      </c>
    </row>
    <row r="7583" customFormat="false" ht="17.15" hidden="false" customHeight="false" outlineLevel="0" collapsed="false">
      <c r="A7583" s="0" t="s">
        <v>624</v>
      </c>
      <c r="B7583" s="0" t="s">
        <v>52</v>
      </c>
      <c r="C7583" s="13" t="n">
        <f aca="false">tk_cx_h100/(tk_cx_h100+tk_fac*(1-colo_sh))</f>
        <v>0.730756458006641</v>
      </c>
      <c r="D7583" s="13" t="n">
        <f aca="false">tk_cx_h100/(tk_cx_h100+tk_fac*(1-colo_sh))</f>
        <v>0.730756458006641</v>
      </c>
      <c r="E7583" s="13" t="n">
        <f aca="false">Sens!$F$7583</f>
        <v>0.760792334328868</v>
      </c>
      <c r="F7583" s="13" t="n">
        <f aca="false">Sens!$F$7566/(Sens!$F$7566+tk_fac*(1-colo_sh))</f>
        <v>0.760792334328868</v>
      </c>
      <c r="G7583" s="13" t="n">
        <f aca="false">Sens!$G$7566/(Sens!$G$7566+tk_fac*(1-colo_sh))</f>
        <v>0.760792334328868</v>
      </c>
      <c r="H7583" s="13" t="n">
        <f aca="false">Sens!$H$7566/(Sens!$H$7566+tk_fac*(1-colo_sh))</f>
        <v>0.768110668862996</v>
      </c>
      <c r="I7583" s="13" t="n">
        <f aca="false">Sens!$I$7566/(Sens!$I$7566+tk_fac*(1-colo_sh))</f>
        <v>0.77499450139483</v>
      </c>
      <c r="J7583" s="13" t="n">
        <f aca="false">Sens!$J$7566/(Sens!$J$7566+tk_fac*(1-colo_sh))</f>
        <v>0.77499450139483</v>
      </c>
      <c r="K7583" s="13" t="n">
        <f aca="false">Sens!$K$7566/(Sens!$K$7566+tk_fac*(1-colo_sh))</f>
        <v>0.77499450139483</v>
      </c>
      <c r="L7583" s="13" t="n">
        <f aca="false">Sens!$L$7566/(Sens!$L$7566+tk_fac*(1-colo_sh))</f>
        <v>0.77499450139483</v>
      </c>
      <c r="M7583" s="13" t="n">
        <f aca="false">Sens!$M$7566/(Sens!$M$7566+tk_fac*(1-colo_sh))</f>
        <v>0.77499450139483</v>
      </c>
    </row>
    <row r="7584" customFormat="false" ht="17.15" hidden="false" customHeight="false" outlineLevel="0" collapsed="false">
      <c r="A7584" s="1" t="s">
        <v>625</v>
      </c>
      <c r="B7584" s="8" t="s">
        <v>86</v>
      </c>
      <c r="C7584" s="38" t="n">
        <f aca="false">Q!$D$46-cx_rt*Q!$D$16-cx_awso*Sens!$C$7579</f>
        <v>25.2781053077374</v>
      </c>
      <c r="D7584" s="38" t="n">
        <f aca="false">Q!$E$46-cx_rt*Q!$E$16-cx_awso*Sens!$D$7579</f>
        <v>69.5686316310026</v>
      </c>
      <c r="E7584" s="38" t="n">
        <f aca="false">Q!$P$46-cx_rt*Q!$P$16-cx_awso*Sens!$E$7579</f>
        <v>64.1899206485108</v>
      </c>
      <c r="F7584" s="38" t="n">
        <f aca="false">MAX(Sens!$F$7561*(Sens!$F$7566+tk_fac*(1-colo_sh))/1000,capex_g26-Q!$P$46-Sens!$F$7582)</f>
        <v>96.2481299895</v>
      </c>
      <c r="G7584" s="38" t="n">
        <f aca="false">Sens!$E$7584+Sens!$F$7584</f>
        <v>160.438050638011</v>
      </c>
      <c r="H7584" s="38" t="n">
        <f aca="false">Sens!$H$7561*(Sens!$H$7566+tk_fac*(1-colo_sh))/1000+Sens!$H$7585</f>
        <v>198.57136494475</v>
      </c>
      <c r="I7584" s="38" t="n">
        <f aca="false">Sens!$I$7561*(Sens!$I$7566+tk_fac*(1-colo_sh))/1000+Sens!$I$7585</f>
        <v>204.6464699105</v>
      </c>
      <c r="J7584" s="38" t="n">
        <f aca="false">Sens!$J$7561*(Sens!$J$7566+tk_fac*(1-colo_sh))/1000+Sens!$J$7585</f>
        <v>209.8832381105</v>
      </c>
      <c r="K7584" s="38" t="n">
        <f aca="false">Sens!$K$7561*(Sens!$K$7566+tk_fac*(1-colo_sh))/1000+Sens!$K$7585</f>
        <v>155.238385275201</v>
      </c>
      <c r="L7584" s="38" t="n">
        <f aca="false">Sens!$L$7561*(Sens!$L$7566+tk_fac*(1-colo_sh))/1000+Sens!$L$7585</f>
        <v>132.014141639902</v>
      </c>
      <c r="M7584" s="38" t="n">
        <f aca="false">Sens!$M$7561*(Sens!$M$7566+tk_fac*(1-colo_sh))/1000+Sens!$M$7585</f>
        <v>132.230981659852</v>
      </c>
      <c r="P7584" s="5" t="s">
        <v>626</v>
      </c>
      <c r="R7584" s="38" t="n">
        <f aca="false">Q!$C$46-cx_rt*Q!$C$16-cx_awso*(Q!$C$7-mw_ye23/2*rpm_open/1000)</f>
        <v>1.50429979529945</v>
      </c>
      <c r="S7584" s="38" t="n">
        <f aca="false">Sens!$C$7584</f>
        <v>25.2781053077374</v>
      </c>
      <c r="T7584" s="38" t="n">
        <f aca="false">Sens!$D$7584</f>
        <v>69.5686316310026</v>
      </c>
      <c r="U7584" s="38" t="n">
        <f aca="false">Sens!$G$7584</f>
        <v>160.438050638011</v>
      </c>
      <c r="V7584" s="38" t="n">
        <f aca="false">Sens!$H$7584</f>
        <v>198.57136494475</v>
      </c>
      <c r="W7584" s="38" t="n">
        <f aca="false">Sens!$I$7584</f>
        <v>204.6464699105</v>
      </c>
      <c r="X7584" s="38" t="n">
        <f aca="false">Sens!$J$7584</f>
        <v>209.8832381105</v>
      </c>
      <c r="Y7584" s="38" t="n">
        <f aca="false">Sens!$K$7584</f>
        <v>155.238385275201</v>
      </c>
      <c r="Z7584" s="38" t="n">
        <f aca="false">Sens!$L$7584</f>
        <v>132.014141639902</v>
      </c>
      <c r="AA7584" s="38" t="n">
        <f aca="false">Sens!$M$7584</f>
        <v>132.230981659852</v>
      </c>
    </row>
    <row r="7585" customFormat="false" ht="17.15" hidden="false" customHeight="false" outlineLevel="0" collapsed="false">
      <c r="A7585" s="0" t="s">
        <v>627</v>
      </c>
      <c r="B7585" s="0" t="s">
        <v>86</v>
      </c>
      <c r="H7585" s="38" t="n">
        <f aca="false">SUMPRODUCT(--(Sens!$R$7554:$AA$7554=2027-tk_life),Sens!$R$7561:$AA$7561)*Sens!$H$7566/1000</f>
        <v>0</v>
      </c>
      <c r="I7585" s="38" t="n">
        <f aca="false">SUMPRODUCT(--(Sens!$R$7554:$AA$7554=2028-tk_life),Sens!$R$7561:$AA$7561)*Sens!$I$7566/1000</f>
        <v>0</v>
      </c>
      <c r="J7585" s="38" t="n">
        <f aca="false">SUMPRODUCT(--(Sens!$R$7554:$AA$7554=2029-tk_life),Sens!$R$7561:$AA$7561)*Sens!$J$7566/1000</f>
        <v>5.2367682</v>
      </c>
      <c r="K7585" s="38" t="n">
        <f aca="false">SUMPRODUCT(--(Sens!$R$7554:$AA$7554=2030-tk_life),Sens!$R$7561:$AA$7561)*Sens!$K$7566/1000</f>
        <v>10.4735364</v>
      </c>
      <c r="L7585" s="38" t="n">
        <f aca="false">SUMPRODUCT(--(Sens!$R$7554:$AA$7554=2031-tk_life),Sens!$R$7561:$AA$7561)*Sens!$L$7566/1000</f>
        <v>47.1309138</v>
      </c>
      <c r="M7585" s="38" t="n">
        <f aca="false">SUMPRODUCT(--(Sens!$R$7554:$AA$7554=2032-tk_life),Sens!$R$7561:$AA$7561)*Sens!$M$7566/1000</f>
        <v>107.22937485525</v>
      </c>
    </row>
    <row r="7586" customFormat="false" ht="17.15" hidden="false" customHeight="false" outlineLevel="0" collapsed="false">
      <c r="A7586" s="5" t="s">
        <v>628</v>
      </c>
      <c r="B7586" s="0" t="s">
        <v>86</v>
      </c>
      <c r="C7586" s="38" t="n">
        <f aca="false">Sens!$C$7584*Sens!$C$7583</f>
        <v>18.472138699801</v>
      </c>
      <c r="D7586" s="38" t="n">
        <f aca="false">Sens!$D$7584*Sens!$D$7583</f>
        <v>50.8377268390402</v>
      </c>
      <c r="E7586" s="38" t="n">
        <f aca="false">Sens!$E$7584*Sens!$E$7583</f>
        <v>48.8351995705653</v>
      </c>
      <c r="F7586" s="38" t="n">
        <f aca="false">Sens!$F$7584*Sens!$F$7583</f>
        <v>73.2248394895</v>
      </c>
      <c r="G7586" s="38" t="n">
        <f aca="false">Sens!$E$7586+Sens!$F$7586</f>
        <v>122.060039060065</v>
      </c>
      <c r="H7586" s="38" t="n">
        <f aca="false">(Sens!$H$7584-Sens!$H$7585)*Sens!$H$7583+Sens!$H$7585</f>
        <v>152.52478394475</v>
      </c>
      <c r="I7586" s="38" t="n">
        <f aca="false">(Sens!$I$7584-Sens!$I$7585)*Sens!$I$7583+Sens!$I$7585</f>
        <v>158.5998889105</v>
      </c>
      <c r="J7586" s="38" t="n">
        <f aca="false">(Sens!$J$7584-Sens!$J$7585)*Sens!$J$7583+Sens!$J$7585</f>
        <v>163.8366571105</v>
      </c>
      <c r="K7586" s="38" t="n">
        <f aca="false">(Sens!$K$7584-Sens!$K$7585)*Sens!$K$7583+Sens!$K$7585</f>
        <v>122.665498273534</v>
      </c>
      <c r="L7586" s="38" t="n">
        <f aca="false">(Sens!$L$7584-Sens!$L$7585)*Sens!$L$7583+Sens!$L$7585</f>
        <v>112.914948636568</v>
      </c>
      <c r="M7586" s="38" t="n">
        <f aca="false">(Sens!$M$7584-Sens!$M$7585)*Sens!$M$7583+Sens!$M$7585</f>
        <v>126.605482654852</v>
      </c>
      <c r="R7586" s="38" t="n">
        <f aca="false">Sens!$R$7584*Sens!$C$7583</f>
        <v>1.09927679019314</v>
      </c>
      <c r="S7586" s="38" t="n">
        <f aca="false">Sens!$C$7586</f>
        <v>18.472138699801</v>
      </c>
      <c r="T7586" s="38" t="n">
        <f aca="false">Sens!$D$7586</f>
        <v>50.8377268390402</v>
      </c>
      <c r="U7586" s="38" t="n">
        <f aca="false">Sens!$G$7586</f>
        <v>122.060039060065</v>
      </c>
      <c r="V7586" s="38" t="n">
        <f aca="false">Sens!$H$7586</f>
        <v>152.52478394475</v>
      </c>
      <c r="W7586" s="38" t="n">
        <f aca="false">Sens!$I$7586</f>
        <v>158.5998889105</v>
      </c>
      <c r="X7586" s="38" t="n">
        <f aca="false">Sens!$J$7586</f>
        <v>163.8366571105</v>
      </c>
      <c r="Y7586" s="38" t="n">
        <f aca="false">Sens!$K$7586</f>
        <v>122.665498273534</v>
      </c>
      <c r="Z7586" s="38" t="n">
        <f aca="false">Sens!$L$7586</f>
        <v>112.914948636568</v>
      </c>
      <c r="AA7586" s="38" t="n">
        <f aca="false">Sens!$M$7586</f>
        <v>126.605482654852</v>
      </c>
    </row>
    <row r="7587" customFormat="false" ht="15" hidden="false" customHeight="false" outlineLevel="0" collapsed="false">
      <c r="A7587" s="5" t="s">
        <v>629</v>
      </c>
      <c r="B7587" s="0" t="s">
        <v>86</v>
      </c>
      <c r="C7587" s="38" t="n">
        <f aca="false">Sens!$C$7584-Sens!$C$7586</f>
        <v>6.80596660793636</v>
      </c>
      <c r="D7587" s="38" t="n">
        <f aca="false">Sens!$D$7584-Sens!$D$7586</f>
        <v>18.7309047919624</v>
      </c>
      <c r="E7587" s="38" t="n">
        <f aca="false">Sens!$E$7584-Sens!$E$7586</f>
        <v>15.3547210779455</v>
      </c>
      <c r="F7587" s="38" t="n">
        <f aca="false">Sens!$F$7584-Sens!$F$7586</f>
        <v>23.0232905</v>
      </c>
      <c r="G7587" s="38" t="n">
        <f aca="false">Sens!$G$7584-Sens!$G$7586</f>
        <v>38.3780115779455</v>
      </c>
      <c r="H7587" s="38" t="n">
        <f aca="false">Sens!$H$7584-Sens!$H$7586</f>
        <v>46.046581</v>
      </c>
      <c r="I7587" s="38" t="n">
        <f aca="false">Sens!$I$7584-Sens!$I$7586</f>
        <v>46.046581</v>
      </c>
      <c r="J7587" s="38" t="n">
        <f aca="false">Sens!$J$7584-Sens!$J$7586</f>
        <v>46.046581</v>
      </c>
      <c r="K7587" s="38" t="n">
        <f aca="false">Sens!$K$7584-Sens!$K$7586</f>
        <v>32.5728870016667</v>
      </c>
      <c r="L7587" s="38" t="n">
        <f aca="false">Sens!$L$7584-Sens!$L$7586</f>
        <v>19.0991930033334</v>
      </c>
      <c r="M7587" s="38" t="n">
        <f aca="false">Sens!$M$7584-Sens!$M$7586</f>
        <v>5.62549900499998</v>
      </c>
      <c r="R7587" s="38" t="n">
        <f aca="false">Sens!$R$7584-Sens!$R$7586</f>
        <v>0.405023005106309</v>
      </c>
      <c r="S7587" s="38" t="n">
        <f aca="false">Sens!$S$7584-Sens!$S$7586</f>
        <v>6.80596660793636</v>
      </c>
      <c r="T7587" s="38" t="n">
        <f aca="false">Sens!$T$7584-Sens!$T$7586</f>
        <v>18.7309047919624</v>
      </c>
      <c r="U7587" s="38" t="n">
        <f aca="false">Sens!$U$7584-Sens!$U$7586</f>
        <v>38.3780115779455</v>
      </c>
      <c r="V7587" s="38" t="n">
        <f aca="false">Sens!$V$7584-Sens!$V$7586</f>
        <v>46.046581</v>
      </c>
      <c r="W7587" s="38" t="n">
        <f aca="false">Sens!$W$7584-Sens!$W$7586</f>
        <v>46.046581</v>
      </c>
      <c r="X7587" s="38" t="n">
        <f aca="false">Sens!$X$7584-Sens!$X$7586</f>
        <v>46.046581</v>
      </c>
      <c r="Y7587" s="38" t="n">
        <f aca="false">Sens!$Y$7584-Sens!$Y$7586</f>
        <v>32.5728870016667</v>
      </c>
      <c r="Z7587" s="38" t="n">
        <f aca="false">Sens!$Z$7584-Sens!$Z$7586</f>
        <v>19.0991930033334</v>
      </c>
      <c r="AA7587" s="38" t="n">
        <f aca="false">Sens!$AA$7584-Sens!$AA$7586</f>
        <v>5.62549900499998</v>
      </c>
    </row>
    <row r="7588" customFormat="false" ht="17.15" hidden="false" customHeight="false" outlineLevel="0" collapsed="false">
      <c r="A7588" s="0" t="s">
        <v>630</v>
      </c>
      <c r="B7588" s="0" t="s">
        <v>52</v>
      </c>
      <c r="C7588" s="13" t="n">
        <f aca="false">Sens!$C$7584/Sens!$C$7704</f>
        <v>0.325505489553393</v>
      </c>
      <c r="D7588" s="13" t="n">
        <f aca="false">Sens!$D$7584/Sens!$D$7704</f>
        <v>0.54214956071542</v>
      </c>
      <c r="E7588" s="13" t="n">
        <f aca="false">Sens!$E$7584/Sens!$E$7704</f>
        <v>0.666492790452817</v>
      </c>
      <c r="F7588" s="13" t="n">
        <f aca="false">Sens!$F$7584/Sens!$F$7704</f>
        <v>0.733477910687338</v>
      </c>
      <c r="G7588" s="13" t="n">
        <f aca="false">Sens!$G$7584/Sens!$G$7704</f>
        <v>0.705124321514523</v>
      </c>
      <c r="H7588" s="13" t="n">
        <f aca="false">Sens!$H$7584/Sens!$H$7704</f>
        <v>0.726376041178204</v>
      </c>
      <c r="I7588" s="13" t="n">
        <f aca="false">Sens!$I$7584/Sens!$I$7704</f>
        <v>0.713099092661699</v>
      </c>
      <c r="J7588" s="13" t="n">
        <f aca="false">Sens!$J$7584/Sens!$J$7704</f>
        <v>0.701208348786245</v>
      </c>
      <c r="K7588" s="13" t="n">
        <f aca="false">Sens!$K$7584/Sens!$K$7704</f>
        <v>0.618338844562383</v>
      </c>
      <c r="L7588" s="13" t="n">
        <f aca="false">Sens!$L$7584/Sens!$L$7704</f>
        <v>0.562489158462506</v>
      </c>
      <c r="M7588" s="13" t="n">
        <f aca="false">Sens!$M$7584/Sens!$M$7704</f>
        <v>0.545751190895923</v>
      </c>
    </row>
    <row r="7589" customFormat="false" ht="17.15" hidden="false" customHeight="false" outlineLevel="0" collapsed="false">
      <c r="A7589" s="0" t="s">
        <v>631</v>
      </c>
      <c r="B7589" s="0" t="s">
        <v>86</v>
      </c>
      <c r="C7589" s="38" t="n">
        <f aca="false">Sens!$S$7589</f>
        <v>0.183212798365523</v>
      </c>
      <c r="D7589" s="38" t="n">
        <f aca="false">Sens!$T$7589</f>
        <v>3.2619025816657</v>
      </c>
      <c r="E7589" s="38" t="n">
        <f aca="false">Sens!$G$7589/2</f>
        <v>5.86742852741953</v>
      </c>
      <c r="F7589" s="38" t="n">
        <f aca="false">Sens!$G$7589/2</f>
        <v>5.86742852741953</v>
      </c>
      <c r="G7589" s="38" t="n">
        <f aca="false">Sens!$U$7589</f>
        <v>11.7348570548391</v>
      </c>
      <c r="H7589" s="38" t="n">
        <f aca="false">Sens!$V$7589</f>
        <v>32.0781968981833</v>
      </c>
      <c r="I7589" s="38" t="n">
        <f aca="false">Sens!$W$7589</f>
        <v>57.4989942223083</v>
      </c>
      <c r="J7589" s="38" t="n">
        <f aca="false">Sens!$X$7589</f>
        <v>83.932309040725</v>
      </c>
      <c r="K7589" s="38" t="n">
        <f aca="false">Sens!$Y$7589</f>
        <v>111.055205760776</v>
      </c>
      <c r="L7589" s="38" t="n">
        <f aca="false">Sens!$Z$7589</f>
        <v>128.420765689732</v>
      </c>
      <c r="M7589" s="38" t="n">
        <f aca="false">Sens!$AA$7589</f>
        <v>138.766969322653</v>
      </c>
      <c r="N7589" s="38" t="n">
        <f aca="false">Sens!$D$7589/2</f>
        <v>1.63095129083285</v>
      </c>
      <c r="O7589" s="38" t="n">
        <f aca="false">Sens!$D$7589/2</f>
        <v>1.63095129083285</v>
      </c>
      <c r="R7589" s="38" t="n">
        <f aca="false">SUMPRODUCT(--(Sens!$R$7554:$AA$7554&lt;Sens!R$7554),--(Sens!$R$7554:$AA$7554&gt;=Sens!R$7554-tk_life),Sens!$R$7586:$AA$7586)/tk_life</f>
        <v>0</v>
      </c>
      <c r="S7589" s="38" t="n">
        <f aca="false">SUMPRODUCT(--(Sens!$R$7554:$AA$7554&lt;Sens!S$7554),--(Sens!$R$7554:$AA$7554&gt;=Sens!S$7554-tk_life),Sens!$R$7586:$AA$7586)/tk_life</f>
        <v>0.183212798365523</v>
      </c>
      <c r="T7589" s="38" t="n">
        <f aca="false">SUMPRODUCT(--(Sens!$R$7554:$AA$7554&lt;Sens!T$7554),--(Sens!$R$7554:$AA$7554&gt;=Sens!T$7554-tk_life),Sens!$R$7586:$AA$7586)/tk_life</f>
        <v>3.2619025816657</v>
      </c>
      <c r="U7589" s="38" t="n">
        <f aca="false">SUMPRODUCT(--(Sens!$R$7554:$AA$7554&lt;Sens!U$7554),--(Sens!$R$7554:$AA$7554&gt;=Sens!U$7554-tk_life),Sens!$R$7586:$AA$7586)/tk_life</f>
        <v>11.7348570548391</v>
      </c>
      <c r="V7589" s="38" t="n">
        <f aca="false">SUMPRODUCT(--(Sens!$R$7554:$AA$7554&lt;Sens!V$7554),--(Sens!$R$7554:$AA$7554&gt;=Sens!V$7554-tk_life),Sens!$R$7586:$AA$7586)/tk_life</f>
        <v>32.0781968981833</v>
      </c>
      <c r="W7589" s="38" t="n">
        <f aca="false">SUMPRODUCT(--(Sens!$R$7554:$AA$7554&lt;Sens!W$7554),--(Sens!$R$7554:$AA$7554&gt;=Sens!W$7554-tk_life),Sens!$R$7586:$AA$7586)/tk_life</f>
        <v>57.4989942223083</v>
      </c>
      <c r="X7589" s="38" t="n">
        <f aca="false">SUMPRODUCT(--(Sens!$R$7554:$AA$7554&lt;Sens!X$7554),--(Sens!$R$7554:$AA$7554&gt;=Sens!X$7554-tk_life),Sens!$R$7586:$AA$7586)/tk_life</f>
        <v>83.932309040725</v>
      </c>
      <c r="Y7589" s="38" t="n">
        <f aca="false">SUMPRODUCT(--(Sens!$R$7554:$AA$7554&lt;Sens!Y$7554),--(Sens!$R$7554:$AA$7554&gt;=Sens!Y$7554-tk_life),Sens!$R$7586:$AA$7586)/tk_life</f>
        <v>111.055205760776</v>
      </c>
      <c r="Z7589" s="38" t="n">
        <f aca="false">SUMPRODUCT(--(Sens!$R$7554:$AA$7554&lt;Sens!Z$7554),--(Sens!$R$7554:$AA$7554&gt;=Sens!Z$7554-tk_life),Sens!$R$7586:$AA$7586)/tk_life</f>
        <v>128.420765689732</v>
      </c>
      <c r="AA7589" s="38" t="n">
        <f aca="false">SUMPRODUCT(--(Sens!$R$7554:$AA$7554&lt;Sens!AA$7554),--(Sens!$R$7554:$AA$7554&gt;=Sens!AA$7554-tk_life),Sens!$R$7586:$AA$7586)/tk_life</f>
        <v>138.766969322653</v>
      </c>
    </row>
    <row r="7590" customFormat="false" ht="17.15" hidden="false" customHeight="false" outlineLevel="0" collapsed="false">
      <c r="A7590" s="0" t="s">
        <v>632</v>
      </c>
      <c r="B7590" s="0" t="s">
        <v>86</v>
      </c>
      <c r="C7590" s="38" t="n">
        <f aca="false">Sens!$S$7590</f>
        <v>0.0202511502553155</v>
      </c>
      <c r="D7590" s="38" t="n">
        <f aca="false">Sens!$T$7590</f>
        <v>0.360549480652134</v>
      </c>
      <c r="E7590" s="38" t="n">
        <f aca="false">Sens!$G$7590/2</f>
        <v>0.648547360125127</v>
      </c>
      <c r="F7590" s="38" t="n">
        <f aca="false">Sens!$G$7590/2</f>
        <v>0.648547360125127</v>
      </c>
      <c r="G7590" s="38" t="n">
        <f aca="false">Sens!$U$7590</f>
        <v>1.29709472025025</v>
      </c>
      <c r="H7590" s="38" t="n">
        <f aca="false">Sens!$V$7590</f>
        <v>3.21599529914753</v>
      </c>
      <c r="I7590" s="38" t="n">
        <f aca="false">Sens!$W$7590</f>
        <v>5.51832434914753</v>
      </c>
      <c r="J7590" s="38" t="n">
        <f aca="false">Sens!$X$7590</f>
        <v>7.82065339914753</v>
      </c>
      <c r="K7590" s="38" t="n">
        <f aca="false">Sens!$Y$7590</f>
        <v>10.1229824491475</v>
      </c>
      <c r="L7590" s="38" t="n">
        <f aca="false">Sens!$Z$7590</f>
        <v>11.7516267992309</v>
      </c>
      <c r="M7590" s="38" t="n">
        <f aca="false">Sens!$AA$7590</f>
        <v>12.7065864493975</v>
      </c>
      <c r="N7590" s="38" t="n">
        <f aca="false">Sens!$D$7590/2</f>
        <v>0.180274740326067</v>
      </c>
      <c r="O7590" s="38" t="n">
        <f aca="false">Sens!$D$7590/2</f>
        <v>0.180274740326067</v>
      </c>
      <c r="R7590" s="38" t="n">
        <f aca="false">SUMPRODUCT(--(Sens!$R$7554:$AA$7554&lt;Sens!R$7554),Sens!$R$7587:$AA$7587)/fac_life</f>
        <v>0</v>
      </c>
      <c r="S7590" s="38" t="n">
        <f aca="false">SUMPRODUCT(--(Sens!$R$7554:$AA$7554&lt;Sens!S$7554),Sens!$R$7587:$AA$7587)/fac_life</f>
        <v>0.0202511502553155</v>
      </c>
      <c r="T7590" s="38" t="n">
        <f aca="false">SUMPRODUCT(--(Sens!$R$7554:$AA$7554&lt;Sens!T$7554),Sens!$R$7587:$AA$7587)/fac_life</f>
        <v>0.360549480652134</v>
      </c>
      <c r="U7590" s="38" t="n">
        <f aca="false">SUMPRODUCT(--(Sens!$R$7554:$AA$7554&lt;Sens!U$7554),Sens!$R$7587:$AA$7587)/fac_life</f>
        <v>1.29709472025025</v>
      </c>
      <c r="V7590" s="38" t="n">
        <f aca="false">SUMPRODUCT(--(Sens!$R$7554:$AA$7554&lt;Sens!V$7554),Sens!$R$7587:$AA$7587)/fac_life</f>
        <v>3.21599529914753</v>
      </c>
      <c r="W7590" s="38" t="n">
        <f aca="false">SUMPRODUCT(--(Sens!$R$7554:$AA$7554&lt;Sens!W$7554),Sens!$R$7587:$AA$7587)/fac_life</f>
        <v>5.51832434914753</v>
      </c>
      <c r="X7590" s="38" t="n">
        <f aca="false">SUMPRODUCT(--(Sens!$R$7554:$AA$7554&lt;Sens!X$7554),Sens!$R$7587:$AA$7587)/fac_life</f>
        <v>7.82065339914753</v>
      </c>
      <c r="Y7590" s="38" t="n">
        <f aca="false">SUMPRODUCT(--(Sens!$R$7554:$AA$7554&lt;Sens!Y$7554),Sens!$R$7587:$AA$7587)/fac_life</f>
        <v>10.1229824491475</v>
      </c>
      <c r="Z7590" s="38" t="n">
        <f aca="false">SUMPRODUCT(--(Sens!$R$7554:$AA$7554&lt;Sens!Z$7554),Sens!$R$7587:$AA$7587)/fac_life</f>
        <v>11.7516267992309</v>
      </c>
      <c r="AA7590" s="38" t="n">
        <f aca="false">SUMPRODUCT(--(Sens!$R$7554:$AA$7554&lt;Sens!AA$7554),Sens!$R$7587:$AA$7587)/fac_life</f>
        <v>12.7065864493975</v>
      </c>
    </row>
    <row r="7591" customFormat="false" ht="17.15" hidden="false" customHeight="false" outlineLevel="0" collapsed="false">
      <c r="A7591" s="1" t="s">
        <v>633</v>
      </c>
      <c r="B7591" s="8" t="s">
        <v>86</v>
      </c>
      <c r="C7591" s="38" t="n">
        <f aca="false">Sens!$C$7589+Sens!$C$7590</f>
        <v>0.203463948620839</v>
      </c>
      <c r="D7591" s="38" t="n">
        <f aca="false">Sens!$D$7589+Sens!$D$7590</f>
        <v>3.62245206231783</v>
      </c>
      <c r="E7591" s="38" t="n">
        <f aca="false">Sens!$E$7589+Sens!$E$7590</f>
        <v>6.51597588754466</v>
      </c>
      <c r="F7591" s="38" t="n">
        <f aca="false">Sens!$F$7589+Sens!$F$7590</f>
        <v>6.51597588754466</v>
      </c>
      <c r="G7591" s="38" t="n">
        <f aca="false">Sens!$G$7589+Sens!$G$7590</f>
        <v>13.0319517750893</v>
      </c>
      <c r="H7591" s="38" t="n">
        <f aca="false">Sens!$H$7589+Sens!$H$7590</f>
        <v>35.2941921973308</v>
      </c>
      <c r="I7591" s="38" t="n">
        <f aca="false">Sens!$I$7589+Sens!$I$7590</f>
        <v>63.0173185714558</v>
      </c>
      <c r="J7591" s="38" t="n">
        <f aca="false">Sens!$J$7589+Sens!$J$7590</f>
        <v>91.7529624398725</v>
      </c>
      <c r="K7591" s="38" t="n">
        <f aca="false">Sens!$K$7589+Sens!$K$7590</f>
        <v>121.178188209924</v>
      </c>
      <c r="L7591" s="38" t="n">
        <f aca="false">Sens!$L$7589+Sens!$L$7590</f>
        <v>140.172392488963</v>
      </c>
      <c r="M7591" s="38" t="n">
        <f aca="false">Sens!$M$7589+Sens!$M$7590</f>
        <v>151.473555772051</v>
      </c>
      <c r="N7591" s="38" t="n">
        <f aca="false">Sens!$N$7589+Sens!$N$7590</f>
        <v>1.81122603115892</v>
      </c>
      <c r="O7591" s="38" t="n">
        <f aca="false">Sens!$O$7589+Sens!$O$7590</f>
        <v>1.81122603115892</v>
      </c>
      <c r="R7591" s="38" t="n">
        <f aca="false">Sens!$R$7589+Sens!$R$7590</f>
        <v>0</v>
      </c>
      <c r="S7591" s="38" t="n">
        <f aca="false">Sens!$S$7589+Sens!$S$7590</f>
        <v>0.203463948620839</v>
      </c>
      <c r="T7591" s="38" t="n">
        <f aca="false">Sens!$T$7589+Sens!$T$7590</f>
        <v>3.62245206231783</v>
      </c>
      <c r="U7591" s="38" t="n">
        <f aca="false">Sens!$U$7589+Sens!$U$7590</f>
        <v>13.0319517750893</v>
      </c>
      <c r="V7591" s="38" t="n">
        <f aca="false">Sens!$V$7589+Sens!$V$7590</f>
        <v>35.2941921973308</v>
      </c>
      <c r="W7591" s="38" t="n">
        <f aca="false">Sens!$W$7589+Sens!$W$7590</f>
        <v>63.0173185714558</v>
      </c>
      <c r="X7591" s="38" t="n">
        <f aca="false">Sens!$X$7589+Sens!$X$7590</f>
        <v>91.7529624398725</v>
      </c>
      <c r="Y7591" s="38" t="n">
        <f aca="false">Sens!$Y$7589+Sens!$Y$7590</f>
        <v>121.178188209924</v>
      </c>
      <c r="Z7591" s="38" t="n">
        <f aca="false">Sens!$Z$7589+Sens!$Z$7590</f>
        <v>140.172392488963</v>
      </c>
      <c r="AA7591" s="38" t="n">
        <f aca="false">Sens!$AA$7589+Sens!$AA$7590</f>
        <v>151.473555772051</v>
      </c>
    </row>
    <row r="7592" customFormat="false" ht="17.15" hidden="false" customHeight="false" outlineLevel="0" collapsed="false">
      <c r="A7592" s="0" t="s">
        <v>634</v>
      </c>
      <c r="B7592" s="0" t="s">
        <v>86</v>
      </c>
      <c r="C7592" s="38" t="n">
        <f aca="false">Sens!$S$7592</f>
        <v>26.578941154416</v>
      </c>
      <c r="D7592" s="38" t="n">
        <f aca="false">Sens!$T$7592</f>
        <v>92.5251207231008</v>
      </c>
      <c r="G7592" s="38" t="n">
        <f aca="false">Sens!$U$7592</f>
        <v>239.931219586022</v>
      </c>
      <c r="H7592" s="38" t="n">
        <f aca="false">Sens!$V$7592</f>
        <v>403.208392333442</v>
      </c>
      <c r="I7592" s="38" t="n">
        <f aca="false">Sens!$W$7592</f>
        <v>544.837543672486</v>
      </c>
      <c r="J7592" s="38" t="n">
        <f aca="false">Sens!$X$7592</f>
        <v>662.967819343113</v>
      </c>
      <c r="K7592" s="38" t="n">
        <f aca="false">Sens!$Y$7592</f>
        <v>697.028016408391</v>
      </c>
      <c r="L7592" s="38" t="n">
        <f aca="false">Sens!$Z$7592</f>
        <v>688.86976555933</v>
      </c>
      <c r="M7592" s="38" t="n">
        <f aca="false">Sens!$AA$7592</f>
        <v>669.627191447132</v>
      </c>
      <c r="R7592" s="38" t="n">
        <f aca="false">SUM(Sens!$R$7584:$R$7584)-SUM(Sens!$R$7591:$R$7591)</f>
        <v>1.50429979529945</v>
      </c>
      <c r="S7592" s="38" t="n">
        <f aca="false">SUM(Sens!$R$7584:$S$7584)-SUM(Sens!$R$7591:$S$7591)</f>
        <v>26.578941154416</v>
      </c>
      <c r="T7592" s="38" t="n">
        <f aca="false">SUM(Sens!$R$7584:$T$7584)-SUM(Sens!$R$7591:$T$7591)</f>
        <v>92.5251207231008</v>
      </c>
      <c r="U7592" s="38" t="n">
        <f aca="false">SUM(Sens!$R$7584:$U$7584)-SUM(Sens!$R$7591:$U$7591)</f>
        <v>239.931219586022</v>
      </c>
      <c r="V7592" s="38" t="n">
        <f aca="false">SUM(Sens!$R$7584:$V$7584)-SUM(Sens!$R$7591:$V$7591)</f>
        <v>403.208392333442</v>
      </c>
      <c r="W7592" s="38" t="n">
        <f aca="false">SUM(Sens!$R$7584:$W$7584)-SUM(Sens!$R$7591:$W$7591)</f>
        <v>544.837543672486</v>
      </c>
      <c r="X7592" s="38" t="n">
        <f aca="false">SUM(Sens!$R$7584:$X$7584)-SUM(Sens!$R$7591:$X$7591)</f>
        <v>662.967819343113</v>
      </c>
      <c r="Y7592" s="38" t="n">
        <f aca="false">SUM(Sens!$R$7584:$Y$7584)-SUM(Sens!$R$7591:$Y$7591)</f>
        <v>697.028016408391</v>
      </c>
      <c r="Z7592" s="38" t="n">
        <f aca="false">SUM(Sens!$R$7584:$Z$7584)-SUM(Sens!$R$7591:$Z$7591)</f>
        <v>688.86976555933</v>
      </c>
      <c r="AA7592" s="38" t="n">
        <f aca="false">SUM(Sens!$R$7584:$AA$7584)-SUM(Sens!$R$7591:$AA$7591)</f>
        <v>669.627191447132</v>
      </c>
    </row>
    <row r="7593" customFormat="false" ht="17.15" hidden="false" customHeight="false" outlineLevel="0" collapsed="false">
      <c r="A7593" s="1" t="s">
        <v>635</v>
      </c>
    </row>
    <row r="7594" customFormat="false" ht="17.15" hidden="false" customHeight="false" outlineLevel="0" collapsed="false">
      <c r="A7594" s="0" t="s">
        <v>636</v>
      </c>
      <c r="B7594" s="0" t="s">
        <v>86</v>
      </c>
      <c r="C7594" s="38" t="n">
        <f aca="false">Sens!$C$7575-ext_sh*Sens!$C$7577</f>
        <v>1.80694998843362</v>
      </c>
      <c r="D7594" s="38" t="n">
        <f aca="false">Sens!$D$7575-ext_sh*Sens!$D$7577</f>
        <v>6.77606245662607</v>
      </c>
      <c r="E7594" s="38" t="n">
        <f aca="false">Sens!$E$7575-ext_sh*Sens!$E$7577</f>
        <v>6.62548329092326</v>
      </c>
      <c r="F7594" s="38" t="n">
        <f aca="false">Sens!$F$7575-ext_sh*Sens!$F$7577</f>
        <v>11.7200577158706</v>
      </c>
      <c r="G7594" s="38" t="n">
        <f aca="false">Sens!$G$7575-ext_sh*Sens!$G$7577</f>
        <v>18.3455410067939</v>
      </c>
      <c r="H7594" s="38" t="n">
        <f aca="false">Sens!$H$7575-ext_sh*Sens!$H$7577</f>
        <v>47.5171727060453</v>
      </c>
      <c r="I7594" s="38" t="n">
        <f aca="false">Sens!$I$7575-ext_sh*Sens!$I$7577</f>
        <v>80.5539692643667</v>
      </c>
      <c r="J7594" s="38" t="n">
        <f aca="false">Sens!$J$7575-ext_sh*Sens!$J$7577</f>
        <v>113.759316834883</v>
      </c>
      <c r="K7594" s="38" t="n">
        <f aca="false">Sens!$K$7575-ext_sh*Sens!$K$7577</f>
        <v>142.084411492169</v>
      </c>
      <c r="L7594" s="38" t="n">
        <f aca="false">Sens!$L$7575-ext_sh*Sens!$L$7577</f>
        <v>160.69964615804</v>
      </c>
      <c r="M7594" s="38" t="n">
        <f aca="false">Sens!$M$7575-ext_sh*Sens!$M$7577</f>
        <v>169.577607141793</v>
      </c>
      <c r="N7594" s="38" t="n">
        <f aca="false">Sens!$N$7575-ext_sh*Sens!$N$7577</f>
        <v>2.37162185981912</v>
      </c>
      <c r="O7594" s="38" t="n">
        <f aca="false">Sens!$O$7575-ext_sh*Sens!$O$7577</f>
        <v>4.40444059680694</v>
      </c>
    </row>
    <row r="7595" customFormat="false" ht="17.15" hidden="false" customHeight="false" outlineLevel="0" collapsed="false">
      <c r="A7595" s="1" t="s">
        <v>637</v>
      </c>
      <c r="B7595" s="8" t="s">
        <v>86</v>
      </c>
      <c r="C7595" s="38" t="n">
        <f aca="false">Sens!$C$7594-ext_sh*Sens!$C$7591</f>
        <v>1.64417882953695</v>
      </c>
      <c r="D7595" s="38" t="n">
        <f aca="false">Sens!$D$7594-ext_sh*Sens!$D$7591</f>
        <v>3.8781008067718</v>
      </c>
      <c r="E7595" s="38" t="n">
        <f aca="false">Sens!$E$7594-ext_sh*Sens!$E$7591</f>
        <v>1.41270258088753</v>
      </c>
      <c r="F7595" s="38" t="n">
        <f aca="false">Sens!$F$7594-ext_sh*Sens!$F$7591</f>
        <v>6.50727700583486</v>
      </c>
      <c r="G7595" s="38" t="n">
        <f aca="false">Sens!$G$7594-ext_sh*Sens!$G$7591</f>
        <v>7.9199795867224</v>
      </c>
      <c r="H7595" s="38" t="n">
        <f aca="false">Sens!$H$7594-ext_sh*Sens!$H$7591</f>
        <v>19.2818189481807</v>
      </c>
      <c r="I7595" s="38" t="n">
        <f aca="false">Sens!$I$7594-ext_sh*Sens!$I$7591</f>
        <v>30.140114407202</v>
      </c>
      <c r="J7595" s="38" t="n">
        <f aca="false">Sens!$J$7594-ext_sh*Sens!$J$7591</f>
        <v>40.3569468829854</v>
      </c>
      <c r="K7595" s="38" t="n">
        <f aca="false">Sens!$K$7594-ext_sh*Sens!$K$7591</f>
        <v>45.1418609242305</v>
      </c>
      <c r="L7595" s="38" t="n">
        <f aca="false">Sens!$L$7594-ext_sh*Sens!$L$7591</f>
        <v>48.5617321668703</v>
      </c>
      <c r="M7595" s="38" t="n">
        <f aca="false">Sens!$M$7594-ext_sh*Sens!$M$7591</f>
        <v>48.3987625241529</v>
      </c>
      <c r="N7595" s="38" t="n">
        <f aca="false">Sens!$N$7594-ext_sh*Sens!$N$7591</f>
        <v>0.92264103489199</v>
      </c>
      <c r="O7595" s="38" t="n">
        <f aca="false">Sens!$O$7594-ext_sh*Sens!$O$7591</f>
        <v>2.95545977187981</v>
      </c>
    </row>
    <row r="7596" customFormat="false" ht="17.15" hidden="false" customHeight="false" outlineLevel="0" collapsed="false">
      <c r="A7596" s="0" t="s">
        <v>638</v>
      </c>
      <c r="B7596" s="0" t="s">
        <v>52</v>
      </c>
      <c r="C7596" s="13" t="n">
        <f aca="false">Sens!$C$7595/Sens!$C$7575</f>
        <v>0.708390794789371</v>
      </c>
      <c r="D7596" s="13" t="n">
        <f aca="false">Sens!$D$7595/Sens!$D$7575</f>
        <v>0.445565630441968</v>
      </c>
      <c r="E7596" s="13" t="n">
        <f aca="false">Sens!$E$7595/Sens!$E$7575</f>
        <v>0.165998118402711</v>
      </c>
      <c r="F7596" s="13" t="n">
        <f aca="false">Sens!$F$7595/Sens!$F$7575</f>
        <v>0.434878595403858</v>
      </c>
      <c r="G7596" s="13" t="n">
        <f aca="false">Sens!$G$7595/Sens!$G$7575</f>
        <v>0.3373967615381</v>
      </c>
      <c r="H7596" s="13" t="n">
        <f aca="false">Sens!$H$7595/Sens!$H$7575</f>
        <v>0.320477578041224</v>
      </c>
      <c r="I7596" s="13" t="n">
        <f aca="false">Sens!$I$7595/Sens!$I$7575</f>
        <v>0.296936118226494</v>
      </c>
      <c r="J7596" s="13" t="n">
        <f aca="false">Sens!$J$7595/Sens!$J$7575</f>
        <v>0.282166278613001</v>
      </c>
      <c r="K7596" s="13" t="n">
        <f aca="false">Sens!$K$7595/Sens!$K$7575</f>
        <v>0.252969102881543</v>
      </c>
      <c r="L7596" s="13" t="n">
        <f aca="false">Sens!$L$7595/Sens!$L$7575</f>
        <v>0.240728642826566</v>
      </c>
      <c r="M7596" s="13" t="n">
        <f aca="false">Sens!$M$7595/Sens!$M$7575</f>
        <v>0.227399920863147</v>
      </c>
      <c r="N7596" s="13" t="n">
        <f aca="false">Sens!$N$7595/Sens!$N$7575</f>
        <v>0.302870734830849</v>
      </c>
      <c r="O7596" s="13" t="n">
        <f aca="false">Sens!$O$7595/Sens!$O$7575</f>
        <v>0.52240134346334</v>
      </c>
    </row>
    <row r="7597" customFormat="false" ht="17.15" hidden="false" customHeight="false" outlineLevel="0" collapsed="false">
      <c r="A7597" s="5" t="s">
        <v>639</v>
      </c>
      <c r="B7597" s="0" t="s">
        <v>86</v>
      </c>
      <c r="C7597" s="39" t="n">
        <v>0</v>
      </c>
      <c r="D7597" s="39" t="n">
        <v>0</v>
      </c>
      <c r="E7597" s="39" t="n">
        <v>0</v>
      </c>
      <c r="F7597" s="38" t="n">
        <f aca="false">IF(internal_ai_reading=2,1,0)*(1-ext_sh)/ext_sh*(mw_open*he_open+Sens!$F$7573*Sens!$F$7570)*Sens!$F$7559/1000</f>
        <v>3.77122048175818</v>
      </c>
      <c r="G7597" s="38" t="n">
        <f aca="false">Sens!$E$7597+Sens!$F$7597</f>
        <v>3.77122048175818</v>
      </c>
      <c r="H7597" s="38" t="n">
        <f aca="false">IF(internal_ai_reading=2,1,0)*(1-ext_sh)/ext_sh*(mw_open*he_open+Sens!$H$7573*Sens!$H$7570)*Sens!$H$7559/1000</f>
        <v>15.1635543609893</v>
      </c>
      <c r="I7597" s="38" t="n">
        <f aca="false">IF(internal_ai_reading=2,1,0)*(1-ext_sh)/ext_sh*(mw_open*he_open+Sens!$I$7573*Sens!$I$7570)*Sens!$I$7559/1000</f>
        <v>25.5818843619889</v>
      </c>
      <c r="J7597" s="38" t="n">
        <f aca="false">IF(internal_ai_reading=2,1,0)*(1-ext_sh)/ext_sh*(mw_open*he_open+Sens!$J$7573*Sens!$J$7570)*Sens!$J$7559/1000</f>
        <v>36.0465624179122</v>
      </c>
      <c r="K7597" s="38" t="n">
        <f aca="false">IF(internal_ai_reading=2,1,0)*(1-ext_sh)/ext_sh*(mw_open*he_open+Sens!$K$7573*Sens!$K$7570)*Sens!$K$7559/1000</f>
        <v>44.9741164026038</v>
      </c>
      <c r="L7597" s="38" t="n">
        <f aca="false">IF(internal_ai_reading=2,1,0)*(1-ext_sh)/ext_sh*(mw_open*he_open+Sens!$L$7573*Sens!$L$7570)*Sens!$L$7559/1000</f>
        <v>50.8413488057813</v>
      </c>
      <c r="M7597" s="38" t="n">
        <f aca="false">IF(internal_ai_reading=2,1,0)*(1-ext_sh)/ext_sh*(mw_open*he_open+Sens!$M$7573*Sens!$M$7570)*Sens!$M$7559/1000</f>
        <v>53.6407214274315</v>
      </c>
      <c r="N7597" s="39" t="n">
        <v>0</v>
      </c>
      <c r="O7597" s="39" t="n">
        <v>0</v>
      </c>
      <c r="P7597" s="8" t="s">
        <v>640</v>
      </c>
    </row>
    <row r="7598" customFormat="false" ht="17.15" hidden="false" customHeight="false" outlineLevel="0" collapsed="false">
      <c r="A7598" s="5" t="s">
        <v>641</v>
      </c>
      <c r="B7598" s="0" t="s">
        <v>86</v>
      </c>
      <c r="C7598" s="38" t="n">
        <f aca="false">(1-ext_sh)*(Sens!$C$7577+Sens!$C$7591)</f>
        <v>0.169206631859174</v>
      </c>
      <c r="D7598" s="38" t="n">
        <f aca="false">(1-ext_sh)*(Sens!$D$7577+Sens!$D$7591)</f>
        <v>1.20641732046984</v>
      </c>
      <c r="E7598" s="38" t="n">
        <f aca="false">(1-ext_sh)*(Sens!$E$7577+Sens!$E$7591)</f>
        <v>1.77441259867062</v>
      </c>
      <c r="F7598" s="38" t="n">
        <f aca="false">(1-ext_sh)*(Sens!$F$7577+Sens!$F$7591)</f>
        <v>2.1140391597214</v>
      </c>
      <c r="G7598" s="38" t="n">
        <f aca="false">(1-ext_sh)*(Sens!$G$7577+Sens!$G$7591)</f>
        <v>3.88845175839202</v>
      </c>
      <c r="H7598" s="38" t="n">
        <f aca="false">(1-ext_sh)*(Sens!$H$7577+Sens!$H$7591)</f>
        <v>10.2210179503985</v>
      </c>
      <c r="I7598" s="38" t="n">
        <f aca="false">(1-ext_sh)*(Sens!$I$7577+Sens!$I$7591)</f>
        <v>17.8408961823075</v>
      </c>
      <c r="J7598" s="38" t="n">
        <f aca="false">(1-ext_sh)*(Sens!$J$7577+Sens!$J$7591)</f>
        <v>25.6671150670732</v>
      </c>
      <c r="K7598" s="38" t="n">
        <f aca="false">(1-ext_sh)*(Sens!$K$7577+Sens!$K$7591)</f>
        <v>33.3265648647373</v>
      </c>
      <c r="L7598" s="38" t="n">
        <f aca="false">(1-ext_sh)*(Sens!$L$7577+Sens!$L$7591)</f>
        <v>38.2915924088815</v>
      </c>
      <c r="M7598" s="38" t="n">
        <f aca="false">(1-ext_sh)*(Sens!$M$7577+Sens!$M$7591)</f>
        <v>41.1091697111781</v>
      </c>
      <c r="N7598" s="38" t="n">
        <f aca="false">(1-ext_sh)*(Sens!$N$7577+Sens!$N$7591)</f>
        <v>0.530919624033979</v>
      </c>
      <c r="O7598" s="38" t="n">
        <f aca="false">(1-ext_sh)*(Sens!$O$7577+Sens!$O$7591)</f>
        <v>0.675497696435861</v>
      </c>
    </row>
    <row r="7599" customFormat="false" ht="17.15" hidden="false" customHeight="false" outlineLevel="0" collapsed="false">
      <c r="A7599" s="0" t="s">
        <v>642</v>
      </c>
      <c r="B7599" s="0" t="s">
        <v>86</v>
      </c>
      <c r="C7599" s="38" t="n">
        <f aca="false">Q!$D$24</f>
        <v>39.834</v>
      </c>
      <c r="D7599" s="38" t="n">
        <f aca="false">Q!$E$24</f>
        <v>45.606</v>
      </c>
      <c r="E7599" s="38" t="n">
        <f aca="false">Q!$P$24</f>
        <v>30.782</v>
      </c>
      <c r="N7599" s="38" t="n">
        <f aca="false">Q!$N$24</f>
        <v>21.707</v>
      </c>
      <c r="O7599" s="38" t="n">
        <f aca="false">Q!$O$24</f>
        <v>23.899</v>
      </c>
    </row>
    <row r="7600" customFormat="false" ht="17.15" hidden="false" customHeight="false" outlineLevel="0" collapsed="false">
      <c r="A7600" s="0" t="s">
        <v>643</v>
      </c>
      <c r="B7600" s="0" t="s">
        <v>86</v>
      </c>
      <c r="C7600" s="38" t="n">
        <f aca="false">Sens!$C$7599-Sens!$C$7595</f>
        <v>38.1898211704631</v>
      </c>
      <c r="D7600" s="38" t="n">
        <f aca="false">Sens!$D$7599-Sens!$D$7595</f>
        <v>41.7278991932282</v>
      </c>
      <c r="E7600" s="38" t="n">
        <f aca="false">Sens!$E$7599-Sens!$E$7595</f>
        <v>29.3692974191125</v>
      </c>
      <c r="F7600" s="38" t="n">
        <f aca="false">Sens!$F$7579*Sens!$F$7601</f>
        <v>26.8997276714137</v>
      </c>
      <c r="G7600" s="38" t="n">
        <f aca="false">Sens!$E$7600+Sens!$F$7600</f>
        <v>56.2690250905262</v>
      </c>
      <c r="H7600" s="38" t="n">
        <f aca="false">Sens!$H$7579*Sens!$H$7601</f>
        <v>60.3505333937343</v>
      </c>
      <c r="I7600" s="38" t="n">
        <f aca="false">Sens!$I$7579*Sens!$I$7601</f>
        <v>67.0043857303571</v>
      </c>
      <c r="J7600" s="38" t="n">
        <f aca="false">Sens!$J$7579*Sens!$J$7601</f>
        <v>73.3782922956925</v>
      </c>
      <c r="K7600" s="38" t="n">
        <f aca="false">Sens!$K$7579*Sens!$K$7601</f>
        <v>79.2485556793479</v>
      </c>
      <c r="L7600" s="38" t="n">
        <f aca="false">Sens!$L$7579*Sens!$L$7601</f>
        <v>85.5884401336958</v>
      </c>
      <c r="M7600" s="38" t="n">
        <f aca="false">Sens!$M$7579*Sens!$M$7601</f>
        <v>92.4355153443914</v>
      </c>
      <c r="N7600" s="38" t="n">
        <f aca="false">Sens!$N$7599-Sens!$N$7595</f>
        <v>20.784358965108</v>
      </c>
      <c r="O7600" s="38" t="n">
        <f aca="false">Sens!$O$7599-Sens!$O$7595</f>
        <v>20.9435402281202</v>
      </c>
      <c r="P7600" s="5" t="s">
        <v>644</v>
      </c>
    </row>
    <row r="7601" customFormat="false" ht="17.15" hidden="false" customHeight="false" outlineLevel="0" collapsed="false">
      <c r="A7601" s="0" t="s">
        <v>645</v>
      </c>
      <c r="B7601" s="0" t="s">
        <v>52</v>
      </c>
      <c r="C7601" s="13" t="n">
        <f aca="false">Sens!$C$7600/Sens!$C$7579</f>
        <v>0.362900395443635</v>
      </c>
      <c r="D7601" s="13" t="n">
        <f aca="false">Sens!$D$7600/Sens!$D$7579</f>
        <v>0.34767098474203</v>
      </c>
      <c r="E7601" s="13" t="n">
        <f aca="false">Sens!$E$7600/Sens!$E$7579</f>
        <v>0.411861655558416</v>
      </c>
      <c r="F7601" s="13" t="n">
        <f aca="false">(Sens!$O$7600+Sens!$E$7600)/(Sens!$O$7579+Sens!$E$7579)</f>
        <v>0.37480827803158</v>
      </c>
      <c r="G7601" s="13" t="n">
        <f aca="false">Sens!$G$7600/Sens!$G$7579</f>
        <v>0.393275318395757</v>
      </c>
      <c r="H7601" s="13" t="n">
        <f aca="false">Sens!$F$7601</f>
        <v>0.37480827803158</v>
      </c>
      <c r="I7601" s="13" t="n">
        <f aca="false">Sens!$F$7601</f>
        <v>0.37480827803158</v>
      </c>
      <c r="J7601" s="13" t="n">
        <f aca="false">Sens!$F$7601</f>
        <v>0.37480827803158</v>
      </c>
      <c r="K7601" s="13" t="n">
        <f aca="false">Sens!$F$7601</f>
        <v>0.37480827803158</v>
      </c>
      <c r="L7601" s="13" t="n">
        <f aca="false">Sens!$F$7601</f>
        <v>0.37480827803158</v>
      </c>
      <c r="M7601" s="13" t="n">
        <f aca="false">Sens!$F$7601</f>
        <v>0.37480827803158</v>
      </c>
      <c r="N7601" s="13" t="n">
        <f aca="false">Sens!$N$7600/Sens!$N$7579</f>
        <v>0.364039571356823</v>
      </c>
      <c r="O7601" s="13" t="n">
        <f aca="false">Sens!$O$7600/Sens!$O$7579</f>
        <v>0.332819892300086</v>
      </c>
      <c r="P7601" s="8" t="s">
        <v>646</v>
      </c>
    </row>
    <row r="7602" customFormat="false" ht="17.15" hidden="false" customHeight="false" outlineLevel="0" collapsed="false">
      <c r="A7602" s="0" t="s">
        <v>647</v>
      </c>
      <c r="B7602" s="0" t="s">
        <v>52</v>
      </c>
      <c r="D7602" s="13" t="n">
        <f aca="false">(Q!$E$31-ext_sh*Sens!$D$7591)/Sens!$D$7579</f>
        <v>0.154572973163571</v>
      </c>
    </row>
    <row r="7603" customFormat="false" ht="17.15" hidden="false" customHeight="false" outlineLevel="0" collapsed="false">
      <c r="A7603" s="0" t="s">
        <v>648</v>
      </c>
      <c r="B7603" s="0" t="s">
        <v>86</v>
      </c>
      <c r="C7603" s="38" t="n">
        <f aca="false">Q!$D$31</f>
        <v>13.32</v>
      </c>
      <c r="D7603" s="38" t="n">
        <f aca="false">Q!$E$31</f>
        <v>21.45</v>
      </c>
      <c r="E7603" s="38" t="n">
        <f aca="false">Q!$P$31</f>
        <v>15.353</v>
      </c>
      <c r="F7603" s="38" t="n">
        <f aca="false">ext_sh*Sens!$F$7591+Sens!$D$7602*Sens!$F$7579</f>
        <v>16.3063747611001</v>
      </c>
      <c r="G7603" s="38" t="n">
        <f aca="false">Sens!$E$7603+Sens!$F$7603</f>
        <v>31.6593747611001</v>
      </c>
      <c r="H7603" s="38" t="n">
        <f aca="false">ext_sh*Sens!$H$7591+Sens!$D$7602*Sens!$H$7579</f>
        <v>53.124242092105</v>
      </c>
      <c r="I7603" s="38" t="n">
        <f aca="false">ext_sh*Sens!$I$7591+Sens!$D$7602*Sens!$I$7579</f>
        <v>78.046828098133</v>
      </c>
      <c r="J7603" s="38" t="n">
        <f aca="false">ext_sh*Sens!$J$7591+Sens!$D$7602*Sens!$J$7579</f>
        <v>103.663976940352</v>
      </c>
      <c r="K7603" s="38" t="n">
        <f aca="false">ext_sh*Sens!$K$7591+Sens!$D$7602*Sens!$K$7579</f>
        <v>129.625086115469</v>
      </c>
      <c r="L7603" s="38" t="n">
        <f aca="false">ext_sh*Sens!$L$7591+Sens!$D$7602*Sens!$L$7579</f>
        <v>147.435052382502</v>
      </c>
      <c r="M7603" s="38" t="n">
        <f aca="false">ext_sh*Sens!$M$7591+Sens!$D$7602*Sens!$M$7579</f>
        <v>159.299754080279</v>
      </c>
      <c r="N7603" s="38" t="n">
        <f aca="false">Q!$N$31</f>
        <v>9.234</v>
      </c>
      <c r="O7603" s="38" t="n">
        <f aca="false">Q!$O$31</f>
        <v>12.216</v>
      </c>
    </row>
    <row r="7604" customFormat="false" ht="17.15" hidden="false" customHeight="false" outlineLevel="0" collapsed="false">
      <c r="A7604" s="1" t="s">
        <v>649</v>
      </c>
    </row>
    <row r="7605" customFormat="false" ht="17.15" hidden="false" customHeight="false" outlineLevel="0" collapsed="false">
      <c r="A7605" s="15" t="s">
        <v>650</v>
      </c>
      <c r="B7605" s="14" t="s">
        <v>52</v>
      </c>
      <c r="C7605" s="14"/>
      <c r="D7605" s="14"/>
      <c r="E7605" s="14"/>
      <c r="F7605" s="14"/>
      <c r="G7605" s="17" t="n">
        <f aca="false">Sens!$G$7595*(1-tax)/(ext_sh*(Sens!$D$7592+Sens!$G$7592)/2)</f>
        <v>0.0492184452944045</v>
      </c>
      <c r="H7605" s="17" t="n">
        <f aca="false">Sens!$H$7595*(1-tax)/(ext_sh*(Sens!$G$7592+Sens!$H$7592)/2)</f>
        <v>0.0619414246858107</v>
      </c>
      <c r="I7605" s="17" t="n">
        <f aca="false">Sens!$I$7595*(1-tax)/(ext_sh*(Sens!$H$7592+Sens!$I$7592)/2)</f>
        <v>0.0656831488051666</v>
      </c>
      <c r="J7605" s="17" t="n">
        <f aca="false">Sens!$J$7595*(1-tax)/(ext_sh*(Sens!$I$7592+Sens!$J$7592)/2)</f>
        <v>0.0690334849962116</v>
      </c>
      <c r="K7605" s="17" t="n">
        <f aca="false">Sens!$K$7595*(1-tax)/(ext_sh*(Sens!$J$7592+Sens!$K$7592)/2)</f>
        <v>0.0685772915331967</v>
      </c>
      <c r="L7605" s="17" t="n">
        <f aca="false">Sens!$L$7595*(1-tax)/(ext_sh*(Sens!$K$7592+Sens!$L$7592)/2)</f>
        <v>0.0723938074635756</v>
      </c>
      <c r="M7605" s="17" t="n">
        <f aca="false">Sens!$M$7595*(1-tax)/(ext_sh*(Sens!$L$7592+Sens!$M$7592)/2)</f>
        <v>0.0736061388214139</v>
      </c>
      <c r="N7605" s="14"/>
      <c r="O7605" s="14"/>
      <c r="P7605" s="8" t="s">
        <v>651</v>
      </c>
    </row>
    <row r="7606" customFormat="false" ht="17.15" hidden="false" customHeight="false" outlineLevel="0" collapsed="false">
      <c r="A7606" s="5" t="s">
        <v>652</v>
      </c>
      <c r="B7606" s="0" t="s">
        <v>57</v>
      </c>
      <c r="H7606" s="36" t="n">
        <f aca="false">Sens!$H$7575*1000/(mw_open*he_open+Sens!$H$7573*Sens!$H$7570)</f>
        <v>0.991949006767191</v>
      </c>
      <c r="I7606" s="36" t="n">
        <f aca="false">Sens!$I$7575*1000/(mw_open*he_open+Sens!$I$7573*Sens!$I$7570)</f>
        <v>0.991949006767191</v>
      </c>
      <c r="J7606" s="36" t="n">
        <f aca="false">Sens!$J$7575*1000/(mw_open*he_open+Sens!$J$7573*Sens!$J$7570)</f>
        <v>0.991949006767191</v>
      </c>
      <c r="K7606" s="36" t="n">
        <f aca="false">Sens!$K$7575*1000/(mw_open*he_open+Sens!$K$7573*Sens!$K$7570)</f>
        <v>0.991949006767191</v>
      </c>
      <c r="L7606" s="36" t="n">
        <f aca="false">Sens!$L$7575*1000/(mw_open*he_open+Sens!$L$7573*Sens!$L$7570)</f>
        <v>0.991949006767191</v>
      </c>
      <c r="M7606" s="36" t="n">
        <f aca="false">Sens!$M$7575*1000/(mw_open*he_open+Sens!$M$7573*Sens!$M$7570)</f>
        <v>0.991949006767191</v>
      </c>
    </row>
    <row r="7607" customFormat="false" ht="17.15" hidden="false" customHeight="false" outlineLevel="0" collapsed="false">
      <c r="A7607" s="5" t="s">
        <v>653</v>
      </c>
      <c r="B7607" s="0" t="s">
        <v>57</v>
      </c>
      <c r="H7607" s="36" t="n">
        <f aca="false">Sens!$H$7606*(Sens!$H$7575+wacc*ext_sh*(Sens!$G$7592+Sens!$H$7592)/2/(1-tax)-Sens!$H$7595)/Sens!$H$7575</f>
        <v>1.25551961623259</v>
      </c>
      <c r="I7607" s="36" t="n">
        <f aca="false">Sens!$I$7606*(Sens!$I$7575+wacc*ext_sh*(Sens!$H$7592+Sens!$I$7592)/2/(1-tax)-Sens!$I$7595)/Sens!$I$7575</f>
        <v>1.2054675393263</v>
      </c>
      <c r="J7607" s="36" t="n">
        <f aca="false">Sens!$J$7606*(Sens!$J$7575+wacc*ext_sh*(Sens!$I$7592+Sens!$J$7592)/2/(1-tax)-Sens!$J$7595)/Sens!$J$7575</f>
        <v>1.17141604927023</v>
      </c>
      <c r="K7607" s="36" t="n">
        <f aca="false">Sens!$K$7606*(Sens!$K$7575+wacc*ext_sh*(Sens!$J$7592+Sens!$K$7592)/2/(1-tax)-Sens!$K$7595)/Sens!$K$7575</f>
        <v>1.15558527566281</v>
      </c>
      <c r="L7607" s="36" t="n">
        <f aca="false">Sens!$L$7606*(Sens!$L$7575+wacc*ext_sh*(Sens!$K$7592+Sens!$L$7592)/2/(1-tax)-Sens!$L$7595)/Sens!$L$7575</f>
        <v>1.12686933572495</v>
      </c>
      <c r="M7607" s="36" t="n">
        <f aca="false">Sens!$M$7606*(Sens!$M$7575+wacc*ext_sh*(Sens!$L$7592+Sens!$M$7592)/2/(1-tax)-Sens!$M$7595)/Sens!$M$7575</f>
        <v>1.11358462527531</v>
      </c>
    </row>
    <row r="7608" customFormat="false" ht="17.15" hidden="false" customHeight="false" outlineLevel="0" collapsed="false">
      <c r="A7608" s="5" t="s">
        <v>654</v>
      </c>
      <c r="B7608" s="0" t="s">
        <v>52</v>
      </c>
      <c r="C7608" s="13" t="n">
        <f aca="false">Sens!$C$7576/tk_pq</f>
        <v>0.195316432429398</v>
      </c>
      <c r="D7608" s="13" t="n">
        <f aca="false">Sens!$D$7576/tk_pq</f>
        <v>0.195316432429398</v>
      </c>
      <c r="E7608" s="13" t="n">
        <f aca="false">Sens!$E$7576/tk_pq</f>
        <v>0.195316432429398</v>
      </c>
      <c r="F7608" s="13" t="n">
        <f aca="false">Sens!$F$7576/tk_pq</f>
        <v>0.202241827274866</v>
      </c>
      <c r="G7608" s="13" t="n">
        <f aca="false">Sens!$G$7576/tk_pq</f>
        <v>0.199675016194063</v>
      </c>
      <c r="H7608" s="13" t="n">
        <f aca="false">Sens!$H$7576/tk_pq</f>
        <v>0.212647947710325</v>
      </c>
      <c r="I7608" s="13" t="n">
        <f aca="false">Sens!$I$7576/tk_pq</f>
        <v>0.219285125475351</v>
      </c>
      <c r="J7608" s="13" t="n">
        <f aca="false">Sens!$J$7576/tk_pq</f>
        <v>0.222492493217189</v>
      </c>
      <c r="K7608" s="13" t="n">
        <f aca="false">Sens!$K$7576/tk_pq</f>
        <v>0.224053502812094</v>
      </c>
      <c r="L7608" s="13" t="n">
        <f aca="false">Sens!$L$7576/tk_pq</f>
        <v>0.224786916785614</v>
      </c>
      <c r="M7608" s="13" t="n">
        <f aca="false">Sens!$M$7576/tk_pq</f>
        <v>0.225048671566937</v>
      </c>
      <c r="N7608" s="13" t="n">
        <f aca="false">Sens!$N$7576/tk_pq</f>
        <v>0.195316432429398</v>
      </c>
      <c r="O7608" s="13" t="n">
        <f aca="false">Sens!$O$7576/tk_pq</f>
        <v>0.195316432429398</v>
      </c>
      <c r="P7608" s="5" t="s">
        <v>655</v>
      </c>
    </row>
    <row r="7611" customFormat="false" ht="17.15" hidden="false" customHeight="false" outlineLevel="0" collapsed="false">
      <c r="A7611" s="1" t="s">
        <v>684</v>
      </c>
    </row>
    <row r="7612" customFormat="false" ht="17.15" hidden="false" customHeight="false" outlineLevel="0" collapsed="false">
      <c r="A7612" s="0" t="s">
        <v>685</v>
      </c>
      <c r="B7612" s="0" t="s">
        <v>86</v>
      </c>
      <c r="C7612" s="38" t="n">
        <f aca="false">Sens!$C$7575</f>
        <v>2.32100535697364</v>
      </c>
      <c r="D7612" s="38" t="n">
        <f aca="false">Sens!$D$7575</f>
        <v>8.70377008865116</v>
      </c>
      <c r="E7612" s="38" t="n">
        <f aca="false">Sens!$E$7575</f>
        <v>8.51035297557002</v>
      </c>
      <c r="F7612" s="38" t="n">
        <f aca="false">Sens!$F$7575</f>
        <v>14.9634336447205</v>
      </c>
      <c r="G7612" s="38" t="n">
        <f aca="false">Sens!$G$7575</f>
        <v>23.4737866202905</v>
      </c>
      <c r="H7612" s="38" t="n">
        <f aca="false">Sens!$H$7575</f>
        <v>60.1658907497746</v>
      </c>
      <c r="I7612" s="38" t="n">
        <f aca="false">Sens!$I$7575</f>
        <v>101.503699136432</v>
      </c>
      <c r="J7612" s="38" t="n">
        <f aca="false">Sens!$J$7575</f>
        <v>143.025407151278</v>
      </c>
      <c r="K7612" s="38" t="n">
        <f aca="false">Sens!$K$7575</f>
        <v>178.44812038318</v>
      </c>
      <c r="L7612" s="38" t="n">
        <f aca="false">Sens!$L$7575</f>
        <v>201.728101802396</v>
      </c>
      <c r="M7612" s="38" t="n">
        <f aca="false">Sens!$M$7575</f>
        <v>212.835441368865</v>
      </c>
      <c r="N7612" s="38" t="n">
        <f aca="false">Sens!$N$7575</f>
        <v>3.04631953102791</v>
      </c>
      <c r="O7612" s="38" t="n">
        <f aca="false">Sens!$O$7575</f>
        <v>5.65745055762326</v>
      </c>
      <c r="P7612" s="8" t="s">
        <v>686</v>
      </c>
    </row>
    <row r="7613" customFormat="false" ht="17.15" hidden="false" customHeight="false" outlineLevel="0" collapsed="false">
      <c r="A7613" s="0" t="s">
        <v>687</v>
      </c>
      <c r="B7613" s="0" t="s">
        <v>86</v>
      </c>
      <c r="C7613" s="38" t="n">
        <f aca="false">Sens!$C$7579</f>
        <v>105.234994643026</v>
      </c>
      <c r="D7613" s="38" t="n">
        <f aca="false">Sens!$D$7579</f>
        <v>120.021229911349</v>
      </c>
      <c r="E7613" s="38" t="n">
        <f aca="false">Sens!$E$7579</f>
        <v>71.30864702443</v>
      </c>
      <c r="F7613" s="38" t="n">
        <f aca="false">Sens!$F$7579</f>
        <v>71.7692997942464</v>
      </c>
      <c r="G7613" s="38" t="n">
        <f aca="false">Sens!$G$7579</f>
        <v>143.077946818676</v>
      </c>
      <c r="H7613" s="38" t="n">
        <f aca="false">Sens!$H$7579</f>
        <v>161.017077079203</v>
      </c>
      <c r="I7613" s="38" t="n">
        <f aca="false">Sens!$I$7579</f>
        <v>178.769759521457</v>
      </c>
      <c r="J7613" s="38" t="n">
        <f aca="false">Sens!$J$7579</f>
        <v>195.775538045907</v>
      </c>
      <c r="K7613" s="38" t="n">
        <f aca="false">Sens!$K$7579</f>
        <v>211.43758108958</v>
      </c>
      <c r="L7613" s="38" t="n">
        <f aca="false">Sens!$L$7579</f>
        <v>228.352587576746</v>
      </c>
      <c r="M7613" s="38" t="n">
        <f aca="false">Sens!$M$7579</f>
        <v>246.620794582886</v>
      </c>
      <c r="N7613" s="38" t="n">
        <f aca="false">Sens!$N$7579</f>
        <v>57.0936804689721</v>
      </c>
      <c r="O7613" s="38" t="n">
        <f aca="false">Sens!$O$7579</f>
        <v>62.9275494423768</v>
      </c>
      <c r="P7613" s="8" t="s">
        <v>686</v>
      </c>
    </row>
    <row r="7614" customFormat="false" ht="17.15" hidden="false" customHeight="false" outlineLevel="0" collapsed="false">
      <c r="A7614" s="1" t="s">
        <v>513</v>
      </c>
      <c r="B7614" s="8" t="s">
        <v>86</v>
      </c>
      <c r="C7614" s="38" t="n">
        <f aca="false">Q!$D$7</f>
        <v>107.556</v>
      </c>
      <c r="D7614" s="38" t="n">
        <f aca="false">Q!$E$7</f>
        <v>128.725</v>
      </c>
      <c r="E7614" s="38" t="n">
        <f aca="false">Q!$P$7</f>
        <v>79.819</v>
      </c>
      <c r="F7614" s="38" t="n">
        <f aca="false">Sens!$F$7612+Sens!$F$7613</f>
        <v>86.7327334389669</v>
      </c>
      <c r="G7614" s="38" t="n">
        <f aca="false">Sens!$G$7612+Sens!$G$7613</f>
        <v>166.551733438967</v>
      </c>
      <c r="H7614" s="38" t="n">
        <f aca="false">Sens!$H$7612+Sens!$H$7613</f>
        <v>221.182967828978</v>
      </c>
      <c r="I7614" s="38" t="n">
        <f aca="false">Sens!$I$7612+Sens!$I$7613</f>
        <v>280.27345865789</v>
      </c>
      <c r="J7614" s="38" t="n">
        <f aca="false">Sens!$J$7612+Sens!$J$7613</f>
        <v>338.800945197185</v>
      </c>
      <c r="K7614" s="38" t="n">
        <f aca="false">Sens!$K$7612+Sens!$K$7613</f>
        <v>389.88570147276</v>
      </c>
      <c r="L7614" s="38" t="n">
        <f aca="false">Sens!$L$7612+Sens!$L$7613</f>
        <v>430.080689379143</v>
      </c>
      <c r="M7614" s="38" t="n">
        <f aca="false">Sens!$M$7612+Sens!$M$7613</f>
        <v>459.456235951751</v>
      </c>
      <c r="N7614" s="38" t="n">
        <f aca="false">Q!$N$7</f>
        <v>60.14</v>
      </c>
      <c r="O7614" s="38" t="n">
        <f aca="false">Q!$O$7</f>
        <v>68.585</v>
      </c>
      <c r="P7614" s="5" t="s">
        <v>688</v>
      </c>
    </row>
    <row r="7615" customFormat="false" ht="15" hidden="false" customHeight="false" outlineLevel="0" collapsed="false">
      <c r="A7615" s="3" t="s">
        <v>689</v>
      </c>
      <c r="B7615" s="8" t="s">
        <v>86</v>
      </c>
      <c r="C7615" s="38" t="n">
        <f aca="false">Q!$D$8</f>
        <v>637.959</v>
      </c>
      <c r="D7615" s="38" t="n">
        <f aca="false">Q!$E$8</f>
        <v>716.924</v>
      </c>
      <c r="E7615" s="38" t="n">
        <f aca="false">Q!$P$8</f>
        <v>382.125</v>
      </c>
      <c r="F7615" s="38" t="n">
        <f aca="false">Sens!$F$7547+Sens!$F$7614</f>
        <v>435.780975084504</v>
      </c>
      <c r="G7615" s="38" t="n">
        <f aca="false">Sens!$G$7547+Sens!$G$7614</f>
        <v>817.905975084504</v>
      </c>
      <c r="H7615" s="38" t="n">
        <f aca="false">Sens!$H$7547+Sens!$H$7614</f>
        <v>942.279857350364</v>
      </c>
      <c r="I7615" s="38" t="n">
        <f aca="false">Sens!$I$7547+Sens!$I$7614</f>
        <v>1068.80284981042</v>
      </c>
      <c r="J7615" s="38" t="n">
        <f aca="false">Sens!$J$7547+Sens!$J$7614</f>
        <v>1189.90935093863</v>
      </c>
      <c r="K7615" s="38" t="n">
        <f aca="false">Sens!$K$7547+Sens!$K$7614</f>
        <v>1296.06215690385</v>
      </c>
      <c r="L7615" s="38" t="n">
        <f aca="false">Sens!$L$7547+Sens!$L$7614</f>
        <v>1395.17379585473</v>
      </c>
      <c r="M7615" s="38" t="n">
        <f aca="false">Sens!$M$7547+Sens!$M$7614</f>
        <v>1487.60414389864</v>
      </c>
      <c r="N7615" s="38" t="n">
        <f aca="false">Q!$N$8</f>
        <v>323.369</v>
      </c>
      <c r="O7615" s="38" t="n">
        <f aca="false">Q!$O$8</f>
        <v>393.555</v>
      </c>
    </row>
    <row r="7616" customFormat="false" ht="17.15" hidden="false" customHeight="false" outlineLevel="0" collapsed="false">
      <c r="A7616" s="24" t="s">
        <v>697</v>
      </c>
      <c r="B7616" s="25" t="s">
        <v>86</v>
      </c>
      <c r="C7616" s="41" t="n">
        <f aca="false">Sens!$C$7547-(Sens!$C$7549+Sens!$C$7550)</f>
        <v>0</v>
      </c>
      <c r="D7616" s="41" t="n">
        <f aca="false">Sens!$D$7547-(Sens!$D$7549+Sens!$D$7550)</f>
        <v>0</v>
      </c>
      <c r="E7616" s="41" t="n">
        <f aca="false">Sens!$E$7547-(Sens!$E$7549+Sens!$E$7550)</f>
        <v>0</v>
      </c>
      <c r="F7616" s="41" t="n">
        <f aca="false">Sens!$F$7547-(Sens!$F$7549+Sens!$F$7550)</f>
        <v>0</v>
      </c>
      <c r="G7616" s="41" t="n">
        <f aca="false">Sens!$G$7547-(Sens!$G$7549+Sens!$G$7550)</f>
        <v>0</v>
      </c>
      <c r="H7616" s="41" t="n">
        <f aca="false">Sens!$H$7547-(Sens!$H$7549+Sens!$H$7550)</f>
        <v>0</v>
      </c>
      <c r="I7616" s="41" t="n">
        <f aca="false">Sens!$I$7547-(Sens!$I$7549+Sens!$I$7550)</f>
        <v>0</v>
      </c>
      <c r="J7616" s="41" t="n">
        <f aca="false">Sens!$J$7547-(Sens!$J$7549+Sens!$J$7550)</f>
        <v>0</v>
      </c>
      <c r="K7616" s="41" t="n">
        <f aca="false">Sens!$K$7547-(Sens!$K$7549+Sens!$K$7550)</f>
        <v>0</v>
      </c>
      <c r="L7616" s="41" t="n">
        <f aca="false">Sens!$L$7547-(Sens!$L$7549+Sens!$L$7550)</f>
        <v>0</v>
      </c>
      <c r="M7616" s="41" t="n">
        <f aca="false">Sens!$M$7547-(Sens!$M$7549+Sens!$M$7550)</f>
        <v>0</v>
      </c>
      <c r="N7616" s="41" t="n">
        <f aca="false">Sens!$N$7547-(Sens!$N$7549+Sens!$N$7550)</f>
        <v>0</v>
      </c>
      <c r="O7616" s="41" t="n">
        <f aca="false">Sens!$O$7547-(Sens!$O$7549+Sens!$O$7550)</f>
        <v>0</v>
      </c>
    </row>
    <row r="7617" customFormat="false" ht="17.15" hidden="false" customHeight="false" outlineLevel="0" collapsed="false">
      <c r="A7617" s="24" t="s">
        <v>698</v>
      </c>
      <c r="B7617" s="25" t="s">
        <v>86</v>
      </c>
      <c r="C7617" s="41" t="n">
        <f aca="false">Sens!$C$7612+Sens!$C$7613-Sens!$C$7614</f>
        <v>0</v>
      </c>
      <c r="D7617" s="41" t="n">
        <f aca="false">Sens!$D$7612+Sens!$D$7613-Sens!$D$7614</f>
        <v>0</v>
      </c>
      <c r="E7617" s="41" t="n">
        <f aca="false">Sens!$E$7612+Sens!$E$7613-Sens!$E$7614</f>
        <v>0</v>
      </c>
      <c r="F7617" s="41" t="n">
        <f aca="false">Sens!$F$7612+Sens!$F$7613-Sens!$F$7614</f>
        <v>0</v>
      </c>
      <c r="G7617" s="41" t="n">
        <f aca="false">Sens!$G$7612+Sens!$G$7613-Sens!$G$7614</f>
        <v>0</v>
      </c>
      <c r="H7617" s="41" t="n">
        <f aca="false">Sens!$H$7612+Sens!$H$7613-Sens!$H$7614</f>
        <v>0</v>
      </c>
      <c r="I7617" s="41" t="n">
        <f aca="false">Sens!$I$7612+Sens!$I$7613-Sens!$I$7614</f>
        <v>0</v>
      </c>
      <c r="J7617" s="41" t="n">
        <f aca="false">Sens!$J$7612+Sens!$J$7613-Sens!$J$7614</f>
        <v>0</v>
      </c>
      <c r="K7617" s="41" t="n">
        <f aca="false">Sens!$K$7612+Sens!$K$7613-Sens!$K$7614</f>
        <v>0</v>
      </c>
      <c r="L7617" s="41" t="n">
        <f aca="false">Sens!$L$7612+Sens!$L$7613-Sens!$L$7614</f>
        <v>0</v>
      </c>
      <c r="M7617" s="41" t="n">
        <f aca="false">Sens!$M$7612+Sens!$M$7613-Sens!$M$7614</f>
        <v>0</v>
      </c>
      <c r="N7617" s="41" t="n">
        <f aca="false">Sens!$N$7612+Sens!$N$7613-Sens!$N$7614</f>
        <v>0</v>
      </c>
      <c r="O7617" s="41" t="n">
        <f aca="false">Sens!$O$7612+Sens!$O$7613-Sens!$O$7614</f>
        <v>0</v>
      </c>
    </row>
    <row r="7618" customFormat="false" ht="17.15" hidden="false" customHeight="false" outlineLevel="0" collapsed="false">
      <c r="A7618" s="24" t="s">
        <v>699</v>
      </c>
      <c r="B7618" s="25" t="s">
        <v>86</v>
      </c>
      <c r="C7618" s="41" t="n">
        <f aca="false">Sens!$C$7549+Sens!$C$7550+Sens!$C$7614-Sens!$C$7615</f>
        <v>0</v>
      </c>
      <c r="D7618" s="41" t="n">
        <f aca="false">Sens!$D$7549+Sens!$D$7550+Sens!$D$7614-Sens!$D$7615</f>
        <v>0</v>
      </c>
      <c r="E7618" s="41" t="n">
        <f aca="false">Sens!$E$7549+Sens!$E$7550+Sens!$E$7614-Sens!$E$7615</f>
        <v>0</v>
      </c>
      <c r="F7618" s="41" t="n">
        <f aca="false">Sens!$F$7549+Sens!$F$7550+Sens!$F$7614-Sens!$F$7615</f>
        <v>0</v>
      </c>
      <c r="G7618" s="41" t="n">
        <f aca="false">Sens!$G$7549+Sens!$G$7550+Sens!$G$7614-Sens!$G$7615</f>
        <v>0</v>
      </c>
      <c r="H7618" s="41" t="n">
        <f aca="false">Sens!$H$7549+Sens!$H$7550+Sens!$H$7614-Sens!$H$7615</f>
        <v>0</v>
      </c>
      <c r="I7618" s="41" t="n">
        <f aca="false">Sens!$I$7549+Sens!$I$7550+Sens!$I$7614-Sens!$I$7615</f>
        <v>0</v>
      </c>
      <c r="J7618" s="41" t="n">
        <f aca="false">Sens!$J$7549+Sens!$J$7550+Sens!$J$7614-Sens!$J$7615</f>
        <v>0</v>
      </c>
      <c r="K7618" s="41" t="n">
        <f aca="false">Sens!$K$7549+Sens!$K$7550+Sens!$K$7614-Sens!$K$7615</f>
        <v>0</v>
      </c>
      <c r="L7618" s="41" t="n">
        <f aca="false">Sens!$L$7549+Sens!$L$7550+Sens!$L$7614-Sens!$L$7615</f>
        <v>0</v>
      </c>
      <c r="M7618" s="41" t="n">
        <f aca="false">Sens!$M$7549+Sens!$M$7550+Sens!$M$7614-Sens!$M$7615</f>
        <v>0</v>
      </c>
      <c r="N7618" s="41" t="n">
        <f aca="false">Sens!$N$7549+Sens!$N$7550+Sens!$N$7614-Sens!$N$7615</f>
        <v>0</v>
      </c>
      <c r="O7618" s="41" t="n">
        <f aca="false">Sens!$O$7549+Sens!$O$7550+Sens!$O$7614-Sens!$O$7615</f>
        <v>0</v>
      </c>
    </row>
    <row r="7619" customFormat="false" ht="15" hidden="false" customHeight="false" outlineLevel="0" collapsed="false">
      <c r="A7619" s="5" t="s">
        <v>693</v>
      </c>
      <c r="B7619" s="0" t="s">
        <v>52</v>
      </c>
      <c r="G7619" s="13" t="n">
        <f aca="false">Sens!$G$7615/Sens!$D$7615-1</f>
        <v>0.140854504918937</v>
      </c>
      <c r="H7619" s="13" t="n">
        <f aca="false">Sens!$H$7615/Sens!$G$7615-1</f>
        <v>0.152063789793209</v>
      </c>
      <c r="I7619" s="13" t="n">
        <f aca="false">Sens!$I$7615/Sens!$H$7615-1</f>
        <v>0.134273264437417</v>
      </c>
      <c r="J7619" s="13" t="n">
        <f aca="false">Sens!$J$7615/Sens!$I$7615-1</f>
        <v>0.113310421234083</v>
      </c>
      <c r="K7619" s="13" t="n">
        <f aca="false">Sens!$K$7615/Sens!$J$7615-1</f>
        <v>0.0892108343223652</v>
      </c>
      <c r="L7619" s="13" t="n">
        <f aca="false">Sens!$L$7615/Sens!$K$7615-1</f>
        <v>0.076471362444261</v>
      </c>
      <c r="M7619" s="13" t="n">
        <f aca="false">Sens!$M$7615/Sens!$L$7615-1</f>
        <v>0.066250060256672</v>
      </c>
    </row>
    <row r="7620" customFormat="false" ht="17.15" hidden="false" customHeight="false" outlineLevel="0" collapsed="false">
      <c r="A7620" s="0" t="s">
        <v>694</v>
      </c>
      <c r="B7620" s="0" t="s">
        <v>52</v>
      </c>
      <c r="C7620" s="13" t="n">
        <f aca="false">Sens!$C$7614/Sens!$C$7615</f>
        <v>0.168593906504964</v>
      </c>
      <c r="D7620" s="13" t="n">
        <f aca="false">Sens!$D$7614/Sens!$D$7615</f>
        <v>0.179551807444025</v>
      </c>
      <c r="E7620" s="13" t="n">
        <f aca="false">Sens!$E$7614/Sens!$E$7615</f>
        <v>0.208881910369643</v>
      </c>
      <c r="F7620" s="13" t="n">
        <f aca="false">Sens!$F$7614/Sens!$F$7615</f>
        <v>0.199028269699356</v>
      </c>
      <c r="G7620" s="13" t="n">
        <f aca="false">Sens!$G$7614/Sens!$G$7615</f>
        <v>0.203631882529968</v>
      </c>
      <c r="H7620" s="13" t="n">
        <f aca="false">Sens!$H$7614/Sens!$H$7615</f>
        <v>0.234731715958496</v>
      </c>
      <c r="I7620" s="13" t="n">
        <f aca="false">Sens!$I$7614/Sens!$I$7615</f>
        <v>0.262231204480418</v>
      </c>
      <c r="J7620" s="13" t="n">
        <f aca="false">Sens!$J$7614/Sens!$J$7615</f>
        <v>0.284728366013706</v>
      </c>
      <c r="K7620" s="13" t="n">
        <f aca="false">Sens!$K$7614/Sens!$K$7615</f>
        <v>0.300823304959505</v>
      </c>
      <c r="L7620" s="13" t="n">
        <f aca="false">Sens!$L$7614/Sens!$L$7615</f>
        <v>0.308263164529735</v>
      </c>
      <c r="M7620" s="13" t="n">
        <f aca="false">Sens!$M$7614/Sens!$M$7615</f>
        <v>0.308856517936036</v>
      </c>
      <c r="N7620" s="13" t="n">
        <f aca="false">Sens!$N$7614/Sens!$N$7615</f>
        <v>0.185979484737251</v>
      </c>
      <c r="O7620" s="13" t="n">
        <f aca="false">Sens!$O$7614/Sens!$O$7615</f>
        <v>0.174270432341096</v>
      </c>
    </row>
    <row r="7621" customFormat="false" ht="17.15" hidden="false" customHeight="false" outlineLevel="0" collapsed="false">
      <c r="A7621" s="0" t="s">
        <v>695</v>
      </c>
      <c r="B7621" s="0" t="s">
        <v>52</v>
      </c>
      <c r="C7621" s="13" t="n">
        <f aca="false">Sens!$C$7612/Sens!$C$7614</f>
        <v>0.0215795060896058</v>
      </c>
      <c r="D7621" s="13" t="n">
        <f aca="false">Sens!$D$7612/Sens!$D$7614</f>
        <v>0.0676152269462122</v>
      </c>
      <c r="E7621" s="13" t="n">
        <f aca="false">Sens!$E$7612/Sens!$E$7614</f>
        <v>0.106620641395783</v>
      </c>
      <c r="F7621" s="13" t="n">
        <f aca="false">Sens!$F$7612/Sens!$F$7614</f>
        <v>0.172523487401099</v>
      </c>
      <c r="G7621" s="13" t="n">
        <f aca="false">Sens!$G$7612/Sens!$G$7614</f>
        <v>0.140939911795589</v>
      </c>
      <c r="H7621" s="13" t="n">
        <f aca="false">Sens!$H$7612/Sens!$H$7614</f>
        <v>0.272018642937714</v>
      </c>
      <c r="I7621" s="13" t="n">
        <f aca="false">Sens!$I$7612/Sens!$I$7614</f>
        <v>0.362159512436497</v>
      </c>
      <c r="J7621" s="13" t="n">
        <f aca="false">Sens!$J$7612/Sens!$J$7614</f>
        <v>0.422151735934609</v>
      </c>
      <c r="K7621" s="13" t="n">
        <f aca="false">Sens!$K$7612/Sens!$K$7614</f>
        <v>0.45769342068485</v>
      </c>
      <c r="L7621" s="13" t="n">
        <f aca="false">Sens!$L$7612/Sens!$L$7614</f>
        <v>0.469047103913472</v>
      </c>
      <c r="M7621" s="13" t="n">
        <f aca="false">Sens!$M$7612/Sens!$M$7614</f>
        <v>0.463233328258093</v>
      </c>
      <c r="N7621" s="13" t="n">
        <f aca="false">Sens!$N$7612/Sens!$N$7614</f>
        <v>0.0506537999838362</v>
      </c>
      <c r="O7621" s="13" t="n">
        <f aca="false">Sens!$O$7612/Sens!$O$7614</f>
        <v>0.0824881615167056</v>
      </c>
    </row>
    <row r="7624" customFormat="false" ht="19.4" hidden="false" customHeight="false" outlineLevel="0" collapsed="false">
      <c r="A7624" s="31" t="s">
        <v>1284</v>
      </c>
    </row>
    <row r="7625" customFormat="false" ht="17.15" hidden="false" customHeight="false" outlineLevel="0" collapsed="false">
      <c r="A7625" s="6" t="s">
        <v>16</v>
      </c>
      <c r="B7625" s="6" t="s">
        <v>17</v>
      </c>
      <c r="C7625" s="20" t="s">
        <v>494</v>
      </c>
      <c r="D7625" s="20" t="s">
        <v>495</v>
      </c>
      <c r="E7625" s="20" t="s">
        <v>577</v>
      </c>
      <c r="F7625" s="20" t="s">
        <v>578</v>
      </c>
      <c r="G7625" s="20" t="s">
        <v>579</v>
      </c>
      <c r="H7625" s="20" t="s">
        <v>580</v>
      </c>
      <c r="I7625" s="20" t="s">
        <v>581</v>
      </c>
      <c r="J7625" s="20" t="s">
        <v>582</v>
      </c>
      <c r="K7625" s="20" t="s">
        <v>583</v>
      </c>
      <c r="L7625" s="20" t="s">
        <v>584</v>
      </c>
      <c r="M7625" s="20" t="s">
        <v>585</v>
      </c>
      <c r="N7625" s="20" t="s">
        <v>586</v>
      </c>
      <c r="O7625" s="20" t="s">
        <v>587</v>
      </c>
      <c r="P7625" s="6" t="s">
        <v>23</v>
      </c>
      <c r="R7625" s="20" t="n">
        <v>2023</v>
      </c>
      <c r="S7625" s="20" t="n">
        <v>2024</v>
      </c>
      <c r="T7625" s="20" t="n">
        <v>2025</v>
      </c>
      <c r="U7625" s="20" t="n">
        <v>2026</v>
      </c>
      <c r="V7625" s="20" t="n">
        <v>2027</v>
      </c>
      <c r="W7625" s="20" t="n">
        <v>2028</v>
      </c>
      <c r="X7625" s="20" t="n">
        <v>2029</v>
      </c>
      <c r="Y7625" s="20" t="n">
        <v>2030</v>
      </c>
      <c r="Z7625" s="20" t="n">
        <v>2031</v>
      </c>
      <c r="AA7625" s="20" t="n">
        <v>2032</v>
      </c>
    </row>
    <row r="7626" customFormat="false" ht="17.15" hidden="false" customHeight="false" outlineLevel="0" collapsed="false">
      <c r="A7626" s="1" t="s">
        <v>710</v>
      </c>
    </row>
    <row r="7627" customFormat="false" ht="15" hidden="false" customHeight="false" outlineLevel="0" collapsed="false">
      <c r="A7627" s="0" t="s">
        <v>516</v>
      </c>
      <c r="B7627" s="0" t="s">
        <v>86</v>
      </c>
      <c r="C7627" s="38" t="n">
        <f aca="false">Sens!$C$7534</f>
        <v>247.029</v>
      </c>
      <c r="D7627" s="38" t="n">
        <f aca="false">Sens!$D$7534</f>
        <v>269.287</v>
      </c>
      <c r="E7627" s="38" t="n">
        <f aca="false">Sens!$E$7534</f>
        <v>134.686</v>
      </c>
      <c r="F7627" s="38" t="n">
        <f aca="false">Sens!$F$7534</f>
        <v>158.293876822267</v>
      </c>
      <c r="G7627" s="38" t="n">
        <f aca="false">Sens!$G$7534</f>
        <v>292.979876822267</v>
      </c>
      <c r="H7627" s="38" t="n">
        <f aca="false">Sens!$H$7534</f>
        <v>318.184543087396</v>
      </c>
      <c r="I7627" s="38" t="n">
        <f aca="false">Sens!$I$7534</f>
        <v>341.736278761793</v>
      </c>
      <c r="J7627" s="38" t="n">
        <f aca="false">Sens!$J$7534</f>
        <v>362.927192787048</v>
      </c>
      <c r="K7627" s="38" t="n">
        <f aca="false">Sens!$K$7534</f>
        <v>381.0735524264</v>
      </c>
      <c r="L7627" s="38" t="n">
        <f aca="false">Sens!$L$7534</f>
        <v>400.12723004772</v>
      </c>
      <c r="M7627" s="38" t="n">
        <f aca="false">Sens!$M$7534</f>
        <v>420.133591550106</v>
      </c>
      <c r="N7627" s="38" t="n">
        <f aca="false">Sens!$N$7534</f>
        <v>118.892</v>
      </c>
      <c r="O7627" s="38" t="n">
        <f aca="false">Sens!$O$7534</f>
        <v>150.395</v>
      </c>
    </row>
    <row r="7628" customFormat="false" ht="15" hidden="false" customHeight="false" outlineLevel="0" collapsed="false">
      <c r="A7628" s="0" t="s">
        <v>517</v>
      </c>
      <c r="B7628" s="0" t="s">
        <v>86</v>
      </c>
      <c r="C7628" s="38" t="n">
        <f aca="false">Sens!$C$7536</f>
        <v>21.215</v>
      </c>
      <c r="D7628" s="38" t="n">
        <f aca="false">Sens!$D$7536</f>
        <v>22.561</v>
      </c>
      <c r="E7628" s="38" t="n">
        <f aca="false">Sens!$E$7536</f>
        <v>11.579</v>
      </c>
      <c r="F7628" s="38" t="n">
        <f aca="false">Sens!$F$7536</f>
        <v>11.5938724610325</v>
      </c>
      <c r="G7628" s="38" t="n">
        <f aca="false">Sens!$G$7536</f>
        <v>23.1728724610325</v>
      </c>
      <c r="H7628" s="38" t="n">
        <f aca="false">Sens!$H$7536</f>
        <v>24.353392759506</v>
      </c>
      <c r="I7628" s="38" t="n">
        <f aca="false">Sens!$I$7536</f>
        <v>25.4240338872015</v>
      </c>
      <c r="J7628" s="38" t="n">
        <f aca="false">Sens!$J$7536</f>
        <v>26.3642491017174</v>
      </c>
      <c r="K7628" s="38" t="n">
        <f aca="false">Sens!$K$7536</f>
        <v>27.155176574769</v>
      </c>
      <c r="L7628" s="38" t="n">
        <f aca="false">Sens!$L$7536</f>
        <v>27.969831872012</v>
      </c>
      <c r="M7628" s="38" t="n">
        <f aca="false">Sens!$M$7536</f>
        <v>28.8089268281724</v>
      </c>
      <c r="N7628" s="38" t="n">
        <f aca="false">Sens!$N$7536</f>
        <v>11.128</v>
      </c>
      <c r="O7628" s="38" t="n">
        <f aca="false">Sens!$O$7536</f>
        <v>11.433</v>
      </c>
    </row>
    <row r="7629" customFormat="false" ht="15" hidden="false" customHeight="false" outlineLevel="0" collapsed="false">
      <c r="A7629" s="0" t="s">
        <v>518</v>
      </c>
      <c r="B7629" s="0" t="s">
        <v>86</v>
      </c>
      <c r="C7629" s="38" t="n">
        <f aca="false">Sens!$C$7538</f>
        <v>156.146</v>
      </c>
      <c r="D7629" s="38" t="n">
        <f aca="false">Sens!$D$7538</f>
        <v>172.162</v>
      </c>
      <c r="E7629" s="38" t="n">
        <f aca="false">Sens!$E$7538</f>
        <v>88.358</v>
      </c>
      <c r="F7629" s="38" t="n">
        <f aca="false">Sens!$F$7538</f>
        <v>102.004388260171</v>
      </c>
      <c r="G7629" s="38" t="n">
        <f aca="false">Sens!$G$7538</f>
        <v>190.362388260171</v>
      </c>
      <c r="H7629" s="38" t="n">
        <f aca="false">Sens!$H$7538</f>
        <v>210.343106588311</v>
      </c>
      <c r="I7629" s="38" t="n">
        <f aca="false">Sens!$I$7538</f>
        <v>229.969728494648</v>
      </c>
      <c r="J7629" s="38" t="n">
        <f aca="false">Sens!$J$7538</f>
        <v>248.747636972598</v>
      </c>
      <c r="K7629" s="38" t="n">
        <f aca="false">Sens!$K$7538</f>
        <v>266.15997156068</v>
      </c>
      <c r="L7629" s="38" t="n">
        <f aca="false">Sens!$L$7538</f>
        <v>284.791169569927</v>
      </c>
      <c r="M7629" s="38" t="n">
        <f aca="false">Sens!$M$7538</f>
        <v>304.726551439822</v>
      </c>
      <c r="N7629" s="38" t="n">
        <f aca="false">Sens!$N$7538</f>
        <v>76.86</v>
      </c>
      <c r="O7629" s="38" t="n">
        <f aca="false">Sens!$O$7538</f>
        <v>95.302</v>
      </c>
    </row>
    <row r="7630" customFormat="false" ht="15" hidden="false" customHeight="false" outlineLevel="0" collapsed="false">
      <c r="A7630" s="0" t="s">
        <v>519</v>
      </c>
      <c r="B7630" s="0" t="s">
        <v>86</v>
      </c>
      <c r="C7630" s="38" t="n">
        <f aca="false">Sens!$C$7540</f>
        <v>56.214</v>
      </c>
      <c r="D7630" s="38" t="n">
        <f aca="false">Sens!$D$7540</f>
        <v>68.635</v>
      </c>
      <c r="E7630" s="38" t="n">
        <f aca="false">Sens!$E$7540</f>
        <v>37.052</v>
      </c>
      <c r="F7630" s="38" t="n">
        <f aca="false">Sens!$F$7540</f>
        <v>46.1572219944148</v>
      </c>
      <c r="G7630" s="38" t="n">
        <f aca="false">Sens!$G$7540</f>
        <v>83.2092219944148</v>
      </c>
      <c r="H7630" s="38" t="n">
        <f aca="false">Sens!$H$7540</f>
        <v>99.8969223878976</v>
      </c>
      <c r="I7630" s="38" t="n">
        <f aca="false">Sens!$I$7540</f>
        <v>116.583111095496</v>
      </c>
      <c r="J7630" s="38" t="n">
        <f aca="false">Sens!$J$7540</f>
        <v>132.148941941952</v>
      </c>
      <c r="K7630" s="38" t="n">
        <f aca="false">Sens!$K$7540</f>
        <v>145.363836136147</v>
      </c>
      <c r="L7630" s="38" t="n">
        <f aca="false">Sens!$L$7540</f>
        <v>159.900219749762</v>
      </c>
      <c r="M7630" s="38" t="n">
        <f aca="false">Sens!$M$7540</f>
        <v>175.890241724738</v>
      </c>
      <c r="N7630" s="38" t="n">
        <f aca="false">Sens!$N$7540</f>
        <v>29.615</v>
      </c>
      <c r="O7630" s="38" t="n">
        <f aca="false">Sens!$O$7540</f>
        <v>39.02</v>
      </c>
    </row>
    <row r="7631" customFormat="false" ht="15" hidden="false" customHeight="false" outlineLevel="0" collapsed="false">
      <c r="A7631" s="0" t="s">
        <v>520</v>
      </c>
      <c r="B7631" s="0" t="s">
        <v>86</v>
      </c>
      <c r="C7631" s="38" t="n">
        <f aca="false">Sens!$C$7542</f>
        <v>44.374</v>
      </c>
      <c r="D7631" s="38" t="n">
        <f aca="false">Sens!$D$7542</f>
        <v>49.619</v>
      </c>
      <c r="E7631" s="38" t="n">
        <f aca="false">Sens!$E$7542</f>
        <v>27.157</v>
      </c>
      <c r="F7631" s="38" t="n">
        <f aca="false">Sens!$F$7542</f>
        <v>27.7764165988154</v>
      </c>
      <c r="G7631" s="38" t="n">
        <f aca="false">Sens!$G$7542</f>
        <v>54.9334165988154</v>
      </c>
      <c r="H7631" s="38" t="n">
        <f aca="false">Sens!$H$7542</f>
        <v>61.1564112561829</v>
      </c>
      <c r="I7631" s="38" t="n">
        <f aca="false">Sens!$I$7542</f>
        <v>67.2020282103945</v>
      </c>
      <c r="J7631" s="38" t="n">
        <f aca="false">Sens!$J$7542</f>
        <v>72.8757274028885</v>
      </c>
      <c r="K7631" s="38" t="n">
        <f aca="false">Sens!$K$7542</f>
        <v>77.9770283210907</v>
      </c>
      <c r="L7631" s="38" t="n">
        <f aca="false">Sens!$L$7542</f>
        <v>83.4354203035671</v>
      </c>
      <c r="M7631" s="38" t="n">
        <f aca="false">Sens!$M$7542</f>
        <v>89.2758997248168</v>
      </c>
      <c r="N7631" s="38" t="n">
        <f aca="false">Sens!$N$7542</f>
        <v>23.923</v>
      </c>
      <c r="O7631" s="38" t="n">
        <f aca="false">Sens!$O$7542</f>
        <v>25.696</v>
      </c>
    </row>
    <row r="7632" customFormat="false" ht="15" hidden="false" customHeight="false" outlineLevel="0" collapsed="false">
      <c r="A7632" s="0" t="s">
        <v>521</v>
      </c>
      <c r="B7632" s="0" t="s">
        <v>86</v>
      </c>
      <c r="C7632" s="38" t="n">
        <f aca="false">Sens!$C$7544</f>
        <v>5.425</v>
      </c>
      <c r="D7632" s="38" t="n">
        <f aca="false">Sens!$D$7544</f>
        <v>5.935</v>
      </c>
      <c r="E7632" s="38" t="n">
        <f aca="false">Sens!$E$7544</f>
        <v>3.474</v>
      </c>
      <c r="F7632" s="38" t="n">
        <f aca="false">Sens!$F$7544</f>
        <v>3.22246550883619</v>
      </c>
      <c r="G7632" s="38" t="n">
        <f aca="false">Sens!$G$7544</f>
        <v>6.69646550883619</v>
      </c>
      <c r="H7632" s="38" t="n">
        <f aca="false">Sens!$H$7544</f>
        <v>7.16251344209196</v>
      </c>
      <c r="I7632" s="38" t="n">
        <f aca="false">Sens!$I$7544</f>
        <v>7.61421070299826</v>
      </c>
      <c r="J7632" s="38" t="n">
        <f aca="false">Sens!$J$7544</f>
        <v>8.04465753523932</v>
      </c>
      <c r="K7632" s="38" t="n">
        <f aca="false">Sens!$K$7544</f>
        <v>8.44689041200128</v>
      </c>
      <c r="L7632" s="38" t="n">
        <f aca="false">Sens!$L$7544</f>
        <v>8.86923493260135</v>
      </c>
      <c r="M7632" s="38" t="n">
        <f aca="false">Sens!$M$7544</f>
        <v>9.31269667923142</v>
      </c>
      <c r="N7632" s="38" t="n">
        <f aca="false">Sens!$N$7544</f>
        <v>2.811</v>
      </c>
      <c r="O7632" s="38" t="n">
        <f aca="false">Sens!$O$7544</f>
        <v>3.124</v>
      </c>
    </row>
    <row r="7633" customFormat="false" ht="17.15" hidden="false" customHeight="false" outlineLevel="0" collapsed="false">
      <c r="A7633" s="0" t="s">
        <v>711</v>
      </c>
      <c r="B7633" s="0" t="s">
        <v>86</v>
      </c>
      <c r="C7633" s="38" t="n">
        <f aca="false">Sens!$C$7614</f>
        <v>107.556</v>
      </c>
      <c r="D7633" s="38" t="n">
        <f aca="false">Sens!$D$7614</f>
        <v>128.725</v>
      </c>
      <c r="E7633" s="38" t="n">
        <f aca="false">Sens!$E$7614</f>
        <v>79.819</v>
      </c>
      <c r="F7633" s="38" t="n">
        <f aca="false">Sens!$F$7614</f>
        <v>86.7327334389669</v>
      </c>
      <c r="G7633" s="38" t="n">
        <f aca="false">Sens!$G$7614</f>
        <v>166.551733438967</v>
      </c>
      <c r="H7633" s="38" t="n">
        <f aca="false">Sens!$H$7614</f>
        <v>221.182967828978</v>
      </c>
      <c r="I7633" s="38" t="n">
        <f aca="false">Sens!$I$7614</f>
        <v>280.27345865789</v>
      </c>
      <c r="J7633" s="38" t="n">
        <f aca="false">Sens!$J$7614</f>
        <v>338.800945197185</v>
      </c>
      <c r="K7633" s="38" t="n">
        <f aca="false">Sens!$K$7614</f>
        <v>389.88570147276</v>
      </c>
      <c r="L7633" s="38" t="n">
        <f aca="false">Sens!$L$7614</f>
        <v>430.080689379143</v>
      </c>
      <c r="M7633" s="38" t="n">
        <f aca="false">Sens!$M$7614</f>
        <v>459.456235951751</v>
      </c>
      <c r="N7633" s="38" t="n">
        <f aca="false">Sens!$N$7614</f>
        <v>60.14</v>
      </c>
      <c r="O7633" s="38" t="n">
        <f aca="false">Sens!$O$7614</f>
        <v>68.585</v>
      </c>
    </row>
    <row r="7634" customFormat="false" ht="15" hidden="false" customHeight="false" outlineLevel="0" collapsed="false">
      <c r="A7634" s="1" t="s">
        <v>509</v>
      </c>
      <c r="B7634" s="8" t="s">
        <v>86</v>
      </c>
      <c r="C7634" s="38" t="n">
        <f aca="false">Sens!$C$7549</f>
        <v>387.497</v>
      </c>
      <c r="D7634" s="38" t="n">
        <f aca="false">Sens!$D$7549</f>
        <v>426.305</v>
      </c>
      <c r="E7634" s="38" t="n">
        <f aca="false">Sens!$E$7549</f>
        <v>220.32</v>
      </c>
      <c r="F7634" s="38" t="n">
        <f aca="false">Sens!$F$7549</f>
        <v>250.639773480586</v>
      </c>
      <c r="G7634" s="38" t="n">
        <f aca="false">Sens!$G$7549</f>
        <v>470.959773480586</v>
      </c>
      <c r="H7634" s="38" t="n">
        <f aca="false">Sens!$H$7549</f>
        <v>521.386990416437</v>
      </c>
      <c r="I7634" s="38" t="n">
        <f aca="false">Sens!$I$7549</f>
        <v>570.143862887555</v>
      </c>
      <c r="J7634" s="38" t="n">
        <f aca="false">Sens!$J$7549</f>
        <v>615.391435791933</v>
      </c>
      <c r="K7634" s="38" t="n">
        <f aca="false">Sens!$K$7549</f>
        <v>655.208227561543</v>
      </c>
      <c r="L7634" s="38" t="n">
        <f aca="false">Sens!$L$7549</f>
        <v>697.807739249767</v>
      </c>
      <c r="M7634" s="38" t="n">
        <f aca="false">Sens!$M$7549</f>
        <v>743.399328463592</v>
      </c>
      <c r="N7634" s="38" t="n">
        <f aca="false">Sens!$N$7549</f>
        <v>192.955</v>
      </c>
      <c r="O7634" s="38" t="n">
        <f aca="false">Sens!$O$7549</f>
        <v>233.35</v>
      </c>
    </row>
    <row r="7635" customFormat="false" ht="15" hidden="false" customHeight="false" outlineLevel="0" collapsed="false">
      <c r="A7635" s="1" t="s">
        <v>512</v>
      </c>
      <c r="B7635" s="8" t="s">
        <v>86</v>
      </c>
      <c r="C7635" s="38" t="n">
        <f aca="false">Sens!$C$7550</f>
        <v>142.906</v>
      </c>
      <c r="D7635" s="38" t="n">
        <f aca="false">Sens!$D$7550</f>
        <v>161.894</v>
      </c>
      <c r="E7635" s="38" t="n">
        <f aca="false">Sens!$E$7550</f>
        <v>81.986</v>
      </c>
      <c r="F7635" s="38" t="n">
        <f aca="false">Sens!$F$7550</f>
        <v>98.408468164951</v>
      </c>
      <c r="G7635" s="38" t="n">
        <f aca="false">Sens!$G$7550</f>
        <v>180.394468164951</v>
      </c>
      <c r="H7635" s="38" t="n">
        <f aca="false">Sens!$H$7550</f>
        <v>199.709899104949</v>
      </c>
      <c r="I7635" s="38" t="n">
        <f aca="false">Sens!$I$7550</f>
        <v>218.385528264976</v>
      </c>
      <c r="J7635" s="38" t="n">
        <f aca="false">Sens!$J$7550</f>
        <v>235.71696994951</v>
      </c>
      <c r="K7635" s="38" t="n">
        <f aca="false">Sens!$K$7550</f>
        <v>250.968227869545</v>
      </c>
      <c r="L7635" s="38" t="n">
        <f aca="false">Sens!$L$7550</f>
        <v>267.285367225822</v>
      </c>
      <c r="M7635" s="38" t="n">
        <f aca="false">Sens!$M$7550</f>
        <v>284.748579483295</v>
      </c>
      <c r="N7635" s="38" t="n">
        <f aca="false">Sens!$N$7550</f>
        <v>70.274</v>
      </c>
      <c r="O7635" s="38" t="n">
        <f aca="false">Sens!$O$7550</f>
        <v>91.62</v>
      </c>
    </row>
    <row r="7636" customFormat="false" ht="15" hidden="false" customHeight="false" outlineLevel="0" collapsed="false">
      <c r="A7636" s="1" t="s">
        <v>513</v>
      </c>
      <c r="B7636" s="8" t="s">
        <v>86</v>
      </c>
      <c r="C7636" s="38" t="n">
        <f aca="false">Sens!$C$7614</f>
        <v>107.556</v>
      </c>
      <c r="D7636" s="38" t="n">
        <f aca="false">Sens!$D$7614</f>
        <v>128.725</v>
      </c>
      <c r="E7636" s="38" t="n">
        <f aca="false">Sens!$E$7614</f>
        <v>79.819</v>
      </c>
      <c r="F7636" s="38" t="n">
        <f aca="false">Sens!$F$7614</f>
        <v>86.7327334389669</v>
      </c>
      <c r="G7636" s="38" t="n">
        <f aca="false">Sens!$G$7614</f>
        <v>166.551733438967</v>
      </c>
      <c r="H7636" s="38" t="n">
        <f aca="false">Sens!$H$7614</f>
        <v>221.182967828978</v>
      </c>
      <c r="I7636" s="38" t="n">
        <f aca="false">Sens!$I$7614</f>
        <v>280.27345865789</v>
      </c>
      <c r="J7636" s="38" t="n">
        <f aca="false">Sens!$J$7614</f>
        <v>338.800945197185</v>
      </c>
      <c r="K7636" s="38" t="n">
        <f aca="false">Sens!$K$7614</f>
        <v>389.88570147276</v>
      </c>
      <c r="L7636" s="38" t="n">
        <f aca="false">Sens!$L$7614</f>
        <v>430.080689379143</v>
      </c>
      <c r="M7636" s="38" t="n">
        <f aca="false">Sens!$M$7614</f>
        <v>459.456235951751</v>
      </c>
      <c r="N7636" s="38" t="n">
        <f aca="false">Sens!$N$7614</f>
        <v>60.14</v>
      </c>
      <c r="O7636" s="38" t="n">
        <f aca="false">Sens!$O$7614</f>
        <v>68.585</v>
      </c>
    </row>
    <row r="7637" customFormat="false" ht="17.15" hidden="false" customHeight="false" outlineLevel="0" collapsed="false">
      <c r="A7637" s="0" t="s">
        <v>685</v>
      </c>
      <c r="B7637" s="0" t="s">
        <v>86</v>
      </c>
      <c r="C7637" s="38" t="n">
        <f aca="false">Sens!$C$7612</f>
        <v>2.32100535697364</v>
      </c>
      <c r="D7637" s="38" t="n">
        <f aca="false">Sens!$D$7612</f>
        <v>8.70377008865116</v>
      </c>
      <c r="E7637" s="38" t="n">
        <f aca="false">Sens!$E$7612</f>
        <v>8.51035297557002</v>
      </c>
      <c r="F7637" s="38" t="n">
        <f aca="false">Sens!$F$7612</f>
        <v>14.9634336447205</v>
      </c>
      <c r="G7637" s="38" t="n">
        <f aca="false">Sens!$G$7612</f>
        <v>23.4737866202905</v>
      </c>
      <c r="H7637" s="38" t="n">
        <f aca="false">Sens!$H$7612</f>
        <v>60.1658907497746</v>
      </c>
      <c r="I7637" s="38" t="n">
        <f aca="false">Sens!$I$7612</f>
        <v>101.503699136432</v>
      </c>
      <c r="J7637" s="38" t="n">
        <f aca="false">Sens!$J$7612</f>
        <v>143.025407151278</v>
      </c>
      <c r="K7637" s="38" t="n">
        <f aca="false">Sens!$K$7612</f>
        <v>178.44812038318</v>
      </c>
      <c r="L7637" s="38" t="n">
        <f aca="false">Sens!$L$7612</f>
        <v>201.728101802396</v>
      </c>
      <c r="M7637" s="38" t="n">
        <f aca="false">Sens!$M$7612</f>
        <v>212.835441368865</v>
      </c>
      <c r="N7637" s="38" t="n">
        <f aca="false">Sens!$N$7612</f>
        <v>3.04631953102791</v>
      </c>
      <c r="O7637" s="38" t="n">
        <f aca="false">Sens!$O$7612</f>
        <v>5.65745055762326</v>
      </c>
    </row>
    <row r="7638" customFormat="false" ht="17.15" hidden="false" customHeight="false" outlineLevel="0" collapsed="false">
      <c r="A7638" s="0" t="s">
        <v>687</v>
      </c>
      <c r="B7638" s="0" t="s">
        <v>86</v>
      </c>
      <c r="C7638" s="38" t="n">
        <f aca="false">Sens!$C$7613</f>
        <v>105.234994643026</v>
      </c>
      <c r="D7638" s="38" t="n">
        <f aca="false">Sens!$D$7613</f>
        <v>120.021229911349</v>
      </c>
      <c r="E7638" s="38" t="n">
        <f aca="false">Sens!$E$7613</f>
        <v>71.30864702443</v>
      </c>
      <c r="F7638" s="38" t="n">
        <f aca="false">Sens!$F$7613</f>
        <v>71.7692997942464</v>
      </c>
      <c r="G7638" s="38" t="n">
        <f aca="false">Sens!$G$7613</f>
        <v>143.077946818676</v>
      </c>
      <c r="H7638" s="38" t="n">
        <f aca="false">Sens!$H$7613</f>
        <v>161.017077079203</v>
      </c>
      <c r="I7638" s="38" t="n">
        <f aca="false">Sens!$I$7613</f>
        <v>178.769759521457</v>
      </c>
      <c r="J7638" s="38" t="n">
        <f aca="false">Sens!$J$7613</f>
        <v>195.775538045907</v>
      </c>
      <c r="K7638" s="38" t="n">
        <f aca="false">Sens!$K$7613</f>
        <v>211.43758108958</v>
      </c>
      <c r="L7638" s="38" t="n">
        <f aca="false">Sens!$L$7613</f>
        <v>228.352587576746</v>
      </c>
      <c r="M7638" s="38" t="n">
        <f aca="false">Sens!$M$7613</f>
        <v>246.620794582886</v>
      </c>
      <c r="N7638" s="38" t="n">
        <f aca="false">Sens!$N$7613</f>
        <v>57.0936804689721</v>
      </c>
      <c r="O7638" s="38" t="n">
        <f aca="false">Sens!$O$7613</f>
        <v>62.9275494423768</v>
      </c>
    </row>
    <row r="7639" customFormat="false" ht="15" hidden="false" customHeight="false" outlineLevel="0" collapsed="false">
      <c r="A7639" s="3" t="s">
        <v>514</v>
      </c>
      <c r="B7639" s="8" t="s">
        <v>86</v>
      </c>
      <c r="C7639" s="38" t="n">
        <f aca="false">Sens!$C$7615</f>
        <v>637.959</v>
      </c>
      <c r="D7639" s="38" t="n">
        <f aca="false">Sens!$D$7615</f>
        <v>716.924</v>
      </c>
      <c r="E7639" s="38" t="n">
        <f aca="false">Sens!$E$7615</f>
        <v>382.125</v>
      </c>
      <c r="F7639" s="38" t="n">
        <f aca="false">Sens!$F$7615</f>
        <v>435.780975084504</v>
      </c>
      <c r="G7639" s="38" t="n">
        <f aca="false">Sens!$G$7615</f>
        <v>817.905975084504</v>
      </c>
      <c r="H7639" s="38" t="n">
        <f aca="false">Sens!$H$7615</f>
        <v>942.279857350364</v>
      </c>
      <c r="I7639" s="38" t="n">
        <f aca="false">Sens!$I$7615</f>
        <v>1068.80284981042</v>
      </c>
      <c r="J7639" s="38" t="n">
        <f aca="false">Sens!$J$7615</f>
        <v>1189.90935093863</v>
      </c>
      <c r="K7639" s="38" t="n">
        <f aca="false">Sens!$K$7615</f>
        <v>1296.06215690385</v>
      </c>
      <c r="L7639" s="38" t="n">
        <f aca="false">Sens!$L$7615</f>
        <v>1395.17379585473</v>
      </c>
      <c r="M7639" s="38" t="n">
        <f aca="false">Sens!$M$7615</f>
        <v>1487.60414389864</v>
      </c>
      <c r="N7639" s="38" t="n">
        <f aca="false">Sens!$N$7615</f>
        <v>323.369</v>
      </c>
      <c r="O7639" s="38" t="n">
        <f aca="false">Sens!$O$7615</f>
        <v>393.555</v>
      </c>
    </row>
    <row r="7640" customFormat="false" ht="17.15" hidden="false" customHeight="false" outlineLevel="0" collapsed="false">
      <c r="A7640" s="24" t="s">
        <v>697</v>
      </c>
      <c r="B7640" s="25" t="s">
        <v>86</v>
      </c>
      <c r="C7640" s="41" t="n">
        <f aca="false">Sens!$C$7627+Sens!$C$7628+Sens!$C$7629+Sens!$C$7630+Sens!$C$7631+Sens!$C$7632-(Sens!$C$7634+Sens!$C$7635)</f>
        <v>0</v>
      </c>
      <c r="D7640" s="41" t="n">
        <f aca="false">Sens!$D$7627+Sens!$D$7628+Sens!$D$7629+Sens!$D$7630+Sens!$D$7631+Sens!$D$7632-(Sens!$D$7634+Sens!$D$7635)</f>
        <v>0</v>
      </c>
      <c r="E7640" s="41" t="n">
        <f aca="false">Sens!$E$7627+Sens!$E$7628+Sens!$E$7629+Sens!$E$7630+Sens!$E$7631+Sens!$E$7632-(Sens!$E$7634+Sens!$E$7635)</f>
        <v>0</v>
      </c>
      <c r="F7640" s="41" t="n">
        <f aca="false">Sens!$F$7627+Sens!$F$7628+Sens!$F$7629+Sens!$F$7630+Sens!$F$7631+Sens!$F$7632-(Sens!$F$7634+Sens!$F$7635)</f>
        <v>0</v>
      </c>
      <c r="G7640" s="41" t="n">
        <f aca="false">Sens!$G$7627+Sens!$G$7628+Sens!$G$7629+Sens!$G$7630+Sens!$G$7631+Sens!$G$7632-(Sens!$G$7634+Sens!$G$7635)</f>
        <v>0</v>
      </c>
      <c r="H7640" s="41" t="n">
        <f aca="false">Sens!$H$7627+Sens!$H$7628+Sens!$H$7629+Sens!$H$7630+Sens!$H$7631+Sens!$H$7632-(Sens!$H$7634+Sens!$H$7635)</f>
        <v>0</v>
      </c>
      <c r="I7640" s="41" t="n">
        <f aca="false">Sens!$I$7627+Sens!$I$7628+Sens!$I$7629+Sens!$I$7630+Sens!$I$7631+Sens!$I$7632-(Sens!$I$7634+Sens!$I$7635)</f>
        <v>0</v>
      </c>
      <c r="J7640" s="41" t="n">
        <f aca="false">Sens!$J$7627+Sens!$J$7628+Sens!$J$7629+Sens!$J$7630+Sens!$J$7631+Sens!$J$7632-(Sens!$J$7634+Sens!$J$7635)</f>
        <v>0</v>
      </c>
      <c r="K7640" s="41" t="n">
        <f aca="false">Sens!$K$7627+Sens!$K$7628+Sens!$K$7629+Sens!$K$7630+Sens!$K$7631+Sens!$K$7632-(Sens!$K$7634+Sens!$K$7635)</f>
        <v>0</v>
      </c>
      <c r="L7640" s="41" t="n">
        <f aca="false">Sens!$L$7627+Sens!$L$7628+Sens!$L$7629+Sens!$L$7630+Sens!$L$7631+Sens!$L$7632-(Sens!$L$7634+Sens!$L$7635)</f>
        <v>0</v>
      </c>
      <c r="M7640" s="41" t="n">
        <f aca="false">Sens!$M$7627+Sens!$M$7628+Sens!$M$7629+Sens!$M$7630+Sens!$M$7631+Sens!$M$7632-(Sens!$M$7634+Sens!$M$7635)</f>
        <v>0</v>
      </c>
      <c r="N7640" s="41" t="n">
        <f aca="false">Sens!$N$7627+Sens!$N$7628+Sens!$N$7629+Sens!$N$7630+Sens!$N$7631+Sens!$N$7632-(Sens!$N$7634+Sens!$N$7635)</f>
        <v>0</v>
      </c>
      <c r="O7640" s="41" t="n">
        <f aca="false">Sens!$O$7627+Sens!$O$7628+Sens!$O$7629+Sens!$O$7630+Sens!$O$7631+Sens!$O$7632-(Sens!$O$7634+Sens!$O$7635)</f>
        <v>0</v>
      </c>
    </row>
    <row r="7641" customFormat="false" ht="17.15" hidden="false" customHeight="false" outlineLevel="0" collapsed="false">
      <c r="A7641" s="24" t="s">
        <v>698</v>
      </c>
      <c r="B7641" s="25" t="s">
        <v>86</v>
      </c>
      <c r="C7641" s="41" t="n">
        <f aca="false">Sens!$C$7637+Sens!$C$7638-Sens!$C$7636</f>
        <v>0</v>
      </c>
      <c r="D7641" s="41" t="n">
        <f aca="false">Sens!$D$7637+Sens!$D$7638-Sens!$D$7636</f>
        <v>0</v>
      </c>
      <c r="E7641" s="41" t="n">
        <f aca="false">Sens!$E$7637+Sens!$E$7638-Sens!$E$7636</f>
        <v>0</v>
      </c>
      <c r="F7641" s="41" t="n">
        <f aca="false">Sens!$F$7637+Sens!$F$7638-Sens!$F$7636</f>
        <v>0</v>
      </c>
      <c r="G7641" s="41" t="n">
        <f aca="false">Sens!$G$7637+Sens!$G$7638-Sens!$G$7636</f>
        <v>0</v>
      </c>
      <c r="H7641" s="41" t="n">
        <f aca="false">Sens!$H$7637+Sens!$H$7638-Sens!$H$7636</f>
        <v>0</v>
      </c>
      <c r="I7641" s="41" t="n">
        <f aca="false">Sens!$I$7637+Sens!$I$7638-Sens!$I$7636</f>
        <v>0</v>
      </c>
      <c r="J7641" s="41" t="n">
        <f aca="false">Sens!$J$7637+Sens!$J$7638-Sens!$J$7636</f>
        <v>0</v>
      </c>
      <c r="K7641" s="41" t="n">
        <f aca="false">Sens!$K$7637+Sens!$K$7638-Sens!$K$7636</f>
        <v>0</v>
      </c>
      <c r="L7641" s="41" t="n">
        <f aca="false">Sens!$L$7637+Sens!$L$7638-Sens!$L$7636</f>
        <v>0</v>
      </c>
      <c r="M7641" s="41" t="n">
        <f aca="false">Sens!$M$7637+Sens!$M$7638-Sens!$M$7636</f>
        <v>0</v>
      </c>
      <c r="N7641" s="41" t="n">
        <f aca="false">Sens!$N$7637+Sens!$N$7638-Sens!$N$7636</f>
        <v>0</v>
      </c>
      <c r="O7641" s="41" t="n">
        <f aca="false">Sens!$O$7637+Sens!$O$7638-Sens!$O$7636</f>
        <v>0</v>
      </c>
    </row>
    <row r="7642" customFormat="false" ht="17.15" hidden="false" customHeight="false" outlineLevel="0" collapsed="false">
      <c r="A7642" s="24" t="s">
        <v>757</v>
      </c>
      <c r="B7642" s="25" t="s">
        <v>86</v>
      </c>
      <c r="C7642" s="41" t="n">
        <f aca="false">Sens!$C$7627+Sens!$C$7628+Sens!$C$7629+Sens!$C$7630+Sens!$C$7631+Sens!$C$7632+Sens!$C$7633-Sens!$C$7639</f>
        <v>0</v>
      </c>
      <c r="D7642" s="41" t="n">
        <f aca="false">Sens!$D$7627+Sens!$D$7628+Sens!$D$7629+Sens!$D$7630+Sens!$D$7631+Sens!$D$7632+Sens!$D$7633-Sens!$D$7639</f>
        <v>0</v>
      </c>
      <c r="E7642" s="41" t="n">
        <f aca="false">Sens!$E$7627+Sens!$E$7628+Sens!$E$7629+Sens!$E$7630+Sens!$E$7631+Sens!$E$7632+Sens!$E$7633-Sens!$E$7639</f>
        <v>0</v>
      </c>
      <c r="F7642" s="41" t="n">
        <f aca="false">Sens!$F$7627+Sens!$F$7628+Sens!$F$7629+Sens!$F$7630+Sens!$F$7631+Sens!$F$7632+Sens!$F$7633-Sens!$F$7639</f>
        <v>0</v>
      </c>
      <c r="G7642" s="41" t="n">
        <f aca="false">Sens!$G$7627+Sens!$G$7628+Sens!$G$7629+Sens!$G$7630+Sens!$G$7631+Sens!$G$7632+Sens!$G$7633-Sens!$G$7639</f>
        <v>0</v>
      </c>
      <c r="H7642" s="41" t="n">
        <f aca="false">Sens!$H$7627+Sens!$H$7628+Sens!$H$7629+Sens!$H$7630+Sens!$H$7631+Sens!$H$7632+Sens!$H$7633-Sens!$H$7639</f>
        <v>0</v>
      </c>
      <c r="I7642" s="41" t="n">
        <f aca="false">Sens!$I$7627+Sens!$I$7628+Sens!$I$7629+Sens!$I$7630+Sens!$I$7631+Sens!$I$7632+Sens!$I$7633-Sens!$I$7639</f>
        <v>0</v>
      </c>
      <c r="J7642" s="41" t="n">
        <f aca="false">Sens!$J$7627+Sens!$J$7628+Sens!$J$7629+Sens!$J$7630+Sens!$J$7631+Sens!$J$7632+Sens!$J$7633-Sens!$J$7639</f>
        <v>0</v>
      </c>
      <c r="K7642" s="41" t="n">
        <f aca="false">Sens!$K$7627+Sens!$K$7628+Sens!$K$7629+Sens!$K$7630+Sens!$K$7631+Sens!$K$7632+Sens!$K$7633-Sens!$K$7639</f>
        <v>0</v>
      </c>
      <c r="L7642" s="41" t="n">
        <f aca="false">Sens!$L$7627+Sens!$L$7628+Sens!$L$7629+Sens!$L$7630+Sens!$L$7631+Sens!$L$7632+Sens!$L$7633-Sens!$L$7639</f>
        <v>0</v>
      </c>
      <c r="M7642" s="41" t="n">
        <f aca="false">Sens!$M$7627+Sens!$M$7628+Sens!$M$7629+Sens!$M$7630+Sens!$M$7631+Sens!$M$7632+Sens!$M$7633-Sens!$M$7639</f>
        <v>0</v>
      </c>
      <c r="N7642" s="41" t="n">
        <f aca="false">Sens!$N$7627+Sens!$N$7628+Sens!$N$7629+Sens!$N$7630+Sens!$N$7631+Sens!$N$7632+Sens!$N$7633-Sens!$N$7639</f>
        <v>0</v>
      </c>
      <c r="O7642" s="41" t="n">
        <f aca="false">Sens!$O$7627+Sens!$O$7628+Sens!$O$7629+Sens!$O$7630+Sens!$O$7631+Sens!$O$7632+Sens!$O$7633-Sens!$O$7639</f>
        <v>0</v>
      </c>
    </row>
    <row r="7643" customFormat="false" ht="17.15" hidden="false" customHeight="false" outlineLevel="0" collapsed="false">
      <c r="A7643" s="24" t="s">
        <v>699</v>
      </c>
      <c r="B7643" s="25" t="s">
        <v>86</v>
      </c>
      <c r="C7643" s="41" t="n">
        <f aca="false">Sens!$C$7634+Sens!$C$7635+Sens!$C$7636-Sens!$C$7639</f>
        <v>0</v>
      </c>
      <c r="D7643" s="41" t="n">
        <f aca="false">Sens!$D$7634+Sens!$D$7635+Sens!$D$7636-Sens!$D$7639</f>
        <v>0</v>
      </c>
      <c r="E7643" s="41" t="n">
        <f aca="false">Sens!$E$7634+Sens!$E$7635+Sens!$E$7636-Sens!$E$7639</f>
        <v>0</v>
      </c>
      <c r="F7643" s="41" t="n">
        <f aca="false">Sens!$F$7634+Sens!$F$7635+Sens!$F$7636-Sens!$F$7639</f>
        <v>0</v>
      </c>
      <c r="G7643" s="41" t="n">
        <f aca="false">Sens!$G$7634+Sens!$G$7635+Sens!$G$7636-Sens!$G$7639</f>
        <v>0</v>
      </c>
      <c r="H7643" s="41" t="n">
        <f aca="false">Sens!$H$7634+Sens!$H$7635+Sens!$H$7636-Sens!$H$7639</f>
        <v>0</v>
      </c>
      <c r="I7643" s="41" t="n">
        <f aca="false">Sens!$I$7634+Sens!$I$7635+Sens!$I$7636-Sens!$I$7639</f>
        <v>0</v>
      </c>
      <c r="J7643" s="41" t="n">
        <f aca="false">Sens!$J$7634+Sens!$J$7635+Sens!$J$7636-Sens!$J$7639</f>
        <v>0</v>
      </c>
      <c r="K7643" s="41" t="n">
        <f aca="false">Sens!$K$7634+Sens!$K$7635+Sens!$K$7636-Sens!$K$7639</f>
        <v>0</v>
      </c>
      <c r="L7643" s="41" t="n">
        <f aca="false">Sens!$L$7634+Sens!$L$7635+Sens!$L$7636-Sens!$L$7639</f>
        <v>0</v>
      </c>
      <c r="M7643" s="41" t="n">
        <f aca="false">Sens!$M$7634+Sens!$M$7635+Sens!$M$7636-Sens!$M$7639</f>
        <v>0</v>
      </c>
      <c r="N7643" s="41" t="n">
        <f aca="false">Sens!$N$7634+Sens!$N$7635+Sens!$N$7636-Sens!$N$7639</f>
        <v>0</v>
      </c>
      <c r="O7643" s="41" t="n">
        <f aca="false">Sens!$O$7634+Sens!$O$7635+Sens!$O$7636-Sens!$O$7639</f>
        <v>0</v>
      </c>
    </row>
    <row r="7644" customFormat="false" ht="17.15" hidden="false" customHeight="false" outlineLevel="0" collapsed="false">
      <c r="A7644" s="1" t="s">
        <v>713</v>
      </c>
    </row>
    <row r="7645" customFormat="false" ht="17.15" hidden="false" customHeight="false" outlineLevel="0" collapsed="false">
      <c r="A7645" s="0" t="s">
        <v>714</v>
      </c>
      <c r="B7645" s="0" t="s">
        <v>86</v>
      </c>
      <c r="C7645" s="38" t="n">
        <f aca="false">Sens!$C$7551*m_ad</f>
        <v>20.5341564414228</v>
      </c>
      <c r="D7645" s="38" t="n">
        <f aca="false">Sens!$D$7551*m_ad</f>
        <v>24.8720617299587</v>
      </c>
      <c r="E7645" s="38" t="n">
        <f aca="false">Sens!$E$7551*m_ad</f>
        <v>13.5017112462207</v>
      </c>
      <c r="F7645" s="38" t="n">
        <f aca="false">Sens!$F$7551*m_ad</f>
        <v>16.5719724165257</v>
      </c>
      <c r="G7645" s="38" t="n">
        <f aca="false">Sens!$G$7551*m_ad</f>
        <v>30.0820919220415</v>
      </c>
      <c r="H7645" s="38" t="n">
        <f aca="false">Sens!$H$7551*m_ad</f>
        <v>36.1150883276314</v>
      </c>
      <c r="I7645" s="38" t="n">
        <f aca="false">Sens!$I$7551*m_ad</f>
        <v>42.1475382231996</v>
      </c>
      <c r="J7645" s="38" t="n">
        <f aca="false">Sens!$J$7551*m_ad</f>
        <v>47.7749523864693</v>
      </c>
      <c r="K7645" s="38" t="n">
        <f aca="false">Sens!$K$7551*m_ad</f>
        <v>52.5524476251162</v>
      </c>
      <c r="L7645" s="38" t="n">
        <f aca="false">Sens!$L$7551*m_ad</f>
        <v>57.8076923876279</v>
      </c>
      <c r="M7645" s="38" t="n">
        <f aca="false">Sens!$M$7551*m_ad</f>
        <v>63.5884616263907</v>
      </c>
      <c r="N7645" s="38" t="n">
        <f aca="false">Sens!$N$7551*m_ad</f>
        <v>10.8543555706248</v>
      </c>
      <c r="O7645" s="38" t="n">
        <f aca="false">Sens!$O$7551*m_ad</f>
        <v>14.0094731821399</v>
      </c>
    </row>
    <row r="7646" customFormat="false" ht="17.15" hidden="false" customHeight="false" outlineLevel="0" collapsed="false">
      <c r="A7646" s="0" t="s">
        <v>715</v>
      </c>
      <c r="B7646" s="0" t="s">
        <v>86</v>
      </c>
      <c r="C7646" s="38" t="n">
        <f aca="false">Sens!$C$7549-Sens!$C$7551</f>
        <v>346.428687117154</v>
      </c>
      <c r="D7646" s="38" t="n">
        <f aca="false">Sens!$D$7549-Sens!$D$7551</f>
        <v>376.560876540083</v>
      </c>
      <c r="E7646" s="38" t="n">
        <f aca="false">Sens!$E$7549-Sens!$E$7551</f>
        <v>193.316577507559</v>
      </c>
      <c r="F7646" s="38" t="n">
        <f aca="false">Sens!$F$7549-Sens!$F$7551</f>
        <v>217.495828647535</v>
      </c>
      <c r="G7646" s="38" t="n">
        <f aca="false">Sens!$G$7549-Sens!$G$7551</f>
        <v>410.795589636503</v>
      </c>
      <c r="H7646" s="38" t="n">
        <f aca="false">Sens!$H$7549-Sens!$H$7551</f>
        <v>449.156813761174</v>
      </c>
      <c r="I7646" s="38" t="n">
        <f aca="false">Sens!$I$7549-Sens!$I$7551</f>
        <v>485.848786441156</v>
      </c>
      <c r="J7646" s="38" t="n">
        <f aca="false">Sens!$J$7549-Sens!$J$7551</f>
        <v>519.841531018994</v>
      </c>
      <c r="K7646" s="38" t="n">
        <f aca="false">Sens!$K$7549-Sens!$K$7551</f>
        <v>550.103332311311</v>
      </c>
      <c r="L7646" s="38" t="n">
        <f aca="false">Sens!$L$7549-Sens!$L$7551</f>
        <v>582.192354474511</v>
      </c>
      <c r="M7646" s="38" t="n">
        <f aca="false">Sens!$M$7549-Sens!$M$7551</f>
        <v>616.22240521081</v>
      </c>
      <c r="N7646" s="38" t="n">
        <f aca="false">Sens!$N$7549-Sens!$N$7551</f>
        <v>171.24628885875</v>
      </c>
      <c r="O7646" s="38" t="n">
        <f aca="false">Sens!$O$7549-Sens!$O$7551</f>
        <v>205.33105363572</v>
      </c>
    </row>
    <row r="7647" customFormat="false" ht="17.15" hidden="false" customHeight="false" outlineLevel="0" collapsed="false">
      <c r="A7647" s="0" t="s">
        <v>716</v>
      </c>
      <c r="B7647" s="0" t="s">
        <v>86</v>
      </c>
      <c r="C7647" s="38" t="n">
        <f aca="false">Sens!$C$7598*Sens!$C$7548</f>
        <v>0.123617442257179</v>
      </c>
      <c r="D7647" s="38" t="n">
        <f aca="false">Sens!$D$7598*Sens!$D$7548</f>
        <v>0.874366899302609</v>
      </c>
      <c r="E7647" s="38" t="n">
        <f aca="false">Sens!$E$7598*Sens!$E$7548</f>
        <v>1.29318830502574</v>
      </c>
      <c r="F7647" s="38" t="n">
        <f aca="false">Sens!$F$7598*Sens!$F$7548</f>
        <v>1.51802024162534</v>
      </c>
      <c r="G7647" s="38" t="n">
        <f aca="false">Sens!$G$7598*Sens!$G$7548</f>
        <v>2.81153363597665</v>
      </c>
      <c r="H7647" s="38" t="n">
        <f aca="false">Sens!$H$7598*Sens!$H$7548</f>
        <v>7.39027704264226</v>
      </c>
      <c r="I7647" s="38" t="n">
        <f aca="false">Sens!$I$7598*Sens!$I$7548</f>
        <v>12.899807643047</v>
      </c>
      <c r="J7647" s="38" t="n">
        <f aca="false">Sens!$J$7598*Sens!$J$7548</f>
        <v>18.5585322471382</v>
      </c>
      <c r="K7647" s="38" t="n">
        <f aca="false">Sens!$K$7598*Sens!$K$7548</f>
        <v>24.0966749520672</v>
      </c>
      <c r="L7647" s="38" t="n">
        <f aca="false">Sens!$L$7598*Sens!$L$7548</f>
        <v>27.686623551477</v>
      </c>
      <c r="M7647" s="38" t="n">
        <f aca="false">Sens!$M$7598*Sens!$M$7548</f>
        <v>29.7238645537022</v>
      </c>
      <c r="N7647" s="38" t="n">
        <f aca="false">Sens!$N$7598*Sens!$N$7548</f>
        <v>0.389180508437431</v>
      </c>
      <c r="O7647" s="38" t="n">
        <f aca="false">Sens!$O$7598*Sens!$O$7548</f>
        <v>0.485052120082802</v>
      </c>
    </row>
    <row r="7648" customFormat="false" ht="17.15" hidden="false" customHeight="false" outlineLevel="0" collapsed="false">
      <c r="A7648" s="0" t="s">
        <v>717</v>
      </c>
      <c r="B7648" s="0" t="s">
        <v>52</v>
      </c>
      <c r="C7648" s="28" t="n">
        <f aca="false">(Sens!$C$7649-Sens!$C$7645+Sens!$C$7647)/Sens!$C$7646</f>
        <v>0.0131526665379575</v>
      </c>
      <c r="D7648" s="28" t="n">
        <f aca="false">(Sens!$D$7649-Sens!$D$7645+Sens!$D$7647)/Sens!$D$7646</f>
        <v>0.0149280116962589</v>
      </c>
      <c r="E7648" s="28" t="n">
        <f aca="false">(Sens!$E$7649-Sens!$E$7645+Sens!$E$7647)/Sens!$E$7646</f>
        <v>0.0268030663774938</v>
      </c>
      <c r="F7648" s="28" t="n">
        <f aca="false">Sens!$O$7648+(Sens!$E$7648-Sens!$N$7648)</f>
        <v>0.0232379346966962</v>
      </c>
      <c r="G7648" s="28" t="n">
        <f aca="false">(Sens!$G$7649-Sens!$G$7645+Sens!$G$7647)/Sens!$G$7646</f>
        <v>0.0248969268652583</v>
      </c>
      <c r="H7648" s="28" t="n">
        <f aca="false">Sens!$G$7648+step_na</f>
        <v>0.0278969268652583</v>
      </c>
      <c r="I7648" s="28" t="n">
        <f aca="false">Sens!$H$7648+step_na</f>
        <v>0.0308969268652583</v>
      </c>
      <c r="J7648" s="28" t="n">
        <f aca="false">Sens!$I$7648+step_na</f>
        <v>0.0338969268652583</v>
      </c>
      <c r="K7648" s="28" t="n">
        <f aca="false">Sens!$J$7648+step_na</f>
        <v>0.0368969268652584</v>
      </c>
      <c r="L7648" s="28" t="n">
        <f aca="false">Sens!$K$7648</f>
        <v>0.0368969268652584</v>
      </c>
      <c r="M7648" s="28" t="n">
        <f aca="false">Sens!$L$7648</f>
        <v>0.0368969268652584</v>
      </c>
      <c r="N7648" s="28" t="n">
        <f aca="false">(Sens!$N$7649-Sens!$N$7645+Sens!$N$7647)/Sens!$N$7646</f>
        <v>0.0168927744775755</v>
      </c>
      <c r="O7648" s="28" t="n">
        <f aca="false">(Sens!$O$7649-Sens!$O$7645+Sens!$O$7647)/Sens!$O$7646</f>
        <v>0.0133276427967779</v>
      </c>
      <c r="P7648" s="8" t="s">
        <v>718</v>
      </c>
    </row>
    <row r="7649" customFormat="false" ht="17.15" hidden="false" customHeight="false" outlineLevel="0" collapsed="false">
      <c r="A7649" s="1" t="s">
        <v>719</v>
      </c>
      <c r="B7649" s="8" t="s">
        <v>86</v>
      </c>
      <c r="C7649" s="38" t="n">
        <f aca="false">Q!$D$22</f>
        <v>24.967</v>
      </c>
      <c r="D7649" s="38" t="n">
        <f aca="false">Q!$E$22</f>
        <v>29.619</v>
      </c>
      <c r="E7649" s="38" t="n">
        <f aca="false">Q!$P$22</f>
        <v>17.39</v>
      </c>
      <c r="F7649" s="38" t="n">
        <f aca="false">Sens!$F$7645+Sens!$F$7646*Sens!$F$7648-Sens!$F$7647</f>
        <v>20.1081060378156</v>
      </c>
      <c r="G7649" s="38" t="n">
        <f aca="false">Sens!$E$7649+Sens!$F$7649</f>
        <v>37.4981060378156</v>
      </c>
      <c r="H7649" s="38" t="n">
        <f aca="false">Sens!$H$7645+Sens!$H$7646*Sens!$H$7648-Sens!$H$7647</f>
        <v>41.2549060695171</v>
      </c>
      <c r="I7649" s="38" t="n">
        <f aca="false">Sens!$I$7645+Sens!$I$7646*Sens!$I$7648-Sens!$I$7647</f>
        <v>44.2589650023995</v>
      </c>
      <c r="J7649" s="38" t="n">
        <f aca="false">Sens!$J$7645+Sens!$J$7646*Sens!$J$7648-Sens!$J$7647</f>
        <v>46.8374504978059</v>
      </c>
      <c r="K7649" s="38" t="n">
        <f aca="false">Sens!$K$7645+Sens!$K$7646*Sens!$K$7648-Sens!$K$7647</f>
        <v>48.7528950936744</v>
      </c>
      <c r="L7649" s="38" t="n">
        <f aca="false">Sens!$L$7645+Sens!$L$7646*Sens!$L$7648-Sens!$L$7647</f>
        <v>51.6021775607095</v>
      </c>
      <c r="M7649" s="38" t="n">
        <f aca="false">Sens!$M$7645+Sens!$M$7646*Sens!$M$7648-Sens!$M$7647</f>
        <v>56.6013100904853</v>
      </c>
      <c r="N7649" s="38" t="n">
        <f aca="false">Q!$N$22</f>
        <v>13.358</v>
      </c>
      <c r="O7649" s="38" t="n">
        <f aca="false">Q!$O$22</f>
        <v>16.261</v>
      </c>
    </row>
    <row r="7650" customFormat="false" ht="17.15" hidden="false" customHeight="false" outlineLevel="0" collapsed="false">
      <c r="A7650" s="0" t="s">
        <v>720</v>
      </c>
      <c r="B7650" s="0" t="s">
        <v>86</v>
      </c>
      <c r="C7650" s="38" t="n">
        <f aca="false">Sens!$C$7552*m_ad</f>
        <v>7.57284355857716</v>
      </c>
      <c r="D7650" s="38" t="n">
        <f aca="false">Sens!$D$7552*m_ad</f>
        <v>9.44543827004127</v>
      </c>
      <c r="E7650" s="38" t="n">
        <f aca="false">Sens!$E$7552*m_ad</f>
        <v>5.02428875377928</v>
      </c>
      <c r="F7650" s="38" t="n">
        <f aca="false">Sens!$F$7552*m_ad</f>
        <v>6.50663858068173</v>
      </c>
      <c r="G7650" s="38" t="n">
        <f aca="false">Sens!$G$7552*m_ad</f>
        <v>11.5225190751659</v>
      </c>
      <c r="H7650" s="38" t="n">
        <f aca="false">Sens!$H$7552*m_ad</f>
        <v>13.8333728663174</v>
      </c>
      <c r="I7650" s="38" t="n">
        <f aca="false">Sens!$I$7552*m_ad</f>
        <v>16.1440173245485</v>
      </c>
      <c r="J7650" s="38" t="n">
        <f aca="false">Sens!$J$7552*m_ad</f>
        <v>18.2995185845066</v>
      </c>
      <c r="K7650" s="38" t="n">
        <f aca="false">Sens!$K$7552*m_ad</f>
        <v>20.1294704429572</v>
      </c>
      <c r="L7650" s="38" t="n">
        <f aca="false">Sens!$L$7552*m_ad</f>
        <v>22.142417487253</v>
      </c>
      <c r="M7650" s="38" t="n">
        <f aca="false">Sens!$M$7552*m_ad</f>
        <v>24.3566592359783</v>
      </c>
      <c r="N7650" s="38" t="n">
        <f aca="false">Sens!$N$7552*m_ad</f>
        <v>3.95314442937518</v>
      </c>
      <c r="O7650" s="38" t="n">
        <f aca="false">Sens!$O$7552*m_ad</f>
        <v>5.50052681786011</v>
      </c>
    </row>
    <row r="7651" customFormat="false" ht="17.15" hidden="false" customHeight="false" outlineLevel="0" collapsed="false">
      <c r="A7651" s="0" t="s">
        <v>721</v>
      </c>
      <c r="B7651" s="0" t="s">
        <v>86</v>
      </c>
      <c r="C7651" s="38" t="n">
        <f aca="false">Sens!$C$7550-Sens!$C$7552</f>
        <v>127.760312882846</v>
      </c>
      <c r="D7651" s="38" t="n">
        <f aca="false">Sens!$D$7550-Sens!$D$7552</f>
        <v>143.003123459917</v>
      </c>
      <c r="E7651" s="38" t="n">
        <f aca="false">Sens!$E$7550-Sens!$E$7552</f>
        <v>71.9374224924414</v>
      </c>
      <c r="F7651" s="38" t="n">
        <f aca="false">Sens!$F$7550-Sens!$F$7552</f>
        <v>85.3951910035875</v>
      </c>
      <c r="G7651" s="38" t="n">
        <f aca="false">Sens!$G$7550-Sens!$G$7552</f>
        <v>157.349430014619</v>
      </c>
      <c r="H7651" s="38" t="n">
        <f aca="false">Sens!$H$7550-Sens!$H$7552</f>
        <v>172.043153372315</v>
      </c>
      <c r="I7651" s="38" t="n">
        <f aca="false">Sens!$I$7550-Sens!$I$7552</f>
        <v>186.097493615879</v>
      </c>
      <c r="J7651" s="38" t="n">
        <f aca="false">Sens!$J$7550-Sens!$J$7552</f>
        <v>199.117932780497</v>
      </c>
      <c r="K7651" s="38" t="n">
        <f aca="false">Sens!$K$7550-Sens!$K$7552</f>
        <v>210.70928698363</v>
      </c>
      <c r="L7651" s="38" t="n">
        <f aca="false">Sens!$L$7550-Sens!$L$7552</f>
        <v>223.000532251316</v>
      </c>
      <c r="M7651" s="38" t="n">
        <f aca="false">Sens!$M$7550-Sens!$M$7552</f>
        <v>236.035261011339</v>
      </c>
      <c r="N7651" s="38" t="n">
        <f aca="false">Sens!$N$7550-Sens!$N$7552</f>
        <v>62.3677111412496</v>
      </c>
      <c r="O7651" s="38" t="n">
        <f aca="false">Sens!$O$7550-Sens!$O$7552</f>
        <v>80.6189463642798</v>
      </c>
    </row>
    <row r="7652" customFormat="false" ht="17.15" hidden="false" customHeight="false" outlineLevel="0" collapsed="false">
      <c r="A7652" s="0" t="s">
        <v>722</v>
      </c>
      <c r="B7652" s="0" t="s">
        <v>86</v>
      </c>
      <c r="C7652" s="38" t="n">
        <f aca="false">Sens!$C$7598*(1-Sens!$C$7548)</f>
        <v>0.0455891896019953</v>
      </c>
      <c r="D7652" s="38" t="n">
        <f aca="false">Sens!$D$7598*(1-Sens!$D$7548)</f>
        <v>0.332050421167231</v>
      </c>
      <c r="E7652" s="38" t="n">
        <f aca="false">Sens!$E$7598*(1-Sens!$E$7548)</f>
        <v>0.481224293644882</v>
      </c>
      <c r="F7652" s="38" t="n">
        <f aca="false">Sens!$F$7598*(1-Sens!$F$7548)</f>
        <v>0.596018918096053</v>
      </c>
      <c r="G7652" s="38" t="n">
        <f aca="false">Sens!$G$7598*(1-Sens!$G$7548)</f>
        <v>1.07691812241537</v>
      </c>
      <c r="H7652" s="38" t="n">
        <f aca="false">Sens!$H$7598*(1-Sens!$H$7548)</f>
        <v>2.83074090775622</v>
      </c>
      <c r="I7652" s="38" t="n">
        <f aca="false">Sens!$I$7598*(1-Sens!$I$7548)</f>
        <v>4.94108853926048</v>
      </c>
      <c r="J7652" s="38" t="n">
        <f aca="false">Sens!$J$7598*(1-Sens!$J$7548)</f>
        <v>7.10858281993502</v>
      </c>
      <c r="K7652" s="38" t="n">
        <f aca="false">Sens!$K$7598*(1-Sens!$K$7548)</f>
        <v>9.2298899126701</v>
      </c>
      <c r="L7652" s="38" t="n">
        <f aca="false">Sens!$L$7598*(1-Sens!$L$7548)</f>
        <v>10.6049688574045</v>
      </c>
      <c r="M7652" s="38" t="n">
        <f aca="false">Sens!$M$7598*(1-Sens!$M$7548)</f>
        <v>11.3853051574758</v>
      </c>
      <c r="N7652" s="38" t="n">
        <f aca="false">Sens!$N$7598*(1-Sens!$N$7548)</f>
        <v>0.141739115596548</v>
      </c>
      <c r="O7652" s="38" t="n">
        <f aca="false">Sens!$O$7598*(1-Sens!$O$7548)</f>
        <v>0.190445576353059</v>
      </c>
    </row>
    <row r="7653" customFormat="false" ht="17.15" hidden="false" customHeight="false" outlineLevel="0" collapsed="false">
      <c r="A7653" s="0" t="s">
        <v>723</v>
      </c>
      <c r="B7653" s="0" t="s">
        <v>52</v>
      </c>
      <c r="C7653" s="28" t="n">
        <f aca="false">(Sens!$C$7654-Sens!$C$7650+Sens!$C$7652)/Sens!$C$7651</f>
        <v>-0.0292364215826579</v>
      </c>
      <c r="D7653" s="28" t="n">
        <f aca="false">(Sens!$D$7654-Sens!$D$7650+Sens!$D$7652)/Sens!$D$7651</f>
        <v>-0.0305125352740778</v>
      </c>
      <c r="E7653" s="28" t="n">
        <f aca="false">(Sens!$E$7654-Sens!$E$7650+Sens!$E$7652)/Sens!$E$7651</f>
        <v>-0.019490056934994</v>
      </c>
      <c r="F7653" s="28" t="n">
        <f aca="false">Sens!$O$7653+(Sens!$E$7653-Sens!$N$7653)</f>
        <v>-0.0367332293992226</v>
      </c>
      <c r="G7653" s="28" t="n">
        <f aca="false">(Sens!$G$7654-Sens!$G$7650+Sens!$G$7652)/Sens!$G$7651</f>
        <v>-0.0287946542321067</v>
      </c>
      <c r="H7653" s="28" t="n">
        <f aca="false">Sens!$G$7653+step_in</f>
        <v>-0.0287946542321067</v>
      </c>
      <c r="I7653" s="28" t="n">
        <f aca="false">Sens!$H$7653+step_in</f>
        <v>-0.0287946542321067</v>
      </c>
      <c r="J7653" s="28" t="n">
        <f aca="false">Sens!$I$7653+step_in</f>
        <v>-0.0287946542321067</v>
      </c>
      <c r="K7653" s="28" t="n">
        <f aca="false">Sens!$J$7653+step_in</f>
        <v>-0.0287946542321067</v>
      </c>
      <c r="L7653" s="28" t="n">
        <f aca="false">Sens!$K$7653</f>
        <v>-0.0287946542321067</v>
      </c>
      <c r="M7653" s="28" t="n">
        <f aca="false">Sens!$L$7653</f>
        <v>-0.0287946542321067</v>
      </c>
      <c r="N7653" s="28" t="n">
        <f aca="false">(Sens!$N$7654-Sens!$N$7650+Sens!$N$7652)/Sens!$N$7651</f>
        <v>-0.02085061789158</v>
      </c>
      <c r="O7653" s="28" t="n">
        <f aca="false">(Sens!$O$7654-Sens!$O$7650+Sens!$O$7652)/Sens!$O$7651</f>
        <v>-0.0380937903558086</v>
      </c>
      <c r="P7653" s="8" t="s">
        <v>718</v>
      </c>
    </row>
    <row r="7654" customFormat="false" ht="17.15" hidden="false" customHeight="false" outlineLevel="0" collapsed="false">
      <c r="A7654" s="1" t="s">
        <v>724</v>
      </c>
      <c r="B7654" s="8" t="s">
        <v>86</v>
      </c>
      <c r="C7654" s="38" t="n">
        <f aca="false">Q!$D$23</f>
        <v>3.792</v>
      </c>
      <c r="D7654" s="38" t="n">
        <f aca="false">Q!$E$23</f>
        <v>4.75</v>
      </c>
      <c r="E7654" s="38" t="n">
        <f aca="false">Q!$P$23</f>
        <v>3.141</v>
      </c>
      <c r="F7654" s="38" t="n">
        <f aca="false">Sens!$F$7650+Sens!$F$7651*Sens!$F$7653-Sens!$F$7652</f>
        <v>2.77377852186047</v>
      </c>
      <c r="G7654" s="38" t="n">
        <f aca="false">Sens!$E$7654+Sens!$F$7654</f>
        <v>5.91477852186047</v>
      </c>
      <c r="H7654" s="38" t="n">
        <f aca="false">Sens!$H$7650+Sens!$H$7651*Sens!$H$7653-Sens!$H$7652</f>
        <v>6.04870884420403</v>
      </c>
      <c r="I7654" s="38" t="n">
        <f aca="false">Sens!$I$7650+Sens!$I$7651*Sens!$I$7653-Sens!$I$7652</f>
        <v>5.84431580315713</v>
      </c>
      <c r="J7654" s="38" t="n">
        <f aca="false">Sens!$J$7650+Sens!$J$7651*Sens!$J$7653-Sens!$J$7652</f>
        <v>5.45740373874528</v>
      </c>
      <c r="K7654" s="38" t="n">
        <f aca="false">Sens!$K$7650+Sens!$K$7651*Sens!$K$7653-Sens!$K$7652</f>
        <v>4.83227946809976</v>
      </c>
      <c r="L7654" s="38" t="n">
        <f aca="false">Sens!$L$7650+Sens!$L$7651*Sens!$L$7653-Sens!$L$7652</f>
        <v>5.11622541009601</v>
      </c>
      <c r="M7654" s="38" t="n">
        <f aca="false">Sens!$M$7650+Sens!$M$7651*Sens!$M$7653-Sens!$M$7652</f>
        <v>6.17480035109588</v>
      </c>
      <c r="N7654" s="38" t="n">
        <f aca="false">Q!$N$23</f>
        <v>2.511</v>
      </c>
      <c r="O7654" s="38" t="n">
        <f aca="false">Q!$O$23</f>
        <v>2.239</v>
      </c>
    </row>
    <row r="7655" customFormat="false" ht="17.15" hidden="false" customHeight="false" outlineLevel="0" collapsed="false">
      <c r="A7655" s="0" t="s">
        <v>725</v>
      </c>
      <c r="B7655" s="0" t="s">
        <v>86</v>
      </c>
      <c r="C7655" s="38" t="n">
        <f aca="false">Sens!$C$7595</f>
        <v>1.64417882953695</v>
      </c>
      <c r="D7655" s="38" t="n">
        <f aca="false">Sens!$D$7595</f>
        <v>3.8781008067718</v>
      </c>
      <c r="E7655" s="38" t="n">
        <f aca="false">Sens!$E$7595</f>
        <v>1.41270258088753</v>
      </c>
      <c r="F7655" s="38" t="n">
        <f aca="false">Sens!$F$7595</f>
        <v>6.50727700583486</v>
      </c>
      <c r="G7655" s="38" t="n">
        <f aca="false">Sens!$G$7595</f>
        <v>7.9199795867224</v>
      </c>
      <c r="H7655" s="38" t="n">
        <f aca="false">Sens!$H$7595</f>
        <v>19.2818189481807</v>
      </c>
      <c r="I7655" s="38" t="n">
        <f aca="false">Sens!$I$7595</f>
        <v>30.140114407202</v>
      </c>
      <c r="J7655" s="38" t="n">
        <f aca="false">Sens!$J$7595</f>
        <v>40.3569468829854</v>
      </c>
      <c r="K7655" s="38" t="n">
        <f aca="false">Sens!$K$7595</f>
        <v>45.1418609242305</v>
      </c>
      <c r="L7655" s="38" t="n">
        <f aca="false">Sens!$L$7595</f>
        <v>48.5617321668703</v>
      </c>
      <c r="M7655" s="38" t="n">
        <f aca="false">Sens!$M$7595</f>
        <v>48.3987625241529</v>
      </c>
      <c r="N7655" s="38" t="n">
        <f aca="false">Sens!$N$7595</f>
        <v>0.92264103489199</v>
      </c>
      <c r="O7655" s="38" t="n">
        <f aca="false">Sens!$O$7595</f>
        <v>2.95545977187981</v>
      </c>
    </row>
    <row r="7656" customFormat="false" ht="17.15" hidden="false" customHeight="false" outlineLevel="0" collapsed="false">
      <c r="A7656" s="0" t="s">
        <v>643</v>
      </c>
      <c r="B7656" s="0" t="s">
        <v>86</v>
      </c>
      <c r="C7656" s="38" t="n">
        <f aca="false">Sens!$C$7600</f>
        <v>38.1898211704631</v>
      </c>
      <c r="D7656" s="38" t="n">
        <f aca="false">Sens!$D$7600</f>
        <v>41.7278991932282</v>
      </c>
      <c r="E7656" s="38" t="n">
        <f aca="false">Sens!$E$7600</f>
        <v>29.3692974191125</v>
      </c>
      <c r="F7656" s="38" t="n">
        <f aca="false">Sens!$F$7600</f>
        <v>26.8997276714137</v>
      </c>
      <c r="G7656" s="38" t="n">
        <f aca="false">Sens!$G$7600</f>
        <v>56.2690250905262</v>
      </c>
      <c r="H7656" s="38" t="n">
        <f aca="false">Sens!$H$7600</f>
        <v>60.3505333937343</v>
      </c>
      <c r="I7656" s="38" t="n">
        <f aca="false">Sens!$I$7600</f>
        <v>67.0043857303571</v>
      </c>
      <c r="J7656" s="38" t="n">
        <f aca="false">Sens!$J$7600</f>
        <v>73.3782922956925</v>
      </c>
      <c r="K7656" s="38" t="n">
        <f aca="false">Sens!$K$7600</f>
        <v>79.2485556793479</v>
      </c>
      <c r="L7656" s="38" t="n">
        <f aca="false">Sens!$L$7600</f>
        <v>85.5884401336958</v>
      </c>
      <c r="M7656" s="38" t="n">
        <f aca="false">Sens!$M$7600</f>
        <v>92.4355153443914</v>
      </c>
      <c r="N7656" s="38" t="n">
        <f aca="false">Sens!$N$7600</f>
        <v>20.784358965108</v>
      </c>
      <c r="O7656" s="38" t="n">
        <f aca="false">Sens!$O$7600</f>
        <v>20.9435402281202</v>
      </c>
    </row>
    <row r="7657" customFormat="false" ht="17.15" hidden="false" customHeight="false" outlineLevel="0" collapsed="false">
      <c r="A7657" s="1" t="s">
        <v>726</v>
      </c>
      <c r="B7657" s="8" t="s">
        <v>86</v>
      </c>
      <c r="C7657" s="38" t="n">
        <f aca="false">Q!$D$24</f>
        <v>39.834</v>
      </c>
      <c r="D7657" s="38" t="n">
        <f aca="false">Q!$E$24</f>
        <v>45.606</v>
      </c>
      <c r="E7657" s="38" t="n">
        <f aca="false">Q!$P$24</f>
        <v>30.782</v>
      </c>
      <c r="F7657" s="38" t="n">
        <f aca="false">Sens!$F$7655+Sens!$F$7656</f>
        <v>33.4070046772486</v>
      </c>
      <c r="G7657" s="38" t="n">
        <f aca="false">Sens!$G$7655+Sens!$G$7656</f>
        <v>64.1890046772486</v>
      </c>
      <c r="H7657" s="38" t="n">
        <f aca="false">Sens!$H$7655+Sens!$H$7656</f>
        <v>79.6323523419149</v>
      </c>
      <c r="I7657" s="38" t="n">
        <f aca="false">Sens!$I$7655+Sens!$I$7656</f>
        <v>97.1445001375591</v>
      </c>
      <c r="J7657" s="38" t="n">
        <f aca="false">Sens!$J$7655+Sens!$J$7656</f>
        <v>113.735239178678</v>
      </c>
      <c r="K7657" s="38" t="n">
        <f aca="false">Sens!$K$7655+Sens!$K$7656</f>
        <v>124.390416603578</v>
      </c>
      <c r="L7657" s="38" t="n">
        <f aca="false">Sens!$L$7655+Sens!$L$7656</f>
        <v>134.150172300566</v>
      </c>
      <c r="M7657" s="38" t="n">
        <f aca="false">Sens!$M$7655+Sens!$M$7656</f>
        <v>140.834277868544</v>
      </c>
      <c r="N7657" s="38" t="n">
        <f aca="false">Q!$N$24</f>
        <v>21.707</v>
      </c>
      <c r="O7657" s="38" t="n">
        <f aca="false">Q!$O$24</f>
        <v>23.899</v>
      </c>
    </row>
    <row r="7658" customFormat="false" ht="17.15" hidden="false" customHeight="false" outlineLevel="0" collapsed="false">
      <c r="A7658" s="5" t="s">
        <v>727</v>
      </c>
      <c r="B7658" s="0" t="s">
        <v>86</v>
      </c>
      <c r="C7658" s="38" t="n">
        <f aca="false">Q!$D$26</f>
        <v>0</v>
      </c>
      <c r="D7658" s="38" t="n">
        <f aca="false">Q!$E$26</f>
        <v>0</v>
      </c>
      <c r="E7658" s="38" t="n">
        <f aca="false">Q!$P$26</f>
        <v>0</v>
      </c>
      <c r="F7658" s="39" t="n">
        <v>0</v>
      </c>
      <c r="G7658" s="38" t="n">
        <f aca="false">Sens!$E$7658+Sens!$F$7658</f>
        <v>0</v>
      </c>
      <c r="H7658" s="39" t="n">
        <v>0</v>
      </c>
      <c r="I7658" s="39" t="n">
        <v>0</v>
      </c>
      <c r="J7658" s="39" t="n">
        <v>0</v>
      </c>
      <c r="K7658" s="39" t="n">
        <v>0</v>
      </c>
      <c r="L7658" s="39" t="n">
        <v>0</v>
      </c>
      <c r="M7658" s="39" t="n">
        <v>0</v>
      </c>
      <c r="N7658" s="38" t="n">
        <f aca="false">Q!$N$26</f>
        <v>0</v>
      </c>
      <c r="O7658" s="38" t="n">
        <f aca="false">Q!$O$26</f>
        <v>0</v>
      </c>
    </row>
    <row r="7659" customFormat="false" ht="15" hidden="false" customHeight="false" outlineLevel="0" collapsed="false">
      <c r="A7659" s="3" t="s">
        <v>531</v>
      </c>
      <c r="B7659" s="8" t="s">
        <v>86</v>
      </c>
      <c r="C7659" s="38" t="n">
        <f aca="false">Q!$D$25</f>
        <v>68.593</v>
      </c>
      <c r="D7659" s="38" t="n">
        <f aca="false">Q!$E$25</f>
        <v>79.975</v>
      </c>
      <c r="E7659" s="38" t="n">
        <f aca="false">Q!$P$25</f>
        <v>51.313</v>
      </c>
      <c r="F7659" s="38" t="n">
        <f aca="false">Sens!$F$7649+Sens!$F$7654+Sens!$F$7657+Sens!$F$7658</f>
        <v>56.2888892369246</v>
      </c>
      <c r="G7659" s="38" t="n">
        <f aca="false">Sens!$G$7649+Sens!$G$7654+Sens!$G$7657+Sens!$G$7658</f>
        <v>107.601889236925</v>
      </c>
      <c r="H7659" s="38" t="n">
        <f aca="false">Sens!$H$7649+Sens!$H$7654+Sens!$H$7657+Sens!$H$7658</f>
        <v>126.935967255636</v>
      </c>
      <c r="I7659" s="38" t="n">
        <f aca="false">Sens!$I$7649+Sens!$I$7654+Sens!$I$7657+Sens!$I$7658</f>
        <v>147.247780943116</v>
      </c>
      <c r="J7659" s="38" t="n">
        <f aca="false">Sens!$J$7649+Sens!$J$7654+Sens!$J$7657+Sens!$J$7658</f>
        <v>166.030093415229</v>
      </c>
      <c r="K7659" s="38" t="n">
        <f aca="false">Sens!$K$7649+Sens!$K$7654+Sens!$K$7657+Sens!$K$7658</f>
        <v>177.975591165353</v>
      </c>
      <c r="L7659" s="38" t="n">
        <f aca="false">Sens!$L$7649+Sens!$L$7654+Sens!$L$7657+Sens!$L$7658</f>
        <v>190.868575271371</v>
      </c>
      <c r="M7659" s="38" t="n">
        <f aca="false">Sens!$M$7649+Sens!$M$7654+Sens!$M$7657+Sens!$M$7658</f>
        <v>203.610388310126</v>
      </c>
      <c r="N7659" s="38" t="n">
        <f aca="false">Q!$N$25</f>
        <v>37.576</v>
      </c>
      <c r="O7659" s="38" t="n">
        <f aca="false">Q!$O$25</f>
        <v>42.399</v>
      </c>
    </row>
    <row r="7660" customFormat="false" ht="17.15" hidden="false" customHeight="false" outlineLevel="0" collapsed="false">
      <c r="A7660" s="24" t="s">
        <v>758</v>
      </c>
      <c r="B7660" s="25" t="s">
        <v>86</v>
      </c>
      <c r="C7660" s="41" t="n">
        <f aca="false">Sens!$C$7649+Sens!$C$7654+Sens!$C$7657+Sens!$C$7658-Sens!$C$7659</f>
        <v>0</v>
      </c>
      <c r="D7660" s="41" t="n">
        <f aca="false">Sens!$D$7649+Sens!$D$7654+Sens!$D$7657+Sens!$D$7658-Sens!$D$7659</f>
        <v>0</v>
      </c>
      <c r="E7660" s="41" t="n">
        <f aca="false">Sens!$E$7649+Sens!$E$7654+Sens!$E$7657+Sens!$E$7658-Sens!$E$7659</f>
        <v>0</v>
      </c>
      <c r="F7660" s="41" t="n">
        <f aca="false">Sens!$F$7649+Sens!$F$7654+Sens!$F$7657+Sens!$F$7658-Sens!$F$7659</f>
        <v>0</v>
      </c>
      <c r="G7660" s="41" t="n">
        <f aca="false">Sens!$G$7649+Sens!$G$7654+Sens!$G$7657+Sens!$G$7658-Sens!$G$7659</f>
        <v>0</v>
      </c>
      <c r="H7660" s="41" t="n">
        <f aca="false">Sens!$H$7649+Sens!$H$7654+Sens!$H$7657+Sens!$H$7658-Sens!$H$7659</f>
        <v>0</v>
      </c>
      <c r="I7660" s="41" t="n">
        <f aca="false">Sens!$I$7649+Sens!$I$7654+Sens!$I$7657+Sens!$I$7658-Sens!$I$7659</f>
        <v>0</v>
      </c>
      <c r="J7660" s="41" t="n">
        <f aca="false">Sens!$J$7649+Sens!$J$7654+Sens!$J$7657+Sens!$J$7658-Sens!$J$7659</f>
        <v>0</v>
      </c>
      <c r="K7660" s="41" t="n">
        <f aca="false">Sens!$K$7649+Sens!$K$7654+Sens!$K$7657+Sens!$K$7658-Sens!$K$7659</f>
        <v>0</v>
      </c>
      <c r="L7660" s="41" t="n">
        <f aca="false">Sens!$L$7649+Sens!$L$7654+Sens!$L$7657+Sens!$L$7658-Sens!$L$7659</f>
        <v>0</v>
      </c>
      <c r="M7660" s="41" t="n">
        <f aca="false">Sens!$M$7649+Sens!$M$7654+Sens!$M$7657+Sens!$M$7658-Sens!$M$7659</f>
        <v>0</v>
      </c>
      <c r="N7660" s="41" t="n">
        <f aca="false">Sens!$N$7649+Sens!$N$7654+Sens!$N$7657+Sens!$N$7658-Sens!$N$7659</f>
        <v>0</v>
      </c>
      <c r="O7660" s="41" t="n">
        <f aca="false">Sens!$O$7649+Sens!$O$7654+Sens!$O$7657+Sens!$O$7658-Sens!$O$7659</f>
        <v>0</v>
      </c>
    </row>
    <row r="7661" customFormat="false" ht="17.15" hidden="false" customHeight="false" outlineLevel="0" collapsed="false">
      <c r="A7661" s="5" t="s">
        <v>729</v>
      </c>
      <c r="B7661" s="0" t="s">
        <v>86</v>
      </c>
      <c r="C7661" s="38" t="n">
        <f aca="false">Sens!$C$7597</f>
        <v>0</v>
      </c>
      <c r="D7661" s="38" t="n">
        <f aca="false">Sens!$D$7597</f>
        <v>0</v>
      </c>
      <c r="E7661" s="38" t="n">
        <f aca="false">Sens!$E$7597</f>
        <v>0</v>
      </c>
      <c r="F7661" s="38" t="n">
        <f aca="false">Sens!$F$7597</f>
        <v>3.77122048175818</v>
      </c>
      <c r="G7661" s="38" t="n">
        <f aca="false">Sens!$G$7597</f>
        <v>3.77122048175818</v>
      </c>
      <c r="H7661" s="38" t="n">
        <f aca="false">Sens!$H$7597</f>
        <v>15.1635543609893</v>
      </c>
      <c r="I7661" s="38" t="n">
        <f aca="false">Sens!$I$7597</f>
        <v>25.5818843619889</v>
      </c>
      <c r="J7661" s="38" t="n">
        <f aca="false">Sens!$J$7597</f>
        <v>36.0465624179122</v>
      </c>
      <c r="K7661" s="38" t="n">
        <f aca="false">Sens!$K$7597</f>
        <v>44.9741164026038</v>
      </c>
      <c r="L7661" s="38" t="n">
        <f aca="false">Sens!$L$7597</f>
        <v>50.8413488057813</v>
      </c>
      <c r="M7661" s="38" t="n">
        <f aca="false">Sens!$M$7597</f>
        <v>53.6407214274315</v>
      </c>
      <c r="N7661" s="38" t="n">
        <f aca="false">Sens!$N$7597</f>
        <v>0</v>
      </c>
      <c r="O7661" s="38" t="n">
        <f aca="false">Sens!$O$7597</f>
        <v>0</v>
      </c>
      <c r="P7661" s="5" t="s">
        <v>730</v>
      </c>
    </row>
    <row r="7662" customFormat="false" ht="17.15" hidden="false" customHeight="false" outlineLevel="0" collapsed="false">
      <c r="A7662" s="5" t="s">
        <v>731</v>
      </c>
      <c r="B7662" s="0" t="s">
        <v>86</v>
      </c>
      <c r="C7662" s="38" t="n">
        <f aca="false">Sens!$C$7659+Sens!$C$7661</f>
        <v>68.593</v>
      </c>
      <c r="D7662" s="38" t="n">
        <f aca="false">Sens!$D$7659+Sens!$D$7661</f>
        <v>79.975</v>
      </c>
      <c r="E7662" s="38" t="n">
        <f aca="false">Sens!$E$7659+Sens!$E$7661</f>
        <v>51.313</v>
      </c>
      <c r="F7662" s="38" t="n">
        <f aca="false">Sens!$F$7659+Sens!$F$7661</f>
        <v>60.0601097186828</v>
      </c>
      <c r="G7662" s="38" t="n">
        <f aca="false">Sens!$G$7659+Sens!$G$7661</f>
        <v>111.373109718683</v>
      </c>
      <c r="H7662" s="38" t="n">
        <f aca="false">Sens!$H$7659+Sens!$H$7661</f>
        <v>142.099521616625</v>
      </c>
      <c r="I7662" s="38" t="n">
        <f aca="false">Sens!$I$7659+Sens!$I$7661</f>
        <v>172.829665305105</v>
      </c>
      <c r="J7662" s="38" t="n">
        <f aca="false">Sens!$J$7659+Sens!$J$7661</f>
        <v>202.076655833141</v>
      </c>
      <c r="K7662" s="38" t="n">
        <f aca="false">Sens!$K$7659+Sens!$K$7661</f>
        <v>222.949707567956</v>
      </c>
      <c r="L7662" s="38" t="n">
        <f aca="false">Sens!$L$7659+Sens!$L$7661</f>
        <v>241.709924077153</v>
      </c>
      <c r="M7662" s="38" t="n">
        <f aca="false">Sens!$M$7659+Sens!$M$7661</f>
        <v>257.251109737557</v>
      </c>
      <c r="N7662" s="38" t="n">
        <f aca="false">Sens!$N$7659+Sens!$N$7661</f>
        <v>37.576</v>
      </c>
      <c r="O7662" s="38" t="n">
        <f aca="false">Sens!$O$7659+Sens!$O$7661</f>
        <v>42.399</v>
      </c>
    </row>
    <row r="7663" customFormat="false" ht="17.15" hidden="false" customHeight="false" outlineLevel="0" collapsed="false">
      <c r="A7663" s="0" t="s">
        <v>732</v>
      </c>
      <c r="B7663" s="0" t="s">
        <v>52</v>
      </c>
      <c r="C7663" s="13" t="n">
        <f aca="false">Sens!$C$7649/Sens!$C$7634</f>
        <v>0.0644314665661928</v>
      </c>
      <c r="D7663" s="13" t="n">
        <f aca="false">Sens!$D$7649/Sens!$D$7634</f>
        <v>0.0694784250712518</v>
      </c>
      <c r="E7663" s="13" t="n">
        <f aca="false">Sens!$E$7649/Sens!$E$7634</f>
        <v>0.0789306463326071</v>
      </c>
      <c r="F7663" s="13" t="n">
        <f aca="false">Sens!$F$7649/Sens!$F$7634</f>
        <v>0.0802271154277638</v>
      </c>
      <c r="G7663" s="13" t="n">
        <f aca="false">Sens!$G$7649/Sens!$G$7634</f>
        <v>0.0796206133714758</v>
      </c>
      <c r="H7663" s="13" t="n">
        <f aca="false">Sens!$H$7649/Sens!$H$7634</f>
        <v>0.0791253077422711</v>
      </c>
      <c r="I7663" s="13" t="n">
        <f aca="false">Sens!$I$7649/Sens!$I$7634</f>
        <v>0.0776277144828766</v>
      </c>
      <c r="J7663" s="13" t="n">
        <f aca="false">Sens!$J$7649/Sens!$J$7634</f>
        <v>0.0761100135193333</v>
      </c>
      <c r="K7663" s="13" t="n">
        <f aca="false">Sens!$K$7649/Sens!$K$7634</f>
        <v>0.074408246177121</v>
      </c>
      <c r="L7663" s="13" t="n">
        <f aca="false">Sens!$L$7649/Sens!$L$7634</f>
        <v>0.0739489900415671</v>
      </c>
      <c r="M7663" s="13" t="n">
        <f aca="false">Sens!$M$7649/Sens!$M$7634</f>
        <v>0.076138500430805</v>
      </c>
      <c r="N7663" s="13" t="n">
        <f aca="false">Sens!$N$7649/Sens!$N$7634</f>
        <v>0.069228576611127</v>
      </c>
      <c r="O7663" s="13" t="n">
        <f aca="false">Sens!$O$7649/Sens!$O$7634</f>
        <v>0.069685022498393</v>
      </c>
    </row>
    <row r="7664" customFormat="false" ht="17.15" hidden="false" customHeight="false" outlineLevel="0" collapsed="false">
      <c r="A7664" s="0" t="s">
        <v>733</v>
      </c>
      <c r="B7664" s="0" t="s">
        <v>52</v>
      </c>
      <c r="C7664" s="13" t="n">
        <f aca="false">Sens!$C$7654/Sens!$C$7635</f>
        <v>0.026534925055631</v>
      </c>
      <c r="D7664" s="13" t="n">
        <f aca="false">Sens!$D$7654/Sens!$D$7635</f>
        <v>0.0293401855535103</v>
      </c>
      <c r="E7664" s="13" t="n">
        <f aca="false">Sens!$E$7654/Sens!$E$7635</f>
        <v>0.03831141902276</v>
      </c>
      <c r="F7664" s="13" t="n">
        <f aca="false">Sens!$F$7654/Sens!$F$7635</f>
        <v>0.028186380436398</v>
      </c>
      <c r="G7664" s="13" t="n">
        <f aca="false">Sens!$G$7654/Sens!$G$7635</f>
        <v>0.0327880260521739</v>
      </c>
      <c r="H7664" s="13" t="n">
        <f aca="false">Sens!$H$7654/Sens!$H$7635</f>
        <v>0.0302874763409969</v>
      </c>
      <c r="I7664" s="13" t="n">
        <f aca="false">Sens!$I$7654/Sens!$I$7635</f>
        <v>0.0267614610253202</v>
      </c>
      <c r="J7664" s="13" t="n">
        <f aca="false">Sens!$J$7654/Sens!$J$7635</f>
        <v>0.0231523582706593</v>
      </c>
      <c r="K7664" s="13" t="n">
        <f aca="false">Sens!$K$7654/Sens!$K$7635</f>
        <v>0.0192545467174101</v>
      </c>
      <c r="L7664" s="13" t="n">
        <f aca="false">Sens!$L$7654/Sens!$L$7635</f>
        <v>0.0191414347264789</v>
      </c>
      <c r="M7664" s="13" t="n">
        <f aca="false">Sens!$M$7654/Sens!$M$7635</f>
        <v>0.0216850962428001</v>
      </c>
      <c r="N7664" s="13" t="n">
        <f aca="false">Sens!$N$7654/Sens!$N$7635</f>
        <v>0.0357315650169337</v>
      </c>
      <c r="O7664" s="13" t="n">
        <f aca="false">Sens!$O$7654/Sens!$O$7635</f>
        <v>0.0244378956559703</v>
      </c>
    </row>
    <row r="7665" customFormat="false" ht="17.15" hidden="false" customHeight="false" outlineLevel="0" collapsed="false">
      <c r="A7665" s="14" t="s">
        <v>734</v>
      </c>
      <c r="B7665" s="14" t="s">
        <v>52</v>
      </c>
      <c r="C7665" s="17" t="n">
        <f aca="false">Sens!$C$7657/Sens!$C$7636</f>
        <v>0.370355907620217</v>
      </c>
      <c r="D7665" s="17" t="n">
        <f aca="false">Sens!$D$7657/Sens!$D$7636</f>
        <v>0.35429015342785</v>
      </c>
      <c r="E7665" s="17" t="n">
        <f aca="false">Sens!$E$7657/Sens!$E$7636</f>
        <v>0.385647527531039</v>
      </c>
      <c r="F7665" s="17" t="n">
        <f aca="false">Sens!$F$7657/Sens!$F$7636</f>
        <v>0.385171818673936</v>
      </c>
      <c r="G7665" s="17" t="n">
        <f aca="false">Sens!$G$7657/Sens!$G$7636</f>
        <v>0.385399799520974</v>
      </c>
      <c r="H7665" s="17" t="n">
        <f aca="false">Sens!$H$7657/Sens!$H$7636</f>
        <v>0.360029314750347</v>
      </c>
      <c r="I7665" s="17" t="n">
        <f aca="false">Sens!$I$7657/Sens!$I$7636</f>
        <v>0.346606134604193</v>
      </c>
      <c r="J7665" s="17" t="n">
        <f aca="false">Sens!$J$7657/Sens!$J$7636</f>
        <v>0.335699297156574</v>
      </c>
      <c r="K7665" s="17" t="n">
        <f aca="false">Sens!$K$7657/Sens!$K$7636</f>
        <v>0.319043289183739</v>
      </c>
      <c r="L7665" s="17" t="n">
        <f aca="false">Sens!$L$7657/Sens!$L$7636</f>
        <v>0.311918613444893</v>
      </c>
      <c r="M7665" s="17" t="n">
        <f aca="false">Sens!$M$7657/Sens!$M$7636</f>
        <v>0.306523814127389</v>
      </c>
      <c r="N7665" s="17" t="n">
        <f aca="false">Sens!$N$7657/Sens!$N$7636</f>
        <v>0.360941137346192</v>
      </c>
      <c r="O7665" s="17" t="n">
        <f aca="false">Sens!$O$7657/Sens!$O$7636</f>
        <v>0.348458117664212</v>
      </c>
    </row>
    <row r="7666" customFormat="false" ht="17.15" hidden="false" customHeight="false" outlineLevel="0" collapsed="false">
      <c r="A7666" s="0" t="s">
        <v>735</v>
      </c>
      <c r="B7666" s="0" t="s">
        <v>52</v>
      </c>
      <c r="C7666" s="13" t="n">
        <f aca="false">Sens!$C$7655/Sens!$C$7637</f>
        <v>0.708390794789371</v>
      </c>
      <c r="D7666" s="13" t="n">
        <f aca="false">Sens!$D$7655/Sens!$D$7637</f>
        <v>0.445565630441968</v>
      </c>
      <c r="E7666" s="13" t="n">
        <f aca="false">Sens!$E$7655/Sens!$E$7637</f>
        <v>0.165998118402711</v>
      </c>
      <c r="F7666" s="13" t="n">
        <f aca="false">Sens!$F$7655/Sens!$F$7637</f>
        <v>0.434878595403858</v>
      </c>
      <c r="G7666" s="13" t="n">
        <f aca="false">Sens!$G$7655/Sens!$G$7637</f>
        <v>0.3373967615381</v>
      </c>
      <c r="H7666" s="13" t="n">
        <f aca="false">Sens!$H$7655/Sens!$H$7637</f>
        <v>0.320477578041224</v>
      </c>
      <c r="I7666" s="13" t="n">
        <f aca="false">Sens!$I$7655/Sens!$I$7637</f>
        <v>0.296936118226494</v>
      </c>
      <c r="J7666" s="13" t="n">
        <f aca="false">Sens!$J$7655/Sens!$J$7637</f>
        <v>0.282166278613001</v>
      </c>
      <c r="K7666" s="13" t="n">
        <f aca="false">Sens!$K$7655/Sens!$K$7637</f>
        <v>0.252969102881543</v>
      </c>
      <c r="L7666" s="13" t="n">
        <f aca="false">Sens!$L$7655/Sens!$L$7637</f>
        <v>0.240728642826566</v>
      </c>
      <c r="M7666" s="13" t="n">
        <f aca="false">Sens!$M$7655/Sens!$M$7637</f>
        <v>0.227399920863147</v>
      </c>
      <c r="N7666" s="13" t="n">
        <f aca="false">Sens!$N$7655/Sens!$N$7637</f>
        <v>0.302870734830849</v>
      </c>
      <c r="O7666" s="13" t="n">
        <f aca="false">Sens!$O$7655/Sens!$O$7637</f>
        <v>0.52240134346334</v>
      </c>
    </row>
    <row r="7667" customFormat="false" ht="15" hidden="false" customHeight="false" outlineLevel="0" collapsed="false">
      <c r="A7667" s="5" t="s">
        <v>736</v>
      </c>
      <c r="B7667" s="0" t="s">
        <v>52</v>
      </c>
      <c r="C7667" s="13" t="n">
        <f aca="false">Sens!$C$7659/Sens!$C$7639</f>
        <v>0.107519448742004</v>
      </c>
      <c r="D7667" s="13" t="n">
        <f aca="false">Sens!$D$7659/Sens!$D$7639</f>
        <v>0.111552967957552</v>
      </c>
      <c r="E7667" s="13" t="n">
        <f aca="false">Sens!$E$7659/Sens!$E$7639</f>
        <v>0.13428328426562</v>
      </c>
      <c r="F7667" s="13" t="n">
        <f aca="false">Sens!$F$7659/Sens!$F$7639</f>
        <v>0.129167844525589</v>
      </c>
      <c r="G7667" s="13" t="n">
        <f aca="false">Sens!$G$7659/Sens!$G$7639</f>
        <v>0.131557773771988</v>
      </c>
      <c r="H7667" s="13" t="n">
        <f aca="false">Sens!$H$7659/Sens!$H$7639</f>
        <v>0.134711536350329</v>
      </c>
      <c r="I7667" s="13" t="n">
        <f aca="false">Sens!$I$7659/Sens!$I$7639</f>
        <v>0.137768888779847</v>
      </c>
      <c r="J7667" s="13" t="n">
        <f aca="false">Sens!$J$7659/Sens!$J$7639</f>
        <v>0.139531715827143</v>
      </c>
      <c r="K7667" s="13" t="n">
        <f aca="false">Sens!$K$7659/Sens!$K$7639</f>
        <v>0.137320259076553</v>
      </c>
      <c r="L7667" s="13" t="n">
        <f aca="false">Sens!$L$7659/Sens!$L$7639</f>
        <v>0.136806307456799</v>
      </c>
      <c r="M7667" s="13" t="n">
        <f aca="false">Sens!$M$7659/Sens!$M$7639</f>
        <v>0.136871350584245</v>
      </c>
      <c r="N7667" s="13" t="n">
        <f aca="false">Sens!$N$7659/Sens!$N$7639</f>
        <v>0.116201614873411</v>
      </c>
      <c r="O7667" s="13" t="n">
        <f aca="false">Sens!$O$7659/Sens!$O$7639</f>
        <v>0.107733353660861</v>
      </c>
    </row>
    <row r="7668" customFormat="false" ht="17.15" hidden="false" customHeight="false" outlineLevel="0" collapsed="false">
      <c r="A7668" s="1" t="s">
        <v>737</v>
      </c>
    </row>
    <row r="7669" customFormat="false" ht="17.15" hidden="false" customHeight="false" outlineLevel="0" collapsed="false">
      <c r="A7669" s="5" t="s">
        <v>738</v>
      </c>
      <c r="B7669" s="0" t="s">
        <v>52</v>
      </c>
      <c r="D7669" s="28" t="n">
        <f aca="false">(Q!$E$29+Q!$E$30-(1-ext_sh)*Sens!$D$7591)/Sens!$D$7547</f>
        <v>0.0334674312393194</v>
      </c>
    </row>
    <row r="7670" customFormat="false" ht="17.15" hidden="false" customHeight="false" outlineLevel="0" collapsed="false">
      <c r="A7670" s="0" t="s">
        <v>535</v>
      </c>
      <c r="B7670" s="0" t="s">
        <v>86</v>
      </c>
      <c r="C7670" s="38" t="n">
        <f aca="false">Q!$D$29</f>
        <v>14.285</v>
      </c>
      <c r="D7670" s="38" t="n">
        <f aca="false">Q!$E$29</f>
        <v>15.503</v>
      </c>
      <c r="E7670" s="38" t="n">
        <f aca="false">Q!$P$29</f>
        <v>8.78</v>
      </c>
      <c r="F7670" s="38" t="n">
        <f aca="false">(Sens!$D$7669*Sens!$F$7547+(1-ext_sh)*Sens!$F$7591)*Sens!$F$7548</f>
        <v>9.32404990199157</v>
      </c>
      <c r="G7670" s="38" t="n">
        <f aca="false">Sens!$E$7670+Sens!$F$7670</f>
        <v>18.1040499019916</v>
      </c>
      <c r="H7670" s="38" t="n">
        <f aca="false">(Sens!$D$7669*Sens!$H$7547+(1-ext_sh)*Sens!$H$7591)*Sens!$H$7548</f>
        <v>22.5533556752937</v>
      </c>
      <c r="I7670" s="38" t="n">
        <f aca="false">(Sens!$D$7669*Sens!$I$7547+(1-ext_sh)*Sens!$I$7591)*Sens!$I$7548</f>
        <v>28.1941479903215</v>
      </c>
      <c r="J7670" s="38" t="n">
        <f aca="false">(Sens!$D$7669*Sens!$J$7547+(1-ext_sh)*Sens!$J$7591)*Sens!$J$7548</f>
        <v>33.8639126241465</v>
      </c>
      <c r="K7670" s="38" t="n">
        <f aca="false">(Sens!$D$7669*Sens!$K$7547+(1-ext_sh)*Sens!$K$7591)*Sens!$K$7548</f>
        <v>39.4516429979446</v>
      </c>
      <c r="L7670" s="38" t="n">
        <f aca="false">(Sens!$D$7669*Sens!$L$7547+(1-ext_sh)*Sens!$L$7591)*Sens!$L$7548</f>
        <v>43.6240799619622</v>
      </c>
      <c r="M7670" s="38" t="n">
        <f aca="false">(Sens!$D$7669*Sens!$M$7547+(1-ext_sh)*Sens!$M$7591)*Sens!$M$7548</f>
        <v>46.7841679303704</v>
      </c>
      <c r="N7670" s="38" t="n">
        <f aca="false">Q!$N$29</f>
        <v>7.272</v>
      </c>
      <c r="O7670" s="38" t="n">
        <f aca="false">Q!$O$29</f>
        <v>8.231</v>
      </c>
    </row>
    <row r="7671" customFormat="false" ht="17.15" hidden="false" customHeight="false" outlineLevel="0" collapsed="false">
      <c r="A7671" s="0" t="s">
        <v>537</v>
      </c>
      <c r="B7671" s="0" t="s">
        <v>86</v>
      </c>
      <c r="C7671" s="38" t="n">
        <f aca="false">Q!$D$30</f>
        <v>4.462</v>
      </c>
      <c r="D7671" s="38" t="n">
        <f aca="false">Q!$E$30</f>
        <v>4.907</v>
      </c>
      <c r="E7671" s="38" t="n">
        <f aca="false">Q!$P$30</f>
        <v>2.57</v>
      </c>
      <c r="F7671" s="38" t="n">
        <f aca="false">(Sens!$D$7669*Sens!$F$7547+(1-ext_sh)*Sens!$F$7591)*(1-Sens!$F$7548)</f>
        <v>3.66089330199472</v>
      </c>
      <c r="G7671" s="38" t="n">
        <f aca="false">Sens!$E$7671+Sens!$F$7671</f>
        <v>6.23089330199472</v>
      </c>
      <c r="H7671" s="38" t="n">
        <f aca="false">(Sens!$D$7669*Sens!$H$7547+(1-ext_sh)*Sens!$H$7591)*(1-Sens!$H$7548)</f>
        <v>8.63874333111657</v>
      </c>
      <c r="I7671" s="38" t="n">
        <f aca="false">(Sens!$D$7669*Sens!$I$7547+(1-ext_sh)*Sens!$I$7591)*(1-Sens!$I$7548)</f>
        <v>10.7993689025494</v>
      </c>
      <c r="J7671" s="38" t="n">
        <f aca="false">(Sens!$D$7669*Sens!$J$7547+(1-ext_sh)*Sens!$J$7591)*(1-Sens!$J$7548)</f>
        <v>12.9710919101865</v>
      </c>
      <c r="K7671" s="38" t="n">
        <f aca="false">(Sens!$D$7669*Sens!$K$7547+(1-ext_sh)*Sens!$K$7591)*(1-Sens!$K$7548)</f>
        <v>15.1113928568702</v>
      </c>
      <c r="L7671" s="38" t="n">
        <f aca="false">(Sens!$D$7669*Sens!$L$7547+(1-ext_sh)*Sens!$L$7591)*(1-Sens!$L$7548)</f>
        <v>16.7095857163433</v>
      </c>
      <c r="M7671" s="38" t="n">
        <f aca="false">(Sens!$D$7669*Sens!$M$7547+(1-ext_sh)*Sens!$M$7591)*(1-Sens!$M$7548)</f>
        <v>17.9200126371023</v>
      </c>
      <c r="N7671" s="38" t="n">
        <f aca="false">Q!$N$30</f>
        <v>2.316</v>
      </c>
      <c r="O7671" s="38" t="n">
        <f aca="false">Q!$O$30</f>
        <v>2.591</v>
      </c>
    </row>
    <row r="7672" customFormat="false" ht="17.15" hidden="false" customHeight="false" outlineLevel="0" collapsed="false">
      <c r="A7672" s="0" t="s">
        <v>538</v>
      </c>
      <c r="B7672" s="0" t="s">
        <v>86</v>
      </c>
      <c r="C7672" s="38" t="n">
        <f aca="false">Sens!$C$7603</f>
        <v>13.32</v>
      </c>
      <c r="D7672" s="38" t="n">
        <f aca="false">Sens!$D$7603</f>
        <v>21.45</v>
      </c>
      <c r="E7672" s="38" t="n">
        <f aca="false">Sens!$E$7603</f>
        <v>15.353</v>
      </c>
      <c r="F7672" s="38" t="n">
        <f aca="false">Sens!$F$7603</f>
        <v>16.3063747611001</v>
      </c>
      <c r="G7672" s="38" t="n">
        <f aca="false">Sens!$G$7603</f>
        <v>31.6593747611001</v>
      </c>
      <c r="H7672" s="38" t="n">
        <f aca="false">Sens!$H$7603</f>
        <v>53.124242092105</v>
      </c>
      <c r="I7672" s="38" t="n">
        <f aca="false">Sens!$I$7603</f>
        <v>78.046828098133</v>
      </c>
      <c r="J7672" s="38" t="n">
        <f aca="false">Sens!$J$7603</f>
        <v>103.663976940352</v>
      </c>
      <c r="K7672" s="38" t="n">
        <f aca="false">Sens!$K$7603</f>
        <v>129.625086115469</v>
      </c>
      <c r="L7672" s="38" t="n">
        <f aca="false">Sens!$L$7603</f>
        <v>147.435052382502</v>
      </c>
      <c r="M7672" s="38" t="n">
        <f aca="false">Sens!$M$7603</f>
        <v>159.299754080279</v>
      </c>
      <c r="N7672" s="38" t="n">
        <f aca="false">Sens!$N$7603</f>
        <v>9.234</v>
      </c>
      <c r="O7672" s="38" t="n">
        <f aca="false">Sens!$O$7603</f>
        <v>12.216</v>
      </c>
    </row>
    <row r="7673" customFormat="false" ht="17.15" hidden="false" customHeight="false" outlineLevel="0" collapsed="false">
      <c r="A7673" s="5" t="s">
        <v>739</v>
      </c>
      <c r="B7673" s="0" t="s">
        <v>86</v>
      </c>
      <c r="C7673" s="38" t="n">
        <f aca="false">Sens!$C$7670+Sens!$C$7671+Sens!$C$7672</f>
        <v>32.067</v>
      </c>
      <c r="D7673" s="38" t="n">
        <f aca="false">Sens!$D$7670+Sens!$D$7671+Sens!$D$7672</f>
        <v>41.86</v>
      </c>
      <c r="E7673" s="38" t="n">
        <f aca="false">Sens!$E$7670+Sens!$E$7671+Sens!$E$7672</f>
        <v>26.703</v>
      </c>
      <c r="F7673" s="38" t="n">
        <f aca="false">Sens!$F$7670+Sens!$F$7671+Sens!$F$7672</f>
        <v>29.2913179650864</v>
      </c>
      <c r="G7673" s="38" t="n">
        <f aca="false">Sens!$G$7670+Sens!$G$7671+Sens!$G$7672</f>
        <v>55.9943179650864</v>
      </c>
      <c r="H7673" s="38" t="n">
        <f aca="false">Sens!$H$7670+Sens!$H$7671+Sens!$H$7672</f>
        <v>84.3163410985152</v>
      </c>
      <c r="I7673" s="38" t="n">
        <f aca="false">Sens!$I$7670+Sens!$I$7671+Sens!$I$7672</f>
        <v>117.040344991004</v>
      </c>
      <c r="J7673" s="38" t="n">
        <f aca="false">Sens!$J$7670+Sens!$J$7671+Sens!$J$7672</f>
        <v>150.498981474685</v>
      </c>
      <c r="K7673" s="38" t="n">
        <f aca="false">Sens!$K$7670+Sens!$K$7671+Sens!$K$7672</f>
        <v>184.188121970284</v>
      </c>
      <c r="L7673" s="38" t="n">
        <f aca="false">Sens!$L$7670+Sens!$L$7671+Sens!$L$7672</f>
        <v>207.768718060808</v>
      </c>
      <c r="M7673" s="38" t="n">
        <f aca="false">Sens!$M$7670+Sens!$M$7671+Sens!$M$7672</f>
        <v>224.003934647752</v>
      </c>
      <c r="N7673" s="38" t="n">
        <f aca="false">Sens!$N$7670+Sens!$N$7671+Sens!$N$7672</f>
        <v>18.822</v>
      </c>
      <c r="O7673" s="38" t="n">
        <f aca="false">Sens!$O$7670+Sens!$O$7671+Sens!$O$7672</f>
        <v>23.038</v>
      </c>
    </row>
    <row r="7674" customFormat="false" ht="17.15" hidden="false" customHeight="false" outlineLevel="0" collapsed="false">
      <c r="A7674" s="0" t="s">
        <v>740</v>
      </c>
      <c r="B7674" s="0" t="s">
        <v>86</v>
      </c>
      <c r="C7674" s="38" t="n">
        <f aca="false">Sens!$C$7645+Sens!$C$7650</f>
        <v>28.107</v>
      </c>
      <c r="D7674" s="38" t="n">
        <f aca="false">Sens!$D$7645+Sens!$D$7650</f>
        <v>34.3175</v>
      </c>
      <c r="E7674" s="38" t="n">
        <f aca="false">Sens!$E$7645+Sens!$E$7650</f>
        <v>18.526</v>
      </c>
      <c r="F7674" s="38" t="n">
        <f aca="false">Sens!$F$7645+Sens!$F$7650</f>
        <v>23.0786109972074</v>
      </c>
      <c r="G7674" s="38" t="n">
        <f aca="false">Sens!$G$7645+Sens!$G$7650</f>
        <v>41.6046109972074</v>
      </c>
      <c r="H7674" s="38" t="n">
        <f aca="false">Sens!$H$7645+Sens!$H$7650</f>
        <v>49.9484611939488</v>
      </c>
      <c r="I7674" s="38" t="n">
        <f aca="false">Sens!$I$7645+Sens!$I$7650</f>
        <v>58.2915555477481</v>
      </c>
      <c r="J7674" s="38" t="n">
        <f aca="false">Sens!$J$7645+Sens!$J$7650</f>
        <v>66.0744709709759</v>
      </c>
      <c r="K7674" s="38" t="n">
        <f aca="false">Sens!$K$7645+Sens!$K$7650</f>
        <v>72.6819180680735</v>
      </c>
      <c r="L7674" s="38" t="n">
        <f aca="false">Sens!$L$7645+Sens!$L$7650</f>
        <v>79.9501098748808</v>
      </c>
      <c r="M7674" s="38" t="n">
        <f aca="false">Sens!$M$7645+Sens!$M$7650</f>
        <v>87.9451208623689</v>
      </c>
      <c r="N7674" s="38" t="n">
        <f aca="false">Sens!$N$7645+Sens!$N$7650</f>
        <v>14.8075</v>
      </c>
      <c r="O7674" s="38" t="n">
        <f aca="false">Sens!$O$7645+Sens!$O$7650</f>
        <v>19.51</v>
      </c>
    </row>
    <row r="7675" customFormat="false" ht="17.15" hidden="false" customHeight="false" outlineLevel="0" collapsed="false">
      <c r="A7675" s="0" t="s">
        <v>741</v>
      </c>
      <c r="B7675" s="0" t="s">
        <v>86</v>
      </c>
      <c r="C7675" s="38" t="n">
        <f aca="false">Sens!$C$7649+Sens!$C$7654+Sens!$C$7670+Sens!$C$7671-Sens!$C$7674</f>
        <v>19.399</v>
      </c>
      <c r="D7675" s="38" t="n">
        <f aca="false">Sens!$D$7649+Sens!$D$7654+Sens!$D$7670+Sens!$D$7671-Sens!$D$7674</f>
        <v>20.4615</v>
      </c>
      <c r="E7675" s="38" t="n">
        <f aca="false">Sens!$E$7649+Sens!$E$7654+Sens!$E$7670+Sens!$E$7671-Sens!$E$7674</f>
        <v>13.355</v>
      </c>
      <c r="F7675" s="38" t="n">
        <f aca="false">Sens!$F$7649+Sens!$F$7654+Sens!$F$7670+Sens!$F$7671-Sens!$F$7674</f>
        <v>12.7882167664549</v>
      </c>
      <c r="G7675" s="38" t="n">
        <f aca="false">Sens!$G$7649+Sens!$G$7654+Sens!$G$7670+Sens!$G$7671-Sens!$G$7674</f>
        <v>26.1432167664549</v>
      </c>
      <c r="H7675" s="38" t="n">
        <f aca="false">Sens!$H$7649+Sens!$H$7654+Sens!$H$7670+Sens!$H$7671-Sens!$H$7674</f>
        <v>28.5472527261826</v>
      </c>
      <c r="I7675" s="38" t="n">
        <f aca="false">Sens!$I$7649+Sens!$I$7654+Sens!$I$7670+Sens!$I$7671-Sens!$I$7674</f>
        <v>30.8052421506794</v>
      </c>
      <c r="J7675" s="38" t="n">
        <f aca="false">Sens!$J$7649+Sens!$J$7654+Sens!$J$7670+Sens!$J$7671-Sens!$J$7674</f>
        <v>33.0553877999083</v>
      </c>
      <c r="K7675" s="38" t="n">
        <f aca="false">Sens!$K$7649+Sens!$K$7654+Sens!$K$7670+Sens!$K$7671-Sens!$K$7674</f>
        <v>35.4662923485155</v>
      </c>
      <c r="L7675" s="38" t="n">
        <f aca="false">Sens!$L$7649+Sens!$L$7654+Sens!$L$7670+Sens!$L$7671-Sens!$L$7674</f>
        <v>37.1019587742301</v>
      </c>
      <c r="M7675" s="38" t="n">
        <f aca="false">Sens!$M$7649+Sens!$M$7654+Sens!$M$7670+Sens!$M$7671-Sens!$M$7674</f>
        <v>39.5351701466849</v>
      </c>
      <c r="N7675" s="38" t="n">
        <f aca="false">Sens!$N$7649+Sens!$N$7654+Sens!$N$7670+Sens!$N$7671-Sens!$N$7674</f>
        <v>10.6495</v>
      </c>
      <c r="O7675" s="38" t="n">
        <f aca="false">Sens!$O$7649+Sens!$O$7654+Sens!$O$7670+Sens!$O$7671-Sens!$O$7674</f>
        <v>9.81200000000001</v>
      </c>
    </row>
    <row r="7676" customFormat="false" ht="17.15" hidden="false" customHeight="false" outlineLevel="0" collapsed="false">
      <c r="A7676" s="0" t="s">
        <v>742</v>
      </c>
      <c r="B7676" s="0" t="s">
        <v>86</v>
      </c>
      <c r="C7676" s="38" t="n">
        <f aca="false">Sens!$C$7656+Sens!$C$7672-ext_sh*Sens!$C$7591</f>
        <v>51.3470500115664</v>
      </c>
      <c r="D7676" s="38" t="n">
        <f aca="false">Sens!$D$7656+Sens!$D$7672-ext_sh*Sens!$D$7591</f>
        <v>60.2799375433739</v>
      </c>
      <c r="E7676" s="38" t="n">
        <f aca="false">Sens!$E$7656+Sens!$E$7672-ext_sh*Sens!$E$7591</f>
        <v>39.5095167090767</v>
      </c>
      <c r="F7676" s="38" t="n">
        <f aca="false">Sens!$F$7656+Sens!$F$7672-ext_sh*Sens!$F$7591</f>
        <v>37.993321722478</v>
      </c>
      <c r="G7676" s="38" t="n">
        <f aca="false">Sens!$G$7656+Sens!$G$7672-ext_sh*Sens!$G$7591</f>
        <v>77.5028384315548</v>
      </c>
      <c r="H7676" s="38" t="n">
        <f aca="false">Sens!$H$7656+Sens!$H$7672-ext_sh*Sens!$H$7591</f>
        <v>85.2394217279746</v>
      </c>
      <c r="I7676" s="38" t="n">
        <f aca="false">Sens!$I$7656+Sens!$I$7672-ext_sh*Sens!$I$7591</f>
        <v>94.6373589713254</v>
      </c>
      <c r="J7676" s="38" t="n">
        <f aca="false">Sens!$J$7656+Sens!$J$7672-ext_sh*Sens!$J$7591</f>
        <v>103.639899284146</v>
      </c>
      <c r="K7676" s="38" t="n">
        <f aca="false">Sens!$K$7656+Sens!$K$7672-ext_sh*Sens!$K$7591</f>
        <v>111.931091226878</v>
      </c>
      <c r="L7676" s="38" t="n">
        <f aca="false">Sens!$L$7656+Sens!$L$7672-ext_sh*Sens!$L$7591</f>
        <v>120.885578525028</v>
      </c>
      <c r="M7676" s="38" t="n">
        <f aca="false">Sens!$M$7656+Sens!$M$7672-ext_sh*Sens!$M$7591</f>
        <v>130.55642480703</v>
      </c>
      <c r="N7676" s="38" t="n">
        <f aca="false">Sens!$N$7656+Sens!$N$7672-ext_sh*Sens!$N$7591</f>
        <v>28.5693781401809</v>
      </c>
      <c r="O7676" s="38" t="n">
        <f aca="false">Sens!$O$7656+Sens!$O$7672-ext_sh*Sens!$O$7591</f>
        <v>31.7105594031931</v>
      </c>
    </row>
    <row r="7677" customFormat="false" ht="17.15" hidden="false" customHeight="false" outlineLevel="0" collapsed="false">
      <c r="A7677" s="0" t="s">
        <v>743</v>
      </c>
      <c r="B7677" s="0" t="s">
        <v>86</v>
      </c>
      <c r="C7677" s="38" t="n">
        <f aca="false">Sens!$C$7594</f>
        <v>1.80694998843362</v>
      </c>
      <c r="D7677" s="38" t="n">
        <f aca="false">Sens!$D$7594</f>
        <v>6.77606245662607</v>
      </c>
      <c r="E7677" s="38" t="n">
        <f aca="false">Sens!$E$7594</f>
        <v>6.62548329092326</v>
      </c>
      <c r="F7677" s="38" t="n">
        <f aca="false">Sens!$F$7594</f>
        <v>11.7200577158706</v>
      </c>
      <c r="G7677" s="38" t="n">
        <f aca="false">Sens!$G$7594</f>
        <v>18.3455410067939</v>
      </c>
      <c r="H7677" s="38" t="n">
        <f aca="false">Sens!$H$7594</f>
        <v>47.5171727060453</v>
      </c>
      <c r="I7677" s="38" t="n">
        <f aca="false">Sens!$I$7594</f>
        <v>80.5539692643667</v>
      </c>
      <c r="J7677" s="38" t="n">
        <f aca="false">Sens!$J$7594</f>
        <v>113.759316834883</v>
      </c>
      <c r="K7677" s="38" t="n">
        <f aca="false">Sens!$K$7594</f>
        <v>142.084411492169</v>
      </c>
      <c r="L7677" s="38" t="n">
        <f aca="false">Sens!$L$7594</f>
        <v>160.69964615804</v>
      </c>
      <c r="M7677" s="38" t="n">
        <f aca="false">Sens!$M$7594</f>
        <v>169.577607141793</v>
      </c>
      <c r="N7677" s="38" t="n">
        <f aca="false">Sens!$N$7594</f>
        <v>2.37162185981912</v>
      </c>
      <c r="O7677" s="38" t="n">
        <f aca="false">Sens!$O$7594</f>
        <v>4.40444059680694</v>
      </c>
    </row>
    <row r="7678" customFormat="false" ht="17.15" hidden="false" customHeight="false" outlineLevel="0" collapsed="false">
      <c r="A7678" s="0" t="s">
        <v>744</v>
      </c>
      <c r="B7678" s="0" t="s">
        <v>86</v>
      </c>
      <c r="C7678" s="38" t="n">
        <f aca="false">Sens!$C$7659+Sens!$C$7673</f>
        <v>100.66</v>
      </c>
      <c r="D7678" s="38" t="n">
        <f aca="false">Sens!$D$7659+Sens!$D$7673</f>
        <v>121.835</v>
      </c>
      <c r="E7678" s="38" t="n">
        <f aca="false">Sens!$E$7659+Sens!$E$7673</f>
        <v>78.016</v>
      </c>
      <c r="F7678" s="38" t="n">
        <f aca="false">Sens!$F$7659+Sens!$F$7673</f>
        <v>85.580207202011</v>
      </c>
      <c r="G7678" s="38" t="n">
        <f aca="false">Sens!$G$7659+Sens!$G$7673</f>
        <v>163.596207202011</v>
      </c>
      <c r="H7678" s="38" t="n">
        <f aca="false">Sens!$H$7659+Sens!$H$7673</f>
        <v>211.252308354151</v>
      </c>
      <c r="I7678" s="38" t="n">
        <f aca="false">Sens!$I$7659+Sens!$I$7673</f>
        <v>264.28812593412</v>
      </c>
      <c r="J7678" s="38" t="n">
        <f aca="false">Sens!$J$7659+Sens!$J$7673</f>
        <v>316.529074889914</v>
      </c>
      <c r="K7678" s="38" t="n">
        <f aca="false">Sens!$K$7659+Sens!$K$7673</f>
        <v>362.163713135636</v>
      </c>
      <c r="L7678" s="38" t="n">
        <f aca="false">Sens!$L$7659+Sens!$L$7673</f>
        <v>398.637293332179</v>
      </c>
      <c r="M7678" s="38" t="n">
        <f aca="false">Sens!$M$7659+Sens!$M$7673</f>
        <v>427.614322957878</v>
      </c>
      <c r="N7678" s="38" t="n">
        <f aca="false">Sens!$N$7659+Sens!$N$7673</f>
        <v>56.398</v>
      </c>
      <c r="O7678" s="38" t="n">
        <f aca="false">Sens!$O$7659+Sens!$O$7673</f>
        <v>65.437</v>
      </c>
    </row>
    <row r="7679" customFormat="false" ht="17.15" hidden="false" customHeight="false" outlineLevel="0" collapsed="false">
      <c r="A7679" s="1" t="s">
        <v>745</v>
      </c>
    </row>
    <row r="7680" customFormat="false" ht="15" hidden="false" customHeight="false" outlineLevel="0" collapsed="false">
      <c r="A7680" s="5" t="s">
        <v>541</v>
      </c>
      <c r="B7680" s="0" t="s">
        <v>86</v>
      </c>
      <c r="C7680" s="38" t="n">
        <f aca="false">Q!$D$34</f>
        <v>2.406</v>
      </c>
      <c r="D7680" s="38" t="n">
        <f aca="false">Q!$E$34</f>
        <v>2.274</v>
      </c>
      <c r="E7680" s="38" t="n">
        <f aca="false">Q!$P$34</f>
        <v>2.114</v>
      </c>
      <c r="F7680" s="38" t="n">
        <f aca="false">Sens!$F$7718</f>
        <v>3.24888962733561</v>
      </c>
      <c r="G7680" s="38" t="n">
        <f aca="false">Sens!$E$7680+Sens!$F$7680</f>
        <v>5.36288962733561</v>
      </c>
      <c r="H7680" s="38" t="n">
        <f aca="false">Sens!$H$7718</f>
        <v>7.42354172302123</v>
      </c>
      <c r="I7680" s="38" t="n">
        <f aca="false">Sens!$I$7718</f>
        <v>8.2931747618896</v>
      </c>
      <c r="J7680" s="38" t="n">
        <f aca="false">Sens!$J$7718</f>
        <v>9.27718179522602</v>
      </c>
      <c r="K7680" s="38" t="n">
        <f aca="false">Sens!$K$7718</f>
        <v>9.27718179522602</v>
      </c>
      <c r="L7680" s="38" t="n">
        <f aca="false">Sens!$L$7718</f>
        <v>9.27718179522602</v>
      </c>
      <c r="M7680" s="38" t="n">
        <f aca="false">Sens!$M$7718</f>
        <v>9.27718179522602</v>
      </c>
      <c r="N7680" s="38" t="n">
        <f aca="false">Q!$N$34</f>
        <v>1.057</v>
      </c>
      <c r="O7680" s="38" t="n">
        <f aca="false">Q!$O$34</f>
        <v>1.217</v>
      </c>
    </row>
    <row r="7681" customFormat="false" ht="15" hidden="false" customHeight="false" outlineLevel="0" collapsed="false">
      <c r="A7681" s="5" t="s">
        <v>746</v>
      </c>
      <c r="B7681" s="0" t="s">
        <v>86</v>
      </c>
      <c r="F7681" s="38" t="n">
        <f aca="false">Sens!$F$7719</f>
        <v>2.59</v>
      </c>
      <c r="H7681" s="38" t="n">
        <f aca="false">Sens!$H$7719</f>
        <v>3.80133635330174</v>
      </c>
      <c r="I7681" s="38" t="n">
        <f aca="false">Sens!$I$7719</f>
        <v>2.10589651022864</v>
      </c>
      <c r="J7681" s="38" t="n">
        <f aca="false">Sens!$J$7719</f>
        <v>2.10589651022864</v>
      </c>
      <c r="K7681" s="38" t="n">
        <f aca="false">Sens!$K$7719</f>
        <v>3.14850442073996</v>
      </c>
      <c r="L7681" s="38" t="n">
        <f aca="false">Sens!$L$7719</f>
        <v>8.25959583122945</v>
      </c>
      <c r="M7681" s="38" t="n">
        <f aca="false">Sens!$M$7719</f>
        <v>15.8335708401143</v>
      </c>
    </row>
    <row r="7682" customFormat="false" ht="17.15" hidden="false" customHeight="false" outlineLevel="0" collapsed="false">
      <c r="A7682" s="5" t="s">
        <v>747</v>
      </c>
      <c r="B7682" s="0" t="s">
        <v>86</v>
      </c>
      <c r="C7682" s="38" t="n">
        <f aca="false">Q!$D$39</f>
        <v>2.427</v>
      </c>
      <c r="D7682" s="38" t="n">
        <f aca="false">Q!$E$39</f>
        <v>19.61</v>
      </c>
      <c r="E7682" s="38" t="n">
        <f aca="false">Q!$P$39</f>
        <v>71.492</v>
      </c>
      <c r="F7682" s="39" t="n">
        <v>0</v>
      </c>
      <c r="G7682" s="38" t="n">
        <f aca="false">Sens!$E$7682+Sens!$F$7682</f>
        <v>71.492</v>
      </c>
      <c r="H7682" s="39" t="n">
        <v>0</v>
      </c>
      <c r="I7682" s="39" t="n">
        <v>0</v>
      </c>
      <c r="J7682" s="39" t="n">
        <v>0</v>
      </c>
      <c r="K7682" s="39" t="n">
        <v>0</v>
      </c>
      <c r="L7682" s="39" t="n">
        <v>0</v>
      </c>
      <c r="M7682" s="39" t="n">
        <v>0</v>
      </c>
      <c r="N7682" s="38" t="n">
        <f aca="false">Q!$N$39</f>
        <v>6.017</v>
      </c>
      <c r="O7682" s="38" t="n">
        <f aca="false">Q!$O$39</f>
        <v>13.593</v>
      </c>
      <c r="P7682" s="5" t="s">
        <v>748</v>
      </c>
    </row>
    <row r="7683" customFormat="false" ht="15" hidden="false" customHeight="false" outlineLevel="0" collapsed="false">
      <c r="A7683" s="5" t="s">
        <v>544</v>
      </c>
      <c r="B7683" s="0" t="s">
        <v>86</v>
      </c>
      <c r="C7683" s="38" t="n">
        <f aca="false">Q!$D$36</f>
        <v>68.614</v>
      </c>
      <c r="D7683" s="38" t="n">
        <f aca="false">Q!$E$36</f>
        <v>97.311</v>
      </c>
      <c r="E7683" s="38" t="n">
        <f aca="false">Q!$P$36</f>
        <v>120.691</v>
      </c>
      <c r="F7683" s="38" t="n">
        <f aca="false">Sens!$F$7659-Sens!$F$7680+Sens!$F$7681+Sens!$F$7682</f>
        <v>55.629999609589</v>
      </c>
      <c r="G7683" s="38" t="n">
        <f aca="false">Sens!$E$7683+Sens!$F$7683</f>
        <v>176.320999609589</v>
      </c>
      <c r="H7683" s="38" t="n">
        <f aca="false">Sens!$H$7659-Sens!$H$7680+Sens!$H$7681+Sens!$H$7682</f>
        <v>123.313761885917</v>
      </c>
      <c r="I7683" s="38" t="n">
        <f aca="false">Sens!$I$7659-Sens!$I$7680+Sens!$I$7681+Sens!$I$7682</f>
        <v>141.060502691455</v>
      </c>
      <c r="J7683" s="38" t="n">
        <f aca="false">Sens!$J$7659-Sens!$J$7680+Sens!$J$7681+Sens!$J$7682</f>
        <v>158.858808130232</v>
      </c>
      <c r="K7683" s="38" t="n">
        <f aca="false">Sens!$K$7659-Sens!$K$7680+Sens!$K$7681+Sens!$K$7682</f>
        <v>171.846913790867</v>
      </c>
      <c r="L7683" s="38" t="n">
        <f aca="false">Sens!$L$7659-Sens!$L$7680+Sens!$L$7681+Sens!$L$7682</f>
        <v>189.850989307375</v>
      </c>
      <c r="M7683" s="38" t="n">
        <f aca="false">Sens!$M$7659-Sens!$M$7680+Sens!$M$7681+Sens!$M$7682</f>
        <v>210.166777355014</v>
      </c>
      <c r="N7683" s="38" t="n">
        <f aca="false">Q!$N$36</f>
        <v>42.536</v>
      </c>
      <c r="O7683" s="38" t="n">
        <f aca="false">Q!$O$36</f>
        <v>54.775</v>
      </c>
    </row>
    <row r="7684" customFormat="false" ht="15" hidden="false" customHeight="false" outlineLevel="0" collapsed="false">
      <c r="A7684" s="5" t="s">
        <v>545</v>
      </c>
      <c r="B7684" s="0" t="s">
        <v>86</v>
      </c>
      <c r="C7684" s="38" t="n">
        <f aca="false">Q!$D$37</f>
        <v>9.265</v>
      </c>
      <c r="D7684" s="38" t="n">
        <f aca="false">Q!$E$37</f>
        <v>19.087</v>
      </c>
      <c r="E7684" s="38" t="n">
        <f aca="false">Q!$P$37</f>
        <v>27.759</v>
      </c>
      <c r="F7684" s="38" t="n">
        <f aca="false">Sens!$F$7683*tax</f>
        <v>9.65650714815835</v>
      </c>
      <c r="G7684" s="38" t="n">
        <f aca="false">Sens!$E$7684+Sens!$F$7684</f>
        <v>37.4155071481584</v>
      </c>
      <c r="H7684" s="38" t="n">
        <f aca="false">Sens!$H$7683*tax</f>
        <v>21.4053609828247</v>
      </c>
      <c r="I7684" s="38" t="n">
        <f aca="false">Sens!$I$7683*tax</f>
        <v>24.4859205846201</v>
      </c>
      <c r="J7684" s="38" t="n">
        <f aca="false">Sens!$J$7683*tax</f>
        <v>27.5754310088666</v>
      </c>
      <c r="K7684" s="38" t="n">
        <f aca="false">Sens!$K$7683*tax</f>
        <v>29.8299651816718</v>
      </c>
      <c r="L7684" s="38" t="n">
        <f aca="false">Sens!$L$7683*tax</f>
        <v>32.9551941074541</v>
      </c>
      <c r="M7684" s="38" t="n">
        <f aca="false">Sens!$M$7683*tax</f>
        <v>36.4817005586366</v>
      </c>
      <c r="N7684" s="38" t="n">
        <f aca="false">Q!$N$37</f>
        <v>7.231</v>
      </c>
      <c r="O7684" s="38" t="n">
        <f aca="false">Q!$O$37</f>
        <v>11.856</v>
      </c>
    </row>
    <row r="7685" customFormat="false" ht="15" hidden="false" customHeight="false" outlineLevel="0" collapsed="false">
      <c r="A7685" s="3" t="s">
        <v>546</v>
      </c>
      <c r="B7685" s="8" t="s">
        <v>86</v>
      </c>
      <c r="C7685" s="38" t="n">
        <f aca="false">Q!$D$38</f>
        <v>59.248</v>
      </c>
      <c r="D7685" s="38" t="n">
        <f aca="false">Q!$E$38</f>
        <v>77.67</v>
      </c>
      <c r="E7685" s="38" t="n">
        <f aca="false">Q!$P$38</f>
        <v>92.902</v>
      </c>
      <c r="F7685" s="38" t="n">
        <f aca="false">Sens!$F$7683-Sens!$F$7684</f>
        <v>45.9734924614306</v>
      </c>
      <c r="G7685" s="38" t="n">
        <f aca="false">Sens!$E$7685+Sens!$F$7685</f>
        <v>138.875492461431</v>
      </c>
      <c r="H7685" s="38" t="n">
        <f aca="false">Sens!$H$7683-Sens!$H$7684</f>
        <v>101.908400903092</v>
      </c>
      <c r="I7685" s="38" t="n">
        <f aca="false">Sens!$I$7683-Sens!$I$7684</f>
        <v>116.574582106835</v>
      </c>
      <c r="J7685" s="38" t="n">
        <f aca="false">Sens!$J$7683-Sens!$J$7684</f>
        <v>131.283377121365</v>
      </c>
      <c r="K7685" s="38" t="n">
        <f aca="false">Sens!$K$7683-Sens!$K$7684</f>
        <v>142.016948609195</v>
      </c>
      <c r="L7685" s="38" t="n">
        <f aca="false">Sens!$L$7683-Sens!$L$7684</f>
        <v>156.895795199921</v>
      </c>
      <c r="M7685" s="38" t="n">
        <f aca="false">Sens!$M$7683-Sens!$M$7684</f>
        <v>173.685076796377</v>
      </c>
      <c r="N7685" s="38" t="n">
        <f aca="false">Q!$N$38</f>
        <v>35.291</v>
      </c>
      <c r="O7685" s="38" t="n">
        <f aca="false">Q!$O$38</f>
        <v>42.379</v>
      </c>
    </row>
    <row r="7686" customFormat="false" ht="17.15" hidden="false" customHeight="false" outlineLevel="0" collapsed="false">
      <c r="A7686" s="5" t="s">
        <v>549</v>
      </c>
      <c r="B7686" s="5" t="s">
        <v>33</v>
      </c>
      <c r="C7686" s="22" t="n">
        <f aca="false">Q!$D$41</f>
        <v>10.721</v>
      </c>
      <c r="D7686" s="22" t="n">
        <f aca="false">Q!$E$41</f>
        <v>10.827</v>
      </c>
      <c r="E7686" s="22" t="n">
        <f aca="false">(Q!$L$41+Q!$M$41)/2</f>
        <v>10.8885</v>
      </c>
      <c r="F7686" s="22" t="n">
        <f aca="false">Sens!$G$7686</f>
        <v>10.924806</v>
      </c>
      <c r="G7686" s="22" t="n">
        <f aca="false">Q!$M$41*(1+sh_g*0.25)</f>
        <v>10.924806</v>
      </c>
      <c r="H7686" s="22" t="n">
        <f aca="false">Sens!$G$7686*(1+sh_g)</f>
        <v>11.012204448</v>
      </c>
      <c r="I7686" s="22" t="n">
        <f aca="false">Sens!$H$7686*(1+sh_g)</f>
        <v>11.100302083584</v>
      </c>
      <c r="J7686" s="22" t="n">
        <f aca="false">Sens!$I$7686*(1+sh_g)</f>
        <v>11.1891045002527</v>
      </c>
      <c r="K7686" s="22" t="n">
        <f aca="false">Sens!$J$7686*(1+sh_g)</f>
        <v>11.2786173362547</v>
      </c>
      <c r="L7686" s="22" t="n">
        <f aca="false">Sens!$K$7686*(1+sh_g)</f>
        <v>11.3688462749447</v>
      </c>
      <c r="M7686" s="22" t="n">
        <f aca="false">Sens!$L$7686*(1+sh_g)</f>
        <v>11.4597970451443</v>
      </c>
      <c r="P7686" s="5" t="s">
        <v>749</v>
      </c>
    </row>
    <row r="7687" customFormat="false" ht="17.15" hidden="false" customHeight="false" outlineLevel="0" collapsed="false">
      <c r="A7687" s="5" t="s">
        <v>750</v>
      </c>
      <c r="B7687" s="0" t="s">
        <v>86</v>
      </c>
      <c r="C7687" s="38" t="n">
        <f aca="false">Sens!$C$7685+Sens!$C$7661*(1-tax)</f>
        <v>59.248</v>
      </c>
      <c r="D7687" s="38" t="n">
        <f aca="false">Sens!$D$7685+Sens!$D$7661*(1-tax)</f>
        <v>77.67</v>
      </c>
      <c r="E7687" s="38" t="n">
        <f aca="false">Sens!$E$7685+Sens!$E$7661*(1-tax)</f>
        <v>92.902</v>
      </c>
      <c r="F7687" s="38" t="n">
        <f aca="false">Sens!$F$7685+Sens!$F$7661*(1-tax)</f>
        <v>49.0900874210793</v>
      </c>
      <c r="G7687" s="38" t="n">
        <f aca="false">Sens!$G$7685+Sens!$G$7661*(1-tax)</f>
        <v>141.992087421079</v>
      </c>
      <c r="H7687" s="38" t="n">
        <f aca="false">Sens!$H$7685+Sens!$H$7661*(1-tax)</f>
        <v>114.439796858437</v>
      </c>
      <c r="I7687" s="38" t="n">
        <f aca="false">Sens!$I$7685+Sens!$I$7661*(1-tax)</f>
        <v>137.715847181774</v>
      </c>
      <c r="J7687" s="38" t="n">
        <f aca="false">Sens!$J$7685+Sens!$J$7661*(1-tax)</f>
        <v>161.072814065649</v>
      </c>
      <c r="K7687" s="38" t="n">
        <f aca="false">Sens!$K$7685+Sens!$K$7661*(1-tax)</f>
        <v>179.184254305854</v>
      </c>
      <c r="L7687" s="38" t="n">
        <f aca="false">Sens!$L$7685+Sens!$L$7661*(1-tax)</f>
        <v>198.911872540476</v>
      </c>
      <c r="M7687" s="38" t="n">
        <f aca="false">Sens!$M$7685+Sens!$M$7661*(1-tax)</f>
        <v>218.014598987218</v>
      </c>
      <c r="N7687" s="38" t="n">
        <f aca="false">Sens!$N$7685+Sens!$N$7661*(1-tax)</f>
        <v>35.291</v>
      </c>
      <c r="O7687" s="38" t="n">
        <f aca="false">Sens!$O$7685+Sens!$O$7661*(1-tax)</f>
        <v>42.379</v>
      </c>
    </row>
    <row r="7688" customFormat="false" ht="17.15" hidden="false" customHeight="false" outlineLevel="0" collapsed="false">
      <c r="A7688" s="43" t="s">
        <v>751</v>
      </c>
      <c r="B7688" s="14" t="s">
        <v>27</v>
      </c>
      <c r="C7688" s="44" t="n">
        <f aca="false">Sens!$C$7687/Sens!$C$7686</f>
        <v>5.52635015390355</v>
      </c>
      <c r="D7688" s="44" t="n">
        <f aca="false">Sens!$D$7687/Sens!$D$7686</f>
        <v>7.1737323358271</v>
      </c>
      <c r="E7688" s="44" t="n">
        <f aca="false">Sens!$E$7687/Sens!$E$7686</f>
        <v>8.53212104513937</v>
      </c>
      <c r="F7688" s="14"/>
      <c r="G7688" s="44" t="n">
        <f aca="false">Sens!$G$7687/Sens!$G$7686</f>
        <v>12.9972182042481</v>
      </c>
      <c r="H7688" s="44" t="n">
        <f aca="false">Sens!$H$7687/Sens!$H$7686</f>
        <v>10.3920879237963</v>
      </c>
      <c r="I7688" s="44" t="n">
        <f aca="false">Sens!$I$7687/Sens!$I$7686</f>
        <v>12.4064954399249</v>
      </c>
      <c r="J7688" s="44" t="n">
        <f aca="false">Sens!$J$7687/Sens!$J$7686</f>
        <v>14.3955053831172</v>
      </c>
      <c r="K7688" s="44" t="n">
        <f aca="false">Sens!$K$7687/Sens!$K$7686</f>
        <v>15.8870763111957</v>
      </c>
      <c r="L7688" s="44" t="n">
        <f aca="false">Sens!$L$7687/Sens!$L$7686</f>
        <v>17.4962232516811</v>
      </c>
      <c r="M7688" s="44" t="n">
        <f aca="false">Sens!$M$7687/Sens!$M$7686</f>
        <v>19.0242984346389</v>
      </c>
      <c r="N7688" s="14"/>
      <c r="O7688" s="14"/>
    </row>
    <row r="7689" customFormat="false" ht="17.15" hidden="false" customHeight="false" outlineLevel="0" collapsed="false">
      <c r="A7689" s="0" t="s">
        <v>752</v>
      </c>
      <c r="B7689" s="0" t="s">
        <v>27</v>
      </c>
      <c r="C7689" s="30" t="n">
        <f aca="false">Sens!$C$7685/Sens!$C$7686</f>
        <v>5.52635015390355</v>
      </c>
      <c r="D7689" s="30" t="n">
        <f aca="false">Sens!$D$7685/Sens!$D$7686</f>
        <v>7.1737323358271</v>
      </c>
      <c r="E7689" s="30" t="n">
        <f aca="false">Sens!$E$7685/Sens!$E$7686</f>
        <v>8.53212104513937</v>
      </c>
      <c r="G7689" s="30" t="n">
        <f aca="false">Sens!$G$7685/Sens!$G$7686</f>
        <v>12.7119412886078</v>
      </c>
      <c r="H7689" s="30" t="n">
        <f aca="false">Sens!$H$7685/Sens!$H$7686</f>
        <v>9.25413266565353</v>
      </c>
      <c r="I7689" s="30" t="n">
        <f aca="false">Sens!$I$7685/Sens!$I$7686</f>
        <v>10.501928796986</v>
      </c>
      <c r="J7689" s="30" t="n">
        <f aca="false">Sens!$J$7685/Sens!$J$7686</f>
        <v>11.7331442492472</v>
      </c>
      <c r="K7689" s="30" t="n">
        <f aca="false">Sens!$K$7685/Sens!$K$7686</f>
        <v>12.5916984657939</v>
      </c>
      <c r="L7689" s="30" t="n">
        <f aca="false">Sens!$L$7685/Sens!$L$7686</f>
        <v>13.8005028307662</v>
      </c>
      <c r="M7689" s="30" t="n">
        <f aca="false">Sens!$M$7685/Sens!$M$7686</f>
        <v>15.1560342746184</v>
      </c>
    </row>
    <row r="7690" customFormat="false" ht="17.15" hidden="false" customHeight="false" outlineLevel="0" collapsed="false">
      <c r="A7690" s="0" t="s">
        <v>753</v>
      </c>
      <c r="B7690" s="0" t="s">
        <v>27</v>
      </c>
      <c r="C7690" s="30" t="n">
        <f aca="false">(Sens!$C$7685-Sens!$C$7682*(1-tax))/Sens!$C$7686</f>
        <v>5.33926775917445</v>
      </c>
      <c r="D7690" s="30" t="n">
        <f aca="false">(Sens!$D$7685-Sens!$D$7682*(1-tax))/Sens!$D$7686</f>
        <v>5.67691812755503</v>
      </c>
      <c r="E7690" s="30" t="n">
        <f aca="false">(Sens!$E$7685-Sens!$E$7682*(1-tax))/Sens!$E$7686</f>
        <v>3.10602057006846</v>
      </c>
      <c r="G7690" s="30" t="n">
        <f aca="false">(Sens!$G$7685-Sens!$G$7682*(1-tax))/Sens!$G$7686</f>
        <v>7.30387317071086</v>
      </c>
      <c r="H7690" s="30" t="n">
        <f aca="false">(Sens!$H$7685-Sens!$H$7682*(1-tax))/Sens!$H$7686</f>
        <v>9.25413266565353</v>
      </c>
      <c r="I7690" s="30" t="n">
        <f aca="false">(Sens!$I$7685-Sens!$I$7682*(1-tax))/Sens!$I$7686</f>
        <v>10.501928796986</v>
      </c>
      <c r="J7690" s="30" t="n">
        <f aca="false">(Sens!$J$7685-Sens!$J$7682*(1-tax))/Sens!$J$7686</f>
        <v>11.7331442492472</v>
      </c>
      <c r="K7690" s="30" t="n">
        <f aca="false">(Sens!$K$7685-Sens!$K$7682*(1-tax))/Sens!$K$7686</f>
        <v>12.5916984657939</v>
      </c>
      <c r="L7690" s="30" t="n">
        <f aca="false">(Sens!$L$7685-Sens!$L$7682*(1-tax))/Sens!$L$7686</f>
        <v>13.8005028307662</v>
      </c>
      <c r="M7690" s="30" t="n">
        <f aca="false">(Sens!$M$7685-Sens!$M$7682*(1-tax))/Sens!$M$7686</f>
        <v>15.1560342746184</v>
      </c>
      <c r="P7690" s="5" t="s">
        <v>754</v>
      </c>
    </row>
    <row r="7691" customFormat="false" ht="17.15" hidden="false" customHeight="false" outlineLevel="0" collapsed="false">
      <c r="A7691" s="0" t="s">
        <v>755</v>
      </c>
      <c r="B7691" s="0" t="s">
        <v>52</v>
      </c>
      <c r="H7691" s="13" t="n">
        <f aca="false">Sens!$H$7688/Sens!$G$7688-1</f>
        <v>-0.200437527439553</v>
      </c>
      <c r="I7691" s="13" t="n">
        <f aca="false">Sens!$I$7688/Sens!$H$7688-1</f>
        <v>0.193840499705158</v>
      </c>
      <c r="J7691" s="13" t="n">
        <f aca="false">Sens!$J$7688/Sens!$I$7688-1</f>
        <v>0.160320047899391</v>
      </c>
      <c r="K7691" s="13" t="n">
        <f aca="false">Sens!$K$7688/Sens!$J$7688-1</f>
        <v>0.103613654983436</v>
      </c>
      <c r="L7691" s="13" t="n">
        <f aca="false">Sens!$L$7688/Sens!$K$7688-1</f>
        <v>0.101286536865904</v>
      </c>
      <c r="M7691" s="13" t="n">
        <f aca="false">Sens!$M$7688/Sens!$L$7688-1</f>
        <v>0.0873374305400994</v>
      </c>
    </row>
    <row r="7694" customFormat="false" ht="19.4" hidden="false" customHeight="false" outlineLevel="0" collapsed="false">
      <c r="A7694" s="31" t="s">
        <v>1285</v>
      </c>
    </row>
    <row r="7695" customFormat="false" ht="17.15" hidden="false" customHeight="false" outlineLevel="0" collapsed="false">
      <c r="A7695" s="6" t="s">
        <v>16</v>
      </c>
      <c r="B7695" s="6" t="s">
        <v>17</v>
      </c>
      <c r="C7695" s="20" t="s">
        <v>494</v>
      </c>
      <c r="D7695" s="20" t="s">
        <v>495</v>
      </c>
      <c r="E7695" s="20" t="s">
        <v>577</v>
      </c>
      <c r="F7695" s="20" t="s">
        <v>578</v>
      </c>
      <c r="G7695" s="20" t="s">
        <v>579</v>
      </c>
      <c r="H7695" s="20" t="s">
        <v>580</v>
      </c>
      <c r="I7695" s="20" t="s">
        <v>581</v>
      </c>
      <c r="J7695" s="20" t="s">
        <v>582</v>
      </c>
      <c r="K7695" s="20" t="s">
        <v>583</v>
      </c>
      <c r="L7695" s="20" t="s">
        <v>584</v>
      </c>
      <c r="M7695" s="20" t="s">
        <v>585</v>
      </c>
      <c r="N7695" s="20" t="s">
        <v>586</v>
      </c>
      <c r="O7695" s="20" t="s">
        <v>587</v>
      </c>
      <c r="P7695" s="6" t="s">
        <v>23</v>
      </c>
      <c r="R7695" s="20" t="n">
        <v>2023</v>
      </c>
      <c r="S7695" s="20" t="n">
        <v>2024</v>
      </c>
      <c r="T7695" s="20" t="n">
        <v>2025</v>
      </c>
      <c r="U7695" s="20" t="n">
        <v>2026</v>
      </c>
      <c r="V7695" s="20" t="n">
        <v>2027</v>
      </c>
      <c r="W7695" s="20" t="n">
        <v>2028</v>
      </c>
      <c r="X7695" s="20" t="n">
        <v>2029</v>
      </c>
      <c r="Y7695" s="20" t="n">
        <v>2030</v>
      </c>
      <c r="Z7695" s="20" t="n">
        <v>2031</v>
      </c>
      <c r="AA7695" s="20" t="n">
        <v>2032</v>
      </c>
    </row>
    <row r="7696" customFormat="false" ht="15" hidden="false" customHeight="false" outlineLevel="0" collapsed="false">
      <c r="A7696" s="5" t="s">
        <v>546</v>
      </c>
      <c r="B7696" s="0" t="s">
        <v>86</v>
      </c>
      <c r="C7696" s="38" t="n">
        <f aca="false">Sens!$C$7685</f>
        <v>59.248</v>
      </c>
      <c r="D7696" s="38" t="n">
        <f aca="false">Sens!$D$7685</f>
        <v>77.67</v>
      </c>
      <c r="E7696" s="38" t="n">
        <f aca="false">Sens!$E$7685</f>
        <v>92.902</v>
      </c>
      <c r="F7696" s="38" t="n">
        <f aca="false">Sens!$F$7685</f>
        <v>45.9734924614306</v>
      </c>
      <c r="G7696" s="38" t="n">
        <f aca="false">Sens!$G$7685</f>
        <v>138.875492461431</v>
      </c>
      <c r="H7696" s="38" t="n">
        <f aca="false">Sens!$H$7685</f>
        <v>101.908400903092</v>
      </c>
      <c r="I7696" s="38" t="n">
        <f aca="false">Sens!$I$7685</f>
        <v>116.574582106835</v>
      </c>
      <c r="J7696" s="38" t="n">
        <f aca="false">Sens!$J$7685</f>
        <v>131.283377121365</v>
      </c>
      <c r="K7696" s="38" t="n">
        <f aca="false">Sens!$K$7685</f>
        <v>142.016948609195</v>
      </c>
      <c r="L7696" s="38" t="n">
        <f aca="false">Sens!$L$7685</f>
        <v>156.895795199921</v>
      </c>
      <c r="M7696" s="38" t="n">
        <f aca="false">Sens!$M$7685</f>
        <v>173.685076796377</v>
      </c>
    </row>
    <row r="7697" customFormat="false" ht="17.15" hidden="false" customHeight="false" outlineLevel="0" collapsed="false">
      <c r="A7697" s="5" t="s">
        <v>778</v>
      </c>
      <c r="B7697" s="0" t="s">
        <v>86</v>
      </c>
      <c r="C7697" s="38" t="n">
        <f aca="false">Sens!$C$7673</f>
        <v>32.067</v>
      </c>
      <c r="D7697" s="38" t="n">
        <f aca="false">Sens!$D$7673</f>
        <v>41.86</v>
      </c>
      <c r="E7697" s="38" t="n">
        <f aca="false">Sens!$E$7673</f>
        <v>26.703</v>
      </c>
      <c r="F7697" s="38" t="n">
        <f aca="false">Sens!$F$7673</f>
        <v>29.2913179650864</v>
      </c>
      <c r="G7697" s="38" t="n">
        <f aca="false">Sens!$G$7673</f>
        <v>55.9943179650864</v>
      </c>
      <c r="H7697" s="38" t="n">
        <f aca="false">Sens!$H$7673</f>
        <v>84.3163410985152</v>
      </c>
      <c r="I7697" s="38" t="n">
        <f aca="false">Sens!$I$7673</f>
        <v>117.040344991004</v>
      </c>
      <c r="J7697" s="38" t="n">
        <f aca="false">Sens!$J$7673</f>
        <v>150.498981474685</v>
      </c>
      <c r="K7697" s="38" t="n">
        <f aca="false">Sens!$K$7673</f>
        <v>184.188121970284</v>
      </c>
      <c r="L7697" s="38" t="n">
        <f aca="false">Sens!$L$7673</f>
        <v>207.768718060808</v>
      </c>
      <c r="M7697" s="38" t="n">
        <f aca="false">Sens!$M$7673</f>
        <v>224.003934647752</v>
      </c>
    </row>
    <row r="7698" customFormat="false" ht="15" hidden="false" customHeight="false" outlineLevel="0" collapsed="false">
      <c r="A7698" s="5" t="s">
        <v>779</v>
      </c>
      <c r="B7698" s="0" t="s">
        <v>86</v>
      </c>
      <c r="C7698" s="38" t="n">
        <f aca="false">Q!$D$48</f>
        <v>22.011</v>
      </c>
      <c r="D7698" s="38" t="n">
        <f aca="false">Q!$E$48</f>
        <v>19.467</v>
      </c>
      <c r="E7698" s="38" t="n">
        <f aca="false">Q!$P$48</f>
        <v>10.07</v>
      </c>
      <c r="F7698" s="38" t="n">
        <f aca="false">sbc_r*Sens!$F$7615</f>
        <v>10.8507035798037</v>
      </c>
      <c r="G7698" s="38" t="n">
        <f aca="false">Sens!$E$7698+Sens!$F$7698</f>
        <v>20.9207035798037</v>
      </c>
      <c r="H7698" s="38" t="n">
        <f aca="false">sbc_r*Sens!$H$7615</f>
        <v>23.46224366345</v>
      </c>
      <c r="I7698" s="38" t="n">
        <f aca="false">sbc_r*Sens!$I$7615</f>
        <v>26.6125957111676</v>
      </c>
      <c r="J7698" s="38" t="n">
        <f aca="false">sbc_r*Sens!$J$7615</f>
        <v>29.6280801413323</v>
      </c>
      <c r="K7698" s="38" t="n">
        <f aca="false">sbc_r*Sens!$K$7615</f>
        <v>32.2712258901105</v>
      </c>
      <c r="L7698" s="38" t="n">
        <f aca="false">sbc_r*Sens!$L$7615</f>
        <v>34.7390505016737</v>
      </c>
      <c r="M7698" s="38" t="n">
        <f aca="false">sbc_r*Sens!$M$7615</f>
        <v>37.0405146906692</v>
      </c>
    </row>
    <row r="7699" customFormat="false" ht="17.15" hidden="false" customHeight="false" outlineLevel="0" collapsed="false">
      <c r="A7699" s="5" t="s">
        <v>780</v>
      </c>
      <c r="B7699" s="0" t="s">
        <v>86</v>
      </c>
      <c r="C7699" s="38" t="n">
        <f aca="false">Q!$D$44-Sens!$C$7696-Sens!$C$7697-Sens!$C$7698</f>
        <v>2.551</v>
      </c>
      <c r="D7699" s="38" t="n">
        <f aca="false">Q!$E$44-Sens!$D$7696-Sens!$D$7697-Sens!$D$7698</f>
        <v>0.51700000000001</v>
      </c>
      <c r="E7699" s="38" t="n">
        <f aca="false">Q!$P$44-Sens!$E$7696-Sens!$E$7697-Sens!$E$7698</f>
        <v>-58.256</v>
      </c>
      <c r="F7699" s="38" t="n">
        <f aca="false">oth_r*Sens!$F$7615</f>
        <v>5.22265251035878</v>
      </c>
      <c r="G7699" s="38" t="n">
        <f aca="false">Sens!$E$7699+Sens!$F$7699</f>
        <v>-53.0333474896412</v>
      </c>
      <c r="H7699" s="38" t="n">
        <f aca="false">oth_r*Sens!$H$7615</f>
        <v>11.2928295263397</v>
      </c>
      <c r="I7699" s="38" t="n">
        <f aca="false">oth_r*Sens!$I$7615</f>
        <v>12.8091546115766</v>
      </c>
      <c r="J7699" s="38" t="n">
        <f aca="false">oth_r*Sens!$J$7615</f>
        <v>14.2605653162668</v>
      </c>
      <c r="K7699" s="38" t="n">
        <f aca="false">oth_r*Sens!$K$7615</f>
        <v>15.5327622460396</v>
      </c>
      <c r="L7699" s="38" t="n">
        <f aca="false">oth_r*Sens!$L$7615</f>
        <v>16.720573737517</v>
      </c>
      <c r="M7699" s="38" t="n">
        <f aca="false">oth_r*Sens!$M$7615</f>
        <v>17.8283127551536</v>
      </c>
      <c r="P7699" s="8" t="s">
        <v>781</v>
      </c>
    </row>
    <row r="7700" customFormat="false" ht="15" hidden="false" customHeight="false" outlineLevel="0" collapsed="false">
      <c r="A7700" s="3" t="s">
        <v>552</v>
      </c>
      <c r="B7700" s="8" t="s">
        <v>86</v>
      </c>
      <c r="C7700" s="38" t="n">
        <f aca="false">Q!$D$44</f>
        <v>115.877</v>
      </c>
      <c r="D7700" s="38" t="n">
        <f aca="false">Q!$E$44</f>
        <v>139.514</v>
      </c>
      <c r="E7700" s="38" t="n">
        <f aca="false">Q!$P$44</f>
        <v>71.419</v>
      </c>
      <c r="F7700" s="38" t="n">
        <f aca="false">Sens!$F$7696+Sens!$F$7697+Sens!$F$7698+Sens!$F$7699</f>
        <v>91.3381665166794</v>
      </c>
      <c r="G7700" s="38" t="n">
        <f aca="false">Sens!$E$7700+Sens!$F$7700</f>
        <v>162.757166516679</v>
      </c>
      <c r="H7700" s="38" t="n">
        <f aca="false">Sens!$H$7696+Sens!$H$7697+Sens!$H$7698+Sens!$H$7699</f>
        <v>220.979815191397</v>
      </c>
      <c r="I7700" s="38" t="n">
        <f aca="false">Sens!$I$7696+Sens!$I$7697+Sens!$I$7698+Sens!$I$7699</f>
        <v>273.036677420583</v>
      </c>
      <c r="J7700" s="38" t="n">
        <f aca="false">Sens!$J$7696+Sens!$J$7697+Sens!$J$7698+Sens!$J$7699</f>
        <v>325.671004053649</v>
      </c>
      <c r="K7700" s="38" t="n">
        <f aca="false">Sens!$K$7696+Sens!$K$7697+Sens!$K$7698+Sens!$K$7699</f>
        <v>374.009058715629</v>
      </c>
      <c r="L7700" s="38" t="n">
        <f aca="false">Sens!$L$7696+Sens!$L$7697+Sens!$L$7698+Sens!$L$7699</f>
        <v>416.124137499919</v>
      </c>
      <c r="M7700" s="38" t="n">
        <f aca="false">Sens!$M$7696+Sens!$M$7697+Sens!$M$7698+Sens!$M$7699</f>
        <v>452.557838889952</v>
      </c>
    </row>
    <row r="7701" customFormat="false" ht="17.15" hidden="false" customHeight="false" outlineLevel="0" collapsed="false">
      <c r="A7701" s="5" t="s">
        <v>782</v>
      </c>
      <c r="B7701" s="0" t="s">
        <v>86</v>
      </c>
      <c r="C7701" s="38" t="n">
        <f aca="false">Sens!$C$7584</f>
        <v>25.2781053077374</v>
      </c>
      <c r="D7701" s="38" t="n">
        <f aca="false">Sens!$D$7584</f>
        <v>69.5686316310026</v>
      </c>
      <c r="E7701" s="38" t="n">
        <f aca="false">Sens!$E$7584</f>
        <v>64.1899206485108</v>
      </c>
      <c r="F7701" s="38" t="n">
        <f aca="false">Sens!$F$7584</f>
        <v>96.2481299895</v>
      </c>
      <c r="G7701" s="38" t="n">
        <f aca="false">Sens!$G$7584</f>
        <v>160.438050638011</v>
      </c>
      <c r="H7701" s="38" t="n">
        <f aca="false">Sens!$H$7584</f>
        <v>198.57136494475</v>
      </c>
      <c r="I7701" s="38" t="n">
        <f aca="false">Sens!$I$7584</f>
        <v>204.6464699105</v>
      </c>
      <c r="J7701" s="38" t="n">
        <f aca="false">Sens!$J$7584</f>
        <v>209.8832381105</v>
      </c>
      <c r="K7701" s="38" t="n">
        <f aca="false">Sens!$K$7584</f>
        <v>155.238385275201</v>
      </c>
      <c r="L7701" s="38" t="n">
        <f aca="false">Sens!$L$7584</f>
        <v>132.014141639902</v>
      </c>
      <c r="M7701" s="38" t="n">
        <f aca="false">Sens!$M$7584</f>
        <v>132.230981659852</v>
      </c>
    </row>
    <row r="7702" customFormat="false" ht="17.15" hidden="false" customHeight="false" outlineLevel="0" collapsed="false">
      <c r="A7702" s="5" t="s">
        <v>783</v>
      </c>
      <c r="B7702" s="0" t="s">
        <v>86</v>
      </c>
      <c r="C7702" s="38" t="n">
        <f aca="false">cx_awso*Sens!$C$7613</f>
        <v>21.0469989286053</v>
      </c>
      <c r="D7702" s="38" t="n">
        <f aca="false">cx_awso*Sens!$D$7613</f>
        <v>24.0042459822698</v>
      </c>
      <c r="E7702" s="38" t="n">
        <f aca="false">cx_awso*Sens!$E$7613</f>
        <v>14.261729404886</v>
      </c>
      <c r="F7702" s="38" t="n">
        <f aca="false">cx_awso*Sens!$F$7613</f>
        <v>14.3538599588493</v>
      </c>
      <c r="G7702" s="38" t="n">
        <f aca="false">Sens!$E$7702+Sens!$F$7702</f>
        <v>28.6155893637353</v>
      </c>
      <c r="H7702" s="38" t="n">
        <f aca="false">cx_awso*Sens!$H$7613</f>
        <v>32.2034154158406</v>
      </c>
      <c r="I7702" s="38" t="n">
        <f aca="false">cx_awso*Sens!$I$7613</f>
        <v>35.7539519042915</v>
      </c>
      <c r="J7702" s="38" t="n">
        <f aca="false">cx_awso*Sens!$J$7613</f>
        <v>39.1551076091815</v>
      </c>
      <c r="K7702" s="38" t="n">
        <f aca="false">cx_awso*Sens!$K$7613</f>
        <v>42.287516217916</v>
      </c>
      <c r="L7702" s="38" t="n">
        <f aca="false">cx_awso*Sens!$L$7613</f>
        <v>45.6705175153492</v>
      </c>
      <c r="M7702" s="38" t="n">
        <f aca="false">cx_awso*Sens!$M$7613</f>
        <v>49.3241589165772</v>
      </c>
    </row>
    <row r="7703" customFormat="false" ht="17.15" hidden="false" customHeight="false" outlineLevel="0" collapsed="false">
      <c r="A7703" s="5" t="s">
        <v>784</v>
      </c>
      <c r="B7703" s="0" t="s">
        <v>86</v>
      </c>
      <c r="C7703" s="38" t="n">
        <f aca="false">Q!$D$46-Sens!$C$7701-Sens!$C$7702</f>
        <v>31.3328957636573</v>
      </c>
      <c r="D7703" s="38" t="n">
        <f aca="false">Q!$E$46-Sens!$D$7701-Sens!$D$7702</f>
        <v>34.7471223867276</v>
      </c>
      <c r="E7703" s="38" t="n">
        <f aca="false">Q!$P$46-Sens!$E$7701-Sens!$E$7702</f>
        <v>17.8583499466032</v>
      </c>
      <c r="F7703" s="38" t="n">
        <f aca="false">cx_rt*Sens!$F$7547</f>
        <v>20.6195895799373</v>
      </c>
      <c r="G7703" s="38" t="n">
        <f aca="false">Sens!$E$7703+Sens!$F$7703</f>
        <v>38.4779395265405</v>
      </c>
      <c r="H7703" s="38" t="n">
        <f aca="false">cx_rt*Sens!$H$7547</f>
        <v>42.5978994743075</v>
      </c>
      <c r="I7703" s="38" t="n">
        <f aca="false">cx_rt*Sens!$I$7547</f>
        <v>46.5813904136335</v>
      </c>
      <c r="J7703" s="38" t="n">
        <f aca="false">cx_rt*Sens!$J$7547</f>
        <v>50.2781676586844</v>
      </c>
      <c r="K7703" s="38" t="n">
        <f aca="false">cx_rt*Sens!$K$7547</f>
        <v>53.5312440191755</v>
      </c>
      <c r="L7703" s="38" t="n">
        <f aca="false">cx_rt*Sens!$L$7547</f>
        <v>57.0116717051447</v>
      </c>
      <c r="M7703" s="38" t="n">
        <f aca="false">cx_rt*Sens!$M$7547</f>
        <v>60.7365554669226</v>
      </c>
    </row>
    <row r="7704" customFormat="false" ht="15" hidden="false" customHeight="false" outlineLevel="0" collapsed="false">
      <c r="A7704" s="3" t="s">
        <v>785</v>
      </c>
      <c r="B7704" s="8" t="s">
        <v>86</v>
      </c>
      <c r="C7704" s="38" t="n">
        <f aca="false">Q!$D$46</f>
        <v>77.658</v>
      </c>
      <c r="D7704" s="38" t="n">
        <f aca="false">Q!$E$46</f>
        <v>128.32</v>
      </c>
      <c r="E7704" s="38" t="n">
        <f aca="false">Q!$P$46</f>
        <v>96.31</v>
      </c>
      <c r="F7704" s="38" t="n">
        <f aca="false">Sens!$F$7701+Sens!$F$7702+Sens!$F$7703</f>
        <v>131.221579528287</v>
      </c>
      <c r="G7704" s="38" t="n">
        <f aca="false">Sens!$E$7704+Sens!$F$7704</f>
        <v>227.531579528287</v>
      </c>
      <c r="H7704" s="38" t="n">
        <f aca="false">Sens!$H$7701+Sens!$H$7702+Sens!$H$7703</f>
        <v>273.372679834898</v>
      </c>
      <c r="I7704" s="38" t="n">
        <f aca="false">Sens!$I$7701+Sens!$I$7702+Sens!$I$7703</f>
        <v>286.981812228425</v>
      </c>
      <c r="J7704" s="38" t="n">
        <f aca="false">Sens!$J$7701+Sens!$J$7702+Sens!$J$7703</f>
        <v>299.316513378366</v>
      </c>
      <c r="K7704" s="38" t="n">
        <f aca="false">Sens!$K$7701+Sens!$K$7702+Sens!$K$7703</f>
        <v>251.057145512292</v>
      </c>
      <c r="L7704" s="38" t="n">
        <f aca="false">Sens!$L$7701+Sens!$L$7702+Sens!$L$7703</f>
        <v>234.696330860396</v>
      </c>
      <c r="M7704" s="38" t="n">
        <f aca="false">Sens!$M$7701+Sens!$M$7702+Sens!$M$7703</f>
        <v>242.291696043352</v>
      </c>
    </row>
    <row r="7705" customFormat="false" ht="17.15" hidden="false" customHeight="false" outlineLevel="0" collapsed="false">
      <c r="A7705" s="5" t="s">
        <v>560</v>
      </c>
      <c r="B7705" s="0" t="s">
        <v>86</v>
      </c>
      <c r="C7705" s="38" t="n">
        <f aca="false">Q!$D$50</f>
        <v>2.043</v>
      </c>
      <c r="D7705" s="38" t="n">
        <f aca="false">Q!$E$50</f>
        <v>1.557</v>
      </c>
      <c r="E7705" s="38" t="n">
        <f aca="false">lease_pr/2</f>
        <v>0.8</v>
      </c>
      <c r="F7705" s="38" t="n">
        <f aca="false">lease_pr/2</f>
        <v>0.8</v>
      </c>
      <c r="G7705" s="38" t="n">
        <f aca="false">Sens!$E$7705+Sens!$F$7705</f>
        <v>1.6</v>
      </c>
      <c r="H7705" s="38" t="n">
        <f aca="false">lease_pr</f>
        <v>1.6</v>
      </c>
      <c r="I7705" s="38" t="n">
        <f aca="false">lease_pr</f>
        <v>1.6</v>
      </c>
      <c r="J7705" s="38" t="n">
        <f aca="false">lease_pr</f>
        <v>1.6</v>
      </c>
      <c r="K7705" s="38" t="n">
        <f aca="false">lease_pr</f>
        <v>1.6</v>
      </c>
      <c r="L7705" s="38" t="n">
        <f aca="false">lease_pr</f>
        <v>1.6</v>
      </c>
      <c r="M7705" s="38" t="n">
        <f aca="false">lease_pr</f>
        <v>1.6</v>
      </c>
      <c r="P7705" s="8" t="s">
        <v>786</v>
      </c>
    </row>
    <row r="7706" customFormat="false" ht="15" hidden="false" customHeight="false" outlineLevel="0" collapsed="false">
      <c r="A7706" s="47" t="s">
        <v>787</v>
      </c>
      <c r="B7706" s="14" t="s">
        <v>86</v>
      </c>
      <c r="C7706" s="48" t="n">
        <f aca="false">Sens!$C$7700-Sens!$C$7704-Sens!$C$7705</f>
        <v>36.176</v>
      </c>
      <c r="D7706" s="48" t="n">
        <f aca="false">Sens!$D$7700-Sens!$D$7704-Sens!$D$7705</f>
        <v>9.63700000000002</v>
      </c>
      <c r="E7706" s="48" t="n">
        <f aca="false">Sens!$E$7700-Sens!$E$7704-Sens!$E$7705</f>
        <v>-25.691</v>
      </c>
      <c r="F7706" s="48" t="n">
        <f aca="false">Sens!$F$7700-Sens!$F$7704-Sens!$F$7705</f>
        <v>-40.6834130116072</v>
      </c>
      <c r="G7706" s="48" t="n">
        <f aca="false">Sens!$G$7700-Sens!$G$7704-Sens!$G$7705</f>
        <v>-66.3744130116072</v>
      </c>
      <c r="H7706" s="48" t="n">
        <f aca="false">Sens!$H$7700-Sens!$H$7704-Sens!$H$7705</f>
        <v>-53.9928646435014</v>
      </c>
      <c r="I7706" s="48" t="n">
        <f aca="false">Sens!$I$7700-Sens!$I$7704-Sens!$I$7705</f>
        <v>-15.5451348078424</v>
      </c>
      <c r="J7706" s="48" t="n">
        <f aca="false">Sens!$J$7700-Sens!$J$7704-Sens!$J$7705</f>
        <v>24.754490675283</v>
      </c>
      <c r="K7706" s="48" t="n">
        <f aca="false">Sens!$K$7700-Sens!$K$7704-Sens!$K$7705</f>
        <v>121.351913203336</v>
      </c>
      <c r="L7706" s="48" t="n">
        <f aca="false">Sens!$L$7700-Sens!$L$7704-Sens!$L$7705</f>
        <v>179.827806639524</v>
      </c>
      <c r="M7706" s="48" t="n">
        <f aca="false">Sens!$M$7700-Sens!$M$7704-Sens!$M$7705</f>
        <v>208.6661428466</v>
      </c>
      <c r="N7706" s="14"/>
      <c r="O7706" s="14"/>
    </row>
    <row r="7707" customFormat="false" ht="17.15" hidden="false" customHeight="false" outlineLevel="0" collapsed="false">
      <c r="A7707" s="5" t="s">
        <v>788</v>
      </c>
      <c r="B7707" s="0" t="s">
        <v>86</v>
      </c>
      <c r="C7707" s="38" t="n">
        <f aca="false">dps*Sens!$C$7686</f>
        <v>0</v>
      </c>
      <c r="D7707" s="38" t="n">
        <f aca="false">dps*Sens!$D$7686</f>
        <v>0</v>
      </c>
      <c r="E7707" s="38" t="n">
        <f aca="false">dps*Sens!$E$7686</f>
        <v>0</v>
      </c>
      <c r="F7707" s="38" t="n">
        <f aca="false">0</f>
        <v>0</v>
      </c>
      <c r="G7707" s="38" t="n">
        <f aca="false">dps*Sens!$G$7686</f>
        <v>0</v>
      </c>
      <c r="H7707" s="38" t="n">
        <f aca="false">dps*Sens!$H$7686</f>
        <v>0</v>
      </c>
      <c r="I7707" s="38" t="n">
        <f aca="false">dps*Sens!$I$7686</f>
        <v>0</v>
      </c>
      <c r="J7707" s="38" t="n">
        <f aca="false">dps*Sens!$J$7686</f>
        <v>0</v>
      </c>
      <c r="K7707" s="38" t="n">
        <f aca="false">dps*Sens!$K$7686</f>
        <v>0</v>
      </c>
      <c r="L7707" s="38" t="n">
        <f aca="false">dps*Sens!$L$7686</f>
        <v>0</v>
      </c>
      <c r="M7707" s="38" t="n">
        <f aca="false">dps*Sens!$M$7686</f>
        <v>0</v>
      </c>
      <c r="P7707" s="8" t="s">
        <v>789</v>
      </c>
    </row>
    <row r="7708" customFormat="false" ht="17.15" hidden="false" customHeight="false" outlineLevel="0" collapsed="false">
      <c r="A7708" s="5" t="s">
        <v>790</v>
      </c>
      <c r="B7708" s="0" t="s">
        <v>86</v>
      </c>
      <c r="C7708" s="38" t="n">
        <f aca="false">0</f>
        <v>0</v>
      </c>
      <c r="D7708" s="38" t="n">
        <f aca="false">0</f>
        <v>0</v>
      </c>
      <c r="E7708" s="38" t="n">
        <f aca="false">0</f>
        <v>0</v>
      </c>
      <c r="F7708" s="38" t="n">
        <f aca="false">0</f>
        <v>0</v>
      </c>
      <c r="G7708" s="38" t="n">
        <f aca="false">0</f>
        <v>0</v>
      </c>
      <c r="H7708" s="38" t="n">
        <f aca="false">0</f>
        <v>0</v>
      </c>
      <c r="I7708" s="38" t="n">
        <f aca="false">0</f>
        <v>0</v>
      </c>
      <c r="J7708" s="38" t="n">
        <f aca="false">0</f>
        <v>0</v>
      </c>
      <c r="K7708" s="38" t="n">
        <f aca="false">0</f>
        <v>0</v>
      </c>
      <c r="L7708" s="38" t="n">
        <f aca="false">0</f>
        <v>0</v>
      </c>
      <c r="M7708" s="38" t="n">
        <f aca="false">0</f>
        <v>0</v>
      </c>
      <c r="P7708" s="8" t="s">
        <v>791</v>
      </c>
    </row>
    <row r="7709" customFormat="false" ht="15" hidden="false" customHeight="false" outlineLevel="0" collapsed="false">
      <c r="A7709" s="3" t="s">
        <v>792</v>
      </c>
      <c r="B7709" s="8" t="s">
        <v>86</v>
      </c>
      <c r="C7709" s="38" t="n">
        <f aca="false">Sens!$C$7706-Sens!$C$7707</f>
        <v>36.176</v>
      </c>
      <c r="D7709" s="38" t="n">
        <f aca="false">Sens!$D$7706-Sens!$D$7707</f>
        <v>9.63700000000002</v>
      </c>
      <c r="E7709" s="38" t="n">
        <f aca="false">Sens!$E$7706-Sens!$E$7707</f>
        <v>-25.691</v>
      </c>
      <c r="F7709" s="38" t="n">
        <f aca="false">Sens!$F$7706-Sens!$F$7707</f>
        <v>-40.6834130116072</v>
      </c>
      <c r="G7709" s="38" t="n">
        <f aca="false">Sens!$G$7706-Sens!$G$7707</f>
        <v>-66.3744130116072</v>
      </c>
      <c r="H7709" s="38" t="n">
        <f aca="false">Sens!$H$7706-Sens!$H$7707</f>
        <v>-53.9928646435014</v>
      </c>
      <c r="I7709" s="38" t="n">
        <f aca="false">Sens!$I$7706-Sens!$I$7707</f>
        <v>-15.5451348078424</v>
      </c>
      <c r="J7709" s="38" t="n">
        <f aca="false">Sens!$J$7706-Sens!$J$7707</f>
        <v>24.754490675283</v>
      </c>
      <c r="K7709" s="38" t="n">
        <f aca="false">Sens!$K$7706-Sens!$K$7707</f>
        <v>121.351913203336</v>
      </c>
      <c r="L7709" s="38" t="n">
        <f aca="false">Sens!$L$7706-Sens!$L$7707</f>
        <v>179.827806639524</v>
      </c>
      <c r="M7709" s="38" t="n">
        <f aca="false">Sens!$M$7706-Sens!$M$7707</f>
        <v>208.6661428466</v>
      </c>
    </row>
    <row r="7710" customFormat="false" ht="17.15" hidden="false" customHeight="false" outlineLevel="0" collapsed="false">
      <c r="A7710" s="5" t="s">
        <v>793</v>
      </c>
      <c r="B7710" s="0" t="s">
        <v>86</v>
      </c>
      <c r="E7710" s="38" t="n">
        <f aca="false">Q!$P$53</f>
        <v>39.767</v>
      </c>
      <c r="F7710" s="38" t="n">
        <f aca="false">inv_2h26</f>
        <v>21.3</v>
      </c>
      <c r="G7710" s="38" t="n">
        <f aca="false">Sens!$E$7710+Sens!$F$7710</f>
        <v>61.067</v>
      </c>
      <c r="H7710" s="39" t="n">
        <v>0</v>
      </c>
      <c r="I7710" s="39" t="n">
        <v>0</v>
      </c>
      <c r="J7710" s="39" t="n">
        <v>0</v>
      </c>
      <c r="K7710" s="39" t="n">
        <v>0</v>
      </c>
      <c r="L7710" s="39" t="n">
        <v>0</v>
      </c>
      <c r="M7710" s="39" t="n">
        <v>0</v>
      </c>
    </row>
    <row r="7711" customFormat="false" ht="17.15" hidden="false" customHeight="false" outlineLevel="0" collapsed="false">
      <c r="A7711" s="5" t="s">
        <v>794</v>
      </c>
      <c r="B7711" s="0" t="s">
        <v>86</v>
      </c>
      <c r="F7711" s="38" t="n">
        <f aca="false">iss_2h26</f>
        <v>29.249999</v>
      </c>
      <c r="G7711" s="38" t="n">
        <f aca="false">Sens!$F$7711</f>
        <v>29.249999</v>
      </c>
      <c r="H7711" s="39" t="n">
        <v>0</v>
      </c>
      <c r="I7711" s="39" t="n">
        <v>0</v>
      </c>
      <c r="J7711" s="39" t="n">
        <v>0</v>
      </c>
      <c r="K7711" s="39" t="n">
        <v>0</v>
      </c>
      <c r="L7711" s="39" t="n">
        <v>0</v>
      </c>
      <c r="M7711" s="39" t="n">
        <v>0</v>
      </c>
    </row>
    <row r="7712" customFormat="false" ht="17.15" hidden="false" customHeight="false" outlineLevel="0" collapsed="false">
      <c r="A7712" s="5" t="s">
        <v>795</v>
      </c>
      <c r="B7712" s="0" t="s">
        <v>86</v>
      </c>
      <c r="F7712" s="38" t="n">
        <f aca="false">cash_q2</f>
        <v>122.988</v>
      </c>
      <c r="G7712" s="38" t="n">
        <f aca="false">cash_q2</f>
        <v>122.988</v>
      </c>
      <c r="H7712" s="38" t="n">
        <f aca="false">Sens!$G$7715</f>
        <v>90.2545859883928</v>
      </c>
      <c r="I7712" s="38" t="n">
        <f aca="false">Sens!$H$7715</f>
        <v>50</v>
      </c>
      <c r="J7712" s="38" t="n">
        <f aca="false">Sens!$I$7715</f>
        <v>50</v>
      </c>
      <c r="K7712" s="38" t="n">
        <f aca="false">Sens!$J$7715</f>
        <v>74.7544906752831</v>
      </c>
      <c r="L7712" s="38" t="n">
        <f aca="false">Sens!$K$7715</f>
        <v>196.106403878619</v>
      </c>
      <c r="M7712" s="38" t="n">
        <f aca="false">Sens!$L$7715</f>
        <v>375.934210518143</v>
      </c>
    </row>
    <row r="7713" customFormat="false" ht="15" hidden="false" customHeight="false" outlineLevel="0" collapsed="false">
      <c r="A7713" s="5" t="s">
        <v>796</v>
      </c>
      <c r="B7713" s="0" t="s">
        <v>86</v>
      </c>
      <c r="F7713" s="38" t="n">
        <f aca="false">Sens!$F$7712+Sens!$F$7709-Sens!$F$7708-Sens!$F$7710+Sens!$F$7711</f>
        <v>90.2545859883928</v>
      </c>
      <c r="H7713" s="38" t="n">
        <f aca="false">Sens!$H$7712+Sens!$H$7709-Sens!$H$7708-Sens!$H$7710+Sens!$H$7711</f>
        <v>36.2617213448915</v>
      </c>
      <c r="I7713" s="38" t="n">
        <f aca="false">Sens!$I$7712+Sens!$I$7709-Sens!$I$7708-Sens!$I$7710+Sens!$I$7711</f>
        <v>34.4548651921577</v>
      </c>
      <c r="J7713" s="38" t="n">
        <f aca="false">Sens!$J$7712+Sens!$J$7709-Sens!$J$7708-Sens!$J$7710+Sens!$J$7711</f>
        <v>74.7544906752831</v>
      </c>
      <c r="K7713" s="38" t="n">
        <f aca="false">Sens!$K$7712+Sens!$K$7709-Sens!$K$7708-Sens!$K$7710+Sens!$K$7711</f>
        <v>196.106403878619</v>
      </c>
      <c r="L7713" s="38" t="n">
        <f aca="false">Sens!$L$7712+Sens!$L$7709-Sens!$L$7708-Sens!$L$7710+Sens!$L$7711</f>
        <v>375.934210518143</v>
      </c>
      <c r="M7713" s="38" t="n">
        <f aca="false">Sens!$M$7712+Sens!$M$7709-Sens!$M$7708-Sens!$M$7710+Sens!$M$7711</f>
        <v>584.600353364743</v>
      </c>
    </row>
    <row r="7714" customFormat="false" ht="17.15" hidden="false" customHeight="false" outlineLevel="0" collapsed="false">
      <c r="A7714" s="5" t="s">
        <v>797</v>
      </c>
      <c r="B7714" s="0" t="s">
        <v>86</v>
      </c>
      <c r="F7714" s="38" t="n">
        <f aca="false">MAX(0,min_cash-Sens!$F$7713)</f>
        <v>0</v>
      </c>
      <c r="G7714" s="38" t="n">
        <f aca="false">Sens!$F$7714</f>
        <v>0</v>
      </c>
      <c r="H7714" s="38" t="n">
        <f aca="false">MAX(0,min_cash-Sens!$H$7713)</f>
        <v>13.7382786551085</v>
      </c>
      <c r="I7714" s="38" t="n">
        <f aca="false">MAX(0,min_cash-Sens!$I$7713)</f>
        <v>15.5451348078424</v>
      </c>
      <c r="J7714" s="38" t="n">
        <f aca="false">MAX(0,min_cash-Sens!$J$7713)</f>
        <v>0</v>
      </c>
      <c r="K7714" s="38" t="n">
        <f aca="false">MAX(0,min_cash-Sens!$K$7713)</f>
        <v>0</v>
      </c>
      <c r="L7714" s="38" t="n">
        <f aca="false">MAX(0,min_cash-Sens!$L$7713)</f>
        <v>0</v>
      </c>
      <c r="M7714" s="38" t="n">
        <f aca="false">MAX(0,min_cash-Sens!$M$7713)</f>
        <v>0</v>
      </c>
      <c r="P7714" s="5" t="s">
        <v>798</v>
      </c>
    </row>
    <row r="7715" customFormat="false" ht="15" hidden="false" customHeight="false" outlineLevel="0" collapsed="false">
      <c r="A7715" s="5" t="s">
        <v>799</v>
      </c>
      <c r="B7715" s="0" t="s">
        <v>86</v>
      </c>
      <c r="D7715" s="38" t="n">
        <f aca="false">Q!$E$61</f>
        <v>123.029</v>
      </c>
      <c r="E7715" s="38" t="n">
        <f aca="false">Q!$M$61</f>
        <v>122.988</v>
      </c>
      <c r="F7715" s="38" t="n">
        <f aca="false">Sens!$F$7713+Sens!$F$7714</f>
        <v>90.2545859883928</v>
      </c>
      <c r="G7715" s="38" t="n">
        <f aca="false">Sens!$F$7715</f>
        <v>90.2545859883928</v>
      </c>
      <c r="H7715" s="38" t="n">
        <f aca="false">Sens!$H$7713+Sens!$H$7714</f>
        <v>50</v>
      </c>
      <c r="I7715" s="38" t="n">
        <f aca="false">Sens!$I$7713+Sens!$I$7714</f>
        <v>50</v>
      </c>
      <c r="J7715" s="38" t="n">
        <f aca="false">Sens!$J$7713+Sens!$J$7714</f>
        <v>74.7544906752831</v>
      </c>
      <c r="K7715" s="38" t="n">
        <f aca="false">Sens!$K$7713+Sens!$K$7714</f>
        <v>196.106403878619</v>
      </c>
      <c r="L7715" s="38" t="n">
        <f aca="false">Sens!$L$7713+Sens!$L$7714</f>
        <v>375.934210518143</v>
      </c>
      <c r="M7715" s="38" t="n">
        <f aca="false">Sens!$M$7713+Sens!$M$7714</f>
        <v>584.600353364743</v>
      </c>
    </row>
    <row r="7716" customFormat="false" ht="15" hidden="false" customHeight="false" outlineLevel="0" collapsed="false">
      <c r="A7716" s="5" t="s">
        <v>800</v>
      </c>
      <c r="B7716" s="0" t="s">
        <v>86</v>
      </c>
      <c r="D7716" s="38" t="n">
        <f aca="false">Q!$E$62</f>
        <v>68.836</v>
      </c>
      <c r="E7716" s="38" t="n">
        <f aca="false">Q!$M$62</f>
        <v>132.995</v>
      </c>
      <c r="F7716" s="38" t="n">
        <f aca="false">debt_q2+Sens!$F$7711+Sens!$F$7714</f>
        <v>162.244999</v>
      </c>
      <c r="G7716" s="38" t="n">
        <f aca="false">Sens!$F$7716</f>
        <v>162.244999</v>
      </c>
      <c r="H7716" s="38" t="n">
        <f aca="false">Sens!$G$7716+Sens!$H$7714</f>
        <v>175.983277655109</v>
      </c>
      <c r="I7716" s="38" t="n">
        <f aca="false">Sens!$H$7716+Sens!$I$7714</f>
        <v>191.528412462951</v>
      </c>
      <c r="J7716" s="38" t="n">
        <f aca="false">Sens!$I$7716+Sens!$J$7714</f>
        <v>191.528412462951</v>
      </c>
      <c r="K7716" s="38" t="n">
        <f aca="false">Sens!$J$7716+Sens!$K$7714</f>
        <v>191.528412462951</v>
      </c>
      <c r="L7716" s="38" t="n">
        <f aca="false">Sens!$K$7716+Sens!$L$7714</f>
        <v>191.528412462951</v>
      </c>
      <c r="M7716" s="38" t="n">
        <f aca="false">Sens!$L$7716+Sens!$M$7714</f>
        <v>191.528412462951</v>
      </c>
    </row>
    <row r="7717" customFormat="false" ht="15" hidden="false" customHeight="false" outlineLevel="0" collapsed="false">
      <c r="A7717" s="5" t="s">
        <v>801</v>
      </c>
      <c r="B7717" s="0" t="s">
        <v>86</v>
      </c>
      <c r="D7717" s="38" t="n">
        <f aca="false">Sens!$D$7716-Sens!$D$7715</f>
        <v>-54.193</v>
      </c>
      <c r="E7717" s="38" t="n">
        <f aca="false">Sens!$E$7716-Sens!$E$7715</f>
        <v>10.007</v>
      </c>
      <c r="F7717" s="38" t="n">
        <f aca="false">Sens!$F$7716-Sens!$F$7715</f>
        <v>71.9904130116072</v>
      </c>
      <c r="G7717" s="38" t="n">
        <f aca="false">Sens!$G$7716-Sens!$G$7715</f>
        <v>71.9904130116072</v>
      </c>
      <c r="H7717" s="38" t="n">
        <f aca="false">Sens!$H$7716-Sens!$H$7715</f>
        <v>125.983277655109</v>
      </c>
      <c r="I7717" s="38" t="n">
        <f aca="false">Sens!$I$7716-Sens!$I$7715</f>
        <v>141.528412462951</v>
      </c>
      <c r="J7717" s="38" t="n">
        <f aca="false">Sens!$J$7716-Sens!$J$7715</f>
        <v>116.773921787668</v>
      </c>
      <c r="K7717" s="38" t="n">
        <f aca="false">Sens!$K$7716-Sens!$K$7715</f>
        <v>-4.57799141566841</v>
      </c>
      <c r="L7717" s="38" t="n">
        <f aca="false">Sens!$L$7716-Sens!$L$7715</f>
        <v>-184.405798055192</v>
      </c>
      <c r="M7717" s="38" t="n">
        <f aca="false">Sens!$M$7716-Sens!$M$7715</f>
        <v>-393.071940901792</v>
      </c>
    </row>
    <row r="7718" customFormat="false" ht="17.15" hidden="false" customHeight="false" outlineLevel="0" collapsed="false">
      <c r="A7718" s="5" t="s">
        <v>802</v>
      </c>
      <c r="B7718" s="0" t="s">
        <v>86</v>
      </c>
      <c r="F7718" s="38" t="n">
        <f aca="false">debt_q2*kd_book*0.5+iss_2h26*kd_new*iss_t</f>
        <v>3.24888962733561</v>
      </c>
      <c r="H7718" s="38" t="n">
        <f aca="false">debt_q2*kd_book+(Sens!$G$7716-debt_q2)*kd_new</f>
        <v>7.42354172302123</v>
      </c>
      <c r="I7718" s="38" t="n">
        <f aca="false">debt_q2*kd_book+(Sens!$H$7716-debt_q2)*kd_new</f>
        <v>8.2931747618896</v>
      </c>
      <c r="J7718" s="38" t="n">
        <f aca="false">debt_q2*kd_book+(Sens!$I$7716-debt_q2)*kd_new</f>
        <v>9.27718179522602</v>
      </c>
      <c r="K7718" s="38" t="n">
        <f aca="false">debt_q2*kd_book+(Sens!$J$7716-debt_q2)*kd_new</f>
        <v>9.27718179522602</v>
      </c>
      <c r="L7718" s="38" t="n">
        <f aca="false">debt_q2*kd_book+(Sens!$K$7716-debt_q2)*kd_new</f>
        <v>9.27718179522602</v>
      </c>
      <c r="M7718" s="38" t="n">
        <f aca="false">debt_q2*kd_book+(Sens!$L$7716-debt_q2)*kd_new</f>
        <v>9.27718179522602</v>
      </c>
    </row>
    <row r="7719" customFormat="false" ht="17.15" hidden="false" customHeight="false" outlineLevel="0" collapsed="false">
      <c r="A7719" s="5" t="s">
        <v>803</v>
      </c>
      <c r="B7719" s="0" t="s">
        <v>86</v>
      </c>
      <c r="F7719" s="38" t="n">
        <f aca="false">cash_q2*y_cash*0.5</f>
        <v>2.59</v>
      </c>
      <c r="H7719" s="38" t="n">
        <f aca="false">Sens!$G$7715*y_cash</f>
        <v>3.80133635330174</v>
      </c>
      <c r="I7719" s="38" t="n">
        <f aca="false">Sens!$H$7715*y_cash</f>
        <v>2.10589651022864</v>
      </c>
      <c r="J7719" s="38" t="n">
        <f aca="false">Sens!$I$7715*y_cash</f>
        <v>2.10589651022864</v>
      </c>
      <c r="K7719" s="38" t="n">
        <f aca="false">Sens!$J$7715*y_cash</f>
        <v>3.14850442073996</v>
      </c>
      <c r="L7719" s="38" t="n">
        <f aca="false">Sens!$K$7715*y_cash</f>
        <v>8.25959583122945</v>
      </c>
      <c r="M7719" s="38" t="n">
        <f aca="false">Sens!$L$7715*y_cash</f>
        <v>15.8335708401143</v>
      </c>
    </row>
    <row r="7720" customFormat="false" ht="17.15" hidden="false" customHeight="false" outlineLevel="0" collapsed="false">
      <c r="A7720" s="47" t="s">
        <v>804</v>
      </c>
      <c r="B7720" s="14" t="s">
        <v>86</v>
      </c>
      <c r="C7720" s="14"/>
      <c r="D7720" s="14"/>
      <c r="E7720" s="14"/>
      <c r="F7720" s="14"/>
      <c r="G7720" s="48" t="n">
        <f aca="false">SUM(Sens!$G$7709:$K$7709)</f>
        <v>10.1939914156684</v>
      </c>
      <c r="H7720" s="14"/>
      <c r="I7720" s="14"/>
      <c r="J7720" s="14"/>
      <c r="K7720" s="14"/>
      <c r="L7720" s="14"/>
      <c r="M7720" s="14"/>
      <c r="N7720" s="14"/>
      <c r="O7720" s="14"/>
    </row>
    <row r="7721" customFormat="false" ht="17.15" hidden="false" customHeight="false" outlineLevel="0" collapsed="false">
      <c r="A7721" s="0" t="s">
        <v>770</v>
      </c>
      <c r="B7721" s="0" t="s">
        <v>86</v>
      </c>
      <c r="G7721" s="38" t="n">
        <f aca="false">SUM(Sens!$G$7714:$K$7714)</f>
        <v>29.2834134629509</v>
      </c>
    </row>
    <row r="7722" customFormat="false" ht="17.15" hidden="false" customHeight="false" outlineLevel="0" collapsed="false">
      <c r="A7722" s="24" t="s">
        <v>807</v>
      </c>
      <c r="B7722" s="25" t="s">
        <v>86</v>
      </c>
      <c r="C7722" s="25"/>
      <c r="D7722" s="25"/>
      <c r="E7722" s="25"/>
      <c r="F7722" s="25"/>
      <c r="G7722" s="41" t="n">
        <f aca="false">Sens!$G$7720-(Sens!$G$7709+Sens!$H$7709+Sens!$I$7709+Sens!$J$7709+Sens!$K$7709)</f>
        <v>0</v>
      </c>
      <c r="H7722" s="25"/>
      <c r="I7722" s="25"/>
      <c r="J7722" s="25"/>
      <c r="K7722" s="25"/>
      <c r="L7722" s="25"/>
      <c r="M7722" s="25"/>
      <c r="N7722" s="25"/>
      <c r="O7722" s="25"/>
    </row>
    <row r="7725" customFormat="false" ht="19.4" hidden="false" customHeight="false" outlineLevel="0" collapsed="false">
      <c r="A7725" s="31" t="s">
        <v>1286</v>
      </c>
    </row>
    <row r="7726" customFormat="false" ht="17.15" hidden="false" customHeight="false" outlineLevel="0" collapsed="false">
      <c r="A7726" s="6" t="s">
        <v>16</v>
      </c>
      <c r="B7726" s="6" t="s">
        <v>17</v>
      </c>
      <c r="C7726" s="20" t="s">
        <v>494</v>
      </c>
      <c r="D7726" s="20" t="s">
        <v>495</v>
      </c>
      <c r="E7726" s="20" t="s">
        <v>577</v>
      </c>
      <c r="F7726" s="20" t="s">
        <v>578</v>
      </c>
      <c r="G7726" s="20" t="s">
        <v>579</v>
      </c>
      <c r="H7726" s="20" t="s">
        <v>580</v>
      </c>
      <c r="I7726" s="20" t="s">
        <v>581</v>
      </c>
      <c r="J7726" s="20" t="s">
        <v>582</v>
      </c>
      <c r="K7726" s="20" t="s">
        <v>583</v>
      </c>
      <c r="L7726" s="20" t="s">
        <v>584</v>
      </c>
      <c r="M7726" s="20" t="s">
        <v>585</v>
      </c>
      <c r="N7726" s="20" t="s">
        <v>586</v>
      </c>
      <c r="O7726" s="20" t="s">
        <v>587</v>
      </c>
      <c r="P7726" s="6" t="s">
        <v>23</v>
      </c>
      <c r="R7726" s="20" t="n">
        <v>2023</v>
      </c>
      <c r="S7726" s="20" t="n">
        <v>2024</v>
      </c>
      <c r="T7726" s="20" t="n">
        <v>2025</v>
      </c>
      <c r="U7726" s="20" t="n">
        <v>2026</v>
      </c>
      <c r="V7726" s="20" t="n">
        <v>2027</v>
      </c>
      <c r="W7726" s="20" t="n">
        <v>2028</v>
      </c>
      <c r="X7726" s="20" t="n">
        <v>2029</v>
      </c>
      <c r="Y7726" s="20" t="n">
        <v>2030</v>
      </c>
      <c r="Z7726" s="20" t="n">
        <v>2031</v>
      </c>
      <c r="AA7726" s="20" t="n">
        <v>2032</v>
      </c>
    </row>
    <row r="7727" customFormat="false" ht="17.15" hidden="false" customHeight="false" outlineLevel="0" collapsed="false">
      <c r="A7727" s="1" t="s">
        <v>909</v>
      </c>
    </row>
    <row r="7728" customFormat="false" ht="17.15" hidden="false" customHeight="false" outlineLevel="0" collapsed="false">
      <c r="A7728" s="0" t="s">
        <v>910</v>
      </c>
      <c r="B7728" s="0" t="s">
        <v>86</v>
      </c>
      <c r="H7728" s="38" t="n">
        <f aca="false">Sens!$H$7662*(1-tax)</f>
        <v>117.433243423729</v>
      </c>
      <c r="I7728" s="38" t="n">
        <f aca="false">Sens!$I$7662*(1-tax)</f>
        <v>142.829109667048</v>
      </c>
      <c r="J7728" s="38" t="n">
        <f aca="false">Sens!$J$7662*(1-tax)</f>
        <v>166.999275189185</v>
      </c>
      <c r="K7728" s="38" t="n">
        <f aca="false">Sens!$K$7662*(1-tax)</f>
        <v>184.249088119477</v>
      </c>
      <c r="L7728" s="38" t="n">
        <f aca="false">Sens!$L$7662*(1-tax)</f>
        <v>199.752821326616</v>
      </c>
      <c r="M7728" s="38" t="n">
        <f aca="false">Sens!$M$7662*(1-tax)</f>
        <v>212.59629763103</v>
      </c>
    </row>
    <row r="7729" customFormat="false" ht="15" hidden="false" customHeight="false" outlineLevel="0" collapsed="false">
      <c r="A7729" s="5" t="s">
        <v>911</v>
      </c>
      <c r="B7729" s="0" t="s">
        <v>86</v>
      </c>
      <c r="H7729" s="38" t="n">
        <f aca="false">Sens!$H$7673</f>
        <v>84.3163410985152</v>
      </c>
      <c r="I7729" s="38" t="n">
        <f aca="false">Sens!$I$7673</f>
        <v>117.040344991004</v>
      </c>
      <c r="J7729" s="38" t="n">
        <f aca="false">Sens!$J$7673</f>
        <v>150.498981474685</v>
      </c>
      <c r="K7729" s="38" t="n">
        <f aca="false">Sens!$K$7673</f>
        <v>184.188121970284</v>
      </c>
      <c r="L7729" s="38" t="n">
        <f aca="false">Sens!$L$7673</f>
        <v>207.768718060808</v>
      </c>
      <c r="M7729" s="38" t="n">
        <f aca="false">Sens!$M$7673</f>
        <v>224.003934647752</v>
      </c>
    </row>
    <row r="7730" customFormat="false" ht="15" hidden="false" customHeight="false" outlineLevel="0" collapsed="false">
      <c r="A7730" s="5" t="s">
        <v>912</v>
      </c>
      <c r="B7730" s="0" t="s">
        <v>86</v>
      </c>
      <c r="H7730" s="38" t="n">
        <f aca="false">Sens!$H$7704</f>
        <v>273.372679834898</v>
      </c>
      <c r="I7730" s="38" t="n">
        <f aca="false">Sens!$I$7704</f>
        <v>286.981812228425</v>
      </c>
      <c r="J7730" s="38" t="n">
        <f aca="false">Sens!$J$7704</f>
        <v>299.316513378366</v>
      </c>
      <c r="K7730" s="38" t="n">
        <f aca="false">Sens!$K$7704</f>
        <v>251.057145512292</v>
      </c>
      <c r="L7730" s="38" t="n">
        <f aca="false">Sens!$L$7704</f>
        <v>234.696330860396</v>
      </c>
      <c r="M7730" s="38" t="n">
        <f aca="false">Sens!$M$7704</f>
        <v>242.291696043352</v>
      </c>
    </row>
    <row r="7731" customFormat="false" ht="15" hidden="false" customHeight="false" outlineLevel="0" collapsed="false">
      <c r="A7731" s="5" t="s">
        <v>913</v>
      </c>
      <c r="B7731" s="0" t="s">
        <v>86</v>
      </c>
      <c r="H7731" s="38" t="n">
        <f aca="false">Sens!$H$7705</f>
        <v>1.6</v>
      </c>
      <c r="I7731" s="38" t="n">
        <f aca="false">Sens!$I$7705</f>
        <v>1.6</v>
      </c>
      <c r="J7731" s="38" t="n">
        <f aca="false">Sens!$J$7705</f>
        <v>1.6</v>
      </c>
      <c r="K7731" s="38" t="n">
        <f aca="false">Sens!$K$7705</f>
        <v>1.6</v>
      </c>
      <c r="L7731" s="38" t="n">
        <f aca="false">Sens!$L$7705</f>
        <v>1.6</v>
      </c>
      <c r="M7731" s="38" t="n">
        <f aca="false">Sens!$M$7705</f>
        <v>1.6</v>
      </c>
    </row>
    <row r="7732" customFormat="false" ht="15" hidden="false" customHeight="false" outlineLevel="0" collapsed="false">
      <c r="A7732" s="5" t="s">
        <v>914</v>
      </c>
      <c r="B7732" s="0" t="s">
        <v>86</v>
      </c>
      <c r="H7732" s="38" t="n">
        <f aca="false">Sens!$H$7699</f>
        <v>11.2928295263397</v>
      </c>
      <c r="I7732" s="38" t="n">
        <f aca="false">Sens!$I$7699</f>
        <v>12.8091546115766</v>
      </c>
      <c r="J7732" s="38" t="n">
        <f aca="false">Sens!$J$7699</f>
        <v>14.2605653162668</v>
      </c>
      <c r="K7732" s="38" t="n">
        <f aca="false">Sens!$K$7699</f>
        <v>15.5327622460396</v>
      </c>
      <c r="L7732" s="38" t="n">
        <f aca="false">Sens!$L$7699</f>
        <v>16.720573737517</v>
      </c>
      <c r="M7732" s="38" t="n">
        <f aca="false">Sens!$M$7699</f>
        <v>17.8283127551536</v>
      </c>
    </row>
    <row r="7733" customFormat="false" ht="17.15" hidden="false" customHeight="false" outlineLevel="0" collapsed="false">
      <c r="A7733" s="1" t="s">
        <v>915</v>
      </c>
      <c r="B7733" s="8" t="s">
        <v>86</v>
      </c>
      <c r="H7733" s="38" t="n">
        <f aca="false">Sens!$H$7728+Sens!$H$7729-Sens!$H$7730-Sens!$H$7731+Sens!$H$7732</f>
        <v>-61.930265786314</v>
      </c>
      <c r="I7733" s="38" t="n">
        <f aca="false">Sens!$I$7728+Sens!$I$7729-Sens!$I$7730-Sens!$I$7731+Sens!$I$7732</f>
        <v>-15.9032029587969</v>
      </c>
      <c r="J7733" s="38" t="n">
        <f aca="false">Sens!$J$7728+Sens!$J$7729-Sens!$J$7730-Sens!$J$7731+Sens!$J$7732</f>
        <v>30.8423086017711</v>
      </c>
      <c r="K7733" s="38" t="n">
        <f aca="false">Sens!$K$7728+Sens!$K$7729-Sens!$K$7730-Sens!$K$7731+Sens!$K$7732</f>
        <v>131.312826823508</v>
      </c>
      <c r="L7733" s="38" t="n">
        <f aca="false">Sens!$L$7728+Sens!$L$7729-Sens!$L$7730-Sens!$L$7731+Sens!$L$7732</f>
        <v>187.945782264545</v>
      </c>
      <c r="M7733" s="38" t="n">
        <f aca="false">Sens!$M$7728+Sens!$M$7729-Sens!$M$7730-Sens!$M$7731+Sens!$M$7732</f>
        <v>210.536848990583</v>
      </c>
    </row>
    <row r="7734" customFormat="false" ht="15" hidden="false" customHeight="false" outlineLevel="0" collapsed="false">
      <c r="A7734" s="5" t="s">
        <v>916</v>
      </c>
      <c r="B7734" s="0" t="s">
        <v>57</v>
      </c>
      <c r="H7734" s="40" t="n">
        <f aca="false">1/(1+wacc)^(2027-2026-0.5)</f>
        <v>0.947751320380232</v>
      </c>
      <c r="I7734" s="40" t="n">
        <f aca="false">1/(1+wacc)^(2028-2026-0.5)</f>
        <v>0.851301099754987</v>
      </c>
      <c r="J7734" s="40" t="n">
        <f aca="false">1/(1+wacc)^(2029-2026-0.5)</f>
        <v>0.764666370660713</v>
      </c>
      <c r="K7734" s="40" t="n">
        <f aca="false">1/(1+wacc)^(2030-2026-0.5)</f>
        <v>0.686848235703811</v>
      </c>
      <c r="L7734" s="40" t="n">
        <f aca="false">1/(1+wacc)^(2031-2026-0.5)</f>
        <v>0.616949452715975</v>
      </c>
      <c r="M7734" s="40" t="n">
        <f aca="false">1/(1+wacc)^(2032-2026-0.5)</f>
        <v>0.554164089562688</v>
      </c>
    </row>
    <row r="7735" customFormat="false" ht="15" hidden="false" customHeight="false" outlineLevel="0" collapsed="false">
      <c r="A7735" s="5" t="s">
        <v>917</v>
      </c>
      <c r="B7735" s="0" t="s">
        <v>86</v>
      </c>
      <c r="H7735" s="38" t="n">
        <f aca="false">Sens!$H$7733*Sens!$H$7734</f>
        <v>-58.6944911704778</v>
      </c>
      <c r="I7735" s="38" t="n">
        <f aca="false">Sens!$I$7733*Sens!$I$7734</f>
        <v>-13.5384141684505</v>
      </c>
      <c r="J7735" s="38" t="n">
        <f aca="false">Sens!$J$7733*Sens!$J$7734</f>
        <v>23.584076181314</v>
      </c>
      <c r="K7735" s="38" t="n">
        <f aca="false">Sens!$K$7733*Sens!$K$7734</f>
        <v>90.1919834290062</v>
      </c>
      <c r="L7735" s="38" t="n">
        <f aca="false">Sens!$L$7733*Sens!$L$7734</f>
        <v>115.953047508387</v>
      </c>
      <c r="M7735" s="38" t="n">
        <f aca="false">Sens!$M$7733*Sens!$M$7734</f>
        <v>116.671961240264</v>
      </c>
    </row>
    <row r="7736" customFormat="false" ht="15" hidden="false" customHeight="false" outlineLevel="0" collapsed="false">
      <c r="A7736" s="5" t="s">
        <v>918</v>
      </c>
      <c r="B7736" s="0" t="s">
        <v>86</v>
      </c>
      <c r="C7736" s="38" t="n">
        <f aca="false">SUM(Sens!$H$7735:$M$7735)</f>
        <v>274.168163020043</v>
      </c>
    </row>
    <row r="7737" customFormat="false" ht="17.15" hidden="false" customHeight="false" outlineLevel="0" collapsed="false">
      <c r="A7737" s="5" t="s">
        <v>919</v>
      </c>
      <c r="B7737" s="0" t="s">
        <v>86</v>
      </c>
      <c r="C7737" s="38" t="n">
        <f aca="false">Sens!$M$7728*(1+tg)*(1-tg/ronic)/(wacc-tg)</f>
        <v>1932.73757828664</v>
      </c>
    </row>
    <row r="7738" customFormat="false" ht="15" hidden="false" customHeight="false" outlineLevel="0" collapsed="false">
      <c r="A7738" s="5" t="s">
        <v>920</v>
      </c>
      <c r="B7738" s="0" t="s">
        <v>86</v>
      </c>
      <c r="C7738" s="38" t="n">
        <f aca="false">Sens!$C$7737/(1+wacc)^6</f>
        <v>1015.09261565031</v>
      </c>
    </row>
    <row r="7739" customFormat="false" ht="17.15" hidden="false" customHeight="false" outlineLevel="0" collapsed="false">
      <c r="A7739" s="5" t="s">
        <v>921</v>
      </c>
      <c r="B7739" s="0" t="s">
        <v>86</v>
      </c>
      <c r="C7739" s="38" t="n">
        <f aca="false">Sens!$C$7736+Sens!$C$7738</f>
        <v>1289.26077867035</v>
      </c>
    </row>
    <row r="7740" customFormat="false" ht="17.15" hidden="false" customHeight="false" outlineLevel="0" collapsed="false">
      <c r="A7740" s="5" t="s">
        <v>922</v>
      </c>
      <c r="B7740" s="0" t="s">
        <v>52</v>
      </c>
      <c r="C7740" s="13" t="n">
        <f aca="false">Sens!$C$7738/Sens!$C$7739</f>
        <v>0.787344680334726</v>
      </c>
    </row>
    <row r="7741" customFormat="false" ht="17.15" hidden="false" customHeight="false" outlineLevel="0" collapsed="false">
      <c r="A7741" s="5" t="s">
        <v>923</v>
      </c>
      <c r="B7741" s="0" t="s">
        <v>86</v>
      </c>
      <c r="C7741" s="38" t="n">
        <f aca="false">Sens!$G$7717+fin_debt</f>
        <v>96.5114130116072</v>
      </c>
    </row>
    <row r="7742" customFormat="false" ht="17.15" hidden="false" customHeight="false" outlineLevel="0" collapsed="false">
      <c r="A7742" s="5" t="s">
        <v>924</v>
      </c>
      <c r="B7742" s="0" t="s">
        <v>86</v>
      </c>
      <c r="C7742" s="38" t="n">
        <f aca="false">(ant_val*ant_sh+oai_val*oai_sh)*(1-liq_disc)</f>
        <v>178.944</v>
      </c>
    </row>
    <row r="7743" customFormat="false" ht="15" hidden="false" customHeight="false" outlineLevel="0" collapsed="false">
      <c r="A7743" s="5" t="s">
        <v>925</v>
      </c>
      <c r="B7743" s="0" t="s">
        <v>86</v>
      </c>
      <c r="C7743" s="38" t="n">
        <f aca="false">Sens!$C$7739-Sens!$C$7741+Sens!$C$7742</f>
        <v>1371.69336565874</v>
      </c>
    </row>
    <row r="7744" customFormat="false" ht="17.15" hidden="false" customHeight="false" outlineLevel="0" collapsed="false">
      <c r="A7744" s="5" t="s">
        <v>926</v>
      </c>
      <c r="B7744" s="0" t="s">
        <v>27</v>
      </c>
      <c r="C7744" s="30" t="n">
        <f aca="false">Sens!$C$7743/sh_out</f>
        <v>127.169797361614</v>
      </c>
    </row>
    <row r="7745" customFormat="false" ht="17.15" hidden="false" customHeight="false" outlineLevel="0" collapsed="false">
      <c r="A7745" s="1" t="s">
        <v>927</v>
      </c>
      <c r="B7745" s="8" t="s">
        <v>27</v>
      </c>
      <c r="C7745" s="30" t="n">
        <f aca="false">Sens!$C$7744*(1+ke)^tp_yf-dps*tp_yf</f>
        <v>139.297834242404</v>
      </c>
    </row>
    <row r="7746" customFormat="false" ht="17.15" hidden="false" customHeight="false" outlineLevel="0" collapsed="false">
      <c r="A7746" s="3" t="s">
        <v>928</v>
      </c>
    </row>
    <row r="7747" customFormat="false" ht="17.15" hidden="false" customHeight="false" outlineLevel="0" collapsed="false">
      <c r="A7747" s="5" t="s">
        <v>929</v>
      </c>
      <c r="B7747" s="0" t="s">
        <v>86</v>
      </c>
      <c r="C7747" s="38" t="n">
        <f aca="false">(1-tp_yf)*(Sens!$H$7674+Sens!$H$7698*Sens!$H$7540/Sens!$H$7615)+tp_yf*(Sens!$I$7674+Sens!$I$7698*Sens!$I$7540/Sens!$I$7615)</f>
        <v>59.634664536349</v>
      </c>
    </row>
    <row r="7748" customFormat="false" ht="15" hidden="false" customHeight="false" outlineLevel="0" collapsed="false">
      <c r="A7748" s="5" t="s">
        <v>930</v>
      </c>
      <c r="B7748" s="0" t="s">
        <v>57</v>
      </c>
      <c r="C7748" s="30" t="n">
        <f aca="false">m_ads*m_x</f>
        <v>9.11</v>
      </c>
    </row>
    <row r="7749" customFormat="false" ht="17.15" hidden="false" customHeight="false" outlineLevel="0" collapsed="false">
      <c r="A7749" s="5" t="s">
        <v>931</v>
      </c>
      <c r="B7749" s="0" t="s">
        <v>86</v>
      </c>
      <c r="C7749" s="38" t="n">
        <f aca="false">Sens!$C$7747*Sens!$C$7748</f>
        <v>543.271793926139</v>
      </c>
    </row>
    <row r="7750" customFormat="false" ht="17.15" hidden="false" customHeight="false" outlineLevel="0" collapsed="false">
      <c r="A7750" s="5" t="s">
        <v>932</v>
      </c>
      <c r="B7750" s="0" t="s">
        <v>86</v>
      </c>
      <c r="C7750" s="38" t="n">
        <f aca="false">(1-tp_yf)*(Sens!$H$7675+Sens!$H$7698*(Sens!$H$7547-Sens!$H$7540)/Sens!$H$7615+IF(internal_ai_reading=2,1,0)*(1-ext_sh)*Sens!$H$7577)+tp_yf*(Sens!$I$7675+Sens!$I$7698*(Sens!$I$7547-Sens!$I$7540)/Sens!$I$7615+IF(internal_ai_reading=2,1,0)*(1-ext_sh)*Sens!$I$7577)</f>
        <v>51.7770728324773</v>
      </c>
    </row>
    <row r="7751" customFormat="false" ht="17.15" hidden="false" customHeight="false" outlineLevel="0" collapsed="false">
      <c r="A7751" s="5" t="s">
        <v>933</v>
      </c>
      <c r="B7751" s="0" t="s">
        <v>57</v>
      </c>
      <c r="C7751" s="30" t="n">
        <f aca="false">m_retail*m_x</f>
        <v>17.72</v>
      </c>
    </row>
    <row r="7752" customFormat="false" ht="17.15" hidden="false" customHeight="false" outlineLevel="0" collapsed="false">
      <c r="A7752" s="5" t="s">
        <v>934</v>
      </c>
      <c r="B7752" s="0" t="s">
        <v>86</v>
      </c>
      <c r="C7752" s="38" t="n">
        <f aca="false">Sens!$C$7750*Sens!$C$7751</f>
        <v>917.489730591498</v>
      </c>
    </row>
    <row r="7753" customFormat="false" ht="17.15" hidden="false" customHeight="false" outlineLevel="0" collapsed="false">
      <c r="A7753" s="0" t="s">
        <v>935</v>
      </c>
      <c r="B7753" s="0" t="s">
        <v>86</v>
      </c>
      <c r="C7753" s="38" t="n">
        <f aca="false">(1-tp_yf)*(Sens!$H$7676+Sens!$H$7698*Sens!$H$7613/Sens!$H$7615)+tp_yf*(Sens!$I$7676+Sens!$I$7698*Sens!$I$7613/Sens!$I$7615)</f>
        <v>97.3363031479074</v>
      </c>
    </row>
    <row r="7754" customFormat="false" ht="17.15" hidden="false" customHeight="false" outlineLevel="0" collapsed="false">
      <c r="A7754" s="0" t="s">
        <v>936</v>
      </c>
      <c r="B7754" s="0" t="s">
        <v>57</v>
      </c>
      <c r="C7754" s="30" t="n">
        <f aca="false">m_cloud*m_x</f>
        <v>13.82</v>
      </c>
    </row>
    <row r="7755" customFormat="false" ht="17.15" hidden="false" customHeight="false" outlineLevel="0" collapsed="false">
      <c r="A7755" s="0" t="s">
        <v>937</v>
      </c>
      <c r="B7755" s="0" t="s">
        <v>86</v>
      </c>
      <c r="C7755" s="38" t="n">
        <f aca="false">Sens!$C$7753*Sens!$C$7754</f>
        <v>1345.18770950408</v>
      </c>
    </row>
    <row r="7756" customFormat="false" ht="17.15" hidden="false" customHeight="false" outlineLevel="0" collapsed="false">
      <c r="A7756" s="0" t="s">
        <v>938</v>
      </c>
      <c r="B7756" s="0" t="s">
        <v>86</v>
      </c>
      <c r="H7756" s="38" t="n">
        <f aca="false">Sens!$H$7594-tax*Sens!$H$7595-ext_sh*Sens!$H$7584</f>
        <v>-114.686944664267</v>
      </c>
      <c r="I7756" s="38" t="n">
        <f aca="false">Sens!$I$7594-tax*Sens!$I$7595-ext_sh*Sens!$I$7584</f>
        <v>-88.3950641557111</v>
      </c>
      <c r="J7756" s="38" t="n">
        <f aca="false">Sens!$J$7594-tax*Sens!$J$7595-ext_sh*Sens!$J$7584</f>
        <v>-61.1526151740695</v>
      </c>
      <c r="K7756" s="38" t="n">
        <f aca="false">Sens!$K$7594-tax*Sens!$K$7595-ext_sh*Sens!$K$7584</f>
        <v>10.057774712684</v>
      </c>
      <c r="L7756" s="38" t="n">
        <f aca="false">Sens!$L$7594-tax*Sens!$L$7595-ext_sh*Sens!$L$7584</f>
        <v>46.6587675560356</v>
      </c>
      <c r="M7756" s="38" t="n">
        <f aca="false">Sens!$M$7594-tax*Sens!$M$7595-ext_sh*Sens!$M$7584</f>
        <v>55.3915455321129</v>
      </c>
    </row>
    <row r="7757" customFormat="false" ht="17.15" hidden="false" customHeight="false" outlineLevel="0" collapsed="false">
      <c r="A7757" s="5" t="s">
        <v>939</v>
      </c>
      <c r="B7757" s="0" t="s">
        <v>86</v>
      </c>
      <c r="H7757" s="38" t="n">
        <f aca="false">Sens!$H$7756*Sens!$H$7734</f>
        <v>-108.694703235934</v>
      </c>
      <c r="I7757" s="38" t="n">
        <f aca="false">Sens!$I$7756*Sens!$I$7734</f>
        <v>-75.2508153286695</v>
      </c>
      <c r="J7757" s="38" t="n">
        <f aca="false">Sens!$J$7756*Sens!$J$7734</f>
        <v>-46.761348301567</v>
      </c>
      <c r="K7757" s="38" t="n">
        <f aca="false">Sens!$K$7756*Sens!$K$7734</f>
        <v>6.90816481651338</v>
      </c>
      <c r="L7757" s="38" t="n">
        <f aca="false">Sens!$L$7756*Sens!$L$7734</f>
        <v>28.7861011080981</v>
      </c>
      <c r="M7757" s="38" t="n">
        <f aca="false">Sens!$M$7756*Sens!$M$7734</f>
        <v>30.6960053992735</v>
      </c>
    </row>
    <row r="7758" customFormat="false" ht="17.15" hidden="false" customHeight="false" outlineLevel="0" collapsed="false">
      <c r="A7758" s="5" t="s">
        <v>940</v>
      </c>
      <c r="B7758" s="0" t="s">
        <v>86</v>
      </c>
      <c r="C7758" s="38" t="n">
        <f aca="false">Sens!$M$7595*(1-tax)*(1+tg)*(1-tg/ronic)/(wacc-tg)</f>
        <v>363.621782500497</v>
      </c>
    </row>
    <row r="7759" customFormat="false" ht="17.15" hidden="false" customHeight="false" outlineLevel="0" collapsed="false">
      <c r="A7759" s="0" t="s">
        <v>941</v>
      </c>
      <c r="B7759" s="0" t="s">
        <v>86</v>
      </c>
      <c r="C7759" s="38" t="n">
        <f aca="false">(SUM(Sens!$H$7757:$M$7757)+Sens!$C$7758/(1+wacc)^6)*(1+wacc)^tp_yf</f>
        <v>29.1198269558345</v>
      </c>
    </row>
    <row r="7760" customFormat="false" ht="17.15" hidden="false" customHeight="false" outlineLevel="0" collapsed="false">
      <c r="A7760" s="5" t="s">
        <v>942</v>
      </c>
      <c r="B7760" s="0" t="s">
        <v>86</v>
      </c>
      <c r="C7760" s="38" t="n">
        <f aca="false">(1-tp_yf)*(Sens!$H$7677)+tp_yf*(Sens!$I$7677)</f>
        <v>74.6707041238437</v>
      </c>
    </row>
    <row r="7761" customFormat="false" ht="17.15" hidden="false" customHeight="false" outlineLevel="0" collapsed="false">
      <c r="A7761" s="5" t="s">
        <v>943</v>
      </c>
      <c r="B7761" s="0" t="s">
        <v>86</v>
      </c>
      <c r="C7761" s="38" t="n">
        <f aca="false">Sens!$C$7760*m_ai</f>
        <v>448.024224743062</v>
      </c>
    </row>
    <row r="7762" customFormat="false" ht="17.15" hidden="false" customHeight="false" outlineLevel="0" collapsed="false">
      <c r="A7762" s="0" t="s">
        <v>944</v>
      </c>
      <c r="B7762" s="0" t="s">
        <v>86</v>
      </c>
      <c r="C7762" s="38" t="n">
        <f aca="false">IF(ai_leg=1,Sens!$C$7759,Sens!$C$7761)</f>
        <v>29.1198269558345</v>
      </c>
    </row>
    <row r="7763" customFormat="false" ht="17.15" hidden="false" customHeight="false" outlineLevel="0" collapsed="false">
      <c r="A7763" s="5" t="s">
        <v>945</v>
      </c>
      <c r="B7763" s="0" t="s">
        <v>86</v>
      </c>
      <c r="C7763" s="38" t="n">
        <f aca="false">Sens!$C$7749+Sens!$C$7752+Sens!$C$7755+Sens!$C$7762</f>
        <v>2835.06906097755</v>
      </c>
    </row>
    <row r="7764" customFormat="false" ht="17.15" hidden="false" customHeight="false" outlineLevel="0" collapsed="false">
      <c r="A7764" s="5" t="s">
        <v>946</v>
      </c>
      <c r="B7764" s="0" t="s">
        <v>86</v>
      </c>
      <c r="C7764" s="38" t="n">
        <f aca="false">Sens!$H$7717+fin_debt</f>
        <v>150.504277655109</v>
      </c>
    </row>
    <row r="7765" customFormat="false" ht="15" hidden="false" customHeight="false" outlineLevel="0" collapsed="false">
      <c r="A7765" s="5" t="s">
        <v>947</v>
      </c>
      <c r="B7765" s="0" t="s">
        <v>86</v>
      </c>
      <c r="C7765" s="38" t="n">
        <f aca="false">Sens!$C$7763-Sens!$C$7764+Sens!$C$7742</f>
        <v>2863.50878332244</v>
      </c>
    </row>
    <row r="7766" customFormat="false" ht="15" hidden="false" customHeight="false" outlineLevel="0" collapsed="false">
      <c r="A7766" s="3" t="s">
        <v>948</v>
      </c>
      <c r="B7766" s="8" t="s">
        <v>27</v>
      </c>
      <c r="C7766" s="30" t="n">
        <f aca="false">Sens!$C$7765/sh_val</f>
        <v>259.603560091077</v>
      </c>
    </row>
    <row r="7767" customFormat="false" ht="17.15" hidden="false" customHeight="false" outlineLevel="0" collapsed="false">
      <c r="A7767" s="47" t="s">
        <v>949</v>
      </c>
      <c r="B7767" s="14" t="s">
        <v>27</v>
      </c>
      <c r="C7767" s="44" t="n">
        <f aca="false">0.3*Sens!$C$7745+(1-0.3)*Sens!$C$7766</f>
        <v>223.511842336475</v>
      </c>
      <c r="D7767" s="14"/>
      <c r="E7767" s="14"/>
      <c r="F7767" s="14"/>
      <c r="G7767" s="14"/>
      <c r="H7767" s="14"/>
      <c r="I7767" s="14"/>
      <c r="J7767" s="14"/>
      <c r="K7767" s="14"/>
      <c r="L7767" s="14"/>
      <c r="M7767" s="14"/>
      <c r="N7767" s="14"/>
      <c r="O7767" s="14"/>
    </row>
    <row r="7768" customFormat="false" ht="17.15" hidden="false" customHeight="false" outlineLevel="0" collapsed="false">
      <c r="A7768" s="5" t="s">
        <v>950</v>
      </c>
      <c r="B7768" s="0" t="s">
        <v>27</v>
      </c>
      <c r="C7768" s="30" t="n">
        <f aca="false">v022_wdcf*Sens!$C$7745+(1-v022_wdcf)*Sens!$C$7766</f>
        <v>205.465983459174</v>
      </c>
    </row>
    <row r="7769" customFormat="false" ht="17.15" hidden="false" customHeight="false" outlineLevel="0" collapsed="false">
      <c r="A7769" s="5" t="s">
        <v>951</v>
      </c>
      <c r="B7769" s="0" t="s">
        <v>27</v>
      </c>
      <c r="C7769" s="30" t="n">
        <f aca="false">(Sens!$C$7765-Sens!$C$7762+Sens!$C$7761)/sh_val</f>
        <v>297.581118824874</v>
      </c>
    </row>
    <row r="7772" customFormat="false" ht="19.4" hidden="false" customHeight="false" outlineLevel="0" collapsed="false">
      <c r="A7772" s="31" t="s">
        <v>1287</v>
      </c>
    </row>
    <row r="7773" customFormat="false" ht="17.15" hidden="false" customHeight="false" outlineLevel="0" collapsed="false">
      <c r="A7773" s="6" t="s">
        <v>16</v>
      </c>
      <c r="B7773" s="6" t="s">
        <v>17</v>
      </c>
      <c r="C7773" s="20" t="s">
        <v>494</v>
      </c>
      <c r="D7773" s="20" t="s">
        <v>495</v>
      </c>
      <c r="E7773" s="20" t="s">
        <v>577</v>
      </c>
      <c r="F7773" s="20" t="s">
        <v>578</v>
      </c>
      <c r="G7773" s="20" t="s">
        <v>579</v>
      </c>
      <c r="H7773" s="20" t="s">
        <v>580</v>
      </c>
      <c r="I7773" s="20" t="s">
        <v>581</v>
      </c>
      <c r="J7773" s="20" t="s">
        <v>582</v>
      </c>
      <c r="K7773" s="20" t="s">
        <v>583</v>
      </c>
      <c r="L7773" s="20" t="s">
        <v>584</v>
      </c>
      <c r="M7773" s="20" t="s">
        <v>585</v>
      </c>
      <c r="N7773" s="20" t="s">
        <v>586</v>
      </c>
      <c r="O7773" s="20" t="s">
        <v>587</v>
      </c>
      <c r="P7773" s="6" t="s">
        <v>23</v>
      </c>
      <c r="R7773" s="20" t="n">
        <v>2023</v>
      </c>
      <c r="S7773" s="20" t="n">
        <v>2024</v>
      </c>
      <c r="T7773" s="20" t="n">
        <v>2025</v>
      </c>
      <c r="U7773" s="20" t="n">
        <v>2026</v>
      </c>
      <c r="V7773" s="20" t="n">
        <v>2027</v>
      </c>
      <c r="W7773" s="20" t="n">
        <v>2028</v>
      </c>
      <c r="X7773" s="20" t="n">
        <v>2029</v>
      </c>
      <c r="Y7773" s="20" t="n">
        <v>2030</v>
      </c>
      <c r="Z7773" s="20" t="n">
        <v>2031</v>
      </c>
      <c r="AA7773" s="20" t="n">
        <v>2032</v>
      </c>
    </row>
    <row r="7774" customFormat="false" ht="17.15" hidden="false" customHeight="false" outlineLevel="0" collapsed="false">
      <c r="A7774" s="1" t="s">
        <v>660</v>
      </c>
    </row>
    <row r="7775" customFormat="false" ht="17.15" hidden="false" customHeight="false" outlineLevel="0" collapsed="false">
      <c r="A7775" s="0" t="s">
        <v>516</v>
      </c>
      <c r="B7775" s="0" t="s">
        <v>86</v>
      </c>
      <c r="C7775" s="38" t="n">
        <f aca="false">Q!$D$10</f>
        <v>247.029</v>
      </c>
      <c r="D7775" s="38" t="n">
        <f aca="false">Q!$E$10</f>
        <v>269.287</v>
      </c>
      <c r="E7775" s="38" t="n">
        <f aca="false">Q!$P$10</f>
        <v>134.686</v>
      </c>
      <c r="F7775" s="38" t="n">
        <f aca="false">Sens!$O$7775*(1+Sens!$F$7776)*Sens!$F$7787</f>
        <v>158.293876822267</v>
      </c>
      <c r="G7775" s="38" t="n">
        <f aca="false">Sens!$E$7775+Sens!$F$7775</f>
        <v>292.979876822267</v>
      </c>
      <c r="H7775" s="38" t="n">
        <f aca="false">Sens!$G$7775*(1+Sens!$H$7776)</f>
        <v>318.184543087396</v>
      </c>
      <c r="I7775" s="38" t="n">
        <f aca="false">Sens!$H$7775*(1+Sens!$I$7776)</f>
        <v>341.736278761793</v>
      </c>
      <c r="J7775" s="38" t="n">
        <f aca="false">Sens!$I$7775*(1+Sens!$J$7776)</f>
        <v>362.927192787048</v>
      </c>
      <c r="K7775" s="38" t="n">
        <f aca="false">Sens!$J$7775*(1+Sens!$K$7776)</f>
        <v>381.0735524264</v>
      </c>
      <c r="L7775" s="38" t="n">
        <f aca="false">Sens!$K$7775*(1+Sens!$L$7776)</f>
        <v>400.12723004772</v>
      </c>
      <c r="M7775" s="38" t="n">
        <f aca="false">Sens!$L$7775*(1+Sens!$M$7776)</f>
        <v>420.133591550106</v>
      </c>
      <c r="N7775" s="38" t="n">
        <f aca="false">Q!$N$10</f>
        <v>118.892</v>
      </c>
      <c r="O7775" s="38" t="n">
        <f aca="false">Q!$O$10</f>
        <v>150.395</v>
      </c>
      <c r="P7775" s="8" t="s">
        <v>661</v>
      </c>
    </row>
    <row r="7776" customFormat="false" ht="17.15" hidden="false" customHeight="false" outlineLevel="0" collapsed="false">
      <c r="A7776" s="0" t="s">
        <v>662</v>
      </c>
      <c r="B7776" s="0" t="s">
        <v>52</v>
      </c>
      <c r="E7776" s="13" t="n">
        <f aca="false">Sens!$E$7775/Sens!$N$7775-1</f>
        <v>0.132843252699929</v>
      </c>
      <c r="F7776" s="13" t="n">
        <f aca="false">Sens!$O$7775/(Q!$F$10+Q!$G$10)-1</f>
        <v>0.0980382135842941</v>
      </c>
      <c r="G7776" s="13" t="n">
        <f aca="false">Sens!$G$7775/Sens!$D$7775-1</f>
        <v>0.0879837378791657</v>
      </c>
      <c r="H7776" s="13" t="n">
        <f aca="false">Sens!$F$7776+(g_os-Sens!$F$7776)*1/4</f>
        <v>0.0860286601882206</v>
      </c>
      <c r="I7776" s="13" t="n">
        <f aca="false">Sens!$F$7776+(g_os-Sens!$F$7776)*2/4</f>
        <v>0.074019106792147</v>
      </c>
      <c r="J7776" s="13" t="n">
        <f aca="false">Sens!$F$7776+(g_os-Sens!$F$7776)*3/4</f>
        <v>0.0620095533960735</v>
      </c>
      <c r="K7776" s="13" t="n">
        <f aca="false">Sens!$F$7776+(g_os-Sens!$F$7776)*4/4</f>
        <v>0.05</v>
      </c>
      <c r="L7776" s="13" t="n">
        <f aca="false">g_os</f>
        <v>0.05</v>
      </c>
      <c r="M7776" s="13" t="n">
        <f aca="false">g_os</f>
        <v>0.05</v>
      </c>
      <c r="P7776" s="8" t="s">
        <v>663</v>
      </c>
    </row>
    <row r="7777" customFormat="false" ht="17.15" hidden="false" customHeight="false" outlineLevel="0" collapsed="false">
      <c r="A7777" s="0" t="s">
        <v>517</v>
      </c>
      <c r="B7777" s="0" t="s">
        <v>86</v>
      </c>
      <c r="C7777" s="38" t="n">
        <f aca="false">Q!$D$11</f>
        <v>21.215</v>
      </c>
      <c r="D7777" s="38" t="n">
        <f aca="false">Q!$E$11</f>
        <v>22.561</v>
      </c>
      <c r="E7777" s="38" t="n">
        <f aca="false">Q!$P$11</f>
        <v>11.579</v>
      </c>
      <c r="F7777" s="38" t="n">
        <f aca="false">Sens!$O$7777*(1+Sens!$F$7778)*Sens!$F$7787</f>
        <v>11.5938724610325</v>
      </c>
      <c r="G7777" s="38" t="n">
        <f aca="false">Sens!$E$7777+Sens!$F$7777</f>
        <v>23.1728724610325</v>
      </c>
      <c r="H7777" s="38" t="n">
        <f aca="false">Sens!$G$7777*(1+Sens!$H$7778)</f>
        <v>24.353392759506</v>
      </c>
      <c r="I7777" s="38" t="n">
        <f aca="false">Sens!$H$7777*(1+Sens!$I$7778)</f>
        <v>25.4240338872015</v>
      </c>
      <c r="J7777" s="38" t="n">
        <f aca="false">Sens!$I$7777*(1+Sens!$J$7778)</f>
        <v>26.3642491017174</v>
      </c>
      <c r="K7777" s="38" t="n">
        <f aca="false">Sens!$J$7777*(1+Sens!$K$7778)</f>
        <v>27.155176574769</v>
      </c>
      <c r="L7777" s="38" t="n">
        <f aca="false">Sens!$K$7777*(1+Sens!$L$7778)</f>
        <v>27.969831872012</v>
      </c>
      <c r="M7777" s="38" t="n">
        <f aca="false">Sens!$L$7777*(1+Sens!$M$7778)</f>
        <v>28.8089268281724</v>
      </c>
      <c r="N7777" s="38" t="n">
        <f aca="false">Q!$N$11</f>
        <v>11.128</v>
      </c>
      <c r="O7777" s="38" t="n">
        <f aca="false">Q!$O$11</f>
        <v>11.433</v>
      </c>
      <c r="P7777" s="8" t="s">
        <v>661</v>
      </c>
    </row>
    <row r="7778" customFormat="false" ht="17.15" hidden="false" customHeight="false" outlineLevel="0" collapsed="false">
      <c r="A7778" s="0" t="s">
        <v>664</v>
      </c>
      <c r="B7778" s="0" t="s">
        <v>52</v>
      </c>
      <c r="E7778" s="13" t="n">
        <f aca="false">Sens!$E$7777/Sens!$N$7777-1</f>
        <v>0.0405283968368082</v>
      </c>
      <c r="F7778" s="13" t="n">
        <f aca="false">Sens!$O$7777/(Q!$F$11+Q!$G$11)-1</f>
        <v>0.0579254187100955</v>
      </c>
      <c r="G7778" s="13" t="n">
        <f aca="false">Sens!$G$7777/Sens!$D$7777-1</f>
        <v>0.0271208040881397</v>
      </c>
      <c r="H7778" s="13" t="n">
        <f aca="false">Sens!$F$7778+(g_ps-Sens!$F$7778)*1/4</f>
        <v>0.0509440640325716</v>
      </c>
      <c r="I7778" s="13" t="n">
        <f aca="false">Sens!$F$7778+(g_ps-Sens!$F$7778)*2/4</f>
        <v>0.0439627093550477</v>
      </c>
      <c r="J7778" s="13" t="n">
        <f aca="false">Sens!$F$7778+(g_ps-Sens!$F$7778)*3/4</f>
        <v>0.0369813546775239</v>
      </c>
      <c r="K7778" s="13" t="n">
        <f aca="false">Sens!$F$7778+(g_ps-Sens!$F$7778)*4/4</f>
        <v>0.03</v>
      </c>
      <c r="L7778" s="13" t="n">
        <f aca="false">g_ps</f>
        <v>0.03</v>
      </c>
      <c r="M7778" s="13" t="n">
        <f aca="false">g_ps</f>
        <v>0.03</v>
      </c>
      <c r="P7778" s="8" t="s">
        <v>665</v>
      </c>
    </row>
    <row r="7779" customFormat="false" ht="17.15" hidden="false" customHeight="false" outlineLevel="0" collapsed="false">
      <c r="A7779" s="0" t="s">
        <v>518</v>
      </c>
      <c r="B7779" s="0" t="s">
        <v>86</v>
      </c>
      <c r="C7779" s="38" t="n">
        <f aca="false">Q!$D$12</f>
        <v>156.146</v>
      </c>
      <c r="D7779" s="38" t="n">
        <f aca="false">Q!$E$12</f>
        <v>172.162</v>
      </c>
      <c r="E7779" s="38" t="n">
        <f aca="false">Q!$P$12</f>
        <v>88.358</v>
      </c>
      <c r="F7779" s="38" t="n">
        <f aca="false">Sens!$O$7779*(1+Sens!$F$7780)*Sens!$F$7787</f>
        <v>102.004388260171</v>
      </c>
      <c r="G7779" s="38" t="n">
        <f aca="false">Sens!$E$7779+Sens!$F$7779</f>
        <v>190.362388260171</v>
      </c>
      <c r="H7779" s="38" t="n">
        <f aca="false">Sens!$G$7779*(1+Sens!$H$7780)</f>
        <v>210.343106588311</v>
      </c>
      <c r="I7779" s="38" t="n">
        <f aca="false">Sens!$H$7779*(1+Sens!$I$7780)</f>
        <v>229.969728494648</v>
      </c>
      <c r="J7779" s="38" t="n">
        <f aca="false">Sens!$I$7779*(1+Sens!$J$7780)</f>
        <v>248.747636972598</v>
      </c>
      <c r="K7779" s="38" t="n">
        <f aca="false">Sens!$J$7779*(1+Sens!$K$7780)</f>
        <v>266.15997156068</v>
      </c>
      <c r="L7779" s="38" t="n">
        <f aca="false">Sens!$K$7779*(1+Sens!$L$7780)</f>
        <v>284.791169569927</v>
      </c>
      <c r="M7779" s="38" t="n">
        <f aca="false">Sens!$L$7779*(1+Sens!$M$7780)</f>
        <v>304.726551439822</v>
      </c>
      <c r="N7779" s="38" t="n">
        <f aca="false">Q!$N$12</f>
        <v>76.86</v>
      </c>
      <c r="O7779" s="38" t="n">
        <f aca="false">Q!$O$12</f>
        <v>95.302</v>
      </c>
      <c r="P7779" s="8" t="s">
        <v>661</v>
      </c>
    </row>
    <row r="7780" customFormat="false" ht="17.15" hidden="false" customHeight="false" outlineLevel="0" collapsed="false">
      <c r="A7780" s="0" t="s">
        <v>666</v>
      </c>
      <c r="B7780" s="0" t="s">
        <v>52</v>
      </c>
      <c r="E7780" s="13" t="n">
        <f aca="false">Sens!$E$7779/Sens!$N$7779-1</f>
        <v>0.1495966692688</v>
      </c>
      <c r="F7780" s="13" t="n">
        <f aca="false">Sens!$O$7779/(Q!$F$12+Q!$G$12)-1</f>
        <v>0.11661530890813</v>
      </c>
      <c r="G7780" s="13" t="n">
        <f aca="false">Sens!$G$7779/Sens!$D$7779-1</f>
        <v>0.105716640490767</v>
      </c>
      <c r="H7780" s="13" t="n">
        <f aca="false">Sens!$F$7780+(g_sp-Sens!$F$7780)*1/4</f>
        <v>0.104961481681098</v>
      </c>
      <c r="I7780" s="13" t="n">
        <f aca="false">Sens!$F$7780+(g_sp-Sens!$F$7780)*2/4</f>
        <v>0.0933076544540651</v>
      </c>
      <c r="J7780" s="13" t="n">
        <f aca="false">Sens!$F$7780+(g_sp-Sens!$F$7780)*3/4</f>
        <v>0.0816538272270325</v>
      </c>
      <c r="K7780" s="13" t="n">
        <f aca="false">Sens!$F$7780+(g_sp-Sens!$F$7780)*4/4</f>
        <v>0.07</v>
      </c>
      <c r="L7780" s="13" t="n">
        <f aca="false">g_sp</f>
        <v>0.07</v>
      </c>
      <c r="M7780" s="13" t="n">
        <f aca="false">g_sp</f>
        <v>0.07</v>
      </c>
      <c r="P7780" s="8" t="s">
        <v>667</v>
      </c>
    </row>
    <row r="7781" customFormat="false" ht="17.15" hidden="false" customHeight="false" outlineLevel="0" collapsed="false">
      <c r="A7781" s="0" t="s">
        <v>519</v>
      </c>
      <c r="B7781" s="0" t="s">
        <v>86</v>
      </c>
      <c r="C7781" s="38" t="n">
        <f aca="false">Q!$D$13</f>
        <v>56.214</v>
      </c>
      <c r="D7781" s="38" t="n">
        <f aca="false">Q!$E$13</f>
        <v>68.635</v>
      </c>
      <c r="E7781" s="38" t="n">
        <f aca="false">Q!$P$13</f>
        <v>37.052</v>
      </c>
      <c r="F7781" s="38" t="n">
        <f aca="false">Sens!$O$7781*(1+Sens!$F$7782)*Sens!$F$7787</f>
        <v>46.1572219944148</v>
      </c>
      <c r="G7781" s="38" t="n">
        <f aca="false">Sens!$E$7781+Sens!$F$7781</f>
        <v>83.2092219944148</v>
      </c>
      <c r="H7781" s="38" t="n">
        <f aca="false">Sens!$G$7781*(1+Sens!$H$7782)</f>
        <v>99.8969223878976</v>
      </c>
      <c r="I7781" s="38" t="n">
        <f aca="false">Sens!$H$7781*(1+Sens!$I$7782)</f>
        <v>116.583111095496</v>
      </c>
      <c r="J7781" s="38" t="n">
        <f aca="false">Sens!$I$7781*(1+Sens!$J$7782)</f>
        <v>132.148941941952</v>
      </c>
      <c r="K7781" s="38" t="n">
        <f aca="false">Sens!$J$7781*(1+Sens!$K$7782)</f>
        <v>145.363836136147</v>
      </c>
      <c r="L7781" s="38" t="n">
        <f aca="false">Sens!$K$7781*(1+Sens!$L$7782)</f>
        <v>159.900219749762</v>
      </c>
      <c r="M7781" s="38" t="n">
        <f aca="false">Sens!$L$7781*(1+Sens!$M$7782)</f>
        <v>175.890241724738</v>
      </c>
      <c r="N7781" s="38" t="n">
        <f aca="false">Q!$N$13</f>
        <v>29.615</v>
      </c>
      <c r="O7781" s="38" t="n">
        <f aca="false">Q!$O$13</f>
        <v>39.02</v>
      </c>
      <c r="P7781" s="8" t="s">
        <v>661</v>
      </c>
    </row>
    <row r="7782" customFormat="false" ht="17.15" hidden="false" customHeight="false" outlineLevel="0" collapsed="false">
      <c r="A7782" s="0" t="s">
        <v>668</v>
      </c>
      <c r="B7782" s="0" t="s">
        <v>52</v>
      </c>
      <c r="E7782" s="13" t="n">
        <f aca="false">Sens!$E$7781/Sens!$N$7781-1</f>
        <v>0.25112274185379</v>
      </c>
      <c r="F7782" s="13" t="n">
        <f aca="false">Sens!$O$7781/(Q!$F$13+Q!$G$13)-1</f>
        <v>0.234068123596572</v>
      </c>
      <c r="G7782" s="13" t="n">
        <f aca="false">Sens!$G$7781/Sens!$D$7781-1</f>
        <v>0.212343876949294</v>
      </c>
      <c r="H7782" s="13" t="n">
        <f aca="false">Sens!$F$7782+(g_ad-Sens!$F$7782)*1/4</f>
        <v>0.200551092697429</v>
      </c>
      <c r="I7782" s="13" t="n">
        <f aca="false">Sens!$F$7782+(g_ad-Sens!$F$7782)*2/4</f>
        <v>0.167034061798286</v>
      </c>
      <c r="J7782" s="13" t="n">
        <f aca="false">Sens!$F$7782+(g_ad-Sens!$F$7782)*3/4</f>
        <v>0.133517030899143</v>
      </c>
      <c r="K7782" s="13" t="n">
        <f aca="false">Sens!$F$7782+(g_ad-Sens!$F$7782)*4/4</f>
        <v>0.1</v>
      </c>
      <c r="L7782" s="13" t="n">
        <f aca="false">g_ad</f>
        <v>0.1</v>
      </c>
      <c r="M7782" s="13" t="n">
        <f aca="false">g_ad</f>
        <v>0.1</v>
      </c>
      <c r="P7782" s="8" t="s">
        <v>669</v>
      </c>
    </row>
    <row r="7783" customFormat="false" ht="17.15" hidden="false" customHeight="false" outlineLevel="0" collapsed="false">
      <c r="A7783" s="0" t="s">
        <v>520</v>
      </c>
      <c r="B7783" s="0" t="s">
        <v>86</v>
      </c>
      <c r="C7783" s="38" t="n">
        <f aca="false">Q!$D$14</f>
        <v>44.374</v>
      </c>
      <c r="D7783" s="38" t="n">
        <f aca="false">Q!$E$14</f>
        <v>49.619</v>
      </c>
      <c r="E7783" s="38" t="n">
        <f aca="false">Q!$P$14</f>
        <v>27.157</v>
      </c>
      <c r="F7783" s="38" t="n">
        <f aca="false">Sens!$O$7783*(1+Sens!$F$7784)*Sens!$F$7787</f>
        <v>27.7764165988154</v>
      </c>
      <c r="G7783" s="38" t="n">
        <f aca="false">Sens!$E$7783+Sens!$F$7783</f>
        <v>54.9334165988154</v>
      </c>
      <c r="H7783" s="38" t="n">
        <f aca="false">Sens!$G$7783*(1+Sens!$H$7784)</f>
        <v>61.1564112561829</v>
      </c>
      <c r="I7783" s="38" t="n">
        <f aca="false">Sens!$H$7783*(1+Sens!$I$7784)</f>
        <v>67.2020282103945</v>
      </c>
      <c r="J7783" s="38" t="n">
        <f aca="false">Sens!$I$7783*(1+Sens!$J$7784)</f>
        <v>72.8757274028885</v>
      </c>
      <c r="K7783" s="38" t="n">
        <f aca="false">Sens!$J$7783*(1+Sens!$K$7784)</f>
        <v>77.9770283210907</v>
      </c>
      <c r="L7783" s="38" t="n">
        <f aca="false">Sens!$K$7783*(1+Sens!$L$7784)</f>
        <v>83.4354203035671</v>
      </c>
      <c r="M7783" s="38" t="n">
        <f aca="false">Sens!$L$7783*(1+Sens!$M$7784)</f>
        <v>89.2758997248168</v>
      </c>
      <c r="N7783" s="38" t="n">
        <f aca="false">Q!$N$14</f>
        <v>23.923</v>
      </c>
      <c r="O7783" s="38" t="n">
        <f aca="false">Q!$O$14</f>
        <v>25.696</v>
      </c>
      <c r="P7783" s="8" t="s">
        <v>661</v>
      </c>
    </row>
    <row r="7784" customFormat="false" ht="17.15" hidden="false" customHeight="false" outlineLevel="0" collapsed="false">
      <c r="A7784" s="0" t="s">
        <v>670</v>
      </c>
      <c r="B7784" s="0" t="s">
        <v>52</v>
      </c>
      <c r="E7784" s="13" t="n">
        <f aca="false">Sens!$E$7783/Sens!$N$7783-1</f>
        <v>0.135183714417088</v>
      </c>
      <c r="F7784" s="13" t="n">
        <f aca="false">Sens!$O$7783/(Q!$F$14+Q!$G$14)-1</f>
        <v>0.127709997366804</v>
      </c>
      <c r="G7784" s="13" t="n">
        <f aca="false">Sens!$G$7783/Sens!$D$7783-1</f>
        <v>0.107104468022641</v>
      </c>
      <c r="H7784" s="13" t="n">
        <f aca="false">Sens!$F$7784+(g_sub-Sens!$F$7784)*1/4</f>
        <v>0.113282498025103</v>
      </c>
      <c r="I7784" s="13" t="n">
        <f aca="false">Sens!$F$7784+(g_sub-Sens!$F$7784)*2/4</f>
        <v>0.0988549986834021</v>
      </c>
      <c r="J7784" s="13" t="n">
        <f aca="false">Sens!$F$7784+(g_sub-Sens!$F$7784)*3/4</f>
        <v>0.084427499341701</v>
      </c>
      <c r="K7784" s="13" t="n">
        <f aca="false">Sens!$F$7784+(g_sub-Sens!$F$7784)*4/4</f>
        <v>0.07</v>
      </c>
      <c r="L7784" s="13" t="n">
        <f aca="false">g_sub</f>
        <v>0.07</v>
      </c>
      <c r="M7784" s="13" t="n">
        <f aca="false">g_sub</f>
        <v>0.07</v>
      </c>
      <c r="P7784" s="8" t="s">
        <v>671</v>
      </c>
    </row>
    <row r="7785" customFormat="false" ht="17.15" hidden="false" customHeight="false" outlineLevel="0" collapsed="false">
      <c r="A7785" s="0" t="s">
        <v>521</v>
      </c>
      <c r="B7785" s="0" t="s">
        <v>86</v>
      </c>
      <c r="C7785" s="38" t="n">
        <f aca="false">Q!$D$15</f>
        <v>5.425</v>
      </c>
      <c r="D7785" s="38" t="n">
        <f aca="false">Q!$E$15</f>
        <v>5.935</v>
      </c>
      <c r="E7785" s="38" t="n">
        <f aca="false">Q!$P$15</f>
        <v>3.474</v>
      </c>
      <c r="F7785" s="38" t="n">
        <f aca="false">Sens!$O$7785*(1+Sens!$F$7786)*Sens!$F$7787</f>
        <v>3.22246550883619</v>
      </c>
      <c r="G7785" s="38" t="n">
        <f aca="false">Sens!$E$7785+Sens!$F$7785</f>
        <v>6.69646550883619</v>
      </c>
      <c r="H7785" s="38" t="n">
        <f aca="false">Sens!$G$7785*(1+Sens!$H$7786)</f>
        <v>7.16251344209196</v>
      </c>
      <c r="I7785" s="38" t="n">
        <f aca="false">Sens!$H$7785*(1+Sens!$I$7786)</f>
        <v>7.61421070299826</v>
      </c>
      <c r="J7785" s="38" t="n">
        <f aca="false">Sens!$I$7785*(1+Sens!$J$7786)</f>
        <v>8.04465753523932</v>
      </c>
      <c r="K7785" s="38" t="n">
        <f aca="false">Sens!$J$7785*(1+Sens!$K$7786)</f>
        <v>8.44689041200128</v>
      </c>
      <c r="L7785" s="38" t="n">
        <f aca="false">Sens!$K$7785*(1+Sens!$L$7786)</f>
        <v>8.86923493260135</v>
      </c>
      <c r="M7785" s="38" t="n">
        <f aca="false">Sens!$L$7785*(1+Sens!$M$7786)</f>
        <v>9.31269667923142</v>
      </c>
      <c r="N7785" s="38" t="n">
        <f aca="false">Q!$N$15</f>
        <v>2.811</v>
      </c>
      <c r="O7785" s="38" t="n">
        <f aca="false">Q!$O$15</f>
        <v>3.124</v>
      </c>
      <c r="P7785" s="8" t="s">
        <v>661</v>
      </c>
    </row>
    <row r="7786" customFormat="false" ht="17.15" hidden="false" customHeight="false" outlineLevel="0" collapsed="false">
      <c r="A7786" s="0" t="s">
        <v>672</v>
      </c>
      <c r="B7786" s="0" t="s">
        <v>52</v>
      </c>
      <c r="E7786" s="13" t="n">
        <f aca="false">Sens!$E$7785/Sens!$N$7785-1</f>
        <v>0.235859124866596</v>
      </c>
      <c r="F7786" s="13" t="n">
        <f aca="false">Sens!$O$7785/(Q!$F$15+Q!$G$15)-1</f>
        <v>0.0761281433000345</v>
      </c>
      <c r="G7786" s="13" t="n">
        <f aca="false">Sens!$G$7785/Sens!$D$7785-1</f>
        <v>0.128300843948811</v>
      </c>
      <c r="H7786" s="13" t="n">
        <f aca="false">Sens!$F$7786+(g_ot-Sens!$F$7786)*1/4</f>
        <v>0.0695961074750259</v>
      </c>
      <c r="I7786" s="13" t="n">
        <f aca="false">Sens!$F$7786+(g_ot-Sens!$F$7786)*2/4</f>
        <v>0.0630640716500172</v>
      </c>
      <c r="J7786" s="13" t="n">
        <f aca="false">Sens!$F$7786+(g_ot-Sens!$F$7786)*3/4</f>
        <v>0.0565320358250086</v>
      </c>
      <c r="K7786" s="13" t="n">
        <f aca="false">Sens!$F$7786+(g_ot-Sens!$F$7786)*4/4</f>
        <v>0.05</v>
      </c>
      <c r="L7786" s="13" t="n">
        <f aca="false">g_ot</f>
        <v>0.05</v>
      </c>
      <c r="M7786" s="13" t="n">
        <f aca="false">g_ot</f>
        <v>0.05</v>
      </c>
      <c r="P7786" s="8" t="s">
        <v>673</v>
      </c>
    </row>
    <row r="7787" customFormat="false" ht="17.15" hidden="false" customHeight="false" outlineLevel="0" collapsed="false">
      <c r="A7787" s="0" t="s">
        <v>674</v>
      </c>
      <c r="B7787" s="0" t="s">
        <v>57</v>
      </c>
      <c r="F7787" s="40" t="n">
        <f aca="false">(g26q3_mid*Q!$O$8/Q!$J$8-Sens!$F$7816-Sens!$F$7820)/(Sens!$O$7775*(1+Sens!$F$7776)+Sens!$O$7777*(1+Sens!$F$7778)+Sens!$O$7779*(1+Sens!$F$7780)+Sens!$O$7781*(1+Sens!$F$7782)+Sens!$O$7783*(1+Sens!$F$7784)+Sens!$O$7785*(1+Sens!$F$7786))</f>
        <v>0.958546670622329</v>
      </c>
      <c r="P7787" s="8" t="s">
        <v>675</v>
      </c>
    </row>
    <row r="7788" customFormat="false" ht="17.15" hidden="false" customHeight="false" outlineLevel="0" collapsed="false">
      <c r="A7788" s="3" t="s">
        <v>676</v>
      </c>
      <c r="B7788" s="8" t="s">
        <v>86</v>
      </c>
      <c r="C7788" s="38" t="n">
        <f aca="false">Sens!$C$7775+Sens!$C$7777+Sens!$C$7779+Sens!$C$7781+Sens!$C$7783+Sens!$C$7785</f>
        <v>530.403</v>
      </c>
      <c r="D7788" s="38" t="n">
        <f aca="false">Sens!$D$7775+Sens!$D$7777+Sens!$D$7779+Sens!$D$7781+Sens!$D$7783+Sens!$D$7785</f>
        <v>588.199</v>
      </c>
      <c r="E7788" s="38" t="n">
        <f aca="false">Sens!$E$7775+Sens!$E$7777+Sens!$E$7779+Sens!$E$7781+Sens!$E$7783+Sens!$E$7785</f>
        <v>302.306</v>
      </c>
      <c r="F7788" s="38" t="n">
        <f aca="false">Sens!$F$7775+Sens!$F$7777+Sens!$F$7779+Sens!$F$7781+Sens!$F$7783+Sens!$F$7785</f>
        <v>349.048241645537</v>
      </c>
      <c r="G7788" s="38" t="n">
        <f aca="false">Sens!$G$7775+Sens!$G$7777+Sens!$G$7779+Sens!$G$7781+Sens!$G$7783+Sens!$G$7785</f>
        <v>651.354241645537</v>
      </c>
      <c r="H7788" s="38" t="n">
        <f aca="false">Sens!$H$7775+Sens!$H$7777+Sens!$H$7779+Sens!$H$7781+Sens!$H$7783+Sens!$H$7785</f>
        <v>721.096889521386</v>
      </c>
      <c r="I7788" s="38" t="n">
        <f aca="false">Sens!$I$7775+Sens!$I$7777+Sens!$I$7779+Sens!$I$7781+Sens!$I$7783+Sens!$I$7785</f>
        <v>788.529391152531</v>
      </c>
      <c r="J7788" s="38" t="n">
        <f aca="false">Sens!$J$7775+Sens!$J$7777+Sens!$J$7779+Sens!$J$7781+Sens!$J$7783+Sens!$J$7785</f>
        <v>851.108405741443</v>
      </c>
      <c r="K7788" s="38" t="n">
        <f aca="false">Sens!$K$7775+Sens!$K$7777+Sens!$K$7779+Sens!$K$7781+Sens!$K$7783+Sens!$K$7785</f>
        <v>906.176455431088</v>
      </c>
      <c r="L7788" s="38" t="n">
        <f aca="false">Sens!$L$7775+Sens!$L$7777+Sens!$L$7779+Sens!$L$7781+Sens!$L$7783+Sens!$L$7785</f>
        <v>965.093106475589</v>
      </c>
      <c r="M7788" s="38" t="n">
        <f aca="false">Sens!$M$7775+Sens!$M$7777+Sens!$M$7779+Sens!$M$7781+Sens!$M$7783+Sens!$M$7785</f>
        <v>1028.14790794689</v>
      </c>
      <c r="N7788" s="38" t="n">
        <f aca="false">Sens!$N$7775+Sens!$N$7777+Sens!$N$7779+Sens!$N$7781+Sens!$N$7783+Sens!$N$7785</f>
        <v>263.229</v>
      </c>
      <c r="O7788" s="38" t="n">
        <f aca="false">Sens!$O$7775+Sens!$O$7777+Sens!$O$7779+Sens!$O$7781+Sens!$O$7783+Sens!$O$7785</f>
        <v>324.97</v>
      </c>
    </row>
    <row r="7789" customFormat="false" ht="17.15" hidden="false" customHeight="false" outlineLevel="0" collapsed="false">
      <c r="A7789" s="5" t="s">
        <v>677</v>
      </c>
      <c r="B7789" s="0" t="s">
        <v>52</v>
      </c>
      <c r="C7789" s="13" t="n">
        <f aca="false">Q!$D$5/(Q!$D$5+Q!$D$6)</f>
        <v>0.730570905519011</v>
      </c>
      <c r="D7789" s="13" t="n">
        <f aca="false">Q!$E$5/(Q!$E$5+Q!$E$6)</f>
        <v>0.724763217890544</v>
      </c>
      <c r="E7789" s="13" t="n">
        <f aca="false">Q!$P$5/(Q!$P$5+Q!$P$6)</f>
        <v>0.728797972914861</v>
      </c>
      <c r="F7789" s="13" t="n">
        <f aca="false">Sens!$O$7789</f>
        <v>0.718066283041511</v>
      </c>
      <c r="G7789" s="13" t="n">
        <f aca="false">Sens!$G$7790/Sens!$G$7788</f>
        <v>0.723047066202847</v>
      </c>
      <c r="H7789" s="13" t="n">
        <f aca="false">Sens!$G$7789</f>
        <v>0.723047066202847</v>
      </c>
      <c r="I7789" s="13" t="n">
        <f aca="false">Sens!$G$7789</f>
        <v>0.723047066202847</v>
      </c>
      <c r="J7789" s="13" t="n">
        <f aca="false">Sens!$G$7789</f>
        <v>0.723047066202847</v>
      </c>
      <c r="K7789" s="13" t="n">
        <f aca="false">Sens!$G$7789</f>
        <v>0.723047066202847</v>
      </c>
      <c r="L7789" s="13" t="n">
        <f aca="false">Sens!$G$7789</f>
        <v>0.723047066202847</v>
      </c>
      <c r="M7789" s="13" t="n">
        <f aca="false">Sens!$G$7789</f>
        <v>0.723047066202847</v>
      </c>
      <c r="N7789" s="13" t="n">
        <f aca="false">Q!$N$5/(Q!$N$5+Q!$N$6)</f>
        <v>0.733030935041352</v>
      </c>
      <c r="O7789" s="13" t="n">
        <f aca="false">Q!$O$5/(Q!$O$5+Q!$O$6)</f>
        <v>0.718066283041511</v>
      </c>
      <c r="P7789" s="8" t="s">
        <v>678</v>
      </c>
    </row>
    <row r="7790" customFormat="false" ht="17.15" hidden="false" customHeight="false" outlineLevel="0" collapsed="false">
      <c r="A7790" s="1" t="s">
        <v>509</v>
      </c>
      <c r="B7790" s="8" t="s">
        <v>86</v>
      </c>
      <c r="C7790" s="38" t="n">
        <f aca="false">Q!$D$5</f>
        <v>387.497</v>
      </c>
      <c r="D7790" s="38" t="n">
        <f aca="false">Q!$E$5</f>
        <v>426.305</v>
      </c>
      <c r="E7790" s="38" t="n">
        <f aca="false">Q!$P$5</f>
        <v>220.32</v>
      </c>
      <c r="F7790" s="38" t="n">
        <f aca="false">Sens!$F$7788*Sens!$F$7789</f>
        <v>250.639773480586</v>
      </c>
      <c r="G7790" s="38" t="n">
        <f aca="false">Sens!$E$7790+Sens!$F$7790</f>
        <v>470.959773480586</v>
      </c>
      <c r="H7790" s="38" t="n">
        <f aca="false">Sens!$H$7788*Sens!$H$7789</f>
        <v>521.386990416437</v>
      </c>
      <c r="I7790" s="38" t="n">
        <f aca="false">Sens!$I$7788*Sens!$I$7789</f>
        <v>570.143862887555</v>
      </c>
      <c r="J7790" s="38" t="n">
        <f aca="false">Sens!$J$7788*Sens!$J$7789</f>
        <v>615.391435791933</v>
      </c>
      <c r="K7790" s="38" t="n">
        <f aca="false">Sens!$K$7788*Sens!$K$7789</f>
        <v>655.208227561543</v>
      </c>
      <c r="L7790" s="38" t="n">
        <f aca="false">Sens!$L$7788*Sens!$L$7789</f>
        <v>697.807739249767</v>
      </c>
      <c r="M7790" s="38" t="n">
        <f aca="false">Sens!$M$7788*Sens!$M$7789</f>
        <v>743.399328463592</v>
      </c>
      <c r="N7790" s="38" t="n">
        <f aca="false">Q!$N$5</f>
        <v>192.955</v>
      </c>
      <c r="O7790" s="38" t="n">
        <f aca="false">Q!$O$5</f>
        <v>233.35</v>
      </c>
      <c r="P7790" s="5" t="s">
        <v>679</v>
      </c>
    </row>
    <row r="7791" customFormat="false" ht="17.15" hidden="false" customHeight="false" outlineLevel="0" collapsed="false">
      <c r="A7791" s="1" t="s">
        <v>512</v>
      </c>
      <c r="B7791" s="8" t="s">
        <v>86</v>
      </c>
      <c r="C7791" s="38" t="n">
        <f aca="false">Q!$D$6</f>
        <v>142.906</v>
      </c>
      <c r="D7791" s="38" t="n">
        <f aca="false">Q!$E$6</f>
        <v>161.894</v>
      </c>
      <c r="E7791" s="38" t="n">
        <f aca="false">Q!$P$6</f>
        <v>81.986</v>
      </c>
      <c r="F7791" s="38" t="n">
        <f aca="false">Sens!$F$7788*(1-Sens!$F$7789)</f>
        <v>98.408468164951</v>
      </c>
      <c r="G7791" s="38" t="n">
        <f aca="false">Sens!$E$7791+Sens!$F$7791</f>
        <v>180.394468164951</v>
      </c>
      <c r="H7791" s="38" t="n">
        <f aca="false">Sens!$H$7788*(1-Sens!$H$7789)</f>
        <v>199.709899104949</v>
      </c>
      <c r="I7791" s="38" t="n">
        <f aca="false">Sens!$I$7788*(1-Sens!$I$7789)</f>
        <v>218.385528264976</v>
      </c>
      <c r="J7791" s="38" t="n">
        <f aca="false">Sens!$J$7788*(1-Sens!$J$7789)</f>
        <v>235.71696994951</v>
      </c>
      <c r="K7791" s="38" t="n">
        <f aca="false">Sens!$K$7788*(1-Sens!$K$7789)</f>
        <v>250.968227869545</v>
      </c>
      <c r="L7791" s="38" t="n">
        <f aca="false">Sens!$L$7788*(1-Sens!$L$7789)</f>
        <v>267.285367225822</v>
      </c>
      <c r="M7791" s="38" t="n">
        <f aca="false">Sens!$M$7788*(1-Sens!$M$7789)</f>
        <v>284.748579483295</v>
      </c>
      <c r="N7791" s="38" t="n">
        <f aca="false">Q!$N$6</f>
        <v>70.274</v>
      </c>
      <c r="O7791" s="38" t="n">
        <f aca="false">Q!$O$6</f>
        <v>91.62</v>
      </c>
      <c r="P7791" s="5" t="s">
        <v>680</v>
      </c>
    </row>
    <row r="7792" customFormat="false" ht="17.15" hidden="false" customHeight="false" outlineLevel="0" collapsed="false">
      <c r="A7792" s="5" t="s">
        <v>681</v>
      </c>
      <c r="B7792" s="0" t="s">
        <v>86</v>
      </c>
      <c r="C7792" s="38" t="n">
        <f aca="false">Sens!$C$7781*Sens!$C$7789</f>
        <v>41.0683128828457</v>
      </c>
      <c r="D7792" s="38" t="n">
        <f aca="false">Sens!$D$7781*Sens!$D$7789</f>
        <v>49.7441234599175</v>
      </c>
      <c r="E7792" s="38" t="n">
        <f aca="false">Sens!$E$7781*Sens!$E$7789</f>
        <v>27.0034224924414</v>
      </c>
      <c r="F7792" s="38" t="n">
        <f aca="false">Sens!$F$7781*Sens!$F$7789</f>
        <v>33.1439448330513</v>
      </c>
      <c r="G7792" s="38" t="n">
        <f aca="false">Sens!$G$7781*Sens!$G$7789</f>
        <v>60.164183844083</v>
      </c>
      <c r="H7792" s="38" t="n">
        <f aca="false">Sens!$H$7781*Sens!$H$7789</f>
        <v>72.2301766552629</v>
      </c>
      <c r="I7792" s="38" t="n">
        <f aca="false">Sens!$I$7781*Sens!$I$7789</f>
        <v>84.2950764463991</v>
      </c>
      <c r="J7792" s="38" t="n">
        <f aca="false">Sens!$J$7781*Sens!$J$7789</f>
        <v>95.5499047729386</v>
      </c>
      <c r="K7792" s="38" t="n">
        <f aca="false">Sens!$K$7781*Sens!$K$7789</f>
        <v>105.104895250232</v>
      </c>
      <c r="L7792" s="38" t="n">
        <f aca="false">Sens!$L$7781*Sens!$L$7789</f>
        <v>115.615384775256</v>
      </c>
      <c r="M7792" s="38" t="n">
        <f aca="false">Sens!$M$7781*Sens!$M$7789</f>
        <v>127.176923252781</v>
      </c>
      <c r="N7792" s="38" t="n">
        <f aca="false">Sens!$N$7781*Sens!$N$7789</f>
        <v>21.7087111412496</v>
      </c>
      <c r="O7792" s="38" t="n">
        <f aca="false">Sens!$O$7781*Sens!$O$7789</f>
        <v>28.0189463642798</v>
      </c>
      <c r="P7792" s="5" t="s">
        <v>682</v>
      </c>
    </row>
    <row r="7793" customFormat="false" ht="15" hidden="false" customHeight="false" outlineLevel="0" collapsed="false">
      <c r="A7793" s="5" t="s">
        <v>683</v>
      </c>
      <c r="B7793" s="0" t="s">
        <v>86</v>
      </c>
      <c r="C7793" s="38" t="n">
        <f aca="false">Sens!$C$7781-Sens!$C$7792</f>
        <v>15.1456871171543</v>
      </c>
      <c r="D7793" s="38" t="n">
        <f aca="false">Sens!$D$7781-Sens!$D$7792</f>
        <v>18.8908765400825</v>
      </c>
      <c r="E7793" s="38" t="n">
        <f aca="false">Sens!$E$7781-Sens!$E$7792</f>
        <v>10.0485775075586</v>
      </c>
      <c r="F7793" s="38" t="n">
        <f aca="false">Sens!$F$7781-Sens!$F$7792</f>
        <v>13.0132771613635</v>
      </c>
      <c r="G7793" s="38" t="n">
        <f aca="false">Sens!$G$7781-Sens!$G$7792</f>
        <v>23.0450381503318</v>
      </c>
      <c r="H7793" s="38" t="n">
        <f aca="false">Sens!$H$7781-Sens!$H$7792</f>
        <v>27.6667457326347</v>
      </c>
      <c r="I7793" s="38" t="n">
        <f aca="false">Sens!$I$7781-Sens!$I$7792</f>
        <v>32.2880346490971</v>
      </c>
      <c r="J7793" s="38" t="n">
        <f aca="false">Sens!$J$7781-Sens!$J$7792</f>
        <v>36.5990371690132</v>
      </c>
      <c r="K7793" s="38" t="n">
        <f aca="false">Sens!$K$7781-Sens!$K$7792</f>
        <v>40.2589408859145</v>
      </c>
      <c r="L7793" s="38" t="n">
        <f aca="false">Sens!$L$7781-Sens!$L$7792</f>
        <v>44.2848349745059</v>
      </c>
      <c r="M7793" s="38" t="n">
        <f aca="false">Sens!$M$7781-Sens!$M$7792</f>
        <v>48.7133184719565</v>
      </c>
      <c r="N7793" s="38" t="n">
        <f aca="false">Sens!$N$7781-Sens!$N$7792</f>
        <v>7.90628885875037</v>
      </c>
      <c r="O7793" s="38" t="n">
        <f aca="false">Sens!$O$7781-Sens!$O$7792</f>
        <v>11.0010536357202</v>
      </c>
    </row>
    <row r="7794" customFormat="false" ht="19.4" hidden="false" customHeight="false" outlineLevel="0" collapsed="false">
      <c r="A7794" s="31" t="s">
        <v>1288</v>
      </c>
    </row>
    <row r="7795" customFormat="false" ht="17.15" hidden="false" customHeight="false" outlineLevel="0" collapsed="false">
      <c r="A7795" s="6" t="s">
        <v>16</v>
      </c>
      <c r="B7795" s="6" t="s">
        <v>17</v>
      </c>
      <c r="C7795" s="20" t="s">
        <v>494</v>
      </c>
      <c r="D7795" s="20" t="s">
        <v>495</v>
      </c>
      <c r="E7795" s="20" t="s">
        <v>577</v>
      </c>
      <c r="F7795" s="20" t="s">
        <v>578</v>
      </c>
      <c r="G7795" s="20" t="s">
        <v>579</v>
      </c>
      <c r="H7795" s="20" t="s">
        <v>580</v>
      </c>
      <c r="I7795" s="20" t="s">
        <v>581</v>
      </c>
      <c r="J7795" s="20" t="s">
        <v>582</v>
      </c>
      <c r="K7795" s="20" t="s">
        <v>583</v>
      </c>
      <c r="L7795" s="20" t="s">
        <v>584</v>
      </c>
      <c r="M7795" s="20" t="s">
        <v>585</v>
      </c>
      <c r="N7795" s="20" t="s">
        <v>586</v>
      </c>
      <c r="O7795" s="20" t="s">
        <v>587</v>
      </c>
      <c r="P7795" s="6" t="s">
        <v>23</v>
      </c>
      <c r="R7795" s="20" t="n">
        <v>2023</v>
      </c>
      <c r="S7795" s="20" t="n">
        <v>2024</v>
      </c>
      <c r="T7795" s="20" t="n">
        <v>2025</v>
      </c>
      <c r="U7795" s="20" t="n">
        <v>2026</v>
      </c>
      <c r="V7795" s="20" t="n">
        <v>2027</v>
      </c>
      <c r="W7795" s="20" t="n">
        <v>2028</v>
      </c>
      <c r="X7795" s="20" t="n">
        <v>2029</v>
      </c>
      <c r="Y7795" s="20" t="n">
        <v>2030</v>
      </c>
      <c r="Z7795" s="20" t="n">
        <v>2031</v>
      </c>
      <c r="AA7795" s="20" t="n">
        <v>2032</v>
      </c>
    </row>
    <row r="7796" customFormat="false" ht="17.15" hidden="false" customHeight="false" outlineLevel="0" collapsed="false">
      <c r="A7796" s="1" t="s">
        <v>588</v>
      </c>
    </row>
    <row r="7797" customFormat="false" ht="17.15" hidden="false" customHeight="false" outlineLevel="0" collapsed="false">
      <c r="A7797" s="5" t="s">
        <v>589</v>
      </c>
      <c r="B7797" s="0" t="s">
        <v>144</v>
      </c>
      <c r="H7797" s="32" t="n">
        <f aca="false">pace_B</f>
        <v>3634.3</v>
      </c>
      <c r="I7797" s="32" t="n">
        <f aca="false">pace_B</f>
        <v>3634.3</v>
      </c>
      <c r="J7797" s="32" t="n">
        <f aca="false">pace_B</f>
        <v>3634.3</v>
      </c>
      <c r="K7797" s="32" t="n">
        <f aca="false">pace_B+(Sens!$J$7798*tg-pace_B)*1/3</f>
        <v>2570.86716666667</v>
      </c>
      <c r="L7797" s="32" t="n">
        <f aca="false">pace_B+(Sens!$J$7798*tg-pace_B)*2/3</f>
        <v>1507.43433333333</v>
      </c>
      <c r="M7797" s="32" t="n">
        <f aca="false">pace_B+(Sens!$J$7798*tg-pace_B)*3/3</f>
        <v>444.0015</v>
      </c>
      <c r="P7797" s="5" t="s">
        <v>590</v>
      </c>
    </row>
    <row r="7798" customFormat="false" ht="17.15" hidden="false" customHeight="false" outlineLevel="0" collapsed="false">
      <c r="A7798" s="15" t="s">
        <v>591</v>
      </c>
      <c r="B7798" s="14" t="s">
        <v>129</v>
      </c>
      <c r="C7798" s="33" t="n">
        <f aca="false">mw_ye24</f>
        <v>360</v>
      </c>
      <c r="D7798" s="33" t="n">
        <f aca="false">mw_ye25</f>
        <v>1440</v>
      </c>
      <c r="E7798" s="33" t="n">
        <f aca="false">mw_open</f>
        <v>2080</v>
      </c>
      <c r="F7798" s="33" t="n">
        <f aca="false">Sens!$E$7798+pace_B*0.5</f>
        <v>3897.15</v>
      </c>
      <c r="G7798" s="33" t="n">
        <f aca="false">Sens!$F$7798</f>
        <v>3897.15</v>
      </c>
      <c r="H7798" s="33" t="n">
        <f aca="false">Sens!$G$7798+Sens!$H$7797</f>
        <v>7531.45</v>
      </c>
      <c r="I7798" s="33" t="n">
        <f aca="false">Sens!$H$7798+Sens!$I$7797</f>
        <v>11165.75</v>
      </c>
      <c r="J7798" s="33" t="n">
        <f aca="false">Sens!$I$7798+Sens!$J$7797</f>
        <v>14800.05</v>
      </c>
      <c r="K7798" s="33" t="n">
        <f aca="false">Sens!$J$7798+Sens!$K$7797</f>
        <v>17370.9171666667</v>
      </c>
      <c r="L7798" s="33" t="n">
        <f aca="false">Sens!$K$7798+Sens!$L$7797</f>
        <v>18878.3515</v>
      </c>
      <c r="M7798" s="33" t="n">
        <f aca="false">Sens!$L$7798+Sens!$M$7797</f>
        <v>19322.353</v>
      </c>
      <c r="N7798" s="33" t="n">
        <f aca="false">(mw_ye24+mw_ye25)/2</f>
        <v>900</v>
      </c>
      <c r="O7798" s="33" t="n">
        <f aca="false">mw_ye25</f>
        <v>1440</v>
      </c>
      <c r="P7798" s="5" t="s">
        <v>592</v>
      </c>
    </row>
    <row r="7799" customFormat="false" ht="17.15" hidden="false" customHeight="false" outlineLevel="0" collapsed="false">
      <c r="A7799" s="5" t="s">
        <v>593</v>
      </c>
      <c r="B7799" s="0" t="s">
        <v>129</v>
      </c>
      <c r="C7799" s="32" t="n">
        <f aca="false">(mw_ye23+mw_ye24)/2</f>
        <v>240</v>
      </c>
      <c r="D7799" s="32" t="n">
        <f aca="false">(Sens!$C$7798+Sens!$D$7798)/2</f>
        <v>900</v>
      </c>
      <c r="E7799" s="32" t="n">
        <f aca="false">(Sens!$D$7798+Sens!$E$7798)/2</f>
        <v>1760</v>
      </c>
      <c r="F7799" s="32" t="n">
        <f aca="false">(Sens!$E$7798+Sens!$F$7798)/2</f>
        <v>2988.575</v>
      </c>
      <c r="G7799" s="32" t="n">
        <f aca="false">(Sens!$E$7799+Sens!$F$7799)/2</f>
        <v>2374.2875</v>
      </c>
      <c r="H7799" s="32" t="n">
        <f aca="false">(Sens!$G$7798+Sens!$H$7798)/2</f>
        <v>5714.3</v>
      </c>
      <c r="I7799" s="32" t="n">
        <f aca="false">(Sens!$H$7798+Sens!$I$7798)/2</f>
        <v>9348.6</v>
      </c>
      <c r="J7799" s="32" t="n">
        <f aca="false">(Sens!$I$7798+Sens!$J$7798)/2</f>
        <v>12982.9</v>
      </c>
      <c r="K7799" s="32" t="n">
        <f aca="false">(Sens!$J$7798+Sens!$K$7798)/2</f>
        <v>16085.4835833333</v>
      </c>
      <c r="L7799" s="32" t="n">
        <f aca="false">(Sens!$K$7798+Sens!$L$7798)/2</f>
        <v>18124.6343333333</v>
      </c>
      <c r="M7799" s="32" t="n">
        <f aca="false">(Sens!$L$7798+Sens!$M$7798)/2</f>
        <v>19100.35225</v>
      </c>
      <c r="N7799" s="32" t="n">
        <f aca="false">(Sens!$C$7798+Sens!$N$7798)/2</f>
        <v>630</v>
      </c>
      <c r="O7799" s="32" t="n">
        <f aca="false">(Sens!$N$7798+Sens!$O$7798)/2</f>
        <v>1170</v>
      </c>
    </row>
    <row r="7800" customFormat="false" ht="15" hidden="false" customHeight="false" outlineLevel="0" collapsed="false">
      <c r="A7800" s="5" t="s">
        <v>594</v>
      </c>
      <c r="B7800" s="5" t="s">
        <v>123</v>
      </c>
      <c r="C7800" s="34" t="n">
        <v>1</v>
      </c>
      <c r="D7800" s="34" t="n">
        <v>1</v>
      </c>
      <c r="E7800" s="34" t="n">
        <v>0.5</v>
      </c>
      <c r="F7800" s="34" t="n">
        <v>0.5</v>
      </c>
      <c r="G7800" s="34" t="n">
        <v>1</v>
      </c>
      <c r="H7800" s="34" t="n">
        <v>1</v>
      </c>
      <c r="I7800" s="34" t="n">
        <v>1</v>
      </c>
      <c r="J7800" s="34" t="n">
        <v>1</v>
      </c>
      <c r="K7800" s="34" t="n">
        <v>1</v>
      </c>
      <c r="L7800" s="34" t="n">
        <v>1</v>
      </c>
      <c r="M7800" s="34" t="n">
        <v>1</v>
      </c>
      <c r="N7800" s="34" t="n">
        <v>0.5</v>
      </c>
      <c r="O7800" s="34" t="n">
        <v>0.5</v>
      </c>
    </row>
    <row r="7801" customFormat="false" ht="17.15" hidden="false" customHeight="false" outlineLevel="0" collapsed="false">
      <c r="A7801" s="5" t="s">
        <v>595</v>
      </c>
      <c r="B7801" s="0" t="s">
        <v>129</v>
      </c>
      <c r="C7801" s="32" t="n">
        <f aca="false">Sens!$C$7798-mw_ye23</f>
        <v>240</v>
      </c>
      <c r="D7801" s="32" t="n">
        <f aca="false">Sens!$D$7798-Sens!$C$7798</f>
        <v>1080</v>
      </c>
      <c r="E7801" s="32" t="n">
        <f aca="false">Sens!$E$7798-Sens!$D$7798</f>
        <v>640</v>
      </c>
      <c r="F7801" s="32" t="n">
        <f aca="false">Sens!$F$7798-Sens!$E$7798</f>
        <v>1817.15</v>
      </c>
      <c r="G7801" s="32" t="n">
        <f aca="false">Sens!$E$7801+Sens!$F$7801</f>
        <v>2457.15</v>
      </c>
      <c r="H7801" s="32" t="n">
        <f aca="false">Sens!$H$7798-Sens!$G$7798</f>
        <v>3634.3</v>
      </c>
      <c r="I7801" s="32" t="n">
        <f aca="false">Sens!$I$7798-Sens!$H$7798</f>
        <v>3634.3</v>
      </c>
      <c r="J7801" s="32" t="n">
        <f aca="false">Sens!$J$7798-Sens!$I$7798</f>
        <v>3634.3</v>
      </c>
      <c r="K7801" s="32" t="n">
        <f aca="false">Sens!$K$7798-Sens!$J$7798</f>
        <v>2570.86716666667</v>
      </c>
      <c r="L7801" s="32" t="n">
        <f aca="false">Sens!$L$7798-Sens!$K$7798</f>
        <v>1507.43433333333</v>
      </c>
      <c r="M7801" s="32" t="n">
        <f aca="false">Sens!$M$7798-Sens!$L$7798</f>
        <v>444.001499999999</v>
      </c>
      <c r="N7801" s="32" t="n">
        <f aca="false">Sens!$N$7798-Sens!$C$7798</f>
        <v>540</v>
      </c>
      <c r="O7801" s="32" t="n">
        <f aca="false">Sens!$O$7798-Sens!$N$7798</f>
        <v>540</v>
      </c>
    </row>
    <row r="7802" customFormat="false" ht="17.15" hidden="false" customHeight="false" outlineLevel="0" collapsed="false">
      <c r="A7802" s="5" t="s">
        <v>596</v>
      </c>
      <c r="B7802" s="0" t="s">
        <v>129</v>
      </c>
      <c r="C7802" s="32" t="n">
        <f aca="false">Sens!$C$7801/ext_sh</f>
        <v>300</v>
      </c>
      <c r="D7802" s="32" t="n">
        <f aca="false">Sens!$D$7801/ext_sh</f>
        <v>1350</v>
      </c>
      <c r="E7802" s="32" t="n">
        <f aca="false">Sens!$E$7801/ext_sh</f>
        <v>800</v>
      </c>
      <c r="F7802" s="32" t="n">
        <f aca="false">Sens!$F$7801/ext_sh</f>
        <v>2271.4375</v>
      </c>
      <c r="G7802" s="32" t="n">
        <f aca="false">Sens!$G$7801/ext_sh</f>
        <v>3071.4375</v>
      </c>
      <c r="H7802" s="32" t="n">
        <f aca="false">Sens!$H$7801/ext_sh</f>
        <v>4542.875</v>
      </c>
      <c r="I7802" s="32" t="n">
        <f aca="false">Sens!$I$7801/ext_sh</f>
        <v>4542.875</v>
      </c>
      <c r="J7802" s="32" t="n">
        <f aca="false">Sens!$J$7801/ext_sh</f>
        <v>4542.875</v>
      </c>
      <c r="K7802" s="32" t="n">
        <f aca="false">Sens!$K$7801/ext_sh</f>
        <v>3213.58395833333</v>
      </c>
      <c r="L7802" s="32" t="n">
        <f aca="false">Sens!$L$7801/ext_sh</f>
        <v>1884.29291666667</v>
      </c>
      <c r="M7802" s="32" t="n">
        <f aca="false">Sens!$M$7801/ext_sh</f>
        <v>555.001874999998</v>
      </c>
      <c r="N7802" s="32" t="n">
        <f aca="false">Sens!$N$7801/ext_sh</f>
        <v>675</v>
      </c>
      <c r="O7802" s="32" t="n">
        <f aca="false">Sens!$O$7801/ext_sh</f>
        <v>675</v>
      </c>
      <c r="P7802" s="8" t="s">
        <v>597</v>
      </c>
      <c r="R7802" s="32" t="n">
        <f aca="false">mw_ye23/ext_sh</f>
        <v>150</v>
      </c>
      <c r="S7802" s="32" t="n">
        <f aca="false">Sens!$C$7802</f>
        <v>300</v>
      </c>
      <c r="T7802" s="32" t="n">
        <f aca="false">Sens!$D$7802</f>
        <v>1350</v>
      </c>
      <c r="U7802" s="32" t="n">
        <f aca="false">Sens!$G$7802</f>
        <v>3071.4375</v>
      </c>
      <c r="V7802" s="32" t="n">
        <f aca="false">Sens!$H$7802</f>
        <v>4542.875</v>
      </c>
      <c r="W7802" s="32" t="n">
        <f aca="false">Sens!$I$7802</f>
        <v>4542.875</v>
      </c>
      <c r="X7802" s="32" t="n">
        <f aca="false">Sens!$J$7802</f>
        <v>4542.875</v>
      </c>
      <c r="Y7802" s="32" t="n">
        <f aca="false">Sens!$K$7802</f>
        <v>3213.58395833333</v>
      </c>
      <c r="Z7802" s="32" t="n">
        <f aca="false">Sens!$L$7802</f>
        <v>1884.29291666667</v>
      </c>
      <c r="AA7802" s="32" t="n">
        <f aca="false">Sens!$M$7802</f>
        <v>555.001874999998</v>
      </c>
    </row>
    <row r="7803" customFormat="false" ht="17.15" hidden="false" customHeight="false" outlineLevel="0" collapsed="false">
      <c r="A7803" s="1" t="s">
        <v>598</v>
      </c>
    </row>
    <row r="7804" customFormat="false" ht="17.15" hidden="false" customHeight="false" outlineLevel="0" collapsed="false">
      <c r="A7804" s="0" t="s">
        <v>599</v>
      </c>
      <c r="B7804" s="0" t="s">
        <v>52</v>
      </c>
      <c r="F7804" s="35" t="n">
        <f aca="false">na_vr26</f>
        <v>0</v>
      </c>
      <c r="G7804" s="35" t="n">
        <f aca="false">na_vr26</f>
        <v>0</v>
      </c>
      <c r="H7804" s="35" t="n">
        <f aca="false">na_vr27</f>
        <v>0.5</v>
      </c>
      <c r="I7804" s="35" t="n">
        <f aca="false">na_vr28</f>
        <v>1</v>
      </c>
      <c r="J7804" s="35" t="n">
        <f aca="false">na_vr28</f>
        <v>1</v>
      </c>
      <c r="K7804" s="35" t="n">
        <f aca="false">na_vr28</f>
        <v>1</v>
      </c>
      <c r="L7804" s="35" t="n">
        <f aca="false">na_vr28</f>
        <v>1</v>
      </c>
      <c r="M7804" s="35" t="n">
        <f aca="false">na_vr28</f>
        <v>1</v>
      </c>
    </row>
    <row r="7805" customFormat="false" ht="17.15" hidden="false" customHeight="false" outlineLevel="0" collapsed="false">
      <c r="A7805" s="5" t="s">
        <v>600</v>
      </c>
      <c r="B7805" s="0" t="s">
        <v>173</v>
      </c>
      <c r="F7805" s="36" t="n">
        <f aca="false">cust_sh*tk_he_gb300*cf_chip+(1-cust_sh)*((1-Sens!$F$7804)*tk_he_gb300+Sens!$F$7804*tk_he_vr200)</f>
        <v>10.8864110021101</v>
      </c>
      <c r="G7805" s="36" t="n">
        <f aca="false">cust_sh*tk_he_gb300*cf_chip+(1-cust_sh)*((1-Sens!$G$7804)*tk_he_gb300+Sens!$G$7804*tk_he_vr200)</f>
        <v>10.8864110021101</v>
      </c>
      <c r="H7805" s="36" t="n">
        <f aca="false">cust_sh*tk_he_gb300*cf_chip+(1-cust_sh)*((1-Sens!$H$7804)*tk_he_gb300+Sens!$H$7804*tk_he_vr200)</f>
        <v>11.2211760027286</v>
      </c>
      <c r="I7805" s="36" t="n">
        <f aca="false">cust_sh*tk_he_gb300*cf_chip+(1-cust_sh)*((1-Sens!$I$7804)*tk_he_gb300+Sens!$I$7804*tk_he_vr200)</f>
        <v>11.5559410033471</v>
      </c>
      <c r="J7805" s="36" t="n">
        <f aca="false">cust_sh*tk_he_gb300*cf_chip+(1-cust_sh)*((1-Sens!$J$7804)*tk_he_gb300+Sens!$J$7804*tk_he_vr200)</f>
        <v>11.5559410033471</v>
      </c>
      <c r="K7805" s="36" t="n">
        <f aca="false">cust_sh*tk_he_gb300*cf_chip+(1-cust_sh)*((1-Sens!$K$7804)*tk_he_gb300+Sens!$K$7804*tk_he_vr200)</f>
        <v>11.5559410033471</v>
      </c>
      <c r="L7805" s="36" t="n">
        <f aca="false">cust_sh*tk_he_gb300*cf_chip+(1-cust_sh)*((1-Sens!$L$7804)*tk_he_gb300+Sens!$L$7804*tk_he_vr200)</f>
        <v>11.5559410033471</v>
      </c>
      <c r="M7805" s="36" t="n">
        <f aca="false">cust_sh*tk_he_gb300*cf_chip+(1-cust_sh)*((1-Sens!$M$7804)*tk_he_gb300+Sens!$M$7804*tk_he_vr200)</f>
        <v>11.5559410033471</v>
      </c>
    </row>
    <row r="7806" customFormat="false" ht="17.15" hidden="false" customHeight="false" outlineLevel="0" collapsed="false">
      <c r="A7806" s="5" t="s">
        <v>601</v>
      </c>
      <c r="B7806" s="0" t="s">
        <v>173</v>
      </c>
      <c r="F7806" s="36" t="n">
        <f aca="false">cust_sh*tk_ox_gb300+(1-cust_sh)*((1-Sens!$F$7804)*tk_ox_gb300+Sens!$F$7804*tk_ox_vr200)</f>
        <v>1.98263481314457</v>
      </c>
      <c r="G7806" s="36" t="n">
        <f aca="false">cust_sh*tk_ox_gb300+(1-cust_sh)*((1-Sens!$G$7804)*tk_ox_gb300+Sens!$G$7804*tk_ox_vr200)</f>
        <v>1.98263481314457</v>
      </c>
      <c r="H7806" s="36" t="n">
        <f aca="false">cust_sh*tk_ox_gb300+(1-cust_sh)*((1-Sens!$H$7804)*tk_ox_gb300+Sens!$H$7804*tk_ox_vr200)</f>
        <v>2.01034999693694</v>
      </c>
      <c r="I7806" s="36" t="n">
        <f aca="false">cust_sh*tk_ox_gb300+(1-cust_sh)*((1-Sens!$I$7804)*tk_ox_gb300+Sens!$I$7804*tk_ox_vr200)</f>
        <v>2.0380651807293</v>
      </c>
      <c r="J7806" s="36" t="n">
        <f aca="false">cust_sh*tk_ox_gb300+(1-cust_sh)*((1-Sens!$J$7804)*tk_ox_gb300+Sens!$J$7804*tk_ox_vr200)</f>
        <v>2.0380651807293</v>
      </c>
      <c r="K7806" s="36" t="n">
        <f aca="false">cust_sh*tk_ox_gb300+(1-cust_sh)*((1-Sens!$K$7804)*tk_ox_gb300+Sens!$K$7804*tk_ox_vr200)</f>
        <v>2.0380651807293</v>
      </c>
      <c r="L7806" s="36" t="n">
        <f aca="false">cust_sh*tk_ox_gb300+(1-cust_sh)*((1-Sens!$L$7804)*tk_ox_gb300+Sens!$L$7804*tk_ox_vr200)</f>
        <v>2.0380651807293</v>
      </c>
      <c r="M7806" s="36" t="n">
        <f aca="false">cust_sh*tk_ox_gb300+(1-cust_sh)*((1-Sens!$M$7804)*tk_ox_gb300+Sens!$M$7804*tk_ox_vr200)</f>
        <v>2.0380651807293</v>
      </c>
    </row>
    <row r="7807" customFormat="false" ht="17.15" hidden="false" customHeight="false" outlineLevel="0" collapsed="false">
      <c r="A7807" s="5" t="s">
        <v>602</v>
      </c>
      <c r="B7807" s="0" t="s">
        <v>192</v>
      </c>
      <c r="F7807" s="36" t="n">
        <f aca="false">cust_sh*tk_cx_gb300*cf_cx+(1-cust_sh)*((1-Sens!$F$7804)*tk_cx_gb300+Sens!$F$7804*tk_cx_vr200)</f>
        <v>32.237224</v>
      </c>
      <c r="G7807" s="36" t="n">
        <f aca="false">cust_sh*tk_cx_gb300*cf_cx+(1-cust_sh)*((1-Sens!$G$7804)*tk_cx_gb300+Sens!$G$7804*tk_cx_vr200)</f>
        <v>32.237224</v>
      </c>
      <c r="H7807" s="36" t="n">
        <f aca="false">cust_sh*tk_cx_gb300*cf_cx+(1-cust_sh)*((1-Sens!$H$7804)*tk_cx_gb300+Sens!$H$7804*tk_cx_vr200)</f>
        <v>33.574506</v>
      </c>
      <c r="I7807" s="36" t="n">
        <f aca="false">cust_sh*tk_cx_gb300*cf_cx+(1-cust_sh)*((1-Sens!$I$7804)*tk_cx_gb300+Sens!$I$7804*tk_cx_vr200)</f>
        <v>34.911788</v>
      </c>
      <c r="J7807" s="36" t="n">
        <f aca="false">cust_sh*tk_cx_gb300*cf_cx+(1-cust_sh)*((1-Sens!$J$7804)*tk_cx_gb300+Sens!$J$7804*tk_cx_vr200)</f>
        <v>34.911788</v>
      </c>
      <c r="K7807" s="36" t="n">
        <f aca="false">cust_sh*tk_cx_gb300*cf_cx+(1-cust_sh)*((1-Sens!$K$7804)*tk_cx_gb300+Sens!$K$7804*tk_cx_vr200)</f>
        <v>34.911788</v>
      </c>
      <c r="L7807" s="36" t="n">
        <f aca="false">cust_sh*tk_cx_gb300*cf_cx+(1-cust_sh)*((1-Sens!$L$7804)*tk_cx_gb300+Sens!$L$7804*tk_cx_vr200)</f>
        <v>34.911788</v>
      </c>
      <c r="M7807" s="36" t="n">
        <f aca="false">cust_sh*tk_cx_gb300*cf_cx+(1-cust_sh)*((1-Sens!$M$7804)*tk_cx_gb300+Sens!$M$7804*tk_cx_vr200)</f>
        <v>34.911788</v>
      </c>
    </row>
    <row r="7808" customFormat="false" ht="17.15" hidden="false" customHeight="false" outlineLevel="0" collapsed="false">
      <c r="A7808" s="5" t="s">
        <v>603</v>
      </c>
      <c r="B7808" s="0" t="s">
        <v>129</v>
      </c>
      <c r="F7808" s="32" t="n">
        <f aca="false">Sens!$F$7798-mw_open</f>
        <v>1817.15</v>
      </c>
      <c r="G7808" s="32" t="n">
        <f aca="false">Sens!$F$7808</f>
        <v>1817.15</v>
      </c>
      <c r="H7808" s="32" t="n">
        <f aca="false">Sens!$H$7798-mw_open</f>
        <v>5451.45</v>
      </c>
      <c r="I7808" s="32" t="n">
        <f aca="false">Sens!$I$7798-mw_open</f>
        <v>9085.75</v>
      </c>
      <c r="J7808" s="32" t="n">
        <f aca="false">Sens!$J$7798-mw_open</f>
        <v>12720.05</v>
      </c>
      <c r="K7808" s="32" t="n">
        <f aca="false">Sens!$K$7798-mw_open</f>
        <v>15290.9171666667</v>
      </c>
      <c r="L7808" s="32" t="n">
        <f aca="false">Sens!$L$7798-mw_open</f>
        <v>16798.3515</v>
      </c>
      <c r="M7808" s="32" t="n">
        <f aca="false">Sens!$M$7798-mw_open</f>
        <v>17242.353</v>
      </c>
    </row>
    <row r="7809" customFormat="false" ht="17.15" hidden="false" customHeight="false" outlineLevel="0" collapsed="false">
      <c r="A7809" s="0" t="s">
        <v>604</v>
      </c>
      <c r="B7809" s="0" t="s">
        <v>605</v>
      </c>
      <c r="F7809" s="32" t="n">
        <f aca="false">Sens!$F$7801*Sens!$F$7805</f>
        <v>19782.2417524844</v>
      </c>
      <c r="G7809" s="32" t="n">
        <f aca="false">Sens!$F$7809</f>
        <v>19782.2417524844</v>
      </c>
      <c r="H7809" s="32" t="n">
        <f aca="false">Sens!$G$7809+Sens!$H$7801*Sens!$H$7805</f>
        <v>60563.3616992009</v>
      </c>
      <c r="I7809" s="32" t="n">
        <f aca="false">Sens!$H$7809+Sens!$I$7801*Sens!$I$7805</f>
        <v>102561.118087665</v>
      </c>
      <c r="J7809" s="32" t="n">
        <f aca="false">Sens!$I$7809+Sens!$J$7801*Sens!$J$7805</f>
        <v>144558.87447613</v>
      </c>
      <c r="K7809" s="32" t="n">
        <f aca="false">Sens!$J$7809+Sens!$K$7801*Sens!$K$7805</f>
        <v>174267.663781572</v>
      </c>
      <c r="L7809" s="32" t="n">
        <f aca="false">Sens!$K$7809+Sens!$L$7801*Sens!$L$7805</f>
        <v>191687.486003992</v>
      </c>
      <c r="M7809" s="32" t="n">
        <f aca="false">Sens!$L$7809+Sens!$M$7801*Sens!$M$7805</f>
        <v>196818.341143389</v>
      </c>
    </row>
    <row r="7810" customFormat="false" ht="17.15" hidden="false" customHeight="false" outlineLevel="0" collapsed="false">
      <c r="A7810" s="0" t="s">
        <v>606</v>
      </c>
      <c r="B7810" s="0" t="s">
        <v>605</v>
      </c>
      <c r="F7810" s="32" t="n">
        <f aca="false">Sens!$F$7801*Sens!$F$7806</f>
        <v>3602.74485070566</v>
      </c>
      <c r="G7810" s="32" t="n">
        <f aca="false">Sens!$F$7810</f>
        <v>3602.74485070566</v>
      </c>
      <c r="H7810" s="32" t="n">
        <f aca="false">Sens!$G$7810+Sens!$H$7801*Sens!$H$7806</f>
        <v>10908.9598445736</v>
      </c>
      <c r="I7810" s="32" t="n">
        <f aca="false">Sens!$H$7810+Sens!$I$7801*Sens!$I$7806</f>
        <v>18315.9001308981</v>
      </c>
      <c r="J7810" s="32" t="n">
        <f aca="false">Sens!$I$7810+Sens!$J$7801*Sens!$J$7806</f>
        <v>25722.8404172225</v>
      </c>
      <c r="K7810" s="32" t="n">
        <f aca="false">Sens!$J$7810+Sens!$K$7801*Sens!$K$7806</f>
        <v>30962.4352738861</v>
      </c>
      <c r="L7810" s="32" t="n">
        <f aca="false">Sens!$K$7810+Sens!$L$7801*Sens!$L$7806</f>
        <v>34034.6847008886</v>
      </c>
      <c r="M7810" s="32" t="n">
        <f aca="false">Sens!$L$7810+Sens!$M$7801*Sens!$M$7806</f>
        <v>34939.5886982302</v>
      </c>
    </row>
    <row r="7811" customFormat="false" ht="17.15" hidden="false" customHeight="false" outlineLevel="0" collapsed="false">
      <c r="A7811" s="5" t="s">
        <v>607</v>
      </c>
      <c r="B7811" s="0" t="s">
        <v>173</v>
      </c>
      <c r="F7811" s="36" t="n">
        <f aca="false">IF(Sens!$F$7808&gt;0,Sens!$F$7809/Sens!$F$7808,Sens!$F$7805)</f>
        <v>10.8864110021101</v>
      </c>
      <c r="G7811" s="36" t="n">
        <f aca="false">IF(Sens!$G$7808&gt;0,Sens!$G$7809/Sens!$G$7808,Sens!$G$7805)</f>
        <v>10.8864110021101</v>
      </c>
      <c r="H7811" s="36" t="n">
        <f aca="false">IF(Sens!$H$7808&gt;0,Sens!$H$7809/Sens!$H$7808,Sens!$H$7805)</f>
        <v>11.1095876691891</v>
      </c>
      <c r="I7811" s="36" t="n">
        <f aca="false">IF(Sens!$I$7808&gt;0,Sens!$I$7809/Sens!$I$7808,Sens!$I$7805)</f>
        <v>11.2881290028523</v>
      </c>
      <c r="J7811" s="36" t="n">
        <f aca="false">IF(Sens!$J$7808&gt;0,Sens!$J$7809/Sens!$J$7808,Sens!$J$7805)</f>
        <v>11.3646467172794</v>
      </c>
      <c r="K7811" s="36" t="n">
        <f aca="false">IF(Sens!$K$7808&gt;0,Sens!$K$7809/Sens!$K$7808,Sens!$K$7805)</f>
        <v>11.3968090914432</v>
      </c>
      <c r="L7811" s="36" t="n">
        <f aca="false">IF(Sens!$L$7808&gt;0,Sens!$L$7809/Sens!$L$7808,Sens!$L$7805)</f>
        <v>11.4110891181192</v>
      </c>
      <c r="M7811" s="36" t="n">
        <f aca="false">IF(Sens!$M$7808&gt;0,Sens!$M$7809/Sens!$M$7808,Sens!$M$7805)</f>
        <v>11.4148191458201</v>
      </c>
    </row>
    <row r="7812" customFormat="false" ht="17.15" hidden="false" customHeight="false" outlineLevel="0" collapsed="false">
      <c r="A7812" s="5" t="s">
        <v>608</v>
      </c>
      <c r="B7812" s="0" t="s">
        <v>173</v>
      </c>
      <c r="F7812" s="36" t="n">
        <f aca="false">IF(Sens!$F$7808&gt;0,Sens!$F$7810/Sens!$F$7808,Sens!$F$7806)</f>
        <v>1.98263481314457</v>
      </c>
      <c r="G7812" s="36" t="n">
        <f aca="false">IF(Sens!$G$7808&gt;0,Sens!$G$7810/Sens!$G$7808,Sens!$G$7806)</f>
        <v>1.98263481314457</v>
      </c>
      <c r="H7812" s="36" t="n">
        <f aca="false">IF(Sens!$H$7808&gt;0,Sens!$H$7810/Sens!$H$7808,Sens!$H$7806)</f>
        <v>2.00111160233948</v>
      </c>
      <c r="I7812" s="36" t="n">
        <f aca="false">IF(Sens!$I$7808&gt;0,Sens!$I$7810/Sens!$I$7808,Sens!$I$7806)</f>
        <v>2.01589303369541</v>
      </c>
      <c r="J7812" s="36" t="n">
        <f aca="false">IF(Sens!$J$7808&gt;0,Sens!$J$7810/Sens!$J$7808,Sens!$J$7806)</f>
        <v>2.02222793284795</v>
      </c>
      <c r="K7812" s="36" t="n">
        <f aca="false">IF(Sens!$K$7808&gt;0,Sens!$K$7810/Sens!$K$7808,Sens!$K$7806)</f>
        <v>2.02489065478573</v>
      </c>
      <c r="L7812" s="36" t="n">
        <f aca="false">IF(Sens!$L$7808&gt;0,Sens!$L$7810/Sens!$L$7808,Sens!$L$7806)</f>
        <v>2.0260728977417</v>
      </c>
      <c r="M7812" s="36" t="n">
        <f aca="false">IF(Sens!$M$7808&gt;0,Sens!$M$7810/Sens!$M$7808,Sens!$M$7806)</f>
        <v>2.02638170661685</v>
      </c>
    </row>
    <row r="7813" customFormat="false" ht="17.15" hidden="false" customHeight="false" outlineLevel="0" collapsed="false">
      <c r="A7813" s="15" t="s">
        <v>609</v>
      </c>
      <c r="B7813" s="14" t="s">
        <v>173</v>
      </c>
      <c r="C7813" s="14"/>
      <c r="D7813" s="14"/>
      <c r="E7813" s="14"/>
      <c r="F7813" s="37" t="n">
        <f aca="false">Sens!$F$7811*k_B</f>
        <v>10.7987645808025</v>
      </c>
      <c r="G7813" s="37" t="n">
        <f aca="false">Sens!$G$7811*k_B</f>
        <v>10.7987645808025</v>
      </c>
      <c r="H7813" s="37" t="n">
        <f aca="false">Sens!$H$7811*k_B</f>
        <v>11.0201444540452</v>
      </c>
      <c r="I7813" s="37" t="n">
        <f aca="false">Sens!$I$7811*k_B</f>
        <v>11.1972483526393</v>
      </c>
      <c r="J7813" s="37" t="n">
        <f aca="false">Sens!$J$7811*k_B</f>
        <v>11.2731500234653</v>
      </c>
      <c r="K7813" s="37" t="n">
        <f aca="false">Sens!$K$7811*k_B</f>
        <v>11.3050534585724</v>
      </c>
      <c r="L7813" s="37" t="n">
        <f aca="false">Sens!$L$7811*k_B</f>
        <v>11.3192185168503</v>
      </c>
      <c r="M7813" s="37" t="n">
        <f aca="false">Sens!$M$7811*k_B</f>
        <v>11.3229185141234</v>
      </c>
      <c r="N7813" s="14"/>
      <c r="O7813" s="14"/>
      <c r="P7813" s="5" t="s">
        <v>610</v>
      </c>
    </row>
    <row r="7814" customFormat="false" ht="17.15" hidden="false" customHeight="false" outlineLevel="0" collapsed="false">
      <c r="A7814" s="5" t="s">
        <v>611</v>
      </c>
      <c r="B7814" s="0" t="s">
        <v>129</v>
      </c>
      <c r="F7814" s="32" t="n">
        <f aca="false">Sens!$F$7808/2</f>
        <v>908.575</v>
      </c>
      <c r="H7814" s="32" t="n">
        <f aca="false">(Sens!$G$7808+Sens!$H$7808)/2</f>
        <v>3634.3</v>
      </c>
      <c r="I7814" s="32" t="n">
        <f aca="false">(Sens!$H$7808+Sens!$I$7808)/2</f>
        <v>7268.6</v>
      </c>
      <c r="J7814" s="32" t="n">
        <f aca="false">(Sens!$I$7808+Sens!$J$7808)/2</f>
        <v>10902.9</v>
      </c>
      <c r="K7814" s="32" t="n">
        <f aca="false">(Sens!$J$7808+Sens!$K$7808)/2</f>
        <v>14005.4835833333</v>
      </c>
      <c r="L7814" s="32" t="n">
        <f aca="false">(Sens!$K$7808+Sens!$L$7808)/2</f>
        <v>16044.6343333333</v>
      </c>
      <c r="M7814" s="32" t="n">
        <f aca="false">(Sens!$L$7808+Sens!$M$7808)/2</f>
        <v>17020.35225</v>
      </c>
    </row>
    <row r="7815" customFormat="false" ht="17.15" hidden="false" customHeight="false" outlineLevel="0" collapsed="false">
      <c r="A7815" s="1" t="s">
        <v>612</v>
      </c>
    </row>
    <row r="7816" customFormat="false" ht="17.15" hidden="false" customHeight="false" outlineLevel="0" collapsed="false">
      <c r="A7816" s="1" t="s">
        <v>613</v>
      </c>
      <c r="B7816" s="8" t="s">
        <v>86</v>
      </c>
      <c r="C7816" s="38" t="n">
        <f aca="false">Sens!$C$7799*rpm_open*Sens!$C$7800/1000</f>
        <v>2.32100535697364</v>
      </c>
      <c r="D7816" s="38" t="n">
        <f aca="false">Sens!$D$7799*rpm_open*Sens!$D$7800/1000</f>
        <v>8.70377008865116</v>
      </c>
      <c r="E7816" s="38" t="n">
        <f aca="false">Sens!$E$7799*rpm_open*Sens!$E$7800/1000</f>
        <v>8.51035297557002</v>
      </c>
      <c r="F7816" s="38" t="n">
        <f aca="false">(mw_open*rpm_open+Sens!$F$7814*Sens!$F$7813)*Sens!$F$7800/1000</f>
        <v>14.9634336447205</v>
      </c>
      <c r="G7816" s="38" t="n">
        <f aca="false">Sens!$E$7816+Sens!$F$7816</f>
        <v>23.4737866202905</v>
      </c>
      <c r="H7816" s="38" t="n">
        <f aca="false">(mw_open*rpm_open+Sens!$H$7814*Sens!$H$7813)/1000</f>
        <v>60.1658907497746</v>
      </c>
      <c r="I7816" s="38" t="n">
        <f aca="false">(mw_open*rpm_open+Sens!$I$7814*Sens!$I$7813)/1000</f>
        <v>101.503699136432</v>
      </c>
      <c r="J7816" s="38" t="n">
        <f aca="false">(mw_open*rpm_open+Sens!$J$7814*Sens!$J$7813)/1000</f>
        <v>143.025407151278</v>
      </c>
      <c r="K7816" s="38" t="n">
        <f aca="false">(mw_open*rpm_open+Sens!$K$7814*Sens!$K$7813)/1000</f>
        <v>178.44812038318</v>
      </c>
      <c r="L7816" s="38" t="n">
        <f aca="false">(mw_open*rpm_open+Sens!$L$7814*Sens!$L$7813)/1000</f>
        <v>201.728101802396</v>
      </c>
      <c r="M7816" s="38" t="n">
        <f aca="false">(mw_open*rpm_open+Sens!$M$7814*Sens!$M$7813)/1000</f>
        <v>212.835441368865</v>
      </c>
      <c r="N7816" s="38" t="n">
        <f aca="false">Sens!$N$7799*rpm_open*Sens!$N$7800/1000</f>
        <v>3.04631953102791</v>
      </c>
      <c r="O7816" s="38" t="n">
        <f aca="false">Sens!$O$7799*rpm_open*Sens!$O$7800/1000</f>
        <v>5.65745055762326</v>
      </c>
      <c r="P7816" s="5" t="s">
        <v>614</v>
      </c>
    </row>
    <row r="7817" customFormat="false" ht="17.15" hidden="false" customHeight="false" outlineLevel="0" collapsed="false">
      <c r="A7817" s="5" t="s">
        <v>615</v>
      </c>
      <c r="B7817" s="0" t="s">
        <v>173</v>
      </c>
      <c r="C7817" s="36" t="n">
        <f aca="false">Sens!$C$7816*1000/(Sens!$C$7799*Sens!$C$7800)</f>
        <v>9.67085565405685</v>
      </c>
      <c r="D7817" s="36" t="n">
        <f aca="false">Sens!$D$7816*1000/(Sens!$D$7799*Sens!$D$7800)</f>
        <v>9.67085565405685</v>
      </c>
      <c r="E7817" s="36" t="n">
        <f aca="false">Sens!$E$7816*1000/(Sens!$E$7799*Sens!$E$7800)</f>
        <v>9.67085565405685</v>
      </c>
      <c r="F7817" s="36" t="n">
        <f aca="false">Sens!$F$7816*1000/(Sens!$F$7799*Sens!$F$7800)</f>
        <v>10.0137581588017</v>
      </c>
      <c r="G7817" s="36" t="n">
        <f aca="false">Sens!$G$7816*1000/(Sens!$G$7799*Sens!$G$7800)</f>
        <v>9.88666562928478</v>
      </c>
      <c r="H7817" s="36" t="n">
        <f aca="false">Sens!$H$7816*1000/(Sens!$H$7799*Sens!$H$7800)</f>
        <v>10.5290045586992</v>
      </c>
      <c r="I7817" s="36" t="n">
        <f aca="false">Sens!$I$7816*1000/(Sens!$I$7799*Sens!$I$7800)</f>
        <v>10.8576363451674</v>
      </c>
      <c r="J7817" s="36" t="n">
        <f aca="false">Sens!$J$7816*1000/(Sens!$J$7799*Sens!$J$7800)</f>
        <v>11.0164452588619</v>
      </c>
      <c r="K7817" s="36" t="n">
        <f aca="false">Sens!$K$7816*1000/(Sens!$K$7799*Sens!$K$7800)</f>
        <v>11.0937367508227</v>
      </c>
      <c r="L7817" s="36" t="n">
        <f aca="false">Sens!$L$7816*1000/(Sens!$L$7799*Sens!$L$7800)</f>
        <v>11.1300508519168</v>
      </c>
      <c r="M7817" s="36" t="n">
        <f aca="false">Sens!$M$7816*1000/(Sens!$M$7799*Sens!$M$7800)</f>
        <v>11.1430113216297</v>
      </c>
      <c r="N7817" s="36" t="n">
        <f aca="false">Sens!$N$7816*1000/(Sens!$N$7799*Sens!$N$7800)</f>
        <v>9.67085565405685</v>
      </c>
      <c r="O7817" s="36" t="n">
        <f aca="false">Sens!$O$7816*1000/(Sens!$O$7799*Sens!$O$7800)</f>
        <v>9.67085565405685</v>
      </c>
    </row>
    <row r="7818" customFormat="false" ht="17.15" hidden="false" customHeight="false" outlineLevel="0" collapsed="false">
      <c r="A7818" s="0" t="s">
        <v>616</v>
      </c>
      <c r="B7818" s="0" t="s">
        <v>86</v>
      </c>
      <c r="C7818" s="38" t="n">
        <f aca="false">Sens!$C$7799/ext_sh*(ox_open+rent_mw)*Sens!$C$7800/1000</f>
        <v>0.642569210675032</v>
      </c>
      <c r="D7818" s="38" t="n">
        <f aca="false">Sens!$D$7799/ext_sh*(ox_open+rent_mw)*Sens!$D$7800/1000</f>
        <v>2.40963454003137</v>
      </c>
      <c r="E7818" s="38" t="n">
        <f aca="false">Sens!$E$7799/ext_sh*(ox_open+rent_mw)*Sens!$E$7800/1000</f>
        <v>2.35608710580845</v>
      </c>
      <c r="F7818" s="38" t="n">
        <f aca="false">((mw_open*ox_open+Sens!$F$7814*Sens!$F$7812)/ext_sh+Sens!$F$7799/ext_sh*rent_mw)*Sens!$F$7800/1000</f>
        <v>4.05421991106232</v>
      </c>
      <c r="G7818" s="38" t="n">
        <f aca="false">Sens!$E$7818+Sens!$F$7818</f>
        <v>6.41030701687077</v>
      </c>
      <c r="H7818" s="38" t="n">
        <f aca="false">((mw_open*ox_open+Sens!$H$7814*Sens!$H$7812)/ext_sh+Sens!$H$7799/ext_sh*rent_mw)*Sens!$H$7800/1000</f>
        <v>15.8108975546616</v>
      </c>
      <c r="I7818" s="38" t="n">
        <f aca="false">((mw_open*ox_open+Sens!$I$7814*Sens!$I$7812)/ext_sh+Sens!$I$7799/ext_sh*rent_mw)*Sens!$I$7800/1000</f>
        <v>26.1871623400817</v>
      </c>
      <c r="J7818" s="38" t="n">
        <f aca="false">((mw_open*ox_open+Sens!$J$7814*Sens!$J$7812)/ext_sh+Sens!$J$7799/ext_sh*rent_mw)*Sens!$J$7800/1000</f>
        <v>36.5826128954935</v>
      </c>
      <c r="K7818" s="38" t="n">
        <f aca="false">((mw_open*ox_open+Sens!$K$7814*Sens!$K$7812)/ext_sh+Sens!$K$7799/ext_sh*rent_mw)*Sens!$K$7800/1000</f>
        <v>45.4546361137628</v>
      </c>
      <c r="L7818" s="38" t="n">
        <f aca="false">((mw_open*ox_open+Sens!$L$7814*Sens!$L$7812)/ext_sh+Sens!$L$7799/ext_sh*rent_mw)*Sens!$L$7800/1000</f>
        <v>51.2855695554452</v>
      </c>
      <c r="M7818" s="38" t="n">
        <f aca="false">((mw_open*ox_open+Sens!$M$7814*Sens!$M$7812)/ext_sh+Sens!$M$7799/ext_sh*rent_mw)*Sens!$M$7800/1000</f>
        <v>54.0722927838398</v>
      </c>
      <c r="N7818" s="38" t="n">
        <f aca="false">Sens!$N$7799/ext_sh*(ox_open+rent_mw)*Sens!$N$7800/1000</f>
        <v>0.84337208901098</v>
      </c>
      <c r="O7818" s="38" t="n">
        <f aca="false">Sens!$O$7799/ext_sh*(ox_open+rent_mw)*Sens!$O$7800/1000</f>
        <v>1.56626245102039</v>
      </c>
    </row>
    <row r="7819" customFormat="false" ht="17.15" hidden="false" customHeight="false" outlineLevel="0" collapsed="false">
      <c r="A7819" s="0" t="s">
        <v>617</v>
      </c>
      <c r="B7819" s="0" t="s">
        <v>86</v>
      </c>
      <c r="C7819" s="38" t="n">
        <f aca="false">Q!$D$7</f>
        <v>107.556</v>
      </c>
      <c r="D7819" s="38" t="n">
        <f aca="false">Q!$E$7</f>
        <v>128.725</v>
      </c>
      <c r="E7819" s="38" t="n">
        <f aca="false">Q!$P$7</f>
        <v>79.819</v>
      </c>
      <c r="N7819" s="38" t="n">
        <f aca="false">Q!$N$7</f>
        <v>60.14</v>
      </c>
      <c r="O7819" s="38" t="n">
        <f aca="false">Q!$O$7</f>
        <v>68.585</v>
      </c>
    </row>
    <row r="7820" customFormat="false" ht="17.15" hidden="false" customHeight="false" outlineLevel="0" collapsed="false">
      <c r="A7820" s="1" t="s">
        <v>618</v>
      </c>
      <c r="B7820" s="8" t="s">
        <v>86</v>
      </c>
      <c r="C7820" s="38" t="n">
        <f aca="false">Sens!$C$7819-Sens!$C$7816</f>
        <v>105.234994643026</v>
      </c>
      <c r="D7820" s="38" t="n">
        <f aca="false">Sens!$D$7819-Sens!$D$7816</f>
        <v>120.021229911349</v>
      </c>
      <c r="E7820" s="38" t="n">
        <f aca="false">Sens!$E$7819-Sens!$E$7816</f>
        <v>71.30864702443</v>
      </c>
      <c r="F7820" s="38" t="n">
        <f aca="false">Sens!$O$7820*(1+Sens!$F$7821)</f>
        <v>71.7692997942464</v>
      </c>
      <c r="G7820" s="38" t="n">
        <f aca="false">Sens!$E$7820+Sens!$F$7820</f>
        <v>143.077946818676</v>
      </c>
      <c r="H7820" s="38" t="n">
        <f aca="false">Sens!$G$7820*(1+Sens!$H$7821)</f>
        <v>161.017077079203</v>
      </c>
      <c r="I7820" s="38" t="n">
        <f aca="false">Sens!$H$7820*(1+Sens!$I$7821)</f>
        <v>178.769759521457</v>
      </c>
      <c r="J7820" s="38" t="n">
        <f aca="false">Sens!$I$7820*(1+Sens!$J$7821)</f>
        <v>195.775538045907</v>
      </c>
      <c r="K7820" s="38" t="n">
        <f aca="false">Sens!$J$7820*(1+Sens!$K$7821)</f>
        <v>211.43758108958</v>
      </c>
      <c r="L7820" s="38" t="n">
        <f aca="false">Sens!$K$7820*(1+Sens!$L$7821)</f>
        <v>228.352587576746</v>
      </c>
      <c r="M7820" s="38" t="n">
        <f aca="false">Sens!$L$7820*(1+Sens!$M$7821)</f>
        <v>246.620794582886</v>
      </c>
      <c r="N7820" s="38" t="n">
        <f aca="false">Sens!$N$7819-Sens!$N$7816</f>
        <v>57.0936804689721</v>
      </c>
      <c r="O7820" s="38" t="n">
        <f aca="false">Sens!$O$7819-Sens!$O$7816</f>
        <v>62.9275494423768</v>
      </c>
      <c r="P7820" s="5" t="s">
        <v>619</v>
      </c>
    </row>
    <row r="7821" customFormat="false" ht="17.15" hidden="false" customHeight="false" outlineLevel="0" collapsed="false">
      <c r="A7821" s="0" t="s">
        <v>620</v>
      </c>
      <c r="B7821" s="0" t="s">
        <v>52</v>
      </c>
      <c r="D7821" s="13" t="n">
        <f aca="false">Sens!$D$7820/Sens!$C$7820-1</f>
        <v>0.140506827776062</v>
      </c>
      <c r="E7821" s="13" t="n">
        <f aca="false">Sens!$E$7820/Sens!$N$7820-1</f>
        <v>0.248976181579029</v>
      </c>
      <c r="F7821" s="13" t="n">
        <f aca="false">Sens!$D$7821</f>
        <v>0.140506827776062</v>
      </c>
      <c r="G7821" s="13" t="n">
        <f aca="false">Sens!$G$7820/Sens!$D$7820-1</f>
        <v>0.19210532106993</v>
      </c>
      <c r="H7821" s="13" t="n">
        <f aca="false">Sens!$F$7821+(g_awso_lt-Sens!$F$7821)*1/4</f>
        <v>0.125380120832046</v>
      </c>
      <c r="I7821" s="13" t="n">
        <f aca="false">Sens!$F$7821+(g_awso_lt-Sens!$F$7821)*2/4</f>
        <v>0.110253413888031</v>
      </c>
      <c r="J7821" s="13" t="n">
        <f aca="false">Sens!$F$7821+(g_awso_lt-Sens!$F$7821)*3/4</f>
        <v>0.0951267069440154</v>
      </c>
      <c r="K7821" s="13" t="n">
        <f aca="false">Sens!$F$7821+(g_awso_lt-Sens!$F$7821)*4/4</f>
        <v>0.08</v>
      </c>
      <c r="L7821" s="13" t="n">
        <f aca="false">g_awso_lt</f>
        <v>0.08</v>
      </c>
      <c r="M7821" s="13" t="n">
        <f aca="false">g_awso_lt</f>
        <v>0.08</v>
      </c>
      <c r="P7821" s="5" t="s">
        <v>621</v>
      </c>
    </row>
    <row r="7822" customFormat="false" ht="17.15" hidden="false" customHeight="false" outlineLevel="0" collapsed="false">
      <c r="A7822" s="1" t="s">
        <v>622</v>
      </c>
    </row>
    <row r="7823" customFormat="false" ht="17.15" hidden="false" customHeight="false" outlineLevel="0" collapsed="false">
      <c r="A7823" s="0" t="s">
        <v>623</v>
      </c>
      <c r="B7823" s="0" t="s">
        <v>86</v>
      </c>
      <c r="F7823" s="38" t="n">
        <f aca="false">cx_rt*Sens!$F$7788+cx_awso*Sens!$F$7820</f>
        <v>34.9734495387866</v>
      </c>
    </row>
    <row r="7824" customFormat="false" ht="17.15" hidden="false" customHeight="false" outlineLevel="0" collapsed="false">
      <c r="A7824" s="0" t="s">
        <v>624</v>
      </c>
      <c r="B7824" s="0" t="s">
        <v>52</v>
      </c>
      <c r="C7824" s="13" t="n">
        <f aca="false">tk_cx_h100/(tk_cx_h100+tk_fac*(1-colo_sh))</f>
        <v>0.730756458006641</v>
      </c>
      <c r="D7824" s="13" t="n">
        <f aca="false">tk_cx_h100/(tk_cx_h100+tk_fac*(1-colo_sh))</f>
        <v>0.730756458006641</v>
      </c>
      <c r="E7824" s="13" t="n">
        <f aca="false">Sens!$F$7824</f>
        <v>0.760792334328868</v>
      </c>
      <c r="F7824" s="13" t="n">
        <f aca="false">Sens!$F$7807/(Sens!$F$7807+tk_fac*(1-colo_sh))</f>
        <v>0.760792334328868</v>
      </c>
      <c r="G7824" s="13" t="n">
        <f aca="false">Sens!$G$7807/(Sens!$G$7807+tk_fac*(1-colo_sh))</f>
        <v>0.760792334328868</v>
      </c>
      <c r="H7824" s="13" t="n">
        <f aca="false">Sens!$H$7807/(Sens!$H$7807+tk_fac*(1-colo_sh))</f>
        <v>0.768110668862996</v>
      </c>
      <c r="I7824" s="13" t="n">
        <f aca="false">Sens!$I$7807/(Sens!$I$7807+tk_fac*(1-colo_sh))</f>
        <v>0.77499450139483</v>
      </c>
      <c r="J7824" s="13" t="n">
        <f aca="false">Sens!$J$7807/(Sens!$J$7807+tk_fac*(1-colo_sh))</f>
        <v>0.77499450139483</v>
      </c>
      <c r="K7824" s="13" t="n">
        <f aca="false">Sens!$K$7807/(Sens!$K$7807+tk_fac*(1-colo_sh))</f>
        <v>0.77499450139483</v>
      </c>
      <c r="L7824" s="13" t="n">
        <f aca="false">Sens!$L$7807/(Sens!$L$7807+tk_fac*(1-colo_sh))</f>
        <v>0.77499450139483</v>
      </c>
      <c r="M7824" s="13" t="n">
        <f aca="false">Sens!$M$7807/(Sens!$M$7807+tk_fac*(1-colo_sh))</f>
        <v>0.77499450139483</v>
      </c>
    </row>
    <row r="7825" customFormat="false" ht="17.15" hidden="false" customHeight="false" outlineLevel="0" collapsed="false">
      <c r="A7825" s="1" t="s">
        <v>625</v>
      </c>
      <c r="B7825" s="8" t="s">
        <v>86</v>
      </c>
      <c r="C7825" s="38" t="n">
        <f aca="false">Q!$D$46-cx_rt*Q!$D$16-cx_awso*Sens!$C$7820</f>
        <v>25.2781053077374</v>
      </c>
      <c r="D7825" s="38" t="n">
        <f aca="false">Q!$E$46-cx_rt*Q!$E$16-cx_awso*Sens!$D$7820</f>
        <v>69.5686316310026</v>
      </c>
      <c r="E7825" s="38" t="n">
        <f aca="false">Q!$P$46-cx_rt*Q!$P$16-cx_awso*Sens!$E$7820</f>
        <v>64.1899206485108</v>
      </c>
      <c r="F7825" s="38" t="n">
        <f aca="false">MAX(Sens!$F$7802*(Sens!$F$7807+tk_fac*(1-colo_sh))/1000,capex_g26-Q!$P$46-Sens!$F$7823)</f>
        <v>96.2481299895</v>
      </c>
      <c r="G7825" s="38" t="n">
        <f aca="false">Sens!$E$7825+Sens!$F$7825</f>
        <v>160.438050638011</v>
      </c>
      <c r="H7825" s="38" t="n">
        <f aca="false">Sens!$H$7802*(Sens!$H$7807+tk_fac*(1-colo_sh))/1000+Sens!$H$7826</f>
        <v>198.57136494475</v>
      </c>
      <c r="I7825" s="38" t="n">
        <f aca="false">Sens!$I$7802*(Sens!$I$7807+tk_fac*(1-colo_sh))/1000+Sens!$I$7826</f>
        <v>204.6464699105</v>
      </c>
      <c r="J7825" s="38" t="n">
        <f aca="false">Sens!$J$7802*(Sens!$J$7807+tk_fac*(1-colo_sh))/1000+Sens!$J$7826</f>
        <v>209.8832381105</v>
      </c>
      <c r="K7825" s="38" t="n">
        <f aca="false">Sens!$K$7802*(Sens!$K$7807+tk_fac*(1-colo_sh))/1000+Sens!$K$7826</f>
        <v>155.238385275201</v>
      </c>
      <c r="L7825" s="38" t="n">
        <f aca="false">Sens!$L$7802*(Sens!$L$7807+tk_fac*(1-colo_sh))/1000+Sens!$L$7826</f>
        <v>132.014141639902</v>
      </c>
      <c r="M7825" s="38" t="n">
        <f aca="false">Sens!$M$7802*(Sens!$M$7807+tk_fac*(1-colo_sh))/1000+Sens!$M$7826</f>
        <v>132.230981659852</v>
      </c>
      <c r="P7825" s="5" t="s">
        <v>626</v>
      </c>
      <c r="R7825" s="38" t="n">
        <f aca="false">Q!$C$46-cx_rt*Q!$C$16-cx_awso*(Q!$C$7-mw_ye23/2*rpm_open/1000)</f>
        <v>1.50429979529945</v>
      </c>
      <c r="S7825" s="38" t="n">
        <f aca="false">Sens!$C$7825</f>
        <v>25.2781053077374</v>
      </c>
      <c r="T7825" s="38" t="n">
        <f aca="false">Sens!$D$7825</f>
        <v>69.5686316310026</v>
      </c>
      <c r="U7825" s="38" t="n">
        <f aca="false">Sens!$G$7825</f>
        <v>160.438050638011</v>
      </c>
      <c r="V7825" s="38" t="n">
        <f aca="false">Sens!$H$7825</f>
        <v>198.57136494475</v>
      </c>
      <c r="W7825" s="38" t="n">
        <f aca="false">Sens!$I$7825</f>
        <v>204.6464699105</v>
      </c>
      <c r="X7825" s="38" t="n">
        <f aca="false">Sens!$J$7825</f>
        <v>209.8832381105</v>
      </c>
      <c r="Y7825" s="38" t="n">
        <f aca="false">Sens!$K$7825</f>
        <v>155.238385275201</v>
      </c>
      <c r="Z7825" s="38" t="n">
        <f aca="false">Sens!$L$7825</f>
        <v>132.014141639902</v>
      </c>
      <c r="AA7825" s="38" t="n">
        <f aca="false">Sens!$M$7825</f>
        <v>132.230981659852</v>
      </c>
    </row>
    <row r="7826" customFormat="false" ht="17.15" hidden="false" customHeight="false" outlineLevel="0" collapsed="false">
      <c r="A7826" s="0" t="s">
        <v>627</v>
      </c>
      <c r="B7826" s="0" t="s">
        <v>86</v>
      </c>
      <c r="H7826" s="38" t="n">
        <f aca="false">SUMPRODUCT(--(Sens!$R$7795:$AA$7795=2027-tk_life),Sens!$R$7802:$AA$7802)*Sens!$H$7807/1000</f>
        <v>0</v>
      </c>
      <c r="I7826" s="38" t="n">
        <f aca="false">SUMPRODUCT(--(Sens!$R$7795:$AA$7795=2028-tk_life),Sens!$R$7802:$AA$7802)*Sens!$I$7807/1000</f>
        <v>0</v>
      </c>
      <c r="J7826" s="38" t="n">
        <f aca="false">SUMPRODUCT(--(Sens!$R$7795:$AA$7795=2029-tk_life),Sens!$R$7802:$AA$7802)*Sens!$J$7807/1000</f>
        <v>5.2367682</v>
      </c>
      <c r="K7826" s="38" t="n">
        <f aca="false">SUMPRODUCT(--(Sens!$R$7795:$AA$7795=2030-tk_life),Sens!$R$7802:$AA$7802)*Sens!$K$7807/1000</f>
        <v>10.4735364</v>
      </c>
      <c r="L7826" s="38" t="n">
        <f aca="false">SUMPRODUCT(--(Sens!$R$7795:$AA$7795=2031-tk_life),Sens!$R$7802:$AA$7802)*Sens!$L$7807/1000</f>
        <v>47.1309138</v>
      </c>
      <c r="M7826" s="38" t="n">
        <f aca="false">SUMPRODUCT(--(Sens!$R$7795:$AA$7795=2032-tk_life),Sens!$R$7802:$AA$7802)*Sens!$M$7807/1000</f>
        <v>107.22937485525</v>
      </c>
    </row>
    <row r="7827" customFormat="false" ht="17.15" hidden="false" customHeight="false" outlineLevel="0" collapsed="false">
      <c r="A7827" s="5" t="s">
        <v>628</v>
      </c>
      <c r="B7827" s="0" t="s">
        <v>86</v>
      </c>
      <c r="C7827" s="38" t="n">
        <f aca="false">Sens!$C$7825*Sens!$C$7824</f>
        <v>18.472138699801</v>
      </c>
      <c r="D7827" s="38" t="n">
        <f aca="false">Sens!$D$7825*Sens!$D$7824</f>
        <v>50.8377268390402</v>
      </c>
      <c r="E7827" s="38" t="n">
        <f aca="false">Sens!$E$7825*Sens!$E$7824</f>
        <v>48.8351995705653</v>
      </c>
      <c r="F7827" s="38" t="n">
        <f aca="false">Sens!$F$7825*Sens!$F$7824</f>
        <v>73.2248394895</v>
      </c>
      <c r="G7827" s="38" t="n">
        <f aca="false">Sens!$E$7827+Sens!$F$7827</f>
        <v>122.060039060065</v>
      </c>
      <c r="H7827" s="38" t="n">
        <f aca="false">(Sens!$H$7825-Sens!$H$7826)*Sens!$H$7824+Sens!$H$7826</f>
        <v>152.52478394475</v>
      </c>
      <c r="I7827" s="38" t="n">
        <f aca="false">(Sens!$I$7825-Sens!$I$7826)*Sens!$I$7824+Sens!$I$7826</f>
        <v>158.5998889105</v>
      </c>
      <c r="J7827" s="38" t="n">
        <f aca="false">(Sens!$J$7825-Sens!$J$7826)*Sens!$J$7824+Sens!$J$7826</f>
        <v>163.8366571105</v>
      </c>
      <c r="K7827" s="38" t="n">
        <f aca="false">(Sens!$K$7825-Sens!$K$7826)*Sens!$K$7824+Sens!$K$7826</f>
        <v>122.665498273534</v>
      </c>
      <c r="L7827" s="38" t="n">
        <f aca="false">(Sens!$L$7825-Sens!$L$7826)*Sens!$L$7824+Sens!$L$7826</f>
        <v>112.914948636568</v>
      </c>
      <c r="M7827" s="38" t="n">
        <f aca="false">(Sens!$M$7825-Sens!$M$7826)*Sens!$M$7824+Sens!$M$7826</f>
        <v>126.605482654852</v>
      </c>
      <c r="R7827" s="38" t="n">
        <f aca="false">Sens!$R$7825*Sens!$C$7824</f>
        <v>1.09927679019314</v>
      </c>
      <c r="S7827" s="38" t="n">
        <f aca="false">Sens!$C$7827</f>
        <v>18.472138699801</v>
      </c>
      <c r="T7827" s="38" t="n">
        <f aca="false">Sens!$D$7827</f>
        <v>50.8377268390402</v>
      </c>
      <c r="U7827" s="38" t="n">
        <f aca="false">Sens!$G$7827</f>
        <v>122.060039060065</v>
      </c>
      <c r="V7827" s="38" t="n">
        <f aca="false">Sens!$H$7827</f>
        <v>152.52478394475</v>
      </c>
      <c r="W7827" s="38" t="n">
        <f aca="false">Sens!$I$7827</f>
        <v>158.5998889105</v>
      </c>
      <c r="X7827" s="38" t="n">
        <f aca="false">Sens!$J$7827</f>
        <v>163.8366571105</v>
      </c>
      <c r="Y7827" s="38" t="n">
        <f aca="false">Sens!$K$7827</f>
        <v>122.665498273534</v>
      </c>
      <c r="Z7827" s="38" t="n">
        <f aca="false">Sens!$L$7827</f>
        <v>112.914948636568</v>
      </c>
      <c r="AA7827" s="38" t="n">
        <f aca="false">Sens!$M$7827</f>
        <v>126.605482654852</v>
      </c>
    </row>
    <row r="7828" customFormat="false" ht="15" hidden="false" customHeight="false" outlineLevel="0" collapsed="false">
      <c r="A7828" s="5" t="s">
        <v>629</v>
      </c>
      <c r="B7828" s="0" t="s">
        <v>86</v>
      </c>
      <c r="C7828" s="38" t="n">
        <f aca="false">Sens!$C$7825-Sens!$C$7827</f>
        <v>6.80596660793636</v>
      </c>
      <c r="D7828" s="38" t="n">
        <f aca="false">Sens!$D$7825-Sens!$D$7827</f>
        <v>18.7309047919624</v>
      </c>
      <c r="E7828" s="38" t="n">
        <f aca="false">Sens!$E$7825-Sens!$E$7827</f>
        <v>15.3547210779455</v>
      </c>
      <c r="F7828" s="38" t="n">
        <f aca="false">Sens!$F$7825-Sens!$F$7827</f>
        <v>23.0232905</v>
      </c>
      <c r="G7828" s="38" t="n">
        <f aca="false">Sens!$G$7825-Sens!$G$7827</f>
        <v>38.3780115779455</v>
      </c>
      <c r="H7828" s="38" t="n">
        <f aca="false">Sens!$H$7825-Sens!$H$7827</f>
        <v>46.046581</v>
      </c>
      <c r="I7828" s="38" t="n">
        <f aca="false">Sens!$I$7825-Sens!$I$7827</f>
        <v>46.046581</v>
      </c>
      <c r="J7828" s="38" t="n">
        <f aca="false">Sens!$J$7825-Sens!$J$7827</f>
        <v>46.046581</v>
      </c>
      <c r="K7828" s="38" t="n">
        <f aca="false">Sens!$K$7825-Sens!$K$7827</f>
        <v>32.5728870016667</v>
      </c>
      <c r="L7828" s="38" t="n">
        <f aca="false">Sens!$L$7825-Sens!$L$7827</f>
        <v>19.0991930033334</v>
      </c>
      <c r="M7828" s="38" t="n">
        <f aca="false">Sens!$M$7825-Sens!$M$7827</f>
        <v>5.62549900499998</v>
      </c>
      <c r="R7828" s="38" t="n">
        <f aca="false">Sens!$R$7825-Sens!$R$7827</f>
        <v>0.405023005106309</v>
      </c>
      <c r="S7828" s="38" t="n">
        <f aca="false">Sens!$S$7825-Sens!$S$7827</f>
        <v>6.80596660793636</v>
      </c>
      <c r="T7828" s="38" t="n">
        <f aca="false">Sens!$T$7825-Sens!$T$7827</f>
        <v>18.7309047919624</v>
      </c>
      <c r="U7828" s="38" t="n">
        <f aca="false">Sens!$U$7825-Sens!$U$7827</f>
        <v>38.3780115779455</v>
      </c>
      <c r="V7828" s="38" t="n">
        <f aca="false">Sens!$V$7825-Sens!$V$7827</f>
        <v>46.046581</v>
      </c>
      <c r="W7828" s="38" t="n">
        <f aca="false">Sens!$W$7825-Sens!$W$7827</f>
        <v>46.046581</v>
      </c>
      <c r="X7828" s="38" t="n">
        <f aca="false">Sens!$X$7825-Sens!$X$7827</f>
        <v>46.046581</v>
      </c>
      <c r="Y7828" s="38" t="n">
        <f aca="false">Sens!$Y$7825-Sens!$Y$7827</f>
        <v>32.5728870016667</v>
      </c>
      <c r="Z7828" s="38" t="n">
        <f aca="false">Sens!$Z$7825-Sens!$Z$7827</f>
        <v>19.0991930033334</v>
      </c>
      <c r="AA7828" s="38" t="n">
        <f aca="false">Sens!$AA$7825-Sens!$AA$7827</f>
        <v>5.62549900499998</v>
      </c>
    </row>
    <row r="7829" customFormat="false" ht="17.15" hidden="false" customHeight="false" outlineLevel="0" collapsed="false">
      <c r="A7829" s="0" t="s">
        <v>630</v>
      </c>
      <c r="B7829" s="0" t="s">
        <v>52</v>
      </c>
      <c r="C7829" s="13" t="n">
        <f aca="false">Sens!$C$7825/Sens!$C$7945</f>
        <v>0.325505489553393</v>
      </c>
      <c r="D7829" s="13" t="n">
        <f aca="false">Sens!$D$7825/Sens!$D$7945</f>
        <v>0.54214956071542</v>
      </c>
      <c r="E7829" s="13" t="n">
        <f aca="false">Sens!$E$7825/Sens!$E$7945</f>
        <v>0.666492790452817</v>
      </c>
      <c r="F7829" s="13" t="n">
        <f aca="false">Sens!$F$7825/Sens!$F$7945</f>
        <v>0.733477910687338</v>
      </c>
      <c r="G7829" s="13" t="n">
        <f aca="false">Sens!$G$7825/Sens!$G$7945</f>
        <v>0.705124321514523</v>
      </c>
      <c r="H7829" s="13" t="n">
        <f aca="false">Sens!$H$7825/Sens!$H$7945</f>
        <v>0.726376041178204</v>
      </c>
      <c r="I7829" s="13" t="n">
        <f aca="false">Sens!$I$7825/Sens!$I$7945</f>
        <v>0.713099092661699</v>
      </c>
      <c r="J7829" s="13" t="n">
        <f aca="false">Sens!$J$7825/Sens!$J$7945</f>
        <v>0.701208348786245</v>
      </c>
      <c r="K7829" s="13" t="n">
        <f aca="false">Sens!$K$7825/Sens!$K$7945</f>
        <v>0.618338844562383</v>
      </c>
      <c r="L7829" s="13" t="n">
        <f aca="false">Sens!$L$7825/Sens!$L$7945</f>
        <v>0.562489158462506</v>
      </c>
      <c r="M7829" s="13" t="n">
        <f aca="false">Sens!$M$7825/Sens!$M$7945</f>
        <v>0.545751190895923</v>
      </c>
    </row>
    <row r="7830" customFormat="false" ht="17.15" hidden="false" customHeight="false" outlineLevel="0" collapsed="false">
      <c r="A7830" s="0" t="s">
        <v>631</v>
      </c>
      <c r="B7830" s="0" t="s">
        <v>86</v>
      </c>
      <c r="C7830" s="38" t="n">
        <f aca="false">Sens!$S$7830</f>
        <v>0.183212798365523</v>
      </c>
      <c r="D7830" s="38" t="n">
        <f aca="false">Sens!$T$7830</f>
        <v>3.2619025816657</v>
      </c>
      <c r="E7830" s="38" t="n">
        <f aca="false">Sens!$G$7830/2</f>
        <v>5.86742852741953</v>
      </c>
      <c r="F7830" s="38" t="n">
        <f aca="false">Sens!$G$7830/2</f>
        <v>5.86742852741953</v>
      </c>
      <c r="G7830" s="38" t="n">
        <f aca="false">Sens!$U$7830</f>
        <v>11.7348570548391</v>
      </c>
      <c r="H7830" s="38" t="n">
        <f aca="false">Sens!$V$7830</f>
        <v>32.0781968981833</v>
      </c>
      <c r="I7830" s="38" t="n">
        <f aca="false">Sens!$W$7830</f>
        <v>57.4989942223083</v>
      </c>
      <c r="J7830" s="38" t="n">
        <f aca="false">Sens!$X$7830</f>
        <v>83.932309040725</v>
      </c>
      <c r="K7830" s="38" t="n">
        <f aca="false">Sens!$Y$7830</f>
        <v>111.055205760776</v>
      </c>
      <c r="L7830" s="38" t="n">
        <f aca="false">Sens!$Z$7830</f>
        <v>128.420765689732</v>
      </c>
      <c r="M7830" s="38" t="n">
        <f aca="false">Sens!$AA$7830</f>
        <v>138.766969322653</v>
      </c>
      <c r="N7830" s="38" t="n">
        <f aca="false">Sens!$D$7830/2</f>
        <v>1.63095129083285</v>
      </c>
      <c r="O7830" s="38" t="n">
        <f aca="false">Sens!$D$7830/2</f>
        <v>1.63095129083285</v>
      </c>
      <c r="R7830" s="38" t="n">
        <f aca="false">SUMPRODUCT(--(Sens!$R$7795:$AA$7795&lt;Sens!R$7795),--(Sens!$R$7795:$AA$7795&gt;=Sens!R$7795-tk_life),Sens!$R$7827:$AA$7827)/tk_life</f>
        <v>0</v>
      </c>
      <c r="S7830" s="38" t="n">
        <f aca="false">SUMPRODUCT(--(Sens!$R$7795:$AA$7795&lt;Sens!S$7795),--(Sens!$R$7795:$AA$7795&gt;=Sens!S$7795-tk_life),Sens!$R$7827:$AA$7827)/tk_life</f>
        <v>0.183212798365523</v>
      </c>
      <c r="T7830" s="38" t="n">
        <f aca="false">SUMPRODUCT(--(Sens!$R$7795:$AA$7795&lt;Sens!T$7795),--(Sens!$R$7795:$AA$7795&gt;=Sens!T$7795-tk_life),Sens!$R$7827:$AA$7827)/tk_life</f>
        <v>3.2619025816657</v>
      </c>
      <c r="U7830" s="38" t="n">
        <f aca="false">SUMPRODUCT(--(Sens!$R$7795:$AA$7795&lt;Sens!U$7795),--(Sens!$R$7795:$AA$7795&gt;=Sens!U$7795-tk_life),Sens!$R$7827:$AA$7827)/tk_life</f>
        <v>11.7348570548391</v>
      </c>
      <c r="V7830" s="38" t="n">
        <f aca="false">SUMPRODUCT(--(Sens!$R$7795:$AA$7795&lt;Sens!V$7795),--(Sens!$R$7795:$AA$7795&gt;=Sens!V$7795-tk_life),Sens!$R$7827:$AA$7827)/tk_life</f>
        <v>32.0781968981833</v>
      </c>
      <c r="W7830" s="38" t="n">
        <f aca="false">SUMPRODUCT(--(Sens!$R$7795:$AA$7795&lt;Sens!W$7795),--(Sens!$R$7795:$AA$7795&gt;=Sens!W$7795-tk_life),Sens!$R$7827:$AA$7827)/tk_life</f>
        <v>57.4989942223083</v>
      </c>
      <c r="X7830" s="38" t="n">
        <f aca="false">SUMPRODUCT(--(Sens!$R$7795:$AA$7795&lt;Sens!X$7795),--(Sens!$R$7795:$AA$7795&gt;=Sens!X$7795-tk_life),Sens!$R$7827:$AA$7827)/tk_life</f>
        <v>83.932309040725</v>
      </c>
      <c r="Y7830" s="38" t="n">
        <f aca="false">SUMPRODUCT(--(Sens!$R$7795:$AA$7795&lt;Sens!Y$7795),--(Sens!$R$7795:$AA$7795&gt;=Sens!Y$7795-tk_life),Sens!$R$7827:$AA$7827)/tk_life</f>
        <v>111.055205760776</v>
      </c>
      <c r="Z7830" s="38" t="n">
        <f aca="false">SUMPRODUCT(--(Sens!$R$7795:$AA$7795&lt;Sens!Z$7795),--(Sens!$R$7795:$AA$7795&gt;=Sens!Z$7795-tk_life),Sens!$R$7827:$AA$7827)/tk_life</f>
        <v>128.420765689732</v>
      </c>
      <c r="AA7830" s="38" t="n">
        <f aca="false">SUMPRODUCT(--(Sens!$R$7795:$AA$7795&lt;Sens!AA$7795),--(Sens!$R$7795:$AA$7795&gt;=Sens!AA$7795-tk_life),Sens!$R$7827:$AA$7827)/tk_life</f>
        <v>138.766969322653</v>
      </c>
    </row>
    <row r="7831" customFormat="false" ht="17.15" hidden="false" customHeight="false" outlineLevel="0" collapsed="false">
      <c r="A7831" s="0" t="s">
        <v>632</v>
      </c>
      <c r="B7831" s="0" t="s">
        <v>86</v>
      </c>
      <c r="C7831" s="38" t="n">
        <f aca="false">Sens!$S$7831</f>
        <v>0.0202511502553155</v>
      </c>
      <c r="D7831" s="38" t="n">
        <f aca="false">Sens!$T$7831</f>
        <v>0.360549480652134</v>
      </c>
      <c r="E7831" s="38" t="n">
        <f aca="false">Sens!$G$7831/2</f>
        <v>0.648547360125127</v>
      </c>
      <c r="F7831" s="38" t="n">
        <f aca="false">Sens!$G$7831/2</f>
        <v>0.648547360125127</v>
      </c>
      <c r="G7831" s="38" t="n">
        <f aca="false">Sens!$U$7831</f>
        <v>1.29709472025025</v>
      </c>
      <c r="H7831" s="38" t="n">
        <f aca="false">Sens!$V$7831</f>
        <v>3.21599529914753</v>
      </c>
      <c r="I7831" s="38" t="n">
        <f aca="false">Sens!$W$7831</f>
        <v>5.51832434914753</v>
      </c>
      <c r="J7831" s="38" t="n">
        <f aca="false">Sens!$X$7831</f>
        <v>7.82065339914753</v>
      </c>
      <c r="K7831" s="38" t="n">
        <f aca="false">Sens!$Y$7831</f>
        <v>10.1229824491475</v>
      </c>
      <c r="L7831" s="38" t="n">
        <f aca="false">Sens!$Z$7831</f>
        <v>11.7516267992309</v>
      </c>
      <c r="M7831" s="38" t="n">
        <f aca="false">Sens!$AA$7831</f>
        <v>12.7065864493975</v>
      </c>
      <c r="N7831" s="38" t="n">
        <f aca="false">Sens!$D$7831/2</f>
        <v>0.180274740326067</v>
      </c>
      <c r="O7831" s="38" t="n">
        <f aca="false">Sens!$D$7831/2</f>
        <v>0.180274740326067</v>
      </c>
      <c r="R7831" s="38" t="n">
        <f aca="false">SUMPRODUCT(--(Sens!$R$7795:$AA$7795&lt;Sens!R$7795),Sens!$R$7828:$AA$7828)/fac_life</f>
        <v>0</v>
      </c>
      <c r="S7831" s="38" t="n">
        <f aca="false">SUMPRODUCT(--(Sens!$R$7795:$AA$7795&lt;Sens!S$7795),Sens!$R$7828:$AA$7828)/fac_life</f>
        <v>0.0202511502553155</v>
      </c>
      <c r="T7831" s="38" t="n">
        <f aca="false">SUMPRODUCT(--(Sens!$R$7795:$AA$7795&lt;Sens!T$7795),Sens!$R$7828:$AA$7828)/fac_life</f>
        <v>0.360549480652134</v>
      </c>
      <c r="U7831" s="38" t="n">
        <f aca="false">SUMPRODUCT(--(Sens!$R$7795:$AA$7795&lt;Sens!U$7795),Sens!$R$7828:$AA$7828)/fac_life</f>
        <v>1.29709472025025</v>
      </c>
      <c r="V7831" s="38" t="n">
        <f aca="false">SUMPRODUCT(--(Sens!$R$7795:$AA$7795&lt;Sens!V$7795),Sens!$R$7828:$AA$7828)/fac_life</f>
        <v>3.21599529914753</v>
      </c>
      <c r="W7831" s="38" t="n">
        <f aca="false">SUMPRODUCT(--(Sens!$R$7795:$AA$7795&lt;Sens!W$7795),Sens!$R$7828:$AA$7828)/fac_life</f>
        <v>5.51832434914753</v>
      </c>
      <c r="X7831" s="38" t="n">
        <f aca="false">SUMPRODUCT(--(Sens!$R$7795:$AA$7795&lt;Sens!X$7795),Sens!$R$7828:$AA$7828)/fac_life</f>
        <v>7.82065339914753</v>
      </c>
      <c r="Y7831" s="38" t="n">
        <f aca="false">SUMPRODUCT(--(Sens!$R$7795:$AA$7795&lt;Sens!Y$7795),Sens!$R$7828:$AA$7828)/fac_life</f>
        <v>10.1229824491475</v>
      </c>
      <c r="Z7831" s="38" t="n">
        <f aca="false">SUMPRODUCT(--(Sens!$R$7795:$AA$7795&lt;Sens!Z$7795),Sens!$R$7828:$AA$7828)/fac_life</f>
        <v>11.7516267992309</v>
      </c>
      <c r="AA7831" s="38" t="n">
        <f aca="false">SUMPRODUCT(--(Sens!$R$7795:$AA$7795&lt;Sens!AA$7795),Sens!$R$7828:$AA$7828)/fac_life</f>
        <v>12.7065864493975</v>
      </c>
    </row>
    <row r="7832" customFormat="false" ht="17.15" hidden="false" customHeight="false" outlineLevel="0" collapsed="false">
      <c r="A7832" s="1" t="s">
        <v>633</v>
      </c>
      <c r="B7832" s="8" t="s">
        <v>86</v>
      </c>
      <c r="C7832" s="38" t="n">
        <f aca="false">Sens!$C$7830+Sens!$C$7831</f>
        <v>0.203463948620839</v>
      </c>
      <c r="D7832" s="38" t="n">
        <f aca="false">Sens!$D$7830+Sens!$D$7831</f>
        <v>3.62245206231783</v>
      </c>
      <c r="E7832" s="38" t="n">
        <f aca="false">Sens!$E$7830+Sens!$E$7831</f>
        <v>6.51597588754466</v>
      </c>
      <c r="F7832" s="38" t="n">
        <f aca="false">Sens!$F$7830+Sens!$F$7831</f>
        <v>6.51597588754466</v>
      </c>
      <c r="G7832" s="38" t="n">
        <f aca="false">Sens!$G$7830+Sens!$G$7831</f>
        <v>13.0319517750893</v>
      </c>
      <c r="H7832" s="38" t="n">
        <f aca="false">Sens!$H$7830+Sens!$H$7831</f>
        <v>35.2941921973308</v>
      </c>
      <c r="I7832" s="38" t="n">
        <f aca="false">Sens!$I$7830+Sens!$I$7831</f>
        <v>63.0173185714558</v>
      </c>
      <c r="J7832" s="38" t="n">
        <f aca="false">Sens!$J$7830+Sens!$J$7831</f>
        <v>91.7529624398725</v>
      </c>
      <c r="K7832" s="38" t="n">
        <f aca="false">Sens!$K$7830+Sens!$K$7831</f>
        <v>121.178188209924</v>
      </c>
      <c r="L7832" s="38" t="n">
        <f aca="false">Sens!$L$7830+Sens!$L$7831</f>
        <v>140.172392488963</v>
      </c>
      <c r="M7832" s="38" t="n">
        <f aca="false">Sens!$M$7830+Sens!$M$7831</f>
        <v>151.473555772051</v>
      </c>
      <c r="N7832" s="38" t="n">
        <f aca="false">Sens!$N$7830+Sens!$N$7831</f>
        <v>1.81122603115892</v>
      </c>
      <c r="O7832" s="38" t="n">
        <f aca="false">Sens!$O$7830+Sens!$O$7831</f>
        <v>1.81122603115892</v>
      </c>
      <c r="R7832" s="38" t="n">
        <f aca="false">Sens!$R$7830+Sens!$R$7831</f>
        <v>0</v>
      </c>
      <c r="S7832" s="38" t="n">
        <f aca="false">Sens!$S$7830+Sens!$S$7831</f>
        <v>0.203463948620839</v>
      </c>
      <c r="T7832" s="38" t="n">
        <f aca="false">Sens!$T$7830+Sens!$T$7831</f>
        <v>3.62245206231783</v>
      </c>
      <c r="U7832" s="38" t="n">
        <f aca="false">Sens!$U$7830+Sens!$U$7831</f>
        <v>13.0319517750893</v>
      </c>
      <c r="V7832" s="38" t="n">
        <f aca="false">Sens!$V$7830+Sens!$V$7831</f>
        <v>35.2941921973308</v>
      </c>
      <c r="W7832" s="38" t="n">
        <f aca="false">Sens!$W$7830+Sens!$W$7831</f>
        <v>63.0173185714558</v>
      </c>
      <c r="X7832" s="38" t="n">
        <f aca="false">Sens!$X$7830+Sens!$X$7831</f>
        <v>91.7529624398725</v>
      </c>
      <c r="Y7832" s="38" t="n">
        <f aca="false">Sens!$Y$7830+Sens!$Y$7831</f>
        <v>121.178188209924</v>
      </c>
      <c r="Z7832" s="38" t="n">
        <f aca="false">Sens!$Z$7830+Sens!$Z$7831</f>
        <v>140.172392488963</v>
      </c>
      <c r="AA7832" s="38" t="n">
        <f aca="false">Sens!$AA$7830+Sens!$AA$7831</f>
        <v>151.473555772051</v>
      </c>
    </row>
    <row r="7833" customFormat="false" ht="17.15" hidden="false" customHeight="false" outlineLevel="0" collapsed="false">
      <c r="A7833" s="0" t="s">
        <v>634</v>
      </c>
      <c r="B7833" s="0" t="s">
        <v>86</v>
      </c>
      <c r="C7833" s="38" t="n">
        <f aca="false">Sens!$S$7833</f>
        <v>26.578941154416</v>
      </c>
      <c r="D7833" s="38" t="n">
        <f aca="false">Sens!$T$7833</f>
        <v>92.5251207231008</v>
      </c>
      <c r="G7833" s="38" t="n">
        <f aca="false">Sens!$U$7833</f>
        <v>239.931219586022</v>
      </c>
      <c r="H7833" s="38" t="n">
        <f aca="false">Sens!$V$7833</f>
        <v>403.208392333442</v>
      </c>
      <c r="I7833" s="38" t="n">
        <f aca="false">Sens!$W$7833</f>
        <v>544.837543672486</v>
      </c>
      <c r="J7833" s="38" t="n">
        <f aca="false">Sens!$X$7833</f>
        <v>662.967819343113</v>
      </c>
      <c r="K7833" s="38" t="n">
        <f aca="false">Sens!$Y$7833</f>
        <v>697.028016408391</v>
      </c>
      <c r="L7833" s="38" t="n">
        <f aca="false">Sens!$Z$7833</f>
        <v>688.86976555933</v>
      </c>
      <c r="M7833" s="38" t="n">
        <f aca="false">Sens!$AA$7833</f>
        <v>669.627191447132</v>
      </c>
      <c r="R7833" s="38" t="n">
        <f aca="false">SUM(Sens!$R$7825:$R$7825)-SUM(Sens!$R$7832:$R$7832)</f>
        <v>1.50429979529945</v>
      </c>
      <c r="S7833" s="38" t="n">
        <f aca="false">SUM(Sens!$R$7825:$S$7825)-SUM(Sens!$R$7832:$S$7832)</f>
        <v>26.578941154416</v>
      </c>
      <c r="T7833" s="38" t="n">
        <f aca="false">SUM(Sens!$R$7825:$T$7825)-SUM(Sens!$R$7832:$T$7832)</f>
        <v>92.5251207231008</v>
      </c>
      <c r="U7833" s="38" t="n">
        <f aca="false">SUM(Sens!$R$7825:$U$7825)-SUM(Sens!$R$7832:$U$7832)</f>
        <v>239.931219586022</v>
      </c>
      <c r="V7833" s="38" t="n">
        <f aca="false">SUM(Sens!$R$7825:$V$7825)-SUM(Sens!$R$7832:$V$7832)</f>
        <v>403.208392333442</v>
      </c>
      <c r="W7833" s="38" t="n">
        <f aca="false">SUM(Sens!$R$7825:$W$7825)-SUM(Sens!$R$7832:$W$7832)</f>
        <v>544.837543672486</v>
      </c>
      <c r="X7833" s="38" t="n">
        <f aca="false">SUM(Sens!$R$7825:$X$7825)-SUM(Sens!$R$7832:$X$7832)</f>
        <v>662.967819343113</v>
      </c>
      <c r="Y7833" s="38" t="n">
        <f aca="false">SUM(Sens!$R$7825:$Y$7825)-SUM(Sens!$R$7832:$Y$7832)</f>
        <v>697.028016408391</v>
      </c>
      <c r="Z7833" s="38" t="n">
        <f aca="false">SUM(Sens!$R$7825:$Z$7825)-SUM(Sens!$R$7832:$Z$7832)</f>
        <v>688.86976555933</v>
      </c>
      <c r="AA7833" s="38" t="n">
        <f aca="false">SUM(Sens!$R$7825:$AA$7825)-SUM(Sens!$R$7832:$AA$7832)</f>
        <v>669.627191447132</v>
      </c>
    </row>
    <row r="7834" customFormat="false" ht="17.15" hidden="false" customHeight="false" outlineLevel="0" collapsed="false">
      <c r="A7834" s="1" t="s">
        <v>635</v>
      </c>
    </row>
    <row r="7835" customFormat="false" ht="17.15" hidden="false" customHeight="false" outlineLevel="0" collapsed="false">
      <c r="A7835" s="0" t="s">
        <v>636</v>
      </c>
      <c r="B7835" s="0" t="s">
        <v>86</v>
      </c>
      <c r="C7835" s="38" t="n">
        <f aca="false">Sens!$C$7816-ext_sh*Sens!$C$7818</f>
        <v>1.80694998843362</v>
      </c>
      <c r="D7835" s="38" t="n">
        <f aca="false">Sens!$D$7816-ext_sh*Sens!$D$7818</f>
        <v>6.77606245662607</v>
      </c>
      <c r="E7835" s="38" t="n">
        <f aca="false">Sens!$E$7816-ext_sh*Sens!$E$7818</f>
        <v>6.62548329092326</v>
      </c>
      <c r="F7835" s="38" t="n">
        <f aca="false">Sens!$F$7816-ext_sh*Sens!$F$7818</f>
        <v>11.7200577158706</v>
      </c>
      <c r="G7835" s="38" t="n">
        <f aca="false">Sens!$G$7816-ext_sh*Sens!$G$7818</f>
        <v>18.3455410067939</v>
      </c>
      <c r="H7835" s="38" t="n">
        <f aca="false">Sens!$H$7816-ext_sh*Sens!$H$7818</f>
        <v>47.5171727060453</v>
      </c>
      <c r="I7835" s="38" t="n">
        <f aca="false">Sens!$I$7816-ext_sh*Sens!$I$7818</f>
        <v>80.5539692643667</v>
      </c>
      <c r="J7835" s="38" t="n">
        <f aca="false">Sens!$J$7816-ext_sh*Sens!$J$7818</f>
        <v>113.759316834883</v>
      </c>
      <c r="K7835" s="38" t="n">
        <f aca="false">Sens!$K$7816-ext_sh*Sens!$K$7818</f>
        <v>142.084411492169</v>
      </c>
      <c r="L7835" s="38" t="n">
        <f aca="false">Sens!$L$7816-ext_sh*Sens!$L$7818</f>
        <v>160.69964615804</v>
      </c>
      <c r="M7835" s="38" t="n">
        <f aca="false">Sens!$M$7816-ext_sh*Sens!$M$7818</f>
        <v>169.577607141793</v>
      </c>
      <c r="N7835" s="38" t="n">
        <f aca="false">Sens!$N$7816-ext_sh*Sens!$N$7818</f>
        <v>2.37162185981912</v>
      </c>
      <c r="O7835" s="38" t="n">
        <f aca="false">Sens!$O$7816-ext_sh*Sens!$O$7818</f>
        <v>4.40444059680694</v>
      </c>
    </row>
    <row r="7836" customFormat="false" ht="17.15" hidden="false" customHeight="false" outlineLevel="0" collapsed="false">
      <c r="A7836" s="1" t="s">
        <v>637</v>
      </c>
      <c r="B7836" s="8" t="s">
        <v>86</v>
      </c>
      <c r="C7836" s="38" t="n">
        <f aca="false">Sens!$C$7835-ext_sh*Sens!$C$7832</f>
        <v>1.64417882953695</v>
      </c>
      <c r="D7836" s="38" t="n">
        <f aca="false">Sens!$D$7835-ext_sh*Sens!$D$7832</f>
        <v>3.8781008067718</v>
      </c>
      <c r="E7836" s="38" t="n">
        <f aca="false">Sens!$E$7835-ext_sh*Sens!$E$7832</f>
        <v>1.41270258088753</v>
      </c>
      <c r="F7836" s="38" t="n">
        <f aca="false">Sens!$F$7835-ext_sh*Sens!$F$7832</f>
        <v>6.50727700583486</v>
      </c>
      <c r="G7836" s="38" t="n">
        <f aca="false">Sens!$G$7835-ext_sh*Sens!$G$7832</f>
        <v>7.9199795867224</v>
      </c>
      <c r="H7836" s="38" t="n">
        <f aca="false">Sens!$H$7835-ext_sh*Sens!$H$7832</f>
        <v>19.2818189481807</v>
      </c>
      <c r="I7836" s="38" t="n">
        <f aca="false">Sens!$I$7835-ext_sh*Sens!$I$7832</f>
        <v>30.140114407202</v>
      </c>
      <c r="J7836" s="38" t="n">
        <f aca="false">Sens!$J$7835-ext_sh*Sens!$J$7832</f>
        <v>40.3569468829854</v>
      </c>
      <c r="K7836" s="38" t="n">
        <f aca="false">Sens!$K$7835-ext_sh*Sens!$K$7832</f>
        <v>45.1418609242305</v>
      </c>
      <c r="L7836" s="38" t="n">
        <f aca="false">Sens!$L$7835-ext_sh*Sens!$L$7832</f>
        <v>48.5617321668703</v>
      </c>
      <c r="M7836" s="38" t="n">
        <f aca="false">Sens!$M$7835-ext_sh*Sens!$M$7832</f>
        <v>48.3987625241529</v>
      </c>
      <c r="N7836" s="38" t="n">
        <f aca="false">Sens!$N$7835-ext_sh*Sens!$N$7832</f>
        <v>0.92264103489199</v>
      </c>
      <c r="O7836" s="38" t="n">
        <f aca="false">Sens!$O$7835-ext_sh*Sens!$O$7832</f>
        <v>2.95545977187981</v>
      </c>
    </row>
    <row r="7837" customFormat="false" ht="17.15" hidden="false" customHeight="false" outlineLevel="0" collapsed="false">
      <c r="A7837" s="0" t="s">
        <v>638</v>
      </c>
      <c r="B7837" s="0" t="s">
        <v>52</v>
      </c>
      <c r="C7837" s="13" t="n">
        <f aca="false">Sens!$C$7836/Sens!$C$7816</f>
        <v>0.708390794789371</v>
      </c>
      <c r="D7837" s="13" t="n">
        <f aca="false">Sens!$D$7836/Sens!$D$7816</f>
        <v>0.445565630441968</v>
      </c>
      <c r="E7837" s="13" t="n">
        <f aca="false">Sens!$E$7836/Sens!$E$7816</f>
        <v>0.165998118402711</v>
      </c>
      <c r="F7837" s="13" t="n">
        <f aca="false">Sens!$F$7836/Sens!$F$7816</f>
        <v>0.434878595403858</v>
      </c>
      <c r="G7837" s="13" t="n">
        <f aca="false">Sens!$G$7836/Sens!$G$7816</f>
        <v>0.3373967615381</v>
      </c>
      <c r="H7837" s="13" t="n">
        <f aca="false">Sens!$H$7836/Sens!$H$7816</f>
        <v>0.320477578041224</v>
      </c>
      <c r="I7837" s="13" t="n">
        <f aca="false">Sens!$I$7836/Sens!$I$7816</f>
        <v>0.296936118226494</v>
      </c>
      <c r="J7837" s="13" t="n">
        <f aca="false">Sens!$J$7836/Sens!$J$7816</f>
        <v>0.282166278613001</v>
      </c>
      <c r="K7837" s="13" t="n">
        <f aca="false">Sens!$K$7836/Sens!$K$7816</f>
        <v>0.252969102881543</v>
      </c>
      <c r="L7837" s="13" t="n">
        <f aca="false">Sens!$L$7836/Sens!$L$7816</f>
        <v>0.240728642826566</v>
      </c>
      <c r="M7837" s="13" t="n">
        <f aca="false">Sens!$M$7836/Sens!$M$7816</f>
        <v>0.227399920863147</v>
      </c>
      <c r="N7837" s="13" t="n">
        <f aca="false">Sens!$N$7836/Sens!$N$7816</f>
        <v>0.302870734830849</v>
      </c>
      <c r="O7837" s="13" t="n">
        <f aca="false">Sens!$O$7836/Sens!$O$7816</f>
        <v>0.52240134346334</v>
      </c>
    </row>
    <row r="7838" customFormat="false" ht="17.15" hidden="false" customHeight="false" outlineLevel="0" collapsed="false">
      <c r="A7838" s="5" t="s">
        <v>639</v>
      </c>
      <c r="B7838" s="0" t="s">
        <v>86</v>
      </c>
      <c r="C7838" s="39" t="n">
        <v>0</v>
      </c>
      <c r="D7838" s="39" t="n">
        <v>0</v>
      </c>
      <c r="E7838" s="39" t="n">
        <v>0</v>
      </c>
      <c r="F7838" s="38" t="n">
        <f aca="false">IF(internal_ai_reading=2,1,0)*(1-ext_sh)/ext_sh*(mw_open*he_open+Sens!$F$7814*Sens!$F$7811)*Sens!$F$7800/1000</f>
        <v>3.77122048175818</v>
      </c>
      <c r="G7838" s="38" t="n">
        <f aca="false">Sens!$E$7838+Sens!$F$7838</f>
        <v>3.77122048175818</v>
      </c>
      <c r="H7838" s="38" t="n">
        <f aca="false">IF(internal_ai_reading=2,1,0)*(1-ext_sh)/ext_sh*(mw_open*he_open+Sens!$H$7814*Sens!$H$7811)*Sens!$H$7800/1000</f>
        <v>15.1635543609893</v>
      </c>
      <c r="I7838" s="38" t="n">
        <f aca="false">IF(internal_ai_reading=2,1,0)*(1-ext_sh)/ext_sh*(mw_open*he_open+Sens!$I$7814*Sens!$I$7811)*Sens!$I$7800/1000</f>
        <v>25.5818843619889</v>
      </c>
      <c r="J7838" s="38" t="n">
        <f aca="false">IF(internal_ai_reading=2,1,0)*(1-ext_sh)/ext_sh*(mw_open*he_open+Sens!$J$7814*Sens!$J$7811)*Sens!$J$7800/1000</f>
        <v>36.0465624179122</v>
      </c>
      <c r="K7838" s="38" t="n">
        <f aca="false">IF(internal_ai_reading=2,1,0)*(1-ext_sh)/ext_sh*(mw_open*he_open+Sens!$K$7814*Sens!$K$7811)*Sens!$K$7800/1000</f>
        <v>44.9741164026038</v>
      </c>
      <c r="L7838" s="38" t="n">
        <f aca="false">IF(internal_ai_reading=2,1,0)*(1-ext_sh)/ext_sh*(mw_open*he_open+Sens!$L$7814*Sens!$L$7811)*Sens!$L$7800/1000</f>
        <v>50.8413488057813</v>
      </c>
      <c r="M7838" s="38" t="n">
        <f aca="false">IF(internal_ai_reading=2,1,0)*(1-ext_sh)/ext_sh*(mw_open*he_open+Sens!$M$7814*Sens!$M$7811)*Sens!$M$7800/1000</f>
        <v>53.6407214274315</v>
      </c>
      <c r="N7838" s="39" t="n">
        <v>0</v>
      </c>
      <c r="O7838" s="39" t="n">
        <v>0</v>
      </c>
      <c r="P7838" s="8" t="s">
        <v>640</v>
      </c>
    </row>
    <row r="7839" customFormat="false" ht="17.15" hidden="false" customHeight="false" outlineLevel="0" collapsed="false">
      <c r="A7839" s="5" t="s">
        <v>641</v>
      </c>
      <c r="B7839" s="0" t="s">
        <v>86</v>
      </c>
      <c r="C7839" s="38" t="n">
        <f aca="false">(1-ext_sh)*(Sens!$C$7818+Sens!$C$7832)</f>
        <v>0.169206631859174</v>
      </c>
      <c r="D7839" s="38" t="n">
        <f aca="false">(1-ext_sh)*(Sens!$D$7818+Sens!$D$7832)</f>
        <v>1.20641732046984</v>
      </c>
      <c r="E7839" s="38" t="n">
        <f aca="false">(1-ext_sh)*(Sens!$E$7818+Sens!$E$7832)</f>
        <v>1.77441259867062</v>
      </c>
      <c r="F7839" s="38" t="n">
        <f aca="false">(1-ext_sh)*(Sens!$F$7818+Sens!$F$7832)</f>
        <v>2.1140391597214</v>
      </c>
      <c r="G7839" s="38" t="n">
        <f aca="false">(1-ext_sh)*(Sens!$G$7818+Sens!$G$7832)</f>
        <v>3.88845175839202</v>
      </c>
      <c r="H7839" s="38" t="n">
        <f aca="false">(1-ext_sh)*(Sens!$H$7818+Sens!$H$7832)</f>
        <v>10.2210179503985</v>
      </c>
      <c r="I7839" s="38" t="n">
        <f aca="false">(1-ext_sh)*(Sens!$I$7818+Sens!$I$7832)</f>
        <v>17.8408961823075</v>
      </c>
      <c r="J7839" s="38" t="n">
        <f aca="false">(1-ext_sh)*(Sens!$J$7818+Sens!$J$7832)</f>
        <v>25.6671150670732</v>
      </c>
      <c r="K7839" s="38" t="n">
        <f aca="false">(1-ext_sh)*(Sens!$K$7818+Sens!$K$7832)</f>
        <v>33.3265648647373</v>
      </c>
      <c r="L7839" s="38" t="n">
        <f aca="false">(1-ext_sh)*(Sens!$L$7818+Sens!$L$7832)</f>
        <v>38.2915924088815</v>
      </c>
      <c r="M7839" s="38" t="n">
        <f aca="false">(1-ext_sh)*(Sens!$M$7818+Sens!$M$7832)</f>
        <v>41.1091697111781</v>
      </c>
      <c r="N7839" s="38" t="n">
        <f aca="false">(1-ext_sh)*(Sens!$N$7818+Sens!$N$7832)</f>
        <v>0.530919624033979</v>
      </c>
      <c r="O7839" s="38" t="n">
        <f aca="false">(1-ext_sh)*(Sens!$O$7818+Sens!$O$7832)</f>
        <v>0.675497696435861</v>
      </c>
    </row>
    <row r="7840" customFormat="false" ht="17.15" hidden="false" customHeight="false" outlineLevel="0" collapsed="false">
      <c r="A7840" s="0" t="s">
        <v>642</v>
      </c>
      <c r="B7840" s="0" t="s">
        <v>86</v>
      </c>
      <c r="C7840" s="38" t="n">
        <f aca="false">Q!$D$24</f>
        <v>39.834</v>
      </c>
      <c r="D7840" s="38" t="n">
        <f aca="false">Q!$E$24</f>
        <v>45.606</v>
      </c>
      <c r="E7840" s="38" t="n">
        <f aca="false">Q!$P$24</f>
        <v>30.782</v>
      </c>
      <c r="N7840" s="38" t="n">
        <f aca="false">Q!$N$24</f>
        <v>21.707</v>
      </c>
      <c r="O7840" s="38" t="n">
        <f aca="false">Q!$O$24</f>
        <v>23.899</v>
      </c>
    </row>
    <row r="7841" customFormat="false" ht="17.15" hidden="false" customHeight="false" outlineLevel="0" collapsed="false">
      <c r="A7841" s="0" t="s">
        <v>643</v>
      </c>
      <c r="B7841" s="0" t="s">
        <v>86</v>
      </c>
      <c r="C7841" s="38" t="n">
        <f aca="false">Sens!$C$7840-Sens!$C$7836</f>
        <v>38.1898211704631</v>
      </c>
      <c r="D7841" s="38" t="n">
        <f aca="false">Sens!$D$7840-Sens!$D$7836</f>
        <v>41.7278991932282</v>
      </c>
      <c r="E7841" s="38" t="n">
        <f aca="false">Sens!$E$7840-Sens!$E$7836</f>
        <v>29.3692974191125</v>
      </c>
      <c r="F7841" s="38" t="n">
        <f aca="false">Sens!$F$7820*Sens!$F$7842</f>
        <v>26.8997276714137</v>
      </c>
      <c r="G7841" s="38" t="n">
        <f aca="false">Sens!$E$7841+Sens!$F$7841</f>
        <v>56.2690250905262</v>
      </c>
      <c r="H7841" s="38" t="n">
        <f aca="false">Sens!$H$7820*Sens!$H$7842</f>
        <v>60.3505333937343</v>
      </c>
      <c r="I7841" s="38" t="n">
        <f aca="false">Sens!$I$7820*Sens!$I$7842</f>
        <v>67.0043857303571</v>
      </c>
      <c r="J7841" s="38" t="n">
        <f aca="false">Sens!$J$7820*Sens!$J$7842</f>
        <v>73.3782922956925</v>
      </c>
      <c r="K7841" s="38" t="n">
        <f aca="false">Sens!$K$7820*Sens!$K$7842</f>
        <v>79.2485556793479</v>
      </c>
      <c r="L7841" s="38" t="n">
        <f aca="false">Sens!$L$7820*Sens!$L$7842</f>
        <v>85.5884401336958</v>
      </c>
      <c r="M7841" s="38" t="n">
        <f aca="false">Sens!$M$7820*Sens!$M$7842</f>
        <v>92.4355153443914</v>
      </c>
      <c r="N7841" s="38" t="n">
        <f aca="false">Sens!$N$7840-Sens!$N$7836</f>
        <v>20.784358965108</v>
      </c>
      <c r="O7841" s="38" t="n">
        <f aca="false">Sens!$O$7840-Sens!$O$7836</f>
        <v>20.9435402281202</v>
      </c>
      <c r="P7841" s="5" t="s">
        <v>644</v>
      </c>
    </row>
    <row r="7842" customFormat="false" ht="17.15" hidden="false" customHeight="false" outlineLevel="0" collapsed="false">
      <c r="A7842" s="0" t="s">
        <v>645</v>
      </c>
      <c r="B7842" s="0" t="s">
        <v>52</v>
      </c>
      <c r="C7842" s="13" t="n">
        <f aca="false">Sens!$C$7841/Sens!$C$7820</f>
        <v>0.362900395443635</v>
      </c>
      <c r="D7842" s="13" t="n">
        <f aca="false">Sens!$D$7841/Sens!$D$7820</f>
        <v>0.34767098474203</v>
      </c>
      <c r="E7842" s="13" t="n">
        <f aca="false">Sens!$E$7841/Sens!$E$7820</f>
        <v>0.411861655558416</v>
      </c>
      <c r="F7842" s="13" t="n">
        <f aca="false">(Sens!$O$7841+Sens!$E$7841)/(Sens!$O$7820+Sens!$E$7820)</f>
        <v>0.37480827803158</v>
      </c>
      <c r="G7842" s="13" t="n">
        <f aca="false">Sens!$G$7841/Sens!$G$7820</f>
        <v>0.393275318395757</v>
      </c>
      <c r="H7842" s="13" t="n">
        <f aca="false">Sens!$F$7842</f>
        <v>0.37480827803158</v>
      </c>
      <c r="I7842" s="13" t="n">
        <f aca="false">Sens!$F$7842</f>
        <v>0.37480827803158</v>
      </c>
      <c r="J7842" s="13" t="n">
        <f aca="false">Sens!$F$7842</f>
        <v>0.37480827803158</v>
      </c>
      <c r="K7842" s="13" t="n">
        <f aca="false">Sens!$F$7842</f>
        <v>0.37480827803158</v>
      </c>
      <c r="L7842" s="13" t="n">
        <f aca="false">Sens!$F$7842</f>
        <v>0.37480827803158</v>
      </c>
      <c r="M7842" s="13" t="n">
        <f aca="false">Sens!$F$7842</f>
        <v>0.37480827803158</v>
      </c>
      <c r="N7842" s="13" t="n">
        <f aca="false">Sens!$N$7841/Sens!$N$7820</f>
        <v>0.364039571356823</v>
      </c>
      <c r="O7842" s="13" t="n">
        <f aca="false">Sens!$O$7841/Sens!$O$7820</f>
        <v>0.332819892300086</v>
      </c>
      <c r="P7842" s="8" t="s">
        <v>646</v>
      </c>
    </row>
    <row r="7843" customFormat="false" ht="17.15" hidden="false" customHeight="false" outlineLevel="0" collapsed="false">
      <c r="A7843" s="0" t="s">
        <v>647</v>
      </c>
      <c r="B7843" s="0" t="s">
        <v>52</v>
      </c>
      <c r="D7843" s="13" t="n">
        <f aca="false">(Q!$E$31-ext_sh*Sens!$D$7832)/Sens!$D$7820</f>
        <v>0.154572973163571</v>
      </c>
    </row>
    <row r="7844" customFormat="false" ht="17.15" hidden="false" customHeight="false" outlineLevel="0" collapsed="false">
      <c r="A7844" s="0" t="s">
        <v>648</v>
      </c>
      <c r="B7844" s="0" t="s">
        <v>86</v>
      </c>
      <c r="C7844" s="38" t="n">
        <f aca="false">Q!$D$31</f>
        <v>13.32</v>
      </c>
      <c r="D7844" s="38" t="n">
        <f aca="false">Q!$E$31</f>
        <v>21.45</v>
      </c>
      <c r="E7844" s="38" t="n">
        <f aca="false">Q!$P$31</f>
        <v>15.353</v>
      </c>
      <c r="F7844" s="38" t="n">
        <f aca="false">ext_sh*Sens!$F$7832+Sens!$D$7843*Sens!$F$7820</f>
        <v>16.3063747611001</v>
      </c>
      <c r="G7844" s="38" t="n">
        <f aca="false">Sens!$E$7844+Sens!$F$7844</f>
        <v>31.6593747611001</v>
      </c>
      <c r="H7844" s="38" t="n">
        <f aca="false">ext_sh*Sens!$H$7832+Sens!$D$7843*Sens!$H$7820</f>
        <v>53.124242092105</v>
      </c>
      <c r="I7844" s="38" t="n">
        <f aca="false">ext_sh*Sens!$I$7832+Sens!$D$7843*Sens!$I$7820</f>
        <v>78.046828098133</v>
      </c>
      <c r="J7844" s="38" t="n">
        <f aca="false">ext_sh*Sens!$J$7832+Sens!$D$7843*Sens!$J$7820</f>
        <v>103.663976940352</v>
      </c>
      <c r="K7844" s="38" t="n">
        <f aca="false">ext_sh*Sens!$K$7832+Sens!$D$7843*Sens!$K$7820</f>
        <v>129.625086115469</v>
      </c>
      <c r="L7844" s="38" t="n">
        <f aca="false">ext_sh*Sens!$L$7832+Sens!$D$7843*Sens!$L$7820</f>
        <v>147.435052382502</v>
      </c>
      <c r="M7844" s="38" t="n">
        <f aca="false">ext_sh*Sens!$M$7832+Sens!$D$7843*Sens!$M$7820</f>
        <v>159.299754080279</v>
      </c>
      <c r="N7844" s="38" t="n">
        <f aca="false">Q!$N$31</f>
        <v>9.234</v>
      </c>
      <c r="O7844" s="38" t="n">
        <f aca="false">Q!$O$31</f>
        <v>12.216</v>
      </c>
    </row>
    <row r="7845" customFormat="false" ht="17.15" hidden="false" customHeight="false" outlineLevel="0" collapsed="false">
      <c r="A7845" s="1" t="s">
        <v>649</v>
      </c>
    </row>
    <row r="7846" customFormat="false" ht="17.15" hidden="false" customHeight="false" outlineLevel="0" collapsed="false">
      <c r="A7846" s="15" t="s">
        <v>650</v>
      </c>
      <c r="B7846" s="14" t="s">
        <v>52</v>
      </c>
      <c r="C7846" s="14"/>
      <c r="D7846" s="14"/>
      <c r="E7846" s="14"/>
      <c r="F7846" s="14"/>
      <c r="G7846" s="17" t="n">
        <f aca="false">Sens!$G$7836*(1-tax)/(ext_sh*(Sens!$D$7833+Sens!$G$7833)/2)</f>
        <v>0.0492184452944045</v>
      </c>
      <c r="H7846" s="17" t="n">
        <f aca="false">Sens!$H$7836*(1-tax)/(ext_sh*(Sens!$G$7833+Sens!$H$7833)/2)</f>
        <v>0.0619414246858107</v>
      </c>
      <c r="I7846" s="17" t="n">
        <f aca="false">Sens!$I$7836*(1-tax)/(ext_sh*(Sens!$H$7833+Sens!$I$7833)/2)</f>
        <v>0.0656831488051666</v>
      </c>
      <c r="J7846" s="17" t="n">
        <f aca="false">Sens!$J$7836*(1-tax)/(ext_sh*(Sens!$I$7833+Sens!$J$7833)/2)</f>
        <v>0.0690334849962116</v>
      </c>
      <c r="K7846" s="17" t="n">
        <f aca="false">Sens!$K$7836*(1-tax)/(ext_sh*(Sens!$J$7833+Sens!$K$7833)/2)</f>
        <v>0.0685772915331967</v>
      </c>
      <c r="L7846" s="17" t="n">
        <f aca="false">Sens!$L$7836*(1-tax)/(ext_sh*(Sens!$K$7833+Sens!$L$7833)/2)</f>
        <v>0.0723938074635756</v>
      </c>
      <c r="M7846" s="17" t="n">
        <f aca="false">Sens!$M$7836*(1-tax)/(ext_sh*(Sens!$L$7833+Sens!$M$7833)/2)</f>
        <v>0.0736061388214139</v>
      </c>
      <c r="N7846" s="14"/>
      <c r="O7846" s="14"/>
      <c r="P7846" s="8" t="s">
        <v>651</v>
      </c>
    </row>
    <row r="7847" customFormat="false" ht="17.15" hidden="false" customHeight="false" outlineLevel="0" collapsed="false">
      <c r="A7847" s="5" t="s">
        <v>652</v>
      </c>
      <c r="B7847" s="0" t="s">
        <v>57</v>
      </c>
      <c r="H7847" s="36" t="n">
        <f aca="false">Sens!$H$7816*1000/(mw_open*he_open+Sens!$H$7814*Sens!$H$7811)</f>
        <v>0.991949006767191</v>
      </c>
      <c r="I7847" s="36" t="n">
        <f aca="false">Sens!$I$7816*1000/(mw_open*he_open+Sens!$I$7814*Sens!$I$7811)</f>
        <v>0.991949006767191</v>
      </c>
      <c r="J7847" s="36" t="n">
        <f aca="false">Sens!$J$7816*1000/(mw_open*he_open+Sens!$J$7814*Sens!$J$7811)</f>
        <v>0.991949006767191</v>
      </c>
      <c r="K7847" s="36" t="n">
        <f aca="false">Sens!$K$7816*1000/(mw_open*he_open+Sens!$K$7814*Sens!$K$7811)</f>
        <v>0.991949006767191</v>
      </c>
      <c r="L7847" s="36" t="n">
        <f aca="false">Sens!$L$7816*1000/(mw_open*he_open+Sens!$L$7814*Sens!$L$7811)</f>
        <v>0.991949006767191</v>
      </c>
      <c r="M7847" s="36" t="n">
        <f aca="false">Sens!$M$7816*1000/(mw_open*he_open+Sens!$M$7814*Sens!$M$7811)</f>
        <v>0.991949006767191</v>
      </c>
    </row>
    <row r="7848" customFormat="false" ht="17.15" hidden="false" customHeight="false" outlineLevel="0" collapsed="false">
      <c r="A7848" s="5" t="s">
        <v>653</v>
      </c>
      <c r="B7848" s="0" t="s">
        <v>57</v>
      </c>
      <c r="H7848" s="36" t="n">
        <f aca="false">Sens!$H$7847*(Sens!$H$7816+wacc*ext_sh*(Sens!$G$7833+Sens!$H$7833)/2/(1-tax)-Sens!$H$7836)/Sens!$H$7816</f>
        <v>1.25551961623259</v>
      </c>
      <c r="I7848" s="36" t="n">
        <f aca="false">Sens!$I$7847*(Sens!$I$7816+wacc*ext_sh*(Sens!$H$7833+Sens!$I$7833)/2/(1-tax)-Sens!$I$7836)/Sens!$I$7816</f>
        <v>1.2054675393263</v>
      </c>
      <c r="J7848" s="36" t="n">
        <f aca="false">Sens!$J$7847*(Sens!$J$7816+wacc*ext_sh*(Sens!$I$7833+Sens!$J$7833)/2/(1-tax)-Sens!$J$7836)/Sens!$J$7816</f>
        <v>1.17141604927023</v>
      </c>
      <c r="K7848" s="36" t="n">
        <f aca="false">Sens!$K$7847*(Sens!$K$7816+wacc*ext_sh*(Sens!$J$7833+Sens!$K$7833)/2/(1-tax)-Sens!$K$7836)/Sens!$K$7816</f>
        <v>1.15558527566281</v>
      </c>
      <c r="L7848" s="36" t="n">
        <f aca="false">Sens!$L$7847*(Sens!$L$7816+wacc*ext_sh*(Sens!$K$7833+Sens!$L$7833)/2/(1-tax)-Sens!$L$7836)/Sens!$L$7816</f>
        <v>1.12686933572495</v>
      </c>
      <c r="M7848" s="36" t="n">
        <f aca="false">Sens!$M$7847*(Sens!$M$7816+wacc*ext_sh*(Sens!$L$7833+Sens!$M$7833)/2/(1-tax)-Sens!$M$7836)/Sens!$M$7816</f>
        <v>1.11358462527531</v>
      </c>
    </row>
    <row r="7849" customFormat="false" ht="17.15" hidden="false" customHeight="false" outlineLevel="0" collapsed="false">
      <c r="A7849" s="5" t="s">
        <v>654</v>
      </c>
      <c r="B7849" s="0" t="s">
        <v>52</v>
      </c>
      <c r="C7849" s="13" t="n">
        <f aca="false">Sens!$C$7817/tk_pq</f>
        <v>0.195316432429398</v>
      </c>
      <c r="D7849" s="13" t="n">
        <f aca="false">Sens!$D$7817/tk_pq</f>
        <v>0.195316432429398</v>
      </c>
      <c r="E7849" s="13" t="n">
        <f aca="false">Sens!$E$7817/tk_pq</f>
        <v>0.195316432429398</v>
      </c>
      <c r="F7849" s="13" t="n">
        <f aca="false">Sens!$F$7817/tk_pq</f>
        <v>0.202241827274866</v>
      </c>
      <c r="G7849" s="13" t="n">
        <f aca="false">Sens!$G$7817/tk_pq</f>
        <v>0.199675016194063</v>
      </c>
      <c r="H7849" s="13" t="n">
        <f aca="false">Sens!$H$7817/tk_pq</f>
        <v>0.212647947710325</v>
      </c>
      <c r="I7849" s="13" t="n">
        <f aca="false">Sens!$I$7817/tk_pq</f>
        <v>0.219285125475351</v>
      </c>
      <c r="J7849" s="13" t="n">
        <f aca="false">Sens!$J$7817/tk_pq</f>
        <v>0.222492493217189</v>
      </c>
      <c r="K7849" s="13" t="n">
        <f aca="false">Sens!$K$7817/tk_pq</f>
        <v>0.224053502812094</v>
      </c>
      <c r="L7849" s="13" t="n">
        <f aca="false">Sens!$L$7817/tk_pq</f>
        <v>0.224786916785614</v>
      </c>
      <c r="M7849" s="13" t="n">
        <f aca="false">Sens!$M$7817/tk_pq</f>
        <v>0.225048671566937</v>
      </c>
      <c r="N7849" s="13" t="n">
        <f aca="false">Sens!$N$7817/tk_pq</f>
        <v>0.195316432429398</v>
      </c>
      <c r="O7849" s="13" t="n">
        <f aca="false">Sens!$O$7817/tk_pq</f>
        <v>0.195316432429398</v>
      </c>
      <c r="P7849" s="5" t="s">
        <v>655</v>
      </c>
    </row>
    <row r="7852" customFormat="false" ht="17.15" hidden="false" customHeight="false" outlineLevel="0" collapsed="false">
      <c r="A7852" s="1" t="s">
        <v>684</v>
      </c>
    </row>
    <row r="7853" customFormat="false" ht="17.15" hidden="false" customHeight="false" outlineLevel="0" collapsed="false">
      <c r="A7853" s="0" t="s">
        <v>685</v>
      </c>
      <c r="B7853" s="0" t="s">
        <v>86</v>
      </c>
      <c r="C7853" s="38" t="n">
        <f aca="false">Sens!$C$7816</f>
        <v>2.32100535697364</v>
      </c>
      <c r="D7853" s="38" t="n">
        <f aca="false">Sens!$D$7816</f>
        <v>8.70377008865116</v>
      </c>
      <c r="E7853" s="38" t="n">
        <f aca="false">Sens!$E$7816</f>
        <v>8.51035297557002</v>
      </c>
      <c r="F7853" s="38" t="n">
        <f aca="false">Sens!$F$7816</f>
        <v>14.9634336447205</v>
      </c>
      <c r="G7853" s="38" t="n">
        <f aca="false">Sens!$G$7816</f>
        <v>23.4737866202905</v>
      </c>
      <c r="H7853" s="38" t="n">
        <f aca="false">Sens!$H$7816</f>
        <v>60.1658907497746</v>
      </c>
      <c r="I7853" s="38" t="n">
        <f aca="false">Sens!$I$7816</f>
        <v>101.503699136432</v>
      </c>
      <c r="J7853" s="38" t="n">
        <f aca="false">Sens!$J$7816</f>
        <v>143.025407151278</v>
      </c>
      <c r="K7853" s="38" t="n">
        <f aca="false">Sens!$K$7816</f>
        <v>178.44812038318</v>
      </c>
      <c r="L7853" s="38" t="n">
        <f aca="false">Sens!$L$7816</f>
        <v>201.728101802396</v>
      </c>
      <c r="M7853" s="38" t="n">
        <f aca="false">Sens!$M$7816</f>
        <v>212.835441368865</v>
      </c>
      <c r="N7853" s="38" t="n">
        <f aca="false">Sens!$N$7816</f>
        <v>3.04631953102791</v>
      </c>
      <c r="O7853" s="38" t="n">
        <f aca="false">Sens!$O$7816</f>
        <v>5.65745055762326</v>
      </c>
      <c r="P7853" s="8" t="s">
        <v>686</v>
      </c>
    </row>
    <row r="7854" customFormat="false" ht="17.15" hidden="false" customHeight="false" outlineLevel="0" collapsed="false">
      <c r="A7854" s="0" t="s">
        <v>687</v>
      </c>
      <c r="B7854" s="0" t="s">
        <v>86</v>
      </c>
      <c r="C7854" s="38" t="n">
        <f aca="false">Sens!$C$7820</f>
        <v>105.234994643026</v>
      </c>
      <c r="D7854" s="38" t="n">
        <f aca="false">Sens!$D$7820</f>
        <v>120.021229911349</v>
      </c>
      <c r="E7854" s="38" t="n">
        <f aca="false">Sens!$E$7820</f>
        <v>71.30864702443</v>
      </c>
      <c r="F7854" s="38" t="n">
        <f aca="false">Sens!$F$7820</f>
        <v>71.7692997942464</v>
      </c>
      <c r="G7854" s="38" t="n">
        <f aca="false">Sens!$G$7820</f>
        <v>143.077946818676</v>
      </c>
      <c r="H7854" s="38" t="n">
        <f aca="false">Sens!$H$7820</f>
        <v>161.017077079203</v>
      </c>
      <c r="I7854" s="38" t="n">
        <f aca="false">Sens!$I$7820</f>
        <v>178.769759521457</v>
      </c>
      <c r="J7854" s="38" t="n">
        <f aca="false">Sens!$J$7820</f>
        <v>195.775538045907</v>
      </c>
      <c r="K7854" s="38" t="n">
        <f aca="false">Sens!$K$7820</f>
        <v>211.43758108958</v>
      </c>
      <c r="L7854" s="38" t="n">
        <f aca="false">Sens!$L$7820</f>
        <v>228.352587576746</v>
      </c>
      <c r="M7854" s="38" t="n">
        <f aca="false">Sens!$M$7820</f>
        <v>246.620794582886</v>
      </c>
      <c r="N7854" s="38" t="n">
        <f aca="false">Sens!$N$7820</f>
        <v>57.0936804689721</v>
      </c>
      <c r="O7854" s="38" t="n">
        <f aca="false">Sens!$O$7820</f>
        <v>62.9275494423768</v>
      </c>
      <c r="P7854" s="8" t="s">
        <v>686</v>
      </c>
    </row>
    <row r="7855" customFormat="false" ht="17.15" hidden="false" customHeight="false" outlineLevel="0" collapsed="false">
      <c r="A7855" s="1" t="s">
        <v>513</v>
      </c>
      <c r="B7855" s="8" t="s">
        <v>86</v>
      </c>
      <c r="C7855" s="38" t="n">
        <f aca="false">Q!$D$7</f>
        <v>107.556</v>
      </c>
      <c r="D7855" s="38" t="n">
        <f aca="false">Q!$E$7</f>
        <v>128.725</v>
      </c>
      <c r="E7855" s="38" t="n">
        <f aca="false">Q!$P$7</f>
        <v>79.819</v>
      </c>
      <c r="F7855" s="38" t="n">
        <f aca="false">Sens!$F$7853+Sens!$F$7854</f>
        <v>86.7327334389669</v>
      </c>
      <c r="G7855" s="38" t="n">
        <f aca="false">Sens!$G$7853+Sens!$G$7854</f>
        <v>166.551733438967</v>
      </c>
      <c r="H7855" s="38" t="n">
        <f aca="false">Sens!$H$7853+Sens!$H$7854</f>
        <v>221.182967828978</v>
      </c>
      <c r="I7855" s="38" t="n">
        <f aca="false">Sens!$I$7853+Sens!$I$7854</f>
        <v>280.27345865789</v>
      </c>
      <c r="J7855" s="38" t="n">
        <f aca="false">Sens!$J$7853+Sens!$J$7854</f>
        <v>338.800945197185</v>
      </c>
      <c r="K7855" s="38" t="n">
        <f aca="false">Sens!$K$7853+Sens!$K$7854</f>
        <v>389.88570147276</v>
      </c>
      <c r="L7855" s="38" t="n">
        <f aca="false">Sens!$L$7853+Sens!$L$7854</f>
        <v>430.080689379143</v>
      </c>
      <c r="M7855" s="38" t="n">
        <f aca="false">Sens!$M$7853+Sens!$M$7854</f>
        <v>459.456235951751</v>
      </c>
      <c r="N7855" s="38" t="n">
        <f aca="false">Q!$N$7</f>
        <v>60.14</v>
      </c>
      <c r="O7855" s="38" t="n">
        <f aca="false">Q!$O$7</f>
        <v>68.585</v>
      </c>
      <c r="P7855" s="5" t="s">
        <v>688</v>
      </c>
    </row>
    <row r="7856" customFormat="false" ht="15" hidden="false" customHeight="false" outlineLevel="0" collapsed="false">
      <c r="A7856" s="3" t="s">
        <v>689</v>
      </c>
      <c r="B7856" s="8" t="s">
        <v>86</v>
      </c>
      <c r="C7856" s="38" t="n">
        <f aca="false">Q!$D$8</f>
        <v>637.959</v>
      </c>
      <c r="D7856" s="38" t="n">
        <f aca="false">Q!$E$8</f>
        <v>716.924</v>
      </c>
      <c r="E7856" s="38" t="n">
        <f aca="false">Q!$P$8</f>
        <v>382.125</v>
      </c>
      <c r="F7856" s="38" t="n">
        <f aca="false">Sens!$F$7788+Sens!$F$7855</f>
        <v>435.780975084504</v>
      </c>
      <c r="G7856" s="38" t="n">
        <f aca="false">Sens!$G$7788+Sens!$G$7855</f>
        <v>817.905975084504</v>
      </c>
      <c r="H7856" s="38" t="n">
        <f aca="false">Sens!$H$7788+Sens!$H$7855</f>
        <v>942.279857350364</v>
      </c>
      <c r="I7856" s="38" t="n">
        <f aca="false">Sens!$I$7788+Sens!$I$7855</f>
        <v>1068.80284981042</v>
      </c>
      <c r="J7856" s="38" t="n">
        <f aca="false">Sens!$J$7788+Sens!$J$7855</f>
        <v>1189.90935093863</v>
      </c>
      <c r="K7856" s="38" t="n">
        <f aca="false">Sens!$K$7788+Sens!$K$7855</f>
        <v>1296.06215690385</v>
      </c>
      <c r="L7856" s="38" t="n">
        <f aca="false">Sens!$L$7788+Sens!$L$7855</f>
        <v>1395.17379585473</v>
      </c>
      <c r="M7856" s="38" t="n">
        <f aca="false">Sens!$M$7788+Sens!$M$7855</f>
        <v>1487.60414389864</v>
      </c>
      <c r="N7856" s="38" t="n">
        <f aca="false">Q!$N$8</f>
        <v>323.369</v>
      </c>
      <c r="O7856" s="38" t="n">
        <f aca="false">Q!$O$8</f>
        <v>393.555</v>
      </c>
    </row>
    <row r="7857" customFormat="false" ht="17.15" hidden="false" customHeight="false" outlineLevel="0" collapsed="false">
      <c r="A7857" s="24" t="s">
        <v>697</v>
      </c>
      <c r="B7857" s="25" t="s">
        <v>86</v>
      </c>
      <c r="C7857" s="41" t="n">
        <f aca="false">Sens!$C$7788-(Sens!$C$7790+Sens!$C$7791)</f>
        <v>0</v>
      </c>
      <c r="D7857" s="41" t="n">
        <f aca="false">Sens!$D$7788-(Sens!$D$7790+Sens!$D$7791)</f>
        <v>0</v>
      </c>
      <c r="E7857" s="41" t="n">
        <f aca="false">Sens!$E$7788-(Sens!$E$7790+Sens!$E$7791)</f>
        <v>0</v>
      </c>
      <c r="F7857" s="41" t="n">
        <f aca="false">Sens!$F$7788-(Sens!$F$7790+Sens!$F$7791)</f>
        <v>0</v>
      </c>
      <c r="G7857" s="41" t="n">
        <f aca="false">Sens!$G$7788-(Sens!$G$7790+Sens!$G$7791)</f>
        <v>0</v>
      </c>
      <c r="H7857" s="41" t="n">
        <f aca="false">Sens!$H$7788-(Sens!$H$7790+Sens!$H$7791)</f>
        <v>0</v>
      </c>
      <c r="I7857" s="41" t="n">
        <f aca="false">Sens!$I$7788-(Sens!$I$7790+Sens!$I$7791)</f>
        <v>0</v>
      </c>
      <c r="J7857" s="41" t="n">
        <f aca="false">Sens!$J$7788-(Sens!$J$7790+Sens!$J$7791)</f>
        <v>0</v>
      </c>
      <c r="K7857" s="41" t="n">
        <f aca="false">Sens!$K$7788-(Sens!$K$7790+Sens!$K$7791)</f>
        <v>0</v>
      </c>
      <c r="L7857" s="41" t="n">
        <f aca="false">Sens!$L$7788-(Sens!$L$7790+Sens!$L$7791)</f>
        <v>0</v>
      </c>
      <c r="M7857" s="41" t="n">
        <f aca="false">Sens!$M$7788-(Sens!$M$7790+Sens!$M$7791)</f>
        <v>0</v>
      </c>
      <c r="N7857" s="41" t="n">
        <f aca="false">Sens!$N$7788-(Sens!$N$7790+Sens!$N$7791)</f>
        <v>0</v>
      </c>
      <c r="O7857" s="41" t="n">
        <f aca="false">Sens!$O$7788-(Sens!$O$7790+Sens!$O$7791)</f>
        <v>0</v>
      </c>
    </row>
    <row r="7858" customFormat="false" ht="17.15" hidden="false" customHeight="false" outlineLevel="0" collapsed="false">
      <c r="A7858" s="24" t="s">
        <v>698</v>
      </c>
      <c r="B7858" s="25" t="s">
        <v>86</v>
      </c>
      <c r="C7858" s="41" t="n">
        <f aca="false">Sens!$C$7853+Sens!$C$7854-Sens!$C$7855</f>
        <v>0</v>
      </c>
      <c r="D7858" s="41" t="n">
        <f aca="false">Sens!$D$7853+Sens!$D$7854-Sens!$D$7855</f>
        <v>0</v>
      </c>
      <c r="E7858" s="41" t="n">
        <f aca="false">Sens!$E$7853+Sens!$E$7854-Sens!$E$7855</f>
        <v>0</v>
      </c>
      <c r="F7858" s="41" t="n">
        <f aca="false">Sens!$F$7853+Sens!$F$7854-Sens!$F$7855</f>
        <v>0</v>
      </c>
      <c r="G7858" s="41" t="n">
        <f aca="false">Sens!$G$7853+Sens!$G$7854-Sens!$G$7855</f>
        <v>0</v>
      </c>
      <c r="H7858" s="41" t="n">
        <f aca="false">Sens!$H$7853+Sens!$H$7854-Sens!$H$7855</f>
        <v>0</v>
      </c>
      <c r="I7858" s="41" t="n">
        <f aca="false">Sens!$I$7853+Sens!$I$7854-Sens!$I$7855</f>
        <v>0</v>
      </c>
      <c r="J7858" s="41" t="n">
        <f aca="false">Sens!$J$7853+Sens!$J$7854-Sens!$J$7855</f>
        <v>0</v>
      </c>
      <c r="K7858" s="41" t="n">
        <f aca="false">Sens!$K$7853+Sens!$K$7854-Sens!$K$7855</f>
        <v>0</v>
      </c>
      <c r="L7858" s="41" t="n">
        <f aca="false">Sens!$L$7853+Sens!$L$7854-Sens!$L$7855</f>
        <v>0</v>
      </c>
      <c r="M7858" s="41" t="n">
        <f aca="false">Sens!$M$7853+Sens!$M$7854-Sens!$M$7855</f>
        <v>0</v>
      </c>
      <c r="N7858" s="41" t="n">
        <f aca="false">Sens!$N$7853+Sens!$N$7854-Sens!$N$7855</f>
        <v>0</v>
      </c>
      <c r="O7858" s="41" t="n">
        <f aca="false">Sens!$O$7853+Sens!$O$7854-Sens!$O$7855</f>
        <v>0</v>
      </c>
    </row>
    <row r="7859" customFormat="false" ht="17.15" hidden="false" customHeight="false" outlineLevel="0" collapsed="false">
      <c r="A7859" s="24" t="s">
        <v>699</v>
      </c>
      <c r="B7859" s="25" t="s">
        <v>86</v>
      </c>
      <c r="C7859" s="41" t="n">
        <f aca="false">Sens!$C$7790+Sens!$C$7791+Sens!$C$7855-Sens!$C$7856</f>
        <v>0</v>
      </c>
      <c r="D7859" s="41" t="n">
        <f aca="false">Sens!$D$7790+Sens!$D$7791+Sens!$D$7855-Sens!$D$7856</f>
        <v>0</v>
      </c>
      <c r="E7859" s="41" t="n">
        <f aca="false">Sens!$E$7790+Sens!$E$7791+Sens!$E$7855-Sens!$E$7856</f>
        <v>0</v>
      </c>
      <c r="F7859" s="41" t="n">
        <f aca="false">Sens!$F$7790+Sens!$F$7791+Sens!$F$7855-Sens!$F$7856</f>
        <v>0</v>
      </c>
      <c r="G7859" s="41" t="n">
        <f aca="false">Sens!$G$7790+Sens!$G$7791+Sens!$G$7855-Sens!$G$7856</f>
        <v>0</v>
      </c>
      <c r="H7859" s="41" t="n">
        <f aca="false">Sens!$H$7790+Sens!$H$7791+Sens!$H$7855-Sens!$H$7856</f>
        <v>0</v>
      </c>
      <c r="I7859" s="41" t="n">
        <f aca="false">Sens!$I$7790+Sens!$I$7791+Sens!$I$7855-Sens!$I$7856</f>
        <v>0</v>
      </c>
      <c r="J7859" s="41" t="n">
        <f aca="false">Sens!$J$7790+Sens!$J$7791+Sens!$J$7855-Sens!$J$7856</f>
        <v>0</v>
      </c>
      <c r="K7859" s="41" t="n">
        <f aca="false">Sens!$K$7790+Sens!$K$7791+Sens!$K$7855-Sens!$K$7856</f>
        <v>0</v>
      </c>
      <c r="L7859" s="41" t="n">
        <f aca="false">Sens!$L$7790+Sens!$L$7791+Sens!$L$7855-Sens!$L$7856</f>
        <v>0</v>
      </c>
      <c r="M7859" s="41" t="n">
        <f aca="false">Sens!$M$7790+Sens!$M$7791+Sens!$M$7855-Sens!$M$7856</f>
        <v>0</v>
      </c>
      <c r="N7859" s="41" t="n">
        <f aca="false">Sens!$N$7790+Sens!$N$7791+Sens!$N$7855-Sens!$N$7856</f>
        <v>0</v>
      </c>
      <c r="O7859" s="41" t="n">
        <f aca="false">Sens!$O$7790+Sens!$O$7791+Sens!$O$7855-Sens!$O$7856</f>
        <v>0</v>
      </c>
    </row>
    <row r="7860" customFormat="false" ht="15" hidden="false" customHeight="false" outlineLevel="0" collapsed="false">
      <c r="A7860" s="5" t="s">
        <v>693</v>
      </c>
      <c r="B7860" s="0" t="s">
        <v>52</v>
      </c>
      <c r="G7860" s="13" t="n">
        <f aca="false">Sens!$G$7856/Sens!$D$7856-1</f>
        <v>0.140854504918937</v>
      </c>
      <c r="H7860" s="13" t="n">
        <f aca="false">Sens!$H$7856/Sens!$G$7856-1</f>
        <v>0.152063789793209</v>
      </c>
      <c r="I7860" s="13" t="n">
        <f aca="false">Sens!$I$7856/Sens!$H$7856-1</f>
        <v>0.134273264437417</v>
      </c>
      <c r="J7860" s="13" t="n">
        <f aca="false">Sens!$J$7856/Sens!$I$7856-1</f>
        <v>0.113310421234083</v>
      </c>
      <c r="K7860" s="13" t="n">
        <f aca="false">Sens!$K$7856/Sens!$J$7856-1</f>
        <v>0.0892108343223652</v>
      </c>
      <c r="L7860" s="13" t="n">
        <f aca="false">Sens!$L$7856/Sens!$K$7856-1</f>
        <v>0.076471362444261</v>
      </c>
      <c r="M7860" s="13" t="n">
        <f aca="false">Sens!$M$7856/Sens!$L$7856-1</f>
        <v>0.066250060256672</v>
      </c>
    </row>
    <row r="7861" customFormat="false" ht="17.15" hidden="false" customHeight="false" outlineLevel="0" collapsed="false">
      <c r="A7861" s="0" t="s">
        <v>694</v>
      </c>
      <c r="B7861" s="0" t="s">
        <v>52</v>
      </c>
      <c r="C7861" s="13" t="n">
        <f aca="false">Sens!$C$7855/Sens!$C$7856</f>
        <v>0.168593906504964</v>
      </c>
      <c r="D7861" s="13" t="n">
        <f aca="false">Sens!$D$7855/Sens!$D$7856</f>
        <v>0.179551807444025</v>
      </c>
      <c r="E7861" s="13" t="n">
        <f aca="false">Sens!$E$7855/Sens!$E$7856</f>
        <v>0.208881910369643</v>
      </c>
      <c r="F7861" s="13" t="n">
        <f aca="false">Sens!$F$7855/Sens!$F$7856</f>
        <v>0.199028269699356</v>
      </c>
      <c r="G7861" s="13" t="n">
        <f aca="false">Sens!$G$7855/Sens!$G$7856</f>
        <v>0.203631882529968</v>
      </c>
      <c r="H7861" s="13" t="n">
        <f aca="false">Sens!$H$7855/Sens!$H$7856</f>
        <v>0.234731715958496</v>
      </c>
      <c r="I7861" s="13" t="n">
        <f aca="false">Sens!$I$7855/Sens!$I$7856</f>
        <v>0.262231204480418</v>
      </c>
      <c r="J7861" s="13" t="n">
        <f aca="false">Sens!$J$7855/Sens!$J$7856</f>
        <v>0.284728366013706</v>
      </c>
      <c r="K7861" s="13" t="n">
        <f aca="false">Sens!$K$7855/Sens!$K$7856</f>
        <v>0.300823304959505</v>
      </c>
      <c r="L7861" s="13" t="n">
        <f aca="false">Sens!$L$7855/Sens!$L$7856</f>
        <v>0.308263164529735</v>
      </c>
      <c r="M7861" s="13" t="n">
        <f aca="false">Sens!$M$7855/Sens!$M$7856</f>
        <v>0.308856517936036</v>
      </c>
      <c r="N7861" s="13" t="n">
        <f aca="false">Sens!$N$7855/Sens!$N$7856</f>
        <v>0.185979484737251</v>
      </c>
      <c r="O7861" s="13" t="n">
        <f aca="false">Sens!$O$7855/Sens!$O$7856</f>
        <v>0.174270432341096</v>
      </c>
    </row>
    <row r="7862" customFormat="false" ht="17.15" hidden="false" customHeight="false" outlineLevel="0" collapsed="false">
      <c r="A7862" s="0" t="s">
        <v>695</v>
      </c>
      <c r="B7862" s="0" t="s">
        <v>52</v>
      </c>
      <c r="C7862" s="13" t="n">
        <f aca="false">Sens!$C$7853/Sens!$C$7855</f>
        <v>0.0215795060896058</v>
      </c>
      <c r="D7862" s="13" t="n">
        <f aca="false">Sens!$D$7853/Sens!$D$7855</f>
        <v>0.0676152269462122</v>
      </c>
      <c r="E7862" s="13" t="n">
        <f aca="false">Sens!$E$7853/Sens!$E$7855</f>
        <v>0.106620641395783</v>
      </c>
      <c r="F7862" s="13" t="n">
        <f aca="false">Sens!$F$7853/Sens!$F$7855</f>
        <v>0.172523487401099</v>
      </c>
      <c r="G7862" s="13" t="n">
        <f aca="false">Sens!$G$7853/Sens!$G$7855</f>
        <v>0.140939911795589</v>
      </c>
      <c r="H7862" s="13" t="n">
        <f aca="false">Sens!$H$7853/Sens!$H$7855</f>
        <v>0.272018642937714</v>
      </c>
      <c r="I7862" s="13" t="n">
        <f aca="false">Sens!$I$7853/Sens!$I$7855</f>
        <v>0.362159512436497</v>
      </c>
      <c r="J7862" s="13" t="n">
        <f aca="false">Sens!$J$7853/Sens!$J$7855</f>
        <v>0.422151735934609</v>
      </c>
      <c r="K7862" s="13" t="n">
        <f aca="false">Sens!$K$7853/Sens!$K$7855</f>
        <v>0.45769342068485</v>
      </c>
      <c r="L7862" s="13" t="n">
        <f aca="false">Sens!$L$7853/Sens!$L$7855</f>
        <v>0.469047103913472</v>
      </c>
      <c r="M7862" s="13" t="n">
        <f aca="false">Sens!$M$7853/Sens!$M$7855</f>
        <v>0.463233328258093</v>
      </c>
      <c r="N7862" s="13" t="n">
        <f aca="false">Sens!$N$7853/Sens!$N$7855</f>
        <v>0.0506537999838362</v>
      </c>
      <c r="O7862" s="13" t="n">
        <f aca="false">Sens!$O$7853/Sens!$O$7855</f>
        <v>0.0824881615167056</v>
      </c>
    </row>
    <row r="7865" customFormat="false" ht="19.4" hidden="false" customHeight="false" outlineLevel="0" collapsed="false">
      <c r="A7865" s="31" t="s">
        <v>1289</v>
      </c>
    </row>
    <row r="7866" customFormat="false" ht="17.15" hidden="false" customHeight="false" outlineLevel="0" collapsed="false">
      <c r="A7866" s="6" t="s">
        <v>16</v>
      </c>
      <c r="B7866" s="6" t="s">
        <v>17</v>
      </c>
      <c r="C7866" s="20" t="s">
        <v>494</v>
      </c>
      <c r="D7866" s="20" t="s">
        <v>495</v>
      </c>
      <c r="E7866" s="20" t="s">
        <v>577</v>
      </c>
      <c r="F7866" s="20" t="s">
        <v>578</v>
      </c>
      <c r="G7866" s="20" t="s">
        <v>579</v>
      </c>
      <c r="H7866" s="20" t="s">
        <v>580</v>
      </c>
      <c r="I7866" s="20" t="s">
        <v>581</v>
      </c>
      <c r="J7866" s="20" t="s">
        <v>582</v>
      </c>
      <c r="K7866" s="20" t="s">
        <v>583</v>
      </c>
      <c r="L7866" s="20" t="s">
        <v>584</v>
      </c>
      <c r="M7866" s="20" t="s">
        <v>585</v>
      </c>
      <c r="N7866" s="20" t="s">
        <v>586</v>
      </c>
      <c r="O7866" s="20" t="s">
        <v>587</v>
      </c>
      <c r="P7866" s="6" t="s">
        <v>23</v>
      </c>
      <c r="R7866" s="20" t="n">
        <v>2023</v>
      </c>
      <c r="S7866" s="20" t="n">
        <v>2024</v>
      </c>
      <c r="T7866" s="20" t="n">
        <v>2025</v>
      </c>
      <c r="U7866" s="20" t="n">
        <v>2026</v>
      </c>
      <c r="V7866" s="20" t="n">
        <v>2027</v>
      </c>
      <c r="W7866" s="20" t="n">
        <v>2028</v>
      </c>
      <c r="X7866" s="20" t="n">
        <v>2029</v>
      </c>
      <c r="Y7866" s="20" t="n">
        <v>2030</v>
      </c>
      <c r="Z7866" s="20" t="n">
        <v>2031</v>
      </c>
      <c r="AA7866" s="20" t="n">
        <v>2032</v>
      </c>
    </row>
    <row r="7867" customFormat="false" ht="17.15" hidden="false" customHeight="false" outlineLevel="0" collapsed="false">
      <c r="A7867" s="1" t="s">
        <v>710</v>
      </c>
    </row>
    <row r="7868" customFormat="false" ht="15" hidden="false" customHeight="false" outlineLevel="0" collapsed="false">
      <c r="A7868" s="0" t="s">
        <v>516</v>
      </c>
      <c r="B7868" s="0" t="s">
        <v>86</v>
      </c>
      <c r="C7868" s="38" t="n">
        <f aca="false">Sens!$C$7775</f>
        <v>247.029</v>
      </c>
      <c r="D7868" s="38" t="n">
        <f aca="false">Sens!$D$7775</f>
        <v>269.287</v>
      </c>
      <c r="E7868" s="38" t="n">
        <f aca="false">Sens!$E$7775</f>
        <v>134.686</v>
      </c>
      <c r="F7868" s="38" t="n">
        <f aca="false">Sens!$F$7775</f>
        <v>158.293876822267</v>
      </c>
      <c r="G7868" s="38" t="n">
        <f aca="false">Sens!$G$7775</f>
        <v>292.979876822267</v>
      </c>
      <c r="H7868" s="38" t="n">
        <f aca="false">Sens!$H$7775</f>
        <v>318.184543087396</v>
      </c>
      <c r="I7868" s="38" t="n">
        <f aca="false">Sens!$I$7775</f>
        <v>341.736278761793</v>
      </c>
      <c r="J7868" s="38" t="n">
        <f aca="false">Sens!$J$7775</f>
        <v>362.927192787048</v>
      </c>
      <c r="K7868" s="38" t="n">
        <f aca="false">Sens!$K$7775</f>
        <v>381.0735524264</v>
      </c>
      <c r="L7868" s="38" t="n">
        <f aca="false">Sens!$L$7775</f>
        <v>400.12723004772</v>
      </c>
      <c r="M7868" s="38" t="n">
        <f aca="false">Sens!$M$7775</f>
        <v>420.133591550106</v>
      </c>
      <c r="N7868" s="38" t="n">
        <f aca="false">Sens!$N$7775</f>
        <v>118.892</v>
      </c>
      <c r="O7868" s="38" t="n">
        <f aca="false">Sens!$O$7775</f>
        <v>150.395</v>
      </c>
    </row>
    <row r="7869" customFormat="false" ht="15" hidden="false" customHeight="false" outlineLevel="0" collapsed="false">
      <c r="A7869" s="0" t="s">
        <v>517</v>
      </c>
      <c r="B7869" s="0" t="s">
        <v>86</v>
      </c>
      <c r="C7869" s="38" t="n">
        <f aca="false">Sens!$C$7777</f>
        <v>21.215</v>
      </c>
      <c r="D7869" s="38" t="n">
        <f aca="false">Sens!$D$7777</f>
        <v>22.561</v>
      </c>
      <c r="E7869" s="38" t="n">
        <f aca="false">Sens!$E$7777</f>
        <v>11.579</v>
      </c>
      <c r="F7869" s="38" t="n">
        <f aca="false">Sens!$F$7777</f>
        <v>11.5938724610325</v>
      </c>
      <c r="G7869" s="38" t="n">
        <f aca="false">Sens!$G$7777</f>
        <v>23.1728724610325</v>
      </c>
      <c r="H7869" s="38" t="n">
        <f aca="false">Sens!$H$7777</f>
        <v>24.353392759506</v>
      </c>
      <c r="I7869" s="38" t="n">
        <f aca="false">Sens!$I$7777</f>
        <v>25.4240338872015</v>
      </c>
      <c r="J7869" s="38" t="n">
        <f aca="false">Sens!$J$7777</f>
        <v>26.3642491017174</v>
      </c>
      <c r="K7869" s="38" t="n">
        <f aca="false">Sens!$K$7777</f>
        <v>27.155176574769</v>
      </c>
      <c r="L7869" s="38" t="n">
        <f aca="false">Sens!$L$7777</f>
        <v>27.969831872012</v>
      </c>
      <c r="M7869" s="38" t="n">
        <f aca="false">Sens!$M$7777</f>
        <v>28.8089268281724</v>
      </c>
      <c r="N7869" s="38" t="n">
        <f aca="false">Sens!$N$7777</f>
        <v>11.128</v>
      </c>
      <c r="O7869" s="38" t="n">
        <f aca="false">Sens!$O$7777</f>
        <v>11.433</v>
      </c>
    </row>
    <row r="7870" customFormat="false" ht="15" hidden="false" customHeight="false" outlineLevel="0" collapsed="false">
      <c r="A7870" s="0" t="s">
        <v>518</v>
      </c>
      <c r="B7870" s="0" t="s">
        <v>86</v>
      </c>
      <c r="C7870" s="38" t="n">
        <f aca="false">Sens!$C$7779</f>
        <v>156.146</v>
      </c>
      <c r="D7870" s="38" t="n">
        <f aca="false">Sens!$D$7779</f>
        <v>172.162</v>
      </c>
      <c r="E7870" s="38" t="n">
        <f aca="false">Sens!$E$7779</f>
        <v>88.358</v>
      </c>
      <c r="F7870" s="38" t="n">
        <f aca="false">Sens!$F$7779</f>
        <v>102.004388260171</v>
      </c>
      <c r="G7870" s="38" t="n">
        <f aca="false">Sens!$G$7779</f>
        <v>190.362388260171</v>
      </c>
      <c r="H7870" s="38" t="n">
        <f aca="false">Sens!$H$7779</f>
        <v>210.343106588311</v>
      </c>
      <c r="I7870" s="38" t="n">
        <f aca="false">Sens!$I$7779</f>
        <v>229.969728494648</v>
      </c>
      <c r="J7870" s="38" t="n">
        <f aca="false">Sens!$J$7779</f>
        <v>248.747636972598</v>
      </c>
      <c r="K7870" s="38" t="n">
        <f aca="false">Sens!$K$7779</f>
        <v>266.15997156068</v>
      </c>
      <c r="L7870" s="38" t="n">
        <f aca="false">Sens!$L$7779</f>
        <v>284.791169569927</v>
      </c>
      <c r="M7870" s="38" t="n">
        <f aca="false">Sens!$M$7779</f>
        <v>304.726551439822</v>
      </c>
      <c r="N7870" s="38" t="n">
        <f aca="false">Sens!$N$7779</f>
        <v>76.86</v>
      </c>
      <c r="O7870" s="38" t="n">
        <f aca="false">Sens!$O$7779</f>
        <v>95.302</v>
      </c>
    </row>
    <row r="7871" customFormat="false" ht="15" hidden="false" customHeight="false" outlineLevel="0" collapsed="false">
      <c r="A7871" s="0" t="s">
        <v>519</v>
      </c>
      <c r="B7871" s="0" t="s">
        <v>86</v>
      </c>
      <c r="C7871" s="38" t="n">
        <f aca="false">Sens!$C$7781</f>
        <v>56.214</v>
      </c>
      <c r="D7871" s="38" t="n">
        <f aca="false">Sens!$D$7781</f>
        <v>68.635</v>
      </c>
      <c r="E7871" s="38" t="n">
        <f aca="false">Sens!$E$7781</f>
        <v>37.052</v>
      </c>
      <c r="F7871" s="38" t="n">
        <f aca="false">Sens!$F$7781</f>
        <v>46.1572219944148</v>
      </c>
      <c r="G7871" s="38" t="n">
        <f aca="false">Sens!$G$7781</f>
        <v>83.2092219944148</v>
      </c>
      <c r="H7871" s="38" t="n">
        <f aca="false">Sens!$H$7781</f>
        <v>99.8969223878976</v>
      </c>
      <c r="I7871" s="38" t="n">
        <f aca="false">Sens!$I$7781</f>
        <v>116.583111095496</v>
      </c>
      <c r="J7871" s="38" t="n">
        <f aca="false">Sens!$J$7781</f>
        <v>132.148941941952</v>
      </c>
      <c r="K7871" s="38" t="n">
        <f aca="false">Sens!$K$7781</f>
        <v>145.363836136147</v>
      </c>
      <c r="L7871" s="38" t="n">
        <f aca="false">Sens!$L$7781</f>
        <v>159.900219749762</v>
      </c>
      <c r="M7871" s="38" t="n">
        <f aca="false">Sens!$M$7781</f>
        <v>175.890241724738</v>
      </c>
      <c r="N7871" s="38" t="n">
        <f aca="false">Sens!$N$7781</f>
        <v>29.615</v>
      </c>
      <c r="O7871" s="38" t="n">
        <f aca="false">Sens!$O$7781</f>
        <v>39.02</v>
      </c>
    </row>
    <row r="7872" customFormat="false" ht="15" hidden="false" customHeight="false" outlineLevel="0" collapsed="false">
      <c r="A7872" s="0" t="s">
        <v>520</v>
      </c>
      <c r="B7872" s="0" t="s">
        <v>86</v>
      </c>
      <c r="C7872" s="38" t="n">
        <f aca="false">Sens!$C$7783</f>
        <v>44.374</v>
      </c>
      <c r="D7872" s="38" t="n">
        <f aca="false">Sens!$D$7783</f>
        <v>49.619</v>
      </c>
      <c r="E7872" s="38" t="n">
        <f aca="false">Sens!$E$7783</f>
        <v>27.157</v>
      </c>
      <c r="F7872" s="38" t="n">
        <f aca="false">Sens!$F$7783</f>
        <v>27.7764165988154</v>
      </c>
      <c r="G7872" s="38" t="n">
        <f aca="false">Sens!$G$7783</f>
        <v>54.9334165988154</v>
      </c>
      <c r="H7872" s="38" t="n">
        <f aca="false">Sens!$H$7783</f>
        <v>61.1564112561829</v>
      </c>
      <c r="I7872" s="38" t="n">
        <f aca="false">Sens!$I$7783</f>
        <v>67.2020282103945</v>
      </c>
      <c r="J7872" s="38" t="n">
        <f aca="false">Sens!$J$7783</f>
        <v>72.8757274028885</v>
      </c>
      <c r="K7872" s="38" t="n">
        <f aca="false">Sens!$K$7783</f>
        <v>77.9770283210907</v>
      </c>
      <c r="L7872" s="38" t="n">
        <f aca="false">Sens!$L$7783</f>
        <v>83.4354203035671</v>
      </c>
      <c r="M7872" s="38" t="n">
        <f aca="false">Sens!$M$7783</f>
        <v>89.2758997248168</v>
      </c>
      <c r="N7872" s="38" t="n">
        <f aca="false">Sens!$N$7783</f>
        <v>23.923</v>
      </c>
      <c r="O7872" s="38" t="n">
        <f aca="false">Sens!$O$7783</f>
        <v>25.696</v>
      </c>
    </row>
    <row r="7873" customFormat="false" ht="15" hidden="false" customHeight="false" outlineLevel="0" collapsed="false">
      <c r="A7873" s="0" t="s">
        <v>521</v>
      </c>
      <c r="B7873" s="0" t="s">
        <v>86</v>
      </c>
      <c r="C7873" s="38" t="n">
        <f aca="false">Sens!$C$7785</f>
        <v>5.425</v>
      </c>
      <c r="D7873" s="38" t="n">
        <f aca="false">Sens!$D$7785</f>
        <v>5.935</v>
      </c>
      <c r="E7873" s="38" t="n">
        <f aca="false">Sens!$E$7785</f>
        <v>3.474</v>
      </c>
      <c r="F7873" s="38" t="n">
        <f aca="false">Sens!$F$7785</f>
        <v>3.22246550883619</v>
      </c>
      <c r="G7873" s="38" t="n">
        <f aca="false">Sens!$G$7785</f>
        <v>6.69646550883619</v>
      </c>
      <c r="H7873" s="38" t="n">
        <f aca="false">Sens!$H$7785</f>
        <v>7.16251344209196</v>
      </c>
      <c r="I7873" s="38" t="n">
        <f aca="false">Sens!$I$7785</f>
        <v>7.61421070299826</v>
      </c>
      <c r="J7873" s="38" t="n">
        <f aca="false">Sens!$J$7785</f>
        <v>8.04465753523932</v>
      </c>
      <c r="K7873" s="38" t="n">
        <f aca="false">Sens!$K$7785</f>
        <v>8.44689041200128</v>
      </c>
      <c r="L7873" s="38" t="n">
        <f aca="false">Sens!$L$7785</f>
        <v>8.86923493260135</v>
      </c>
      <c r="M7873" s="38" t="n">
        <f aca="false">Sens!$M$7785</f>
        <v>9.31269667923142</v>
      </c>
      <c r="N7873" s="38" t="n">
        <f aca="false">Sens!$N$7785</f>
        <v>2.811</v>
      </c>
      <c r="O7873" s="38" t="n">
        <f aca="false">Sens!$O$7785</f>
        <v>3.124</v>
      </c>
    </row>
    <row r="7874" customFormat="false" ht="17.15" hidden="false" customHeight="false" outlineLevel="0" collapsed="false">
      <c r="A7874" s="0" t="s">
        <v>711</v>
      </c>
      <c r="B7874" s="0" t="s">
        <v>86</v>
      </c>
      <c r="C7874" s="38" t="n">
        <f aca="false">Sens!$C$7855</f>
        <v>107.556</v>
      </c>
      <c r="D7874" s="38" t="n">
        <f aca="false">Sens!$D$7855</f>
        <v>128.725</v>
      </c>
      <c r="E7874" s="38" t="n">
        <f aca="false">Sens!$E$7855</f>
        <v>79.819</v>
      </c>
      <c r="F7874" s="38" t="n">
        <f aca="false">Sens!$F$7855</f>
        <v>86.7327334389669</v>
      </c>
      <c r="G7874" s="38" t="n">
        <f aca="false">Sens!$G$7855</f>
        <v>166.551733438967</v>
      </c>
      <c r="H7874" s="38" t="n">
        <f aca="false">Sens!$H$7855</f>
        <v>221.182967828978</v>
      </c>
      <c r="I7874" s="38" t="n">
        <f aca="false">Sens!$I$7855</f>
        <v>280.27345865789</v>
      </c>
      <c r="J7874" s="38" t="n">
        <f aca="false">Sens!$J$7855</f>
        <v>338.800945197185</v>
      </c>
      <c r="K7874" s="38" t="n">
        <f aca="false">Sens!$K$7855</f>
        <v>389.88570147276</v>
      </c>
      <c r="L7874" s="38" t="n">
        <f aca="false">Sens!$L$7855</f>
        <v>430.080689379143</v>
      </c>
      <c r="M7874" s="38" t="n">
        <f aca="false">Sens!$M$7855</f>
        <v>459.456235951751</v>
      </c>
      <c r="N7874" s="38" t="n">
        <f aca="false">Sens!$N$7855</f>
        <v>60.14</v>
      </c>
      <c r="O7874" s="38" t="n">
        <f aca="false">Sens!$O$7855</f>
        <v>68.585</v>
      </c>
    </row>
    <row r="7875" customFormat="false" ht="15" hidden="false" customHeight="false" outlineLevel="0" collapsed="false">
      <c r="A7875" s="1" t="s">
        <v>509</v>
      </c>
      <c r="B7875" s="8" t="s">
        <v>86</v>
      </c>
      <c r="C7875" s="38" t="n">
        <f aca="false">Sens!$C$7790</f>
        <v>387.497</v>
      </c>
      <c r="D7875" s="38" t="n">
        <f aca="false">Sens!$D$7790</f>
        <v>426.305</v>
      </c>
      <c r="E7875" s="38" t="n">
        <f aca="false">Sens!$E$7790</f>
        <v>220.32</v>
      </c>
      <c r="F7875" s="38" t="n">
        <f aca="false">Sens!$F$7790</f>
        <v>250.639773480586</v>
      </c>
      <c r="G7875" s="38" t="n">
        <f aca="false">Sens!$G$7790</f>
        <v>470.959773480586</v>
      </c>
      <c r="H7875" s="38" t="n">
        <f aca="false">Sens!$H$7790</f>
        <v>521.386990416437</v>
      </c>
      <c r="I7875" s="38" t="n">
        <f aca="false">Sens!$I$7790</f>
        <v>570.143862887555</v>
      </c>
      <c r="J7875" s="38" t="n">
        <f aca="false">Sens!$J$7790</f>
        <v>615.391435791933</v>
      </c>
      <c r="K7875" s="38" t="n">
        <f aca="false">Sens!$K$7790</f>
        <v>655.208227561543</v>
      </c>
      <c r="L7875" s="38" t="n">
        <f aca="false">Sens!$L$7790</f>
        <v>697.807739249767</v>
      </c>
      <c r="M7875" s="38" t="n">
        <f aca="false">Sens!$M$7790</f>
        <v>743.399328463592</v>
      </c>
      <c r="N7875" s="38" t="n">
        <f aca="false">Sens!$N$7790</f>
        <v>192.955</v>
      </c>
      <c r="O7875" s="38" t="n">
        <f aca="false">Sens!$O$7790</f>
        <v>233.35</v>
      </c>
    </row>
    <row r="7876" customFormat="false" ht="15" hidden="false" customHeight="false" outlineLevel="0" collapsed="false">
      <c r="A7876" s="1" t="s">
        <v>512</v>
      </c>
      <c r="B7876" s="8" t="s">
        <v>86</v>
      </c>
      <c r="C7876" s="38" t="n">
        <f aca="false">Sens!$C$7791</f>
        <v>142.906</v>
      </c>
      <c r="D7876" s="38" t="n">
        <f aca="false">Sens!$D$7791</f>
        <v>161.894</v>
      </c>
      <c r="E7876" s="38" t="n">
        <f aca="false">Sens!$E$7791</f>
        <v>81.986</v>
      </c>
      <c r="F7876" s="38" t="n">
        <f aca="false">Sens!$F$7791</f>
        <v>98.408468164951</v>
      </c>
      <c r="G7876" s="38" t="n">
        <f aca="false">Sens!$G$7791</f>
        <v>180.394468164951</v>
      </c>
      <c r="H7876" s="38" t="n">
        <f aca="false">Sens!$H$7791</f>
        <v>199.709899104949</v>
      </c>
      <c r="I7876" s="38" t="n">
        <f aca="false">Sens!$I$7791</f>
        <v>218.385528264976</v>
      </c>
      <c r="J7876" s="38" t="n">
        <f aca="false">Sens!$J$7791</f>
        <v>235.71696994951</v>
      </c>
      <c r="K7876" s="38" t="n">
        <f aca="false">Sens!$K$7791</f>
        <v>250.968227869545</v>
      </c>
      <c r="L7876" s="38" t="n">
        <f aca="false">Sens!$L$7791</f>
        <v>267.285367225822</v>
      </c>
      <c r="M7876" s="38" t="n">
        <f aca="false">Sens!$M$7791</f>
        <v>284.748579483295</v>
      </c>
      <c r="N7876" s="38" t="n">
        <f aca="false">Sens!$N$7791</f>
        <v>70.274</v>
      </c>
      <c r="O7876" s="38" t="n">
        <f aca="false">Sens!$O$7791</f>
        <v>91.62</v>
      </c>
    </row>
    <row r="7877" customFormat="false" ht="15" hidden="false" customHeight="false" outlineLevel="0" collapsed="false">
      <c r="A7877" s="1" t="s">
        <v>513</v>
      </c>
      <c r="B7877" s="8" t="s">
        <v>86</v>
      </c>
      <c r="C7877" s="38" t="n">
        <f aca="false">Sens!$C$7855</f>
        <v>107.556</v>
      </c>
      <c r="D7877" s="38" t="n">
        <f aca="false">Sens!$D$7855</f>
        <v>128.725</v>
      </c>
      <c r="E7877" s="38" t="n">
        <f aca="false">Sens!$E$7855</f>
        <v>79.819</v>
      </c>
      <c r="F7877" s="38" t="n">
        <f aca="false">Sens!$F$7855</f>
        <v>86.7327334389669</v>
      </c>
      <c r="G7877" s="38" t="n">
        <f aca="false">Sens!$G$7855</f>
        <v>166.551733438967</v>
      </c>
      <c r="H7877" s="38" t="n">
        <f aca="false">Sens!$H$7855</f>
        <v>221.182967828978</v>
      </c>
      <c r="I7877" s="38" t="n">
        <f aca="false">Sens!$I$7855</f>
        <v>280.27345865789</v>
      </c>
      <c r="J7877" s="38" t="n">
        <f aca="false">Sens!$J$7855</f>
        <v>338.800945197185</v>
      </c>
      <c r="K7877" s="38" t="n">
        <f aca="false">Sens!$K$7855</f>
        <v>389.88570147276</v>
      </c>
      <c r="L7877" s="38" t="n">
        <f aca="false">Sens!$L$7855</f>
        <v>430.080689379143</v>
      </c>
      <c r="M7877" s="38" t="n">
        <f aca="false">Sens!$M$7855</f>
        <v>459.456235951751</v>
      </c>
      <c r="N7877" s="38" t="n">
        <f aca="false">Sens!$N$7855</f>
        <v>60.14</v>
      </c>
      <c r="O7877" s="38" t="n">
        <f aca="false">Sens!$O$7855</f>
        <v>68.585</v>
      </c>
    </row>
    <row r="7878" customFormat="false" ht="17.15" hidden="false" customHeight="false" outlineLevel="0" collapsed="false">
      <c r="A7878" s="0" t="s">
        <v>685</v>
      </c>
      <c r="B7878" s="0" t="s">
        <v>86</v>
      </c>
      <c r="C7878" s="38" t="n">
        <f aca="false">Sens!$C$7853</f>
        <v>2.32100535697364</v>
      </c>
      <c r="D7878" s="38" t="n">
        <f aca="false">Sens!$D$7853</f>
        <v>8.70377008865116</v>
      </c>
      <c r="E7878" s="38" t="n">
        <f aca="false">Sens!$E$7853</f>
        <v>8.51035297557002</v>
      </c>
      <c r="F7878" s="38" t="n">
        <f aca="false">Sens!$F$7853</f>
        <v>14.9634336447205</v>
      </c>
      <c r="G7878" s="38" t="n">
        <f aca="false">Sens!$G$7853</f>
        <v>23.4737866202905</v>
      </c>
      <c r="H7878" s="38" t="n">
        <f aca="false">Sens!$H$7853</f>
        <v>60.1658907497746</v>
      </c>
      <c r="I7878" s="38" t="n">
        <f aca="false">Sens!$I$7853</f>
        <v>101.503699136432</v>
      </c>
      <c r="J7878" s="38" t="n">
        <f aca="false">Sens!$J$7853</f>
        <v>143.025407151278</v>
      </c>
      <c r="K7878" s="38" t="n">
        <f aca="false">Sens!$K$7853</f>
        <v>178.44812038318</v>
      </c>
      <c r="L7878" s="38" t="n">
        <f aca="false">Sens!$L$7853</f>
        <v>201.728101802396</v>
      </c>
      <c r="M7878" s="38" t="n">
        <f aca="false">Sens!$M$7853</f>
        <v>212.835441368865</v>
      </c>
      <c r="N7878" s="38" t="n">
        <f aca="false">Sens!$N$7853</f>
        <v>3.04631953102791</v>
      </c>
      <c r="O7878" s="38" t="n">
        <f aca="false">Sens!$O$7853</f>
        <v>5.65745055762326</v>
      </c>
    </row>
    <row r="7879" customFormat="false" ht="17.15" hidden="false" customHeight="false" outlineLevel="0" collapsed="false">
      <c r="A7879" s="0" t="s">
        <v>687</v>
      </c>
      <c r="B7879" s="0" t="s">
        <v>86</v>
      </c>
      <c r="C7879" s="38" t="n">
        <f aca="false">Sens!$C$7854</f>
        <v>105.234994643026</v>
      </c>
      <c r="D7879" s="38" t="n">
        <f aca="false">Sens!$D$7854</f>
        <v>120.021229911349</v>
      </c>
      <c r="E7879" s="38" t="n">
        <f aca="false">Sens!$E$7854</f>
        <v>71.30864702443</v>
      </c>
      <c r="F7879" s="38" t="n">
        <f aca="false">Sens!$F$7854</f>
        <v>71.7692997942464</v>
      </c>
      <c r="G7879" s="38" t="n">
        <f aca="false">Sens!$G$7854</f>
        <v>143.077946818676</v>
      </c>
      <c r="H7879" s="38" t="n">
        <f aca="false">Sens!$H$7854</f>
        <v>161.017077079203</v>
      </c>
      <c r="I7879" s="38" t="n">
        <f aca="false">Sens!$I$7854</f>
        <v>178.769759521457</v>
      </c>
      <c r="J7879" s="38" t="n">
        <f aca="false">Sens!$J$7854</f>
        <v>195.775538045907</v>
      </c>
      <c r="K7879" s="38" t="n">
        <f aca="false">Sens!$K$7854</f>
        <v>211.43758108958</v>
      </c>
      <c r="L7879" s="38" t="n">
        <f aca="false">Sens!$L$7854</f>
        <v>228.352587576746</v>
      </c>
      <c r="M7879" s="38" t="n">
        <f aca="false">Sens!$M$7854</f>
        <v>246.620794582886</v>
      </c>
      <c r="N7879" s="38" t="n">
        <f aca="false">Sens!$N$7854</f>
        <v>57.0936804689721</v>
      </c>
      <c r="O7879" s="38" t="n">
        <f aca="false">Sens!$O$7854</f>
        <v>62.9275494423768</v>
      </c>
    </row>
    <row r="7880" customFormat="false" ht="15" hidden="false" customHeight="false" outlineLevel="0" collapsed="false">
      <c r="A7880" s="3" t="s">
        <v>514</v>
      </c>
      <c r="B7880" s="8" t="s">
        <v>86</v>
      </c>
      <c r="C7880" s="38" t="n">
        <f aca="false">Sens!$C$7856</f>
        <v>637.959</v>
      </c>
      <c r="D7880" s="38" t="n">
        <f aca="false">Sens!$D$7856</f>
        <v>716.924</v>
      </c>
      <c r="E7880" s="38" t="n">
        <f aca="false">Sens!$E$7856</f>
        <v>382.125</v>
      </c>
      <c r="F7880" s="38" t="n">
        <f aca="false">Sens!$F$7856</f>
        <v>435.780975084504</v>
      </c>
      <c r="G7880" s="38" t="n">
        <f aca="false">Sens!$G$7856</f>
        <v>817.905975084504</v>
      </c>
      <c r="H7880" s="38" t="n">
        <f aca="false">Sens!$H$7856</f>
        <v>942.279857350364</v>
      </c>
      <c r="I7880" s="38" t="n">
        <f aca="false">Sens!$I$7856</f>
        <v>1068.80284981042</v>
      </c>
      <c r="J7880" s="38" t="n">
        <f aca="false">Sens!$J$7856</f>
        <v>1189.90935093863</v>
      </c>
      <c r="K7880" s="38" t="n">
        <f aca="false">Sens!$K$7856</f>
        <v>1296.06215690385</v>
      </c>
      <c r="L7880" s="38" t="n">
        <f aca="false">Sens!$L$7856</f>
        <v>1395.17379585473</v>
      </c>
      <c r="M7880" s="38" t="n">
        <f aca="false">Sens!$M$7856</f>
        <v>1487.60414389864</v>
      </c>
      <c r="N7880" s="38" t="n">
        <f aca="false">Sens!$N$7856</f>
        <v>323.369</v>
      </c>
      <c r="O7880" s="38" t="n">
        <f aca="false">Sens!$O$7856</f>
        <v>393.555</v>
      </c>
    </row>
    <row r="7881" customFormat="false" ht="17.15" hidden="false" customHeight="false" outlineLevel="0" collapsed="false">
      <c r="A7881" s="24" t="s">
        <v>697</v>
      </c>
      <c r="B7881" s="25" t="s">
        <v>86</v>
      </c>
      <c r="C7881" s="41" t="n">
        <f aca="false">Sens!$C$7868+Sens!$C$7869+Sens!$C$7870+Sens!$C$7871+Sens!$C$7872+Sens!$C$7873-(Sens!$C$7875+Sens!$C$7876)</f>
        <v>0</v>
      </c>
      <c r="D7881" s="41" t="n">
        <f aca="false">Sens!$D$7868+Sens!$D$7869+Sens!$D$7870+Sens!$D$7871+Sens!$D$7872+Sens!$D$7873-(Sens!$D$7875+Sens!$D$7876)</f>
        <v>0</v>
      </c>
      <c r="E7881" s="41" t="n">
        <f aca="false">Sens!$E$7868+Sens!$E$7869+Sens!$E$7870+Sens!$E$7871+Sens!$E$7872+Sens!$E$7873-(Sens!$E$7875+Sens!$E$7876)</f>
        <v>0</v>
      </c>
      <c r="F7881" s="41" t="n">
        <f aca="false">Sens!$F$7868+Sens!$F$7869+Sens!$F$7870+Sens!$F$7871+Sens!$F$7872+Sens!$F$7873-(Sens!$F$7875+Sens!$F$7876)</f>
        <v>0</v>
      </c>
      <c r="G7881" s="41" t="n">
        <f aca="false">Sens!$G$7868+Sens!$G$7869+Sens!$G$7870+Sens!$G$7871+Sens!$G$7872+Sens!$G$7873-(Sens!$G$7875+Sens!$G$7876)</f>
        <v>0</v>
      </c>
      <c r="H7881" s="41" t="n">
        <f aca="false">Sens!$H$7868+Sens!$H$7869+Sens!$H$7870+Sens!$H$7871+Sens!$H$7872+Sens!$H$7873-(Sens!$H$7875+Sens!$H$7876)</f>
        <v>0</v>
      </c>
      <c r="I7881" s="41" t="n">
        <f aca="false">Sens!$I$7868+Sens!$I$7869+Sens!$I$7870+Sens!$I$7871+Sens!$I$7872+Sens!$I$7873-(Sens!$I$7875+Sens!$I$7876)</f>
        <v>0</v>
      </c>
      <c r="J7881" s="41" t="n">
        <f aca="false">Sens!$J$7868+Sens!$J$7869+Sens!$J$7870+Sens!$J$7871+Sens!$J$7872+Sens!$J$7873-(Sens!$J$7875+Sens!$J$7876)</f>
        <v>0</v>
      </c>
      <c r="K7881" s="41" t="n">
        <f aca="false">Sens!$K$7868+Sens!$K$7869+Sens!$K$7870+Sens!$K$7871+Sens!$K$7872+Sens!$K$7873-(Sens!$K$7875+Sens!$K$7876)</f>
        <v>0</v>
      </c>
      <c r="L7881" s="41" t="n">
        <f aca="false">Sens!$L$7868+Sens!$L$7869+Sens!$L$7870+Sens!$L$7871+Sens!$L$7872+Sens!$L$7873-(Sens!$L$7875+Sens!$L$7876)</f>
        <v>0</v>
      </c>
      <c r="M7881" s="41" t="n">
        <f aca="false">Sens!$M$7868+Sens!$M$7869+Sens!$M$7870+Sens!$M$7871+Sens!$M$7872+Sens!$M$7873-(Sens!$M$7875+Sens!$M$7876)</f>
        <v>0</v>
      </c>
      <c r="N7881" s="41" t="n">
        <f aca="false">Sens!$N$7868+Sens!$N$7869+Sens!$N$7870+Sens!$N$7871+Sens!$N$7872+Sens!$N$7873-(Sens!$N$7875+Sens!$N$7876)</f>
        <v>0</v>
      </c>
      <c r="O7881" s="41" t="n">
        <f aca="false">Sens!$O$7868+Sens!$O$7869+Sens!$O$7870+Sens!$O$7871+Sens!$O$7872+Sens!$O$7873-(Sens!$O$7875+Sens!$O$7876)</f>
        <v>0</v>
      </c>
    </row>
    <row r="7882" customFormat="false" ht="17.15" hidden="false" customHeight="false" outlineLevel="0" collapsed="false">
      <c r="A7882" s="24" t="s">
        <v>698</v>
      </c>
      <c r="B7882" s="25" t="s">
        <v>86</v>
      </c>
      <c r="C7882" s="41" t="n">
        <f aca="false">Sens!$C$7878+Sens!$C$7879-Sens!$C$7877</f>
        <v>0</v>
      </c>
      <c r="D7882" s="41" t="n">
        <f aca="false">Sens!$D$7878+Sens!$D$7879-Sens!$D$7877</f>
        <v>0</v>
      </c>
      <c r="E7882" s="41" t="n">
        <f aca="false">Sens!$E$7878+Sens!$E$7879-Sens!$E$7877</f>
        <v>0</v>
      </c>
      <c r="F7882" s="41" t="n">
        <f aca="false">Sens!$F$7878+Sens!$F$7879-Sens!$F$7877</f>
        <v>0</v>
      </c>
      <c r="G7882" s="41" t="n">
        <f aca="false">Sens!$G$7878+Sens!$G$7879-Sens!$G$7877</f>
        <v>0</v>
      </c>
      <c r="H7882" s="41" t="n">
        <f aca="false">Sens!$H$7878+Sens!$H$7879-Sens!$H$7877</f>
        <v>0</v>
      </c>
      <c r="I7882" s="41" t="n">
        <f aca="false">Sens!$I$7878+Sens!$I$7879-Sens!$I$7877</f>
        <v>0</v>
      </c>
      <c r="J7882" s="41" t="n">
        <f aca="false">Sens!$J$7878+Sens!$J$7879-Sens!$J$7877</f>
        <v>0</v>
      </c>
      <c r="K7882" s="41" t="n">
        <f aca="false">Sens!$K$7878+Sens!$K$7879-Sens!$K$7877</f>
        <v>0</v>
      </c>
      <c r="L7882" s="41" t="n">
        <f aca="false">Sens!$L$7878+Sens!$L$7879-Sens!$L$7877</f>
        <v>0</v>
      </c>
      <c r="M7882" s="41" t="n">
        <f aca="false">Sens!$M$7878+Sens!$M$7879-Sens!$M$7877</f>
        <v>0</v>
      </c>
      <c r="N7882" s="41" t="n">
        <f aca="false">Sens!$N$7878+Sens!$N$7879-Sens!$N$7877</f>
        <v>0</v>
      </c>
      <c r="O7882" s="41" t="n">
        <f aca="false">Sens!$O$7878+Sens!$O$7879-Sens!$O$7877</f>
        <v>0</v>
      </c>
    </row>
    <row r="7883" customFormat="false" ht="17.15" hidden="false" customHeight="false" outlineLevel="0" collapsed="false">
      <c r="A7883" s="24" t="s">
        <v>757</v>
      </c>
      <c r="B7883" s="25" t="s">
        <v>86</v>
      </c>
      <c r="C7883" s="41" t="n">
        <f aca="false">Sens!$C$7868+Sens!$C$7869+Sens!$C$7870+Sens!$C$7871+Sens!$C$7872+Sens!$C$7873+Sens!$C$7874-Sens!$C$7880</f>
        <v>0</v>
      </c>
      <c r="D7883" s="41" t="n">
        <f aca="false">Sens!$D$7868+Sens!$D$7869+Sens!$D$7870+Sens!$D$7871+Sens!$D$7872+Sens!$D$7873+Sens!$D$7874-Sens!$D$7880</f>
        <v>0</v>
      </c>
      <c r="E7883" s="41" t="n">
        <f aca="false">Sens!$E$7868+Sens!$E$7869+Sens!$E$7870+Sens!$E$7871+Sens!$E$7872+Sens!$E$7873+Sens!$E$7874-Sens!$E$7880</f>
        <v>0</v>
      </c>
      <c r="F7883" s="41" t="n">
        <f aca="false">Sens!$F$7868+Sens!$F$7869+Sens!$F$7870+Sens!$F$7871+Sens!$F$7872+Sens!$F$7873+Sens!$F$7874-Sens!$F$7880</f>
        <v>0</v>
      </c>
      <c r="G7883" s="41" t="n">
        <f aca="false">Sens!$G$7868+Sens!$G$7869+Sens!$G$7870+Sens!$G$7871+Sens!$G$7872+Sens!$G$7873+Sens!$G$7874-Sens!$G$7880</f>
        <v>0</v>
      </c>
      <c r="H7883" s="41" t="n">
        <f aca="false">Sens!$H$7868+Sens!$H$7869+Sens!$H$7870+Sens!$H$7871+Sens!$H$7872+Sens!$H$7873+Sens!$H$7874-Sens!$H$7880</f>
        <v>0</v>
      </c>
      <c r="I7883" s="41" t="n">
        <f aca="false">Sens!$I$7868+Sens!$I$7869+Sens!$I$7870+Sens!$I$7871+Sens!$I$7872+Sens!$I$7873+Sens!$I$7874-Sens!$I$7880</f>
        <v>0</v>
      </c>
      <c r="J7883" s="41" t="n">
        <f aca="false">Sens!$J$7868+Sens!$J$7869+Sens!$J$7870+Sens!$J$7871+Sens!$J$7872+Sens!$J$7873+Sens!$J$7874-Sens!$J$7880</f>
        <v>0</v>
      </c>
      <c r="K7883" s="41" t="n">
        <f aca="false">Sens!$K$7868+Sens!$K$7869+Sens!$K$7870+Sens!$K$7871+Sens!$K$7872+Sens!$K$7873+Sens!$K$7874-Sens!$K$7880</f>
        <v>0</v>
      </c>
      <c r="L7883" s="41" t="n">
        <f aca="false">Sens!$L$7868+Sens!$L$7869+Sens!$L$7870+Sens!$L$7871+Sens!$L$7872+Sens!$L$7873+Sens!$L$7874-Sens!$L$7880</f>
        <v>0</v>
      </c>
      <c r="M7883" s="41" t="n">
        <f aca="false">Sens!$M$7868+Sens!$M$7869+Sens!$M$7870+Sens!$M$7871+Sens!$M$7872+Sens!$M$7873+Sens!$M$7874-Sens!$M$7880</f>
        <v>0</v>
      </c>
      <c r="N7883" s="41" t="n">
        <f aca="false">Sens!$N$7868+Sens!$N$7869+Sens!$N$7870+Sens!$N$7871+Sens!$N$7872+Sens!$N$7873+Sens!$N$7874-Sens!$N$7880</f>
        <v>0</v>
      </c>
      <c r="O7883" s="41" t="n">
        <f aca="false">Sens!$O$7868+Sens!$O$7869+Sens!$O$7870+Sens!$O$7871+Sens!$O$7872+Sens!$O$7873+Sens!$O$7874-Sens!$O$7880</f>
        <v>0</v>
      </c>
    </row>
    <row r="7884" customFormat="false" ht="17.15" hidden="false" customHeight="false" outlineLevel="0" collapsed="false">
      <c r="A7884" s="24" t="s">
        <v>699</v>
      </c>
      <c r="B7884" s="25" t="s">
        <v>86</v>
      </c>
      <c r="C7884" s="41" t="n">
        <f aca="false">Sens!$C$7875+Sens!$C$7876+Sens!$C$7877-Sens!$C$7880</f>
        <v>0</v>
      </c>
      <c r="D7884" s="41" t="n">
        <f aca="false">Sens!$D$7875+Sens!$D$7876+Sens!$D$7877-Sens!$D$7880</f>
        <v>0</v>
      </c>
      <c r="E7884" s="41" t="n">
        <f aca="false">Sens!$E$7875+Sens!$E$7876+Sens!$E$7877-Sens!$E$7880</f>
        <v>0</v>
      </c>
      <c r="F7884" s="41" t="n">
        <f aca="false">Sens!$F$7875+Sens!$F$7876+Sens!$F$7877-Sens!$F$7880</f>
        <v>0</v>
      </c>
      <c r="G7884" s="41" t="n">
        <f aca="false">Sens!$G$7875+Sens!$G$7876+Sens!$G$7877-Sens!$G$7880</f>
        <v>0</v>
      </c>
      <c r="H7884" s="41" t="n">
        <f aca="false">Sens!$H$7875+Sens!$H$7876+Sens!$H$7877-Sens!$H$7880</f>
        <v>0</v>
      </c>
      <c r="I7884" s="41" t="n">
        <f aca="false">Sens!$I$7875+Sens!$I$7876+Sens!$I$7877-Sens!$I$7880</f>
        <v>0</v>
      </c>
      <c r="J7884" s="41" t="n">
        <f aca="false">Sens!$J$7875+Sens!$J$7876+Sens!$J$7877-Sens!$J$7880</f>
        <v>0</v>
      </c>
      <c r="K7884" s="41" t="n">
        <f aca="false">Sens!$K$7875+Sens!$K$7876+Sens!$K$7877-Sens!$K$7880</f>
        <v>0</v>
      </c>
      <c r="L7884" s="41" t="n">
        <f aca="false">Sens!$L$7875+Sens!$L$7876+Sens!$L$7877-Sens!$L$7880</f>
        <v>0</v>
      </c>
      <c r="M7884" s="41" t="n">
        <f aca="false">Sens!$M$7875+Sens!$M$7876+Sens!$M$7877-Sens!$M$7880</f>
        <v>0</v>
      </c>
      <c r="N7884" s="41" t="n">
        <f aca="false">Sens!$N$7875+Sens!$N$7876+Sens!$N$7877-Sens!$N$7880</f>
        <v>0</v>
      </c>
      <c r="O7884" s="41" t="n">
        <f aca="false">Sens!$O$7875+Sens!$O$7876+Sens!$O$7877-Sens!$O$7880</f>
        <v>0</v>
      </c>
    </row>
    <row r="7885" customFormat="false" ht="17.15" hidden="false" customHeight="false" outlineLevel="0" collapsed="false">
      <c r="A7885" s="1" t="s">
        <v>713</v>
      </c>
    </row>
    <row r="7886" customFormat="false" ht="17.15" hidden="false" customHeight="false" outlineLevel="0" collapsed="false">
      <c r="A7886" s="0" t="s">
        <v>714</v>
      </c>
      <c r="B7886" s="0" t="s">
        <v>86</v>
      </c>
      <c r="C7886" s="38" t="n">
        <f aca="false">Sens!$C$7792*m_ad</f>
        <v>20.5341564414228</v>
      </c>
      <c r="D7886" s="38" t="n">
        <f aca="false">Sens!$D$7792*m_ad</f>
        <v>24.8720617299587</v>
      </c>
      <c r="E7886" s="38" t="n">
        <f aca="false">Sens!$E$7792*m_ad</f>
        <v>13.5017112462207</v>
      </c>
      <c r="F7886" s="38" t="n">
        <f aca="false">Sens!$F$7792*m_ad</f>
        <v>16.5719724165257</v>
      </c>
      <c r="G7886" s="38" t="n">
        <f aca="false">Sens!$G$7792*m_ad</f>
        <v>30.0820919220415</v>
      </c>
      <c r="H7886" s="38" t="n">
        <f aca="false">Sens!$H$7792*m_ad</f>
        <v>36.1150883276314</v>
      </c>
      <c r="I7886" s="38" t="n">
        <f aca="false">Sens!$I$7792*m_ad</f>
        <v>42.1475382231996</v>
      </c>
      <c r="J7886" s="38" t="n">
        <f aca="false">Sens!$J$7792*m_ad</f>
        <v>47.7749523864693</v>
      </c>
      <c r="K7886" s="38" t="n">
        <f aca="false">Sens!$K$7792*m_ad</f>
        <v>52.5524476251162</v>
      </c>
      <c r="L7886" s="38" t="n">
        <f aca="false">Sens!$L$7792*m_ad</f>
        <v>57.8076923876279</v>
      </c>
      <c r="M7886" s="38" t="n">
        <f aca="false">Sens!$M$7792*m_ad</f>
        <v>63.5884616263907</v>
      </c>
      <c r="N7886" s="38" t="n">
        <f aca="false">Sens!$N$7792*m_ad</f>
        <v>10.8543555706248</v>
      </c>
      <c r="O7886" s="38" t="n">
        <f aca="false">Sens!$O$7792*m_ad</f>
        <v>14.0094731821399</v>
      </c>
    </row>
    <row r="7887" customFormat="false" ht="17.15" hidden="false" customHeight="false" outlineLevel="0" collapsed="false">
      <c r="A7887" s="0" t="s">
        <v>715</v>
      </c>
      <c r="B7887" s="0" t="s">
        <v>86</v>
      </c>
      <c r="C7887" s="38" t="n">
        <f aca="false">Sens!$C$7790-Sens!$C$7792</f>
        <v>346.428687117154</v>
      </c>
      <c r="D7887" s="38" t="n">
        <f aca="false">Sens!$D$7790-Sens!$D$7792</f>
        <v>376.560876540083</v>
      </c>
      <c r="E7887" s="38" t="n">
        <f aca="false">Sens!$E$7790-Sens!$E$7792</f>
        <v>193.316577507559</v>
      </c>
      <c r="F7887" s="38" t="n">
        <f aca="false">Sens!$F$7790-Sens!$F$7792</f>
        <v>217.495828647535</v>
      </c>
      <c r="G7887" s="38" t="n">
        <f aca="false">Sens!$G$7790-Sens!$G$7792</f>
        <v>410.795589636503</v>
      </c>
      <c r="H7887" s="38" t="n">
        <f aca="false">Sens!$H$7790-Sens!$H$7792</f>
        <v>449.156813761174</v>
      </c>
      <c r="I7887" s="38" t="n">
        <f aca="false">Sens!$I$7790-Sens!$I$7792</f>
        <v>485.848786441156</v>
      </c>
      <c r="J7887" s="38" t="n">
        <f aca="false">Sens!$J$7790-Sens!$J$7792</f>
        <v>519.841531018994</v>
      </c>
      <c r="K7887" s="38" t="n">
        <f aca="false">Sens!$K$7790-Sens!$K$7792</f>
        <v>550.103332311311</v>
      </c>
      <c r="L7887" s="38" t="n">
        <f aca="false">Sens!$L$7790-Sens!$L$7792</f>
        <v>582.192354474511</v>
      </c>
      <c r="M7887" s="38" t="n">
        <f aca="false">Sens!$M$7790-Sens!$M$7792</f>
        <v>616.22240521081</v>
      </c>
      <c r="N7887" s="38" t="n">
        <f aca="false">Sens!$N$7790-Sens!$N$7792</f>
        <v>171.24628885875</v>
      </c>
      <c r="O7887" s="38" t="n">
        <f aca="false">Sens!$O$7790-Sens!$O$7792</f>
        <v>205.33105363572</v>
      </c>
    </row>
    <row r="7888" customFormat="false" ht="17.15" hidden="false" customHeight="false" outlineLevel="0" collapsed="false">
      <c r="A7888" s="0" t="s">
        <v>716</v>
      </c>
      <c r="B7888" s="0" t="s">
        <v>86</v>
      </c>
      <c r="C7888" s="38" t="n">
        <f aca="false">Sens!$C$7839*Sens!$C$7789</f>
        <v>0.123617442257179</v>
      </c>
      <c r="D7888" s="38" t="n">
        <f aca="false">Sens!$D$7839*Sens!$D$7789</f>
        <v>0.874366899302609</v>
      </c>
      <c r="E7888" s="38" t="n">
        <f aca="false">Sens!$E$7839*Sens!$E$7789</f>
        <v>1.29318830502574</v>
      </c>
      <c r="F7888" s="38" t="n">
        <f aca="false">Sens!$F$7839*Sens!$F$7789</f>
        <v>1.51802024162534</v>
      </c>
      <c r="G7888" s="38" t="n">
        <f aca="false">Sens!$G$7839*Sens!$G$7789</f>
        <v>2.81153363597665</v>
      </c>
      <c r="H7888" s="38" t="n">
        <f aca="false">Sens!$H$7839*Sens!$H$7789</f>
        <v>7.39027704264226</v>
      </c>
      <c r="I7888" s="38" t="n">
        <f aca="false">Sens!$I$7839*Sens!$I$7789</f>
        <v>12.899807643047</v>
      </c>
      <c r="J7888" s="38" t="n">
        <f aca="false">Sens!$J$7839*Sens!$J$7789</f>
        <v>18.5585322471382</v>
      </c>
      <c r="K7888" s="38" t="n">
        <f aca="false">Sens!$K$7839*Sens!$K$7789</f>
        <v>24.0966749520672</v>
      </c>
      <c r="L7888" s="38" t="n">
        <f aca="false">Sens!$L$7839*Sens!$L$7789</f>
        <v>27.686623551477</v>
      </c>
      <c r="M7888" s="38" t="n">
        <f aca="false">Sens!$M$7839*Sens!$M$7789</f>
        <v>29.7238645537022</v>
      </c>
      <c r="N7888" s="38" t="n">
        <f aca="false">Sens!$N$7839*Sens!$N$7789</f>
        <v>0.389180508437431</v>
      </c>
      <c r="O7888" s="38" t="n">
        <f aca="false">Sens!$O$7839*Sens!$O$7789</f>
        <v>0.485052120082802</v>
      </c>
    </row>
    <row r="7889" customFormat="false" ht="17.15" hidden="false" customHeight="false" outlineLevel="0" collapsed="false">
      <c r="A7889" s="0" t="s">
        <v>717</v>
      </c>
      <c r="B7889" s="0" t="s">
        <v>52</v>
      </c>
      <c r="C7889" s="28" t="n">
        <f aca="false">(Sens!$C$7890-Sens!$C$7886+Sens!$C$7888)/Sens!$C$7887</f>
        <v>0.0131526665379575</v>
      </c>
      <c r="D7889" s="28" t="n">
        <f aca="false">(Sens!$D$7890-Sens!$D$7886+Sens!$D$7888)/Sens!$D$7887</f>
        <v>0.0149280116962589</v>
      </c>
      <c r="E7889" s="28" t="n">
        <f aca="false">(Sens!$E$7890-Sens!$E$7886+Sens!$E$7888)/Sens!$E$7887</f>
        <v>0.0268030663774938</v>
      </c>
      <c r="F7889" s="28" t="n">
        <f aca="false">Sens!$O$7889+(Sens!$E$7889-Sens!$N$7889)</f>
        <v>0.0232379346966962</v>
      </c>
      <c r="G7889" s="28" t="n">
        <f aca="false">(Sens!$G$7890-Sens!$G$7886+Sens!$G$7888)/Sens!$G$7887</f>
        <v>0.0248969268652583</v>
      </c>
      <c r="H7889" s="28" t="n">
        <f aca="false">Sens!$G$7889+step_na</f>
        <v>0.0278969268652583</v>
      </c>
      <c r="I7889" s="28" t="n">
        <f aca="false">Sens!$H$7889+step_na</f>
        <v>0.0308969268652583</v>
      </c>
      <c r="J7889" s="28" t="n">
        <f aca="false">Sens!$I$7889+step_na</f>
        <v>0.0338969268652583</v>
      </c>
      <c r="K7889" s="28" t="n">
        <f aca="false">Sens!$J$7889+step_na</f>
        <v>0.0368969268652584</v>
      </c>
      <c r="L7889" s="28" t="n">
        <f aca="false">Sens!$K$7889</f>
        <v>0.0368969268652584</v>
      </c>
      <c r="M7889" s="28" t="n">
        <f aca="false">Sens!$L$7889</f>
        <v>0.0368969268652584</v>
      </c>
      <c r="N7889" s="28" t="n">
        <f aca="false">(Sens!$N$7890-Sens!$N$7886+Sens!$N$7888)/Sens!$N$7887</f>
        <v>0.0168927744775755</v>
      </c>
      <c r="O7889" s="28" t="n">
        <f aca="false">(Sens!$O$7890-Sens!$O$7886+Sens!$O$7888)/Sens!$O$7887</f>
        <v>0.0133276427967779</v>
      </c>
      <c r="P7889" s="8" t="s">
        <v>718</v>
      </c>
    </row>
    <row r="7890" customFormat="false" ht="17.15" hidden="false" customHeight="false" outlineLevel="0" collapsed="false">
      <c r="A7890" s="1" t="s">
        <v>719</v>
      </c>
      <c r="B7890" s="8" t="s">
        <v>86</v>
      </c>
      <c r="C7890" s="38" t="n">
        <f aca="false">Q!$D$22</f>
        <v>24.967</v>
      </c>
      <c r="D7890" s="38" t="n">
        <f aca="false">Q!$E$22</f>
        <v>29.619</v>
      </c>
      <c r="E7890" s="38" t="n">
        <f aca="false">Q!$P$22</f>
        <v>17.39</v>
      </c>
      <c r="F7890" s="38" t="n">
        <f aca="false">Sens!$F$7886+Sens!$F$7887*Sens!$F$7889-Sens!$F$7888</f>
        <v>20.1081060378156</v>
      </c>
      <c r="G7890" s="38" t="n">
        <f aca="false">Sens!$E$7890+Sens!$F$7890</f>
        <v>37.4981060378156</v>
      </c>
      <c r="H7890" s="38" t="n">
        <f aca="false">Sens!$H$7886+Sens!$H$7887*Sens!$H$7889-Sens!$H$7888</f>
        <v>41.2549060695171</v>
      </c>
      <c r="I7890" s="38" t="n">
        <f aca="false">Sens!$I$7886+Sens!$I$7887*Sens!$I$7889-Sens!$I$7888</f>
        <v>44.2589650023995</v>
      </c>
      <c r="J7890" s="38" t="n">
        <f aca="false">Sens!$J$7886+Sens!$J$7887*Sens!$J$7889-Sens!$J$7888</f>
        <v>46.8374504978059</v>
      </c>
      <c r="K7890" s="38" t="n">
        <f aca="false">Sens!$K$7886+Sens!$K$7887*Sens!$K$7889-Sens!$K$7888</f>
        <v>48.7528950936744</v>
      </c>
      <c r="L7890" s="38" t="n">
        <f aca="false">Sens!$L$7886+Sens!$L$7887*Sens!$L$7889-Sens!$L$7888</f>
        <v>51.6021775607095</v>
      </c>
      <c r="M7890" s="38" t="n">
        <f aca="false">Sens!$M$7886+Sens!$M$7887*Sens!$M$7889-Sens!$M$7888</f>
        <v>56.6013100904853</v>
      </c>
      <c r="N7890" s="38" t="n">
        <f aca="false">Q!$N$22</f>
        <v>13.358</v>
      </c>
      <c r="O7890" s="38" t="n">
        <f aca="false">Q!$O$22</f>
        <v>16.261</v>
      </c>
    </row>
    <row r="7891" customFormat="false" ht="17.15" hidden="false" customHeight="false" outlineLevel="0" collapsed="false">
      <c r="A7891" s="0" t="s">
        <v>720</v>
      </c>
      <c r="B7891" s="0" t="s">
        <v>86</v>
      </c>
      <c r="C7891" s="38" t="n">
        <f aca="false">Sens!$C$7793*m_ad</f>
        <v>7.57284355857716</v>
      </c>
      <c r="D7891" s="38" t="n">
        <f aca="false">Sens!$D$7793*m_ad</f>
        <v>9.44543827004127</v>
      </c>
      <c r="E7891" s="38" t="n">
        <f aca="false">Sens!$E$7793*m_ad</f>
        <v>5.02428875377928</v>
      </c>
      <c r="F7891" s="38" t="n">
        <f aca="false">Sens!$F$7793*m_ad</f>
        <v>6.50663858068173</v>
      </c>
      <c r="G7891" s="38" t="n">
        <f aca="false">Sens!$G$7793*m_ad</f>
        <v>11.5225190751659</v>
      </c>
      <c r="H7891" s="38" t="n">
        <f aca="false">Sens!$H$7793*m_ad</f>
        <v>13.8333728663174</v>
      </c>
      <c r="I7891" s="38" t="n">
        <f aca="false">Sens!$I$7793*m_ad</f>
        <v>16.1440173245485</v>
      </c>
      <c r="J7891" s="38" t="n">
        <f aca="false">Sens!$J$7793*m_ad</f>
        <v>18.2995185845066</v>
      </c>
      <c r="K7891" s="38" t="n">
        <f aca="false">Sens!$K$7793*m_ad</f>
        <v>20.1294704429572</v>
      </c>
      <c r="L7891" s="38" t="n">
        <f aca="false">Sens!$L$7793*m_ad</f>
        <v>22.142417487253</v>
      </c>
      <c r="M7891" s="38" t="n">
        <f aca="false">Sens!$M$7793*m_ad</f>
        <v>24.3566592359783</v>
      </c>
      <c r="N7891" s="38" t="n">
        <f aca="false">Sens!$N$7793*m_ad</f>
        <v>3.95314442937518</v>
      </c>
      <c r="O7891" s="38" t="n">
        <f aca="false">Sens!$O$7793*m_ad</f>
        <v>5.50052681786011</v>
      </c>
    </row>
    <row r="7892" customFormat="false" ht="17.15" hidden="false" customHeight="false" outlineLevel="0" collapsed="false">
      <c r="A7892" s="0" t="s">
        <v>721</v>
      </c>
      <c r="B7892" s="0" t="s">
        <v>86</v>
      </c>
      <c r="C7892" s="38" t="n">
        <f aca="false">Sens!$C$7791-Sens!$C$7793</f>
        <v>127.760312882846</v>
      </c>
      <c r="D7892" s="38" t="n">
        <f aca="false">Sens!$D$7791-Sens!$D$7793</f>
        <v>143.003123459917</v>
      </c>
      <c r="E7892" s="38" t="n">
        <f aca="false">Sens!$E$7791-Sens!$E$7793</f>
        <v>71.9374224924414</v>
      </c>
      <c r="F7892" s="38" t="n">
        <f aca="false">Sens!$F$7791-Sens!$F$7793</f>
        <v>85.3951910035875</v>
      </c>
      <c r="G7892" s="38" t="n">
        <f aca="false">Sens!$G$7791-Sens!$G$7793</f>
        <v>157.349430014619</v>
      </c>
      <c r="H7892" s="38" t="n">
        <f aca="false">Sens!$H$7791-Sens!$H$7793</f>
        <v>172.043153372315</v>
      </c>
      <c r="I7892" s="38" t="n">
        <f aca="false">Sens!$I$7791-Sens!$I$7793</f>
        <v>186.097493615879</v>
      </c>
      <c r="J7892" s="38" t="n">
        <f aca="false">Sens!$J$7791-Sens!$J$7793</f>
        <v>199.117932780497</v>
      </c>
      <c r="K7892" s="38" t="n">
        <f aca="false">Sens!$K$7791-Sens!$K$7793</f>
        <v>210.70928698363</v>
      </c>
      <c r="L7892" s="38" t="n">
        <f aca="false">Sens!$L$7791-Sens!$L$7793</f>
        <v>223.000532251316</v>
      </c>
      <c r="M7892" s="38" t="n">
        <f aca="false">Sens!$M$7791-Sens!$M$7793</f>
        <v>236.035261011339</v>
      </c>
      <c r="N7892" s="38" t="n">
        <f aca="false">Sens!$N$7791-Sens!$N$7793</f>
        <v>62.3677111412496</v>
      </c>
      <c r="O7892" s="38" t="n">
        <f aca="false">Sens!$O$7791-Sens!$O$7793</f>
        <v>80.6189463642798</v>
      </c>
    </row>
    <row r="7893" customFormat="false" ht="17.15" hidden="false" customHeight="false" outlineLevel="0" collapsed="false">
      <c r="A7893" s="0" t="s">
        <v>722</v>
      </c>
      <c r="B7893" s="0" t="s">
        <v>86</v>
      </c>
      <c r="C7893" s="38" t="n">
        <f aca="false">Sens!$C$7839*(1-Sens!$C$7789)</f>
        <v>0.0455891896019953</v>
      </c>
      <c r="D7893" s="38" t="n">
        <f aca="false">Sens!$D$7839*(1-Sens!$D$7789)</f>
        <v>0.332050421167231</v>
      </c>
      <c r="E7893" s="38" t="n">
        <f aca="false">Sens!$E$7839*(1-Sens!$E$7789)</f>
        <v>0.481224293644882</v>
      </c>
      <c r="F7893" s="38" t="n">
        <f aca="false">Sens!$F$7839*(1-Sens!$F$7789)</f>
        <v>0.596018918096053</v>
      </c>
      <c r="G7893" s="38" t="n">
        <f aca="false">Sens!$G$7839*(1-Sens!$G$7789)</f>
        <v>1.07691812241537</v>
      </c>
      <c r="H7893" s="38" t="n">
        <f aca="false">Sens!$H$7839*(1-Sens!$H$7789)</f>
        <v>2.83074090775622</v>
      </c>
      <c r="I7893" s="38" t="n">
        <f aca="false">Sens!$I$7839*(1-Sens!$I$7789)</f>
        <v>4.94108853926048</v>
      </c>
      <c r="J7893" s="38" t="n">
        <f aca="false">Sens!$J$7839*(1-Sens!$J$7789)</f>
        <v>7.10858281993502</v>
      </c>
      <c r="K7893" s="38" t="n">
        <f aca="false">Sens!$K$7839*(1-Sens!$K$7789)</f>
        <v>9.2298899126701</v>
      </c>
      <c r="L7893" s="38" t="n">
        <f aca="false">Sens!$L$7839*(1-Sens!$L$7789)</f>
        <v>10.6049688574045</v>
      </c>
      <c r="M7893" s="38" t="n">
        <f aca="false">Sens!$M$7839*(1-Sens!$M$7789)</f>
        <v>11.3853051574758</v>
      </c>
      <c r="N7893" s="38" t="n">
        <f aca="false">Sens!$N$7839*(1-Sens!$N$7789)</f>
        <v>0.141739115596548</v>
      </c>
      <c r="O7893" s="38" t="n">
        <f aca="false">Sens!$O$7839*(1-Sens!$O$7789)</f>
        <v>0.190445576353059</v>
      </c>
    </row>
    <row r="7894" customFormat="false" ht="17.15" hidden="false" customHeight="false" outlineLevel="0" collapsed="false">
      <c r="A7894" s="0" t="s">
        <v>723</v>
      </c>
      <c r="B7894" s="0" t="s">
        <v>52</v>
      </c>
      <c r="C7894" s="28" t="n">
        <f aca="false">(Sens!$C$7895-Sens!$C$7891+Sens!$C$7893)/Sens!$C$7892</f>
        <v>-0.0292364215826579</v>
      </c>
      <c r="D7894" s="28" t="n">
        <f aca="false">(Sens!$D$7895-Sens!$D$7891+Sens!$D$7893)/Sens!$D$7892</f>
        <v>-0.0305125352740778</v>
      </c>
      <c r="E7894" s="28" t="n">
        <f aca="false">(Sens!$E$7895-Sens!$E$7891+Sens!$E$7893)/Sens!$E$7892</f>
        <v>-0.019490056934994</v>
      </c>
      <c r="F7894" s="28" t="n">
        <f aca="false">Sens!$O$7894+(Sens!$E$7894-Sens!$N$7894)</f>
        <v>-0.0367332293992226</v>
      </c>
      <c r="G7894" s="28" t="n">
        <f aca="false">(Sens!$G$7895-Sens!$G$7891+Sens!$G$7893)/Sens!$G$7892</f>
        <v>-0.0287946542321067</v>
      </c>
      <c r="H7894" s="28" t="n">
        <f aca="false">Sens!$G$7894+step_in</f>
        <v>-0.0287946542321067</v>
      </c>
      <c r="I7894" s="28" t="n">
        <f aca="false">Sens!$H$7894+step_in</f>
        <v>-0.0287946542321067</v>
      </c>
      <c r="J7894" s="28" t="n">
        <f aca="false">Sens!$I$7894+step_in</f>
        <v>-0.0287946542321067</v>
      </c>
      <c r="K7894" s="28" t="n">
        <f aca="false">Sens!$J$7894+step_in</f>
        <v>-0.0287946542321067</v>
      </c>
      <c r="L7894" s="28" t="n">
        <f aca="false">Sens!$K$7894</f>
        <v>-0.0287946542321067</v>
      </c>
      <c r="M7894" s="28" t="n">
        <f aca="false">Sens!$L$7894</f>
        <v>-0.0287946542321067</v>
      </c>
      <c r="N7894" s="28" t="n">
        <f aca="false">(Sens!$N$7895-Sens!$N$7891+Sens!$N$7893)/Sens!$N$7892</f>
        <v>-0.02085061789158</v>
      </c>
      <c r="O7894" s="28" t="n">
        <f aca="false">(Sens!$O$7895-Sens!$O$7891+Sens!$O$7893)/Sens!$O$7892</f>
        <v>-0.0380937903558086</v>
      </c>
      <c r="P7894" s="8" t="s">
        <v>718</v>
      </c>
    </row>
    <row r="7895" customFormat="false" ht="17.15" hidden="false" customHeight="false" outlineLevel="0" collapsed="false">
      <c r="A7895" s="1" t="s">
        <v>724</v>
      </c>
      <c r="B7895" s="8" t="s">
        <v>86</v>
      </c>
      <c r="C7895" s="38" t="n">
        <f aca="false">Q!$D$23</f>
        <v>3.792</v>
      </c>
      <c r="D7895" s="38" t="n">
        <f aca="false">Q!$E$23</f>
        <v>4.75</v>
      </c>
      <c r="E7895" s="38" t="n">
        <f aca="false">Q!$P$23</f>
        <v>3.141</v>
      </c>
      <c r="F7895" s="38" t="n">
        <f aca="false">Sens!$F$7891+Sens!$F$7892*Sens!$F$7894-Sens!$F$7893</f>
        <v>2.77377852186047</v>
      </c>
      <c r="G7895" s="38" t="n">
        <f aca="false">Sens!$E$7895+Sens!$F$7895</f>
        <v>5.91477852186047</v>
      </c>
      <c r="H7895" s="38" t="n">
        <f aca="false">Sens!$H$7891+Sens!$H$7892*Sens!$H$7894-Sens!$H$7893</f>
        <v>6.04870884420403</v>
      </c>
      <c r="I7895" s="38" t="n">
        <f aca="false">Sens!$I$7891+Sens!$I$7892*Sens!$I$7894-Sens!$I$7893</f>
        <v>5.84431580315713</v>
      </c>
      <c r="J7895" s="38" t="n">
        <f aca="false">Sens!$J$7891+Sens!$J$7892*Sens!$J$7894-Sens!$J$7893</f>
        <v>5.45740373874528</v>
      </c>
      <c r="K7895" s="38" t="n">
        <f aca="false">Sens!$K$7891+Sens!$K$7892*Sens!$K$7894-Sens!$K$7893</f>
        <v>4.83227946809976</v>
      </c>
      <c r="L7895" s="38" t="n">
        <f aca="false">Sens!$L$7891+Sens!$L$7892*Sens!$L$7894-Sens!$L$7893</f>
        <v>5.11622541009601</v>
      </c>
      <c r="M7895" s="38" t="n">
        <f aca="false">Sens!$M$7891+Sens!$M$7892*Sens!$M$7894-Sens!$M$7893</f>
        <v>6.17480035109588</v>
      </c>
      <c r="N7895" s="38" t="n">
        <f aca="false">Q!$N$23</f>
        <v>2.511</v>
      </c>
      <c r="O7895" s="38" t="n">
        <f aca="false">Q!$O$23</f>
        <v>2.239</v>
      </c>
    </row>
    <row r="7896" customFormat="false" ht="17.15" hidden="false" customHeight="false" outlineLevel="0" collapsed="false">
      <c r="A7896" s="0" t="s">
        <v>725</v>
      </c>
      <c r="B7896" s="0" t="s">
        <v>86</v>
      </c>
      <c r="C7896" s="38" t="n">
        <f aca="false">Sens!$C$7836</f>
        <v>1.64417882953695</v>
      </c>
      <c r="D7896" s="38" t="n">
        <f aca="false">Sens!$D$7836</f>
        <v>3.8781008067718</v>
      </c>
      <c r="E7896" s="38" t="n">
        <f aca="false">Sens!$E$7836</f>
        <v>1.41270258088753</v>
      </c>
      <c r="F7896" s="38" t="n">
        <f aca="false">Sens!$F$7836</f>
        <v>6.50727700583486</v>
      </c>
      <c r="G7896" s="38" t="n">
        <f aca="false">Sens!$G$7836</f>
        <v>7.9199795867224</v>
      </c>
      <c r="H7896" s="38" t="n">
        <f aca="false">Sens!$H$7836</f>
        <v>19.2818189481807</v>
      </c>
      <c r="I7896" s="38" t="n">
        <f aca="false">Sens!$I$7836</f>
        <v>30.140114407202</v>
      </c>
      <c r="J7896" s="38" t="n">
        <f aca="false">Sens!$J$7836</f>
        <v>40.3569468829854</v>
      </c>
      <c r="K7896" s="38" t="n">
        <f aca="false">Sens!$K$7836</f>
        <v>45.1418609242305</v>
      </c>
      <c r="L7896" s="38" t="n">
        <f aca="false">Sens!$L$7836</f>
        <v>48.5617321668703</v>
      </c>
      <c r="M7896" s="38" t="n">
        <f aca="false">Sens!$M$7836</f>
        <v>48.3987625241529</v>
      </c>
      <c r="N7896" s="38" t="n">
        <f aca="false">Sens!$N$7836</f>
        <v>0.92264103489199</v>
      </c>
      <c r="O7896" s="38" t="n">
        <f aca="false">Sens!$O$7836</f>
        <v>2.95545977187981</v>
      </c>
    </row>
    <row r="7897" customFormat="false" ht="17.15" hidden="false" customHeight="false" outlineLevel="0" collapsed="false">
      <c r="A7897" s="0" t="s">
        <v>643</v>
      </c>
      <c r="B7897" s="0" t="s">
        <v>86</v>
      </c>
      <c r="C7897" s="38" t="n">
        <f aca="false">Sens!$C$7841</f>
        <v>38.1898211704631</v>
      </c>
      <c r="D7897" s="38" t="n">
        <f aca="false">Sens!$D$7841</f>
        <v>41.7278991932282</v>
      </c>
      <c r="E7897" s="38" t="n">
        <f aca="false">Sens!$E$7841</f>
        <v>29.3692974191125</v>
      </c>
      <c r="F7897" s="38" t="n">
        <f aca="false">Sens!$F$7841</f>
        <v>26.8997276714137</v>
      </c>
      <c r="G7897" s="38" t="n">
        <f aca="false">Sens!$G$7841</f>
        <v>56.2690250905262</v>
      </c>
      <c r="H7897" s="38" t="n">
        <f aca="false">Sens!$H$7841</f>
        <v>60.3505333937343</v>
      </c>
      <c r="I7897" s="38" t="n">
        <f aca="false">Sens!$I$7841</f>
        <v>67.0043857303571</v>
      </c>
      <c r="J7897" s="38" t="n">
        <f aca="false">Sens!$J$7841</f>
        <v>73.3782922956925</v>
      </c>
      <c r="K7897" s="38" t="n">
        <f aca="false">Sens!$K$7841</f>
        <v>79.2485556793479</v>
      </c>
      <c r="L7897" s="38" t="n">
        <f aca="false">Sens!$L$7841</f>
        <v>85.5884401336958</v>
      </c>
      <c r="M7897" s="38" t="n">
        <f aca="false">Sens!$M$7841</f>
        <v>92.4355153443914</v>
      </c>
      <c r="N7897" s="38" t="n">
        <f aca="false">Sens!$N$7841</f>
        <v>20.784358965108</v>
      </c>
      <c r="O7897" s="38" t="n">
        <f aca="false">Sens!$O$7841</f>
        <v>20.9435402281202</v>
      </c>
    </row>
    <row r="7898" customFormat="false" ht="17.15" hidden="false" customHeight="false" outlineLevel="0" collapsed="false">
      <c r="A7898" s="1" t="s">
        <v>726</v>
      </c>
      <c r="B7898" s="8" t="s">
        <v>86</v>
      </c>
      <c r="C7898" s="38" t="n">
        <f aca="false">Q!$D$24</f>
        <v>39.834</v>
      </c>
      <c r="D7898" s="38" t="n">
        <f aca="false">Q!$E$24</f>
        <v>45.606</v>
      </c>
      <c r="E7898" s="38" t="n">
        <f aca="false">Q!$P$24</f>
        <v>30.782</v>
      </c>
      <c r="F7898" s="38" t="n">
        <f aca="false">Sens!$F$7896+Sens!$F$7897</f>
        <v>33.4070046772486</v>
      </c>
      <c r="G7898" s="38" t="n">
        <f aca="false">Sens!$G$7896+Sens!$G$7897</f>
        <v>64.1890046772486</v>
      </c>
      <c r="H7898" s="38" t="n">
        <f aca="false">Sens!$H$7896+Sens!$H$7897</f>
        <v>79.6323523419149</v>
      </c>
      <c r="I7898" s="38" t="n">
        <f aca="false">Sens!$I$7896+Sens!$I$7897</f>
        <v>97.1445001375591</v>
      </c>
      <c r="J7898" s="38" t="n">
        <f aca="false">Sens!$J$7896+Sens!$J$7897</f>
        <v>113.735239178678</v>
      </c>
      <c r="K7898" s="38" t="n">
        <f aca="false">Sens!$K$7896+Sens!$K$7897</f>
        <v>124.390416603578</v>
      </c>
      <c r="L7898" s="38" t="n">
        <f aca="false">Sens!$L$7896+Sens!$L$7897</f>
        <v>134.150172300566</v>
      </c>
      <c r="M7898" s="38" t="n">
        <f aca="false">Sens!$M$7896+Sens!$M$7897</f>
        <v>140.834277868544</v>
      </c>
      <c r="N7898" s="38" t="n">
        <f aca="false">Q!$N$24</f>
        <v>21.707</v>
      </c>
      <c r="O7898" s="38" t="n">
        <f aca="false">Q!$O$24</f>
        <v>23.899</v>
      </c>
    </row>
    <row r="7899" customFormat="false" ht="17.15" hidden="false" customHeight="false" outlineLevel="0" collapsed="false">
      <c r="A7899" s="5" t="s">
        <v>727</v>
      </c>
      <c r="B7899" s="0" t="s">
        <v>86</v>
      </c>
      <c r="C7899" s="38" t="n">
        <f aca="false">Q!$D$26</f>
        <v>0</v>
      </c>
      <c r="D7899" s="38" t="n">
        <f aca="false">Q!$E$26</f>
        <v>0</v>
      </c>
      <c r="E7899" s="38" t="n">
        <f aca="false">Q!$P$26</f>
        <v>0</v>
      </c>
      <c r="F7899" s="39" t="n">
        <v>0</v>
      </c>
      <c r="G7899" s="38" t="n">
        <f aca="false">Sens!$E$7899+Sens!$F$7899</f>
        <v>0</v>
      </c>
      <c r="H7899" s="39" t="n">
        <v>0</v>
      </c>
      <c r="I7899" s="39" t="n">
        <v>0</v>
      </c>
      <c r="J7899" s="39" t="n">
        <v>0</v>
      </c>
      <c r="K7899" s="39" t="n">
        <v>0</v>
      </c>
      <c r="L7899" s="39" t="n">
        <v>0</v>
      </c>
      <c r="M7899" s="39" t="n">
        <v>0</v>
      </c>
      <c r="N7899" s="38" t="n">
        <f aca="false">Q!$N$26</f>
        <v>0</v>
      </c>
      <c r="O7899" s="38" t="n">
        <f aca="false">Q!$O$26</f>
        <v>0</v>
      </c>
    </row>
    <row r="7900" customFormat="false" ht="15" hidden="false" customHeight="false" outlineLevel="0" collapsed="false">
      <c r="A7900" s="3" t="s">
        <v>531</v>
      </c>
      <c r="B7900" s="8" t="s">
        <v>86</v>
      </c>
      <c r="C7900" s="38" t="n">
        <f aca="false">Q!$D$25</f>
        <v>68.593</v>
      </c>
      <c r="D7900" s="38" t="n">
        <f aca="false">Q!$E$25</f>
        <v>79.975</v>
      </c>
      <c r="E7900" s="38" t="n">
        <f aca="false">Q!$P$25</f>
        <v>51.313</v>
      </c>
      <c r="F7900" s="38" t="n">
        <f aca="false">Sens!$F$7890+Sens!$F$7895+Sens!$F$7898+Sens!$F$7899</f>
        <v>56.2888892369246</v>
      </c>
      <c r="G7900" s="38" t="n">
        <f aca="false">Sens!$G$7890+Sens!$G$7895+Sens!$G$7898+Sens!$G$7899</f>
        <v>107.601889236925</v>
      </c>
      <c r="H7900" s="38" t="n">
        <f aca="false">Sens!$H$7890+Sens!$H$7895+Sens!$H$7898+Sens!$H$7899</f>
        <v>126.935967255636</v>
      </c>
      <c r="I7900" s="38" t="n">
        <f aca="false">Sens!$I$7890+Sens!$I$7895+Sens!$I$7898+Sens!$I$7899</f>
        <v>147.247780943116</v>
      </c>
      <c r="J7900" s="38" t="n">
        <f aca="false">Sens!$J$7890+Sens!$J$7895+Sens!$J$7898+Sens!$J$7899</f>
        <v>166.030093415229</v>
      </c>
      <c r="K7900" s="38" t="n">
        <f aca="false">Sens!$K$7890+Sens!$K$7895+Sens!$K$7898+Sens!$K$7899</f>
        <v>177.975591165353</v>
      </c>
      <c r="L7900" s="38" t="n">
        <f aca="false">Sens!$L$7890+Sens!$L$7895+Sens!$L$7898+Sens!$L$7899</f>
        <v>190.868575271371</v>
      </c>
      <c r="M7900" s="38" t="n">
        <f aca="false">Sens!$M$7890+Sens!$M$7895+Sens!$M$7898+Sens!$M$7899</f>
        <v>203.610388310126</v>
      </c>
      <c r="N7900" s="38" t="n">
        <f aca="false">Q!$N$25</f>
        <v>37.576</v>
      </c>
      <c r="O7900" s="38" t="n">
        <f aca="false">Q!$O$25</f>
        <v>42.399</v>
      </c>
    </row>
    <row r="7901" customFormat="false" ht="17.15" hidden="false" customHeight="false" outlineLevel="0" collapsed="false">
      <c r="A7901" s="24" t="s">
        <v>758</v>
      </c>
      <c r="B7901" s="25" t="s">
        <v>86</v>
      </c>
      <c r="C7901" s="41" t="n">
        <f aca="false">Sens!$C$7890+Sens!$C$7895+Sens!$C$7898+Sens!$C$7899-Sens!$C$7900</f>
        <v>0</v>
      </c>
      <c r="D7901" s="41" t="n">
        <f aca="false">Sens!$D$7890+Sens!$D$7895+Sens!$D$7898+Sens!$D$7899-Sens!$D$7900</f>
        <v>0</v>
      </c>
      <c r="E7901" s="41" t="n">
        <f aca="false">Sens!$E$7890+Sens!$E$7895+Sens!$E$7898+Sens!$E$7899-Sens!$E$7900</f>
        <v>0</v>
      </c>
      <c r="F7901" s="41" t="n">
        <f aca="false">Sens!$F$7890+Sens!$F$7895+Sens!$F$7898+Sens!$F$7899-Sens!$F$7900</f>
        <v>0</v>
      </c>
      <c r="G7901" s="41" t="n">
        <f aca="false">Sens!$G$7890+Sens!$G$7895+Sens!$G$7898+Sens!$G$7899-Sens!$G$7900</f>
        <v>0</v>
      </c>
      <c r="H7901" s="41" t="n">
        <f aca="false">Sens!$H$7890+Sens!$H$7895+Sens!$H$7898+Sens!$H$7899-Sens!$H$7900</f>
        <v>0</v>
      </c>
      <c r="I7901" s="41" t="n">
        <f aca="false">Sens!$I$7890+Sens!$I$7895+Sens!$I$7898+Sens!$I$7899-Sens!$I$7900</f>
        <v>0</v>
      </c>
      <c r="J7901" s="41" t="n">
        <f aca="false">Sens!$J$7890+Sens!$J$7895+Sens!$J$7898+Sens!$J$7899-Sens!$J$7900</f>
        <v>0</v>
      </c>
      <c r="K7901" s="41" t="n">
        <f aca="false">Sens!$K$7890+Sens!$K$7895+Sens!$K$7898+Sens!$K$7899-Sens!$K$7900</f>
        <v>0</v>
      </c>
      <c r="L7901" s="41" t="n">
        <f aca="false">Sens!$L$7890+Sens!$L$7895+Sens!$L$7898+Sens!$L$7899-Sens!$L$7900</f>
        <v>0</v>
      </c>
      <c r="M7901" s="41" t="n">
        <f aca="false">Sens!$M$7890+Sens!$M$7895+Sens!$M$7898+Sens!$M$7899-Sens!$M$7900</f>
        <v>0</v>
      </c>
      <c r="N7901" s="41" t="n">
        <f aca="false">Sens!$N$7890+Sens!$N$7895+Sens!$N$7898+Sens!$N$7899-Sens!$N$7900</f>
        <v>0</v>
      </c>
      <c r="O7901" s="41" t="n">
        <f aca="false">Sens!$O$7890+Sens!$O$7895+Sens!$O$7898+Sens!$O$7899-Sens!$O$7900</f>
        <v>0</v>
      </c>
    </row>
    <row r="7902" customFormat="false" ht="17.15" hidden="false" customHeight="false" outlineLevel="0" collapsed="false">
      <c r="A7902" s="5" t="s">
        <v>729</v>
      </c>
      <c r="B7902" s="0" t="s">
        <v>86</v>
      </c>
      <c r="C7902" s="38" t="n">
        <f aca="false">Sens!$C$7838</f>
        <v>0</v>
      </c>
      <c r="D7902" s="38" t="n">
        <f aca="false">Sens!$D$7838</f>
        <v>0</v>
      </c>
      <c r="E7902" s="38" t="n">
        <f aca="false">Sens!$E$7838</f>
        <v>0</v>
      </c>
      <c r="F7902" s="38" t="n">
        <f aca="false">Sens!$F$7838</f>
        <v>3.77122048175818</v>
      </c>
      <c r="G7902" s="38" t="n">
        <f aca="false">Sens!$G$7838</f>
        <v>3.77122048175818</v>
      </c>
      <c r="H7902" s="38" t="n">
        <f aca="false">Sens!$H$7838</f>
        <v>15.1635543609893</v>
      </c>
      <c r="I7902" s="38" t="n">
        <f aca="false">Sens!$I$7838</f>
        <v>25.5818843619889</v>
      </c>
      <c r="J7902" s="38" t="n">
        <f aca="false">Sens!$J$7838</f>
        <v>36.0465624179122</v>
      </c>
      <c r="K7902" s="38" t="n">
        <f aca="false">Sens!$K$7838</f>
        <v>44.9741164026038</v>
      </c>
      <c r="L7902" s="38" t="n">
        <f aca="false">Sens!$L$7838</f>
        <v>50.8413488057813</v>
      </c>
      <c r="M7902" s="38" t="n">
        <f aca="false">Sens!$M$7838</f>
        <v>53.6407214274315</v>
      </c>
      <c r="N7902" s="38" t="n">
        <f aca="false">Sens!$N$7838</f>
        <v>0</v>
      </c>
      <c r="O7902" s="38" t="n">
        <f aca="false">Sens!$O$7838</f>
        <v>0</v>
      </c>
      <c r="P7902" s="5" t="s">
        <v>730</v>
      </c>
    </row>
    <row r="7903" customFormat="false" ht="17.15" hidden="false" customHeight="false" outlineLevel="0" collapsed="false">
      <c r="A7903" s="5" t="s">
        <v>731</v>
      </c>
      <c r="B7903" s="0" t="s">
        <v>86</v>
      </c>
      <c r="C7903" s="38" t="n">
        <f aca="false">Sens!$C$7900+Sens!$C$7902</f>
        <v>68.593</v>
      </c>
      <c r="D7903" s="38" t="n">
        <f aca="false">Sens!$D$7900+Sens!$D$7902</f>
        <v>79.975</v>
      </c>
      <c r="E7903" s="38" t="n">
        <f aca="false">Sens!$E$7900+Sens!$E$7902</f>
        <v>51.313</v>
      </c>
      <c r="F7903" s="38" t="n">
        <f aca="false">Sens!$F$7900+Sens!$F$7902</f>
        <v>60.0601097186828</v>
      </c>
      <c r="G7903" s="38" t="n">
        <f aca="false">Sens!$G$7900+Sens!$G$7902</f>
        <v>111.373109718683</v>
      </c>
      <c r="H7903" s="38" t="n">
        <f aca="false">Sens!$H$7900+Sens!$H$7902</f>
        <v>142.099521616625</v>
      </c>
      <c r="I7903" s="38" t="n">
        <f aca="false">Sens!$I$7900+Sens!$I$7902</f>
        <v>172.829665305105</v>
      </c>
      <c r="J7903" s="38" t="n">
        <f aca="false">Sens!$J$7900+Sens!$J$7902</f>
        <v>202.076655833141</v>
      </c>
      <c r="K7903" s="38" t="n">
        <f aca="false">Sens!$K$7900+Sens!$K$7902</f>
        <v>222.949707567956</v>
      </c>
      <c r="L7903" s="38" t="n">
        <f aca="false">Sens!$L$7900+Sens!$L$7902</f>
        <v>241.709924077153</v>
      </c>
      <c r="M7903" s="38" t="n">
        <f aca="false">Sens!$M$7900+Sens!$M$7902</f>
        <v>257.251109737557</v>
      </c>
      <c r="N7903" s="38" t="n">
        <f aca="false">Sens!$N$7900+Sens!$N$7902</f>
        <v>37.576</v>
      </c>
      <c r="O7903" s="38" t="n">
        <f aca="false">Sens!$O$7900+Sens!$O$7902</f>
        <v>42.399</v>
      </c>
    </row>
    <row r="7904" customFormat="false" ht="17.15" hidden="false" customHeight="false" outlineLevel="0" collapsed="false">
      <c r="A7904" s="0" t="s">
        <v>732</v>
      </c>
      <c r="B7904" s="0" t="s">
        <v>52</v>
      </c>
      <c r="C7904" s="13" t="n">
        <f aca="false">Sens!$C$7890/Sens!$C$7875</f>
        <v>0.0644314665661928</v>
      </c>
      <c r="D7904" s="13" t="n">
        <f aca="false">Sens!$D$7890/Sens!$D$7875</f>
        <v>0.0694784250712518</v>
      </c>
      <c r="E7904" s="13" t="n">
        <f aca="false">Sens!$E$7890/Sens!$E$7875</f>
        <v>0.0789306463326071</v>
      </c>
      <c r="F7904" s="13" t="n">
        <f aca="false">Sens!$F$7890/Sens!$F$7875</f>
        <v>0.0802271154277638</v>
      </c>
      <c r="G7904" s="13" t="n">
        <f aca="false">Sens!$G$7890/Sens!$G$7875</f>
        <v>0.0796206133714758</v>
      </c>
      <c r="H7904" s="13" t="n">
        <f aca="false">Sens!$H$7890/Sens!$H$7875</f>
        <v>0.0791253077422711</v>
      </c>
      <c r="I7904" s="13" t="n">
        <f aca="false">Sens!$I$7890/Sens!$I$7875</f>
        <v>0.0776277144828766</v>
      </c>
      <c r="J7904" s="13" t="n">
        <f aca="false">Sens!$J$7890/Sens!$J$7875</f>
        <v>0.0761100135193333</v>
      </c>
      <c r="K7904" s="13" t="n">
        <f aca="false">Sens!$K$7890/Sens!$K$7875</f>
        <v>0.074408246177121</v>
      </c>
      <c r="L7904" s="13" t="n">
        <f aca="false">Sens!$L$7890/Sens!$L$7875</f>
        <v>0.0739489900415671</v>
      </c>
      <c r="M7904" s="13" t="n">
        <f aca="false">Sens!$M$7890/Sens!$M$7875</f>
        <v>0.076138500430805</v>
      </c>
      <c r="N7904" s="13" t="n">
        <f aca="false">Sens!$N$7890/Sens!$N$7875</f>
        <v>0.069228576611127</v>
      </c>
      <c r="O7904" s="13" t="n">
        <f aca="false">Sens!$O$7890/Sens!$O$7875</f>
        <v>0.069685022498393</v>
      </c>
    </row>
    <row r="7905" customFormat="false" ht="17.15" hidden="false" customHeight="false" outlineLevel="0" collapsed="false">
      <c r="A7905" s="0" t="s">
        <v>733</v>
      </c>
      <c r="B7905" s="0" t="s">
        <v>52</v>
      </c>
      <c r="C7905" s="13" t="n">
        <f aca="false">Sens!$C$7895/Sens!$C$7876</f>
        <v>0.026534925055631</v>
      </c>
      <c r="D7905" s="13" t="n">
        <f aca="false">Sens!$D$7895/Sens!$D$7876</f>
        <v>0.0293401855535103</v>
      </c>
      <c r="E7905" s="13" t="n">
        <f aca="false">Sens!$E$7895/Sens!$E$7876</f>
        <v>0.03831141902276</v>
      </c>
      <c r="F7905" s="13" t="n">
        <f aca="false">Sens!$F$7895/Sens!$F$7876</f>
        <v>0.028186380436398</v>
      </c>
      <c r="G7905" s="13" t="n">
        <f aca="false">Sens!$G$7895/Sens!$G$7876</f>
        <v>0.0327880260521739</v>
      </c>
      <c r="H7905" s="13" t="n">
        <f aca="false">Sens!$H$7895/Sens!$H$7876</f>
        <v>0.0302874763409969</v>
      </c>
      <c r="I7905" s="13" t="n">
        <f aca="false">Sens!$I$7895/Sens!$I$7876</f>
        <v>0.0267614610253202</v>
      </c>
      <c r="J7905" s="13" t="n">
        <f aca="false">Sens!$J$7895/Sens!$J$7876</f>
        <v>0.0231523582706593</v>
      </c>
      <c r="K7905" s="13" t="n">
        <f aca="false">Sens!$K$7895/Sens!$K$7876</f>
        <v>0.0192545467174101</v>
      </c>
      <c r="L7905" s="13" t="n">
        <f aca="false">Sens!$L$7895/Sens!$L$7876</f>
        <v>0.0191414347264789</v>
      </c>
      <c r="M7905" s="13" t="n">
        <f aca="false">Sens!$M$7895/Sens!$M$7876</f>
        <v>0.0216850962428001</v>
      </c>
      <c r="N7905" s="13" t="n">
        <f aca="false">Sens!$N$7895/Sens!$N$7876</f>
        <v>0.0357315650169337</v>
      </c>
      <c r="O7905" s="13" t="n">
        <f aca="false">Sens!$O$7895/Sens!$O$7876</f>
        <v>0.0244378956559703</v>
      </c>
    </row>
    <row r="7906" customFormat="false" ht="17.15" hidden="false" customHeight="false" outlineLevel="0" collapsed="false">
      <c r="A7906" s="14" t="s">
        <v>734</v>
      </c>
      <c r="B7906" s="14" t="s">
        <v>52</v>
      </c>
      <c r="C7906" s="17" t="n">
        <f aca="false">Sens!$C$7898/Sens!$C$7877</f>
        <v>0.370355907620217</v>
      </c>
      <c r="D7906" s="17" t="n">
        <f aca="false">Sens!$D$7898/Sens!$D$7877</f>
        <v>0.35429015342785</v>
      </c>
      <c r="E7906" s="17" t="n">
        <f aca="false">Sens!$E$7898/Sens!$E$7877</f>
        <v>0.385647527531039</v>
      </c>
      <c r="F7906" s="17" t="n">
        <f aca="false">Sens!$F$7898/Sens!$F$7877</f>
        <v>0.385171818673936</v>
      </c>
      <c r="G7906" s="17" t="n">
        <f aca="false">Sens!$G$7898/Sens!$G$7877</f>
        <v>0.385399799520974</v>
      </c>
      <c r="H7906" s="17" t="n">
        <f aca="false">Sens!$H$7898/Sens!$H$7877</f>
        <v>0.360029314750347</v>
      </c>
      <c r="I7906" s="17" t="n">
        <f aca="false">Sens!$I$7898/Sens!$I$7877</f>
        <v>0.346606134604193</v>
      </c>
      <c r="J7906" s="17" t="n">
        <f aca="false">Sens!$J$7898/Sens!$J$7877</f>
        <v>0.335699297156574</v>
      </c>
      <c r="K7906" s="17" t="n">
        <f aca="false">Sens!$K$7898/Sens!$K$7877</f>
        <v>0.319043289183739</v>
      </c>
      <c r="L7906" s="17" t="n">
        <f aca="false">Sens!$L$7898/Sens!$L$7877</f>
        <v>0.311918613444893</v>
      </c>
      <c r="M7906" s="17" t="n">
        <f aca="false">Sens!$M$7898/Sens!$M$7877</f>
        <v>0.306523814127389</v>
      </c>
      <c r="N7906" s="17" t="n">
        <f aca="false">Sens!$N$7898/Sens!$N$7877</f>
        <v>0.360941137346192</v>
      </c>
      <c r="O7906" s="17" t="n">
        <f aca="false">Sens!$O$7898/Sens!$O$7877</f>
        <v>0.348458117664212</v>
      </c>
    </row>
    <row r="7907" customFormat="false" ht="17.15" hidden="false" customHeight="false" outlineLevel="0" collapsed="false">
      <c r="A7907" s="0" t="s">
        <v>735</v>
      </c>
      <c r="B7907" s="0" t="s">
        <v>52</v>
      </c>
      <c r="C7907" s="13" t="n">
        <f aca="false">Sens!$C$7896/Sens!$C$7878</f>
        <v>0.708390794789371</v>
      </c>
      <c r="D7907" s="13" t="n">
        <f aca="false">Sens!$D$7896/Sens!$D$7878</f>
        <v>0.445565630441968</v>
      </c>
      <c r="E7907" s="13" t="n">
        <f aca="false">Sens!$E$7896/Sens!$E$7878</f>
        <v>0.165998118402711</v>
      </c>
      <c r="F7907" s="13" t="n">
        <f aca="false">Sens!$F$7896/Sens!$F$7878</f>
        <v>0.434878595403858</v>
      </c>
      <c r="G7907" s="13" t="n">
        <f aca="false">Sens!$G$7896/Sens!$G$7878</f>
        <v>0.3373967615381</v>
      </c>
      <c r="H7907" s="13" t="n">
        <f aca="false">Sens!$H$7896/Sens!$H$7878</f>
        <v>0.320477578041224</v>
      </c>
      <c r="I7907" s="13" t="n">
        <f aca="false">Sens!$I$7896/Sens!$I$7878</f>
        <v>0.296936118226494</v>
      </c>
      <c r="J7907" s="13" t="n">
        <f aca="false">Sens!$J$7896/Sens!$J$7878</f>
        <v>0.282166278613001</v>
      </c>
      <c r="K7907" s="13" t="n">
        <f aca="false">Sens!$K$7896/Sens!$K$7878</f>
        <v>0.252969102881543</v>
      </c>
      <c r="L7907" s="13" t="n">
        <f aca="false">Sens!$L$7896/Sens!$L$7878</f>
        <v>0.240728642826566</v>
      </c>
      <c r="M7907" s="13" t="n">
        <f aca="false">Sens!$M$7896/Sens!$M$7878</f>
        <v>0.227399920863147</v>
      </c>
      <c r="N7907" s="13" t="n">
        <f aca="false">Sens!$N$7896/Sens!$N$7878</f>
        <v>0.302870734830849</v>
      </c>
      <c r="O7907" s="13" t="n">
        <f aca="false">Sens!$O$7896/Sens!$O$7878</f>
        <v>0.52240134346334</v>
      </c>
    </row>
    <row r="7908" customFormat="false" ht="15" hidden="false" customHeight="false" outlineLevel="0" collapsed="false">
      <c r="A7908" s="5" t="s">
        <v>736</v>
      </c>
      <c r="B7908" s="0" t="s">
        <v>52</v>
      </c>
      <c r="C7908" s="13" t="n">
        <f aca="false">Sens!$C$7900/Sens!$C$7880</f>
        <v>0.107519448742004</v>
      </c>
      <c r="D7908" s="13" t="n">
        <f aca="false">Sens!$D$7900/Sens!$D$7880</f>
        <v>0.111552967957552</v>
      </c>
      <c r="E7908" s="13" t="n">
        <f aca="false">Sens!$E$7900/Sens!$E$7880</f>
        <v>0.13428328426562</v>
      </c>
      <c r="F7908" s="13" t="n">
        <f aca="false">Sens!$F$7900/Sens!$F$7880</f>
        <v>0.129167844525589</v>
      </c>
      <c r="G7908" s="13" t="n">
        <f aca="false">Sens!$G$7900/Sens!$G$7880</f>
        <v>0.131557773771988</v>
      </c>
      <c r="H7908" s="13" t="n">
        <f aca="false">Sens!$H$7900/Sens!$H$7880</f>
        <v>0.134711536350329</v>
      </c>
      <c r="I7908" s="13" t="n">
        <f aca="false">Sens!$I$7900/Sens!$I$7880</f>
        <v>0.137768888779847</v>
      </c>
      <c r="J7908" s="13" t="n">
        <f aca="false">Sens!$J$7900/Sens!$J$7880</f>
        <v>0.139531715827143</v>
      </c>
      <c r="K7908" s="13" t="n">
        <f aca="false">Sens!$K$7900/Sens!$K$7880</f>
        <v>0.137320259076553</v>
      </c>
      <c r="L7908" s="13" t="n">
        <f aca="false">Sens!$L$7900/Sens!$L$7880</f>
        <v>0.136806307456799</v>
      </c>
      <c r="M7908" s="13" t="n">
        <f aca="false">Sens!$M$7900/Sens!$M$7880</f>
        <v>0.136871350584245</v>
      </c>
      <c r="N7908" s="13" t="n">
        <f aca="false">Sens!$N$7900/Sens!$N$7880</f>
        <v>0.116201614873411</v>
      </c>
      <c r="O7908" s="13" t="n">
        <f aca="false">Sens!$O$7900/Sens!$O$7880</f>
        <v>0.107733353660861</v>
      </c>
    </row>
    <row r="7909" customFormat="false" ht="17.15" hidden="false" customHeight="false" outlineLevel="0" collapsed="false">
      <c r="A7909" s="1" t="s">
        <v>737</v>
      </c>
    </row>
    <row r="7910" customFormat="false" ht="17.15" hidden="false" customHeight="false" outlineLevel="0" collapsed="false">
      <c r="A7910" s="5" t="s">
        <v>738</v>
      </c>
      <c r="B7910" s="0" t="s">
        <v>52</v>
      </c>
      <c r="D7910" s="28" t="n">
        <f aca="false">(Q!$E$29+Q!$E$30-(1-ext_sh)*Sens!$D$7832)/Sens!$D$7788</f>
        <v>0.0334674312393194</v>
      </c>
    </row>
    <row r="7911" customFormat="false" ht="17.15" hidden="false" customHeight="false" outlineLevel="0" collapsed="false">
      <c r="A7911" s="0" t="s">
        <v>535</v>
      </c>
      <c r="B7911" s="0" t="s">
        <v>86</v>
      </c>
      <c r="C7911" s="38" t="n">
        <f aca="false">Q!$D$29</f>
        <v>14.285</v>
      </c>
      <c r="D7911" s="38" t="n">
        <f aca="false">Q!$E$29</f>
        <v>15.503</v>
      </c>
      <c r="E7911" s="38" t="n">
        <f aca="false">Q!$P$29</f>
        <v>8.78</v>
      </c>
      <c r="F7911" s="38" t="n">
        <f aca="false">(Sens!$D$7910*Sens!$F$7788+(1-ext_sh)*Sens!$F$7832)*Sens!$F$7789</f>
        <v>9.32404990199157</v>
      </c>
      <c r="G7911" s="38" t="n">
        <f aca="false">Sens!$E$7911+Sens!$F$7911</f>
        <v>18.1040499019916</v>
      </c>
      <c r="H7911" s="38" t="n">
        <f aca="false">(Sens!$D$7910*Sens!$H$7788+(1-ext_sh)*Sens!$H$7832)*Sens!$H$7789</f>
        <v>22.5533556752937</v>
      </c>
      <c r="I7911" s="38" t="n">
        <f aca="false">(Sens!$D$7910*Sens!$I$7788+(1-ext_sh)*Sens!$I$7832)*Sens!$I$7789</f>
        <v>28.1941479903215</v>
      </c>
      <c r="J7911" s="38" t="n">
        <f aca="false">(Sens!$D$7910*Sens!$J$7788+(1-ext_sh)*Sens!$J$7832)*Sens!$J$7789</f>
        <v>33.8639126241465</v>
      </c>
      <c r="K7911" s="38" t="n">
        <f aca="false">(Sens!$D$7910*Sens!$K$7788+(1-ext_sh)*Sens!$K$7832)*Sens!$K$7789</f>
        <v>39.4516429979446</v>
      </c>
      <c r="L7911" s="38" t="n">
        <f aca="false">(Sens!$D$7910*Sens!$L$7788+(1-ext_sh)*Sens!$L$7832)*Sens!$L$7789</f>
        <v>43.6240799619622</v>
      </c>
      <c r="M7911" s="38" t="n">
        <f aca="false">(Sens!$D$7910*Sens!$M$7788+(1-ext_sh)*Sens!$M$7832)*Sens!$M$7789</f>
        <v>46.7841679303704</v>
      </c>
      <c r="N7911" s="38" t="n">
        <f aca="false">Q!$N$29</f>
        <v>7.272</v>
      </c>
      <c r="O7911" s="38" t="n">
        <f aca="false">Q!$O$29</f>
        <v>8.231</v>
      </c>
    </row>
    <row r="7912" customFormat="false" ht="17.15" hidden="false" customHeight="false" outlineLevel="0" collapsed="false">
      <c r="A7912" s="0" t="s">
        <v>537</v>
      </c>
      <c r="B7912" s="0" t="s">
        <v>86</v>
      </c>
      <c r="C7912" s="38" t="n">
        <f aca="false">Q!$D$30</f>
        <v>4.462</v>
      </c>
      <c r="D7912" s="38" t="n">
        <f aca="false">Q!$E$30</f>
        <v>4.907</v>
      </c>
      <c r="E7912" s="38" t="n">
        <f aca="false">Q!$P$30</f>
        <v>2.57</v>
      </c>
      <c r="F7912" s="38" t="n">
        <f aca="false">(Sens!$D$7910*Sens!$F$7788+(1-ext_sh)*Sens!$F$7832)*(1-Sens!$F$7789)</f>
        <v>3.66089330199472</v>
      </c>
      <c r="G7912" s="38" t="n">
        <f aca="false">Sens!$E$7912+Sens!$F$7912</f>
        <v>6.23089330199472</v>
      </c>
      <c r="H7912" s="38" t="n">
        <f aca="false">(Sens!$D$7910*Sens!$H$7788+(1-ext_sh)*Sens!$H$7832)*(1-Sens!$H$7789)</f>
        <v>8.63874333111657</v>
      </c>
      <c r="I7912" s="38" t="n">
        <f aca="false">(Sens!$D$7910*Sens!$I$7788+(1-ext_sh)*Sens!$I$7832)*(1-Sens!$I$7789)</f>
        <v>10.7993689025494</v>
      </c>
      <c r="J7912" s="38" t="n">
        <f aca="false">(Sens!$D$7910*Sens!$J$7788+(1-ext_sh)*Sens!$J$7832)*(1-Sens!$J$7789)</f>
        <v>12.9710919101865</v>
      </c>
      <c r="K7912" s="38" t="n">
        <f aca="false">(Sens!$D$7910*Sens!$K$7788+(1-ext_sh)*Sens!$K$7832)*(1-Sens!$K$7789)</f>
        <v>15.1113928568702</v>
      </c>
      <c r="L7912" s="38" t="n">
        <f aca="false">(Sens!$D$7910*Sens!$L$7788+(1-ext_sh)*Sens!$L$7832)*(1-Sens!$L$7789)</f>
        <v>16.7095857163433</v>
      </c>
      <c r="M7912" s="38" t="n">
        <f aca="false">(Sens!$D$7910*Sens!$M$7788+(1-ext_sh)*Sens!$M$7832)*(1-Sens!$M$7789)</f>
        <v>17.9200126371023</v>
      </c>
      <c r="N7912" s="38" t="n">
        <f aca="false">Q!$N$30</f>
        <v>2.316</v>
      </c>
      <c r="O7912" s="38" t="n">
        <f aca="false">Q!$O$30</f>
        <v>2.591</v>
      </c>
    </row>
    <row r="7913" customFormat="false" ht="17.15" hidden="false" customHeight="false" outlineLevel="0" collapsed="false">
      <c r="A7913" s="0" t="s">
        <v>538</v>
      </c>
      <c r="B7913" s="0" t="s">
        <v>86</v>
      </c>
      <c r="C7913" s="38" t="n">
        <f aca="false">Sens!$C$7844</f>
        <v>13.32</v>
      </c>
      <c r="D7913" s="38" t="n">
        <f aca="false">Sens!$D$7844</f>
        <v>21.45</v>
      </c>
      <c r="E7913" s="38" t="n">
        <f aca="false">Sens!$E$7844</f>
        <v>15.353</v>
      </c>
      <c r="F7913" s="38" t="n">
        <f aca="false">Sens!$F$7844</f>
        <v>16.3063747611001</v>
      </c>
      <c r="G7913" s="38" t="n">
        <f aca="false">Sens!$G$7844</f>
        <v>31.6593747611001</v>
      </c>
      <c r="H7913" s="38" t="n">
        <f aca="false">Sens!$H$7844</f>
        <v>53.124242092105</v>
      </c>
      <c r="I7913" s="38" t="n">
        <f aca="false">Sens!$I$7844</f>
        <v>78.046828098133</v>
      </c>
      <c r="J7913" s="38" t="n">
        <f aca="false">Sens!$J$7844</f>
        <v>103.663976940352</v>
      </c>
      <c r="K7913" s="38" t="n">
        <f aca="false">Sens!$K$7844</f>
        <v>129.625086115469</v>
      </c>
      <c r="L7913" s="38" t="n">
        <f aca="false">Sens!$L$7844</f>
        <v>147.435052382502</v>
      </c>
      <c r="M7913" s="38" t="n">
        <f aca="false">Sens!$M$7844</f>
        <v>159.299754080279</v>
      </c>
      <c r="N7913" s="38" t="n">
        <f aca="false">Sens!$N$7844</f>
        <v>9.234</v>
      </c>
      <c r="O7913" s="38" t="n">
        <f aca="false">Sens!$O$7844</f>
        <v>12.216</v>
      </c>
    </row>
    <row r="7914" customFormat="false" ht="17.15" hidden="false" customHeight="false" outlineLevel="0" collapsed="false">
      <c r="A7914" s="5" t="s">
        <v>739</v>
      </c>
      <c r="B7914" s="0" t="s">
        <v>86</v>
      </c>
      <c r="C7914" s="38" t="n">
        <f aca="false">Sens!$C$7911+Sens!$C$7912+Sens!$C$7913</f>
        <v>32.067</v>
      </c>
      <c r="D7914" s="38" t="n">
        <f aca="false">Sens!$D$7911+Sens!$D$7912+Sens!$D$7913</f>
        <v>41.86</v>
      </c>
      <c r="E7914" s="38" t="n">
        <f aca="false">Sens!$E$7911+Sens!$E$7912+Sens!$E$7913</f>
        <v>26.703</v>
      </c>
      <c r="F7914" s="38" t="n">
        <f aca="false">Sens!$F$7911+Sens!$F$7912+Sens!$F$7913</f>
        <v>29.2913179650864</v>
      </c>
      <c r="G7914" s="38" t="n">
        <f aca="false">Sens!$G$7911+Sens!$G$7912+Sens!$G$7913</f>
        <v>55.9943179650864</v>
      </c>
      <c r="H7914" s="38" t="n">
        <f aca="false">Sens!$H$7911+Sens!$H$7912+Sens!$H$7913</f>
        <v>84.3163410985152</v>
      </c>
      <c r="I7914" s="38" t="n">
        <f aca="false">Sens!$I$7911+Sens!$I$7912+Sens!$I$7913</f>
        <v>117.040344991004</v>
      </c>
      <c r="J7914" s="38" t="n">
        <f aca="false">Sens!$J$7911+Sens!$J$7912+Sens!$J$7913</f>
        <v>150.498981474685</v>
      </c>
      <c r="K7914" s="38" t="n">
        <f aca="false">Sens!$K$7911+Sens!$K$7912+Sens!$K$7913</f>
        <v>184.188121970284</v>
      </c>
      <c r="L7914" s="38" t="n">
        <f aca="false">Sens!$L$7911+Sens!$L$7912+Sens!$L$7913</f>
        <v>207.768718060808</v>
      </c>
      <c r="M7914" s="38" t="n">
        <f aca="false">Sens!$M$7911+Sens!$M$7912+Sens!$M$7913</f>
        <v>224.003934647752</v>
      </c>
      <c r="N7914" s="38" t="n">
        <f aca="false">Sens!$N$7911+Sens!$N$7912+Sens!$N$7913</f>
        <v>18.822</v>
      </c>
      <c r="O7914" s="38" t="n">
        <f aca="false">Sens!$O$7911+Sens!$O$7912+Sens!$O$7913</f>
        <v>23.038</v>
      </c>
    </row>
    <row r="7915" customFormat="false" ht="17.15" hidden="false" customHeight="false" outlineLevel="0" collapsed="false">
      <c r="A7915" s="0" t="s">
        <v>740</v>
      </c>
      <c r="B7915" s="0" t="s">
        <v>86</v>
      </c>
      <c r="C7915" s="38" t="n">
        <f aca="false">Sens!$C$7886+Sens!$C$7891</f>
        <v>28.107</v>
      </c>
      <c r="D7915" s="38" t="n">
        <f aca="false">Sens!$D$7886+Sens!$D$7891</f>
        <v>34.3175</v>
      </c>
      <c r="E7915" s="38" t="n">
        <f aca="false">Sens!$E$7886+Sens!$E$7891</f>
        <v>18.526</v>
      </c>
      <c r="F7915" s="38" t="n">
        <f aca="false">Sens!$F$7886+Sens!$F$7891</f>
        <v>23.0786109972074</v>
      </c>
      <c r="G7915" s="38" t="n">
        <f aca="false">Sens!$G$7886+Sens!$G$7891</f>
        <v>41.6046109972074</v>
      </c>
      <c r="H7915" s="38" t="n">
        <f aca="false">Sens!$H$7886+Sens!$H$7891</f>
        <v>49.9484611939488</v>
      </c>
      <c r="I7915" s="38" t="n">
        <f aca="false">Sens!$I$7886+Sens!$I$7891</f>
        <v>58.2915555477481</v>
      </c>
      <c r="J7915" s="38" t="n">
        <f aca="false">Sens!$J$7886+Sens!$J$7891</f>
        <v>66.0744709709759</v>
      </c>
      <c r="K7915" s="38" t="n">
        <f aca="false">Sens!$K$7886+Sens!$K$7891</f>
        <v>72.6819180680735</v>
      </c>
      <c r="L7915" s="38" t="n">
        <f aca="false">Sens!$L$7886+Sens!$L$7891</f>
        <v>79.9501098748808</v>
      </c>
      <c r="M7915" s="38" t="n">
        <f aca="false">Sens!$M$7886+Sens!$M$7891</f>
        <v>87.9451208623689</v>
      </c>
      <c r="N7915" s="38" t="n">
        <f aca="false">Sens!$N$7886+Sens!$N$7891</f>
        <v>14.8075</v>
      </c>
      <c r="O7915" s="38" t="n">
        <f aca="false">Sens!$O$7886+Sens!$O$7891</f>
        <v>19.51</v>
      </c>
    </row>
    <row r="7916" customFormat="false" ht="17.15" hidden="false" customHeight="false" outlineLevel="0" collapsed="false">
      <c r="A7916" s="0" t="s">
        <v>741</v>
      </c>
      <c r="B7916" s="0" t="s">
        <v>86</v>
      </c>
      <c r="C7916" s="38" t="n">
        <f aca="false">Sens!$C$7890+Sens!$C$7895+Sens!$C$7911+Sens!$C$7912-Sens!$C$7915</f>
        <v>19.399</v>
      </c>
      <c r="D7916" s="38" t="n">
        <f aca="false">Sens!$D$7890+Sens!$D$7895+Sens!$D$7911+Sens!$D$7912-Sens!$D$7915</f>
        <v>20.4615</v>
      </c>
      <c r="E7916" s="38" t="n">
        <f aca="false">Sens!$E$7890+Sens!$E$7895+Sens!$E$7911+Sens!$E$7912-Sens!$E$7915</f>
        <v>13.355</v>
      </c>
      <c r="F7916" s="38" t="n">
        <f aca="false">Sens!$F$7890+Sens!$F$7895+Sens!$F$7911+Sens!$F$7912-Sens!$F$7915</f>
        <v>12.7882167664549</v>
      </c>
      <c r="G7916" s="38" t="n">
        <f aca="false">Sens!$G$7890+Sens!$G$7895+Sens!$G$7911+Sens!$G$7912-Sens!$G$7915</f>
        <v>26.1432167664549</v>
      </c>
      <c r="H7916" s="38" t="n">
        <f aca="false">Sens!$H$7890+Sens!$H$7895+Sens!$H$7911+Sens!$H$7912-Sens!$H$7915</f>
        <v>28.5472527261826</v>
      </c>
      <c r="I7916" s="38" t="n">
        <f aca="false">Sens!$I$7890+Sens!$I$7895+Sens!$I$7911+Sens!$I$7912-Sens!$I$7915</f>
        <v>30.8052421506794</v>
      </c>
      <c r="J7916" s="38" t="n">
        <f aca="false">Sens!$J$7890+Sens!$J$7895+Sens!$J$7911+Sens!$J$7912-Sens!$J$7915</f>
        <v>33.0553877999083</v>
      </c>
      <c r="K7916" s="38" t="n">
        <f aca="false">Sens!$K$7890+Sens!$K$7895+Sens!$K$7911+Sens!$K$7912-Sens!$K$7915</f>
        <v>35.4662923485155</v>
      </c>
      <c r="L7916" s="38" t="n">
        <f aca="false">Sens!$L$7890+Sens!$L$7895+Sens!$L$7911+Sens!$L$7912-Sens!$L$7915</f>
        <v>37.1019587742301</v>
      </c>
      <c r="M7916" s="38" t="n">
        <f aca="false">Sens!$M$7890+Sens!$M$7895+Sens!$M$7911+Sens!$M$7912-Sens!$M$7915</f>
        <v>39.5351701466849</v>
      </c>
      <c r="N7916" s="38" t="n">
        <f aca="false">Sens!$N$7890+Sens!$N$7895+Sens!$N$7911+Sens!$N$7912-Sens!$N$7915</f>
        <v>10.6495</v>
      </c>
      <c r="O7916" s="38" t="n">
        <f aca="false">Sens!$O$7890+Sens!$O$7895+Sens!$O$7911+Sens!$O$7912-Sens!$O$7915</f>
        <v>9.81200000000001</v>
      </c>
    </row>
    <row r="7917" customFormat="false" ht="17.15" hidden="false" customHeight="false" outlineLevel="0" collapsed="false">
      <c r="A7917" s="0" t="s">
        <v>742</v>
      </c>
      <c r="B7917" s="0" t="s">
        <v>86</v>
      </c>
      <c r="C7917" s="38" t="n">
        <f aca="false">Sens!$C$7897+Sens!$C$7913-ext_sh*Sens!$C$7832</f>
        <v>51.3470500115664</v>
      </c>
      <c r="D7917" s="38" t="n">
        <f aca="false">Sens!$D$7897+Sens!$D$7913-ext_sh*Sens!$D$7832</f>
        <v>60.2799375433739</v>
      </c>
      <c r="E7917" s="38" t="n">
        <f aca="false">Sens!$E$7897+Sens!$E$7913-ext_sh*Sens!$E$7832</f>
        <v>39.5095167090767</v>
      </c>
      <c r="F7917" s="38" t="n">
        <f aca="false">Sens!$F$7897+Sens!$F$7913-ext_sh*Sens!$F$7832</f>
        <v>37.993321722478</v>
      </c>
      <c r="G7917" s="38" t="n">
        <f aca="false">Sens!$G$7897+Sens!$G$7913-ext_sh*Sens!$G$7832</f>
        <v>77.5028384315548</v>
      </c>
      <c r="H7917" s="38" t="n">
        <f aca="false">Sens!$H$7897+Sens!$H$7913-ext_sh*Sens!$H$7832</f>
        <v>85.2394217279746</v>
      </c>
      <c r="I7917" s="38" t="n">
        <f aca="false">Sens!$I$7897+Sens!$I$7913-ext_sh*Sens!$I$7832</f>
        <v>94.6373589713254</v>
      </c>
      <c r="J7917" s="38" t="n">
        <f aca="false">Sens!$J$7897+Sens!$J$7913-ext_sh*Sens!$J$7832</f>
        <v>103.639899284146</v>
      </c>
      <c r="K7917" s="38" t="n">
        <f aca="false">Sens!$K$7897+Sens!$K$7913-ext_sh*Sens!$K$7832</f>
        <v>111.931091226878</v>
      </c>
      <c r="L7917" s="38" t="n">
        <f aca="false">Sens!$L$7897+Sens!$L$7913-ext_sh*Sens!$L$7832</f>
        <v>120.885578525028</v>
      </c>
      <c r="M7917" s="38" t="n">
        <f aca="false">Sens!$M$7897+Sens!$M$7913-ext_sh*Sens!$M$7832</f>
        <v>130.55642480703</v>
      </c>
      <c r="N7917" s="38" t="n">
        <f aca="false">Sens!$N$7897+Sens!$N$7913-ext_sh*Sens!$N$7832</f>
        <v>28.5693781401809</v>
      </c>
      <c r="O7917" s="38" t="n">
        <f aca="false">Sens!$O$7897+Sens!$O$7913-ext_sh*Sens!$O$7832</f>
        <v>31.7105594031931</v>
      </c>
    </row>
    <row r="7918" customFormat="false" ht="17.15" hidden="false" customHeight="false" outlineLevel="0" collapsed="false">
      <c r="A7918" s="0" t="s">
        <v>743</v>
      </c>
      <c r="B7918" s="0" t="s">
        <v>86</v>
      </c>
      <c r="C7918" s="38" t="n">
        <f aca="false">Sens!$C$7835</f>
        <v>1.80694998843362</v>
      </c>
      <c r="D7918" s="38" t="n">
        <f aca="false">Sens!$D$7835</f>
        <v>6.77606245662607</v>
      </c>
      <c r="E7918" s="38" t="n">
        <f aca="false">Sens!$E$7835</f>
        <v>6.62548329092326</v>
      </c>
      <c r="F7918" s="38" t="n">
        <f aca="false">Sens!$F$7835</f>
        <v>11.7200577158706</v>
      </c>
      <c r="G7918" s="38" t="n">
        <f aca="false">Sens!$G$7835</f>
        <v>18.3455410067939</v>
      </c>
      <c r="H7918" s="38" t="n">
        <f aca="false">Sens!$H$7835</f>
        <v>47.5171727060453</v>
      </c>
      <c r="I7918" s="38" t="n">
        <f aca="false">Sens!$I$7835</f>
        <v>80.5539692643667</v>
      </c>
      <c r="J7918" s="38" t="n">
        <f aca="false">Sens!$J$7835</f>
        <v>113.759316834883</v>
      </c>
      <c r="K7918" s="38" t="n">
        <f aca="false">Sens!$K$7835</f>
        <v>142.084411492169</v>
      </c>
      <c r="L7918" s="38" t="n">
        <f aca="false">Sens!$L$7835</f>
        <v>160.69964615804</v>
      </c>
      <c r="M7918" s="38" t="n">
        <f aca="false">Sens!$M$7835</f>
        <v>169.577607141793</v>
      </c>
      <c r="N7918" s="38" t="n">
        <f aca="false">Sens!$N$7835</f>
        <v>2.37162185981912</v>
      </c>
      <c r="O7918" s="38" t="n">
        <f aca="false">Sens!$O$7835</f>
        <v>4.40444059680694</v>
      </c>
    </row>
    <row r="7919" customFormat="false" ht="17.15" hidden="false" customHeight="false" outlineLevel="0" collapsed="false">
      <c r="A7919" s="0" t="s">
        <v>744</v>
      </c>
      <c r="B7919" s="0" t="s">
        <v>86</v>
      </c>
      <c r="C7919" s="38" t="n">
        <f aca="false">Sens!$C$7900+Sens!$C$7914</f>
        <v>100.66</v>
      </c>
      <c r="D7919" s="38" t="n">
        <f aca="false">Sens!$D$7900+Sens!$D$7914</f>
        <v>121.835</v>
      </c>
      <c r="E7919" s="38" t="n">
        <f aca="false">Sens!$E$7900+Sens!$E$7914</f>
        <v>78.016</v>
      </c>
      <c r="F7919" s="38" t="n">
        <f aca="false">Sens!$F$7900+Sens!$F$7914</f>
        <v>85.580207202011</v>
      </c>
      <c r="G7919" s="38" t="n">
        <f aca="false">Sens!$G$7900+Sens!$G$7914</f>
        <v>163.596207202011</v>
      </c>
      <c r="H7919" s="38" t="n">
        <f aca="false">Sens!$H$7900+Sens!$H$7914</f>
        <v>211.252308354151</v>
      </c>
      <c r="I7919" s="38" t="n">
        <f aca="false">Sens!$I$7900+Sens!$I$7914</f>
        <v>264.28812593412</v>
      </c>
      <c r="J7919" s="38" t="n">
        <f aca="false">Sens!$J$7900+Sens!$J$7914</f>
        <v>316.529074889914</v>
      </c>
      <c r="K7919" s="38" t="n">
        <f aca="false">Sens!$K$7900+Sens!$K$7914</f>
        <v>362.163713135636</v>
      </c>
      <c r="L7919" s="38" t="n">
        <f aca="false">Sens!$L$7900+Sens!$L$7914</f>
        <v>398.637293332179</v>
      </c>
      <c r="M7919" s="38" t="n">
        <f aca="false">Sens!$M$7900+Sens!$M$7914</f>
        <v>427.614322957878</v>
      </c>
      <c r="N7919" s="38" t="n">
        <f aca="false">Sens!$N$7900+Sens!$N$7914</f>
        <v>56.398</v>
      </c>
      <c r="O7919" s="38" t="n">
        <f aca="false">Sens!$O$7900+Sens!$O$7914</f>
        <v>65.437</v>
      </c>
    </row>
    <row r="7920" customFormat="false" ht="17.15" hidden="false" customHeight="false" outlineLevel="0" collapsed="false">
      <c r="A7920" s="1" t="s">
        <v>745</v>
      </c>
    </row>
    <row r="7921" customFormat="false" ht="15" hidden="false" customHeight="false" outlineLevel="0" collapsed="false">
      <c r="A7921" s="5" t="s">
        <v>541</v>
      </c>
      <c r="B7921" s="0" t="s">
        <v>86</v>
      </c>
      <c r="C7921" s="38" t="n">
        <f aca="false">Q!$D$34</f>
        <v>2.406</v>
      </c>
      <c r="D7921" s="38" t="n">
        <f aca="false">Q!$E$34</f>
        <v>2.274</v>
      </c>
      <c r="E7921" s="38" t="n">
        <f aca="false">Q!$P$34</f>
        <v>2.114</v>
      </c>
      <c r="F7921" s="38" t="n">
        <f aca="false">Sens!$F$7959</f>
        <v>3.24888962733561</v>
      </c>
      <c r="G7921" s="38" t="n">
        <f aca="false">Sens!$E$7921+Sens!$F$7921</f>
        <v>5.36288962733561</v>
      </c>
      <c r="H7921" s="38" t="n">
        <f aca="false">Sens!$H$7959</f>
        <v>7.42354172302123</v>
      </c>
      <c r="I7921" s="38" t="n">
        <f aca="false">Sens!$I$7959</f>
        <v>8.2931747618896</v>
      </c>
      <c r="J7921" s="38" t="n">
        <f aca="false">Sens!$J$7959</f>
        <v>9.27718179522602</v>
      </c>
      <c r="K7921" s="38" t="n">
        <f aca="false">Sens!$K$7959</f>
        <v>9.27718179522602</v>
      </c>
      <c r="L7921" s="38" t="n">
        <f aca="false">Sens!$L$7959</f>
        <v>9.27718179522602</v>
      </c>
      <c r="M7921" s="38" t="n">
        <f aca="false">Sens!$M$7959</f>
        <v>9.27718179522602</v>
      </c>
      <c r="N7921" s="38" t="n">
        <f aca="false">Q!$N$34</f>
        <v>1.057</v>
      </c>
      <c r="O7921" s="38" t="n">
        <f aca="false">Q!$O$34</f>
        <v>1.217</v>
      </c>
    </row>
    <row r="7922" customFormat="false" ht="15" hidden="false" customHeight="false" outlineLevel="0" collapsed="false">
      <c r="A7922" s="5" t="s">
        <v>746</v>
      </c>
      <c r="B7922" s="0" t="s">
        <v>86</v>
      </c>
      <c r="F7922" s="38" t="n">
        <f aca="false">Sens!$F$7960</f>
        <v>2.59</v>
      </c>
      <c r="H7922" s="38" t="n">
        <f aca="false">Sens!$H$7960</f>
        <v>3.80133635330174</v>
      </c>
      <c r="I7922" s="38" t="n">
        <f aca="false">Sens!$I$7960</f>
        <v>2.10589651022864</v>
      </c>
      <c r="J7922" s="38" t="n">
        <f aca="false">Sens!$J$7960</f>
        <v>2.10589651022864</v>
      </c>
      <c r="K7922" s="38" t="n">
        <f aca="false">Sens!$K$7960</f>
        <v>3.14850442073996</v>
      </c>
      <c r="L7922" s="38" t="n">
        <f aca="false">Sens!$L$7960</f>
        <v>8.25959583122945</v>
      </c>
      <c r="M7922" s="38" t="n">
        <f aca="false">Sens!$M$7960</f>
        <v>15.8335708401143</v>
      </c>
    </row>
    <row r="7923" customFormat="false" ht="17.15" hidden="false" customHeight="false" outlineLevel="0" collapsed="false">
      <c r="A7923" s="5" t="s">
        <v>747</v>
      </c>
      <c r="B7923" s="0" t="s">
        <v>86</v>
      </c>
      <c r="C7923" s="38" t="n">
        <f aca="false">Q!$D$39</f>
        <v>2.427</v>
      </c>
      <c r="D7923" s="38" t="n">
        <f aca="false">Q!$E$39</f>
        <v>19.61</v>
      </c>
      <c r="E7923" s="38" t="n">
        <f aca="false">Q!$P$39</f>
        <v>71.492</v>
      </c>
      <c r="F7923" s="39" t="n">
        <v>0</v>
      </c>
      <c r="G7923" s="38" t="n">
        <f aca="false">Sens!$E$7923+Sens!$F$7923</f>
        <v>71.492</v>
      </c>
      <c r="H7923" s="39" t="n">
        <v>0</v>
      </c>
      <c r="I7923" s="39" t="n">
        <v>0</v>
      </c>
      <c r="J7923" s="39" t="n">
        <v>0</v>
      </c>
      <c r="K7923" s="39" t="n">
        <v>0</v>
      </c>
      <c r="L7923" s="39" t="n">
        <v>0</v>
      </c>
      <c r="M7923" s="39" t="n">
        <v>0</v>
      </c>
      <c r="N7923" s="38" t="n">
        <f aca="false">Q!$N$39</f>
        <v>6.017</v>
      </c>
      <c r="O7923" s="38" t="n">
        <f aca="false">Q!$O$39</f>
        <v>13.593</v>
      </c>
      <c r="P7923" s="5" t="s">
        <v>748</v>
      </c>
    </row>
    <row r="7924" customFormat="false" ht="15" hidden="false" customHeight="false" outlineLevel="0" collapsed="false">
      <c r="A7924" s="5" t="s">
        <v>544</v>
      </c>
      <c r="B7924" s="0" t="s">
        <v>86</v>
      </c>
      <c r="C7924" s="38" t="n">
        <f aca="false">Q!$D$36</f>
        <v>68.614</v>
      </c>
      <c r="D7924" s="38" t="n">
        <f aca="false">Q!$E$36</f>
        <v>97.311</v>
      </c>
      <c r="E7924" s="38" t="n">
        <f aca="false">Q!$P$36</f>
        <v>120.691</v>
      </c>
      <c r="F7924" s="38" t="n">
        <f aca="false">Sens!$F$7900-Sens!$F$7921+Sens!$F$7922+Sens!$F$7923</f>
        <v>55.629999609589</v>
      </c>
      <c r="G7924" s="38" t="n">
        <f aca="false">Sens!$E$7924+Sens!$F$7924</f>
        <v>176.320999609589</v>
      </c>
      <c r="H7924" s="38" t="n">
        <f aca="false">Sens!$H$7900-Sens!$H$7921+Sens!$H$7922+Sens!$H$7923</f>
        <v>123.313761885917</v>
      </c>
      <c r="I7924" s="38" t="n">
        <f aca="false">Sens!$I$7900-Sens!$I$7921+Sens!$I$7922+Sens!$I$7923</f>
        <v>141.060502691455</v>
      </c>
      <c r="J7924" s="38" t="n">
        <f aca="false">Sens!$J$7900-Sens!$J$7921+Sens!$J$7922+Sens!$J$7923</f>
        <v>158.858808130232</v>
      </c>
      <c r="K7924" s="38" t="n">
        <f aca="false">Sens!$K$7900-Sens!$K$7921+Sens!$K$7922+Sens!$K$7923</f>
        <v>171.846913790867</v>
      </c>
      <c r="L7924" s="38" t="n">
        <f aca="false">Sens!$L$7900-Sens!$L$7921+Sens!$L$7922+Sens!$L$7923</f>
        <v>189.850989307375</v>
      </c>
      <c r="M7924" s="38" t="n">
        <f aca="false">Sens!$M$7900-Sens!$M$7921+Sens!$M$7922+Sens!$M$7923</f>
        <v>210.166777355014</v>
      </c>
      <c r="N7924" s="38" t="n">
        <f aca="false">Q!$N$36</f>
        <v>42.536</v>
      </c>
      <c r="O7924" s="38" t="n">
        <f aca="false">Q!$O$36</f>
        <v>54.775</v>
      </c>
    </row>
    <row r="7925" customFormat="false" ht="15" hidden="false" customHeight="false" outlineLevel="0" collapsed="false">
      <c r="A7925" s="5" t="s">
        <v>545</v>
      </c>
      <c r="B7925" s="0" t="s">
        <v>86</v>
      </c>
      <c r="C7925" s="38" t="n">
        <f aca="false">Q!$D$37</f>
        <v>9.265</v>
      </c>
      <c r="D7925" s="38" t="n">
        <f aca="false">Q!$E$37</f>
        <v>19.087</v>
      </c>
      <c r="E7925" s="38" t="n">
        <f aca="false">Q!$P$37</f>
        <v>27.759</v>
      </c>
      <c r="F7925" s="38" t="n">
        <f aca="false">Sens!$F$7924*tax</f>
        <v>9.65650714815835</v>
      </c>
      <c r="G7925" s="38" t="n">
        <f aca="false">Sens!$E$7925+Sens!$F$7925</f>
        <v>37.4155071481584</v>
      </c>
      <c r="H7925" s="38" t="n">
        <f aca="false">Sens!$H$7924*tax</f>
        <v>21.4053609828247</v>
      </c>
      <c r="I7925" s="38" t="n">
        <f aca="false">Sens!$I$7924*tax</f>
        <v>24.4859205846201</v>
      </c>
      <c r="J7925" s="38" t="n">
        <f aca="false">Sens!$J$7924*tax</f>
        <v>27.5754310088666</v>
      </c>
      <c r="K7925" s="38" t="n">
        <f aca="false">Sens!$K$7924*tax</f>
        <v>29.8299651816718</v>
      </c>
      <c r="L7925" s="38" t="n">
        <f aca="false">Sens!$L$7924*tax</f>
        <v>32.9551941074541</v>
      </c>
      <c r="M7925" s="38" t="n">
        <f aca="false">Sens!$M$7924*tax</f>
        <v>36.4817005586366</v>
      </c>
      <c r="N7925" s="38" t="n">
        <f aca="false">Q!$N$37</f>
        <v>7.231</v>
      </c>
      <c r="O7925" s="38" t="n">
        <f aca="false">Q!$O$37</f>
        <v>11.856</v>
      </c>
    </row>
    <row r="7926" customFormat="false" ht="15" hidden="false" customHeight="false" outlineLevel="0" collapsed="false">
      <c r="A7926" s="3" t="s">
        <v>546</v>
      </c>
      <c r="B7926" s="8" t="s">
        <v>86</v>
      </c>
      <c r="C7926" s="38" t="n">
        <f aca="false">Q!$D$38</f>
        <v>59.248</v>
      </c>
      <c r="D7926" s="38" t="n">
        <f aca="false">Q!$E$38</f>
        <v>77.67</v>
      </c>
      <c r="E7926" s="38" t="n">
        <f aca="false">Q!$P$38</f>
        <v>92.902</v>
      </c>
      <c r="F7926" s="38" t="n">
        <f aca="false">Sens!$F$7924-Sens!$F$7925</f>
        <v>45.9734924614306</v>
      </c>
      <c r="G7926" s="38" t="n">
        <f aca="false">Sens!$E$7926+Sens!$F$7926</f>
        <v>138.875492461431</v>
      </c>
      <c r="H7926" s="38" t="n">
        <f aca="false">Sens!$H$7924-Sens!$H$7925</f>
        <v>101.908400903092</v>
      </c>
      <c r="I7926" s="38" t="n">
        <f aca="false">Sens!$I$7924-Sens!$I$7925</f>
        <v>116.574582106835</v>
      </c>
      <c r="J7926" s="38" t="n">
        <f aca="false">Sens!$J$7924-Sens!$J$7925</f>
        <v>131.283377121365</v>
      </c>
      <c r="K7926" s="38" t="n">
        <f aca="false">Sens!$K$7924-Sens!$K$7925</f>
        <v>142.016948609195</v>
      </c>
      <c r="L7926" s="38" t="n">
        <f aca="false">Sens!$L$7924-Sens!$L$7925</f>
        <v>156.895795199921</v>
      </c>
      <c r="M7926" s="38" t="n">
        <f aca="false">Sens!$M$7924-Sens!$M$7925</f>
        <v>173.685076796377</v>
      </c>
      <c r="N7926" s="38" t="n">
        <f aca="false">Q!$N$38</f>
        <v>35.291</v>
      </c>
      <c r="O7926" s="38" t="n">
        <f aca="false">Q!$O$38</f>
        <v>42.379</v>
      </c>
    </row>
    <row r="7927" customFormat="false" ht="17.15" hidden="false" customHeight="false" outlineLevel="0" collapsed="false">
      <c r="A7927" s="5" t="s">
        <v>549</v>
      </c>
      <c r="B7927" s="5" t="s">
        <v>33</v>
      </c>
      <c r="C7927" s="22" t="n">
        <f aca="false">Q!$D$41</f>
        <v>10.721</v>
      </c>
      <c r="D7927" s="22" t="n">
        <f aca="false">Q!$E$41</f>
        <v>10.827</v>
      </c>
      <c r="E7927" s="22" t="n">
        <f aca="false">(Q!$L$41+Q!$M$41)/2</f>
        <v>10.8885</v>
      </c>
      <c r="F7927" s="22" t="n">
        <f aca="false">Sens!$G$7927</f>
        <v>10.924806</v>
      </c>
      <c r="G7927" s="22" t="n">
        <f aca="false">Q!$M$41*(1+sh_g*0.25)</f>
        <v>10.924806</v>
      </c>
      <c r="H7927" s="22" t="n">
        <f aca="false">Sens!$G$7927*(1+sh_g)</f>
        <v>11.012204448</v>
      </c>
      <c r="I7927" s="22" t="n">
        <f aca="false">Sens!$H$7927*(1+sh_g)</f>
        <v>11.100302083584</v>
      </c>
      <c r="J7927" s="22" t="n">
        <f aca="false">Sens!$I$7927*(1+sh_g)</f>
        <v>11.1891045002527</v>
      </c>
      <c r="K7927" s="22" t="n">
        <f aca="false">Sens!$J$7927*(1+sh_g)</f>
        <v>11.2786173362547</v>
      </c>
      <c r="L7927" s="22" t="n">
        <f aca="false">Sens!$K$7927*(1+sh_g)</f>
        <v>11.3688462749447</v>
      </c>
      <c r="M7927" s="22" t="n">
        <f aca="false">Sens!$L$7927*(1+sh_g)</f>
        <v>11.4597970451443</v>
      </c>
      <c r="P7927" s="5" t="s">
        <v>749</v>
      </c>
    </row>
    <row r="7928" customFormat="false" ht="17.15" hidden="false" customHeight="false" outlineLevel="0" collapsed="false">
      <c r="A7928" s="5" t="s">
        <v>750</v>
      </c>
      <c r="B7928" s="0" t="s">
        <v>86</v>
      </c>
      <c r="C7928" s="38" t="n">
        <f aca="false">Sens!$C$7926+Sens!$C$7902*(1-tax)</f>
        <v>59.248</v>
      </c>
      <c r="D7928" s="38" t="n">
        <f aca="false">Sens!$D$7926+Sens!$D$7902*(1-tax)</f>
        <v>77.67</v>
      </c>
      <c r="E7928" s="38" t="n">
        <f aca="false">Sens!$E$7926+Sens!$E$7902*(1-tax)</f>
        <v>92.902</v>
      </c>
      <c r="F7928" s="38" t="n">
        <f aca="false">Sens!$F$7926+Sens!$F$7902*(1-tax)</f>
        <v>49.0900874210793</v>
      </c>
      <c r="G7928" s="38" t="n">
        <f aca="false">Sens!$G$7926+Sens!$G$7902*(1-tax)</f>
        <v>141.992087421079</v>
      </c>
      <c r="H7928" s="38" t="n">
        <f aca="false">Sens!$H$7926+Sens!$H$7902*(1-tax)</f>
        <v>114.439796858437</v>
      </c>
      <c r="I7928" s="38" t="n">
        <f aca="false">Sens!$I$7926+Sens!$I$7902*(1-tax)</f>
        <v>137.715847181774</v>
      </c>
      <c r="J7928" s="38" t="n">
        <f aca="false">Sens!$J$7926+Sens!$J$7902*(1-tax)</f>
        <v>161.072814065649</v>
      </c>
      <c r="K7928" s="38" t="n">
        <f aca="false">Sens!$K$7926+Sens!$K$7902*(1-tax)</f>
        <v>179.184254305854</v>
      </c>
      <c r="L7928" s="38" t="n">
        <f aca="false">Sens!$L$7926+Sens!$L$7902*(1-tax)</f>
        <v>198.911872540476</v>
      </c>
      <c r="M7928" s="38" t="n">
        <f aca="false">Sens!$M$7926+Sens!$M$7902*(1-tax)</f>
        <v>218.014598987218</v>
      </c>
      <c r="N7928" s="38" t="n">
        <f aca="false">Sens!$N$7926+Sens!$N$7902*(1-tax)</f>
        <v>35.291</v>
      </c>
      <c r="O7928" s="38" t="n">
        <f aca="false">Sens!$O$7926+Sens!$O$7902*(1-tax)</f>
        <v>42.379</v>
      </c>
    </row>
    <row r="7929" customFormat="false" ht="17.15" hidden="false" customHeight="false" outlineLevel="0" collapsed="false">
      <c r="A7929" s="43" t="s">
        <v>751</v>
      </c>
      <c r="B7929" s="14" t="s">
        <v>27</v>
      </c>
      <c r="C7929" s="44" t="n">
        <f aca="false">Sens!$C$7928/Sens!$C$7927</f>
        <v>5.52635015390355</v>
      </c>
      <c r="D7929" s="44" t="n">
        <f aca="false">Sens!$D$7928/Sens!$D$7927</f>
        <v>7.1737323358271</v>
      </c>
      <c r="E7929" s="44" t="n">
        <f aca="false">Sens!$E$7928/Sens!$E$7927</f>
        <v>8.53212104513937</v>
      </c>
      <c r="F7929" s="14"/>
      <c r="G7929" s="44" t="n">
        <f aca="false">Sens!$G$7928/Sens!$G$7927</f>
        <v>12.9972182042481</v>
      </c>
      <c r="H7929" s="44" t="n">
        <f aca="false">Sens!$H$7928/Sens!$H$7927</f>
        <v>10.3920879237963</v>
      </c>
      <c r="I7929" s="44" t="n">
        <f aca="false">Sens!$I$7928/Sens!$I$7927</f>
        <v>12.4064954399249</v>
      </c>
      <c r="J7929" s="44" t="n">
        <f aca="false">Sens!$J$7928/Sens!$J$7927</f>
        <v>14.3955053831172</v>
      </c>
      <c r="K7929" s="44" t="n">
        <f aca="false">Sens!$K$7928/Sens!$K$7927</f>
        <v>15.8870763111957</v>
      </c>
      <c r="L7929" s="44" t="n">
        <f aca="false">Sens!$L$7928/Sens!$L$7927</f>
        <v>17.4962232516811</v>
      </c>
      <c r="M7929" s="44" t="n">
        <f aca="false">Sens!$M$7928/Sens!$M$7927</f>
        <v>19.0242984346389</v>
      </c>
      <c r="N7929" s="14"/>
      <c r="O7929" s="14"/>
    </row>
    <row r="7930" customFormat="false" ht="17.15" hidden="false" customHeight="false" outlineLevel="0" collapsed="false">
      <c r="A7930" s="0" t="s">
        <v>752</v>
      </c>
      <c r="B7930" s="0" t="s">
        <v>27</v>
      </c>
      <c r="C7930" s="30" t="n">
        <f aca="false">Sens!$C$7926/Sens!$C$7927</f>
        <v>5.52635015390355</v>
      </c>
      <c r="D7930" s="30" t="n">
        <f aca="false">Sens!$D$7926/Sens!$D$7927</f>
        <v>7.1737323358271</v>
      </c>
      <c r="E7930" s="30" t="n">
        <f aca="false">Sens!$E$7926/Sens!$E$7927</f>
        <v>8.53212104513937</v>
      </c>
      <c r="G7930" s="30" t="n">
        <f aca="false">Sens!$G$7926/Sens!$G$7927</f>
        <v>12.7119412886078</v>
      </c>
      <c r="H7930" s="30" t="n">
        <f aca="false">Sens!$H$7926/Sens!$H$7927</f>
        <v>9.25413266565353</v>
      </c>
      <c r="I7930" s="30" t="n">
        <f aca="false">Sens!$I$7926/Sens!$I$7927</f>
        <v>10.501928796986</v>
      </c>
      <c r="J7930" s="30" t="n">
        <f aca="false">Sens!$J$7926/Sens!$J$7927</f>
        <v>11.7331442492472</v>
      </c>
      <c r="K7930" s="30" t="n">
        <f aca="false">Sens!$K$7926/Sens!$K$7927</f>
        <v>12.5916984657939</v>
      </c>
      <c r="L7930" s="30" t="n">
        <f aca="false">Sens!$L$7926/Sens!$L$7927</f>
        <v>13.8005028307662</v>
      </c>
      <c r="M7930" s="30" t="n">
        <f aca="false">Sens!$M$7926/Sens!$M$7927</f>
        <v>15.1560342746184</v>
      </c>
    </row>
    <row r="7931" customFormat="false" ht="17.15" hidden="false" customHeight="false" outlineLevel="0" collapsed="false">
      <c r="A7931" s="0" t="s">
        <v>753</v>
      </c>
      <c r="B7931" s="0" t="s">
        <v>27</v>
      </c>
      <c r="C7931" s="30" t="n">
        <f aca="false">(Sens!$C$7926-Sens!$C$7923*(1-tax))/Sens!$C$7927</f>
        <v>5.33926775917445</v>
      </c>
      <c r="D7931" s="30" t="n">
        <f aca="false">(Sens!$D$7926-Sens!$D$7923*(1-tax))/Sens!$D$7927</f>
        <v>5.67691812755503</v>
      </c>
      <c r="E7931" s="30" t="n">
        <f aca="false">(Sens!$E$7926-Sens!$E$7923*(1-tax))/Sens!$E$7927</f>
        <v>3.10602057006846</v>
      </c>
      <c r="G7931" s="30" t="n">
        <f aca="false">(Sens!$G$7926-Sens!$G$7923*(1-tax))/Sens!$G$7927</f>
        <v>7.30387317071086</v>
      </c>
      <c r="H7931" s="30" t="n">
        <f aca="false">(Sens!$H$7926-Sens!$H$7923*(1-tax))/Sens!$H$7927</f>
        <v>9.25413266565353</v>
      </c>
      <c r="I7931" s="30" t="n">
        <f aca="false">(Sens!$I$7926-Sens!$I$7923*(1-tax))/Sens!$I$7927</f>
        <v>10.501928796986</v>
      </c>
      <c r="J7931" s="30" t="n">
        <f aca="false">(Sens!$J$7926-Sens!$J$7923*(1-tax))/Sens!$J$7927</f>
        <v>11.7331442492472</v>
      </c>
      <c r="K7931" s="30" t="n">
        <f aca="false">(Sens!$K$7926-Sens!$K$7923*(1-tax))/Sens!$K$7927</f>
        <v>12.5916984657939</v>
      </c>
      <c r="L7931" s="30" t="n">
        <f aca="false">(Sens!$L$7926-Sens!$L$7923*(1-tax))/Sens!$L$7927</f>
        <v>13.8005028307662</v>
      </c>
      <c r="M7931" s="30" t="n">
        <f aca="false">(Sens!$M$7926-Sens!$M$7923*(1-tax))/Sens!$M$7927</f>
        <v>15.1560342746184</v>
      </c>
      <c r="P7931" s="5" t="s">
        <v>754</v>
      </c>
    </row>
    <row r="7932" customFormat="false" ht="17.15" hidden="false" customHeight="false" outlineLevel="0" collapsed="false">
      <c r="A7932" s="0" t="s">
        <v>755</v>
      </c>
      <c r="B7932" s="0" t="s">
        <v>52</v>
      </c>
      <c r="H7932" s="13" t="n">
        <f aca="false">Sens!$H$7929/Sens!$G$7929-1</f>
        <v>-0.200437527439553</v>
      </c>
      <c r="I7932" s="13" t="n">
        <f aca="false">Sens!$I$7929/Sens!$H$7929-1</f>
        <v>0.193840499705158</v>
      </c>
      <c r="J7932" s="13" t="n">
        <f aca="false">Sens!$J$7929/Sens!$I$7929-1</f>
        <v>0.160320047899391</v>
      </c>
      <c r="K7932" s="13" t="n">
        <f aca="false">Sens!$K$7929/Sens!$J$7929-1</f>
        <v>0.103613654983436</v>
      </c>
      <c r="L7932" s="13" t="n">
        <f aca="false">Sens!$L$7929/Sens!$K$7929-1</f>
        <v>0.101286536865904</v>
      </c>
      <c r="M7932" s="13" t="n">
        <f aca="false">Sens!$M$7929/Sens!$L$7929-1</f>
        <v>0.0873374305400994</v>
      </c>
    </row>
    <row r="7935" customFormat="false" ht="19.4" hidden="false" customHeight="false" outlineLevel="0" collapsed="false">
      <c r="A7935" s="31" t="s">
        <v>1290</v>
      </c>
    </row>
    <row r="7936" customFormat="false" ht="17.15" hidden="false" customHeight="false" outlineLevel="0" collapsed="false">
      <c r="A7936" s="6" t="s">
        <v>16</v>
      </c>
      <c r="B7936" s="6" t="s">
        <v>17</v>
      </c>
      <c r="C7936" s="20" t="s">
        <v>494</v>
      </c>
      <c r="D7936" s="20" t="s">
        <v>495</v>
      </c>
      <c r="E7936" s="20" t="s">
        <v>577</v>
      </c>
      <c r="F7936" s="20" t="s">
        <v>578</v>
      </c>
      <c r="G7936" s="20" t="s">
        <v>579</v>
      </c>
      <c r="H7936" s="20" t="s">
        <v>580</v>
      </c>
      <c r="I7936" s="20" t="s">
        <v>581</v>
      </c>
      <c r="J7936" s="20" t="s">
        <v>582</v>
      </c>
      <c r="K7936" s="20" t="s">
        <v>583</v>
      </c>
      <c r="L7936" s="20" t="s">
        <v>584</v>
      </c>
      <c r="M7936" s="20" t="s">
        <v>585</v>
      </c>
      <c r="N7936" s="20" t="s">
        <v>586</v>
      </c>
      <c r="O7936" s="20" t="s">
        <v>587</v>
      </c>
      <c r="P7936" s="6" t="s">
        <v>23</v>
      </c>
      <c r="R7936" s="20" t="n">
        <v>2023</v>
      </c>
      <c r="S7936" s="20" t="n">
        <v>2024</v>
      </c>
      <c r="T7936" s="20" t="n">
        <v>2025</v>
      </c>
      <c r="U7936" s="20" t="n">
        <v>2026</v>
      </c>
      <c r="V7936" s="20" t="n">
        <v>2027</v>
      </c>
      <c r="W7936" s="20" t="n">
        <v>2028</v>
      </c>
      <c r="X7936" s="20" t="n">
        <v>2029</v>
      </c>
      <c r="Y7936" s="20" t="n">
        <v>2030</v>
      </c>
      <c r="Z7936" s="20" t="n">
        <v>2031</v>
      </c>
      <c r="AA7936" s="20" t="n">
        <v>2032</v>
      </c>
    </row>
    <row r="7937" customFormat="false" ht="15" hidden="false" customHeight="false" outlineLevel="0" collapsed="false">
      <c r="A7937" s="5" t="s">
        <v>546</v>
      </c>
      <c r="B7937" s="0" t="s">
        <v>86</v>
      </c>
      <c r="C7937" s="38" t="n">
        <f aca="false">Sens!$C$7926</f>
        <v>59.248</v>
      </c>
      <c r="D7937" s="38" t="n">
        <f aca="false">Sens!$D$7926</f>
        <v>77.67</v>
      </c>
      <c r="E7937" s="38" t="n">
        <f aca="false">Sens!$E$7926</f>
        <v>92.902</v>
      </c>
      <c r="F7937" s="38" t="n">
        <f aca="false">Sens!$F$7926</f>
        <v>45.9734924614306</v>
      </c>
      <c r="G7937" s="38" t="n">
        <f aca="false">Sens!$G$7926</f>
        <v>138.875492461431</v>
      </c>
      <c r="H7937" s="38" t="n">
        <f aca="false">Sens!$H$7926</f>
        <v>101.908400903092</v>
      </c>
      <c r="I7937" s="38" t="n">
        <f aca="false">Sens!$I$7926</f>
        <v>116.574582106835</v>
      </c>
      <c r="J7937" s="38" t="n">
        <f aca="false">Sens!$J$7926</f>
        <v>131.283377121365</v>
      </c>
      <c r="K7937" s="38" t="n">
        <f aca="false">Sens!$K$7926</f>
        <v>142.016948609195</v>
      </c>
      <c r="L7937" s="38" t="n">
        <f aca="false">Sens!$L$7926</f>
        <v>156.895795199921</v>
      </c>
      <c r="M7937" s="38" t="n">
        <f aca="false">Sens!$M$7926</f>
        <v>173.685076796377</v>
      </c>
    </row>
    <row r="7938" customFormat="false" ht="17.15" hidden="false" customHeight="false" outlineLevel="0" collapsed="false">
      <c r="A7938" s="5" t="s">
        <v>778</v>
      </c>
      <c r="B7938" s="0" t="s">
        <v>86</v>
      </c>
      <c r="C7938" s="38" t="n">
        <f aca="false">Sens!$C$7914</f>
        <v>32.067</v>
      </c>
      <c r="D7938" s="38" t="n">
        <f aca="false">Sens!$D$7914</f>
        <v>41.86</v>
      </c>
      <c r="E7938" s="38" t="n">
        <f aca="false">Sens!$E$7914</f>
        <v>26.703</v>
      </c>
      <c r="F7938" s="38" t="n">
        <f aca="false">Sens!$F$7914</f>
        <v>29.2913179650864</v>
      </c>
      <c r="G7938" s="38" t="n">
        <f aca="false">Sens!$G$7914</f>
        <v>55.9943179650864</v>
      </c>
      <c r="H7938" s="38" t="n">
        <f aca="false">Sens!$H$7914</f>
        <v>84.3163410985152</v>
      </c>
      <c r="I7938" s="38" t="n">
        <f aca="false">Sens!$I$7914</f>
        <v>117.040344991004</v>
      </c>
      <c r="J7938" s="38" t="n">
        <f aca="false">Sens!$J$7914</f>
        <v>150.498981474685</v>
      </c>
      <c r="K7938" s="38" t="n">
        <f aca="false">Sens!$K$7914</f>
        <v>184.188121970284</v>
      </c>
      <c r="L7938" s="38" t="n">
        <f aca="false">Sens!$L$7914</f>
        <v>207.768718060808</v>
      </c>
      <c r="M7938" s="38" t="n">
        <f aca="false">Sens!$M$7914</f>
        <v>224.003934647752</v>
      </c>
    </row>
    <row r="7939" customFormat="false" ht="15" hidden="false" customHeight="false" outlineLevel="0" collapsed="false">
      <c r="A7939" s="5" t="s">
        <v>779</v>
      </c>
      <c r="B7939" s="0" t="s">
        <v>86</v>
      </c>
      <c r="C7939" s="38" t="n">
        <f aca="false">Q!$D$48</f>
        <v>22.011</v>
      </c>
      <c r="D7939" s="38" t="n">
        <f aca="false">Q!$E$48</f>
        <v>19.467</v>
      </c>
      <c r="E7939" s="38" t="n">
        <f aca="false">Q!$P$48</f>
        <v>10.07</v>
      </c>
      <c r="F7939" s="38" t="n">
        <f aca="false">sbc_r*Sens!$F$7856</f>
        <v>10.8507035798037</v>
      </c>
      <c r="G7939" s="38" t="n">
        <f aca="false">Sens!$E$7939+Sens!$F$7939</f>
        <v>20.9207035798037</v>
      </c>
      <c r="H7939" s="38" t="n">
        <f aca="false">sbc_r*Sens!$H$7856</f>
        <v>23.46224366345</v>
      </c>
      <c r="I7939" s="38" t="n">
        <f aca="false">sbc_r*Sens!$I$7856</f>
        <v>26.6125957111676</v>
      </c>
      <c r="J7939" s="38" t="n">
        <f aca="false">sbc_r*Sens!$J$7856</f>
        <v>29.6280801413323</v>
      </c>
      <c r="K7939" s="38" t="n">
        <f aca="false">sbc_r*Sens!$K$7856</f>
        <v>32.2712258901105</v>
      </c>
      <c r="L7939" s="38" t="n">
        <f aca="false">sbc_r*Sens!$L$7856</f>
        <v>34.7390505016737</v>
      </c>
      <c r="M7939" s="38" t="n">
        <f aca="false">sbc_r*Sens!$M$7856</f>
        <v>37.0405146906692</v>
      </c>
    </row>
    <row r="7940" customFormat="false" ht="17.15" hidden="false" customHeight="false" outlineLevel="0" collapsed="false">
      <c r="A7940" s="5" t="s">
        <v>780</v>
      </c>
      <c r="B7940" s="0" t="s">
        <v>86</v>
      </c>
      <c r="C7940" s="38" t="n">
        <f aca="false">Q!$D$44-Sens!$C$7937-Sens!$C$7938-Sens!$C$7939</f>
        <v>2.551</v>
      </c>
      <c r="D7940" s="38" t="n">
        <f aca="false">Q!$E$44-Sens!$D$7937-Sens!$D$7938-Sens!$D$7939</f>
        <v>0.51700000000001</v>
      </c>
      <c r="E7940" s="38" t="n">
        <f aca="false">Q!$P$44-Sens!$E$7937-Sens!$E$7938-Sens!$E$7939</f>
        <v>-58.256</v>
      </c>
      <c r="F7940" s="38" t="n">
        <f aca="false">oth_r*Sens!$F$7856</f>
        <v>5.22265251035878</v>
      </c>
      <c r="G7940" s="38" t="n">
        <f aca="false">Sens!$E$7940+Sens!$F$7940</f>
        <v>-53.0333474896412</v>
      </c>
      <c r="H7940" s="38" t="n">
        <f aca="false">oth_r*Sens!$H$7856</f>
        <v>11.2928295263397</v>
      </c>
      <c r="I7940" s="38" t="n">
        <f aca="false">oth_r*Sens!$I$7856</f>
        <v>12.8091546115766</v>
      </c>
      <c r="J7940" s="38" t="n">
        <f aca="false">oth_r*Sens!$J$7856</f>
        <v>14.2605653162668</v>
      </c>
      <c r="K7940" s="38" t="n">
        <f aca="false">oth_r*Sens!$K$7856</f>
        <v>15.5327622460396</v>
      </c>
      <c r="L7940" s="38" t="n">
        <f aca="false">oth_r*Sens!$L$7856</f>
        <v>16.720573737517</v>
      </c>
      <c r="M7940" s="38" t="n">
        <f aca="false">oth_r*Sens!$M$7856</f>
        <v>17.8283127551536</v>
      </c>
      <c r="P7940" s="8" t="s">
        <v>781</v>
      </c>
    </row>
    <row r="7941" customFormat="false" ht="15" hidden="false" customHeight="false" outlineLevel="0" collapsed="false">
      <c r="A7941" s="3" t="s">
        <v>552</v>
      </c>
      <c r="B7941" s="8" t="s">
        <v>86</v>
      </c>
      <c r="C7941" s="38" t="n">
        <f aca="false">Q!$D$44</f>
        <v>115.877</v>
      </c>
      <c r="D7941" s="38" t="n">
        <f aca="false">Q!$E$44</f>
        <v>139.514</v>
      </c>
      <c r="E7941" s="38" t="n">
        <f aca="false">Q!$P$44</f>
        <v>71.419</v>
      </c>
      <c r="F7941" s="38" t="n">
        <f aca="false">Sens!$F$7937+Sens!$F$7938+Sens!$F$7939+Sens!$F$7940</f>
        <v>91.3381665166794</v>
      </c>
      <c r="G7941" s="38" t="n">
        <f aca="false">Sens!$E$7941+Sens!$F$7941</f>
        <v>162.757166516679</v>
      </c>
      <c r="H7941" s="38" t="n">
        <f aca="false">Sens!$H$7937+Sens!$H$7938+Sens!$H$7939+Sens!$H$7940</f>
        <v>220.979815191397</v>
      </c>
      <c r="I7941" s="38" t="n">
        <f aca="false">Sens!$I$7937+Sens!$I$7938+Sens!$I$7939+Sens!$I$7940</f>
        <v>273.036677420583</v>
      </c>
      <c r="J7941" s="38" t="n">
        <f aca="false">Sens!$J$7937+Sens!$J$7938+Sens!$J$7939+Sens!$J$7940</f>
        <v>325.671004053649</v>
      </c>
      <c r="K7941" s="38" t="n">
        <f aca="false">Sens!$K$7937+Sens!$K$7938+Sens!$K$7939+Sens!$K$7940</f>
        <v>374.009058715629</v>
      </c>
      <c r="L7941" s="38" t="n">
        <f aca="false">Sens!$L$7937+Sens!$L$7938+Sens!$L$7939+Sens!$L$7940</f>
        <v>416.124137499919</v>
      </c>
      <c r="M7941" s="38" t="n">
        <f aca="false">Sens!$M$7937+Sens!$M$7938+Sens!$M$7939+Sens!$M$7940</f>
        <v>452.557838889952</v>
      </c>
    </row>
    <row r="7942" customFormat="false" ht="17.15" hidden="false" customHeight="false" outlineLevel="0" collapsed="false">
      <c r="A7942" s="5" t="s">
        <v>782</v>
      </c>
      <c r="B7942" s="0" t="s">
        <v>86</v>
      </c>
      <c r="C7942" s="38" t="n">
        <f aca="false">Sens!$C$7825</f>
        <v>25.2781053077374</v>
      </c>
      <c r="D7942" s="38" t="n">
        <f aca="false">Sens!$D$7825</f>
        <v>69.5686316310026</v>
      </c>
      <c r="E7942" s="38" t="n">
        <f aca="false">Sens!$E$7825</f>
        <v>64.1899206485108</v>
      </c>
      <c r="F7942" s="38" t="n">
        <f aca="false">Sens!$F$7825</f>
        <v>96.2481299895</v>
      </c>
      <c r="G7942" s="38" t="n">
        <f aca="false">Sens!$G$7825</f>
        <v>160.438050638011</v>
      </c>
      <c r="H7942" s="38" t="n">
        <f aca="false">Sens!$H$7825</f>
        <v>198.57136494475</v>
      </c>
      <c r="I7942" s="38" t="n">
        <f aca="false">Sens!$I$7825</f>
        <v>204.6464699105</v>
      </c>
      <c r="J7942" s="38" t="n">
        <f aca="false">Sens!$J$7825</f>
        <v>209.8832381105</v>
      </c>
      <c r="K7942" s="38" t="n">
        <f aca="false">Sens!$K$7825</f>
        <v>155.238385275201</v>
      </c>
      <c r="L7942" s="38" t="n">
        <f aca="false">Sens!$L$7825</f>
        <v>132.014141639902</v>
      </c>
      <c r="M7942" s="38" t="n">
        <f aca="false">Sens!$M$7825</f>
        <v>132.230981659852</v>
      </c>
    </row>
    <row r="7943" customFormat="false" ht="17.15" hidden="false" customHeight="false" outlineLevel="0" collapsed="false">
      <c r="A7943" s="5" t="s">
        <v>783</v>
      </c>
      <c r="B7943" s="0" t="s">
        <v>86</v>
      </c>
      <c r="C7943" s="38" t="n">
        <f aca="false">cx_awso*Sens!$C$7854</f>
        <v>21.0469989286053</v>
      </c>
      <c r="D7943" s="38" t="n">
        <f aca="false">cx_awso*Sens!$D$7854</f>
        <v>24.0042459822698</v>
      </c>
      <c r="E7943" s="38" t="n">
        <f aca="false">cx_awso*Sens!$E$7854</f>
        <v>14.261729404886</v>
      </c>
      <c r="F7943" s="38" t="n">
        <f aca="false">cx_awso*Sens!$F$7854</f>
        <v>14.3538599588493</v>
      </c>
      <c r="G7943" s="38" t="n">
        <f aca="false">Sens!$E$7943+Sens!$F$7943</f>
        <v>28.6155893637353</v>
      </c>
      <c r="H7943" s="38" t="n">
        <f aca="false">cx_awso*Sens!$H$7854</f>
        <v>32.2034154158406</v>
      </c>
      <c r="I7943" s="38" t="n">
        <f aca="false">cx_awso*Sens!$I$7854</f>
        <v>35.7539519042915</v>
      </c>
      <c r="J7943" s="38" t="n">
        <f aca="false">cx_awso*Sens!$J$7854</f>
        <v>39.1551076091815</v>
      </c>
      <c r="K7943" s="38" t="n">
        <f aca="false">cx_awso*Sens!$K$7854</f>
        <v>42.287516217916</v>
      </c>
      <c r="L7943" s="38" t="n">
        <f aca="false">cx_awso*Sens!$L$7854</f>
        <v>45.6705175153492</v>
      </c>
      <c r="M7943" s="38" t="n">
        <f aca="false">cx_awso*Sens!$M$7854</f>
        <v>49.3241589165772</v>
      </c>
    </row>
    <row r="7944" customFormat="false" ht="17.15" hidden="false" customHeight="false" outlineLevel="0" collapsed="false">
      <c r="A7944" s="5" t="s">
        <v>784</v>
      </c>
      <c r="B7944" s="0" t="s">
        <v>86</v>
      </c>
      <c r="C7944" s="38" t="n">
        <f aca="false">Q!$D$46-Sens!$C$7942-Sens!$C$7943</f>
        <v>31.3328957636573</v>
      </c>
      <c r="D7944" s="38" t="n">
        <f aca="false">Q!$E$46-Sens!$D$7942-Sens!$D$7943</f>
        <v>34.7471223867276</v>
      </c>
      <c r="E7944" s="38" t="n">
        <f aca="false">Q!$P$46-Sens!$E$7942-Sens!$E$7943</f>
        <v>17.8583499466032</v>
      </c>
      <c r="F7944" s="38" t="n">
        <f aca="false">cx_rt*Sens!$F$7788</f>
        <v>20.6195895799373</v>
      </c>
      <c r="G7944" s="38" t="n">
        <f aca="false">Sens!$E$7944+Sens!$F$7944</f>
        <v>38.4779395265405</v>
      </c>
      <c r="H7944" s="38" t="n">
        <f aca="false">cx_rt*Sens!$H$7788</f>
        <v>42.5978994743075</v>
      </c>
      <c r="I7944" s="38" t="n">
        <f aca="false">cx_rt*Sens!$I$7788</f>
        <v>46.5813904136335</v>
      </c>
      <c r="J7944" s="38" t="n">
        <f aca="false">cx_rt*Sens!$J$7788</f>
        <v>50.2781676586844</v>
      </c>
      <c r="K7944" s="38" t="n">
        <f aca="false">cx_rt*Sens!$K$7788</f>
        <v>53.5312440191755</v>
      </c>
      <c r="L7944" s="38" t="n">
        <f aca="false">cx_rt*Sens!$L$7788</f>
        <v>57.0116717051447</v>
      </c>
      <c r="M7944" s="38" t="n">
        <f aca="false">cx_rt*Sens!$M$7788</f>
        <v>60.7365554669226</v>
      </c>
    </row>
    <row r="7945" customFormat="false" ht="15" hidden="false" customHeight="false" outlineLevel="0" collapsed="false">
      <c r="A7945" s="3" t="s">
        <v>785</v>
      </c>
      <c r="B7945" s="8" t="s">
        <v>86</v>
      </c>
      <c r="C7945" s="38" t="n">
        <f aca="false">Q!$D$46</f>
        <v>77.658</v>
      </c>
      <c r="D7945" s="38" t="n">
        <f aca="false">Q!$E$46</f>
        <v>128.32</v>
      </c>
      <c r="E7945" s="38" t="n">
        <f aca="false">Q!$P$46</f>
        <v>96.31</v>
      </c>
      <c r="F7945" s="38" t="n">
        <f aca="false">Sens!$F$7942+Sens!$F$7943+Sens!$F$7944</f>
        <v>131.221579528287</v>
      </c>
      <c r="G7945" s="38" t="n">
        <f aca="false">Sens!$E$7945+Sens!$F$7945</f>
        <v>227.531579528287</v>
      </c>
      <c r="H7945" s="38" t="n">
        <f aca="false">Sens!$H$7942+Sens!$H$7943+Sens!$H$7944</f>
        <v>273.372679834898</v>
      </c>
      <c r="I7945" s="38" t="n">
        <f aca="false">Sens!$I$7942+Sens!$I$7943+Sens!$I$7944</f>
        <v>286.981812228425</v>
      </c>
      <c r="J7945" s="38" t="n">
        <f aca="false">Sens!$J$7942+Sens!$J$7943+Sens!$J$7944</f>
        <v>299.316513378366</v>
      </c>
      <c r="K7945" s="38" t="n">
        <f aca="false">Sens!$K$7942+Sens!$K$7943+Sens!$K$7944</f>
        <v>251.057145512292</v>
      </c>
      <c r="L7945" s="38" t="n">
        <f aca="false">Sens!$L$7942+Sens!$L$7943+Sens!$L$7944</f>
        <v>234.696330860396</v>
      </c>
      <c r="M7945" s="38" t="n">
        <f aca="false">Sens!$M$7942+Sens!$M$7943+Sens!$M$7944</f>
        <v>242.291696043352</v>
      </c>
    </row>
    <row r="7946" customFormat="false" ht="17.15" hidden="false" customHeight="false" outlineLevel="0" collapsed="false">
      <c r="A7946" s="5" t="s">
        <v>560</v>
      </c>
      <c r="B7946" s="0" t="s">
        <v>86</v>
      </c>
      <c r="C7946" s="38" t="n">
        <f aca="false">Q!$D$50</f>
        <v>2.043</v>
      </c>
      <c r="D7946" s="38" t="n">
        <f aca="false">Q!$E$50</f>
        <v>1.557</v>
      </c>
      <c r="E7946" s="38" t="n">
        <f aca="false">lease_pr/2</f>
        <v>0.8</v>
      </c>
      <c r="F7946" s="38" t="n">
        <f aca="false">lease_pr/2</f>
        <v>0.8</v>
      </c>
      <c r="G7946" s="38" t="n">
        <f aca="false">Sens!$E$7946+Sens!$F$7946</f>
        <v>1.6</v>
      </c>
      <c r="H7946" s="38" t="n">
        <f aca="false">lease_pr</f>
        <v>1.6</v>
      </c>
      <c r="I7946" s="38" t="n">
        <f aca="false">lease_pr</f>
        <v>1.6</v>
      </c>
      <c r="J7946" s="38" t="n">
        <f aca="false">lease_pr</f>
        <v>1.6</v>
      </c>
      <c r="K7946" s="38" t="n">
        <f aca="false">lease_pr</f>
        <v>1.6</v>
      </c>
      <c r="L7946" s="38" t="n">
        <f aca="false">lease_pr</f>
        <v>1.6</v>
      </c>
      <c r="M7946" s="38" t="n">
        <f aca="false">lease_pr</f>
        <v>1.6</v>
      </c>
      <c r="P7946" s="8" t="s">
        <v>786</v>
      </c>
    </row>
    <row r="7947" customFormat="false" ht="15" hidden="false" customHeight="false" outlineLevel="0" collapsed="false">
      <c r="A7947" s="47" t="s">
        <v>787</v>
      </c>
      <c r="B7947" s="14" t="s">
        <v>86</v>
      </c>
      <c r="C7947" s="48" t="n">
        <f aca="false">Sens!$C$7941-Sens!$C$7945-Sens!$C$7946</f>
        <v>36.176</v>
      </c>
      <c r="D7947" s="48" t="n">
        <f aca="false">Sens!$D$7941-Sens!$D$7945-Sens!$D$7946</f>
        <v>9.63700000000002</v>
      </c>
      <c r="E7947" s="48" t="n">
        <f aca="false">Sens!$E$7941-Sens!$E$7945-Sens!$E$7946</f>
        <v>-25.691</v>
      </c>
      <c r="F7947" s="48" t="n">
        <f aca="false">Sens!$F$7941-Sens!$F$7945-Sens!$F$7946</f>
        <v>-40.6834130116072</v>
      </c>
      <c r="G7947" s="48" t="n">
        <f aca="false">Sens!$G$7941-Sens!$G$7945-Sens!$G$7946</f>
        <v>-66.3744130116072</v>
      </c>
      <c r="H7947" s="48" t="n">
        <f aca="false">Sens!$H$7941-Sens!$H$7945-Sens!$H$7946</f>
        <v>-53.9928646435014</v>
      </c>
      <c r="I7947" s="48" t="n">
        <f aca="false">Sens!$I$7941-Sens!$I$7945-Sens!$I$7946</f>
        <v>-15.5451348078424</v>
      </c>
      <c r="J7947" s="48" t="n">
        <f aca="false">Sens!$J$7941-Sens!$J$7945-Sens!$J$7946</f>
        <v>24.754490675283</v>
      </c>
      <c r="K7947" s="48" t="n">
        <f aca="false">Sens!$K$7941-Sens!$K$7945-Sens!$K$7946</f>
        <v>121.351913203336</v>
      </c>
      <c r="L7947" s="48" t="n">
        <f aca="false">Sens!$L$7941-Sens!$L$7945-Sens!$L$7946</f>
        <v>179.827806639524</v>
      </c>
      <c r="M7947" s="48" t="n">
        <f aca="false">Sens!$M$7941-Sens!$M$7945-Sens!$M$7946</f>
        <v>208.6661428466</v>
      </c>
      <c r="N7947" s="14"/>
      <c r="O7947" s="14"/>
    </row>
    <row r="7948" customFormat="false" ht="17.15" hidden="false" customHeight="false" outlineLevel="0" collapsed="false">
      <c r="A7948" s="5" t="s">
        <v>788</v>
      </c>
      <c r="B7948" s="0" t="s">
        <v>86</v>
      </c>
      <c r="C7948" s="38" t="n">
        <f aca="false">dps*Sens!$C$7927</f>
        <v>0</v>
      </c>
      <c r="D7948" s="38" t="n">
        <f aca="false">dps*Sens!$D$7927</f>
        <v>0</v>
      </c>
      <c r="E7948" s="38" t="n">
        <f aca="false">dps*Sens!$E$7927</f>
        <v>0</v>
      </c>
      <c r="F7948" s="38" t="n">
        <f aca="false">0</f>
        <v>0</v>
      </c>
      <c r="G7948" s="38" t="n">
        <f aca="false">dps*Sens!$G$7927</f>
        <v>0</v>
      </c>
      <c r="H7948" s="38" t="n">
        <f aca="false">dps*Sens!$H$7927</f>
        <v>0</v>
      </c>
      <c r="I7948" s="38" t="n">
        <f aca="false">dps*Sens!$I$7927</f>
        <v>0</v>
      </c>
      <c r="J7948" s="38" t="n">
        <f aca="false">dps*Sens!$J$7927</f>
        <v>0</v>
      </c>
      <c r="K7948" s="38" t="n">
        <f aca="false">dps*Sens!$K$7927</f>
        <v>0</v>
      </c>
      <c r="L7948" s="38" t="n">
        <f aca="false">dps*Sens!$L$7927</f>
        <v>0</v>
      </c>
      <c r="M7948" s="38" t="n">
        <f aca="false">dps*Sens!$M$7927</f>
        <v>0</v>
      </c>
      <c r="P7948" s="8" t="s">
        <v>789</v>
      </c>
    </row>
    <row r="7949" customFormat="false" ht="17.15" hidden="false" customHeight="false" outlineLevel="0" collapsed="false">
      <c r="A7949" s="5" t="s">
        <v>790</v>
      </c>
      <c r="B7949" s="0" t="s">
        <v>86</v>
      </c>
      <c r="C7949" s="38" t="n">
        <f aca="false">0</f>
        <v>0</v>
      </c>
      <c r="D7949" s="38" t="n">
        <f aca="false">0</f>
        <v>0</v>
      </c>
      <c r="E7949" s="38" t="n">
        <f aca="false">0</f>
        <v>0</v>
      </c>
      <c r="F7949" s="38" t="n">
        <f aca="false">0</f>
        <v>0</v>
      </c>
      <c r="G7949" s="38" t="n">
        <f aca="false">0</f>
        <v>0</v>
      </c>
      <c r="H7949" s="38" t="n">
        <f aca="false">0</f>
        <v>0</v>
      </c>
      <c r="I7949" s="38" t="n">
        <f aca="false">0</f>
        <v>0</v>
      </c>
      <c r="J7949" s="38" t="n">
        <f aca="false">0</f>
        <v>0</v>
      </c>
      <c r="K7949" s="38" t="n">
        <f aca="false">0</f>
        <v>0</v>
      </c>
      <c r="L7949" s="38" t="n">
        <f aca="false">0</f>
        <v>0</v>
      </c>
      <c r="M7949" s="38" t="n">
        <f aca="false">0</f>
        <v>0</v>
      </c>
      <c r="P7949" s="8" t="s">
        <v>791</v>
      </c>
    </row>
    <row r="7950" customFormat="false" ht="15" hidden="false" customHeight="false" outlineLevel="0" collapsed="false">
      <c r="A7950" s="3" t="s">
        <v>792</v>
      </c>
      <c r="B7950" s="8" t="s">
        <v>86</v>
      </c>
      <c r="C7950" s="38" t="n">
        <f aca="false">Sens!$C$7947-Sens!$C$7948</f>
        <v>36.176</v>
      </c>
      <c r="D7950" s="38" t="n">
        <f aca="false">Sens!$D$7947-Sens!$D$7948</f>
        <v>9.63700000000002</v>
      </c>
      <c r="E7950" s="38" t="n">
        <f aca="false">Sens!$E$7947-Sens!$E$7948</f>
        <v>-25.691</v>
      </c>
      <c r="F7950" s="38" t="n">
        <f aca="false">Sens!$F$7947-Sens!$F$7948</f>
        <v>-40.6834130116072</v>
      </c>
      <c r="G7950" s="38" t="n">
        <f aca="false">Sens!$G$7947-Sens!$G$7948</f>
        <v>-66.3744130116072</v>
      </c>
      <c r="H7950" s="38" t="n">
        <f aca="false">Sens!$H$7947-Sens!$H$7948</f>
        <v>-53.9928646435014</v>
      </c>
      <c r="I7950" s="38" t="n">
        <f aca="false">Sens!$I$7947-Sens!$I$7948</f>
        <v>-15.5451348078424</v>
      </c>
      <c r="J7950" s="38" t="n">
        <f aca="false">Sens!$J$7947-Sens!$J$7948</f>
        <v>24.754490675283</v>
      </c>
      <c r="K7950" s="38" t="n">
        <f aca="false">Sens!$K$7947-Sens!$K$7948</f>
        <v>121.351913203336</v>
      </c>
      <c r="L7950" s="38" t="n">
        <f aca="false">Sens!$L$7947-Sens!$L$7948</f>
        <v>179.827806639524</v>
      </c>
      <c r="M7950" s="38" t="n">
        <f aca="false">Sens!$M$7947-Sens!$M$7948</f>
        <v>208.6661428466</v>
      </c>
    </row>
    <row r="7951" customFormat="false" ht="17.15" hidden="false" customHeight="false" outlineLevel="0" collapsed="false">
      <c r="A7951" s="5" t="s">
        <v>793</v>
      </c>
      <c r="B7951" s="0" t="s">
        <v>86</v>
      </c>
      <c r="E7951" s="38" t="n">
        <f aca="false">Q!$P$53</f>
        <v>39.767</v>
      </c>
      <c r="F7951" s="38" t="n">
        <f aca="false">inv_2h26</f>
        <v>21.3</v>
      </c>
      <c r="G7951" s="38" t="n">
        <f aca="false">Sens!$E$7951+Sens!$F$7951</f>
        <v>61.067</v>
      </c>
      <c r="H7951" s="39" t="n">
        <v>0</v>
      </c>
      <c r="I7951" s="39" t="n">
        <v>0</v>
      </c>
      <c r="J7951" s="39" t="n">
        <v>0</v>
      </c>
      <c r="K7951" s="39" t="n">
        <v>0</v>
      </c>
      <c r="L7951" s="39" t="n">
        <v>0</v>
      </c>
      <c r="M7951" s="39" t="n">
        <v>0</v>
      </c>
    </row>
    <row r="7952" customFormat="false" ht="17.15" hidden="false" customHeight="false" outlineLevel="0" collapsed="false">
      <c r="A7952" s="5" t="s">
        <v>794</v>
      </c>
      <c r="B7952" s="0" t="s">
        <v>86</v>
      </c>
      <c r="F7952" s="38" t="n">
        <f aca="false">iss_2h26</f>
        <v>29.249999</v>
      </c>
      <c r="G7952" s="38" t="n">
        <f aca="false">Sens!$F$7952</f>
        <v>29.249999</v>
      </c>
      <c r="H7952" s="39" t="n">
        <v>0</v>
      </c>
      <c r="I7952" s="39" t="n">
        <v>0</v>
      </c>
      <c r="J7952" s="39" t="n">
        <v>0</v>
      </c>
      <c r="K7952" s="39" t="n">
        <v>0</v>
      </c>
      <c r="L7952" s="39" t="n">
        <v>0</v>
      </c>
      <c r="M7952" s="39" t="n">
        <v>0</v>
      </c>
    </row>
    <row r="7953" customFormat="false" ht="17.15" hidden="false" customHeight="false" outlineLevel="0" collapsed="false">
      <c r="A7953" s="5" t="s">
        <v>795</v>
      </c>
      <c r="B7953" s="0" t="s">
        <v>86</v>
      </c>
      <c r="F7953" s="38" t="n">
        <f aca="false">cash_q2</f>
        <v>122.988</v>
      </c>
      <c r="G7953" s="38" t="n">
        <f aca="false">cash_q2</f>
        <v>122.988</v>
      </c>
      <c r="H7953" s="38" t="n">
        <f aca="false">Sens!$G$7956</f>
        <v>90.2545859883928</v>
      </c>
      <c r="I7953" s="38" t="n">
        <f aca="false">Sens!$H$7956</f>
        <v>50</v>
      </c>
      <c r="J7953" s="38" t="n">
        <f aca="false">Sens!$I$7956</f>
        <v>50</v>
      </c>
      <c r="K7953" s="38" t="n">
        <f aca="false">Sens!$J$7956</f>
        <v>74.7544906752831</v>
      </c>
      <c r="L7953" s="38" t="n">
        <f aca="false">Sens!$K$7956</f>
        <v>196.106403878619</v>
      </c>
      <c r="M7953" s="38" t="n">
        <f aca="false">Sens!$L$7956</f>
        <v>375.934210518143</v>
      </c>
    </row>
    <row r="7954" customFormat="false" ht="15" hidden="false" customHeight="false" outlineLevel="0" collapsed="false">
      <c r="A7954" s="5" t="s">
        <v>796</v>
      </c>
      <c r="B7954" s="0" t="s">
        <v>86</v>
      </c>
      <c r="F7954" s="38" t="n">
        <f aca="false">Sens!$F$7953+Sens!$F$7950-Sens!$F$7949-Sens!$F$7951+Sens!$F$7952</f>
        <v>90.2545859883928</v>
      </c>
      <c r="H7954" s="38" t="n">
        <f aca="false">Sens!$H$7953+Sens!$H$7950-Sens!$H$7949-Sens!$H$7951+Sens!$H$7952</f>
        <v>36.2617213448915</v>
      </c>
      <c r="I7954" s="38" t="n">
        <f aca="false">Sens!$I$7953+Sens!$I$7950-Sens!$I$7949-Sens!$I$7951+Sens!$I$7952</f>
        <v>34.4548651921577</v>
      </c>
      <c r="J7954" s="38" t="n">
        <f aca="false">Sens!$J$7953+Sens!$J$7950-Sens!$J$7949-Sens!$J$7951+Sens!$J$7952</f>
        <v>74.7544906752831</v>
      </c>
      <c r="K7954" s="38" t="n">
        <f aca="false">Sens!$K$7953+Sens!$K$7950-Sens!$K$7949-Sens!$K$7951+Sens!$K$7952</f>
        <v>196.106403878619</v>
      </c>
      <c r="L7954" s="38" t="n">
        <f aca="false">Sens!$L$7953+Sens!$L$7950-Sens!$L$7949-Sens!$L$7951+Sens!$L$7952</f>
        <v>375.934210518143</v>
      </c>
      <c r="M7954" s="38" t="n">
        <f aca="false">Sens!$M$7953+Sens!$M$7950-Sens!$M$7949-Sens!$M$7951+Sens!$M$7952</f>
        <v>584.600353364743</v>
      </c>
    </row>
    <row r="7955" customFormat="false" ht="17.15" hidden="false" customHeight="false" outlineLevel="0" collapsed="false">
      <c r="A7955" s="5" t="s">
        <v>797</v>
      </c>
      <c r="B7955" s="0" t="s">
        <v>86</v>
      </c>
      <c r="F7955" s="38" t="n">
        <f aca="false">MAX(0,min_cash-Sens!$F$7954)</f>
        <v>0</v>
      </c>
      <c r="G7955" s="38" t="n">
        <f aca="false">Sens!$F$7955</f>
        <v>0</v>
      </c>
      <c r="H7955" s="38" t="n">
        <f aca="false">MAX(0,min_cash-Sens!$H$7954)</f>
        <v>13.7382786551085</v>
      </c>
      <c r="I7955" s="38" t="n">
        <f aca="false">MAX(0,min_cash-Sens!$I$7954)</f>
        <v>15.5451348078424</v>
      </c>
      <c r="J7955" s="38" t="n">
        <f aca="false">MAX(0,min_cash-Sens!$J$7954)</f>
        <v>0</v>
      </c>
      <c r="K7955" s="38" t="n">
        <f aca="false">MAX(0,min_cash-Sens!$K$7954)</f>
        <v>0</v>
      </c>
      <c r="L7955" s="38" t="n">
        <f aca="false">MAX(0,min_cash-Sens!$L$7954)</f>
        <v>0</v>
      </c>
      <c r="M7955" s="38" t="n">
        <f aca="false">MAX(0,min_cash-Sens!$M$7954)</f>
        <v>0</v>
      </c>
      <c r="P7955" s="5" t="s">
        <v>798</v>
      </c>
    </row>
    <row r="7956" customFormat="false" ht="15" hidden="false" customHeight="false" outlineLevel="0" collapsed="false">
      <c r="A7956" s="5" t="s">
        <v>799</v>
      </c>
      <c r="B7956" s="0" t="s">
        <v>86</v>
      </c>
      <c r="D7956" s="38" t="n">
        <f aca="false">Q!$E$61</f>
        <v>123.029</v>
      </c>
      <c r="E7956" s="38" t="n">
        <f aca="false">Q!$M$61</f>
        <v>122.988</v>
      </c>
      <c r="F7956" s="38" t="n">
        <f aca="false">Sens!$F$7954+Sens!$F$7955</f>
        <v>90.2545859883928</v>
      </c>
      <c r="G7956" s="38" t="n">
        <f aca="false">Sens!$F$7956</f>
        <v>90.2545859883928</v>
      </c>
      <c r="H7956" s="38" t="n">
        <f aca="false">Sens!$H$7954+Sens!$H$7955</f>
        <v>50</v>
      </c>
      <c r="I7956" s="38" t="n">
        <f aca="false">Sens!$I$7954+Sens!$I$7955</f>
        <v>50</v>
      </c>
      <c r="J7956" s="38" t="n">
        <f aca="false">Sens!$J$7954+Sens!$J$7955</f>
        <v>74.7544906752831</v>
      </c>
      <c r="K7956" s="38" t="n">
        <f aca="false">Sens!$K$7954+Sens!$K$7955</f>
        <v>196.106403878619</v>
      </c>
      <c r="L7956" s="38" t="n">
        <f aca="false">Sens!$L$7954+Sens!$L$7955</f>
        <v>375.934210518143</v>
      </c>
      <c r="M7956" s="38" t="n">
        <f aca="false">Sens!$M$7954+Sens!$M$7955</f>
        <v>584.600353364743</v>
      </c>
    </row>
    <row r="7957" customFormat="false" ht="15" hidden="false" customHeight="false" outlineLevel="0" collapsed="false">
      <c r="A7957" s="5" t="s">
        <v>800</v>
      </c>
      <c r="B7957" s="0" t="s">
        <v>86</v>
      </c>
      <c r="D7957" s="38" t="n">
        <f aca="false">Q!$E$62</f>
        <v>68.836</v>
      </c>
      <c r="E7957" s="38" t="n">
        <f aca="false">Q!$M$62</f>
        <v>132.995</v>
      </c>
      <c r="F7957" s="38" t="n">
        <f aca="false">debt_q2+Sens!$F$7952+Sens!$F$7955</f>
        <v>162.244999</v>
      </c>
      <c r="G7957" s="38" t="n">
        <f aca="false">Sens!$F$7957</f>
        <v>162.244999</v>
      </c>
      <c r="H7957" s="38" t="n">
        <f aca="false">Sens!$G$7957+Sens!$H$7955</f>
        <v>175.983277655109</v>
      </c>
      <c r="I7957" s="38" t="n">
        <f aca="false">Sens!$H$7957+Sens!$I$7955</f>
        <v>191.528412462951</v>
      </c>
      <c r="J7957" s="38" t="n">
        <f aca="false">Sens!$I$7957+Sens!$J$7955</f>
        <v>191.528412462951</v>
      </c>
      <c r="K7957" s="38" t="n">
        <f aca="false">Sens!$J$7957+Sens!$K$7955</f>
        <v>191.528412462951</v>
      </c>
      <c r="L7957" s="38" t="n">
        <f aca="false">Sens!$K$7957+Sens!$L$7955</f>
        <v>191.528412462951</v>
      </c>
      <c r="M7957" s="38" t="n">
        <f aca="false">Sens!$L$7957+Sens!$M$7955</f>
        <v>191.528412462951</v>
      </c>
    </row>
    <row r="7958" customFormat="false" ht="15" hidden="false" customHeight="false" outlineLevel="0" collapsed="false">
      <c r="A7958" s="5" t="s">
        <v>801</v>
      </c>
      <c r="B7958" s="0" t="s">
        <v>86</v>
      </c>
      <c r="D7958" s="38" t="n">
        <f aca="false">Sens!$D$7957-Sens!$D$7956</f>
        <v>-54.193</v>
      </c>
      <c r="E7958" s="38" t="n">
        <f aca="false">Sens!$E$7957-Sens!$E$7956</f>
        <v>10.007</v>
      </c>
      <c r="F7958" s="38" t="n">
        <f aca="false">Sens!$F$7957-Sens!$F$7956</f>
        <v>71.9904130116072</v>
      </c>
      <c r="G7958" s="38" t="n">
        <f aca="false">Sens!$G$7957-Sens!$G$7956</f>
        <v>71.9904130116072</v>
      </c>
      <c r="H7958" s="38" t="n">
        <f aca="false">Sens!$H$7957-Sens!$H$7956</f>
        <v>125.983277655109</v>
      </c>
      <c r="I7958" s="38" t="n">
        <f aca="false">Sens!$I$7957-Sens!$I$7956</f>
        <v>141.528412462951</v>
      </c>
      <c r="J7958" s="38" t="n">
        <f aca="false">Sens!$J$7957-Sens!$J$7956</f>
        <v>116.773921787668</v>
      </c>
      <c r="K7958" s="38" t="n">
        <f aca="false">Sens!$K$7957-Sens!$K$7956</f>
        <v>-4.57799141566841</v>
      </c>
      <c r="L7958" s="38" t="n">
        <f aca="false">Sens!$L$7957-Sens!$L$7956</f>
        <v>-184.405798055192</v>
      </c>
      <c r="M7958" s="38" t="n">
        <f aca="false">Sens!$M$7957-Sens!$M$7956</f>
        <v>-393.071940901792</v>
      </c>
    </row>
    <row r="7959" customFormat="false" ht="17.15" hidden="false" customHeight="false" outlineLevel="0" collapsed="false">
      <c r="A7959" s="5" t="s">
        <v>802</v>
      </c>
      <c r="B7959" s="0" t="s">
        <v>86</v>
      </c>
      <c r="F7959" s="38" t="n">
        <f aca="false">debt_q2*kd_book*0.5+iss_2h26*kd_new*iss_t</f>
        <v>3.24888962733561</v>
      </c>
      <c r="H7959" s="38" t="n">
        <f aca="false">debt_q2*kd_book+(Sens!$G$7957-debt_q2)*kd_new</f>
        <v>7.42354172302123</v>
      </c>
      <c r="I7959" s="38" t="n">
        <f aca="false">debt_q2*kd_book+(Sens!$H$7957-debt_q2)*kd_new</f>
        <v>8.2931747618896</v>
      </c>
      <c r="J7959" s="38" t="n">
        <f aca="false">debt_q2*kd_book+(Sens!$I$7957-debt_q2)*kd_new</f>
        <v>9.27718179522602</v>
      </c>
      <c r="K7959" s="38" t="n">
        <f aca="false">debt_q2*kd_book+(Sens!$J$7957-debt_q2)*kd_new</f>
        <v>9.27718179522602</v>
      </c>
      <c r="L7959" s="38" t="n">
        <f aca="false">debt_q2*kd_book+(Sens!$K$7957-debt_q2)*kd_new</f>
        <v>9.27718179522602</v>
      </c>
      <c r="M7959" s="38" t="n">
        <f aca="false">debt_q2*kd_book+(Sens!$L$7957-debt_q2)*kd_new</f>
        <v>9.27718179522602</v>
      </c>
    </row>
    <row r="7960" customFormat="false" ht="17.15" hidden="false" customHeight="false" outlineLevel="0" collapsed="false">
      <c r="A7960" s="5" t="s">
        <v>803</v>
      </c>
      <c r="B7960" s="0" t="s">
        <v>86</v>
      </c>
      <c r="F7960" s="38" t="n">
        <f aca="false">cash_q2*y_cash*0.5</f>
        <v>2.59</v>
      </c>
      <c r="H7960" s="38" t="n">
        <f aca="false">Sens!$G$7956*y_cash</f>
        <v>3.80133635330174</v>
      </c>
      <c r="I7960" s="38" t="n">
        <f aca="false">Sens!$H$7956*y_cash</f>
        <v>2.10589651022864</v>
      </c>
      <c r="J7960" s="38" t="n">
        <f aca="false">Sens!$I$7956*y_cash</f>
        <v>2.10589651022864</v>
      </c>
      <c r="K7960" s="38" t="n">
        <f aca="false">Sens!$J$7956*y_cash</f>
        <v>3.14850442073996</v>
      </c>
      <c r="L7960" s="38" t="n">
        <f aca="false">Sens!$K$7956*y_cash</f>
        <v>8.25959583122945</v>
      </c>
      <c r="M7960" s="38" t="n">
        <f aca="false">Sens!$L$7956*y_cash</f>
        <v>15.8335708401143</v>
      </c>
    </row>
    <row r="7961" customFormat="false" ht="17.15" hidden="false" customHeight="false" outlineLevel="0" collapsed="false">
      <c r="A7961" s="47" t="s">
        <v>804</v>
      </c>
      <c r="B7961" s="14" t="s">
        <v>86</v>
      </c>
      <c r="C7961" s="14"/>
      <c r="D7961" s="14"/>
      <c r="E7961" s="14"/>
      <c r="F7961" s="14"/>
      <c r="G7961" s="48" t="n">
        <f aca="false">SUM(Sens!$G$7950:$K$7950)</f>
        <v>10.1939914156684</v>
      </c>
      <c r="H7961" s="14"/>
      <c r="I7961" s="14"/>
      <c r="J7961" s="14"/>
      <c r="K7961" s="14"/>
      <c r="L7961" s="14"/>
      <c r="M7961" s="14"/>
      <c r="N7961" s="14"/>
      <c r="O7961" s="14"/>
    </row>
    <row r="7962" customFormat="false" ht="17.15" hidden="false" customHeight="false" outlineLevel="0" collapsed="false">
      <c r="A7962" s="0" t="s">
        <v>770</v>
      </c>
      <c r="B7962" s="0" t="s">
        <v>86</v>
      </c>
      <c r="G7962" s="38" t="n">
        <f aca="false">SUM(Sens!$G$7955:$K$7955)</f>
        <v>29.2834134629509</v>
      </c>
    </row>
    <row r="7963" customFormat="false" ht="17.15" hidden="false" customHeight="false" outlineLevel="0" collapsed="false">
      <c r="A7963" s="24" t="s">
        <v>807</v>
      </c>
      <c r="B7963" s="25" t="s">
        <v>86</v>
      </c>
      <c r="C7963" s="25"/>
      <c r="D7963" s="25"/>
      <c r="E7963" s="25"/>
      <c r="F7963" s="25"/>
      <c r="G7963" s="41" t="n">
        <f aca="false">Sens!$G$7961-(Sens!$G$7950+Sens!$H$7950+Sens!$I$7950+Sens!$J$7950+Sens!$K$7950)</f>
        <v>0</v>
      </c>
      <c r="H7963" s="25"/>
      <c r="I7963" s="25"/>
      <c r="J7963" s="25"/>
      <c r="K7963" s="25"/>
      <c r="L7963" s="25"/>
      <c r="M7963" s="25"/>
      <c r="N7963" s="25"/>
      <c r="O7963" s="25"/>
    </row>
    <row r="7966" customFormat="false" ht="19.4" hidden="false" customHeight="false" outlineLevel="0" collapsed="false">
      <c r="A7966" s="31" t="s">
        <v>1291</v>
      </c>
    </row>
    <row r="7967" customFormat="false" ht="17.15" hidden="false" customHeight="false" outlineLevel="0" collapsed="false">
      <c r="A7967" s="6" t="s">
        <v>16</v>
      </c>
      <c r="B7967" s="6" t="s">
        <v>17</v>
      </c>
      <c r="C7967" s="20" t="s">
        <v>494</v>
      </c>
      <c r="D7967" s="20" t="s">
        <v>495</v>
      </c>
      <c r="E7967" s="20" t="s">
        <v>577</v>
      </c>
      <c r="F7967" s="20" t="s">
        <v>578</v>
      </c>
      <c r="G7967" s="20" t="s">
        <v>579</v>
      </c>
      <c r="H7967" s="20" t="s">
        <v>580</v>
      </c>
      <c r="I7967" s="20" t="s">
        <v>581</v>
      </c>
      <c r="J7967" s="20" t="s">
        <v>582</v>
      </c>
      <c r="K7967" s="20" t="s">
        <v>583</v>
      </c>
      <c r="L7967" s="20" t="s">
        <v>584</v>
      </c>
      <c r="M7967" s="20" t="s">
        <v>585</v>
      </c>
      <c r="N7967" s="20" t="s">
        <v>586</v>
      </c>
      <c r="O7967" s="20" t="s">
        <v>587</v>
      </c>
      <c r="P7967" s="6" t="s">
        <v>23</v>
      </c>
      <c r="R7967" s="20" t="n">
        <v>2023</v>
      </c>
      <c r="S7967" s="20" t="n">
        <v>2024</v>
      </c>
      <c r="T7967" s="20" t="n">
        <v>2025</v>
      </c>
      <c r="U7967" s="20" t="n">
        <v>2026</v>
      </c>
      <c r="V7967" s="20" t="n">
        <v>2027</v>
      </c>
      <c r="W7967" s="20" t="n">
        <v>2028</v>
      </c>
      <c r="X7967" s="20" t="n">
        <v>2029</v>
      </c>
      <c r="Y7967" s="20" t="n">
        <v>2030</v>
      </c>
      <c r="Z7967" s="20" t="n">
        <v>2031</v>
      </c>
      <c r="AA7967" s="20" t="n">
        <v>2032</v>
      </c>
    </row>
    <row r="7968" customFormat="false" ht="17.15" hidden="false" customHeight="false" outlineLevel="0" collapsed="false">
      <c r="A7968" s="1" t="s">
        <v>909</v>
      </c>
    </row>
    <row r="7969" customFormat="false" ht="17.15" hidden="false" customHeight="false" outlineLevel="0" collapsed="false">
      <c r="A7969" s="0" t="s">
        <v>910</v>
      </c>
      <c r="B7969" s="0" t="s">
        <v>86</v>
      </c>
      <c r="H7969" s="38" t="n">
        <f aca="false">Sens!$H$7903*(1-tax)</f>
        <v>117.433243423729</v>
      </c>
      <c r="I7969" s="38" t="n">
        <f aca="false">Sens!$I$7903*(1-tax)</f>
        <v>142.829109667048</v>
      </c>
      <c r="J7969" s="38" t="n">
        <f aca="false">Sens!$J$7903*(1-tax)</f>
        <v>166.999275189185</v>
      </c>
      <c r="K7969" s="38" t="n">
        <f aca="false">Sens!$K$7903*(1-tax)</f>
        <v>184.249088119477</v>
      </c>
      <c r="L7969" s="38" t="n">
        <f aca="false">Sens!$L$7903*(1-tax)</f>
        <v>199.752821326616</v>
      </c>
      <c r="M7969" s="38" t="n">
        <f aca="false">Sens!$M$7903*(1-tax)</f>
        <v>212.59629763103</v>
      </c>
    </row>
    <row r="7970" customFormat="false" ht="15" hidden="false" customHeight="false" outlineLevel="0" collapsed="false">
      <c r="A7970" s="5" t="s">
        <v>911</v>
      </c>
      <c r="B7970" s="0" t="s">
        <v>86</v>
      </c>
      <c r="H7970" s="38" t="n">
        <f aca="false">Sens!$H$7914</f>
        <v>84.3163410985152</v>
      </c>
      <c r="I7970" s="38" t="n">
        <f aca="false">Sens!$I$7914</f>
        <v>117.040344991004</v>
      </c>
      <c r="J7970" s="38" t="n">
        <f aca="false">Sens!$J$7914</f>
        <v>150.498981474685</v>
      </c>
      <c r="K7970" s="38" t="n">
        <f aca="false">Sens!$K$7914</f>
        <v>184.188121970284</v>
      </c>
      <c r="L7970" s="38" t="n">
        <f aca="false">Sens!$L$7914</f>
        <v>207.768718060808</v>
      </c>
      <c r="M7970" s="38" t="n">
        <f aca="false">Sens!$M$7914</f>
        <v>224.003934647752</v>
      </c>
    </row>
    <row r="7971" customFormat="false" ht="15" hidden="false" customHeight="false" outlineLevel="0" collapsed="false">
      <c r="A7971" s="5" t="s">
        <v>912</v>
      </c>
      <c r="B7971" s="0" t="s">
        <v>86</v>
      </c>
      <c r="H7971" s="38" t="n">
        <f aca="false">Sens!$H$7945</f>
        <v>273.372679834898</v>
      </c>
      <c r="I7971" s="38" t="n">
        <f aca="false">Sens!$I$7945</f>
        <v>286.981812228425</v>
      </c>
      <c r="J7971" s="38" t="n">
        <f aca="false">Sens!$J$7945</f>
        <v>299.316513378366</v>
      </c>
      <c r="K7971" s="38" t="n">
        <f aca="false">Sens!$K$7945</f>
        <v>251.057145512292</v>
      </c>
      <c r="L7971" s="38" t="n">
        <f aca="false">Sens!$L$7945</f>
        <v>234.696330860396</v>
      </c>
      <c r="M7971" s="38" t="n">
        <f aca="false">Sens!$M$7945</f>
        <v>242.291696043352</v>
      </c>
    </row>
    <row r="7972" customFormat="false" ht="15" hidden="false" customHeight="false" outlineLevel="0" collapsed="false">
      <c r="A7972" s="5" t="s">
        <v>913</v>
      </c>
      <c r="B7972" s="0" t="s">
        <v>86</v>
      </c>
      <c r="H7972" s="38" t="n">
        <f aca="false">Sens!$H$7946</f>
        <v>1.6</v>
      </c>
      <c r="I7972" s="38" t="n">
        <f aca="false">Sens!$I$7946</f>
        <v>1.6</v>
      </c>
      <c r="J7972" s="38" t="n">
        <f aca="false">Sens!$J$7946</f>
        <v>1.6</v>
      </c>
      <c r="K7972" s="38" t="n">
        <f aca="false">Sens!$K$7946</f>
        <v>1.6</v>
      </c>
      <c r="L7972" s="38" t="n">
        <f aca="false">Sens!$L$7946</f>
        <v>1.6</v>
      </c>
      <c r="M7972" s="38" t="n">
        <f aca="false">Sens!$M$7946</f>
        <v>1.6</v>
      </c>
    </row>
    <row r="7973" customFormat="false" ht="15" hidden="false" customHeight="false" outlineLevel="0" collapsed="false">
      <c r="A7973" s="5" t="s">
        <v>914</v>
      </c>
      <c r="B7973" s="0" t="s">
        <v>86</v>
      </c>
      <c r="H7973" s="38" t="n">
        <f aca="false">Sens!$H$7940</f>
        <v>11.2928295263397</v>
      </c>
      <c r="I7973" s="38" t="n">
        <f aca="false">Sens!$I$7940</f>
        <v>12.8091546115766</v>
      </c>
      <c r="J7973" s="38" t="n">
        <f aca="false">Sens!$J$7940</f>
        <v>14.2605653162668</v>
      </c>
      <c r="K7973" s="38" t="n">
        <f aca="false">Sens!$K$7940</f>
        <v>15.5327622460396</v>
      </c>
      <c r="L7973" s="38" t="n">
        <f aca="false">Sens!$L$7940</f>
        <v>16.720573737517</v>
      </c>
      <c r="M7973" s="38" t="n">
        <f aca="false">Sens!$M$7940</f>
        <v>17.8283127551536</v>
      </c>
    </row>
    <row r="7974" customFormat="false" ht="17.15" hidden="false" customHeight="false" outlineLevel="0" collapsed="false">
      <c r="A7974" s="1" t="s">
        <v>915</v>
      </c>
      <c r="B7974" s="8" t="s">
        <v>86</v>
      </c>
      <c r="H7974" s="38" t="n">
        <f aca="false">Sens!$H$7969+Sens!$H$7970-Sens!$H$7971-Sens!$H$7972+Sens!$H$7973</f>
        <v>-61.930265786314</v>
      </c>
      <c r="I7974" s="38" t="n">
        <f aca="false">Sens!$I$7969+Sens!$I$7970-Sens!$I$7971-Sens!$I$7972+Sens!$I$7973</f>
        <v>-15.9032029587969</v>
      </c>
      <c r="J7974" s="38" t="n">
        <f aca="false">Sens!$J$7969+Sens!$J$7970-Sens!$J$7971-Sens!$J$7972+Sens!$J$7973</f>
        <v>30.8423086017711</v>
      </c>
      <c r="K7974" s="38" t="n">
        <f aca="false">Sens!$K$7969+Sens!$K$7970-Sens!$K$7971-Sens!$K$7972+Sens!$K$7973</f>
        <v>131.312826823508</v>
      </c>
      <c r="L7974" s="38" t="n">
        <f aca="false">Sens!$L$7969+Sens!$L$7970-Sens!$L$7971-Sens!$L$7972+Sens!$L$7973</f>
        <v>187.945782264545</v>
      </c>
      <c r="M7974" s="38" t="n">
        <f aca="false">Sens!$M$7969+Sens!$M$7970-Sens!$M$7971-Sens!$M$7972+Sens!$M$7973</f>
        <v>210.536848990583</v>
      </c>
    </row>
    <row r="7975" customFormat="false" ht="15" hidden="false" customHeight="false" outlineLevel="0" collapsed="false">
      <c r="A7975" s="5" t="s">
        <v>916</v>
      </c>
      <c r="B7975" s="0" t="s">
        <v>57</v>
      </c>
      <c r="H7975" s="40" t="n">
        <f aca="false">1/(1+wacc)^(2027-2026-0.5)</f>
        <v>0.947751320380232</v>
      </c>
      <c r="I7975" s="40" t="n">
        <f aca="false">1/(1+wacc)^(2028-2026-0.5)</f>
        <v>0.851301099754987</v>
      </c>
      <c r="J7975" s="40" t="n">
        <f aca="false">1/(1+wacc)^(2029-2026-0.5)</f>
        <v>0.764666370660713</v>
      </c>
      <c r="K7975" s="40" t="n">
        <f aca="false">1/(1+wacc)^(2030-2026-0.5)</f>
        <v>0.686848235703811</v>
      </c>
      <c r="L7975" s="40" t="n">
        <f aca="false">1/(1+wacc)^(2031-2026-0.5)</f>
        <v>0.616949452715975</v>
      </c>
      <c r="M7975" s="40" t="n">
        <f aca="false">1/(1+wacc)^(2032-2026-0.5)</f>
        <v>0.554164089562688</v>
      </c>
    </row>
    <row r="7976" customFormat="false" ht="15" hidden="false" customHeight="false" outlineLevel="0" collapsed="false">
      <c r="A7976" s="5" t="s">
        <v>917</v>
      </c>
      <c r="B7976" s="0" t="s">
        <v>86</v>
      </c>
      <c r="H7976" s="38" t="n">
        <f aca="false">Sens!$H$7974*Sens!$H$7975</f>
        <v>-58.6944911704778</v>
      </c>
      <c r="I7976" s="38" t="n">
        <f aca="false">Sens!$I$7974*Sens!$I$7975</f>
        <v>-13.5384141684505</v>
      </c>
      <c r="J7976" s="38" t="n">
        <f aca="false">Sens!$J$7974*Sens!$J$7975</f>
        <v>23.584076181314</v>
      </c>
      <c r="K7976" s="38" t="n">
        <f aca="false">Sens!$K$7974*Sens!$K$7975</f>
        <v>90.1919834290062</v>
      </c>
      <c r="L7976" s="38" t="n">
        <f aca="false">Sens!$L$7974*Sens!$L$7975</f>
        <v>115.953047508387</v>
      </c>
      <c r="M7976" s="38" t="n">
        <f aca="false">Sens!$M$7974*Sens!$M$7975</f>
        <v>116.671961240264</v>
      </c>
    </row>
    <row r="7977" customFormat="false" ht="15" hidden="false" customHeight="false" outlineLevel="0" collapsed="false">
      <c r="A7977" s="5" t="s">
        <v>918</v>
      </c>
      <c r="B7977" s="0" t="s">
        <v>86</v>
      </c>
      <c r="C7977" s="38" t="n">
        <f aca="false">SUM(Sens!$H$7976:$M$7976)</f>
        <v>274.168163020043</v>
      </c>
    </row>
    <row r="7978" customFormat="false" ht="17.15" hidden="false" customHeight="false" outlineLevel="0" collapsed="false">
      <c r="A7978" s="5" t="s">
        <v>919</v>
      </c>
      <c r="B7978" s="0" t="s">
        <v>86</v>
      </c>
      <c r="C7978" s="38" t="n">
        <f aca="false">Sens!$M$7969*(1+tg)*(1-tg/ronic)/(wacc-tg)</f>
        <v>1932.73757828664</v>
      </c>
    </row>
    <row r="7979" customFormat="false" ht="15" hidden="false" customHeight="false" outlineLevel="0" collapsed="false">
      <c r="A7979" s="5" t="s">
        <v>920</v>
      </c>
      <c r="B7979" s="0" t="s">
        <v>86</v>
      </c>
      <c r="C7979" s="38" t="n">
        <f aca="false">Sens!$C$7978/(1+wacc)^6</f>
        <v>1015.09261565031</v>
      </c>
    </row>
    <row r="7980" customFormat="false" ht="17.15" hidden="false" customHeight="false" outlineLevel="0" collapsed="false">
      <c r="A7980" s="5" t="s">
        <v>921</v>
      </c>
      <c r="B7980" s="0" t="s">
        <v>86</v>
      </c>
      <c r="C7980" s="38" t="n">
        <f aca="false">Sens!$C$7977+Sens!$C$7979</f>
        <v>1289.26077867035</v>
      </c>
    </row>
    <row r="7981" customFormat="false" ht="17.15" hidden="false" customHeight="false" outlineLevel="0" collapsed="false">
      <c r="A7981" s="5" t="s">
        <v>922</v>
      </c>
      <c r="B7981" s="0" t="s">
        <v>52</v>
      </c>
      <c r="C7981" s="13" t="n">
        <f aca="false">Sens!$C$7979/Sens!$C$7980</f>
        <v>0.787344680334726</v>
      </c>
    </row>
    <row r="7982" customFormat="false" ht="17.15" hidden="false" customHeight="false" outlineLevel="0" collapsed="false">
      <c r="A7982" s="5" t="s">
        <v>923</v>
      </c>
      <c r="B7982" s="0" t="s">
        <v>86</v>
      </c>
      <c r="C7982" s="38" t="n">
        <f aca="false">Sens!$G$7958+fin_debt</f>
        <v>96.5114130116072</v>
      </c>
    </row>
    <row r="7983" customFormat="false" ht="17.15" hidden="false" customHeight="false" outlineLevel="0" collapsed="false">
      <c r="A7983" s="5" t="s">
        <v>924</v>
      </c>
      <c r="B7983" s="0" t="s">
        <v>86</v>
      </c>
      <c r="C7983" s="38" t="n">
        <f aca="false">(ant_val*ant_sh+oai_val*oai_sh)*(1-liq_disc)</f>
        <v>178.944</v>
      </c>
    </row>
    <row r="7984" customFormat="false" ht="15" hidden="false" customHeight="false" outlineLevel="0" collapsed="false">
      <c r="A7984" s="5" t="s">
        <v>925</v>
      </c>
      <c r="B7984" s="0" t="s">
        <v>86</v>
      </c>
      <c r="C7984" s="38" t="n">
        <f aca="false">Sens!$C$7980-Sens!$C$7982+Sens!$C$7983</f>
        <v>1371.69336565874</v>
      </c>
    </row>
    <row r="7985" customFormat="false" ht="17.15" hidden="false" customHeight="false" outlineLevel="0" collapsed="false">
      <c r="A7985" s="5" t="s">
        <v>926</v>
      </c>
      <c r="B7985" s="0" t="s">
        <v>27</v>
      </c>
      <c r="C7985" s="30" t="n">
        <f aca="false">Sens!$C$7984/sh_out</f>
        <v>127.169797361614</v>
      </c>
    </row>
    <row r="7986" customFormat="false" ht="17.15" hidden="false" customHeight="false" outlineLevel="0" collapsed="false">
      <c r="A7986" s="1" t="s">
        <v>927</v>
      </c>
      <c r="B7986" s="8" t="s">
        <v>27</v>
      </c>
      <c r="C7986" s="30" t="n">
        <f aca="false">Sens!$C$7985*(1+ke)^tp_yf-dps*tp_yf</f>
        <v>139.297834242404</v>
      </c>
    </row>
    <row r="7987" customFormat="false" ht="17.15" hidden="false" customHeight="false" outlineLevel="0" collapsed="false">
      <c r="A7987" s="3" t="s">
        <v>928</v>
      </c>
    </row>
    <row r="7988" customFormat="false" ht="17.15" hidden="false" customHeight="false" outlineLevel="0" collapsed="false">
      <c r="A7988" s="5" t="s">
        <v>929</v>
      </c>
      <c r="B7988" s="0" t="s">
        <v>86</v>
      </c>
      <c r="C7988" s="38" t="n">
        <f aca="false">(1-tp_yf)*(Sens!$H$7915+Sens!$H$7939*Sens!$H$7781/Sens!$H$7856)+tp_yf*(Sens!$I$7915+Sens!$I$7939*Sens!$I$7781/Sens!$I$7856)</f>
        <v>59.634664536349</v>
      </c>
    </row>
    <row r="7989" customFormat="false" ht="15" hidden="false" customHeight="false" outlineLevel="0" collapsed="false">
      <c r="A7989" s="5" t="s">
        <v>930</v>
      </c>
      <c r="B7989" s="0" t="s">
        <v>57</v>
      </c>
      <c r="C7989" s="30" t="n">
        <f aca="false">m_ads*m_x</f>
        <v>9.11</v>
      </c>
    </row>
    <row r="7990" customFormat="false" ht="17.15" hidden="false" customHeight="false" outlineLevel="0" collapsed="false">
      <c r="A7990" s="5" t="s">
        <v>931</v>
      </c>
      <c r="B7990" s="0" t="s">
        <v>86</v>
      </c>
      <c r="C7990" s="38" t="n">
        <f aca="false">Sens!$C$7988*Sens!$C$7989</f>
        <v>543.271793926139</v>
      </c>
    </row>
    <row r="7991" customFormat="false" ht="17.15" hidden="false" customHeight="false" outlineLevel="0" collapsed="false">
      <c r="A7991" s="5" t="s">
        <v>932</v>
      </c>
      <c r="B7991" s="0" t="s">
        <v>86</v>
      </c>
      <c r="C7991" s="38" t="n">
        <f aca="false">(1-tp_yf)*(Sens!$H$7916+Sens!$H$7939*(Sens!$H$7788-Sens!$H$7781)/Sens!$H$7856+IF(internal_ai_reading=2,1,0)*(1-ext_sh)*Sens!$H$7818)+tp_yf*(Sens!$I$7916+Sens!$I$7939*(Sens!$I$7788-Sens!$I$7781)/Sens!$I$7856+IF(internal_ai_reading=2,1,0)*(1-ext_sh)*Sens!$I$7818)</f>
        <v>51.7770728324773</v>
      </c>
    </row>
    <row r="7992" customFormat="false" ht="17.15" hidden="false" customHeight="false" outlineLevel="0" collapsed="false">
      <c r="A7992" s="5" t="s">
        <v>933</v>
      </c>
      <c r="B7992" s="0" t="s">
        <v>57</v>
      </c>
      <c r="C7992" s="30" t="n">
        <f aca="false">m_retail*m_x</f>
        <v>17.72</v>
      </c>
    </row>
    <row r="7993" customFormat="false" ht="17.15" hidden="false" customHeight="false" outlineLevel="0" collapsed="false">
      <c r="A7993" s="5" t="s">
        <v>934</v>
      </c>
      <c r="B7993" s="0" t="s">
        <v>86</v>
      </c>
      <c r="C7993" s="38" t="n">
        <f aca="false">Sens!$C$7991*Sens!$C$7992</f>
        <v>917.489730591498</v>
      </c>
    </row>
    <row r="7994" customFormat="false" ht="17.15" hidden="false" customHeight="false" outlineLevel="0" collapsed="false">
      <c r="A7994" s="0" t="s">
        <v>935</v>
      </c>
      <c r="B7994" s="0" t="s">
        <v>86</v>
      </c>
      <c r="C7994" s="38" t="n">
        <f aca="false">(1-tp_yf)*(Sens!$H$7917+Sens!$H$7939*Sens!$H$7854/Sens!$H$7856)+tp_yf*(Sens!$I$7917+Sens!$I$7939*Sens!$I$7854/Sens!$I$7856)</f>
        <v>97.3363031479074</v>
      </c>
    </row>
    <row r="7995" customFormat="false" ht="17.15" hidden="false" customHeight="false" outlineLevel="0" collapsed="false">
      <c r="A7995" s="0" t="s">
        <v>936</v>
      </c>
      <c r="B7995" s="0" t="s">
        <v>57</v>
      </c>
      <c r="C7995" s="30" t="n">
        <f aca="false">m_cloud*m_x</f>
        <v>13.82</v>
      </c>
    </row>
    <row r="7996" customFormat="false" ht="17.15" hidden="false" customHeight="false" outlineLevel="0" collapsed="false">
      <c r="A7996" s="0" t="s">
        <v>937</v>
      </c>
      <c r="B7996" s="0" t="s">
        <v>86</v>
      </c>
      <c r="C7996" s="38" t="n">
        <f aca="false">Sens!$C$7994*Sens!$C$7995</f>
        <v>1345.18770950408</v>
      </c>
    </row>
    <row r="7997" customFormat="false" ht="17.15" hidden="false" customHeight="false" outlineLevel="0" collapsed="false">
      <c r="A7997" s="0" t="s">
        <v>938</v>
      </c>
      <c r="B7997" s="0" t="s">
        <v>86</v>
      </c>
      <c r="H7997" s="38" t="n">
        <f aca="false">Sens!$H$7835-tax*Sens!$H$7836-ext_sh*Sens!$H$7825</f>
        <v>-114.686944664267</v>
      </c>
      <c r="I7997" s="38" t="n">
        <f aca="false">Sens!$I$7835-tax*Sens!$I$7836-ext_sh*Sens!$I$7825</f>
        <v>-88.3950641557111</v>
      </c>
      <c r="J7997" s="38" t="n">
        <f aca="false">Sens!$J$7835-tax*Sens!$J$7836-ext_sh*Sens!$J$7825</f>
        <v>-61.1526151740695</v>
      </c>
      <c r="K7997" s="38" t="n">
        <f aca="false">Sens!$K$7835-tax*Sens!$K$7836-ext_sh*Sens!$K$7825</f>
        <v>10.057774712684</v>
      </c>
      <c r="L7997" s="38" t="n">
        <f aca="false">Sens!$L$7835-tax*Sens!$L$7836-ext_sh*Sens!$L$7825</f>
        <v>46.6587675560356</v>
      </c>
      <c r="M7997" s="38" t="n">
        <f aca="false">Sens!$M$7835-tax*Sens!$M$7836-ext_sh*Sens!$M$7825</f>
        <v>55.3915455321129</v>
      </c>
    </row>
    <row r="7998" customFormat="false" ht="17.15" hidden="false" customHeight="false" outlineLevel="0" collapsed="false">
      <c r="A7998" s="5" t="s">
        <v>939</v>
      </c>
      <c r="B7998" s="0" t="s">
        <v>86</v>
      </c>
      <c r="H7998" s="38" t="n">
        <f aca="false">Sens!$H$7997*Sens!$H$7975</f>
        <v>-108.694703235934</v>
      </c>
      <c r="I7998" s="38" t="n">
        <f aca="false">Sens!$I$7997*Sens!$I$7975</f>
        <v>-75.2508153286695</v>
      </c>
      <c r="J7998" s="38" t="n">
        <f aca="false">Sens!$J$7997*Sens!$J$7975</f>
        <v>-46.761348301567</v>
      </c>
      <c r="K7998" s="38" t="n">
        <f aca="false">Sens!$K$7997*Sens!$K$7975</f>
        <v>6.90816481651338</v>
      </c>
      <c r="L7998" s="38" t="n">
        <f aca="false">Sens!$L$7997*Sens!$L$7975</f>
        <v>28.7861011080981</v>
      </c>
      <c r="M7998" s="38" t="n">
        <f aca="false">Sens!$M$7997*Sens!$M$7975</f>
        <v>30.6960053992735</v>
      </c>
    </row>
    <row r="7999" customFormat="false" ht="17.15" hidden="false" customHeight="false" outlineLevel="0" collapsed="false">
      <c r="A7999" s="5" t="s">
        <v>940</v>
      </c>
      <c r="B7999" s="0" t="s">
        <v>86</v>
      </c>
      <c r="C7999" s="38" t="n">
        <f aca="false">Sens!$M$7836*(1-tax)*(1+tg)*(1-tg/ronic)/(wacc-tg)</f>
        <v>363.621782500497</v>
      </c>
    </row>
    <row r="8000" customFormat="false" ht="17.15" hidden="false" customHeight="false" outlineLevel="0" collapsed="false">
      <c r="A8000" s="0" t="s">
        <v>941</v>
      </c>
      <c r="B8000" s="0" t="s">
        <v>86</v>
      </c>
      <c r="C8000" s="38" t="n">
        <f aca="false">(SUM(Sens!$H$7998:$M$7998)+Sens!$C$7999/(1+wacc)^6)*(1+wacc)^tp_yf</f>
        <v>29.1198269558345</v>
      </c>
    </row>
    <row r="8001" customFormat="false" ht="17.15" hidden="false" customHeight="false" outlineLevel="0" collapsed="false">
      <c r="A8001" s="5" t="s">
        <v>942</v>
      </c>
      <c r="B8001" s="0" t="s">
        <v>86</v>
      </c>
      <c r="C8001" s="38" t="n">
        <f aca="false">(1-tp_yf)*(Sens!$H$7918)+tp_yf*(Sens!$I$7918)</f>
        <v>74.6707041238437</v>
      </c>
    </row>
    <row r="8002" customFormat="false" ht="17.15" hidden="false" customHeight="false" outlineLevel="0" collapsed="false">
      <c r="A8002" s="5" t="s">
        <v>943</v>
      </c>
      <c r="B8002" s="0" t="s">
        <v>86</v>
      </c>
      <c r="C8002" s="38" t="n">
        <f aca="false">Sens!$C$8001*m_ai</f>
        <v>448.024224743062</v>
      </c>
    </row>
    <row r="8003" customFormat="false" ht="17.15" hidden="false" customHeight="false" outlineLevel="0" collapsed="false">
      <c r="A8003" s="0" t="s">
        <v>944</v>
      </c>
      <c r="B8003" s="0" t="s">
        <v>86</v>
      </c>
      <c r="C8003" s="38" t="n">
        <f aca="false">IF(ai_leg=1,Sens!$C$8000,Sens!$C$8002)</f>
        <v>29.1198269558345</v>
      </c>
    </row>
    <row r="8004" customFormat="false" ht="17.15" hidden="false" customHeight="false" outlineLevel="0" collapsed="false">
      <c r="A8004" s="5" t="s">
        <v>945</v>
      </c>
      <c r="B8004" s="0" t="s">
        <v>86</v>
      </c>
      <c r="C8004" s="38" t="n">
        <f aca="false">Sens!$C$7990+Sens!$C$7993+Sens!$C$7996+Sens!$C$8003</f>
        <v>2835.06906097755</v>
      </c>
    </row>
    <row r="8005" customFormat="false" ht="17.15" hidden="false" customHeight="false" outlineLevel="0" collapsed="false">
      <c r="A8005" s="5" t="s">
        <v>946</v>
      </c>
      <c r="B8005" s="0" t="s">
        <v>86</v>
      </c>
      <c r="C8005" s="38" t="n">
        <f aca="false">Sens!$H$7958+fin_debt</f>
        <v>150.504277655109</v>
      </c>
    </row>
    <row r="8006" customFormat="false" ht="15" hidden="false" customHeight="false" outlineLevel="0" collapsed="false">
      <c r="A8006" s="5" t="s">
        <v>947</v>
      </c>
      <c r="B8006" s="0" t="s">
        <v>86</v>
      </c>
      <c r="C8006" s="38" t="n">
        <f aca="false">Sens!$C$8004-Sens!$C$8005+Sens!$C$7983</f>
        <v>2863.50878332244</v>
      </c>
    </row>
    <row r="8007" customFormat="false" ht="15" hidden="false" customHeight="false" outlineLevel="0" collapsed="false">
      <c r="A8007" s="3" t="s">
        <v>948</v>
      </c>
      <c r="B8007" s="8" t="s">
        <v>27</v>
      </c>
      <c r="C8007" s="30" t="n">
        <f aca="false">Sens!$C$8006/sh_val</f>
        <v>259.603560091077</v>
      </c>
    </row>
    <row r="8008" customFormat="false" ht="17.15" hidden="false" customHeight="false" outlineLevel="0" collapsed="false">
      <c r="A8008" s="47" t="s">
        <v>949</v>
      </c>
      <c r="B8008" s="14" t="s">
        <v>27</v>
      </c>
      <c r="C8008" s="44" t="n">
        <f aca="false">0.7*Sens!$C$7986+(1-0.7)*Sens!$C$8007</f>
        <v>175.389551997006</v>
      </c>
      <c r="D8008" s="14"/>
      <c r="E8008" s="14"/>
      <c r="F8008" s="14"/>
      <c r="G8008" s="14"/>
      <c r="H8008" s="14"/>
      <c r="I8008" s="14"/>
      <c r="J8008" s="14"/>
      <c r="K8008" s="14"/>
      <c r="L8008" s="14"/>
      <c r="M8008" s="14"/>
      <c r="N8008" s="14"/>
      <c r="O8008" s="14"/>
    </row>
    <row r="8009" customFormat="false" ht="17.15" hidden="false" customHeight="false" outlineLevel="0" collapsed="false">
      <c r="A8009" s="5" t="s">
        <v>950</v>
      </c>
      <c r="B8009" s="0" t="s">
        <v>27</v>
      </c>
      <c r="C8009" s="30" t="n">
        <f aca="false">v022_wdcf*Sens!$C$7986+(1-v022_wdcf)*Sens!$C$8007</f>
        <v>205.465983459174</v>
      </c>
    </row>
    <row r="8010" customFormat="false" ht="17.15" hidden="false" customHeight="false" outlineLevel="0" collapsed="false">
      <c r="A8010" s="5" t="s">
        <v>951</v>
      </c>
      <c r="B8010" s="0" t="s">
        <v>27</v>
      </c>
      <c r="C8010" s="30" t="n">
        <f aca="false">(Sens!$C$8006-Sens!$C$8003+Sens!$C$8002)/sh_val</f>
        <v>297.581118824874</v>
      </c>
    </row>
    <row r="8013" customFormat="false" ht="19.4" hidden="false" customHeight="false" outlineLevel="0" collapsed="false">
      <c r="A8013" s="31" t="s">
        <v>1292</v>
      </c>
    </row>
    <row r="8014" customFormat="false" ht="17.15" hidden="false" customHeight="false" outlineLevel="0" collapsed="false">
      <c r="A8014" s="6" t="s">
        <v>16</v>
      </c>
      <c r="B8014" s="6" t="s">
        <v>17</v>
      </c>
      <c r="C8014" s="20" t="s">
        <v>494</v>
      </c>
      <c r="D8014" s="20" t="s">
        <v>495</v>
      </c>
      <c r="E8014" s="20" t="s">
        <v>577</v>
      </c>
      <c r="F8014" s="20" t="s">
        <v>578</v>
      </c>
      <c r="G8014" s="20" t="s">
        <v>579</v>
      </c>
      <c r="H8014" s="20" t="s">
        <v>580</v>
      </c>
      <c r="I8014" s="20" t="s">
        <v>581</v>
      </c>
      <c r="J8014" s="20" t="s">
        <v>582</v>
      </c>
      <c r="K8014" s="20" t="s">
        <v>583</v>
      </c>
      <c r="L8014" s="20" t="s">
        <v>584</v>
      </c>
      <c r="M8014" s="20" t="s">
        <v>585</v>
      </c>
      <c r="N8014" s="20" t="s">
        <v>586</v>
      </c>
      <c r="O8014" s="20" t="s">
        <v>587</v>
      </c>
      <c r="P8014" s="6" t="s">
        <v>23</v>
      </c>
      <c r="R8014" s="20" t="n">
        <v>2023</v>
      </c>
      <c r="S8014" s="20" t="n">
        <v>2024</v>
      </c>
      <c r="T8014" s="20" t="n">
        <v>2025</v>
      </c>
      <c r="U8014" s="20" t="n">
        <v>2026</v>
      </c>
      <c r="V8014" s="20" t="n">
        <v>2027</v>
      </c>
      <c r="W8014" s="20" t="n">
        <v>2028</v>
      </c>
      <c r="X8014" s="20" t="n">
        <v>2029</v>
      </c>
      <c r="Y8014" s="20" t="n">
        <v>2030</v>
      </c>
      <c r="Z8014" s="20" t="n">
        <v>2031</v>
      </c>
      <c r="AA8014" s="20" t="n">
        <v>2032</v>
      </c>
    </row>
    <row r="8015" customFormat="false" ht="17.15" hidden="false" customHeight="false" outlineLevel="0" collapsed="false">
      <c r="A8015" s="1" t="s">
        <v>660</v>
      </c>
    </row>
    <row r="8016" customFormat="false" ht="17.15" hidden="false" customHeight="false" outlineLevel="0" collapsed="false">
      <c r="A8016" s="0" t="s">
        <v>516</v>
      </c>
      <c r="B8016" s="0" t="s">
        <v>86</v>
      </c>
      <c r="C8016" s="38" t="n">
        <f aca="false">Q!$D$10</f>
        <v>247.029</v>
      </c>
      <c r="D8016" s="38" t="n">
        <f aca="false">Q!$E$10</f>
        <v>269.287</v>
      </c>
      <c r="E8016" s="38" t="n">
        <f aca="false">Q!$P$10</f>
        <v>134.686</v>
      </c>
      <c r="F8016" s="38" t="n">
        <f aca="false">Sens!$O$8016*(1+Sens!$F$8017)*Sens!$F$8028</f>
        <v>158.293876822267</v>
      </c>
      <c r="G8016" s="38" t="n">
        <f aca="false">Sens!$E$8016+Sens!$F$8016</f>
        <v>292.979876822267</v>
      </c>
      <c r="H8016" s="38" t="n">
        <f aca="false">Sens!$G$8016*(1+Sens!$H$8017)</f>
        <v>318.184543087396</v>
      </c>
      <c r="I8016" s="38" t="n">
        <f aca="false">Sens!$H$8016*(1+Sens!$I$8017)</f>
        <v>341.736278761793</v>
      </c>
      <c r="J8016" s="38" t="n">
        <f aca="false">Sens!$I$8016*(1+Sens!$J$8017)</f>
        <v>362.927192787048</v>
      </c>
      <c r="K8016" s="38" t="n">
        <f aca="false">Sens!$J$8016*(1+Sens!$K$8017)</f>
        <v>381.0735524264</v>
      </c>
      <c r="L8016" s="38" t="n">
        <f aca="false">Sens!$K$8016*(1+Sens!$L$8017)</f>
        <v>400.12723004772</v>
      </c>
      <c r="M8016" s="38" t="n">
        <f aca="false">Sens!$L$8016*(1+Sens!$M$8017)</f>
        <v>420.133591550106</v>
      </c>
      <c r="N8016" s="38" t="n">
        <f aca="false">Q!$N$10</f>
        <v>118.892</v>
      </c>
      <c r="O8016" s="38" t="n">
        <f aca="false">Q!$O$10</f>
        <v>150.395</v>
      </c>
      <c r="P8016" s="8" t="s">
        <v>661</v>
      </c>
    </row>
    <row r="8017" customFormat="false" ht="17.15" hidden="false" customHeight="false" outlineLevel="0" collapsed="false">
      <c r="A8017" s="0" t="s">
        <v>662</v>
      </c>
      <c r="B8017" s="0" t="s">
        <v>52</v>
      </c>
      <c r="E8017" s="13" t="n">
        <f aca="false">Sens!$E$8016/Sens!$N$8016-1</f>
        <v>0.132843252699929</v>
      </c>
      <c r="F8017" s="13" t="n">
        <f aca="false">Sens!$O$8016/(Q!$F$10+Q!$G$10)-1</f>
        <v>0.0980382135842941</v>
      </c>
      <c r="G8017" s="13" t="n">
        <f aca="false">Sens!$G$8016/Sens!$D$8016-1</f>
        <v>0.0879837378791657</v>
      </c>
      <c r="H8017" s="13" t="n">
        <f aca="false">Sens!$F$8017+(g_os-Sens!$F$8017)*1/4</f>
        <v>0.0860286601882206</v>
      </c>
      <c r="I8017" s="13" t="n">
        <f aca="false">Sens!$F$8017+(g_os-Sens!$F$8017)*2/4</f>
        <v>0.074019106792147</v>
      </c>
      <c r="J8017" s="13" t="n">
        <f aca="false">Sens!$F$8017+(g_os-Sens!$F$8017)*3/4</f>
        <v>0.0620095533960735</v>
      </c>
      <c r="K8017" s="13" t="n">
        <f aca="false">Sens!$F$8017+(g_os-Sens!$F$8017)*4/4</f>
        <v>0.05</v>
      </c>
      <c r="L8017" s="13" t="n">
        <f aca="false">g_os</f>
        <v>0.05</v>
      </c>
      <c r="M8017" s="13" t="n">
        <f aca="false">g_os</f>
        <v>0.05</v>
      </c>
      <c r="P8017" s="8" t="s">
        <v>663</v>
      </c>
    </row>
    <row r="8018" customFormat="false" ht="17.15" hidden="false" customHeight="false" outlineLevel="0" collapsed="false">
      <c r="A8018" s="0" t="s">
        <v>517</v>
      </c>
      <c r="B8018" s="0" t="s">
        <v>86</v>
      </c>
      <c r="C8018" s="38" t="n">
        <f aca="false">Q!$D$11</f>
        <v>21.215</v>
      </c>
      <c r="D8018" s="38" t="n">
        <f aca="false">Q!$E$11</f>
        <v>22.561</v>
      </c>
      <c r="E8018" s="38" t="n">
        <f aca="false">Q!$P$11</f>
        <v>11.579</v>
      </c>
      <c r="F8018" s="38" t="n">
        <f aca="false">Sens!$O$8018*(1+Sens!$F$8019)*Sens!$F$8028</f>
        <v>11.5938724610325</v>
      </c>
      <c r="G8018" s="38" t="n">
        <f aca="false">Sens!$E$8018+Sens!$F$8018</f>
        <v>23.1728724610325</v>
      </c>
      <c r="H8018" s="38" t="n">
        <f aca="false">Sens!$G$8018*(1+Sens!$H$8019)</f>
        <v>24.353392759506</v>
      </c>
      <c r="I8018" s="38" t="n">
        <f aca="false">Sens!$H$8018*(1+Sens!$I$8019)</f>
        <v>25.4240338872015</v>
      </c>
      <c r="J8018" s="38" t="n">
        <f aca="false">Sens!$I$8018*(1+Sens!$J$8019)</f>
        <v>26.3642491017174</v>
      </c>
      <c r="K8018" s="38" t="n">
        <f aca="false">Sens!$J$8018*(1+Sens!$K$8019)</f>
        <v>27.155176574769</v>
      </c>
      <c r="L8018" s="38" t="n">
        <f aca="false">Sens!$K$8018*(1+Sens!$L$8019)</f>
        <v>27.969831872012</v>
      </c>
      <c r="M8018" s="38" t="n">
        <f aca="false">Sens!$L$8018*(1+Sens!$M$8019)</f>
        <v>28.8089268281724</v>
      </c>
      <c r="N8018" s="38" t="n">
        <f aca="false">Q!$N$11</f>
        <v>11.128</v>
      </c>
      <c r="O8018" s="38" t="n">
        <f aca="false">Q!$O$11</f>
        <v>11.433</v>
      </c>
      <c r="P8018" s="8" t="s">
        <v>661</v>
      </c>
    </row>
    <row r="8019" customFormat="false" ht="17.15" hidden="false" customHeight="false" outlineLevel="0" collapsed="false">
      <c r="A8019" s="0" t="s">
        <v>664</v>
      </c>
      <c r="B8019" s="0" t="s">
        <v>52</v>
      </c>
      <c r="E8019" s="13" t="n">
        <f aca="false">Sens!$E$8018/Sens!$N$8018-1</f>
        <v>0.0405283968368082</v>
      </c>
      <c r="F8019" s="13" t="n">
        <f aca="false">Sens!$O$8018/(Q!$F$11+Q!$G$11)-1</f>
        <v>0.0579254187100955</v>
      </c>
      <c r="G8019" s="13" t="n">
        <f aca="false">Sens!$G$8018/Sens!$D$8018-1</f>
        <v>0.0271208040881397</v>
      </c>
      <c r="H8019" s="13" t="n">
        <f aca="false">Sens!$F$8019+(g_ps-Sens!$F$8019)*1/4</f>
        <v>0.0509440640325716</v>
      </c>
      <c r="I8019" s="13" t="n">
        <f aca="false">Sens!$F$8019+(g_ps-Sens!$F$8019)*2/4</f>
        <v>0.0439627093550477</v>
      </c>
      <c r="J8019" s="13" t="n">
        <f aca="false">Sens!$F$8019+(g_ps-Sens!$F$8019)*3/4</f>
        <v>0.0369813546775239</v>
      </c>
      <c r="K8019" s="13" t="n">
        <f aca="false">Sens!$F$8019+(g_ps-Sens!$F$8019)*4/4</f>
        <v>0.03</v>
      </c>
      <c r="L8019" s="13" t="n">
        <f aca="false">g_ps</f>
        <v>0.03</v>
      </c>
      <c r="M8019" s="13" t="n">
        <f aca="false">g_ps</f>
        <v>0.03</v>
      </c>
      <c r="P8019" s="8" t="s">
        <v>665</v>
      </c>
    </row>
    <row r="8020" customFormat="false" ht="17.15" hidden="false" customHeight="false" outlineLevel="0" collapsed="false">
      <c r="A8020" s="0" t="s">
        <v>518</v>
      </c>
      <c r="B8020" s="0" t="s">
        <v>86</v>
      </c>
      <c r="C8020" s="38" t="n">
        <f aca="false">Q!$D$12</f>
        <v>156.146</v>
      </c>
      <c r="D8020" s="38" t="n">
        <f aca="false">Q!$E$12</f>
        <v>172.162</v>
      </c>
      <c r="E8020" s="38" t="n">
        <f aca="false">Q!$P$12</f>
        <v>88.358</v>
      </c>
      <c r="F8020" s="38" t="n">
        <f aca="false">Sens!$O$8020*(1+Sens!$F$8021)*Sens!$F$8028</f>
        <v>102.004388260171</v>
      </c>
      <c r="G8020" s="38" t="n">
        <f aca="false">Sens!$E$8020+Sens!$F$8020</f>
        <v>190.362388260171</v>
      </c>
      <c r="H8020" s="38" t="n">
        <f aca="false">Sens!$G$8020*(1+Sens!$H$8021)</f>
        <v>210.343106588311</v>
      </c>
      <c r="I8020" s="38" t="n">
        <f aca="false">Sens!$H$8020*(1+Sens!$I$8021)</f>
        <v>229.969728494648</v>
      </c>
      <c r="J8020" s="38" t="n">
        <f aca="false">Sens!$I$8020*(1+Sens!$J$8021)</f>
        <v>248.747636972598</v>
      </c>
      <c r="K8020" s="38" t="n">
        <f aca="false">Sens!$J$8020*(1+Sens!$K$8021)</f>
        <v>266.15997156068</v>
      </c>
      <c r="L8020" s="38" t="n">
        <f aca="false">Sens!$K$8020*(1+Sens!$L$8021)</f>
        <v>284.791169569927</v>
      </c>
      <c r="M8020" s="38" t="n">
        <f aca="false">Sens!$L$8020*(1+Sens!$M$8021)</f>
        <v>304.726551439822</v>
      </c>
      <c r="N8020" s="38" t="n">
        <f aca="false">Q!$N$12</f>
        <v>76.86</v>
      </c>
      <c r="O8020" s="38" t="n">
        <f aca="false">Q!$O$12</f>
        <v>95.302</v>
      </c>
      <c r="P8020" s="8" t="s">
        <v>661</v>
      </c>
    </row>
    <row r="8021" customFormat="false" ht="17.15" hidden="false" customHeight="false" outlineLevel="0" collapsed="false">
      <c r="A8021" s="0" t="s">
        <v>666</v>
      </c>
      <c r="B8021" s="0" t="s">
        <v>52</v>
      </c>
      <c r="E8021" s="13" t="n">
        <f aca="false">Sens!$E$8020/Sens!$N$8020-1</f>
        <v>0.1495966692688</v>
      </c>
      <c r="F8021" s="13" t="n">
        <f aca="false">Sens!$O$8020/(Q!$F$12+Q!$G$12)-1</f>
        <v>0.11661530890813</v>
      </c>
      <c r="G8021" s="13" t="n">
        <f aca="false">Sens!$G$8020/Sens!$D$8020-1</f>
        <v>0.105716640490767</v>
      </c>
      <c r="H8021" s="13" t="n">
        <f aca="false">Sens!$F$8021+(g_sp-Sens!$F$8021)*1/4</f>
        <v>0.104961481681098</v>
      </c>
      <c r="I8021" s="13" t="n">
        <f aca="false">Sens!$F$8021+(g_sp-Sens!$F$8021)*2/4</f>
        <v>0.0933076544540651</v>
      </c>
      <c r="J8021" s="13" t="n">
        <f aca="false">Sens!$F$8021+(g_sp-Sens!$F$8021)*3/4</f>
        <v>0.0816538272270325</v>
      </c>
      <c r="K8021" s="13" t="n">
        <f aca="false">Sens!$F$8021+(g_sp-Sens!$F$8021)*4/4</f>
        <v>0.07</v>
      </c>
      <c r="L8021" s="13" t="n">
        <f aca="false">g_sp</f>
        <v>0.07</v>
      </c>
      <c r="M8021" s="13" t="n">
        <f aca="false">g_sp</f>
        <v>0.07</v>
      </c>
      <c r="P8021" s="8" t="s">
        <v>667</v>
      </c>
    </row>
    <row r="8022" customFormat="false" ht="17.15" hidden="false" customHeight="false" outlineLevel="0" collapsed="false">
      <c r="A8022" s="0" t="s">
        <v>519</v>
      </c>
      <c r="B8022" s="0" t="s">
        <v>86</v>
      </c>
      <c r="C8022" s="38" t="n">
        <f aca="false">Q!$D$13</f>
        <v>56.214</v>
      </c>
      <c r="D8022" s="38" t="n">
        <f aca="false">Q!$E$13</f>
        <v>68.635</v>
      </c>
      <c r="E8022" s="38" t="n">
        <f aca="false">Q!$P$13</f>
        <v>37.052</v>
      </c>
      <c r="F8022" s="38" t="n">
        <f aca="false">Sens!$O$8022*(1+Sens!$F$8023)*Sens!$F$8028</f>
        <v>46.1572219944148</v>
      </c>
      <c r="G8022" s="38" t="n">
        <f aca="false">Sens!$E$8022+Sens!$F$8022</f>
        <v>83.2092219944148</v>
      </c>
      <c r="H8022" s="38" t="n">
        <f aca="false">Sens!$G$8022*(1+Sens!$H$8023)</f>
        <v>99.8969223878976</v>
      </c>
      <c r="I8022" s="38" t="n">
        <f aca="false">Sens!$H$8022*(1+Sens!$I$8023)</f>
        <v>116.583111095496</v>
      </c>
      <c r="J8022" s="38" t="n">
        <f aca="false">Sens!$I$8022*(1+Sens!$J$8023)</f>
        <v>132.148941941952</v>
      </c>
      <c r="K8022" s="38" t="n">
        <f aca="false">Sens!$J$8022*(1+Sens!$K$8023)</f>
        <v>145.363836136147</v>
      </c>
      <c r="L8022" s="38" t="n">
        <f aca="false">Sens!$K$8022*(1+Sens!$L$8023)</f>
        <v>159.900219749762</v>
      </c>
      <c r="M8022" s="38" t="n">
        <f aca="false">Sens!$L$8022*(1+Sens!$M$8023)</f>
        <v>175.890241724738</v>
      </c>
      <c r="N8022" s="38" t="n">
        <f aca="false">Q!$N$13</f>
        <v>29.615</v>
      </c>
      <c r="O8022" s="38" t="n">
        <f aca="false">Q!$O$13</f>
        <v>39.02</v>
      </c>
      <c r="P8022" s="8" t="s">
        <v>661</v>
      </c>
    </row>
    <row r="8023" customFormat="false" ht="17.15" hidden="false" customHeight="false" outlineLevel="0" collapsed="false">
      <c r="A8023" s="0" t="s">
        <v>668</v>
      </c>
      <c r="B8023" s="0" t="s">
        <v>52</v>
      </c>
      <c r="E8023" s="13" t="n">
        <f aca="false">Sens!$E$8022/Sens!$N$8022-1</f>
        <v>0.25112274185379</v>
      </c>
      <c r="F8023" s="13" t="n">
        <f aca="false">Sens!$O$8022/(Q!$F$13+Q!$G$13)-1</f>
        <v>0.234068123596572</v>
      </c>
      <c r="G8023" s="13" t="n">
        <f aca="false">Sens!$G$8022/Sens!$D$8022-1</f>
        <v>0.212343876949294</v>
      </c>
      <c r="H8023" s="13" t="n">
        <f aca="false">Sens!$F$8023+(g_ad-Sens!$F$8023)*1/4</f>
        <v>0.200551092697429</v>
      </c>
      <c r="I8023" s="13" t="n">
        <f aca="false">Sens!$F$8023+(g_ad-Sens!$F$8023)*2/4</f>
        <v>0.167034061798286</v>
      </c>
      <c r="J8023" s="13" t="n">
        <f aca="false">Sens!$F$8023+(g_ad-Sens!$F$8023)*3/4</f>
        <v>0.133517030899143</v>
      </c>
      <c r="K8023" s="13" t="n">
        <f aca="false">Sens!$F$8023+(g_ad-Sens!$F$8023)*4/4</f>
        <v>0.1</v>
      </c>
      <c r="L8023" s="13" t="n">
        <f aca="false">g_ad</f>
        <v>0.1</v>
      </c>
      <c r="M8023" s="13" t="n">
        <f aca="false">g_ad</f>
        <v>0.1</v>
      </c>
      <c r="P8023" s="8" t="s">
        <v>669</v>
      </c>
    </row>
    <row r="8024" customFormat="false" ht="17.15" hidden="false" customHeight="false" outlineLevel="0" collapsed="false">
      <c r="A8024" s="0" t="s">
        <v>520</v>
      </c>
      <c r="B8024" s="0" t="s">
        <v>86</v>
      </c>
      <c r="C8024" s="38" t="n">
        <f aca="false">Q!$D$14</f>
        <v>44.374</v>
      </c>
      <c r="D8024" s="38" t="n">
        <f aca="false">Q!$E$14</f>
        <v>49.619</v>
      </c>
      <c r="E8024" s="38" t="n">
        <f aca="false">Q!$P$14</f>
        <v>27.157</v>
      </c>
      <c r="F8024" s="38" t="n">
        <f aca="false">Sens!$O$8024*(1+Sens!$F$8025)*Sens!$F$8028</f>
        <v>27.7764165988154</v>
      </c>
      <c r="G8024" s="38" t="n">
        <f aca="false">Sens!$E$8024+Sens!$F$8024</f>
        <v>54.9334165988154</v>
      </c>
      <c r="H8024" s="38" t="n">
        <f aca="false">Sens!$G$8024*(1+Sens!$H$8025)</f>
        <v>61.1564112561829</v>
      </c>
      <c r="I8024" s="38" t="n">
        <f aca="false">Sens!$H$8024*(1+Sens!$I$8025)</f>
        <v>67.2020282103945</v>
      </c>
      <c r="J8024" s="38" t="n">
        <f aca="false">Sens!$I$8024*(1+Sens!$J$8025)</f>
        <v>72.8757274028885</v>
      </c>
      <c r="K8024" s="38" t="n">
        <f aca="false">Sens!$J$8024*(1+Sens!$K$8025)</f>
        <v>77.9770283210907</v>
      </c>
      <c r="L8024" s="38" t="n">
        <f aca="false">Sens!$K$8024*(1+Sens!$L$8025)</f>
        <v>83.4354203035671</v>
      </c>
      <c r="M8024" s="38" t="n">
        <f aca="false">Sens!$L$8024*(1+Sens!$M$8025)</f>
        <v>89.2758997248168</v>
      </c>
      <c r="N8024" s="38" t="n">
        <f aca="false">Q!$N$14</f>
        <v>23.923</v>
      </c>
      <c r="O8024" s="38" t="n">
        <f aca="false">Q!$O$14</f>
        <v>25.696</v>
      </c>
      <c r="P8024" s="8" t="s">
        <v>661</v>
      </c>
    </row>
    <row r="8025" customFormat="false" ht="17.15" hidden="false" customHeight="false" outlineLevel="0" collapsed="false">
      <c r="A8025" s="0" t="s">
        <v>670</v>
      </c>
      <c r="B8025" s="0" t="s">
        <v>52</v>
      </c>
      <c r="E8025" s="13" t="n">
        <f aca="false">Sens!$E$8024/Sens!$N$8024-1</f>
        <v>0.135183714417088</v>
      </c>
      <c r="F8025" s="13" t="n">
        <f aca="false">Sens!$O$8024/(Q!$F$14+Q!$G$14)-1</f>
        <v>0.127709997366804</v>
      </c>
      <c r="G8025" s="13" t="n">
        <f aca="false">Sens!$G$8024/Sens!$D$8024-1</f>
        <v>0.107104468022641</v>
      </c>
      <c r="H8025" s="13" t="n">
        <f aca="false">Sens!$F$8025+(g_sub-Sens!$F$8025)*1/4</f>
        <v>0.113282498025103</v>
      </c>
      <c r="I8025" s="13" t="n">
        <f aca="false">Sens!$F$8025+(g_sub-Sens!$F$8025)*2/4</f>
        <v>0.0988549986834021</v>
      </c>
      <c r="J8025" s="13" t="n">
        <f aca="false">Sens!$F$8025+(g_sub-Sens!$F$8025)*3/4</f>
        <v>0.084427499341701</v>
      </c>
      <c r="K8025" s="13" t="n">
        <f aca="false">Sens!$F$8025+(g_sub-Sens!$F$8025)*4/4</f>
        <v>0.07</v>
      </c>
      <c r="L8025" s="13" t="n">
        <f aca="false">g_sub</f>
        <v>0.07</v>
      </c>
      <c r="M8025" s="13" t="n">
        <f aca="false">g_sub</f>
        <v>0.07</v>
      </c>
      <c r="P8025" s="8" t="s">
        <v>671</v>
      </c>
    </row>
    <row r="8026" customFormat="false" ht="17.15" hidden="false" customHeight="false" outlineLevel="0" collapsed="false">
      <c r="A8026" s="0" t="s">
        <v>521</v>
      </c>
      <c r="B8026" s="0" t="s">
        <v>86</v>
      </c>
      <c r="C8026" s="38" t="n">
        <f aca="false">Q!$D$15</f>
        <v>5.425</v>
      </c>
      <c r="D8026" s="38" t="n">
        <f aca="false">Q!$E$15</f>
        <v>5.935</v>
      </c>
      <c r="E8026" s="38" t="n">
        <f aca="false">Q!$P$15</f>
        <v>3.474</v>
      </c>
      <c r="F8026" s="38" t="n">
        <f aca="false">Sens!$O$8026*(1+Sens!$F$8027)*Sens!$F$8028</f>
        <v>3.22246550883619</v>
      </c>
      <c r="G8026" s="38" t="n">
        <f aca="false">Sens!$E$8026+Sens!$F$8026</f>
        <v>6.69646550883619</v>
      </c>
      <c r="H8026" s="38" t="n">
        <f aca="false">Sens!$G$8026*(1+Sens!$H$8027)</f>
        <v>7.16251344209196</v>
      </c>
      <c r="I8026" s="38" t="n">
        <f aca="false">Sens!$H$8026*(1+Sens!$I$8027)</f>
        <v>7.61421070299826</v>
      </c>
      <c r="J8026" s="38" t="n">
        <f aca="false">Sens!$I$8026*(1+Sens!$J$8027)</f>
        <v>8.04465753523932</v>
      </c>
      <c r="K8026" s="38" t="n">
        <f aca="false">Sens!$J$8026*(1+Sens!$K$8027)</f>
        <v>8.44689041200128</v>
      </c>
      <c r="L8026" s="38" t="n">
        <f aca="false">Sens!$K$8026*(1+Sens!$L$8027)</f>
        <v>8.86923493260135</v>
      </c>
      <c r="M8026" s="38" t="n">
        <f aca="false">Sens!$L$8026*(1+Sens!$M$8027)</f>
        <v>9.31269667923142</v>
      </c>
      <c r="N8026" s="38" t="n">
        <f aca="false">Q!$N$15</f>
        <v>2.811</v>
      </c>
      <c r="O8026" s="38" t="n">
        <f aca="false">Q!$O$15</f>
        <v>3.124</v>
      </c>
      <c r="P8026" s="8" t="s">
        <v>661</v>
      </c>
    </row>
    <row r="8027" customFormat="false" ht="17.15" hidden="false" customHeight="false" outlineLevel="0" collapsed="false">
      <c r="A8027" s="0" t="s">
        <v>672</v>
      </c>
      <c r="B8027" s="0" t="s">
        <v>52</v>
      </c>
      <c r="E8027" s="13" t="n">
        <f aca="false">Sens!$E$8026/Sens!$N$8026-1</f>
        <v>0.235859124866596</v>
      </c>
      <c r="F8027" s="13" t="n">
        <f aca="false">Sens!$O$8026/(Q!$F$15+Q!$G$15)-1</f>
        <v>0.0761281433000345</v>
      </c>
      <c r="G8027" s="13" t="n">
        <f aca="false">Sens!$G$8026/Sens!$D$8026-1</f>
        <v>0.128300843948811</v>
      </c>
      <c r="H8027" s="13" t="n">
        <f aca="false">Sens!$F$8027+(g_ot-Sens!$F$8027)*1/4</f>
        <v>0.0695961074750259</v>
      </c>
      <c r="I8027" s="13" t="n">
        <f aca="false">Sens!$F$8027+(g_ot-Sens!$F$8027)*2/4</f>
        <v>0.0630640716500172</v>
      </c>
      <c r="J8027" s="13" t="n">
        <f aca="false">Sens!$F$8027+(g_ot-Sens!$F$8027)*3/4</f>
        <v>0.0565320358250086</v>
      </c>
      <c r="K8027" s="13" t="n">
        <f aca="false">Sens!$F$8027+(g_ot-Sens!$F$8027)*4/4</f>
        <v>0.05</v>
      </c>
      <c r="L8027" s="13" t="n">
        <f aca="false">g_ot</f>
        <v>0.05</v>
      </c>
      <c r="M8027" s="13" t="n">
        <f aca="false">g_ot</f>
        <v>0.05</v>
      </c>
      <c r="P8027" s="8" t="s">
        <v>673</v>
      </c>
    </row>
    <row r="8028" customFormat="false" ht="17.15" hidden="false" customHeight="false" outlineLevel="0" collapsed="false">
      <c r="A8028" s="0" t="s">
        <v>674</v>
      </c>
      <c r="B8028" s="0" t="s">
        <v>57</v>
      </c>
      <c r="F8028" s="40" t="n">
        <f aca="false">(g26q3_mid*Q!$O$8/Q!$J$8-Sens!$F$8057-Sens!$F$8061)/(Sens!$O$8016*(1+Sens!$F$8017)+Sens!$O$8018*(1+Sens!$F$8019)+Sens!$O$8020*(1+Sens!$F$8021)+Sens!$O$8022*(1+Sens!$F$8023)+Sens!$O$8024*(1+Sens!$F$8025)+Sens!$O$8026*(1+Sens!$F$8027))</f>
        <v>0.958546670622329</v>
      </c>
      <c r="P8028" s="8" t="s">
        <v>675</v>
      </c>
    </row>
    <row r="8029" customFormat="false" ht="17.15" hidden="false" customHeight="false" outlineLevel="0" collapsed="false">
      <c r="A8029" s="3" t="s">
        <v>676</v>
      </c>
      <c r="B8029" s="8" t="s">
        <v>86</v>
      </c>
      <c r="C8029" s="38" t="n">
        <f aca="false">Sens!$C$8016+Sens!$C$8018+Sens!$C$8020+Sens!$C$8022+Sens!$C$8024+Sens!$C$8026</f>
        <v>530.403</v>
      </c>
      <c r="D8029" s="38" t="n">
        <f aca="false">Sens!$D$8016+Sens!$D$8018+Sens!$D$8020+Sens!$D$8022+Sens!$D$8024+Sens!$D$8026</f>
        <v>588.199</v>
      </c>
      <c r="E8029" s="38" t="n">
        <f aca="false">Sens!$E$8016+Sens!$E$8018+Sens!$E$8020+Sens!$E$8022+Sens!$E$8024+Sens!$E$8026</f>
        <v>302.306</v>
      </c>
      <c r="F8029" s="38" t="n">
        <f aca="false">Sens!$F$8016+Sens!$F$8018+Sens!$F$8020+Sens!$F$8022+Sens!$F$8024+Sens!$F$8026</f>
        <v>349.048241645537</v>
      </c>
      <c r="G8029" s="38" t="n">
        <f aca="false">Sens!$G$8016+Sens!$G$8018+Sens!$G$8020+Sens!$G$8022+Sens!$G$8024+Sens!$G$8026</f>
        <v>651.354241645537</v>
      </c>
      <c r="H8029" s="38" t="n">
        <f aca="false">Sens!$H$8016+Sens!$H$8018+Sens!$H$8020+Sens!$H$8022+Sens!$H$8024+Sens!$H$8026</f>
        <v>721.096889521386</v>
      </c>
      <c r="I8029" s="38" t="n">
        <f aca="false">Sens!$I$8016+Sens!$I$8018+Sens!$I$8020+Sens!$I$8022+Sens!$I$8024+Sens!$I$8026</f>
        <v>788.529391152531</v>
      </c>
      <c r="J8029" s="38" t="n">
        <f aca="false">Sens!$J$8016+Sens!$J$8018+Sens!$J$8020+Sens!$J$8022+Sens!$J$8024+Sens!$J$8026</f>
        <v>851.108405741443</v>
      </c>
      <c r="K8029" s="38" t="n">
        <f aca="false">Sens!$K$8016+Sens!$K$8018+Sens!$K$8020+Sens!$K$8022+Sens!$K$8024+Sens!$K$8026</f>
        <v>906.176455431088</v>
      </c>
      <c r="L8029" s="38" t="n">
        <f aca="false">Sens!$L$8016+Sens!$L$8018+Sens!$L$8020+Sens!$L$8022+Sens!$L$8024+Sens!$L$8026</f>
        <v>965.093106475589</v>
      </c>
      <c r="M8029" s="38" t="n">
        <f aca="false">Sens!$M$8016+Sens!$M$8018+Sens!$M$8020+Sens!$M$8022+Sens!$M$8024+Sens!$M$8026</f>
        <v>1028.14790794689</v>
      </c>
      <c r="N8029" s="38" t="n">
        <f aca="false">Sens!$N$8016+Sens!$N$8018+Sens!$N$8020+Sens!$N$8022+Sens!$N$8024+Sens!$N$8026</f>
        <v>263.229</v>
      </c>
      <c r="O8029" s="38" t="n">
        <f aca="false">Sens!$O$8016+Sens!$O$8018+Sens!$O$8020+Sens!$O$8022+Sens!$O$8024+Sens!$O$8026</f>
        <v>324.97</v>
      </c>
    </row>
    <row r="8030" customFormat="false" ht="17.15" hidden="false" customHeight="false" outlineLevel="0" collapsed="false">
      <c r="A8030" s="5" t="s">
        <v>677</v>
      </c>
      <c r="B8030" s="0" t="s">
        <v>52</v>
      </c>
      <c r="C8030" s="13" t="n">
        <f aca="false">Q!$D$5/(Q!$D$5+Q!$D$6)</f>
        <v>0.730570905519011</v>
      </c>
      <c r="D8030" s="13" t="n">
        <f aca="false">Q!$E$5/(Q!$E$5+Q!$E$6)</f>
        <v>0.724763217890544</v>
      </c>
      <c r="E8030" s="13" t="n">
        <f aca="false">Q!$P$5/(Q!$P$5+Q!$P$6)</f>
        <v>0.728797972914861</v>
      </c>
      <c r="F8030" s="13" t="n">
        <f aca="false">Sens!$O$8030</f>
        <v>0.718066283041511</v>
      </c>
      <c r="G8030" s="13" t="n">
        <f aca="false">Sens!$G$8031/Sens!$G$8029</f>
        <v>0.723047066202847</v>
      </c>
      <c r="H8030" s="13" t="n">
        <f aca="false">Sens!$G$8030</f>
        <v>0.723047066202847</v>
      </c>
      <c r="I8030" s="13" t="n">
        <f aca="false">Sens!$G$8030</f>
        <v>0.723047066202847</v>
      </c>
      <c r="J8030" s="13" t="n">
        <f aca="false">Sens!$G$8030</f>
        <v>0.723047066202847</v>
      </c>
      <c r="K8030" s="13" t="n">
        <f aca="false">Sens!$G$8030</f>
        <v>0.723047066202847</v>
      </c>
      <c r="L8030" s="13" t="n">
        <f aca="false">Sens!$G$8030</f>
        <v>0.723047066202847</v>
      </c>
      <c r="M8030" s="13" t="n">
        <f aca="false">Sens!$G$8030</f>
        <v>0.723047066202847</v>
      </c>
      <c r="N8030" s="13" t="n">
        <f aca="false">Q!$N$5/(Q!$N$5+Q!$N$6)</f>
        <v>0.733030935041352</v>
      </c>
      <c r="O8030" s="13" t="n">
        <f aca="false">Q!$O$5/(Q!$O$5+Q!$O$6)</f>
        <v>0.718066283041511</v>
      </c>
      <c r="P8030" s="8" t="s">
        <v>678</v>
      </c>
    </row>
    <row r="8031" customFormat="false" ht="17.15" hidden="false" customHeight="false" outlineLevel="0" collapsed="false">
      <c r="A8031" s="1" t="s">
        <v>509</v>
      </c>
      <c r="B8031" s="8" t="s">
        <v>86</v>
      </c>
      <c r="C8031" s="38" t="n">
        <f aca="false">Q!$D$5</f>
        <v>387.497</v>
      </c>
      <c r="D8031" s="38" t="n">
        <f aca="false">Q!$E$5</f>
        <v>426.305</v>
      </c>
      <c r="E8031" s="38" t="n">
        <f aca="false">Q!$P$5</f>
        <v>220.32</v>
      </c>
      <c r="F8031" s="38" t="n">
        <f aca="false">Sens!$F$8029*Sens!$F$8030</f>
        <v>250.639773480586</v>
      </c>
      <c r="G8031" s="38" t="n">
        <f aca="false">Sens!$E$8031+Sens!$F$8031</f>
        <v>470.959773480586</v>
      </c>
      <c r="H8031" s="38" t="n">
        <f aca="false">Sens!$H$8029*Sens!$H$8030</f>
        <v>521.386990416437</v>
      </c>
      <c r="I8031" s="38" t="n">
        <f aca="false">Sens!$I$8029*Sens!$I$8030</f>
        <v>570.143862887555</v>
      </c>
      <c r="J8031" s="38" t="n">
        <f aca="false">Sens!$J$8029*Sens!$J$8030</f>
        <v>615.391435791933</v>
      </c>
      <c r="K8031" s="38" t="n">
        <f aca="false">Sens!$K$8029*Sens!$K$8030</f>
        <v>655.208227561543</v>
      </c>
      <c r="L8031" s="38" t="n">
        <f aca="false">Sens!$L$8029*Sens!$L$8030</f>
        <v>697.807739249767</v>
      </c>
      <c r="M8031" s="38" t="n">
        <f aca="false">Sens!$M$8029*Sens!$M$8030</f>
        <v>743.399328463592</v>
      </c>
      <c r="N8031" s="38" t="n">
        <f aca="false">Q!$N$5</f>
        <v>192.955</v>
      </c>
      <c r="O8031" s="38" t="n">
        <f aca="false">Q!$O$5</f>
        <v>233.35</v>
      </c>
      <c r="P8031" s="5" t="s">
        <v>679</v>
      </c>
    </row>
    <row r="8032" customFormat="false" ht="17.15" hidden="false" customHeight="false" outlineLevel="0" collapsed="false">
      <c r="A8032" s="1" t="s">
        <v>512</v>
      </c>
      <c r="B8032" s="8" t="s">
        <v>86</v>
      </c>
      <c r="C8032" s="38" t="n">
        <f aca="false">Q!$D$6</f>
        <v>142.906</v>
      </c>
      <c r="D8032" s="38" t="n">
        <f aca="false">Q!$E$6</f>
        <v>161.894</v>
      </c>
      <c r="E8032" s="38" t="n">
        <f aca="false">Q!$P$6</f>
        <v>81.986</v>
      </c>
      <c r="F8032" s="38" t="n">
        <f aca="false">Sens!$F$8029*(1-Sens!$F$8030)</f>
        <v>98.408468164951</v>
      </c>
      <c r="G8032" s="38" t="n">
        <f aca="false">Sens!$E$8032+Sens!$F$8032</f>
        <v>180.394468164951</v>
      </c>
      <c r="H8032" s="38" t="n">
        <f aca="false">Sens!$H$8029*(1-Sens!$H$8030)</f>
        <v>199.709899104949</v>
      </c>
      <c r="I8032" s="38" t="n">
        <f aca="false">Sens!$I$8029*(1-Sens!$I$8030)</f>
        <v>218.385528264976</v>
      </c>
      <c r="J8032" s="38" t="n">
        <f aca="false">Sens!$J$8029*(1-Sens!$J$8030)</f>
        <v>235.71696994951</v>
      </c>
      <c r="K8032" s="38" t="n">
        <f aca="false">Sens!$K$8029*(1-Sens!$K$8030)</f>
        <v>250.968227869545</v>
      </c>
      <c r="L8032" s="38" t="n">
        <f aca="false">Sens!$L$8029*(1-Sens!$L$8030)</f>
        <v>267.285367225822</v>
      </c>
      <c r="M8032" s="38" t="n">
        <f aca="false">Sens!$M$8029*(1-Sens!$M$8030)</f>
        <v>284.748579483295</v>
      </c>
      <c r="N8032" s="38" t="n">
        <f aca="false">Q!$N$6</f>
        <v>70.274</v>
      </c>
      <c r="O8032" s="38" t="n">
        <f aca="false">Q!$O$6</f>
        <v>91.62</v>
      </c>
      <c r="P8032" s="5" t="s">
        <v>680</v>
      </c>
    </row>
    <row r="8033" customFormat="false" ht="17.15" hidden="false" customHeight="false" outlineLevel="0" collapsed="false">
      <c r="A8033" s="5" t="s">
        <v>681</v>
      </c>
      <c r="B8033" s="0" t="s">
        <v>86</v>
      </c>
      <c r="C8033" s="38" t="n">
        <f aca="false">Sens!$C$8022*Sens!$C$8030</f>
        <v>41.0683128828457</v>
      </c>
      <c r="D8033" s="38" t="n">
        <f aca="false">Sens!$D$8022*Sens!$D$8030</f>
        <v>49.7441234599175</v>
      </c>
      <c r="E8033" s="38" t="n">
        <f aca="false">Sens!$E$8022*Sens!$E$8030</f>
        <v>27.0034224924414</v>
      </c>
      <c r="F8033" s="38" t="n">
        <f aca="false">Sens!$F$8022*Sens!$F$8030</f>
        <v>33.1439448330513</v>
      </c>
      <c r="G8033" s="38" t="n">
        <f aca="false">Sens!$G$8022*Sens!$G$8030</f>
        <v>60.164183844083</v>
      </c>
      <c r="H8033" s="38" t="n">
        <f aca="false">Sens!$H$8022*Sens!$H$8030</f>
        <v>72.2301766552629</v>
      </c>
      <c r="I8033" s="38" t="n">
        <f aca="false">Sens!$I$8022*Sens!$I$8030</f>
        <v>84.2950764463991</v>
      </c>
      <c r="J8033" s="38" t="n">
        <f aca="false">Sens!$J$8022*Sens!$J$8030</f>
        <v>95.5499047729386</v>
      </c>
      <c r="K8033" s="38" t="n">
        <f aca="false">Sens!$K$8022*Sens!$K$8030</f>
        <v>105.104895250232</v>
      </c>
      <c r="L8033" s="38" t="n">
        <f aca="false">Sens!$L$8022*Sens!$L$8030</f>
        <v>115.615384775256</v>
      </c>
      <c r="M8033" s="38" t="n">
        <f aca="false">Sens!$M$8022*Sens!$M$8030</f>
        <v>127.176923252781</v>
      </c>
      <c r="N8033" s="38" t="n">
        <f aca="false">Sens!$N$8022*Sens!$N$8030</f>
        <v>21.7087111412496</v>
      </c>
      <c r="O8033" s="38" t="n">
        <f aca="false">Sens!$O$8022*Sens!$O$8030</f>
        <v>28.0189463642798</v>
      </c>
      <c r="P8033" s="5" t="s">
        <v>682</v>
      </c>
    </row>
    <row r="8034" customFormat="false" ht="15" hidden="false" customHeight="false" outlineLevel="0" collapsed="false">
      <c r="A8034" s="5" t="s">
        <v>683</v>
      </c>
      <c r="B8034" s="0" t="s">
        <v>86</v>
      </c>
      <c r="C8034" s="38" t="n">
        <f aca="false">Sens!$C$8022-Sens!$C$8033</f>
        <v>15.1456871171543</v>
      </c>
      <c r="D8034" s="38" t="n">
        <f aca="false">Sens!$D$8022-Sens!$D$8033</f>
        <v>18.8908765400825</v>
      </c>
      <c r="E8034" s="38" t="n">
        <f aca="false">Sens!$E$8022-Sens!$E$8033</f>
        <v>10.0485775075586</v>
      </c>
      <c r="F8034" s="38" t="n">
        <f aca="false">Sens!$F$8022-Sens!$F$8033</f>
        <v>13.0132771613635</v>
      </c>
      <c r="G8034" s="38" t="n">
        <f aca="false">Sens!$G$8022-Sens!$G$8033</f>
        <v>23.0450381503318</v>
      </c>
      <c r="H8034" s="38" t="n">
        <f aca="false">Sens!$H$8022-Sens!$H$8033</f>
        <v>27.6667457326347</v>
      </c>
      <c r="I8034" s="38" t="n">
        <f aca="false">Sens!$I$8022-Sens!$I$8033</f>
        <v>32.2880346490971</v>
      </c>
      <c r="J8034" s="38" t="n">
        <f aca="false">Sens!$J$8022-Sens!$J$8033</f>
        <v>36.5990371690132</v>
      </c>
      <c r="K8034" s="38" t="n">
        <f aca="false">Sens!$K$8022-Sens!$K$8033</f>
        <v>40.2589408859145</v>
      </c>
      <c r="L8034" s="38" t="n">
        <f aca="false">Sens!$L$8022-Sens!$L$8033</f>
        <v>44.2848349745059</v>
      </c>
      <c r="M8034" s="38" t="n">
        <f aca="false">Sens!$M$8022-Sens!$M$8033</f>
        <v>48.7133184719565</v>
      </c>
      <c r="N8034" s="38" t="n">
        <f aca="false">Sens!$N$8022-Sens!$N$8033</f>
        <v>7.90628885875037</v>
      </c>
      <c r="O8034" s="38" t="n">
        <f aca="false">Sens!$O$8022-Sens!$O$8033</f>
        <v>11.0010536357202</v>
      </c>
    </row>
    <row r="8035" customFormat="false" ht="19.4" hidden="false" customHeight="false" outlineLevel="0" collapsed="false">
      <c r="A8035" s="31" t="s">
        <v>1293</v>
      </c>
    </row>
    <row r="8036" customFormat="false" ht="17.15" hidden="false" customHeight="false" outlineLevel="0" collapsed="false">
      <c r="A8036" s="6" t="s">
        <v>16</v>
      </c>
      <c r="B8036" s="6" t="s">
        <v>17</v>
      </c>
      <c r="C8036" s="20" t="s">
        <v>494</v>
      </c>
      <c r="D8036" s="20" t="s">
        <v>495</v>
      </c>
      <c r="E8036" s="20" t="s">
        <v>577</v>
      </c>
      <c r="F8036" s="20" t="s">
        <v>578</v>
      </c>
      <c r="G8036" s="20" t="s">
        <v>579</v>
      </c>
      <c r="H8036" s="20" t="s">
        <v>580</v>
      </c>
      <c r="I8036" s="20" t="s">
        <v>581</v>
      </c>
      <c r="J8036" s="20" t="s">
        <v>582</v>
      </c>
      <c r="K8036" s="20" t="s">
        <v>583</v>
      </c>
      <c r="L8036" s="20" t="s">
        <v>584</v>
      </c>
      <c r="M8036" s="20" t="s">
        <v>585</v>
      </c>
      <c r="N8036" s="20" t="s">
        <v>586</v>
      </c>
      <c r="O8036" s="20" t="s">
        <v>587</v>
      </c>
      <c r="P8036" s="6" t="s">
        <v>23</v>
      </c>
      <c r="R8036" s="20" t="n">
        <v>2023</v>
      </c>
      <c r="S8036" s="20" t="n">
        <v>2024</v>
      </c>
      <c r="T8036" s="20" t="n">
        <v>2025</v>
      </c>
      <c r="U8036" s="20" t="n">
        <v>2026</v>
      </c>
      <c r="V8036" s="20" t="n">
        <v>2027</v>
      </c>
      <c r="W8036" s="20" t="n">
        <v>2028</v>
      </c>
      <c r="X8036" s="20" t="n">
        <v>2029</v>
      </c>
      <c r="Y8036" s="20" t="n">
        <v>2030</v>
      </c>
      <c r="Z8036" s="20" t="n">
        <v>2031</v>
      </c>
      <c r="AA8036" s="20" t="n">
        <v>2032</v>
      </c>
    </row>
    <row r="8037" customFormat="false" ht="17.15" hidden="false" customHeight="false" outlineLevel="0" collapsed="false">
      <c r="A8037" s="1" t="s">
        <v>588</v>
      </c>
    </row>
    <row r="8038" customFormat="false" ht="17.15" hidden="false" customHeight="false" outlineLevel="0" collapsed="false">
      <c r="A8038" s="5" t="s">
        <v>589</v>
      </c>
      <c r="B8038" s="0" t="s">
        <v>144</v>
      </c>
      <c r="H8038" s="32" t="n">
        <f aca="false">pace_B</f>
        <v>3634.3</v>
      </c>
      <c r="I8038" s="32" t="n">
        <f aca="false">pace_B</f>
        <v>3634.3</v>
      </c>
      <c r="J8038" s="32" t="n">
        <f aca="false">pace_B</f>
        <v>3634.3</v>
      </c>
      <c r="K8038" s="32" t="n">
        <f aca="false">pace_B+(Sens!$J$8039*tg_lo-pace_B)*1/3</f>
        <v>2521.53366666667</v>
      </c>
      <c r="L8038" s="32" t="n">
        <f aca="false">pace_B+(Sens!$J$8039*tg_lo-pace_B)*2/3</f>
        <v>1408.76733333333</v>
      </c>
      <c r="M8038" s="32" t="n">
        <f aca="false">pace_B+(Sens!$J$8039*tg_lo-pace_B)*3/3</f>
        <v>296.001</v>
      </c>
      <c r="P8038" s="5" t="s">
        <v>590</v>
      </c>
    </row>
    <row r="8039" customFormat="false" ht="17.15" hidden="false" customHeight="false" outlineLevel="0" collapsed="false">
      <c r="A8039" s="15" t="s">
        <v>591</v>
      </c>
      <c r="B8039" s="14" t="s">
        <v>129</v>
      </c>
      <c r="C8039" s="33" t="n">
        <f aca="false">mw_ye24</f>
        <v>360</v>
      </c>
      <c r="D8039" s="33" t="n">
        <f aca="false">mw_ye25</f>
        <v>1440</v>
      </c>
      <c r="E8039" s="33" t="n">
        <f aca="false">mw_open</f>
        <v>2080</v>
      </c>
      <c r="F8039" s="33" t="n">
        <f aca="false">Sens!$E$8039+pace_B*0.5</f>
        <v>3897.15</v>
      </c>
      <c r="G8039" s="33" t="n">
        <f aca="false">Sens!$F$8039</f>
        <v>3897.15</v>
      </c>
      <c r="H8039" s="33" t="n">
        <f aca="false">Sens!$G$8039+Sens!$H$8038</f>
        <v>7531.45</v>
      </c>
      <c r="I8039" s="33" t="n">
        <f aca="false">Sens!$H$8039+Sens!$I$8038</f>
        <v>11165.75</v>
      </c>
      <c r="J8039" s="33" t="n">
        <f aca="false">Sens!$I$8039+Sens!$J$8038</f>
        <v>14800.05</v>
      </c>
      <c r="K8039" s="33" t="n">
        <f aca="false">Sens!$J$8039+Sens!$K$8038</f>
        <v>17321.5836666667</v>
      </c>
      <c r="L8039" s="33" t="n">
        <f aca="false">Sens!$K$8039+Sens!$L$8038</f>
        <v>18730.351</v>
      </c>
      <c r="M8039" s="33" t="n">
        <f aca="false">Sens!$L$8039+Sens!$M$8038</f>
        <v>19026.352</v>
      </c>
      <c r="N8039" s="33" t="n">
        <f aca="false">(mw_ye24+mw_ye25)/2</f>
        <v>900</v>
      </c>
      <c r="O8039" s="33" t="n">
        <f aca="false">mw_ye25</f>
        <v>1440</v>
      </c>
      <c r="P8039" s="5" t="s">
        <v>592</v>
      </c>
    </row>
    <row r="8040" customFormat="false" ht="17.15" hidden="false" customHeight="false" outlineLevel="0" collapsed="false">
      <c r="A8040" s="5" t="s">
        <v>593</v>
      </c>
      <c r="B8040" s="0" t="s">
        <v>129</v>
      </c>
      <c r="C8040" s="32" t="n">
        <f aca="false">(mw_ye23+mw_ye24)/2</f>
        <v>240</v>
      </c>
      <c r="D8040" s="32" t="n">
        <f aca="false">(Sens!$C$8039+Sens!$D$8039)/2</f>
        <v>900</v>
      </c>
      <c r="E8040" s="32" t="n">
        <f aca="false">(Sens!$D$8039+Sens!$E$8039)/2</f>
        <v>1760</v>
      </c>
      <c r="F8040" s="32" t="n">
        <f aca="false">(Sens!$E$8039+Sens!$F$8039)/2</f>
        <v>2988.575</v>
      </c>
      <c r="G8040" s="32" t="n">
        <f aca="false">(Sens!$E$8040+Sens!$F$8040)/2</f>
        <v>2374.2875</v>
      </c>
      <c r="H8040" s="32" t="n">
        <f aca="false">(Sens!$G$8039+Sens!$H$8039)/2</f>
        <v>5714.3</v>
      </c>
      <c r="I8040" s="32" t="n">
        <f aca="false">(Sens!$H$8039+Sens!$I$8039)/2</f>
        <v>9348.6</v>
      </c>
      <c r="J8040" s="32" t="n">
        <f aca="false">(Sens!$I$8039+Sens!$J$8039)/2</f>
        <v>12982.9</v>
      </c>
      <c r="K8040" s="32" t="n">
        <f aca="false">(Sens!$J$8039+Sens!$K$8039)/2</f>
        <v>16060.8168333333</v>
      </c>
      <c r="L8040" s="32" t="n">
        <f aca="false">(Sens!$K$8039+Sens!$L$8039)/2</f>
        <v>18025.9673333333</v>
      </c>
      <c r="M8040" s="32" t="n">
        <f aca="false">(Sens!$L$8039+Sens!$M$8039)/2</f>
        <v>18878.3515</v>
      </c>
      <c r="N8040" s="32" t="n">
        <f aca="false">(Sens!$C$8039+Sens!$N$8039)/2</f>
        <v>630</v>
      </c>
      <c r="O8040" s="32" t="n">
        <f aca="false">(Sens!$N$8039+Sens!$O$8039)/2</f>
        <v>1170</v>
      </c>
    </row>
    <row r="8041" customFormat="false" ht="15" hidden="false" customHeight="false" outlineLevel="0" collapsed="false">
      <c r="A8041" s="5" t="s">
        <v>594</v>
      </c>
      <c r="B8041" s="5" t="s">
        <v>123</v>
      </c>
      <c r="C8041" s="34" t="n">
        <v>1</v>
      </c>
      <c r="D8041" s="34" t="n">
        <v>1</v>
      </c>
      <c r="E8041" s="34" t="n">
        <v>0.5</v>
      </c>
      <c r="F8041" s="34" t="n">
        <v>0.5</v>
      </c>
      <c r="G8041" s="34" t="n">
        <v>1</v>
      </c>
      <c r="H8041" s="34" t="n">
        <v>1</v>
      </c>
      <c r="I8041" s="34" t="n">
        <v>1</v>
      </c>
      <c r="J8041" s="34" t="n">
        <v>1</v>
      </c>
      <c r="K8041" s="34" t="n">
        <v>1</v>
      </c>
      <c r="L8041" s="34" t="n">
        <v>1</v>
      </c>
      <c r="M8041" s="34" t="n">
        <v>1</v>
      </c>
      <c r="N8041" s="34" t="n">
        <v>0.5</v>
      </c>
      <c r="O8041" s="34" t="n">
        <v>0.5</v>
      </c>
    </row>
    <row r="8042" customFormat="false" ht="17.15" hidden="false" customHeight="false" outlineLevel="0" collapsed="false">
      <c r="A8042" s="5" t="s">
        <v>595</v>
      </c>
      <c r="B8042" s="0" t="s">
        <v>129</v>
      </c>
      <c r="C8042" s="32" t="n">
        <f aca="false">Sens!$C$8039-mw_ye23</f>
        <v>240</v>
      </c>
      <c r="D8042" s="32" t="n">
        <f aca="false">Sens!$D$8039-Sens!$C$8039</f>
        <v>1080</v>
      </c>
      <c r="E8042" s="32" t="n">
        <f aca="false">Sens!$E$8039-Sens!$D$8039</f>
        <v>640</v>
      </c>
      <c r="F8042" s="32" t="n">
        <f aca="false">Sens!$F$8039-Sens!$E$8039</f>
        <v>1817.15</v>
      </c>
      <c r="G8042" s="32" t="n">
        <f aca="false">Sens!$E$8042+Sens!$F$8042</f>
        <v>2457.15</v>
      </c>
      <c r="H8042" s="32" t="n">
        <f aca="false">Sens!$H$8039-Sens!$G$8039</f>
        <v>3634.3</v>
      </c>
      <c r="I8042" s="32" t="n">
        <f aca="false">Sens!$I$8039-Sens!$H$8039</f>
        <v>3634.3</v>
      </c>
      <c r="J8042" s="32" t="n">
        <f aca="false">Sens!$J$8039-Sens!$I$8039</f>
        <v>3634.3</v>
      </c>
      <c r="K8042" s="32" t="n">
        <f aca="false">Sens!$K$8039-Sens!$J$8039</f>
        <v>2521.53366666667</v>
      </c>
      <c r="L8042" s="32" t="n">
        <f aca="false">Sens!$L$8039-Sens!$K$8039</f>
        <v>1408.76733333333</v>
      </c>
      <c r="M8042" s="32" t="n">
        <f aca="false">Sens!$M$8039-Sens!$L$8039</f>
        <v>296.001</v>
      </c>
      <c r="N8042" s="32" t="n">
        <f aca="false">Sens!$N$8039-Sens!$C$8039</f>
        <v>540</v>
      </c>
      <c r="O8042" s="32" t="n">
        <f aca="false">Sens!$O$8039-Sens!$N$8039</f>
        <v>540</v>
      </c>
    </row>
    <row r="8043" customFormat="false" ht="17.15" hidden="false" customHeight="false" outlineLevel="0" collapsed="false">
      <c r="A8043" s="5" t="s">
        <v>596</v>
      </c>
      <c r="B8043" s="0" t="s">
        <v>129</v>
      </c>
      <c r="C8043" s="32" t="n">
        <f aca="false">Sens!$C$8042/ext_sh</f>
        <v>300</v>
      </c>
      <c r="D8043" s="32" t="n">
        <f aca="false">Sens!$D$8042/ext_sh</f>
        <v>1350</v>
      </c>
      <c r="E8043" s="32" t="n">
        <f aca="false">Sens!$E$8042/ext_sh</f>
        <v>800</v>
      </c>
      <c r="F8043" s="32" t="n">
        <f aca="false">Sens!$F$8042/ext_sh</f>
        <v>2271.4375</v>
      </c>
      <c r="G8043" s="32" t="n">
        <f aca="false">Sens!$G$8042/ext_sh</f>
        <v>3071.4375</v>
      </c>
      <c r="H8043" s="32" t="n">
        <f aca="false">Sens!$H$8042/ext_sh</f>
        <v>4542.875</v>
      </c>
      <c r="I8043" s="32" t="n">
        <f aca="false">Sens!$I$8042/ext_sh</f>
        <v>4542.875</v>
      </c>
      <c r="J8043" s="32" t="n">
        <f aca="false">Sens!$J$8042/ext_sh</f>
        <v>4542.875</v>
      </c>
      <c r="K8043" s="32" t="n">
        <f aca="false">Sens!$K$8042/ext_sh</f>
        <v>3151.91708333333</v>
      </c>
      <c r="L8043" s="32" t="n">
        <f aca="false">Sens!$L$8042/ext_sh</f>
        <v>1760.95916666667</v>
      </c>
      <c r="M8043" s="32" t="n">
        <f aca="false">Sens!$M$8042/ext_sh</f>
        <v>370.00125</v>
      </c>
      <c r="N8043" s="32" t="n">
        <f aca="false">Sens!$N$8042/ext_sh</f>
        <v>675</v>
      </c>
      <c r="O8043" s="32" t="n">
        <f aca="false">Sens!$O$8042/ext_sh</f>
        <v>675</v>
      </c>
      <c r="P8043" s="8" t="s">
        <v>597</v>
      </c>
      <c r="R8043" s="32" t="n">
        <f aca="false">mw_ye23/ext_sh</f>
        <v>150</v>
      </c>
      <c r="S8043" s="32" t="n">
        <f aca="false">Sens!$C$8043</f>
        <v>300</v>
      </c>
      <c r="T8043" s="32" t="n">
        <f aca="false">Sens!$D$8043</f>
        <v>1350</v>
      </c>
      <c r="U8043" s="32" t="n">
        <f aca="false">Sens!$G$8043</f>
        <v>3071.4375</v>
      </c>
      <c r="V8043" s="32" t="n">
        <f aca="false">Sens!$H$8043</f>
        <v>4542.875</v>
      </c>
      <c r="W8043" s="32" t="n">
        <f aca="false">Sens!$I$8043</f>
        <v>4542.875</v>
      </c>
      <c r="X8043" s="32" t="n">
        <f aca="false">Sens!$J$8043</f>
        <v>4542.875</v>
      </c>
      <c r="Y8043" s="32" t="n">
        <f aca="false">Sens!$K$8043</f>
        <v>3151.91708333333</v>
      </c>
      <c r="Z8043" s="32" t="n">
        <f aca="false">Sens!$L$8043</f>
        <v>1760.95916666667</v>
      </c>
      <c r="AA8043" s="32" t="n">
        <f aca="false">Sens!$M$8043</f>
        <v>370.00125</v>
      </c>
    </row>
    <row r="8044" customFormat="false" ht="17.15" hidden="false" customHeight="false" outlineLevel="0" collapsed="false">
      <c r="A8044" s="1" t="s">
        <v>598</v>
      </c>
    </row>
    <row r="8045" customFormat="false" ht="17.15" hidden="false" customHeight="false" outlineLevel="0" collapsed="false">
      <c r="A8045" s="0" t="s">
        <v>599</v>
      </c>
      <c r="B8045" s="0" t="s">
        <v>52</v>
      </c>
      <c r="F8045" s="35" t="n">
        <f aca="false">na_vr26</f>
        <v>0</v>
      </c>
      <c r="G8045" s="35" t="n">
        <f aca="false">na_vr26</f>
        <v>0</v>
      </c>
      <c r="H8045" s="35" t="n">
        <f aca="false">na_vr27</f>
        <v>0.5</v>
      </c>
      <c r="I8045" s="35" t="n">
        <f aca="false">na_vr28</f>
        <v>1</v>
      </c>
      <c r="J8045" s="35" t="n">
        <f aca="false">na_vr28</f>
        <v>1</v>
      </c>
      <c r="K8045" s="35" t="n">
        <f aca="false">na_vr28</f>
        <v>1</v>
      </c>
      <c r="L8045" s="35" t="n">
        <f aca="false">na_vr28</f>
        <v>1</v>
      </c>
      <c r="M8045" s="35" t="n">
        <f aca="false">na_vr28</f>
        <v>1</v>
      </c>
    </row>
    <row r="8046" customFormat="false" ht="17.15" hidden="false" customHeight="false" outlineLevel="0" collapsed="false">
      <c r="A8046" s="5" t="s">
        <v>600</v>
      </c>
      <c r="B8046" s="0" t="s">
        <v>173</v>
      </c>
      <c r="F8046" s="36" t="n">
        <f aca="false">cust_sh*tk_he_gb300*cf_chip+(1-cust_sh)*((1-Sens!$F$8045)*tk_he_gb300+Sens!$F$8045*tk_he_vr200)</f>
        <v>10.8864110021101</v>
      </c>
      <c r="G8046" s="36" t="n">
        <f aca="false">cust_sh*tk_he_gb300*cf_chip+(1-cust_sh)*((1-Sens!$G$8045)*tk_he_gb300+Sens!$G$8045*tk_he_vr200)</f>
        <v>10.8864110021101</v>
      </c>
      <c r="H8046" s="36" t="n">
        <f aca="false">cust_sh*tk_he_gb300*cf_chip+(1-cust_sh)*((1-Sens!$H$8045)*tk_he_gb300+Sens!$H$8045*tk_he_vr200)</f>
        <v>11.2211760027286</v>
      </c>
      <c r="I8046" s="36" t="n">
        <f aca="false">cust_sh*tk_he_gb300*cf_chip+(1-cust_sh)*((1-Sens!$I$8045)*tk_he_gb300+Sens!$I$8045*tk_he_vr200)</f>
        <v>11.5559410033471</v>
      </c>
      <c r="J8046" s="36" t="n">
        <f aca="false">cust_sh*tk_he_gb300*cf_chip+(1-cust_sh)*((1-Sens!$J$8045)*tk_he_gb300+Sens!$J$8045*tk_he_vr200)</f>
        <v>11.5559410033471</v>
      </c>
      <c r="K8046" s="36" t="n">
        <f aca="false">cust_sh*tk_he_gb300*cf_chip+(1-cust_sh)*((1-Sens!$K$8045)*tk_he_gb300+Sens!$K$8045*tk_he_vr200)</f>
        <v>11.5559410033471</v>
      </c>
      <c r="L8046" s="36" t="n">
        <f aca="false">cust_sh*tk_he_gb300*cf_chip+(1-cust_sh)*((1-Sens!$L$8045)*tk_he_gb300+Sens!$L$8045*tk_he_vr200)</f>
        <v>11.5559410033471</v>
      </c>
      <c r="M8046" s="36" t="n">
        <f aca="false">cust_sh*tk_he_gb300*cf_chip+(1-cust_sh)*((1-Sens!$M$8045)*tk_he_gb300+Sens!$M$8045*tk_he_vr200)</f>
        <v>11.5559410033471</v>
      </c>
    </row>
    <row r="8047" customFormat="false" ht="17.15" hidden="false" customHeight="false" outlineLevel="0" collapsed="false">
      <c r="A8047" s="5" t="s">
        <v>601</v>
      </c>
      <c r="B8047" s="0" t="s">
        <v>173</v>
      </c>
      <c r="F8047" s="36" t="n">
        <f aca="false">cust_sh*tk_ox_gb300+(1-cust_sh)*((1-Sens!$F$8045)*tk_ox_gb300+Sens!$F$8045*tk_ox_vr200)</f>
        <v>1.98263481314457</v>
      </c>
      <c r="G8047" s="36" t="n">
        <f aca="false">cust_sh*tk_ox_gb300+(1-cust_sh)*((1-Sens!$G$8045)*tk_ox_gb300+Sens!$G$8045*tk_ox_vr200)</f>
        <v>1.98263481314457</v>
      </c>
      <c r="H8047" s="36" t="n">
        <f aca="false">cust_sh*tk_ox_gb300+(1-cust_sh)*((1-Sens!$H$8045)*tk_ox_gb300+Sens!$H$8045*tk_ox_vr200)</f>
        <v>2.01034999693694</v>
      </c>
      <c r="I8047" s="36" t="n">
        <f aca="false">cust_sh*tk_ox_gb300+(1-cust_sh)*((1-Sens!$I$8045)*tk_ox_gb300+Sens!$I$8045*tk_ox_vr200)</f>
        <v>2.0380651807293</v>
      </c>
      <c r="J8047" s="36" t="n">
        <f aca="false">cust_sh*tk_ox_gb300+(1-cust_sh)*((1-Sens!$J$8045)*tk_ox_gb300+Sens!$J$8045*tk_ox_vr200)</f>
        <v>2.0380651807293</v>
      </c>
      <c r="K8047" s="36" t="n">
        <f aca="false">cust_sh*tk_ox_gb300+(1-cust_sh)*((1-Sens!$K$8045)*tk_ox_gb300+Sens!$K$8045*tk_ox_vr200)</f>
        <v>2.0380651807293</v>
      </c>
      <c r="L8047" s="36" t="n">
        <f aca="false">cust_sh*tk_ox_gb300+(1-cust_sh)*((1-Sens!$L$8045)*tk_ox_gb300+Sens!$L$8045*tk_ox_vr200)</f>
        <v>2.0380651807293</v>
      </c>
      <c r="M8047" s="36" t="n">
        <f aca="false">cust_sh*tk_ox_gb300+(1-cust_sh)*((1-Sens!$M$8045)*tk_ox_gb300+Sens!$M$8045*tk_ox_vr200)</f>
        <v>2.0380651807293</v>
      </c>
    </row>
    <row r="8048" customFormat="false" ht="17.15" hidden="false" customHeight="false" outlineLevel="0" collapsed="false">
      <c r="A8048" s="5" t="s">
        <v>602</v>
      </c>
      <c r="B8048" s="0" t="s">
        <v>192</v>
      </c>
      <c r="F8048" s="36" t="n">
        <f aca="false">cust_sh*tk_cx_gb300*cf_cx+(1-cust_sh)*((1-Sens!$F$8045)*tk_cx_gb300+Sens!$F$8045*tk_cx_vr200)</f>
        <v>32.237224</v>
      </c>
      <c r="G8048" s="36" t="n">
        <f aca="false">cust_sh*tk_cx_gb300*cf_cx+(1-cust_sh)*((1-Sens!$G$8045)*tk_cx_gb300+Sens!$G$8045*tk_cx_vr200)</f>
        <v>32.237224</v>
      </c>
      <c r="H8048" s="36" t="n">
        <f aca="false">cust_sh*tk_cx_gb300*cf_cx+(1-cust_sh)*((1-Sens!$H$8045)*tk_cx_gb300+Sens!$H$8045*tk_cx_vr200)</f>
        <v>33.574506</v>
      </c>
      <c r="I8048" s="36" t="n">
        <f aca="false">cust_sh*tk_cx_gb300*cf_cx+(1-cust_sh)*((1-Sens!$I$8045)*tk_cx_gb300+Sens!$I$8045*tk_cx_vr200)</f>
        <v>34.911788</v>
      </c>
      <c r="J8048" s="36" t="n">
        <f aca="false">cust_sh*tk_cx_gb300*cf_cx+(1-cust_sh)*((1-Sens!$J$8045)*tk_cx_gb300+Sens!$J$8045*tk_cx_vr200)</f>
        <v>34.911788</v>
      </c>
      <c r="K8048" s="36" t="n">
        <f aca="false">cust_sh*tk_cx_gb300*cf_cx+(1-cust_sh)*((1-Sens!$K$8045)*tk_cx_gb300+Sens!$K$8045*tk_cx_vr200)</f>
        <v>34.911788</v>
      </c>
      <c r="L8048" s="36" t="n">
        <f aca="false">cust_sh*tk_cx_gb300*cf_cx+(1-cust_sh)*((1-Sens!$L$8045)*tk_cx_gb300+Sens!$L$8045*tk_cx_vr200)</f>
        <v>34.911788</v>
      </c>
      <c r="M8048" s="36" t="n">
        <f aca="false">cust_sh*tk_cx_gb300*cf_cx+(1-cust_sh)*((1-Sens!$M$8045)*tk_cx_gb300+Sens!$M$8045*tk_cx_vr200)</f>
        <v>34.911788</v>
      </c>
    </row>
    <row r="8049" customFormat="false" ht="17.15" hidden="false" customHeight="false" outlineLevel="0" collapsed="false">
      <c r="A8049" s="5" t="s">
        <v>603</v>
      </c>
      <c r="B8049" s="0" t="s">
        <v>129</v>
      </c>
      <c r="F8049" s="32" t="n">
        <f aca="false">Sens!$F$8039-mw_open</f>
        <v>1817.15</v>
      </c>
      <c r="G8049" s="32" t="n">
        <f aca="false">Sens!$F$8049</f>
        <v>1817.15</v>
      </c>
      <c r="H8049" s="32" t="n">
        <f aca="false">Sens!$H$8039-mw_open</f>
        <v>5451.45</v>
      </c>
      <c r="I8049" s="32" t="n">
        <f aca="false">Sens!$I$8039-mw_open</f>
        <v>9085.75</v>
      </c>
      <c r="J8049" s="32" t="n">
        <f aca="false">Sens!$J$8039-mw_open</f>
        <v>12720.05</v>
      </c>
      <c r="K8049" s="32" t="n">
        <f aca="false">Sens!$K$8039-mw_open</f>
        <v>15241.5836666667</v>
      </c>
      <c r="L8049" s="32" t="n">
        <f aca="false">Sens!$L$8039-mw_open</f>
        <v>16650.351</v>
      </c>
      <c r="M8049" s="32" t="n">
        <f aca="false">Sens!$M$8039-mw_open</f>
        <v>16946.352</v>
      </c>
    </row>
    <row r="8050" customFormat="false" ht="17.15" hidden="false" customHeight="false" outlineLevel="0" collapsed="false">
      <c r="A8050" s="0" t="s">
        <v>604</v>
      </c>
      <c r="B8050" s="0" t="s">
        <v>605</v>
      </c>
      <c r="F8050" s="32" t="n">
        <f aca="false">Sens!$F$8042*Sens!$F$8046</f>
        <v>19782.2417524844</v>
      </c>
      <c r="G8050" s="32" t="n">
        <f aca="false">Sens!$F$8050</f>
        <v>19782.2417524844</v>
      </c>
      <c r="H8050" s="32" t="n">
        <f aca="false">Sens!$G$8050+Sens!$H$8042*Sens!$H$8046</f>
        <v>60563.3616992009</v>
      </c>
      <c r="I8050" s="32" t="n">
        <f aca="false">Sens!$H$8050+Sens!$I$8042*Sens!$I$8046</f>
        <v>102561.118087665</v>
      </c>
      <c r="J8050" s="32" t="n">
        <f aca="false">Sens!$I$8050+Sens!$J$8042*Sens!$J$8046</f>
        <v>144558.87447613</v>
      </c>
      <c r="K8050" s="32" t="n">
        <f aca="false">Sens!$J$8050+Sens!$K$8042*Sens!$K$8046</f>
        <v>173697.568766083</v>
      </c>
      <c r="L8050" s="32" t="n">
        <f aca="false">Sens!$K$8050+Sens!$L$8042*Sens!$L$8046</f>
        <v>189977.200957526</v>
      </c>
      <c r="M8050" s="32" t="n">
        <f aca="false">Sens!$L$8050+Sens!$M$8042*Sens!$M$8046</f>
        <v>193397.771050458</v>
      </c>
    </row>
    <row r="8051" customFormat="false" ht="17.15" hidden="false" customHeight="false" outlineLevel="0" collapsed="false">
      <c r="A8051" s="0" t="s">
        <v>606</v>
      </c>
      <c r="B8051" s="0" t="s">
        <v>605</v>
      </c>
      <c r="F8051" s="32" t="n">
        <f aca="false">Sens!$F$8042*Sens!$F$8047</f>
        <v>3602.74485070566</v>
      </c>
      <c r="G8051" s="32" t="n">
        <f aca="false">Sens!$F$8051</f>
        <v>3602.74485070566</v>
      </c>
      <c r="H8051" s="32" t="n">
        <f aca="false">Sens!$G$8051+Sens!$H$8042*Sens!$H$8047</f>
        <v>10908.9598445736</v>
      </c>
      <c r="I8051" s="32" t="n">
        <f aca="false">Sens!$H$8051+Sens!$I$8042*Sens!$I$8047</f>
        <v>18315.9001308981</v>
      </c>
      <c r="J8051" s="32" t="n">
        <f aca="false">Sens!$I$8051+Sens!$J$8042*Sens!$J$8047</f>
        <v>25722.8404172225</v>
      </c>
      <c r="K8051" s="32" t="n">
        <f aca="false">Sens!$J$8051+Sens!$K$8042*Sens!$K$8047</f>
        <v>30861.8903852926</v>
      </c>
      <c r="L8051" s="32" t="n">
        <f aca="false">Sens!$K$8051+Sens!$L$8042*Sens!$L$8047</f>
        <v>33733.0500351081</v>
      </c>
      <c r="M8051" s="32" t="n">
        <f aca="false">Sens!$L$8051+Sens!$M$8042*Sens!$M$8047</f>
        <v>34336.3193666691</v>
      </c>
    </row>
    <row r="8052" customFormat="false" ht="17.15" hidden="false" customHeight="false" outlineLevel="0" collapsed="false">
      <c r="A8052" s="5" t="s">
        <v>607</v>
      </c>
      <c r="B8052" s="0" t="s">
        <v>173</v>
      </c>
      <c r="F8052" s="36" t="n">
        <f aca="false">IF(Sens!$F$8049&gt;0,Sens!$F$8050/Sens!$F$8049,Sens!$F$8046)</f>
        <v>10.8864110021101</v>
      </c>
      <c r="G8052" s="36" t="n">
        <f aca="false">IF(Sens!$G$8049&gt;0,Sens!$G$8050/Sens!$G$8049,Sens!$G$8046)</f>
        <v>10.8864110021101</v>
      </c>
      <c r="H8052" s="36" t="n">
        <f aca="false">IF(Sens!$H$8049&gt;0,Sens!$H$8050/Sens!$H$8049,Sens!$H$8046)</f>
        <v>11.1095876691891</v>
      </c>
      <c r="I8052" s="36" t="n">
        <f aca="false">IF(Sens!$I$8049&gt;0,Sens!$I$8050/Sens!$I$8049,Sens!$I$8046)</f>
        <v>11.2881290028523</v>
      </c>
      <c r="J8052" s="36" t="n">
        <f aca="false">IF(Sens!$J$8049&gt;0,Sens!$J$8050/Sens!$J$8049,Sens!$J$8046)</f>
        <v>11.3646467172794</v>
      </c>
      <c r="K8052" s="36" t="n">
        <f aca="false">IF(Sens!$K$8049&gt;0,Sens!$K$8050/Sens!$K$8049,Sens!$K$8046)</f>
        <v>11.3962940180527</v>
      </c>
      <c r="L8052" s="36" t="n">
        <f aca="false">IF(Sens!$L$8049&gt;0,Sens!$L$8050/Sens!$L$8049,Sens!$L$8046)</f>
        <v>11.4098015685991</v>
      </c>
      <c r="M8052" s="36" t="n">
        <f aca="false">IF(Sens!$M$8049&gt;0,Sens!$M$8050/Sens!$M$8049,Sens!$M$8046)</f>
        <v>11.4123541780825</v>
      </c>
    </row>
    <row r="8053" customFormat="false" ht="17.15" hidden="false" customHeight="false" outlineLevel="0" collapsed="false">
      <c r="A8053" s="5" t="s">
        <v>608</v>
      </c>
      <c r="B8053" s="0" t="s">
        <v>173</v>
      </c>
      <c r="F8053" s="36" t="n">
        <f aca="false">IF(Sens!$F$8049&gt;0,Sens!$F$8051/Sens!$F$8049,Sens!$F$8047)</f>
        <v>1.98263481314457</v>
      </c>
      <c r="G8053" s="36" t="n">
        <f aca="false">IF(Sens!$G$8049&gt;0,Sens!$G$8051/Sens!$G$8049,Sens!$G$8047)</f>
        <v>1.98263481314457</v>
      </c>
      <c r="H8053" s="36" t="n">
        <f aca="false">IF(Sens!$H$8049&gt;0,Sens!$H$8051/Sens!$H$8049,Sens!$H$8047)</f>
        <v>2.00111160233948</v>
      </c>
      <c r="I8053" s="36" t="n">
        <f aca="false">IF(Sens!$I$8049&gt;0,Sens!$I$8051/Sens!$I$8049,Sens!$I$8047)</f>
        <v>2.01589303369541</v>
      </c>
      <c r="J8053" s="36" t="n">
        <f aca="false">IF(Sens!$J$8049&gt;0,Sens!$J$8051/Sens!$J$8049,Sens!$J$8047)</f>
        <v>2.02222793284795</v>
      </c>
      <c r="K8053" s="36" t="n">
        <f aca="false">IF(Sens!$K$8049&gt;0,Sens!$K$8051/Sens!$K$8049,Sens!$K$8047)</f>
        <v>2.02484801187606</v>
      </c>
      <c r="L8053" s="36" t="n">
        <f aca="false">IF(Sens!$L$8049&gt;0,Sens!$L$8051/Sens!$L$8049,Sens!$L$8047)</f>
        <v>2.02596630155773</v>
      </c>
      <c r="M8053" s="36" t="n">
        <f aca="false">IF(Sens!$M$8049&gt;0,Sens!$M$8051/Sens!$M$8049,Sens!$M$8047)</f>
        <v>2.02617763201597</v>
      </c>
    </row>
    <row r="8054" customFormat="false" ht="17.15" hidden="false" customHeight="false" outlineLevel="0" collapsed="false">
      <c r="A8054" s="15" t="s">
        <v>609</v>
      </c>
      <c r="B8054" s="14" t="s">
        <v>173</v>
      </c>
      <c r="C8054" s="14"/>
      <c r="D8054" s="14"/>
      <c r="E8054" s="14"/>
      <c r="F8054" s="37" t="n">
        <f aca="false">Sens!$F$8052*k_B</f>
        <v>10.7987645808025</v>
      </c>
      <c r="G8054" s="37" t="n">
        <f aca="false">Sens!$G$8052*k_B</f>
        <v>10.7987645808025</v>
      </c>
      <c r="H8054" s="37" t="n">
        <f aca="false">Sens!$H$8052*k_B</f>
        <v>11.0201444540452</v>
      </c>
      <c r="I8054" s="37" t="n">
        <f aca="false">Sens!$I$8052*k_B</f>
        <v>11.1972483526393</v>
      </c>
      <c r="J8054" s="37" t="n">
        <f aca="false">Sens!$J$8052*k_B</f>
        <v>11.2731500234653</v>
      </c>
      <c r="K8054" s="37" t="n">
        <f aca="false">Sens!$K$8052*k_B</f>
        <v>11.3045425320343</v>
      </c>
      <c r="L8054" s="37" t="n">
        <f aca="false">Sens!$L$8052*k_B</f>
        <v>11.3179413333826</v>
      </c>
      <c r="M8054" s="37" t="n">
        <f aca="false">Sens!$M$8052*k_B</f>
        <v>11.3204733918244</v>
      </c>
      <c r="N8054" s="14"/>
      <c r="O8054" s="14"/>
      <c r="P8054" s="5" t="s">
        <v>610</v>
      </c>
    </row>
    <row r="8055" customFormat="false" ht="17.15" hidden="false" customHeight="false" outlineLevel="0" collapsed="false">
      <c r="A8055" s="5" t="s">
        <v>611</v>
      </c>
      <c r="B8055" s="0" t="s">
        <v>129</v>
      </c>
      <c r="F8055" s="32" t="n">
        <f aca="false">Sens!$F$8049/2</f>
        <v>908.575</v>
      </c>
      <c r="H8055" s="32" t="n">
        <f aca="false">(Sens!$G$8049+Sens!$H$8049)/2</f>
        <v>3634.3</v>
      </c>
      <c r="I8055" s="32" t="n">
        <f aca="false">(Sens!$H$8049+Sens!$I$8049)/2</f>
        <v>7268.6</v>
      </c>
      <c r="J8055" s="32" t="n">
        <f aca="false">(Sens!$I$8049+Sens!$J$8049)/2</f>
        <v>10902.9</v>
      </c>
      <c r="K8055" s="32" t="n">
        <f aca="false">(Sens!$J$8049+Sens!$K$8049)/2</f>
        <v>13980.8168333333</v>
      </c>
      <c r="L8055" s="32" t="n">
        <f aca="false">(Sens!$K$8049+Sens!$L$8049)/2</f>
        <v>15945.9673333333</v>
      </c>
      <c r="M8055" s="32" t="n">
        <f aca="false">(Sens!$L$8049+Sens!$M$8049)/2</f>
        <v>16798.3515</v>
      </c>
    </row>
    <row r="8056" customFormat="false" ht="17.15" hidden="false" customHeight="false" outlineLevel="0" collapsed="false">
      <c r="A8056" s="1" t="s">
        <v>612</v>
      </c>
    </row>
    <row r="8057" customFormat="false" ht="17.15" hidden="false" customHeight="false" outlineLevel="0" collapsed="false">
      <c r="A8057" s="1" t="s">
        <v>613</v>
      </c>
      <c r="B8057" s="8" t="s">
        <v>86</v>
      </c>
      <c r="C8057" s="38" t="n">
        <f aca="false">Sens!$C$8040*rpm_open*Sens!$C$8041/1000</f>
        <v>2.32100535697364</v>
      </c>
      <c r="D8057" s="38" t="n">
        <f aca="false">Sens!$D$8040*rpm_open*Sens!$D$8041/1000</f>
        <v>8.70377008865116</v>
      </c>
      <c r="E8057" s="38" t="n">
        <f aca="false">Sens!$E$8040*rpm_open*Sens!$E$8041/1000</f>
        <v>8.51035297557002</v>
      </c>
      <c r="F8057" s="38" t="n">
        <f aca="false">(mw_open*rpm_open+Sens!$F$8055*Sens!$F$8054)*Sens!$F$8041/1000</f>
        <v>14.9634336447205</v>
      </c>
      <c r="G8057" s="38" t="n">
        <f aca="false">Sens!$E$8057+Sens!$F$8057</f>
        <v>23.4737866202905</v>
      </c>
      <c r="H8057" s="38" t="n">
        <f aca="false">(mw_open*rpm_open+Sens!$H$8055*Sens!$H$8054)/1000</f>
        <v>60.1658907497746</v>
      </c>
      <c r="I8057" s="38" t="n">
        <f aca="false">(mw_open*rpm_open+Sens!$I$8055*Sens!$I$8054)/1000</f>
        <v>101.503699136432</v>
      </c>
      <c r="J8057" s="38" t="n">
        <f aca="false">(mw_open*rpm_open+Sens!$J$8055*Sens!$J$8054)/1000</f>
        <v>143.025407151278</v>
      </c>
      <c r="K8057" s="38" t="n">
        <f aca="false">(mw_open*rpm_open+Sens!$K$8055*Sens!$K$8054)/1000</f>
        <v>178.162118285436</v>
      </c>
      <c r="L8057" s="38" t="n">
        <f aca="false">(mw_open*rpm_open+Sens!$L$8055*Sens!$L$8054)/1000</f>
        <v>200.590902543141</v>
      </c>
      <c r="M8057" s="38" t="n">
        <f aca="false">(mw_open*rpm_open+Sens!$M$8055*Sens!$M$8054)/1000</f>
        <v>210.280670942702</v>
      </c>
      <c r="N8057" s="38" t="n">
        <f aca="false">Sens!$N$8040*rpm_open*Sens!$N$8041/1000</f>
        <v>3.04631953102791</v>
      </c>
      <c r="O8057" s="38" t="n">
        <f aca="false">Sens!$O$8040*rpm_open*Sens!$O$8041/1000</f>
        <v>5.65745055762326</v>
      </c>
      <c r="P8057" s="5" t="s">
        <v>614</v>
      </c>
    </row>
    <row r="8058" customFormat="false" ht="17.15" hidden="false" customHeight="false" outlineLevel="0" collapsed="false">
      <c r="A8058" s="5" t="s">
        <v>615</v>
      </c>
      <c r="B8058" s="0" t="s">
        <v>173</v>
      </c>
      <c r="C8058" s="36" t="n">
        <f aca="false">Sens!$C$8057*1000/(Sens!$C$8040*Sens!$C$8041)</f>
        <v>9.67085565405685</v>
      </c>
      <c r="D8058" s="36" t="n">
        <f aca="false">Sens!$D$8057*1000/(Sens!$D$8040*Sens!$D$8041)</f>
        <v>9.67085565405685</v>
      </c>
      <c r="E8058" s="36" t="n">
        <f aca="false">Sens!$E$8057*1000/(Sens!$E$8040*Sens!$E$8041)</f>
        <v>9.67085565405685</v>
      </c>
      <c r="F8058" s="36" t="n">
        <f aca="false">Sens!$F$8057*1000/(Sens!$F$8040*Sens!$F$8041)</f>
        <v>10.0137581588017</v>
      </c>
      <c r="G8058" s="36" t="n">
        <f aca="false">Sens!$G$8057*1000/(Sens!$G$8040*Sens!$G$8041)</f>
        <v>9.88666562928478</v>
      </c>
      <c r="H8058" s="36" t="n">
        <f aca="false">Sens!$H$8057*1000/(Sens!$H$8040*Sens!$H$8041)</f>
        <v>10.5290045586992</v>
      </c>
      <c r="I8058" s="36" t="n">
        <f aca="false">Sens!$I$8057*1000/(Sens!$I$8040*Sens!$I$8041)</f>
        <v>10.8576363451674</v>
      </c>
      <c r="J8058" s="36" t="n">
        <f aca="false">Sens!$J$8057*1000/(Sens!$J$8040*Sens!$J$8041)</f>
        <v>11.0164452588619</v>
      </c>
      <c r="K8058" s="36" t="n">
        <f aca="false">Sens!$K$8057*1000/(Sens!$K$8040*Sens!$K$8041)</f>
        <v>11.0929674458194</v>
      </c>
      <c r="L8058" s="36" t="n">
        <f aca="false">Sens!$L$8057*1000/(Sens!$L$8040*Sens!$L$8041)</f>
        <v>11.1278856126745</v>
      </c>
      <c r="M8058" s="36" t="n">
        <f aca="false">Sens!$M$8057*1000/(Sens!$M$8040*Sens!$M$8041)</f>
        <v>11.1387199747129</v>
      </c>
      <c r="N8058" s="36" t="n">
        <f aca="false">Sens!$N$8057*1000/(Sens!$N$8040*Sens!$N$8041)</f>
        <v>9.67085565405685</v>
      </c>
      <c r="O8058" s="36" t="n">
        <f aca="false">Sens!$O$8057*1000/(Sens!$O$8040*Sens!$O$8041)</f>
        <v>9.67085565405685</v>
      </c>
    </row>
    <row r="8059" customFormat="false" ht="17.15" hidden="false" customHeight="false" outlineLevel="0" collapsed="false">
      <c r="A8059" s="0" t="s">
        <v>616</v>
      </c>
      <c r="B8059" s="0" t="s">
        <v>86</v>
      </c>
      <c r="C8059" s="38" t="n">
        <f aca="false">Sens!$C$8040/ext_sh*(ox_open+rent_mw)*Sens!$C$8041/1000</f>
        <v>0.642569210675032</v>
      </c>
      <c r="D8059" s="38" t="n">
        <f aca="false">Sens!$D$8040/ext_sh*(ox_open+rent_mw)*Sens!$D$8041/1000</f>
        <v>2.40963454003137</v>
      </c>
      <c r="E8059" s="38" t="n">
        <f aca="false">Sens!$E$8040/ext_sh*(ox_open+rent_mw)*Sens!$E$8041/1000</f>
        <v>2.35608710580845</v>
      </c>
      <c r="F8059" s="38" t="n">
        <f aca="false">((mw_open*ox_open+Sens!$F$8055*Sens!$F$8053)/ext_sh+Sens!$F$8040/ext_sh*rent_mw)*Sens!$F$8041/1000</f>
        <v>4.05421991106232</v>
      </c>
      <c r="G8059" s="38" t="n">
        <f aca="false">Sens!$E$8059+Sens!$F$8059</f>
        <v>6.41030701687077</v>
      </c>
      <c r="H8059" s="38" t="n">
        <f aca="false">((mw_open*ox_open+Sens!$H$8055*Sens!$H$8053)/ext_sh+Sens!$H$8040/ext_sh*rent_mw)*Sens!$H$8041/1000</f>
        <v>15.8108975546616</v>
      </c>
      <c r="I8059" s="38" t="n">
        <f aca="false">((mw_open*ox_open+Sens!$I$8055*Sens!$I$8053)/ext_sh+Sens!$I$8040/ext_sh*rent_mw)*Sens!$I$8041/1000</f>
        <v>26.1871623400817</v>
      </c>
      <c r="J8059" s="38" t="n">
        <f aca="false">((mw_open*ox_open+Sens!$J$8055*Sens!$J$8053)/ext_sh+Sens!$J$8040/ext_sh*rent_mw)*Sens!$J$8041/1000</f>
        <v>36.5826128954935</v>
      </c>
      <c r="K8059" s="38" t="n">
        <f aca="false">((mw_open*ox_open+Sens!$K$8055*Sens!$K$8053)/ext_sh+Sens!$K$8040/ext_sh*rent_mw)*Sens!$K$8041/1000</f>
        <v>45.3836433528648</v>
      </c>
      <c r="L8059" s="38" t="n">
        <f aca="false">((mw_open*ox_open+Sens!$L$8055*Sens!$L$8053)/ext_sh+Sens!$L$8040/ext_sh*rent_mw)*Sens!$L$8041/1000</f>
        <v>51.0023088908591</v>
      </c>
      <c r="M8059" s="38" t="n">
        <f aca="false">((mw_open*ox_open+Sens!$M$8055*Sens!$M$8053)/ext_sh+Sens!$M$8040/ext_sh*rent_mw)*Sens!$M$8041/1000</f>
        <v>53.4353660768611</v>
      </c>
      <c r="N8059" s="38" t="n">
        <f aca="false">Sens!$N$8040/ext_sh*(ox_open+rent_mw)*Sens!$N$8041/1000</f>
        <v>0.84337208901098</v>
      </c>
      <c r="O8059" s="38" t="n">
        <f aca="false">Sens!$O$8040/ext_sh*(ox_open+rent_mw)*Sens!$O$8041/1000</f>
        <v>1.56626245102039</v>
      </c>
    </row>
    <row r="8060" customFormat="false" ht="17.15" hidden="false" customHeight="false" outlineLevel="0" collapsed="false">
      <c r="A8060" s="0" t="s">
        <v>617</v>
      </c>
      <c r="B8060" s="0" t="s">
        <v>86</v>
      </c>
      <c r="C8060" s="38" t="n">
        <f aca="false">Q!$D$7</f>
        <v>107.556</v>
      </c>
      <c r="D8060" s="38" t="n">
        <f aca="false">Q!$E$7</f>
        <v>128.725</v>
      </c>
      <c r="E8060" s="38" t="n">
        <f aca="false">Q!$P$7</f>
        <v>79.819</v>
      </c>
      <c r="N8060" s="38" t="n">
        <f aca="false">Q!$N$7</f>
        <v>60.14</v>
      </c>
      <c r="O8060" s="38" t="n">
        <f aca="false">Q!$O$7</f>
        <v>68.585</v>
      </c>
    </row>
    <row r="8061" customFormat="false" ht="17.15" hidden="false" customHeight="false" outlineLevel="0" collapsed="false">
      <c r="A8061" s="1" t="s">
        <v>618</v>
      </c>
      <c r="B8061" s="8" t="s">
        <v>86</v>
      </c>
      <c r="C8061" s="38" t="n">
        <f aca="false">Sens!$C$8060-Sens!$C$8057</f>
        <v>105.234994643026</v>
      </c>
      <c r="D8061" s="38" t="n">
        <f aca="false">Sens!$D$8060-Sens!$D$8057</f>
        <v>120.021229911349</v>
      </c>
      <c r="E8061" s="38" t="n">
        <f aca="false">Sens!$E$8060-Sens!$E$8057</f>
        <v>71.30864702443</v>
      </c>
      <c r="F8061" s="38" t="n">
        <f aca="false">Sens!$O$8061*(1+Sens!$F$8062)</f>
        <v>71.7692997942464</v>
      </c>
      <c r="G8061" s="38" t="n">
        <f aca="false">Sens!$E$8061+Sens!$F$8061</f>
        <v>143.077946818676</v>
      </c>
      <c r="H8061" s="38" t="n">
        <f aca="false">Sens!$G$8061*(1+Sens!$H$8062)</f>
        <v>161.017077079203</v>
      </c>
      <c r="I8061" s="38" t="n">
        <f aca="false">Sens!$H$8061*(1+Sens!$I$8062)</f>
        <v>178.769759521457</v>
      </c>
      <c r="J8061" s="38" t="n">
        <f aca="false">Sens!$I$8061*(1+Sens!$J$8062)</f>
        <v>195.775538045907</v>
      </c>
      <c r="K8061" s="38" t="n">
        <f aca="false">Sens!$J$8061*(1+Sens!$K$8062)</f>
        <v>211.43758108958</v>
      </c>
      <c r="L8061" s="38" t="n">
        <f aca="false">Sens!$K$8061*(1+Sens!$L$8062)</f>
        <v>228.352587576746</v>
      </c>
      <c r="M8061" s="38" t="n">
        <f aca="false">Sens!$L$8061*(1+Sens!$M$8062)</f>
        <v>246.620794582886</v>
      </c>
      <c r="N8061" s="38" t="n">
        <f aca="false">Sens!$N$8060-Sens!$N$8057</f>
        <v>57.0936804689721</v>
      </c>
      <c r="O8061" s="38" t="n">
        <f aca="false">Sens!$O$8060-Sens!$O$8057</f>
        <v>62.9275494423768</v>
      </c>
      <c r="P8061" s="5" t="s">
        <v>619</v>
      </c>
    </row>
    <row r="8062" customFormat="false" ht="17.15" hidden="false" customHeight="false" outlineLevel="0" collapsed="false">
      <c r="A8062" s="0" t="s">
        <v>620</v>
      </c>
      <c r="B8062" s="0" t="s">
        <v>52</v>
      </c>
      <c r="D8062" s="13" t="n">
        <f aca="false">Sens!$D$8061/Sens!$C$8061-1</f>
        <v>0.140506827776062</v>
      </c>
      <c r="E8062" s="13" t="n">
        <f aca="false">Sens!$E$8061/Sens!$N$8061-1</f>
        <v>0.248976181579029</v>
      </c>
      <c r="F8062" s="13" t="n">
        <f aca="false">Sens!$D$8062</f>
        <v>0.140506827776062</v>
      </c>
      <c r="G8062" s="13" t="n">
        <f aca="false">Sens!$G$8061/Sens!$D$8061-1</f>
        <v>0.19210532106993</v>
      </c>
      <c r="H8062" s="13" t="n">
        <f aca="false">Sens!$F$8062+(g_awso_lt-Sens!$F$8062)*1/4</f>
        <v>0.125380120832046</v>
      </c>
      <c r="I8062" s="13" t="n">
        <f aca="false">Sens!$F$8062+(g_awso_lt-Sens!$F$8062)*2/4</f>
        <v>0.110253413888031</v>
      </c>
      <c r="J8062" s="13" t="n">
        <f aca="false">Sens!$F$8062+(g_awso_lt-Sens!$F$8062)*3/4</f>
        <v>0.0951267069440154</v>
      </c>
      <c r="K8062" s="13" t="n">
        <f aca="false">Sens!$F$8062+(g_awso_lt-Sens!$F$8062)*4/4</f>
        <v>0.08</v>
      </c>
      <c r="L8062" s="13" t="n">
        <f aca="false">g_awso_lt</f>
        <v>0.08</v>
      </c>
      <c r="M8062" s="13" t="n">
        <f aca="false">g_awso_lt</f>
        <v>0.08</v>
      </c>
      <c r="P8062" s="5" t="s">
        <v>621</v>
      </c>
    </row>
    <row r="8063" customFormat="false" ht="17.15" hidden="false" customHeight="false" outlineLevel="0" collapsed="false">
      <c r="A8063" s="1" t="s">
        <v>622</v>
      </c>
    </row>
    <row r="8064" customFormat="false" ht="17.15" hidden="false" customHeight="false" outlineLevel="0" collapsed="false">
      <c r="A8064" s="0" t="s">
        <v>623</v>
      </c>
      <c r="B8064" s="0" t="s">
        <v>86</v>
      </c>
      <c r="F8064" s="38" t="n">
        <f aca="false">cx_rt*Sens!$F$8029+cx_awso*Sens!$F$8061</f>
        <v>34.9734495387866</v>
      </c>
    </row>
    <row r="8065" customFormat="false" ht="17.15" hidden="false" customHeight="false" outlineLevel="0" collapsed="false">
      <c r="A8065" s="0" t="s">
        <v>624</v>
      </c>
      <c r="B8065" s="0" t="s">
        <v>52</v>
      </c>
      <c r="C8065" s="13" t="n">
        <f aca="false">tk_cx_h100/(tk_cx_h100+tk_fac*(1-colo_sh))</f>
        <v>0.730756458006641</v>
      </c>
      <c r="D8065" s="13" t="n">
        <f aca="false">tk_cx_h100/(tk_cx_h100+tk_fac*(1-colo_sh))</f>
        <v>0.730756458006641</v>
      </c>
      <c r="E8065" s="13" t="n">
        <f aca="false">Sens!$F$8065</f>
        <v>0.760792334328868</v>
      </c>
      <c r="F8065" s="13" t="n">
        <f aca="false">Sens!$F$8048/(Sens!$F$8048+tk_fac*(1-colo_sh))</f>
        <v>0.760792334328868</v>
      </c>
      <c r="G8065" s="13" t="n">
        <f aca="false">Sens!$G$8048/(Sens!$G$8048+tk_fac*(1-colo_sh))</f>
        <v>0.760792334328868</v>
      </c>
      <c r="H8065" s="13" t="n">
        <f aca="false">Sens!$H$8048/(Sens!$H$8048+tk_fac*(1-colo_sh))</f>
        <v>0.768110668862996</v>
      </c>
      <c r="I8065" s="13" t="n">
        <f aca="false">Sens!$I$8048/(Sens!$I$8048+tk_fac*(1-colo_sh))</f>
        <v>0.77499450139483</v>
      </c>
      <c r="J8065" s="13" t="n">
        <f aca="false">Sens!$J$8048/(Sens!$J$8048+tk_fac*(1-colo_sh))</f>
        <v>0.77499450139483</v>
      </c>
      <c r="K8065" s="13" t="n">
        <f aca="false">Sens!$K$8048/(Sens!$K$8048+tk_fac*(1-colo_sh))</f>
        <v>0.77499450139483</v>
      </c>
      <c r="L8065" s="13" t="n">
        <f aca="false">Sens!$L$8048/(Sens!$L$8048+tk_fac*(1-colo_sh))</f>
        <v>0.77499450139483</v>
      </c>
      <c r="M8065" s="13" t="n">
        <f aca="false">Sens!$M$8048/(Sens!$M$8048+tk_fac*(1-colo_sh))</f>
        <v>0.77499450139483</v>
      </c>
    </row>
    <row r="8066" customFormat="false" ht="17.15" hidden="false" customHeight="false" outlineLevel="0" collapsed="false">
      <c r="A8066" s="1" t="s">
        <v>625</v>
      </c>
      <c r="B8066" s="8" t="s">
        <v>86</v>
      </c>
      <c r="C8066" s="38" t="n">
        <f aca="false">Q!$D$46-cx_rt*Q!$D$16-cx_awso*Sens!$C$8061</f>
        <v>25.2781053077374</v>
      </c>
      <c r="D8066" s="38" t="n">
        <f aca="false">Q!$E$46-cx_rt*Q!$E$16-cx_awso*Sens!$D$8061</f>
        <v>69.5686316310026</v>
      </c>
      <c r="E8066" s="38" t="n">
        <f aca="false">Q!$P$46-cx_rt*Q!$P$16-cx_awso*Sens!$E$8061</f>
        <v>64.1899206485108</v>
      </c>
      <c r="F8066" s="38" t="n">
        <f aca="false">MAX(Sens!$F$8043*(Sens!$F$8048+tk_fac*(1-colo_sh))/1000,capex_g26-Q!$P$46-Sens!$F$8064)</f>
        <v>96.2481299895</v>
      </c>
      <c r="G8066" s="38" t="n">
        <f aca="false">Sens!$E$8066+Sens!$F$8066</f>
        <v>160.438050638011</v>
      </c>
      <c r="H8066" s="38" t="n">
        <f aca="false">Sens!$H$8043*(Sens!$H$8048+tk_fac*(1-colo_sh))/1000+Sens!$H$8067</f>
        <v>198.57136494475</v>
      </c>
      <c r="I8066" s="38" t="n">
        <f aca="false">Sens!$I$8043*(Sens!$I$8048+tk_fac*(1-colo_sh))/1000+Sens!$I$8067</f>
        <v>204.6464699105</v>
      </c>
      <c r="J8066" s="38" t="n">
        <f aca="false">Sens!$J$8043*(Sens!$J$8048+tk_fac*(1-colo_sh))/1000+Sens!$J$8067</f>
        <v>209.8832381105</v>
      </c>
      <c r="K8066" s="38" t="n">
        <f aca="false">Sens!$K$8043*(Sens!$K$8048+tk_fac*(1-colo_sh))/1000+Sens!$K$8067</f>
        <v>152.460428963578</v>
      </c>
      <c r="L8066" s="38" t="n">
        <f aca="false">Sens!$L$8043*(Sens!$L$8048+tk_fac*(1-colo_sh))/1000+Sens!$L$8067</f>
        <v>126.458229016657</v>
      </c>
      <c r="M8066" s="38" t="n">
        <f aca="false">Sens!$M$8043*(Sens!$M$8048+tk_fac*(1-colo_sh))/1000+Sens!$M$8067</f>
        <v>123.897112724985</v>
      </c>
      <c r="P8066" s="5" t="s">
        <v>626</v>
      </c>
      <c r="R8066" s="38" t="n">
        <f aca="false">Q!$C$46-cx_rt*Q!$C$16-cx_awso*(Q!$C$7-mw_ye23/2*rpm_open/1000)</f>
        <v>1.50429979529945</v>
      </c>
      <c r="S8066" s="38" t="n">
        <f aca="false">Sens!$C$8066</f>
        <v>25.2781053077374</v>
      </c>
      <c r="T8066" s="38" t="n">
        <f aca="false">Sens!$D$8066</f>
        <v>69.5686316310026</v>
      </c>
      <c r="U8066" s="38" t="n">
        <f aca="false">Sens!$G$8066</f>
        <v>160.438050638011</v>
      </c>
      <c r="V8066" s="38" t="n">
        <f aca="false">Sens!$H$8066</f>
        <v>198.57136494475</v>
      </c>
      <c r="W8066" s="38" t="n">
        <f aca="false">Sens!$I$8066</f>
        <v>204.6464699105</v>
      </c>
      <c r="X8066" s="38" t="n">
        <f aca="false">Sens!$J$8066</f>
        <v>209.8832381105</v>
      </c>
      <c r="Y8066" s="38" t="n">
        <f aca="false">Sens!$K$8066</f>
        <v>152.460428963578</v>
      </c>
      <c r="Z8066" s="38" t="n">
        <f aca="false">Sens!$L$8066</f>
        <v>126.458229016657</v>
      </c>
      <c r="AA8066" s="38" t="n">
        <f aca="false">Sens!$M$8066</f>
        <v>123.897112724985</v>
      </c>
    </row>
    <row r="8067" customFormat="false" ht="17.15" hidden="false" customHeight="false" outlineLevel="0" collapsed="false">
      <c r="A8067" s="0" t="s">
        <v>627</v>
      </c>
      <c r="B8067" s="0" t="s">
        <v>86</v>
      </c>
      <c r="H8067" s="38" t="n">
        <f aca="false">SUMPRODUCT(--(Sens!$R$8036:$AA$8036=2027-tk_life),Sens!$R$8043:$AA$8043)*Sens!$H$8048/1000</f>
        <v>0</v>
      </c>
      <c r="I8067" s="38" t="n">
        <f aca="false">SUMPRODUCT(--(Sens!$R$8036:$AA$8036=2028-tk_life),Sens!$R$8043:$AA$8043)*Sens!$I$8048/1000</f>
        <v>0</v>
      </c>
      <c r="J8067" s="38" t="n">
        <f aca="false">SUMPRODUCT(--(Sens!$R$8036:$AA$8036=2029-tk_life),Sens!$R$8043:$AA$8043)*Sens!$J$8048/1000</f>
        <v>5.2367682</v>
      </c>
      <c r="K8067" s="38" t="n">
        <f aca="false">SUMPRODUCT(--(Sens!$R$8036:$AA$8036=2030-tk_life),Sens!$R$8043:$AA$8043)*Sens!$K$8048/1000</f>
        <v>10.4735364</v>
      </c>
      <c r="L8067" s="38" t="n">
        <f aca="false">SUMPRODUCT(--(Sens!$R$8036:$AA$8036=2031-tk_life),Sens!$R$8043:$AA$8043)*Sens!$L$8048/1000</f>
        <v>47.1309138</v>
      </c>
      <c r="M8067" s="38" t="n">
        <f aca="false">SUMPRODUCT(--(Sens!$R$8036:$AA$8036=2032-tk_life),Sens!$R$8043:$AA$8043)*Sens!$M$8048/1000</f>
        <v>107.22937485525</v>
      </c>
    </row>
    <row r="8068" customFormat="false" ht="17.15" hidden="false" customHeight="false" outlineLevel="0" collapsed="false">
      <c r="A8068" s="5" t="s">
        <v>628</v>
      </c>
      <c r="B8068" s="0" t="s">
        <v>86</v>
      </c>
      <c r="C8068" s="38" t="n">
        <f aca="false">Sens!$C$8066*Sens!$C$8065</f>
        <v>18.472138699801</v>
      </c>
      <c r="D8068" s="38" t="n">
        <f aca="false">Sens!$D$8066*Sens!$D$8065</f>
        <v>50.8377268390402</v>
      </c>
      <c r="E8068" s="38" t="n">
        <f aca="false">Sens!$E$8066*Sens!$E$8065</f>
        <v>48.8351995705653</v>
      </c>
      <c r="F8068" s="38" t="n">
        <f aca="false">Sens!$F$8066*Sens!$F$8065</f>
        <v>73.2248394895</v>
      </c>
      <c r="G8068" s="38" t="n">
        <f aca="false">Sens!$E$8068+Sens!$F$8068</f>
        <v>122.060039060065</v>
      </c>
      <c r="H8068" s="38" t="n">
        <f aca="false">(Sens!$H$8066-Sens!$H$8067)*Sens!$H$8065+Sens!$H$8067</f>
        <v>152.52478394475</v>
      </c>
      <c r="I8068" s="38" t="n">
        <f aca="false">(Sens!$I$8066-Sens!$I$8067)*Sens!$I$8065+Sens!$I$8067</f>
        <v>158.5998889105</v>
      </c>
      <c r="J8068" s="38" t="n">
        <f aca="false">(Sens!$J$8066-Sens!$J$8067)*Sens!$J$8065+Sens!$J$8067</f>
        <v>163.8366571105</v>
      </c>
      <c r="K8068" s="38" t="n">
        <f aca="false">(Sens!$K$8066-Sens!$K$8067)*Sens!$K$8065+Sens!$K$8067</f>
        <v>120.512597406912</v>
      </c>
      <c r="L8068" s="38" t="n">
        <f aca="false">(Sens!$L$8066-Sens!$L$8067)*Sens!$L$8065+Sens!$L$8067</f>
        <v>108.609146903323</v>
      </c>
      <c r="M8068" s="38" t="n">
        <f aca="false">(Sens!$M$8066-Sens!$M$8067)*Sens!$M$8065+Sens!$M$8067</f>
        <v>120.146780054985</v>
      </c>
      <c r="R8068" s="38" t="n">
        <f aca="false">Sens!$R$8066*Sens!$C$8065</f>
        <v>1.09927679019314</v>
      </c>
      <c r="S8068" s="38" t="n">
        <f aca="false">Sens!$C$8068</f>
        <v>18.472138699801</v>
      </c>
      <c r="T8068" s="38" t="n">
        <f aca="false">Sens!$D$8068</f>
        <v>50.8377268390402</v>
      </c>
      <c r="U8068" s="38" t="n">
        <f aca="false">Sens!$G$8068</f>
        <v>122.060039060065</v>
      </c>
      <c r="V8068" s="38" t="n">
        <f aca="false">Sens!$H$8068</f>
        <v>152.52478394475</v>
      </c>
      <c r="W8068" s="38" t="n">
        <f aca="false">Sens!$I$8068</f>
        <v>158.5998889105</v>
      </c>
      <c r="X8068" s="38" t="n">
        <f aca="false">Sens!$J$8068</f>
        <v>163.8366571105</v>
      </c>
      <c r="Y8068" s="38" t="n">
        <f aca="false">Sens!$K$8068</f>
        <v>120.512597406912</v>
      </c>
      <c r="Z8068" s="38" t="n">
        <f aca="false">Sens!$L$8068</f>
        <v>108.609146903323</v>
      </c>
      <c r="AA8068" s="38" t="n">
        <f aca="false">Sens!$M$8068</f>
        <v>120.146780054985</v>
      </c>
    </row>
    <row r="8069" customFormat="false" ht="15" hidden="false" customHeight="false" outlineLevel="0" collapsed="false">
      <c r="A8069" s="5" t="s">
        <v>629</v>
      </c>
      <c r="B8069" s="0" t="s">
        <v>86</v>
      </c>
      <c r="C8069" s="38" t="n">
        <f aca="false">Sens!$C$8066-Sens!$C$8068</f>
        <v>6.80596660793636</v>
      </c>
      <c r="D8069" s="38" t="n">
        <f aca="false">Sens!$D$8066-Sens!$D$8068</f>
        <v>18.7309047919624</v>
      </c>
      <c r="E8069" s="38" t="n">
        <f aca="false">Sens!$E$8066-Sens!$E$8068</f>
        <v>15.3547210779455</v>
      </c>
      <c r="F8069" s="38" t="n">
        <f aca="false">Sens!$F$8066-Sens!$F$8068</f>
        <v>23.0232905</v>
      </c>
      <c r="G8069" s="38" t="n">
        <f aca="false">Sens!$G$8066-Sens!$G$8068</f>
        <v>38.3780115779455</v>
      </c>
      <c r="H8069" s="38" t="n">
        <f aca="false">Sens!$H$8066-Sens!$H$8068</f>
        <v>46.046581</v>
      </c>
      <c r="I8069" s="38" t="n">
        <f aca="false">Sens!$I$8066-Sens!$I$8068</f>
        <v>46.046581</v>
      </c>
      <c r="J8069" s="38" t="n">
        <f aca="false">Sens!$J$8066-Sens!$J$8068</f>
        <v>46.046581</v>
      </c>
      <c r="K8069" s="38" t="n">
        <f aca="false">Sens!$K$8066-Sens!$K$8068</f>
        <v>31.9478315566667</v>
      </c>
      <c r="L8069" s="38" t="n">
        <f aca="false">Sens!$L$8066-Sens!$L$8068</f>
        <v>17.8490821133333</v>
      </c>
      <c r="M8069" s="38" t="n">
        <f aca="false">Sens!$M$8066-Sens!$M$8068</f>
        <v>3.75033267000001</v>
      </c>
      <c r="R8069" s="38" t="n">
        <f aca="false">Sens!$R$8066-Sens!$R$8068</f>
        <v>0.405023005106309</v>
      </c>
      <c r="S8069" s="38" t="n">
        <f aca="false">Sens!$S$8066-Sens!$S$8068</f>
        <v>6.80596660793636</v>
      </c>
      <c r="T8069" s="38" t="n">
        <f aca="false">Sens!$T$8066-Sens!$T$8068</f>
        <v>18.7309047919624</v>
      </c>
      <c r="U8069" s="38" t="n">
        <f aca="false">Sens!$U$8066-Sens!$U$8068</f>
        <v>38.3780115779455</v>
      </c>
      <c r="V8069" s="38" t="n">
        <f aca="false">Sens!$V$8066-Sens!$V$8068</f>
        <v>46.046581</v>
      </c>
      <c r="W8069" s="38" t="n">
        <f aca="false">Sens!$W$8066-Sens!$W$8068</f>
        <v>46.046581</v>
      </c>
      <c r="X8069" s="38" t="n">
        <f aca="false">Sens!$X$8066-Sens!$X$8068</f>
        <v>46.046581</v>
      </c>
      <c r="Y8069" s="38" t="n">
        <f aca="false">Sens!$Y$8066-Sens!$Y$8068</f>
        <v>31.9478315566667</v>
      </c>
      <c r="Z8069" s="38" t="n">
        <f aca="false">Sens!$Z$8066-Sens!$Z$8068</f>
        <v>17.8490821133333</v>
      </c>
      <c r="AA8069" s="38" t="n">
        <f aca="false">Sens!$AA$8066-Sens!$AA$8068</f>
        <v>3.75033267000001</v>
      </c>
    </row>
    <row r="8070" customFormat="false" ht="17.15" hidden="false" customHeight="false" outlineLevel="0" collapsed="false">
      <c r="A8070" s="0" t="s">
        <v>630</v>
      </c>
      <c r="B8070" s="0" t="s">
        <v>52</v>
      </c>
      <c r="C8070" s="13" t="n">
        <f aca="false">Sens!$C$8066/Sens!$C$8186</f>
        <v>0.325505489553393</v>
      </c>
      <c r="D8070" s="13" t="n">
        <f aca="false">Sens!$D$8066/Sens!$D$8186</f>
        <v>0.54214956071542</v>
      </c>
      <c r="E8070" s="13" t="n">
        <f aca="false">Sens!$E$8066/Sens!$E$8186</f>
        <v>0.666492790452817</v>
      </c>
      <c r="F8070" s="13" t="n">
        <f aca="false">Sens!$F$8066/Sens!$F$8186</f>
        <v>0.733477910687338</v>
      </c>
      <c r="G8070" s="13" t="n">
        <f aca="false">Sens!$G$8066/Sens!$G$8186</f>
        <v>0.705124321514523</v>
      </c>
      <c r="H8070" s="13" t="n">
        <f aca="false">Sens!$H$8066/Sens!$H$8186</f>
        <v>0.726376041178204</v>
      </c>
      <c r="I8070" s="13" t="n">
        <f aca="false">Sens!$I$8066/Sens!$I$8186</f>
        <v>0.713099092661699</v>
      </c>
      <c r="J8070" s="13" t="n">
        <f aca="false">Sens!$J$8066/Sens!$J$8186</f>
        <v>0.701208348786245</v>
      </c>
      <c r="K8070" s="13" t="n">
        <f aca="false">Sens!$K$8066/Sens!$K$8186</f>
        <v>0.614068498670476</v>
      </c>
      <c r="L8070" s="13" t="n">
        <f aca="false">Sens!$L$8066/Sens!$L$8186</f>
        <v>0.551880938289018</v>
      </c>
      <c r="M8070" s="13" t="n">
        <f aca="false">Sens!$M$8066/Sens!$M$8186</f>
        <v>0.529570283055906</v>
      </c>
    </row>
    <row r="8071" customFormat="false" ht="17.15" hidden="false" customHeight="false" outlineLevel="0" collapsed="false">
      <c r="A8071" s="0" t="s">
        <v>631</v>
      </c>
      <c r="B8071" s="0" t="s">
        <v>86</v>
      </c>
      <c r="C8071" s="38" t="n">
        <f aca="false">Sens!$S$8071</f>
        <v>0.183212798365523</v>
      </c>
      <c r="D8071" s="38" t="n">
        <f aca="false">Sens!$T$8071</f>
        <v>3.2619025816657</v>
      </c>
      <c r="E8071" s="38" t="n">
        <f aca="false">Sens!$G$8071/2</f>
        <v>5.86742852741953</v>
      </c>
      <c r="F8071" s="38" t="n">
        <f aca="false">Sens!$G$8071/2</f>
        <v>5.86742852741953</v>
      </c>
      <c r="G8071" s="38" t="n">
        <f aca="false">Sens!$U$8071</f>
        <v>11.7348570548391</v>
      </c>
      <c r="H8071" s="38" t="n">
        <f aca="false">Sens!$V$8071</f>
        <v>32.0781968981833</v>
      </c>
      <c r="I8071" s="38" t="n">
        <f aca="false">Sens!$W$8071</f>
        <v>57.4989942223083</v>
      </c>
      <c r="J8071" s="38" t="n">
        <f aca="false">Sens!$X$8071</f>
        <v>83.932309040725</v>
      </c>
      <c r="K8071" s="38" t="n">
        <f aca="false">Sens!$Y$8071</f>
        <v>111.055205760776</v>
      </c>
      <c r="L8071" s="38" t="n">
        <f aca="false">Sens!$Z$8071</f>
        <v>128.061948878628</v>
      </c>
      <c r="M8071" s="38" t="n">
        <f aca="false">Sens!$AA$8071</f>
        <v>137.690518889342</v>
      </c>
      <c r="N8071" s="38" t="n">
        <f aca="false">Sens!$D$8071/2</f>
        <v>1.63095129083285</v>
      </c>
      <c r="O8071" s="38" t="n">
        <f aca="false">Sens!$D$8071/2</f>
        <v>1.63095129083285</v>
      </c>
      <c r="R8071" s="38" t="n">
        <f aca="false">SUMPRODUCT(--(Sens!$R$8036:$AA$8036&lt;Sens!R$8036),--(Sens!$R$8036:$AA$8036&gt;=Sens!R$8036-tk_life),Sens!$R$8068:$AA$8068)/tk_life</f>
        <v>0</v>
      </c>
      <c r="S8071" s="38" t="n">
        <f aca="false">SUMPRODUCT(--(Sens!$R$8036:$AA$8036&lt;Sens!S$8036),--(Sens!$R$8036:$AA$8036&gt;=Sens!S$8036-tk_life),Sens!$R$8068:$AA$8068)/tk_life</f>
        <v>0.183212798365523</v>
      </c>
      <c r="T8071" s="38" t="n">
        <f aca="false">SUMPRODUCT(--(Sens!$R$8036:$AA$8036&lt;Sens!T$8036),--(Sens!$R$8036:$AA$8036&gt;=Sens!T$8036-tk_life),Sens!$R$8068:$AA$8068)/tk_life</f>
        <v>3.2619025816657</v>
      </c>
      <c r="U8071" s="38" t="n">
        <f aca="false">SUMPRODUCT(--(Sens!$R$8036:$AA$8036&lt;Sens!U$8036),--(Sens!$R$8036:$AA$8036&gt;=Sens!U$8036-tk_life),Sens!$R$8068:$AA$8068)/tk_life</f>
        <v>11.7348570548391</v>
      </c>
      <c r="V8071" s="38" t="n">
        <f aca="false">SUMPRODUCT(--(Sens!$R$8036:$AA$8036&lt;Sens!V$8036),--(Sens!$R$8036:$AA$8036&gt;=Sens!V$8036-tk_life),Sens!$R$8068:$AA$8068)/tk_life</f>
        <v>32.0781968981833</v>
      </c>
      <c r="W8071" s="38" t="n">
        <f aca="false">SUMPRODUCT(--(Sens!$R$8036:$AA$8036&lt;Sens!W$8036),--(Sens!$R$8036:$AA$8036&gt;=Sens!W$8036-tk_life),Sens!$R$8068:$AA$8068)/tk_life</f>
        <v>57.4989942223083</v>
      </c>
      <c r="X8071" s="38" t="n">
        <f aca="false">SUMPRODUCT(--(Sens!$R$8036:$AA$8036&lt;Sens!X$8036),--(Sens!$R$8036:$AA$8036&gt;=Sens!X$8036-tk_life),Sens!$R$8068:$AA$8068)/tk_life</f>
        <v>83.932309040725</v>
      </c>
      <c r="Y8071" s="38" t="n">
        <f aca="false">SUMPRODUCT(--(Sens!$R$8036:$AA$8036&lt;Sens!Y$8036),--(Sens!$R$8036:$AA$8036&gt;=Sens!Y$8036-tk_life),Sens!$R$8068:$AA$8068)/tk_life</f>
        <v>111.055205760776</v>
      </c>
      <c r="Z8071" s="38" t="n">
        <f aca="false">SUMPRODUCT(--(Sens!$R$8036:$AA$8036&lt;Sens!Z$8036),--(Sens!$R$8036:$AA$8036&gt;=Sens!Z$8036-tk_life),Sens!$R$8068:$AA$8068)/tk_life</f>
        <v>128.061948878628</v>
      </c>
      <c r="AA8071" s="38" t="n">
        <f aca="false">SUMPRODUCT(--(Sens!$R$8036:$AA$8036&lt;Sens!AA$8036),--(Sens!$R$8036:$AA$8036&gt;=Sens!AA$8036-tk_life),Sens!$R$8068:$AA$8068)/tk_life</f>
        <v>137.690518889342</v>
      </c>
    </row>
    <row r="8072" customFormat="false" ht="17.15" hidden="false" customHeight="false" outlineLevel="0" collapsed="false">
      <c r="A8072" s="0" t="s">
        <v>632</v>
      </c>
      <c r="B8072" s="0" t="s">
        <v>86</v>
      </c>
      <c r="C8072" s="38" t="n">
        <f aca="false">Sens!$S$8072</f>
        <v>0.0202511502553155</v>
      </c>
      <c r="D8072" s="38" t="n">
        <f aca="false">Sens!$T$8072</f>
        <v>0.360549480652134</v>
      </c>
      <c r="E8072" s="38" t="n">
        <f aca="false">Sens!$G$8072/2</f>
        <v>0.648547360125127</v>
      </c>
      <c r="F8072" s="38" t="n">
        <f aca="false">Sens!$G$8072/2</f>
        <v>0.648547360125127</v>
      </c>
      <c r="G8072" s="38" t="n">
        <f aca="false">Sens!$U$8072</f>
        <v>1.29709472025025</v>
      </c>
      <c r="H8072" s="38" t="n">
        <f aca="false">Sens!$V$8072</f>
        <v>3.21599529914753</v>
      </c>
      <c r="I8072" s="38" t="n">
        <f aca="false">Sens!$W$8072</f>
        <v>5.51832434914753</v>
      </c>
      <c r="J8072" s="38" t="n">
        <f aca="false">Sens!$X$8072</f>
        <v>7.82065339914753</v>
      </c>
      <c r="K8072" s="38" t="n">
        <f aca="false">Sens!$Y$8072</f>
        <v>10.1229824491475</v>
      </c>
      <c r="L8072" s="38" t="n">
        <f aca="false">Sens!$Z$8072</f>
        <v>11.7203740269809</v>
      </c>
      <c r="M8072" s="38" t="n">
        <f aca="false">Sens!$AA$8072</f>
        <v>12.6128281326475</v>
      </c>
      <c r="N8072" s="38" t="n">
        <f aca="false">Sens!$D$8072/2</f>
        <v>0.180274740326067</v>
      </c>
      <c r="O8072" s="38" t="n">
        <f aca="false">Sens!$D$8072/2</f>
        <v>0.180274740326067</v>
      </c>
      <c r="R8072" s="38" t="n">
        <f aca="false">SUMPRODUCT(--(Sens!$R$8036:$AA$8036&lt;Sens!R$8036),Sens!$R$8069:$AA$8069)/fac_life</f>
        <v>0</v>
      </c>
      <c r="S8072" s="38" t="n">
        <f aca="false">SUMPRODUCT(--(Sens!$R$8036:$AA$8036&lt;Sens!S$8036),Sens!$R$8069:$AA$8069)/fac_life</f>
        <v>0.0202511502553155</v>
      </c>
      <c r="T8072" s="38" t="n">
        <f aca="false">SUMPRODUCT(--(Sens!$R$8036:$AA$8036&lt;Sens!T$8036),Sens!$R$8069:$AA$8069)/fac_life</f>
        <v>0.360549480652134</v>
      </c>
      <c r="U8072" s="38" t="n">
        <f aca="false">SUMPRODUCT(--(Sens!$R$8036:$AA$8036&lt;Sens!U$8036),Sens!$R$8069:$AA$8069)/fac_life</f>
        <v>1.29709472025025</v>
      </c>
      <c r="V8072" s="38" t="n">
        <f aca="false">SUMPRODUCT(--(Sens!$R$8036:$AA$8036&lt;Sens!V$8036),Sens!$R$8069:$AA$8069)/fac_life</f>
        <v>3.21599529914753</v>
      </c>
      <c r="W8072" s="38" t="n">
        <f aca="false">SUMPRODUCT(--(Sens!$R$8036:$AA$8036&lt;Sens!W$8036),Sens!$R$8069:$AA$8069)/fac_life</f>
        <v>5.51832434914753</v>
      </c>
      <c r="X8072" s="38" t="n">
        <f aca="false">SUMPRODUCT(--(Sens!$R$8036:$AA$8036&lt;Sens!X$8036),Sens!$R$8069:$AA$8069)/fac_life</f>
        <v>7.82065339914753</v>
      </c>
      <c r="Y8072" s="38" t="n">
        <f aca="false">SUMPRODUCT(--(Sens!$R$8036:$AA$8036&lt;Sens!Y$8036),Sens!$R$8069:$AA$8069)/fac_life</f>
        <v>10.1229824491475</v>
      </c>
      <c r="Z8072" s="38" t="n">
        <f aca="false">SUMPRODUCT(--(Sens!$R$8036:$AA$8036&lt;Sens!Z$8036),Sens!$R$8069:$AA$8069)/fac_life</f>
        <v>11.7203740269809</v>
      </c>
      <c r="AA8072" s="38" t="n">
        <f aca="false">SUMPRODUCT(--(Sens!$R$8036:$AA$8036&lt;Sens!AA$8036),Sens!$R$8069:$AA$8069)/fac_life</f>
        <v>12.6128281326475</v>
      </c>
    </row>
    <row r="8073" customFormat="false" ht="17.15" hidden="false" customHeight="false" outlineLevel="0" collapsed="false">
      <c r="A8073" s="1" t="s">
        <v>633</v>
      </c>
      <c r="B8073" s="8" t="s">
        <v>86</v>
      </c>
      <c r="C8073" s="38" t="n">
        <f aca="false">Sens!$C$8071+Sens!$C$8072</f>
        <v>0.203463948620839</v>
      </c>
      <c r="D8073" s="38" t="n">
        <f aca="false">Sens!$D$8071+Sens!$D$8072</f>
        <v>3.62245206231783</v>
      </c>
      <c r="E8073" s="38" t="n">
        <f aca="false">Sens!$E$8071+Sens!$E$8072</f>
        <v>6.51597588754466</v>
      </c>
      <c r="F8073" s="38" t="n">
        <f aca="false">Sens!$F$8071+Sens!$F$8072</f>
        <v>6.51597588754466</v>
      </c>
      <c r="G8073" s="38" t="n">
        <f aca="false">Sens!$G$8071+Sens!$G$8072</f>
        <v>13.0319517750893</v>
      </c>
      <c r="H8073" s="38" t="n">
        <f aca="false">Sens!$H$8071+Sens!$H$8072</f>
        <v>35.2941921973308</v>
      </c>
      <c r="I8073" s="38" t="n">
        <f aca="false">Sens!$I$8071+Sens!$I$8072</f>
        <v>63.0173185714558</v>
      </c>
      <c r="J8073" s="38" t="n">
        <f aca="false">Sens!$J$8071+Sens!$J$8072</f>
        <v>91.7529624398725</v>
      </c>
      <c r="K8073" s="38" t="n">
        <f aca="false">Sens!$K$8071+Sens!$K$8072</f>
        <v>121.178188209924</v>
      </c>
      <c r="L8073" s="38" t="n">
        <f aca="false">Sens!$L$8071+Sens!$L$8072</f>
        <v>139.782322905609</v>
      </c>
      <c r="M8073" s="38" t="n">
        <f aca="false">Sens!$M$8071+Sens!$M$8072</f>
        <v>150.303347021989</v>
      </c>
      <c r="N8073" s="38" t="n">
        <f aca="false">Sens!$N$8071+Sens!$N$8072</f>
        <v>1.81122603115892</v>
      </c>
      <c r="O8073" s="38" t="n">
        <f aca="false">Sens!$O$8071+Sens!$O$8072</f>
        <v>1.81122603115892</v>
      </c>
      <c r="R8073" s="38" t="n">
        <f aca="false">Sens!$R$8071+Sens!$R$8072</f>
        <v>0</v>
      </c>
      <c r="S8073" s="38" t="n">
        <f aca="false">Sens!$S$8071+Sens!$S$8072</f>
        <v>0.203463948620839</v>
      </c>
      <c r="T8073" s="38" t="n">
        <f aca="false">Sens!$T$8071+Sens!$T$8072</f>
        <v>3.62245206231783</v>
      </c>
      <c r="U8073" s="38" t="n">
        <f aca="false">Sens!$U$8071+Sens!$U$8072</f>
        <v>13.0319517750893</v>
      </c>
      <c r="V8073" s="38" t="n">
        <f aca="false">Sens!$V$8071+Sens!$V$8072</f>
        <v>35.2941921973308</v>
      </c>
      <c r="W8073" s="38" t="n">
        <f aca="false">Sens!$W$8071+Sens!$W$8072</f>
        <v>63.0173185714558</v>
      </c>
      <c r="X8073" s="38" t="n">
        <f aca="false">Sens!$X$8071+Sens!$X$8072</f>
        <v>91.7529624398725</v>
      </c>
      <c r="Y8073" s="38" t="n">
        <f aca="false">Sens!$Y$8071+Sens!$Y$8072</f>
        <v>121.178188209924</v>
      </c>
      <c r="Z8073" s="38" t="n">
        <f aca="false">Sens!$Z$8071+Sens!$Z$8072</f>
        <v>139.782322905609</v>
      </c>
      <c r="AA8073" s="38" t="n">
        <f aca="false">Sens!$AA$8071+Sens!$AA$8072</f>
        <v>150.303347021989</v>
      </c>
    </row>
    <row r="8074" customFormat="false" ht="17.15" hidden="false" customHeight="false" outlineLevel="0" collapsed="false">
      <c r="A8074" s="0" t="s">
        <v>634</v>
      </c>
      <c r="B8074" s="0" t="s">
        <v>86</v>
      </c>
      <c r="C8074" s="38" t="n">
        <f aca="false">Sens!$S$8074</f>
        <v>26.578941154416</v>
      </c>
      <c r="D8074" s="38" t="n">
        <f aca="false">Sens!$T$8074</f>
        <v>92.5251207231008</v>
      </c>
      <c r="G8074" s="38" t="n">
        <f aca="false">Sens!$U$8074</f>
        <v>239.931219586022</v>
      </c>
      <c r="H8074" s="38" t="n">
        <f aca="false">Sens!$V$8074</f>
        <v>403.208392333442</v>
      </c>
      <c r="I8074" s="38" t="n">
        <f aca="false">Sens!$W$8074</f>
        <v>544.837543672486</v>
      </c>
      <c r="J8074" s="38" t="n">
        <f aca="false">Sens!$X$8074</f>
        <v>662.967819343113</v>
      </c>
      <c r="K8074" s="38" t="n">
        <f aca="false">Sens!$Y$8074</f>
        <v>694.250060096768</v>
      </c>
      <c r="L8074" s="38" t="n">
        <f aca="false">Sens!$Z$8074</f>
        <v>680.925966207816</v>
      </c>
      <c r="M8074" s="38" t="n">
        <f aca="false">Sens!$AA$8074</f>
        <v>654.519731910812</v>
      </c>
      <c r="R8074" s="38" t="n">
        <f aca="false">SUM(Sens!$R$8066:$R$8066)-SUM(Sens!$R$8073:$R$8073)</f>
        <v>1.50429979529945</v>
      </c>
      <c r="S8074" s="38" t="n">
        <f aca="false">SUM(Sens!$R$8066:$S$8066)-SUM(Sens!$R$8073:$S$8073)</f>
        <v>26.578941154416</v>
      </c>
      <c r="T8074" s="38" t="n">
        <f aca="false">SUM(Sens!$R$8066:$T$8066)-SUM(Sens!$R$8073:$T$8073)</f>
        <v>92.5251207231008</v>
      </c>
      <c r="U8074" s="38" t="n">
        <f aca="false">SUM(Sens!$R$8066:$U$8066)-SUM(Sens!$R$8073:$U$8073)</f>
        <v>239.931219586022</v>
      </c>
      <c r="V8074" s="38" t="n">
        <f aca="false">SUM(Sens!$R$8066:$V$8066)-SUM(Sens!$R$8073:$V$8073)</f>
        <v>403.208392333442</v>
      </c>
      <c r="W8074" s="38" t="n">
        <f aca="false">SUM(Sens!$R$8066:$W$8066)-SUM(Sens!$R$8073:$W$8073)</f>
        <v>544.837543672486</v>
      </c>
      <c r="X8074" s="38" t="n">
        <f aca="false">SUM(Sens!$R$8066:$X$8066)-SUM(Sens!$R$8073:$X$8073)</f>
        <v>662.967819343113</v>
      </c>
      <c r="Y8074" s="38" t="n">
        <f aca="false">SUM(Sens!$R$8066:$Y$8066)-SUM(Sens!$R$8073:$Y$8073)</f>
        <v>694.250060096768</v>
      </c>
      <c r="Z8074" s="38" t="n">
        <f aca="false">SUM(Sens!$R$8066:$Z$8066)-SUM(Sens!$R$8073:$Z$8073)</f>
        <v>680.925966207816</v>
      </c>
      <c r="AA8074" s="38" t="n">
        <f aca="false">SUM(Sens!$R$8066:$AA$8066)-SUM(Sens!$R$8073:$AA$8073)</f>
        <v>654.519731910812</v>
      </c>
    </row>
    <row r="8075" customFormat="false" ht="17.15" hidden="false" customHeight="false" outlineLevel="0" collapsed="false">
      <c r="A8075" s="1" t="s">
        <v>635</v>
      </c>
    </row>
    <row r="8076" customFormat="false" ht="17.15" hidden="false" customHeight="false" outlineLevel="0" collapsed="false">
      <c r="A8076" s="0" t="s">
        <v>636</v>
      </c>
      <c r="B8076" s="0" t="s">
        <v>86</v>
      </c>
      <c r="C8076" s="38" t="n">
        <f aca="false">Sens!$C$8057-ext_sh*Sens!$C$8059</f>
        <v>1.80694998843362</v>
      </c>
      <c r="D8076" s="38" t="n">
        <f aca="false">Sens!$D$8057-ext_sh*Sens!$D$8059</f>
        <v>6.77606245662607</v>
      </c>
      <c r="E8076" s="38" t="n">
        <f aca="false">Sens!$E$8057-ext_sh*Sens!$E$8059</f>
        <v>6.62548329092326</v>
      </c>
      <c r="F8076" s="38" t="n">
        <f aca="false">Sens!$F$8057-ext_sh*Sens!$F$8059</f>
        <v>11.7200577158706</v>
      </c>
      <c r="G8076" s="38" t="n">
        <f aca="false">Sens!$G$8057-ext_sh*Sens!$G$8059</f>
        <v>18.3455410067939</v>
      </c>
      <c r="H8076" s="38" t="n">
        <f aca="false">Sens!$H$8057-ext_sh*Sens!$H$8059</f>
        <v>47.5171727060453</v>
      </c>
      <c r="I8076" s="38" t="n">
        <f aca="false">Sens!$I$8057-ext_sh*Sens!$I$8059</f>
        <v>80.5539692643667</v>
      </c>
      <c r="J8076" s="38" t="n">
        <f aca="false">Sens!$J$8057-ext_sh*Sens!$J$8059</f>
        <v>113.759316834883</v>
      </c>
      <c r="K8076" s="38" t="n">
        <f aca="false">Sens!$K$8057-ext_sh*Sens!$K$8059</f>
        <v>141.855203603144</v>
      </c>
      <c r="L8076" s="38" t="n">
        <f aca="false">Sens!$L$8057-ext_sh*Sens!$L$8059</f>
        <v>159.789055430453</v>
      </c>
      <c r="M8076" s="38" t="n">
        <f aca="false">Sens!$M$8057-ext_sh*Sens!$M$8059</f>
        <v>167.532378081213</v>
      </c>
      <c r="N8076" s="38" t="n">
        <f aca="false">Sens!$N$8057-ext_sh*Sens!$N$8059</f>
        <v>2.37162185981912</v>
      </c>
      <c r="O8076" s="38" t="n">
        <f aca="false">Sens!$O$8057-ext_sh*Sens!$O$8059</f>
        <v>4.40444059680694</v>
      </c>
    </row>
    <row r="8077" customFormat="false" ht="17.15" hidden="false" customHeight="false" outlineLevel="0" collapsed="false">
      <c r="A8077" s="1" t="s">
        <v>637</v>
      </c>
      <c r="B8077" s="8" t="s">
        <v>86</v>
      </c>
      <c r="C8077" s="38" t="n">
        <f aca="false">Sens!$C$8076-ext_sh*Sens!$C$8073</f>
        <v>1.64417882953695</v>
      </c>
      <c r="D8077" s="38" t="n">
        <f aca="false">Sens!$D$8076-ext_sh*Sens!$D$8073</f>
        <v>3.8781008067718</v>
      </c>
      <c r="E8077" s="38" t="n">
        <f aca="false">Sens!$E$8076-ext_sh*Sens!$E$8073</f>
        <v>1.41270258088753</v>
      </c>
      <c r="F8077" s="38" t="n">
        <f aca="false">Sens!$F$8076-ext_sh*Sens!$F$8073</f>
        <v>6.50727700583486</v>
      </c>
      <c r="G8077" s="38" t="n">
        <f aca="false">Sens!$G$8076-ext_sh*Sens!$G$8073</f>
        <v>7.9199795867224</v>
      </c>
      <c r="H8077" s="38" t="n">
        <f aca="false">Sens!$H$8076-ext_sh*Sens!$H$8073</f>
        <v>19.2818189481807</v>
      </c>
      <c r="I8077" s="38" t="n">
        <f aca="false">Sens!$I$8076-ext_sh*Sens!$I$8073</f>
        <v>30.140114407202</v>
      </c>
      <c r="J8077" s="38" t="n">
        <f aca="false">Sens!$J$8076-ext_sh*Sens!$J$8073</f>
        <v>40.3569468829854</v>
      </c>
      <c r="K8077" s="38" t="n">
        <f aca="false">Sens!$K$8076-ext_sh*Sens!$K$8073</f>
        <v>44.9126530352048</v>
      </c>
      <c r="L8077" s="38" t="n">
        <f aca="false">Sens!$L$8076-ext_sh*Sens!$L$8073</f>
        <v>47.9631971059665</v>
      </c>
      <c r="M8077" s="38" t="n">
        <f aca="false">Sens!$M$8076-ext_sh*Sens!$M$8073</f>
        <v>47.2897004636212</v>
      </c>
      <c r="N8077" s="38" t="n">
        <f aca="false">Sens!$N$8076-ext_sh*Sens!$N$8073</f>
        <v>0.92264103489199</v>
      </c>
      <c r="O8077" s="38" t="n">
        <f aca="false">Sens!$O$8076-ext_sh*Sens!$O$8073</f>
        <v>2.95545977187981</v>
      </c>
    </row>
    <row r="8078" customFormat="false" ht="17.15" hidden="false" customHeight="false" outlineLevel="0" collapsed="false">
      <c r="A8078" s="0" t="s">
        <v>638</v>
      </c>
      <c r="B8078" s="0" t="s">
        <v>52</v>
      </c>
      <c r="C8078" s="13" t="n">
        <f aca="false">Sens!$C$8077/Sens!$C$8057</f>
        <v>0.708390794789371</v>
      </c>
      <c r="D8078" s="13" t="n">
        <f aca="false">Sens!$D$8077/Sens!$D$8057</f>
        <v>0.445565630441968</v>
      </c>
      <c r="E8078" s="13" t="n">
        <f aca="false">Sens!$E$8077/Sens!$E$8057</f>
        <v>0.165998118402711</v>
      </c>
      <c r="F8078" s="13" t="n">
        <f aca="false">Sens!$F$8077/Sens!$F$8057</f>
        <v>0.434878595403858</v>
      </c>
      <c r="G8078" s="13" t="n">
        <f aca="false">Sens!$G$8077/Sens!$G$8057</f>
        <v>0.3373967615381</v>
      </c>
      <c r="H8078" s="13" t="n">
        <f aca="false">Sens!$H$8077/Sens!$H$8057</f>
        <v>0.320477578041224</v>
      </c>
      <c r="I8078" s="13" t="n">
        <f aca="false">Sens!$I$8077/Sens!$I$8057</f>
        <v>0.296936118226494</v>
      </c>
      <c r="J8078" s="13" t="n">
        <f aca="false">Sens!$J$8077/Sens!$J$8057</f>
        <v>0.282166278613001</v>
      </c>
      <c r="K8078" s="13" t="n">
        <f aca="false">Sens!$K$8077/Sens!$K$8057</f>
        <v>0.252088678937066</v>
      </c>
      <c r="L8078" s="13" t="n">
        <f aca="false">Sens!$L$8077/Sens!$L$8057</f>
        <v>0.239109533373036</v>
      </c>
      <c r="M8078" s="13" t="n">
        <f aca="false">Sens!$M$8077/Sens!$M$8057</f>
        <v>0.224888480009211</v>
      </c>
      <c r="N8078" s="13" t="n">
        <f aca="false">Sens!$N$8077/Sens!$N$8057</f>
        <v>0.302870734830849</v>
      </c>
      <c r="O8078" s="13" t="n">
        <f aca="false">Sens!$O$8077/Sens!$O$8057</f>
        <v>0.52240134346334</v>
      </c>
    </row>
    <row r="8079" customFormat="false" ht="17.15" hidden="false" customHeight="false" outlineLevel="0" collapsed="false">
      <c r="A8079" s="5" t="s">
        <v>639</v>
      </c>
      <c r="B8079" s="0" t="s">
        <v>86</v>
      </c>
      <c r="C8079" s="39" t="n">
        <v>0</v>
      </c>
      <c r="D8079" s="39" t="n">
        <v>0</v>
      </c>
      <c r="E8079" s="39" t="n">
        <v>0</v>
      </c>
      <c r="F8079" s="38" t="n">
        <f aca="false">IF(internal_ai_reading=2,1,0)*(1-ext_sh)/ext_sh*(mw_open*he_open+Sens!$F$8055*Sens!$F$8052)*Sens!$F$8041/1000</f>
        <v>3.77122048175818</v>
      </c>
      <c r="G8079" s="38" t="n">
        <f aca="false">Sens!$E$8079+Sens!$F$8079</f>
        <v>3.77122048175818</v>
      </c>
      <c r="H8079" s="38" t="n">
        <f aca="false">IF(internal_ai_reading=2,1,0)*(1-ext_sh)/ext_sh*(mw_open*he_open+Sens!$H$8055*Sens!$H$8052)*Sens!$H$8041/1000</f>
        <v>15.1635543609893</v>
      </c>
      <c r="I8079" s="38" t="n">
        <f aca="false">IF(internal_ai_reading=2,1,0)*(1-ext_sh)/ext_sh*(mw_open*he_open+Sens!$I$8055*Sens!$I$8052)*Sens!$I$8041/1000</f>
        <v>25.5818843619889</v>
      </c>
      <c r="J8079" s="38" t="n">
        <f aca="false">IF(internal_ai_reading=2,1,0)*(1-ext_sh)/ext_sh*(mw_open*he_open+Sens!$J$8055*Sens!$J$8052)*Sens!$J$8041/1000</f>
        <v>36.0465624179122</v>
      </c>
      <c r="K8079" s="38" t="n">
        <f aca="false">IF(internal_ai_reading=2,1,0)*(1-ext_sh)/ext_sh*(mw_open*he_open+Sens!$K$8055*Sens!$K$8052)*Sens!$K$8041/1000</f>
        <v>44.9020355557576</v>
      </c>
      <c r="L8079" s="38" t="n">
        <f aca="false">IF(internal_ai_reading=2,1,0)*(1-ext_sh)/ext_sh*(mw_open*he_open+Sens!$L$8055*Sens!$L$8052)*Sens!$L$8041/1000</f>
        <v>50.55474151763</v>
      </c>
      <c r="M8079" s="38" t="n">
        <f aca="false">IF(internal_ai_reading=2,1,0)*(1-ext_sh)/ext_sh*(mw_open*he_open+Sens!$M$8055*Sens!$M$8052)*Sens!$M$8041/1000</f>
        <v>52.9968449759368</v>
      </c>
      <c r="N8079" s="39" t="n">
        <v>0</v>
      </c>
      <c r="O8079" s="39" t="n">
        <v>0</v>
      </c>
      <c r="P8079" s="8" t="s">
        <v>640</v>
      </c>
    </row>
    <row r="8080" customFormat="false" ht="17.15" hidden="false" customHeight="false" outlineLevel="0" collapsed="false">
      <c r="A8080" s="5" t="s">
        <v>641</v>
      </c>
      <c r="B8080" s="0" t="s">
        <v>86</v>
      </c>
      <c r="C8080" s="38" t="n">
        <f aca="false">(1-ext_sh)*(Sens!$C$8059+Sens!$C$8073)</f>
        <v>0.169206631859174</v>
      </c>
      <c r="D8080" s="38" t="n">
        <f aca="false">(1-ext_sh)*(Sens!$D$8059+Sens!$D$8073)</f>
        <v>1.20641732046984</v>
      </c>
      <c r="E8080" s="38" t="n">
        <f aca="false">(1-ext_sh)*(Sens!$E$8059+Sens!$E$8073)</f>
        <v>1.77441259867062</v>
      </c>
      <c r="F8080" s="38" t="n">
        <f aca="false">(1-ext_sh)*(Sens!$F$8059+Sens!$F$8073)</f>
        <v>2.1140391597214</v>
      </c>
      <c r="G8080" s="38" t="n">
        <f aca="false">(1-ext_sh)*(Sens!$G$8059+Sens!$G$8073)</f>
        <v>3.88845175839202</v>
      </c>
      <c r="H8080" s="38" t="n">
        <f aca="false">(1-ext_sh)*(Sens!$H$8059+Sens!$H$8073)</f>
        <v>10.2210179503985</v>
      </c>
      <c r="I8080" s="38" t="n">
        <f aca="false">(1-ext_sh)*(Sens!$I$8059+Sens!$I$8073)</f>
        <v>17.8408961823075</v>
      </c>
      <c r="J8080" s="38" t="n">
        <f aca="false">(1-ext_sh)*(Sens!$J$8059+Sens!$J$8073)</f>
        <v>25.6671150670732</v>
      </c>
      <c r="K8080" s="38" t="n">
        <f aca="false">(1-ext_sh)*(Sens!$K$8059+Sens!$K$8073)</f>
        <v>33.3123663125577</v>
      </c>
      <c r="L8080" s="38" t="n">
        <f aca="false">(1-ext_sh)*(Sens!$L$8059+Sens!$L$8073)</f>
        <v>38.1569263592936</v>
      </c>
      <c r="M8080" s="38" t="n">
        <f aca="false">(1-ext_sh)*(Sens!$M$8059+Sens!$M$8073)</f>
        <v>40.7477426197701</v>
      </c>
      <c r="N8080" s="38" t="n">
        <f aca="false">(1-ext_sh)*(Sens!$N$8059+Sens!$N$8073)</f>
        <v>0.530919624033979</v>
      </c>
      <c r="O8080" s="38" t="n">
        <f aca="false">(1-ext_sh)*(Sens!$O$8059+Sens!$O$8073)</f>
        <v>0.675497696435861</v>
      </c>
    </row>
    <row r="8081" customFormat="false" ht="17.15" hidden="false" customHeight="false" outlineLevel="0" collapsed="false">
      <c r="A8081" s="0" t="s">
        <v>642</v>
      </c>
      <c r="B8081" s="0" t="s">
        <v>86</v>
      </c>
      <c r="C8081" s="38" t="n">
        <f aca="false">Q!$D$24</f>
        <v>39.834</v>
      </c>
      <c r="D8081" s="38" t="n">
        <f aca="false">Q!$E$24</f>
        <v>45.606</v>
      </c>
      <c r="E8081" s="38" t="n">
        <f aca="false">Q!$P$24</f>
        <v>30.782</v>
      </c>
      <c r="N8081" s="38" t="n">
        <f aca="false">Q!$N$24</f>
        <v>21.707</v>
      </c>
      <c r="O8081" s="38" t="n">
        <f aca="false">Q!$O$24</f>
        <v>23.899</v>
      </c>
    </row>
    <row r="8082" customFormat="false" ht="17.15" hidden="false" customHeight="false" outlineLevel="0" collapsed="false">
      <c r="A8082" s="0" t="s">
        <v>643</v>
      </c>
      <c r="B8082" s="0" t="s">
        <v>86</v>
      </c>
      <c r="C8082" s="38" t="n">
        <f aca="false">Sens!$C$8081-Sens!$C$8077</f>
        <v>38.1898211704631</v>
      </c>
      <c r="D8082" s="38" t="n">
        <f aca="false">Sens!$D$8081-Sens!$D$8077</f>
        <v>41.7278991932282</v>
      </c>
      <c r="E8082" s="38" t="n">
        <f aca="false">Sens!$E$8081-Sens!$E$8077</f>
        <v>29.3692974191125</v>
      </c>
      <c r="F8082" s="38" t="n">
        <f aca="false">Sens!$F$8061*Sens!$F$8083</f>
        <v>26.8997276714137</v>
      </c>
      <c r="G8082" s="38" t="n">
        <f aca="false">Sens!$E$8082+Sens!$F$8082</f>
        <v>56.2690250905262</v>
      </c>
      <c r="H8082" s="38" t="n">
        <f aca="false">Sens!$H$8061*Sens!$H$8083</f>
        <v>60.3505333937343</v>
      </c>
      <c r="I8082" s="38" t="n">
        <f aca="false">Sens!$I$8061*Sens!$I$8083</f>
        <v>67.0043857303571</v>
      </c>
      <c r="J8082" s="38" t="n">
        <f aca="false">Sens!$J$8061*Sens!$J$8083</f>
        <v>73.3782922956925</v>
      </c>
      <c r="K8082" s="38" t="n">
        <f aca="false">Sens!$K$8061*Sens!$K$8083</f>
        <v>79.2485556793479</v>
      </c>
      <c r="L8082" s="38" t="n">
        <f aca="false">Sens!$L$8061*Sens!$L$8083</f>
        <v>85.5884401336958</v>
      </c>
      <c r="M8082" s="38" t="n">
        <f aca="false">Sens!$M$8061*Sens!$M$8083</f>
        <v>92.4355153443914</v>
      </c>
      <c r="N8082" s="38" t="n">
        <f aca="false">Sens!$N$8081-Sens!$N$8077</f>
        <v>20.784358965108</v>
      </c>
      <c r="O8082" s="38" t="n">
        <f aca="false">Sens!$O$8081-Sens!$O$8077</f>
        <v>20.9435402281202</v>
      </c>
      <c r="P8082" s="5" t="s">
        <v>644</v>
      </c>
    </row>
    <row r="8083" customFormat="false" ht="17.15" hidden="false" customHeight="false" outlineLevel="0" collapsed="false">
      <c r="A8083" s="0" t="s">
        <v>645</v>
      </c>
      <c r="B8083" s="0" t="s">
        <v>52</v>
      </c>
      <c r="C8083" s="13" t="n">
        <f aca="false">Sens!$C$8082/Sens!$C$8061</f>
        <v>0.362900395443635</v>
      </c>
      <c r="D8083" s="13" t="n">
        <f aca="false">Sens!$D$8082/Sens!$D$8061</f>
        <v>0.34767098474203</v>
      </c>
      <c r="E8083" s="13" t="n">
        <f aca="false">Sens!$E$8082/Sens!$E$8061</f>
        <v>0.411861655558416</v>
      </c>
      <c r="F8083" s="13" t="n">
        <f aca="false">(Sens!$O$8082+Sens!$E$8082)/(Sens!$O$8061+Sens!$E$8061)</f>
        <v>0.37480827803158</v>
      </c>
      <c r="G8083" s="13" t="n">
        <f aca="false">Sens!$G$8082/Sens!$G$8061</f>
        <v>0.393275318395757</v>
      </c>
      <c r="H8083" s="13" t="n">
        <f aca="false">Sens!$F$8083</f>
        <v>0.37480827803158</v>
      </c>
      <c r="I8083" s="13" t="n">
        <f aca="false">Sens!$F$8083</f>
        <v>0.37480827803158</v>
      </c>
      <c r="J8083" s="13" t="n">
        <f aca="false">Sens!$F$8083</f>
        <v>0.37480827803158</v>
      </c>
      <c r="K8083" s="13" t="n">
        <f aca="false">Sens!$F$8083</f>
        <v>0.37480827803158</v>
      </c>
      <c r="L8083" s="13" t="n">
        <f aca="false">Sens!$F$8083</f>
        <v>0.37480827803158</v>
      </c>
      <c r="M8083" s="13" t="n">
        <f aca="false">Sens!$F$8083</f>
        <v>0.37480827803158</v>
      </c>
      <c r="N8083" s="13" t="n">
        <f aca="false">Sens!$N$8082/Sens!$N$8061</f>
        <v>0.364039571356823</v>
      </c>
      <c r="O8083" s="13" t="n">
        <f aca="false">Sens!$O$8082/Sens!$O$8061</f>
        <v>0.332819892300086</v>
      </c>
      <c r="P8083" s="8" t="s">
        <v>646</v>
      </c>
    </row>
    <row r="8084" customFormat="false" ht="17.15" hidden="false" customHeight="false" outlineLevel="0" collapsed="false">
      <c r="A8084" s="0" t="s">
        <v>647</v>
      </c>
      <c r="B8084" s="0" t="s">
        <v>52</v>
      </c>
      <c r="D8084" s="13" t="n">
        <f aca="false">(Q!$E$31-ext_sh*Sens!$D$8073)/Sens!$D$8061</f>
        <v>0.154572973163571</v>
      </c>
    </row>
    <row r="8085" customFormat="false" ht="17.15" hidden="false" customHeight="false" outlineLevel="0" collapsed="false">
      <c r="A8085" s="0" t="s">
        <v>648</v>
      </c>
      <c r="B8085" s="0" t="s">
        <v>86</v>
      </c>
      <c r="C8085" s="38" t="n">
        <f aca="false">Q!$D$31</f>
        <v>13.32</v>
      </c>
      <c r="D8085" s="38" t="n">
        <f aca="false">Q!$E$31</f>
        <v>21.45</v>
      </c>
      <c r="E8085" s="38" t="n">
        <f aca="false">Q!$P$31</f>
        <v>15.353</v>
      </c>
      <c r="F8085" s="38" t="n">
        <f aca="false">ext_sh*Sens!$F$8073+Sens!$D$8084*Sens!$F$8061</f>
        <v>16.3063747611001</v>
      </c>
      <c r="G8085" s="38" t="n">
        <f aca="false">Sens!$E$8085+Sens!$F$8085</f>
        <v>31.6593747611001</v>
      </c>
      <c r="H8085" s="38" t="n">
        <f aca="false">ext_sh*Sens!$H$8073+Sens!$D$8084*Sens!$H$8061</f>
        <v>53.124242092105</v>
      </c>
      <c r="I8085" s="38" t="n">
        <f aca="false">ext_sh*Sens!$I$8073+Sens!$D$8084*Sens!$I$8061</f>
        <v>78.046828098133</v>
      </c>
      <c r="J8085" s="38" t="n">
        <f aca="false">ext_sh*Sens!$J$8073+Sens!$D$8084*Sens!$J$8061</f>
        <v>103.663976940352</v>
      </c>
      <c r="K8085" s="38" t="n">
        <f aca="false">ext_sh*Sens!$K$8073+Sens!$D$8084*Sens!$K$8061</f>
        <v>129.625086115469</v>
      </c>
      <c r="L8085" s="38" t="n">
        <f aca="false">ext_sh*Sens!$L$8073+Sens!$D$8084*Sens!$L$8061</f>
        <v>147.122996715819</v>
      </c>
      <c r="M8085" s="38" t="n">
        <f aca="false">ext_sh*Sens!$M$8073+Sens!$D$8084*Sens!$M$8061</f>
        <v>158.36358708023</v>
      </c>
      <c r="N8085" s="38" t="n">
        <f aca="false">Q!$N$31</f>
        <v>9.234</v>
      </c>
      <c r="O8085" s="38" t="n">
        <f aca="false">Q!$O$31</f>
        <v>12.216</v>
      </c>
    </row>
    <row r="8086" customFormat="false" ht="17.15" hidden="false" customHeight="false" outlineLevel="0" collapsed="false">
      <c r="A8086" s="1" t="s">
        <v>649</v>
      </c>
    </row>
    <row r="8087" customFormat="false" ht="17.15" hidden="false" customHeight="false" outlineLevel="0" collapsed="false">
      <c r="A8087" s="15" t="s">
        <v>650</v>
      </c>
      <c r="B8087" s="14" t="s">
        <v>52</v>
      </c>
      <c r="C8087" s="14"/>
      <c r="D8087" s="14"/>
      <c r="E8087" s="14"/>
      <c r="F8087" s="14"/>
      <c r="G8087" s="17" t="n">
        <f aca="false">Sens!$G$8077*(1-tax)/(ext_sh*(Sens!$D$8074+Sens!$G$8074)/2)</f>
        <v>0.0492184452944045</v>
      </c>
      <c r="H8087" s="17" t="n">
        <f aca="false">Sens!$H$8077*(1-tax)/(ext_sh*(Sens!$G$8074+Sens!$H$8074)/2)</f>
        <v>0.0619414246858107</v>
      </c>
      <c r="I8087" s="17" t="n">
        <f aca="false">Sens!$I$8077*(1-tax)/(ext_sh*(Sens!$H$8074+Sens!$I$8074)/2)</f>
        <v>0.0656831488051666</v>
      </c>
      <c r="J8087" s="17" t="n">
        <f aca="false">Sens!$J$8077*(1-tax)/(ext_sh*(Sens!$I$8074+Sens!$J$8074)/2)</f>
        <v>0.0690334849962116</v>
      </c>
      <c r="K8087" s="17" t="n">
        <f aca="false">Sens!$K$8077*(1-tax)/(ext_sh*(Sens!$J$8074+Sens!$K$8074)/2)</f>
        <v>0.0683687416388006</v>
      </c>
      <c r="L8087" s="17" t="n">
        <f aca="false">Sens!$L$8077*(1-tax)/(ext_sh*(Sens!$K$8074+Sens!$L$8074)/2)</f>
        <v>0.0720590082340432</v>
      </c>
      <c r="M8087" s="17" t="n">
        <f aca="false">Sens!$M$8077*(1-tax)/(ext_sh*(Sens!$L$8074+Sens!$M$8074)/2)</f>
        <v>0.0731608560528717</v>
      </c>
      <c r="N8087" s="14"/>
      <c r="O8087" s="14"/>
      <c r="P8087" s="8" t="s">
        <v>651</v>
      </c>
    </row>
    <row r="8088" customFormat="false" ht="17.15" hidden="false" customHeight="false" outlineLevel="0" collapsed="false">
      <c r="A8088" s="5" t="s">
        <v>652</v>
      </c>
      <c r="B8088" s="0" t="s">
        <v>57</v>
      </c>
      <c r="H8088" s="36" t="n">
        <f aca="false">Sens!$H$8057*1000/(mw_open*he_open+Sens!$H$8055*Sens!$H$8052)</f>
        <v>0.991949006767191</v>
      </c>
      <c r="I8088" s="36" t="n">
        <f aca="false">Sens!$I$8057*1000/(mw_open*he_open+Sens!$I$8055*Sens!$I$8052)</f>
        <v>0.991949006767191</v>
      </c>
      <c r="J8088" s="36" t="n">
        <f aca="false">Sens!$J$8057*1000/(mw_open*he_open+Sens!$J$8055*Sens!$J$8052)</f>
        <v>0.991949006767191</v>
      </c>
      <c r="K8088" s="36" t="n">
        <f aca="false">Sens!$K$8057*1000/(mw_open*he_open+Sens!$K$8055*Sens!$K$8052)</f>
        <v>0.991949006767191</v>
      </c>
      <c r="L8088" s="36" t="n">
        <f aca="false">Sens!$L$8057*1000/(mw_open*he_open+Sens!$L$8055*Sens!$L$8052)</f>
        <v>0.991949006767191</v>
      </c>
      <c r="M8088" s="36" t="n">
        <f aca="false">Sens!$M$8057*1000/(mw_open*he_open+Sens!$M$8055*Sens!$M$8052)</f>
        <v>0.991949006767191</v>
      </c>
    </row>
    <row r="8089" customFormat="false" ht="17.15" hidden="false" customHeight="false" outlineLevel="0" collapsed="false">
      <c r="A8089" s="5" t="s">
        <v>653</v>
      </c>
      <c r="B8089" s="0" t="s">
        <v>57</v>
      </c>
      <c r="H8089" s="36" t="n">
        <f aca="false">Sens!$H$8088*(Sens!$H$8057+(wacc-0.01)*ext_sh*(Sens!$G$8074+Sens!$H$8074)/2/(1-tax)-Sens!$H$8077)/Sens!$H$8057</f>
        <v>1.20419735219982</v>
      </c>
      <c r="I8089" s="36" t="n">
        <f aca="false">Sens!$I$8088*(Sens!$I$8057+(wacc-0.01)*ext_sh*(Sens!$H$8074+Sens!$I$8074)/2/(1-tax)-Sens!$I$8077)/Sens!$I$8057</f>
        <v>1.16062415210962</v>
      </c>
      <c r="J8089" s="36" t="n">
        <f aca="false">Sens!$J$8088*(Sens!$J$8057+(wacc-0.01)*ext_sh*(Sens!$I$8074+Sens!$J$8074)/2/(1-tax)-Sens!$J$8077)/Sens!$J$8057</f>
        <v>1.13087129626685</v>
      </c>
      <c r="K8089" s="36" t="n">
        <f aca="false">Sens!$K$8088*(Sens!$K$8057+(wacc-0.01)*ext_sh*(Sens!$J$8074+Sens!$K$8074)/2/(1-tax)-Sens!$K$8077)/Sens!$K$8057</f>
        <v>1.11970088398393</v>
      </c>
      <c r="L8089" s="36" t="n">
        <f aca="false">Sens!$L$8088*(Sens!$L$8057+(wacc-0.01)*ext_sh*(Sens!$K$8074+Sens!$L$8074)/2/(1-tax)-Sens!$L$8077)/Sens!$L$8057</f>
        <v>1.09477121872745</v>
      </c>
      <c r="M8089" s="36" t="n">
        <f aca="false">Sens!$M$8088*(Sens!$M$8057+(wacc-0.01)*ext_sh*(Sens!$L$8074+Sens!$M$8074)/2/(1-tax)-Sens!$M$8077)/Sens!$M$8057</f>
        <v>1.08383970511083</v>
      </c>
    </row>
    <row r="8090" customFormat="false" ht="17.15" hidden="false" customHeight="false" outlineLevel="0" collapsed="false">
      <c r="A8090" s="5" t="s">
        <v>654</v>
      </c>
      <c r="B8090" s="0" t="s">
        <v>52</v>
      </c>
      <c r="C8090" s="13" t="n">
        <f aca="false">Sens!$C$8058/tk_pq</f>
        <v>0.195316432429398</v>
      </c>
      <c r="D8090" s="13" t="n">
        <f aca="false">Sens!$D$8058/tk_pq</f>
        <v>0.195316432429398</v>
      </c>
      <c r="E8090" s="13" t="n">
        <f aca="false">Sens!$E$8058/tk_pq</f>
        <v>0.195316432429398</v>
      </c>
      <c r="F8090" s="13" t="n">
        <f aca="false">Sens!$F$8058/tk_pq</f>
        <v>0.202241827274866</v>
      </c>
      <c r="G8090" s="13" t="n">
        <f aca="false">Sens!$G$8058/tk_pq</f>
        <v>0.199675016194063</v>
      </c>
      <c r="H8090" s="13" t="n">
        <f aca="false">Sens!$H$8058/tk_pq</f>
        <v>0.212647947710325</v>
      </c>
      <c r="I8090" s="13" t="n">
        <f aca="false">Sens!$I$8058/tk_pq</f>
        <v>0.219285125475351</v>
      </c>
      <c r="J8090" s="13" t="n">
        <f aca="false">Sens!$J$8058/tk_pq</f>
        <v>0.222492493217189</v>
      </c>
      <c r="K8090" s="13" t="n">
        <f aca="false">Sens!$K$8058/tk_pq</f>
        <v>0.224037965623446</v>
      </c>
      <c r="L8090" s="13" t="n">
        <f aca="false">Sens!$L$8058/tk_pq</f>
        <v>0.224743186755999</v>
      </c>
      <c r="M8090" s="13" t="n">
        <f aca="false">Sens!$M$8058/tk_pq</f>
        <v>0.224962001824354</v>
      </c>
      <c r="N8090" s="13" t="n">
        <f aca="false">Sens!$N$8058/tk_pq</f>
        <v>0.195316432429398</v>
      </c>
      <c r="O8090" s="13" t="n">
        <f aca="false">Sens!$O$8058/tk_pq</f>
        <v>0.195316432429398</v>
      </c>
      <c r="P8090" s="5" t="s">
        <v>655</v>
      </c>
    </row>
    <row r="8093" customFormat="false" ht="17.15" hidden="false" customHeight="false" outlineLevel="0" collapsed="false">
      <c r="A8093" s="1" t="s">
        <v>684</v>
      </c>
    </row>
    <row r="8094" customFormat="false" ht="17.15" hidden="false" customHeight="false" outlineLevel="0" collapsed="false">
      <c r="A8094" s="0" t="s">
        <v>685</v>
      </c>
      <c r="B8094" s="0" t="s">
        <v>86</v>
      </c>
      <c r="C8094" s="38" t="n">
        <f aca="false">Sens!$C$8057</f>
        <v>2.32100535697364</v>
      </c>
      <c r="D8094" s="38" t="n">
        <f aca="false">Sens!$D$8057</f>
        <v>8.70377008865116</v>
      </c>
      <c r="E8094" s="38" t="n">
        <f aca="false">Sens!$E$8057</f>
        <v>8.51035297557002</v>
      </c>
      <c r="F8094" s="38" t="n">
        <f aca="false">Sens!$F$8057</f>
        <v>14.9634336447205</v>
      </c>
      <c r="G8094" s="38" t="n">
        <f aca="false">Sens!$G$8057</f>
        <v>23.4737866202905</v>
      </c>
      <c r="H8094" s="38" t="n">
        <f aca="false">Sens!$H$8057</f>
        <v>60.1658907497746</v>
      </c>
      <c r="I8094" s="38" t="n">
        <f aca="false">Sens!$I$8057</f>
        <v>101.503699136432</v>
      </c>
      <c r="J8094" s="38" t="n">
        <f aca="false">Sens!$J$8057</f>
        <v>143.025407151278</v>
      </c>
      <c r="K8094" s="38" t="n">
        <f aca="false">Sens!$K$8057</f>
        <v>178.162118285436</v>
      </c>
      <c r="L8094" s="38" t="n">
        <f aca="false">Sens!$L$8057</f>
        <v>200.590902543141</v>
      </c>
      <c r="M8094" s="38" t="n">
        <f aca="false">Sens!$M$8057</f>
        <v>210.280670942702</v>
      </c>
      <c r="N8094" s="38" t="n">
        <f aca="false">Sens!$N$8057</f>
        <v>3.04631953102791</v>
      </c>
      <c r="O8094" s="38" t="n">
        <f aca="false">Sens!$O$8057</f>
        <v>5.65745055762326</v>
      </c>
      <c r="P8094" s="8" t="s">
        <v>686</v>
      </c>
    </row>
    <row r="8095" customFormat="false" ht="17.15" hidden="false" customHeight="false" outlineLevel="0" collapsed="false">
      <c r="A8095" s="0" t="s">
        <v>687</v>
      </c>
      <c r="B8095" s="0" t="s">
        <v>86</v>
      </c>
      <c r="C8095" s="38" t="n">
        <f aca="false">Sens!$C$8061</f>
        <v>105.234994643026</v>
      </c>
      <c r="D8095" s="38" t="n">
        <f aca="false">Sens!$D$8061</f>
        <v>120.021229911349</v>
      </c>
      <c r="E8095" s="38" t="n">
        <f aca="false">Sens!$E$8061</f>
        <v>71.30864702443</v>
      </c>
      <c r="F8095" s="38" t="n">
        <f aca="false">Sens!$F$8061</f>
        <v>71.7692997942464</v>
      </c>
      <c r="G8095" s="38" t="n">
        <f aca="false">Sens!$G$8061</f>
        <v>143.077946818676</v>
      </c>
      <c r="H8095" s="38" t="n">
        <f aca="false">Sens!$H$8061</f>
        <v>161.017077079203</v>
      </c>
      <c r="I8095" s="38" t="n">
        <f aca="false">Sens!$I$8061</f>
        <v>178.769759521457</v>
      </c>
      <c r="J8095" s="38" t="n">
        <f aca="false">Sens!$J$8061</f>
        <v>195.775538045907</v>
      </c>
      <c r="K8095" s="38" t="n">
        <f aca="false">Sens!$K$8061</f>
        <v>211.43758108958</v>
      </c>
      <c r="L8095" s="38" t="n">
        <f aca="false">Sens!$L$8061</f>
        <v>228.352587576746</v>
      </c>
      <c r="M8095" s="38" t="n">
        <f aca="false">Sens!$M$8061</f>
        <v>246.620794582886</v>
      </c>
      <c r="N8095" s="38" t="n">
        <f aca="false">Sens!$N$8061</f>
        <v>57.0936804689721</v>
      </c>
      <c r="O8095" s="38" t="n">
        <f aca="false">Sens!$O$8061</f>
        <v>62.9275494423768</v>
      </c>
      <c r="P8095" s="8" t="s">
        <v>686</v>
      </c>
    </row>
    <row r="8096" customFormat="false" ht="17.15" hidden="false" customHeight="false" outlineLevel="0" collapsed="false">
      <c r="A8096" s="1" t="s">
        <v>513</v>
      </c>
      <c r="B8096" s="8" t="s">
        <v>86</v>
      </c>
      <c r="C8096" s="38" t="n">
        <f aca="false">Q!$D$7</f>
        <v>107.556</v>
      </c>
      <c r="D8096" s="38" t="n">
        <f aca="false">Q!$E$7</f>
        <v>128.725</v>
      </c>
      <c r="E8096" s="38" t="n">
        <f aca="false">Q!$P$7</f>
        <v>79.819</v>
      </c>
      <c r="F8096" s="38" t="n">
        <f aca="false">Sens!$F$8094+Sens!$F$8095</f>
        <v>86.7327334389669</v>
      </c>
      <c r="G8096" s="38" t="n">
        <f aca="false">Sens!$G$8094+Sens!$G$8095</f>
        <v>166.551733438967</v>
      </c>
      <c r="H8096" s="38" t="n">
        <f aca="false">Sens!$H$8094+Sens!$H$8095</f>
        <v>221.182967828978</v>
      </c>
      <c r="I8096" s="38" t="n">
        <f aca="false">Sens!$I$8094+Sens!$I$8095</f>
        <v>280.27345865789</v>
      </c>
      <c r="J8096" s="38" t="n">
        <f aca="false">Sens!$J$8094+Sens!$J$8095</f>
        <v>338.800945197185</v>
      </c>
      <c r="K8096" s="38" t="n">
        <f aca="false">Sens!$K$8094+Sens!$K$8095</f>
        <v>389.599699375015</v>
      </c>
      <c r="L8096" s="38" t="n">
        <f aca="false">Sens!$L$8094+Sens!$L$8095</f>
        <v>428.943490119887</v>
      </c>
      <c r="M8096" s="38" t="n">
        <f aca="false">Sens!$M$8094+Sens!$M$8095</f>
        <v>456.901465525587</v>
      </c>
      <c r="N8096" s="38" t="n">
        <f aca="false">Q!$N$7</f>
        <v>60.14</v>
      </c>
      <c r="O8096" s="38" t="n">
        <f aca="false">Q!$O$7</f>
        <v>68.585</v>
      </c>
      <c r="P8096" s="5" t="s">
        <v>688</v>
      </c>
    </row>
    <row r="8097" customFormat="false" ht="15" hidden="false" customHeight="false" outlineLevel="0" collapsed="false">
      <c r="A8097" s="3" t="s">
        <v>689</v>
      </c>
      <c r="B8097" s="8" t="s">
        <v>86</v>
      </c>
      <c r="C8097" s="38" t="n">
        <f aca="false">Q!$D$8</f>
        <v>637.959</v>
      </c>
      <c r="D8097" s="38" t="n">
        <f aca="false">Q!$E$8</f>
        <v>716.924</v>
      </c>
      <c r="E8097" s="38" t="n">
        <f aca="false">Q!$P$8</f>
        <v>382.125</v>
      </c>
      <c r="F8097" s="38" t="n">
        <f aca="false">Sens!$F$8029+Sens!$F$8096</f>
        <v>435.780975084504</v>
      </c>
      <c r="G8097" s="38" t="n">
        <f aca="false">Sens!$G$8029+Sens!$G$8096</f>
        <v>817.905975084504</v>
      </c>
      <c r="H8097" s="38" t="n">
        <f aca="false">Sens!$H$8029+Sens!$H$8096</f>
        <v>942.279857350364</v>
      </c>
      <c r="I8097" s="38" t="n">
        <f aca="false">Sens!$I$8029+Sens!$I$8096</f>
        <v>1068.80284981042</v>
      </c>
      <c r="J8097" s="38" t="n">
        <f aca="false">Sens!$J$8029+Sens!$J$8096</f>
        <v>1189.90935093863</v>
      </c>
      <c r="K8097" s="38" t="n">
        <f aca="false">Sens!$K$8029+Sens!$K$8096</f>
        <v>1295.7761548061</v>
      </c>
      <c r="L8097" s="38" t="n">
        <f aca="false">Sens!$L$8029+Sens!$L$8096</f>
        <v>1394.03659659548</v>
      </c>
      <c r="M8097" s="38" t="n">
        <f aca="false">Sens!$M$8029+Sens!$M$8096</f>
        <v>1485.04937347247</v>
      </c>
      <c r="N8097" s="38" t="n">
        <f aca="false">Q!$N$8</f>
        <v>323.369</v>
      </c>
      <c r="O8097" s="38" t="n">
        <f aca="false">Q!$O$8</f>
        <v>393.555</v>
      </c>
    </row>
    <row r="8098" customFormat="false" ht="17.15" hidden="false" customHeight="false" outlineLevel="0" collapsed="false">
      <c r="A8098" s="24" t="s">
        <v>697</v>
      </c>
      <c r="B8098" s="25" t="s">
        <v>86</v>
      </c>
      <c r="C8098" s="41" t="n">
        <f aca="false">Sens!$C$8029-(Sens!$C$8031+Sens!$C$8032)</f>
        <v>0</v>
      </c>
      <c r="D8098" s="41" t="n">
        <f aca="false">Sens!$D$8029-(Sens!$D$8031+Sens!$D$8032)</f>
        <v>0</v>
      </c>
      <c r="E8098" s="41" t="n">
        <f aca="false">Sens!$E$8029-(Sens!$E$8031+Sens!$E$8032)</f>
        <v>0</v>
      </c>
      <c r="F8098" s="41" t="n">
        <f aca="false">Sens!$F$8029-(Sens!$F$8031+Sens!$F$8032)</f>
        <v>0</v>
      </c>
      <c r="G8098" s="41" t="n">
        <f aca="false">Sens!$G$8029-(Sens!$G$8031+Sens!$G$8032)</f>
        <v>0</v>
      </c>
      <c r="H8098" s="41" t="n">
        <f aca="false">Sens!$H$8029-(Sens!$H$8031+Sens!$H$8032)</f>
        <v>0</v>
      </c>
      <c r="I8098" s="41" t="n">
        <f aca="false">Sens!$I$8029-(Sens!$I$8031+Sens!$I$8032)</f>
        <v>0</v>
      </c>
      <c r="J8098" s="41" t="n">
        <f aca="false">Sens!$J$8029-(Sens!$J$8031+Sens!$J$8032)</f>
        <v>0</v>
      </c>
      <c r="K8098" s="41" t="n">
        <f aca="false">Sens!$K$8029-(Sens!$K$8031+Sens!$K$8032)</f>
        <v>0</v>
      </c>
      <c r="L8098" s="41" t="n">
        <f aca="false">Sens!$L$8029-(Sens!$L$8031+Sens!$L$8032)</f>
        <v>0</v>
      </c>
      <c r="M8098" s="41" t="n">
        <f aca="false">Sens!$M$8029-(Sens!$M$8031+Sens!$M$8032)</f>
        <v>0</v>
      </c>
      <c r="N8098" s="41" t="n">
        <f aca="false">Sens!$N$8029-(Sens!$N$8031+Sens!$N$8032)</f>
        <v>0</v>
      </c>
      <c r="O8098" s="41" t="n">
        <f aca="false">Sens!$O$8029-(Sens!$O$8031+Sens!$O$8032)</f>
        <v>0</v>
      </c>
    </row>
    <row r="8099" customFormat="false" ht="17.15" hidden="false" customHeight="false" outlineLevel="0" collapsed="false">
      <c r="A8099" s="24" t="s">
        <v>698</v>
      </c>
      <c r="B8099" s="25" t="s">
        <v>86</v>
      </c>
      <c r="C8099" s="41" t="n">
        <f aca="false">Sens!$C$8094+Sens!$C$8095-Sens!$C$8096</f>
        <v>0</v>
      </c>
      <c r="D8099" s="41" t="n">
        <f aca="false">Sens!$D$8094+Sens!$D$8095-Sens!$D$8096</f>
        <v>0</v>
      </c>
      <c r="E8099" s="41" t="n">
        <f aca="false">Sens!$E$8094+Sens!$E$8095-Sens!$E$8096</f>
        <v>0</v>
      </c>
      <c r="F8099" s="41" t="n">
        <f aca="false">Sens!$F$8094+Sens!$F$8095-Sens!$F$8096</f>
        <v>0</v>
      </c>
      <c r="G8099" s="41" t="n">
        <f aca="false">Sens!$G$8094+Sens!$G$8095-Sens!$G$8096</f>
        <v>0</v>
      </c>
      <c r="H8099" s="41" t="n">
        <f aca="false">Sens!$H$8094+Sens!$H$8095-Sens!$H$8096</f>
        <v>0</v>
      </c>
      <c r="I8099" s="41" t="n">
        <f aca="false">Sens!$I$8094+Sens!$I$8095-Sens!$I$8096</f>
        <v>0</v>
      </c>
      <c r="J8099" s="41" t="n">
        <f aca="false">Sens!$J$8094+Sens!$J$8095-Sens!$J$8096</f>
        <v>0</v>
      </c>
      <c r="K8099" s="41" t="n">
        <f aca="false">Sens!$K$8094+Sens!$K$8095-Sens!$K$8096</f>
        <v>0</v>
      </c>
      <c r="L8099" s="41" t="n">
        <f aca="false">Sens!$L$8094+Sens!$L$8095-Sens!$L$8096</f>
        <v>0</v>
      </c>
      <c r="M8099" s="41" t="n">
        <f aca="false">Sens!$M$8094+Sens!$M$8095-Sens!$M$8096</f>
        <v>0</v>
      </c>
      <c r="N8099" s="41" t="n">
        <f aca="false">Sens!$N$8094+Sens!$N$8095-Sens!$N$8096</f>
        <v>0</v>
      </c>
      <c r="O8099" s="41" t="n">
        <f aca="false">Sens!$O$8094+Sens!$O$8095-Sens!$O$8096</f>
        <v>0</v>
      </c>
    </row>
    <row r="8100" customFormat="false" ht="17.15" hidden="false" customHeight="false" outlineLevel="0" collapsed="false">
      <c r="A8100" s="24" t="s">
        <v>699</v>
      </c>
      <c r="B8100" s="25" t="s">
        <v>86</v>
      </c>
      <c r="C8100" s="41" t="n">
        <f aca="false">Sens!$C$8031+Sens!$C$8032+Sens!$C$8096-Sens!$C$8097</f>
        <v>0</v>
      </c>
      <c r="D8100" s="41" t="n">
        <f aca="false">Sens!$D$8031+Sens!$D$8032+Sens!$D$8096-Sens!$D$8097</f>
        <v>0</v>
      </c>
      <c r="E8100" s="41" t="n">
        <f aca="false">Sens!$E$8031+Sens!$E$8032+Sens!$E$8096-Sens!$E$8097</f>
        <v>0</v>
      </c>
      <c r="F8100" s="41" t="n">
        <f aca="false">Sens!$F$8031+Sens!$F$8032+Sens!$F$8096-Sens!$F$8097</f>
        <v>0</v>
      </c>
      <c r="G8100" s="41" t="n">
        <f aca="false">Sens!$G$8031+Sens!$G$8032+Sens!$G$8096-Sens!$G$8097</f>
        <v>0</v>
      </c>
      <c r="H8100" s="41" t="n">
        <f aca="false">Sens!$H$8031+Sens!$H$8032+Sens!$H$8096-Sens!$H$8097</f>
        <v>0</v>
      </c>
      <c r="I8100" s="41" t="n">
        <f aca="false">Sens!$I$8031+Sens!$I$8032+Sens!$I$8096-Sens!$I$8097</f>
        <v>0</v>
      </c>
      <c r="J8100" s="41" t="n">
        <f aca="false">Sens!$J$8031+Sens!$J$8032+Sens!$J$8096-Sens!$J$8097</f>
        <v>0</v>
      </c>
      <c r="K8100" s="41" t="n">
        <f aca="false">Sens!$K$8031+Sens!$K$8032+Sens!$K$8096-Sens!$K$8097</f>
        <v>0</v>
      </c>
      <c r="L8100" s="41" t="n">
        <f aca="false">Sens!$L$8031+Sens!$L$8032+Sens!$L$8096-Sens!$L$8097</f>
        <v>0</v>
      </c>
      <c r="M8100" s="41" t="n">
        <f aca="false">Sens!$M$8031+Sens!$M$8032+Sens!$M$8096-Sens!$M$8097</f>
        <v>0</v>
      </c>
      <c r="N8100" s="41" t="n">
        <f aca="false">Sens!$N$8031+Sens!$N$8032+Sens!$N$8096-Sens!$N$8097</f>
        <v>0</v>
      </c>
      <c r="O8100" s="41" t="n">
        <f aca="false">Sens!$O$8031+Sens!$O$8032+Sens!$O$8096-Sens!$O$8097</f>
        <v>0</v>
      </c>
    </row>
    <row r="8101" customFormat="false" ht="15" hidden="false" customHeight="false" outlineLevel="0" collapsed="false">
      <c r="A8101" s="5" t="s">
        <v>693</v>
      </c>
      <c r="B8101" s="0" t="s">
        <v>52</v>
      </c>
      <c r="G8101" s="13" t="n">
        <f aca="false">Sens!$G$8097/Sens!$D$8097-1</f>
        <v>0.140854504918937</v>
      </c>
      <c r="H8101" s="13" t="n">
        <f aca="false">Sens!$H$8097/Sens!$G$8097-1</f>
        <v>0.152063789793209</v>
      </c>
      <c r="I8101" s="13" t="n">
        <f aca="false">Sens!$I$8097/Sens!$H$8097-1</f>
        <v>0.134273264437417</v>
      </c>
      <c r="J8101" s="13" t="n">
        <f aca="false">Sens!$J$8097/Sens!$I$8097-1</f>
        <v>0.113310421234083</v>
      </c>
      <c r="K8101" s="13" t="n">
        <f aca="false">Sens!$K$8097/Sens!$J$8097-1</f>
        <v>0.0889704781158034</v>
      </c>
      <c r="L8101" s="13" t="n">
        <f aca="false">Sens!$L$8097/Sens!$K$8097-1</f>
        <v>0.0758313397147494</v>
      </c>
      <c r="M8101" s="13" t="n">
        <f aca="false">Sens!$M$8097/Sens!$L$8097-1</f>
        <v>0.0652872220853238</v>
      </c>
    </row>
    <row r="8102" customFormat="false" ht="17.15" hidden="false" customHeight="false" outlineLevel="0" collapsed="false">
      <c r="A8102" s="0" t="s">
        <v>694</v>
      </c>
      <c r="B8102" s="0" t="s">
        <v>52</v>
      </c>
      <c r="C8102" s="13" t="n">
        <f aca="false">Sens!$C$8096/Sens!$C$8097</f>
        <v>0.168593906504964</v>
      </c>
      <c r="D8102" s="13" t="n">
        <f aca="false">Sens!$D$8096/Sens!$D$8097</f>
        <v>0.179551807444025</v>
      </c>
      <c r="E8102" s="13" t="n">
        <f aca="false">Sens!$E$8096/Sens!$E$8097</f>
        <v>0.208881910369643</v>
      </c>
      <c r="F8102" s="13" t="n">
        <f aca="false">Sens!$F$8096/Sens!$F$8097</f>
        <v>0.199028269699356</v>
      </c>
      <c r="G8102" s="13" t="n">
        <f aca="false">Sens!$G$8096/Sens!$G$8097</f>
        <v>0.203631882529968</v>
      </c>
      <c r="H8102" s="13" t="n">
        <f aca="false">Sens!$H$8096/Sens!$H$8097</f>
        <v>0.234731715958496</v>
      </c>
      <c r="I8102" s="13" t="n">
        <f aca="false">Sens!$I$8096/Sens!$I$8097</f>
        <v>0.262231204480418</v>
      </c>
      <c r="J8102" s="13" t="n">
        <f aca="false">Sens!$J$8096/Sens!$J$8097</f>
        <v>0.284728366013706</v>
      </c>
      <c r="K8102" s="13" t="n">
        <f aca="false">Sens!$K$8096/Sens!$K$8097</f>
        <v>0.300668983550877</v>
      </c>
      <c r="L8102" s="13" t="n">
        <f aca="false">Sens!$L$8096/Sens!$L$8097</f>
        <v>0.307698873306092</v>
      </c>
      <c r="M8102" s="13" t="n">
        <f aca="false">Sens!$M$8096/Sens!$M$8097</f>
        <v>0.30766752519293</v>
      </c>
      <c r="N8102" s="13" t="n">
        <f aca="false">Sens!$N$8096/Sens!$N$8097</f>
        <v>0.185979484737251</v>
      </c>
      <c r="O8102" s="13" t="n">
        <f aca="false">Sens!$O$8096/Sens!$O$8097</f>
        <v>0.174270432341096</v>
      </c>
    </row>
    <row r="8103" customFormat="false" ht="17.15" hidden="false" customHeight="false" outlineLevel="0" collapsed="false">
      <c r="A8103" s="0" t="s">
        <v>695</v>
      </c>
      <c r="B8103" s="0" t="s">
        <v>52</v>
      </c>
      <c r="C8103" s="13" t="n">
        <f aca="false">Sens!$C$8094/Sens!$C$8096</f>
        <v>0.0215795060896058</v>
      </c>
      <c r="D8103" s="13" t="n">
        <f aca="false">Sens!$D$8094/Sens!$D$8096</f>
        <v>0.0676152269462122</v>
      </c>
      <c r="E8103" s="13" t="n">
        <f aca="false">Sens!$E$8094/Sens!$E$8096</f>
        <v>0.106620641395783</v>
      </c>
      <c r="F8103" s="13" t="n">
        <f aca="false">Sens!$F$8094/Sens!$F$8096</f>
        <v>0.172523487401099</v>
      </c>
      <c r="G8103" s="13" t="n">
        <f aca="false">Sens!$G$8094/Sens!$G$8096</f>
        <v>0.140939911795589</v>
      </c>
      <c r="H8103" s="13" t="n">
        <f aca="false">Sens!$H$8094/Sens!$H$8096</f>
        <v>0.272018642937714</v>
      </c>
      <c r="I8103" s="13" t="n">
        <f aca="false">Sens!$I$8094/Sens!$I$8096</f>
        <v>0.362159512436497</v>
      </c>
      <c r="J8103" s="13" t="n">
        <f aca="false">Sens!$J$8094/Sens!$J$8096</f>
        <v>0.422151735934609</v>
      </c>
      <c r="K8103" s="13" t="n">
        <f aca="false">Sens!$K$8094/Sens!$K$8096</f>
        <v>0.45729531765871</v>
      </c>
      <c r="L8103" s="13" t="n">
        <f aca="false">Sens!$L$8094/Sens!$L$8096</f>
        <v>0.467639461055993</v>
      </c>
      <c r="M8103" s="13" t="n">
        <f aca="false">Sens!$M$8094/Sens!$M$8096</f>
        <v>0.460231990503268</v>
      </c>
      <c r="N8103" s="13" t="n">
        <f aca="false">Sens!$N$8094/Sens!$N$8096</f>
        <v>0.0506537999838362</v>
      </c>
      <c r="O8103" s="13" t="n">
        <f aca="false">Sens!$O$8094/Sens!$O$8096</f>
        <v>0.0824881615167056</v>
      </c>
    </row>
    <row r="8106" customFormat="false" ht="19.4" hidden="false" customHeight="false" outlineLevel="0" collapsed="false">
      <c r="A8106" s="31" t="s">
        <v>1294</v>
      </c>
    </row>
    <row r="8107" customFormat="false" ht="17.15" hidden="false" customHeight="false" outlineLevel="0" collapsed="false">
      <c r="A8107" s="6" t="s">
        <v>16</v>
      </c>
      <c r="B8107" s="6" t="s">
        <v>17</v>
      </c>
      <c r="C8107" s="20" t="s">
        <v>494</v>
      </c>
      <c r="D8107" s="20" t="s">
        <v>495</v>
      </c>
      <c r="E8107" s="20" t="s">
        <v>577</v>
      </c>
      <c r="F8107" s="20" t="s">
        <v>578</v>
      </c>
      <c r="G8107" s="20" t="s">
        <v>579</v>
      </c>
      <c r="H8107" s="20" t="s">
        <v>580</v>
      </c>
      <c r="I8107" s="20" t="s">
        <v>581</v>
      </c>
      <c r="J8107" s="20" t="s">
        <v>582</v>
      </c>
      <c r="K8107" s="20" t="s">
        <v>583</v>
      </c>
      <c r="L8107" s="20" t="s">
        <v>584</v>
      </c>
      <c r="M8107" s="20" t="s">
        <v>585</v>
      </c>
      <c r="N8107" s="20" t="s">
        <v>586</v>
      </c>
      <c r="O8107" s="20" t="s">
        <v>587</v>
      </c>
      <c r="P8107" s="6" t="s">
        <v>23</v>
      </c>
      <c r="R8107" s="20" t="n">
        <v>2023</v>
      </c>
      <c r="S8107" s="20" t="n">
        <v>2024</v>
      </c>
      <c r="T8107" s="20" t="n">
        <v>2025</v>
      </c>
      <c r="U8107" s="20" t="n">
        <v>2026</v>
      </c>
      <c r="V8107" s="20" t="n">
        <v>2027</v>
      </c>
      <c r="W8107" s="20" t="n">
        <v>2028</v>
      </c>
      <c r="X8107" s="20" t="n">
        <v>2029</v>
      </c>
      <c r="Y8107" s="20" t="n">
        <v>2030</v>
      </c>
      <c r="Z8107" s="20" t="n">
        <v>2031</v>
      </c>
      <c r="AA8107" s="20" t="n">
        <v>2032</v>
      </c>
    </row>
    <row r="8108" customFormat="false" ht="17.15" hidden="false" customHeight="false" outlineLevel="0" collapsed="false">
      <c r="A8108" s="1" t="s">
        <v>710</v>
      </c>
    </row>
    <row r="8109" customFormat="false" ht="15" hidden="false" customHeight="false" outlineLevel="0" collapsed="false">
      <c r="A8109" s="0" t="s">
        <v>516</v>
      </c>
      <c r="B8109" s="0" t="s">
        <v>86</v>
      </c>
      <c r="C8109" s="38" t="n">
        <f aca="false">Sens!$C$8016</f>
        <v>247.029</v>
      </c>
      <c r="D8109" s="38" t="n">
        <f aca="false">Sens!$D$8016</f>
        <v>269.287</v>
      </c>
      <c r="E8109" s="38" t="n">
        <f aca="false">Sens!$E$8016</f>
        <v>134.686</v>
      </c>
      <c r="F8109" s="38" t="n">
        <f aca="false">Sens!$F$8016</f>
        <v>158.293876822267</v>
      </c>
      <c r="G8109" s="38" t="n">
        <f aca="false">Sens!$G$8016</f>
        <v>292.979876822267</v>
      </c>
      <c r="H8109" s="38" t="n">
        <f aca="false">Sens!$H$8016</f>
        <v>318.184543087396</v>
      </c>
      <c r="I8109" s="38" t="n">
        <f aca="false">Sens!$I$8016</f>
        <v>341.736278761793</v>
      </c>
      <c r="J8109" s="38" t="n">
        <f aca="false">Sens!$J$8016</f>
        <v>362.927192787048</v>
      </c>
      <c r="K8109" s="38" t="n">
        <f aca="false">Sens!$K$8016</f>
        <v>381.0735524264</v>
      </c>
      <c r="L8109" s="38" t="n">
        <f aca="false">Sens!$L$8016</f>
        <v>400.12723004772</v>
      </c>
      <c r="M8109" s="38" t="n">
        <f aca="false">Sens!$M$8016</f>
        <v>420.133591550106</v>
      </c>
      <c r="N8109" s="38" t="n">
        <f aca="false">Sens!$N$8016</f>
        <v>118.892</v>
      </c>
      <c r="O8109" s="38" t="n">
        <f aca="false">Sens!$O$8016</f>
        <v>150.395</v>
      </c>
    </row>
    <row r="8110" customFormat="false" ht="15" hidden="false" customHeight="false" outlineLevel="0" collapsed="false">
      <c r="A8110" s="0" t="s">
        <v>517</v>
      </c>
      <c r="B8110" s="0" t="s">
        <v>86</v>
      </c>
      <c r="C8110" s="38" t="n">
        <f aca="false">Sens!$C$8018</f>
        <v>21.215</v>
      </c>
      <c r="D8110" s="38" t="n">
        <f aca="false">Sens!$D$8018</f>
        <v>22.561</v>
      </c>
      <c r="E8110" s="38" t="n">
        <f aca="false">Sens!$E$8018</f>
        <v>11.579</v>
      </c>
      <c r="F8110" s="38" t="n">
        <f aca="false">Sens!$F$8018</f>
        <v>11.5938724610325</v>
      </c>
      <c r="G8110" s="38" t="n">
        <f aca="false">Sens!$G$8018</f>
        <v>23.1728724610325</v>
      </c>
      <c r="H8110" s="38" t="n">
        <f aca="false">Sens!$H$8018</f>
        <v>24.353392759506</v>
      </c>
      <c r="I8110" s="38" t="n">
        <f aca="false">Sens!$I$8018</f>
        <v>25.4240338872015</v>
      </c>
      <c r="J8110" s="38" t="n">
        <f aca="false">Sens!$J$8018</f>
        <v>26.3642491017174</v>
      </c>
      <c r="K8110" s="38" t="n">
        <f aca="false">Sens!$K$8018</f>
        <v>27.155176574769</v>
      </c>
      <c r="L8110" s="38" t="n">
        <f aca="false">Sens!$L$8018</f>
        <v>27.969831872012</v>
      </c>
      <c r="M8110" s="38" t="n">
        <f aca="false">Sens!$M$8018</f>
        <v>28.8089268281724</v>
      </c>
      <c r="N8110" s="38" t="n">
        <f aca="false">Sens!$N$8018</f>
        <v>11.128</v>
      </c>
      <c r="O8110" s="38" t="n">
        <f aca="false">Sens!$O$8018</f>
        <v>11.433</v>
      </c>
    </row>
    <row r="8111" customFormat="false" ht="15" hidden="false" customHeight="false" outlineLevel="0" collapsed="false">
      <c r="A8111" s="0" t="s">
        <v>518</v>
      </c>
      <c r="B8111" s="0" t="s">
        <v>86</v>
      </c>
      <c r="C8111" s="38" t="n">
        <f aca="false">Sens!$C$8020</f>
        <v>156.146</v>
      </c>
      <c r="D8111" s="38" t="n">
        <f aca="false">Sens!$D$8020</f>
        <v>172.162</v>
      </c>
      <c r="E8111" s="38" t="n">
        <f aca="false">Sens!$E$8020</f>
        <v>88.358</v>
      </c>
      <c r="F8111" s="38" t="n">
        <f aca="false">Sens!$F$8020</f>
        <v>102.004388260171</v>
      </c>
      <c r="G8111" s="38" t="n">
        <f aca="false">Sens!$G$8020</f>
        <v>190.362388260171</v>
      </c>
      <c r="H8111" s="38" t="n">
        <f aca="false">Sens!$H$8020</f>
        <v>210.343106588311</v>
      </c>
      <c r="I8111" s="38" t="n">
        <f aca="false">Sens!$I$8020</f>
        <v>229.969728494648</v>
      </c>
      <c r="J8111" s="38" t="n">
        <f aca="false">Sens!$J$8020</f>
        <v>248.747636972598</v>
      </c>
      <c r="K8111" s="38" t="n">
        <f aca="false">Sens!$K$8020</f>
        <v>266.15997156068</v>
      </c>
      <c r="L8111" s="38" t="n">
        <f aca="false">Sens!$L$8020</f>
        <v>284.791169569927</v>
      </c>
      <c r="M8111" s="38" t="n">
        <f aca="false">Sens!$M$8020</f>
        <v>304.726551439822</v>
      </c>
      <c r="N8111" s="38" t="n">
        <f aca="false">Sens!$N$8020</f>
        <v>76.86</v>
      </c>
      <c r="O8111" s="38" t="n">
        <f aca="false">Sens!$O$8020</f>
        <v>95.302</v>
      </c>
    </row>
    <row r="8112" customFormat="false" ht="15" hidden="false" customHeight="false" outlineLevel="0" collapsed="false">
      <c r="A8112" s="0" t="s">
        <v>519</v>
      </c>
      <c r="B8112" s="0" t="s">
        <v>86</v>
      </c>
      <c r="C8112" s="38" t="n">
        <f aca="false">Sens!$C$8022</f>
        <v>56.214</v>
      </c>
      <c r="D8112" s="38" t="n">
        <f aca="false">Sens!$D$8022</f>
        <v>68.635</v>
      </c>
      <c r="E8112" s="38" t="n">
        <f aca="false">Sens!$E$8022</f>
        <v>37.052</v>
      </c>
      <c r="F8112" s="38" t="n">
        <f aca="false">Sens!$F$8022</f>
        <v>46.1572219944148</v>
      </c>
      <c r="G8112" s="38" t="n">
        <f aca="false">Sens!$G$8022</f>
        <v>83.2092219944148</v>
      </c>
      <c r="H8112" s="38" t="n">
        <f aca="false">Sens!$H$8022</f>
        <v>99.8969223878976</v>
      </c>
      <c r="I8112" s="38" t="n">
        <f aca="false">Sens!$I$8022</f>
        <v>116.583111095496</v>
      </c>
      <c r="J8112" s="38" t="n">
        <f aca="false">Sens!$J$8022</f>
        <v>132.148941941952</v>
      </c>
      <c r="K8112" s="38" t="n">
        <f aca="false">Sens!$K$8022</f>
        <v>145.363836136147</v>
      </c>
      <c r="L8112" s="38" t="n">
        <f aca="false">Sens!$L$8022</f>
        <v>159.900219749762</v>
      </c>
      <c r="M8112" s="38" t="n">
        <f aca="false">Sens!$M$8022</f>
        <v>175.890241724738</v>
      </c>
      <c r="N8112" s="38" t="n">
        <f aca="false">Sens!$N$8022</f>
        <v>29.615</v>
      </c>
      <c r="O8112" s="38" t="n">
        <f aca="false">Sens!$O$8022</f>
        <v>39.02</v>
      </c>
    </row>
    <row r="8113" customFormat="false" ht="15" hidden="false" customHeight="false" outlineLevel="0" collapsed="false">
      <c r="A8113" s="0" t="s">
        <v>520</v>
      </c>
      <c r="B8113" s="0" t="s">
        <v>86</v>
      </c>
      <c r="C8113" s="38" t="n">
        <f aca="false">Sens!$C$8024</f>
        <v>44.374</v>
      </c>
      <c r="D8113" s="38" t="n">
        <f aca="false">Sens!$D$8024</f>
        <v>49.619</v>
      </c>
      <c r="E8113" s="38" t="n">
        <f aca="false">Sens!$E$8024</f>
        <v>27.157</v>
      </c>
      <c r="F8113" s="38" t="n">
        <f aca="false">Sens!$F$8024</f>
        <v>27.7764165988154</v>
      </c>
      <c r="G8113" s="38" t="n">
        <f aca="false">Sens!$G$8024</f>
        <v>54.9334165988154</v>
      </c>
      <c r="H8113" s="38" t="n">
        <f aca="false">Sens!$H$8024</f>
        <v>61.1564112561829</v>
      </c>
      <c r="I8113" s="38" t="n">
        <f aca="false">Sens!$I$8024</f>
        <v>67.2020282103945</v>
      </c>
      <c r="J8113" s="38" t="n">
        <f aca="false">Sens!$J$8024</f>
        <v>72.8757274028885</v>
      </c>
      <c r="K8113" s="38" t="n">
        <f aca="false">Sens!$K$8024</f>
        <v>77.9770283210907</v>
      </c>
      <c r="L8113" s="38" t="n">
        <f aca="false">Sens!$L$8024</f>
        <v>83.4354203035671</v>
      </c>
      <c r="M8113" s="38" t="n">
        <f aca="false">Sens!$M$8024</f>
        <v>89.2758997248168</v>
      </c>
      <c r="N8113" s="38" t="n">
        <f aca="false">Sens!$N$8024</f>
        <v>23.923</v>
      </c>
      <c r="O8113" s="38" t="n">
        <f aca="false">Sens!$O$8024</f>
        <v>25.696</v>
      </c>
    </row>
    <row r="8114" customFormat="false" ht="15" hidden="false" customHeight="false" outlineLevel="0" collapsed="false">
      <c r="A8114" s="0" t="s">
        <v>521</v>
      </c>
      <c r="B8114" s="0" t="s">
        <v>86</v>
      </c>
      <c r="C8114" s="38" t="n">
        <f aca="false">Sens!$C$8026</f>
        <v>5.425</v>
      </c>
      <c r="D8114" s="38" t="n">
        <f aca="false">Sens!$D$8026</f>
        <v>5.935</v>
      </c>
      <c r="E8114" s="38" t="n">
        <f aca="false">Sens!$E$8026</f>
        <v>3.474</v>
      </c>
      <c r="F8114" s="38" t="n">
        <f aca="false">Sens!$F$8026</f>
        <v>3.22246550883619</v>
      </c>
      <c r="G8114" s="38" t="n">
        <f aca="false">Sens!$G$8026</f>
        <v>6.69646550883619</v>
      </c>
      <c r="H8114" s="38" t="n">
        <f aca="false">Sens!$H$8026</f>
        <v>7.16251344209196</v>
      </c>
      <c r="I8114" s="38" t="n">
        <f aca="false">Sens!$I$8026</f>
        <v>7.61421070299826</v>
      </c>
      <c r="J8114" s="38" t="n">
        <f aca="false">Sens!$J$8026</f>
        <v>8.04465753523932</v>
      </c>
      <c r="K8114" s="38" t="n">
        <f aca="false">Sens!$K$8026</f>
        <v>8.44689041200128</v>
      </c>
      <c r="L8114" s="38" t="n">
        <f aca="false">Sens!$L$8026</f>
        <v>8.86923493260135</v>
      </c>
      <c r="M8114" s="38" t="n">
        <f aca="false">Sens!$M$8026</f>
        <v>9.31269667923142</v>
      </c>
      <c r="N8114" s="38" t="n">
        <f aca="false">Sens!$N$8026</f>
        <v>2.811</v>
      </c>
      <c r="O8114" s="38" t="n">
        <f aca="false">Sens!$O$8026</f>
        <v>3.124</v>
      </c>
    </row>
    <row r="8115" customFormat="false" ht="17.15" hidden="false" customHeight="false" outlineLevel="0" collapsed="false">
      <c r="A8115" s="0" t="s">
        <v>711</v>
      </c>
      <c r="B8115" s="0" t="s">
        <v>86</v>
      </c>
      <c r="C8115" s="38" t="n">
        <f aca="false">Sens!$C$8096</f>
        <v>107.556</v>
      </c>
      <c r="D8115" s="38" t="n">
        <f aca="false">Sens!$D$8096</f>
        <v>128.725</v>
      </c>
      <c r="E8115" s="38" t="n">
        <f aca="false">Sens!$E$8096</f>
        <v>79.819</v>
      </c>
      <c r="F8115" s="38" t="n">
        <f aca="false">Sens!$F$8096</f>
        <v>86.7327334389669</v>
      </c>
      <c r="G8115" s="38" t="n">
        <f aca="false">Sens!$G$8096</f>
        <v>166.551733438967</v>
      </c>
      <c r="H8115" s="38" t="n">
        <f aca="false">Sens!$H$8096</f>
        <v>221.182967828978</v>
      </c>
      <c r="I8115" s="38" t="n">
        <f aca="false">Sens!$I$8096</f>
        <v>280.27345865789</v>
      </c>
      <c r="J8115" s="38" t="n">
        <f aca="false">Sens!$J$8096</f>
        <v>338.800945197185</v>
      </c>
      <c r="K8115" s="38" t="n">
        <f aca="false">Sens!$K$8096</f>
        <v>389.599699375015</v>
      </c>
      <c r="L8115" s="38" t="n">
        <f aca="false">Sens!$L$8096</f>
        <v>428.943490119887</v>
      </c>
      <c r="M8115" s="38" t="n">
        <f aca="false">Sens!$M$8096</f>
        <v>456.901465525587</v>
      </c>
      <c r="N8115" s="38" t="n">
        <f aca="false">Sens!$N$8096</f>
        <v>60.14</v>
      </c>
      <c r="O8115" s="38" t="n">
        <f aca="false">Sens!$O$8096</f>
        <v>68.585</v>
      </c>
    </row>
    <row r="8116" customFormat="false" ht="15" hidden="false" customHeight="false" outlineLevel="0" collapsed="false">
      <c r="A8116" s="1" t="s">
        <v>509</v>
      </c>
      <c r="B8116" s="8" t="s">
        <v>86</v>
      </c>
      <c r="C8116" s="38" t="n">
        <f aca="false">Sens!$C$8031</f>
        <v>387.497</v>
      </c>
      <c r="D8116" s="38" t="n">
        <f aca="false">Sens!$D$8031</f>
        <v>426.305</v>
      </c>
      <c r="E8116" s="38" t="n">
        <f aca="false">Sens!$E$8031</f>
        <v>220.32</v>
      </c>
      <c r="F8116" s="38" t="n">
        <f aca="false">Sens!$F$8031</f>
        <v>250.639773480586</v>
      </c>
      <c r="G8116" s="38" t="n">
        <f aca="false">Sens!$G$8031</f>
        <v>470.959773480586</v>
      </c>
      <c r="H8116" s="38" t="n">
        <f aca="false">Sens!$H$8031</f>
        <v>521.386990416437</v>
      </c>
      <c r="I8116" s="38" t="n">
        <f aca="false">Sens!$I$8031</f>
        <v>570.143862887555</v>
      </c>
      <c r="J8116" s="38" t="n">
        <f aca="false">Sens!$J$8031</f>
        <v>615.391435791933</v>
      </c>
      <c r="K8116" s="38" t="n">
        <f aca="false">Sens!$K$8031</f>
        <v>655.208227561543</v>
      </c>
      <c r="L8116" s="38" t="n">
        <f aca="false">Sens!$L$8031</f>
        <v>697.807739249767</v>
      </c>
      <c r="M8116" s="38" t="n">
        <f aca="false">Sens!$M$8031</f>
        <v>743.399328463592</v>
      </c>
      <c r="N8116" s="38" t="n">
        <f aca="false">Sens!$N$8031</f>
        <v>192.955</v>
      </c>
      <c r="O8116" s="38" t="n">
        <f aca="false">Sens!$O$8031</f>
        <v>233.35</v>
      </c>
    </row>
    <row r="8117" customFormat="false" ht="15" hidden="false" customHeight="false" outlineLevel="0" collapsed="false">
      <c r="A8117" s="1" t="s">
        <v>512</v>
      </c>
      <c r="B8117" s="8" t="s">
        <v>86</v>
      </c>
      <c r="C8117" s="38" t="n">
        <f aca="false">Sens!$C$8032</f>
        <v>142.906</v>
      </c>
      <c r="D8117" s="38" t="n">
        <f aca="false">Sens!$D$8032</f>
        <v>161.894</v>
      </c>
      <c r="E8117" s="38" t="n">
        <f aca="false">Sens!$E$8032</f>
        <v>81.986</v>
      </c>
      <c r="F8117" s="38" t="n">
        <f aca="false">Sens!$F$8032</f>
        <v>98.408468164951</v>
      </c>
      <c r="G8117" s="38" t="n">
        <f aca="false">Sens!$G$8032</f>
        <v>180.394468164951</v>
      </c>
      <c r="H8117" s="38" t="n">
        <f aca="false">Sens!$H$8032</f>
        <v>199.709899104949</v>
      </c>
      <c r="I8117" s="38" t="n">
        <f aca="false">Sens!$I$8032</f>
        <v>218.385528264976</v>
      </c>
      <c r="J8117" s="38" t="n">
        <f aca="false">Sens!$J$8032</f>
        <v>235.71696994951</v>
      </c>
      <c r="K8117" s="38" t="n">
        <f aca="false">Sens!$K$8032</f>
        <v>250.968227869545</v>
      </c>
      <c r="L8117" s="38" t="n">
        <f aca="false">Sens!$L$8032</f>
        <v>267.285367225822</v>
      </c>
      <c r="M8117" s="38" t="n">
        <f aca="false">Sens!$M$8032</f>
        <v>284.748579483295</v>
      </c>
      <c r="N8117" s="38" t="n">
        <f aca="false">Sens!$N$8032</f>
        <v>70.274</v>
      </c>
      <c r="O8117" s="38" t="n">
        <f aca="false">Sens!$O$8032</f>
        <v>91.62</v>
      </c>
    </row>
    <row r="8118" customFormat="false" ht="15" hidden="false" customHeight="false" outlineLevel="0" collapsed="false">
      <c r="A8118" s="1" t="s">
        <v>513</v>
      </c>
      <c r="B8118" s="8" t="s">
        <v>86</v>
      </c>
      <c r="C8118" s="38" t="n">
        <f aca="false">Sens!$C$8096</f>
        <v>107.556</v>
      </c>
      <c r="D8118" s="38" t="n">
        <f aca="false">Sens!$D$8096</f>
        <v>128.725</v>
      </c>
      <c r="E8118" s="38" t="n">
        <f aca="false">Sens!$E$8096</f>
        <v>79.819</v>
      </c>
      <c r="F8118" s="38" t="n">
        <f aca="false">Sens!$F$8096</f>
        <v>86.7327334389669</v>
      </c>
      <c r="G8118" s="38" t="n">
        <f aca="false">Sens!$G$8096</f>
        <v>166.551733438967</v>
      </c>
      <c r="H8118" s="38" t="n">
        <f aca="false">Sens!$H$8096</f>
        <v>221.182967828978</v>
      </c>
      <c r="I8118" s="38" t="n">
        <f aca="false">Sens!$I$8096</f>
        <v>280.27345865789</v>
      </c>
      <c r="J8118" s="38" t="n">
        <f aca="false">Sens!$J$8096</f>
        <v>338.800945197185</v>
      </c>
      <c r="K8118" s="38" t="n">
        <f aca="false">Sens!$K$8096</f>
        <v>389.599699375015</v>
      </c>
      <c r="L8118" s="38" t="n">
        <f aca="false">Sens!$L$8096</f>
        <v>428.943490119887</v>
      </c>
      <c r="M8118" s="38" t="n">
        <f aca="false">Sens!$M$8096</f>
        <v>456.901465525587</v>
      </c>
      <c r="N8118" s="38" t="n">
        <f aca="false">Sens!$N$8096</f>
        <v>60.14</v>
      </c>
      <c r="O8118" s="38" t="n">
        <f aca="false">Sens!$O$8096</f>
        <v>68.585</v>
      </c>
    </row>
    <row r="8119" customFormat="false" ht="17.15" hidden="false" customHeight="false" outlineLevel="0" collapsed="false">
      <c r="A8119" s="0" t="s">
        <v>685</v>
      </c>
      <c r="B8119" s="0" t="s">
        <v>86</v>
      </c>
      <c r="C8119" s="38" t="n">
        <f aca="false">Sens!$C$8094</f>
        <v>2.32100535697364</v>
      </c>
      <c r="D8119" s="38" t="n">
        <f aca="false">Sens!$D$8094</f>
        <v>8.70377008865116</v>
      </c>
      <c r="E8119" s="38" t="n">
        <f aca="false">Sens!$E$8094</f>
        <v>8.51035297557002</v>
      </c>
      <c r="F8119" s="38" t="n">
        <f aca="false">Sens!$F$8094</f>
        <v>14.9634336447205</v>
      </c>
      <c r="G8119" s="38" t="n">
        <f aca="false">Sens!$G$8094</f>
        <v>23.4737866202905</v>
      </c>
      <c r="H8119" s="38" t="n">
        <f aca="false">Sens!$H$8094</f>
        <v>60.1658907497746</v>
      </c>
      <c r="I8119" s="38" t="n">
        <f aca="false">Sens!$I$8094</f>
        <v>101.503699136432</v>
      </c>
      <c r="J8119" s="38" t="n">
        <f aca="false">Sens!$J$8094</f>
        <v>143.025407151278</v>
      </c>
      <c r="K8119" s="38" t="n">
        <f aca="false">Sens!$K$8094</f>
        <v>178.162118285436</v>
      </c>
      <c r="L8119" s="38" t="n">
        <f aca="false">Sens!$L$8094</f>
        <v>200.590902543141</v>
      </c>
      <c r="M8119" s="38" t="n">
        <f aca="false">Sens!$M$8094</f>
        <v>210.280670942702</v>
      </c>
      <c r="N8119" s="38" t="n">
        <f aca="false">Sens!$N$8094</f>
        <v>3.04631953102791</v>
      </c>
      <c r="O8119" s="38" t="n">
        <f aca="false">Sens!$O$8094</f>
        <v>5.65745055762326</v>
      </c>
    </row>
    <row r="8120" customFormat="false" ht="17.15" hidden="false" customHeight="false" outlineLevel="0" collapsed="false">
      <c r="A8120" s="0" t="s">
        <v>687</v>
      </c>
      <c r="B8120" s="0" t="s">
        <v>86</v>
      </c>
      <c r="C8120" s="38" t="n">
        <f aca="false">Sens!$C$8095</f>
        <v>105.234994643026</v>
      </c>
      <c r="D8120" s="38" t="n">
        <f aca="false">Sens!$D$8095</f>
        <v>120.021229911349</v>
      </c>
      <c r="E8120" s="38" t="n">
        <f aca="false">Sens!$E$8095</f>
        <v>71.30864702443</v>
      </c>
      <c r="F8120" s="38" t="n">
        <f aca="false">Sens!$F$8095</f>
        <v>71.7692997942464</v>
      </c>
      <c r="G8120" s="38" t="n">
        <f aca="false">Sens!$G$8095</f>
        <v>143.077946818676</v>
      </c>
      <c r="H8120" s="38" t="n">
        <f aca="false">Sens!$H$8095</f>
        <v>161.017077079203</v>
      </c>
      <c r="I8120" s="38" t="n">
        <f aca="false">Sens!$I$8095</f>
        <v>178.769759521457</v>
      </c>
      <c r="J8120" s="38" t="n">
        <f aca="false">Sens!$J$8095</f>
        <v>195.775538045907</v>
      </c>
      <c r="K8120" s="38" t="n">
        <f aca="false">Sens!$K$8095</f>
        <v>211.43758108958</v>
      </c>
      <c r="L8120" s="38" t="n">
        <f aca="false">Sens!$L$8095</f>
        <v>228.352587576746</v>
      </c>
      <c r="M8120" s="38" t="n">
        <f aca="false">Sens!$M$8095</f>
        <v>246.620794582886</v>
      </c>
      <c r="N8120" s="38" t="n">
        <f aca="false">Sens!$N$8095</f>
        <v>57.0936804689721</v>
      </c>
      <c r="O8120" s="38" t="n">
        <f aca="false">Sens!$O$8095</f>
        <v>62.9275494423768</v>
      </c>
    </row>
    <row r="8121" customFormat="false" ht="15" hidden="false" customHeight="false" outlineLevel="0" collapsed="false">
      <c r="A8121" s="3" t="s">
        <v>514</v>
      </c>
      <c r="B8121" s="8" t="s">
        <v>86</v>
      </c>
      <c r="C8121" s="38" t="n">
        <f aca="false">Sens!$C$8097</f>
        <v>637.959</v>
      </c>
      <c r="D8121" s="38" t="n">
        <f aca="false">Sens!$D$8097</f>
        <v>716.924</v>
      </c>
      <c r="E8121" s="38" t="n">
        <f aca="false">Sens!$E$8097</f>
        <v>382.125</v>
      </c>
      <c r="F8121" s="38" t="n">
        <f aca="false">Sens!$F$8097</f>
        <v>435.780975084504</v>
      </c>
      <c r="G8121" s="38" t="n">
        <f aca="false">Sens!$G$8097</f>
        <v>817.905975084504</v>
      </c>
      <c r="H8121" s="38" t="n">
        <f aca="false">Sens!$H$8097</f>
        <v>942.279857350364</v>
      </c>
      <c r="I8121" s="38" t="n">
        <f aca="false">Sens!$I$8097</f>
        <v>1068.80284981042</v>
      </c>
      <c r="J8121" s="38" t="n">
        <f aca="false">Sens!$J$8097</f>
        <v>1189.90935093863</v>
      </c>
      <c r="K8121" s="38" t="n">
        <f aca="false">Sens!$K$8097</f>
        <v>1295.7761548061</v>
      </c>
      <c r="L8121" s="38" t="n">
        <f aca="false">Sens!$L$8097</f>
        <v>1394.03659659548</v>
      </c>
      <c r="M8121" s="38" t="n">
        <f aca="false">Sens!$M$8097</f>
        <v>1485.04937347247</v>
      </c>
      <c r="N8121" s="38" t="n">
        <f aca="false">Sens!$N$8097</f>
        <v>323.369</v>
      </c>
      <c r="O8121" s="38" t="n">
        <f aca="false">Sens!$O$8097</f>
        <v>393.555</v>
      </c>
    </row>
    <row r="8122" customFormat="false" ht="17.15" hidden="false" customHeight="false" outlineLevel="0" collapsed="false">
      <c r="A8122" s="24" t="s">
        <v>697</v>
      </c>
      <c r="B8122" s="25" t="s">
        <v>86</v>
      </c>
      <c r="C8122" s="41" t="n">
        <f aca="false">Sens!$C$8109+Sens!$C$8110+Sens!$C$8111+Sens!$C$8112+Sens!$C$8113+Sens!$C$8114-(Sens!$C$8116+Sens!$C$8117)</f>
        <v>0</v>
      </c>
      <c r="D8122" s="41" t="n">
        <f aca="false">Sens!$D$8109+Sens!$D$8110+Sens!$D$8111+Sens!$D$8112+Sens!$D$8113+Sens!$D$8114-(Sens!$D$8116+Sens!$D$8117)</f>
        <v>0</v>
      </c>
      <c r="E8122" s="41" t="n">
        <f aca="false">Sens!$E$8109+Sens!$E$8110+Sens!$E$8111+Sens!$E$8112+Sens!$E$8113+Sens!$E$8114-(Sens!$E$8116+Sens!$E$8117)</f>
        <v>0</v>
      </c>
      <c r="F8122" s="41" t="n">
        <f aca="false">Sens!$F$8109+Sens!$F$8110+Sens!$F$8111+Sens!$F$8112+Sens!$F$8113+Sens!$F$8114-(Sens!$F$8116+Sens!$F$8117)</f>
        <v>0</v>
      </c>
      <c r="G8122" s="41" t="n">
        <f aca="false">Sens!$G$8109+Sens!$G$8110+Sens!$G$8111+Sens!$G$8112+Sens!$G$8113+Sens!$G$8114-(Sens!$G$8116+Sens!$G$8117)</f>
        <v>0</v>
      </c>
      <c r="H8122" s="41" t="n">
        <f aca="false">Sens!$H$8109+Sens!$H$8110+Sens!$H$8111+Sens!$H$8112+Sens!$H$8113+Sens!$H$8114-(Sens!$H$8116+Sens!$H$8117)</f>
        <v>0</v>
      </c>
      <c r="I8122" s="41" t="n">
        <f aca="false">Sens!$I$8109+Sens!$I$8110+Sens!$I$8111+Sens!$I$8112+Sens!$I$8113+Sens!$I$8114-(Sens!$I$8116+Sens!$I$8117)</f>
        <v>0</v>
      </c>
      <c r="J8122" s="41" t="n">
        <f aca="false">Sens!$J$8109+Sens!$J$8110+Sens!$J$8111+Sens!$J$8112+Sens!$J$8113+Sens!$J$8114-(Sens!$J$8116+Sens!$J$8117)</f>
        <v>0</v>
      </c>
      <c r="K8122" s="41" t="n">
        <f aca="false">Sens!$K$8109+Sens!$K$8110+Sens!$K$8111+Sens!$K$8112+Sens!$K$8113+Sens!$K$8114-(Sens!$K$8116+Sens!$K$8117)</f>
        <v>0</v>
      </c>
      <c r="L8122" s="41" t="n">
        <f aca="false">Sens!$L$8109+Sens!$L$8110+Sens!$L$8111+Sens!$L$8112+Sens!$L$8113+Sens!$L$8114-(Sens!$L$8116+Sens!$L$8117)</f>
        <v>0</v>
      </c>
      <c r="M8122" s="41" t="n">
        <f aca="false">Sens!$M$8109+Sens!$M$8110+Sens!$M$8111+Sens!$M$8112+Sens!$M$8113+Sens!$M$8114-(Sens!$M$8116+Sens!$M$8117)</f>
        <v>0</v>
      </c>
      <c r="N8122" s="41" t="n">
        <f aca="false">Sens!$N$8109+Sens!$N$8110+Sens!$N$8111+Sens!$N$8112+Sens!$N$8113+Sens!$N$8114-(Sens!$N$8116+Sens!$N$8117)</f>
        <v>0</v>
      </c>
      <c r="O8122" s="41" t="n">
        <f aca="false">Sens!$O$8109+Sens!$O$8110+Sens!$O$8111+Sens!$O$8112+Sens!$O$8113+Sens!$O$8114-(Sens!$O$8116+Sens!$O$8117)</f>
        <v>0</v>
      </c>
    </row>
    <row r="8123" customFormat="false" ht="17.15" hidden="false" customHeight="false" outlineLevel="0" collapsed="false">
      <c r="A8123" s="24" t="s">
        <v>698</v>
      </c>
      <c r="B8123" s="25" t="s">
        <v>86</v>
      </c>
      <c r="C8123" s="41" t="n">
        <f aca="false">Sens!$C$8119+Sens!$C$8120-Sens!$C$8118</f>
        <v>0</v>
      </c>
      <c r="D8123" s="41" t="n">
        <f aca="false">Sens!$D$8119+Sens!$D$8120-Sens!$D$8118</f>
        <v>0</v>
      </c>
      <c r="E8123" s="41" t="n">
        <f aca="false">Sens!$E$8119+Sens!$E$8120-Sens!$E$8118</f>
        <v>0</v>
      </c>
      <c r="F8123" s="41" t="n">
        <f aca="false">Sens!$F$8119+Sens!$F$8120-Sens!$F$8118</f>
        <v>0</v>
      </c>
      <c r="G8123" s="41" t="n">
        <f aca="false">Sens!$G$8119+Sens!$G$8120-Sens!$G$8118</f>
        <v>0</v>
      </c>
      <c r="H8123" s="41" t="n">
        <f aca="false">Sens!$H$8119+Sens!$H$8120-Sens!$H$8118</f>
        <v>0</v>
      </c>
      <c r="I8123" s="41" t="n">
        <f aca="false">Sens!$I$8119+Sens!$I$8120-Sens!$I$8118</f>
        <v>0</v>
      </c>
      <c r="J8123" s="41" t="n">
        <f aca="false">Sens!$J$8119+Sens!$J$8120-Sens!$J$8118</f>
        <v>0</v>
      </c>
      <c r="K8123" s="41" t="n">
        <f aca="false">Sens!$K$8119+Sens!$K$8120-Sens!$K$8118</f>
        <v>0</v>
      </c>
      <c r="L8123" s="41" t="n">
        <f aca="false">Sens!$L$8119+Sens!$L$8120-Sens!$L$8118</f>
        <v>0</v>
      </c>
      <c r="M8123" s="41" t="n">
        <f aca="false">Sens!$M$8119+Sens!$M$8120-Sens!$M$8118</f>
        <v>0</v>
      </c>
      <c r="N8123" s="41" t="n">
        <f aca="false">Sens!$N$8119+Sens!$N$8120-Sens!$N$8118</f>
        <v>0</v>
      </c>
      <c r="O8123" s="41" t="n">
        <f aca="false">Sens!$O$8119+Sens!$O$8120-Sens!$O$8118</f>
        <v>0</v>
      </c>
    </row>
    <row r="8124" customFormat="false" ht="17.15" hidden="false" customHeight="false" outlineLevel="0" collapsed="false">
      <c r="A8124" s="24" t="s">
        <v>757</v>
      </c>
      <c r="B8124" s="25" t="s">
        <v>86</v>
      </c>
      <c r="C8124" s="41" t="n">
        <f aca="false">Sens!$C$8109+Sens!$C$8110+Sens!$C$8111+Sens!$C$8112+Sens!$C$8113+Sens!$C$8114+Sens!$C$8115-Sens!$C$8121</f>
        <v>0</v>
      </c>
      <c r="D8124" s="41" t="n">
        <f aca="false">Sens!$D$8109+Sens!$D$8110+Sens!$D$8111+Sens!$D$8112+Sens!$D$8113+Sens!$D$8114+Sens!$D$8115-Sens!$D$8121</f>
        <v>0</v>
      </c>
      <c r="E8124" s="41" t="n">
        <f aca="false">Sens!$E$8109+Sens!$E$8110+Sens!$E$8111+Sens!$E$8112+Sens!$E$8113+Sens!$E$8114+Sens!$E$8115-Sens!$E$8121</f>
        <v>0</v>
      </c>
      <c r="F8124" s="41" t="n">
        <f aca="false">Sens!$F$8109+Sens!$F$8110+Sens!$F$8111+Sens!$F$8112+Sens!$F$8113+Sens!$F$8114+Sens!$F$8115-Sens!$F$8121</f>
        <v>0</v>
      </c>
      <c r="G8124" s="41" t="n">
        <f aca="false">Sens!$G$8109+Sens!$G$8110+Sens!$G$8111+Sens!$G$8112+Sens!$G$8113+Sens!$G$8114+Sens!$G$8115-Sens!$G$8121</f>
        <v>0</v>
      </c>
      <c r="H8124" s="41" t="n">
        <f aca="false">Sens!$H$8109+Sens!$H$8110+Sens!$H$8111+Sens!$H$8112+Sens!$H$8113+Sens!$H$8114+Sens!$H$8115-Sens!$H$8121</f>
        <v>0</v>
      </c>
      <c r="I8124" s="41" t="n">
        <f aca="false">Sens!$I$8109+Sens!$I$8110+Sens!$I$8111+Sens!$I$8112+Sens!$I$8113+Sens!$I$8114+Sens!$I$8115-Sens!$I$8121</f>
        <v>0</v>
      </c>
      <c r="J8124" s="41" t="n">
        <f aca="false">Sens!$J$8109+Sens!$J$8110+Sens!$J$8111+Sens!$J$8112+Sens!$J$8113+Sens!$J$8114+Sens!$J$8115-Sens!$J$8121</f>
        <v>0</v>
      </c>
      <c r="K8124" s="41" t="n">
        <f aca="false">Sens!$K$8109+Sens!$K$8110+Sens!$K$8111+Sens!$K$8112+Sens!$K$8113+Sens!$K$8114+Sens!$K$8115-Sens!$K$8121</f>
        <v>0</v>
      </c>
      <c r="L8124" s="41" t="n">
        <f aca="false">Sens!$L$8109+Sens!$L$8110+Sens!$L$8111+Sens!$L$8112+Sens!$L$8113+Sens!$L$8114+Sens!$L$8115-Sens!$L$8121</f>
        <v>0</v>
      </c>
      <c r="M8124" s="41" t="n">
        <f aca="false">Sens!$M$8109+Sens!$M$8110+Sens!$M$8111+Sens!$M$8112+Sens!$M$8113+Sens!$M$8114+Sens!$M$8115-Sens!$M$8121</f>
        <v>0</v>
      </c>
      <c r="N8124" s="41" t="n">
        <f aca="false">Sens!$N$8109+Sens!$N$8110+Sens!$N$8111+Sens!$N$8112+Sens!$N$8113+Sens!$N$8114+Sens!$N$8115-Sens!$N$8121</f>
        <v>0</v>
      </c>
      <c r="O8124" s="41" t="n">
        <f aca="false">Sens!$O$8109+Sens!$O$8110+Sens!$O$8111+Sens!$O$8112+Sens!$O$8113+Sens!$O$8114+Sens!$O$8115-Sens!$O$8121</f>
        <v>0</v>
      </c>
    </row>
    <row r="8125" customFormat="false" ht="17.15" hidden="false" customHeight="false" outlineLevel="0" collapsed="false">
      <c r="A8125" s="24" t="s">
        <v>699</v>
      </c>
      <c r="B8125" s="25" t="s">
        <v>86</v>
      </c>
      <c r="C8125" s="41" t="n">
        <f aca="false">Sens!$C$8116+Sens!$C$8117+Sens!$C$8118-Sens!$C$8121</f>
        <v>0</v>
      </c>
      <c r="D8125" s="41" t="n">
        <f aca="false">Sens!$D$8116+Sens!$D$8117+Sens!$D$8118-Sens!$D$8121</f>
        <v>0</v>
      </c>
      <c r="E8125" s="41" t="n">
        <f aca="false">Sens!$E$8116+Sens!$E$8117+Sens!$E$8118-Sens!$E$8121</f>
        <v>0</v>
      </c>
      <c r="F8125" s="41" t="n">
        <f aca="false">Sens!$F$8116+Sens!$F$8117+Sens!$F$8118-Sens!$F$8121</f>
        <v>0</v>
      </c>
      <c r="G8125" s="41" t="n">
        <f aca="false">Sens!$G$8116+Sens!$G$8117+Sens!$G$8118-Sens!$G$8121</f>
        <v>0</v>
      </c>
      <c r="H8125" s="41" t="n">
        <f aca="false">Sens!$H$8116+Sens!$H$8117+Sens!$H$8118-Sens!$H$8121</f>
        <v>0</v>
      </c>
      <c r="I8125" s="41" t="n">
        <f aca="false">Sens!$I$8116+Sens!$I$8117+Sens!$I$8118-Sens!$I$8121</f>
        <v>0</v>
      </c>
      <c r="J8125" s="41" t="n">
        <f aca="false">Sens!$J$8116+Sens!$J$8117+Sens!$J$8118-Sens!$J$8121</f>
        <v>0</v>
      </c>
      <c r="K8125" s="41" t="n">
        <f aca="false">Sens!$K$8116+Sens!$K$8117+Sens!$K$8118-Sens!$K$8121</f>
        <v>0</v>
      </c>
      <c r="L8125" s="41" t="n">
        <f aca="false">Sens!$L$8116+Sens!$L$8117+Sens!$L$8118-Sens!$L$8121</f>
        <v>0</v>
      </c>
      <c r="M8125" s="41" t="n">
        <f aca="false">Sens!$M$8116+Sens!$M$8117+Sens!$M$8118-Sens!$M$8121</f>
        <v>0</v>
      </c>
      <c r="N8125" s="41" t="n">
        <f aca="false">Sens!$N$8116+Sens!$N$8117+Sens!$N$8118-Sens!$N$8121</f>
        <v>0</v>
      </c>
      <c r="O8125" s="41" t="n">
        <f aca="false">Sens!$O$8116+Sens!$O$8117+Sens!$O$8118-Sens!$O$8121</f>
        <v>0</v>
      </c>
    </row>
    <row r="8126" customFormat="false" ht="17.15" hidden="false" customHeight="false" outlineLevel="0" collapsed="false">
      <c r="A8126" s="1" t="s">
        <v>713</v>
      </c>
    </row>
    <row r="8127" customFormat="false" ht="17.15" hidden="false" customHeight="false" outlineLevel="0" collapsed="false">
      <c r="A8127" s="0" t="s">
        <v>714</v>
      </c>
      <c r="B8127" s="0" t="s">
        <v>86</v>
      </c>
      <c r="C8127" s="38" t="n">
        <f aca="false">Sens!$C$8033*m_ad</f>
        <v>20.5341564414228</v>
      </c>
      <c r="D8127" s="38" t="n">
        <f aca="false">Sens!$D$8033*m_ad</f>
        <v>24.8720617299587</v>
      </c>
      <c r="E8127" s="38" t="n">
        <f aca="false">Sens!$E$8033*m_ad</f>
        <v>13.5017112462207</v>
      </c>
      <c r="F8127" s="38" t="n">
        <f aca="false">Sens!$F$8033*m_ad</f>
        <v>16.5719724165257</v>
      </c>
      <c r="G8127" s="38" t="n">
        <f aca="false">Sens!$G$8033*m_ad</f>
        <v>30.0820919220415</v>
      </c>
      <c r="H8127" s="38" t="n">
        <f aca="false">Sens!$H$8033*m_ad</f>
        <v>36.1150883276314</v>
      </c>
      <c r="I8127" s="38" t="n">
        <f aca="false">Sens!$I$8033*m_ad</f>
        <v>42.1475382231996</v>
      </c>
      <c r="J8127" s="38" t="n">
        <f aca="false">Sens!$J$8033*m_ad</f>
        <v>47.7749523864693</v>
      </c>
      <c r="K8127" s="38" t="n">
        <f aca="false">Sens!$K$8033*m_ad</f>
        <v>52.5524476251162</v>
      </c>
      <c r="L8127" s="38" t="n">
        <f aca="false">Sens!$L$8033*m_ad</f>
        <v>57.8076923876279</v>
      </c>
      <c r="M8127" s="38" t="n">
        <f aca="false">Sens!$M$8033*m_ad</f>
        <v>63.5884616263907</v>
      </c>
      <c r="N8127" s="38" t="n">
        <f aca="false">Sens!$N$8033*m_ad</f>
        <v>10.8543555706248</v>
      </c>
      <c r="O8127" s="38" t="n">
        <f aca="false">Sens!$O$8033*m_ad</f>
        <v>14.0094731821399</v>
      </c>
    </row>
    <row r="8128" customFormat="false" ht="17.15" hidden="false" customHeight="false" outlineLevel="0" collapsed="false">
      <c r="A8128" s="0" t="s">
        <v>715</v>
      </c>
      <c r="B8128" s="0" t="s">
        <v>86</v>
      </c>
      <c r="C8128" s="38" t="n">
        <f aca="false">Sens!$C$8031-Sens!$C$8033</f>
        <v>346.428687117154</v>
      </c>
      <c r="D8128" s="38" t="n">
        <f aca="false">Sens!$D$8031-Sens!$D$8033</f>
        <v>376.560876540083</v>
      </c>
      <c r="E8128" s="38" t="n">
        <f aca="false">Sens!$E$8031-Sens!$E$8033</f>
        <v>193.316577507559</v>
      </c>
      <c r="F8128" s="38" t="n">
        <f aca="false">Sens!$F$8031-Sens!$F$8033</f>
        <v>217.495828647535</v>
      </c>
      <c r="G8128" s="38" t="n">
        <f aca="false">Sens!$G$8031-Sens!$G$8033</f>
        <v>410.795589636503</v>
      </c>
      <c r="H8128" s="38" t="n">
        <f aca="false">Sens!$H$8031-Sens!$H$8033</f>
        <v>449.156813761174</v>
      </c>
      <c r="I8128" s="38" t="n">
        <f aca="false">Sens!$I$8031-Sens!$I$8033</f>
        <v>485.848786441156</v>
      </c>
      <c r="J8128" s="38" t="n">
        <f aca="false">Sens!$J$8031-Sens!$J$8033</f>
        <v>519.841531018994</v>
      </c>
      <c r="K8128" s="38" t="n">
        <f aca="false">Sens!$K$8031-Sens!$K$8033</f>
        <v>550.103332311311</v>
      </c>
      <c r="L8128" s="38" t="n">
        <f aca="false">Sens!$L$8031-Sens!$L$8033</f>
        <v>582.192354474511</v>
      </c>
      <c r="M8128" s="38" t="n">
        <f aca="false">Sens!$M$8031-Sens!$M$8033</f>
        <v>616.22240521081</v>
      </c>
      <c r="N8128" s="38" t="n">
        <f aca="false">Sens!$N$8031-Sens!$N$8033</f>
        <v>171.24628885875</v>
      </c>
      <c r="O8128" s="38" t="n">
        <f aca="false">Sens!$O$8031-Sens!$O$8033</f>
        <v>205.33105363572</v>
      </c>
    </row>
    <row r="8129" customFormat="false" ht="17.15" hidden="false" customHeight="false" outlineLevel="0" collapsed="false">
      <c r="A8129" s="0" t="s">
        <v>716</v>
      </c>
      <c r="B8129" s="0" t="s">
        <v>86</v>
      </c>
      <c r="C8129" s="38" t="n">
        <f aca="false">Sens!$C$8080*Sens!$C$8030</f>
        <v>0.123617442257179</v>
      </c>
      <c r="D8129" s="38" t="n">
        <f aca="false">Sens!$D$8080*Sens!$D$8030</f>
        <v>0.874366899302609</v>
      </c>
      <c r="E8129" s="38" t="n">
        <f aca="false">Sens!$E$8080*Sens!$E$8030</f>
        <v>1.29318830502574</v>
      </c>
      <c r="F8129" s="38" t="n">
        <f aca="false">Sens!$F$8080*Sens!$F$8030</f>
        <v>1.51802024162534</v>
      </c>
      <c r="G8129" s="38" t="n">
        <f aca="false">Sens!$G$8080*Sens!$G$8030</f>
        <v>2.81153363597665</v>
      </c>
      <c r="H8129" s="38" t="n">
        <f aca="false">Sens!$H$8080*Sens!$H$8030</f>
        <v>7.39027704264226</v>
      </c>
      <c r="I8129" s="38" t="n">
        <f aca="false">Sens!$I$8080*Sens!$I$8030</f>
        <v>12.899807643047</v>
      </c>
      <c r="J8129" s="38" t="n">
        <f aca="false">Sens!$J$8080*Sens!$J$8030</f>
        <v>18.5585322471382</v>
      </c>
      <c r="K8129" s="38" t="n">
        <f aca="false">Sens!$K$8080*Sens!$K$8030</f>
        <v>24.0864087305694</v>
      </c>
      <c r="L8129" s="38" t="n">
        <f aca="false">Sens!$L$8080*Sens!$L$8030</f>
        <v>27.5892536594053</v>
      </c>
      <c r="M8129" s="38" t="n">
        <f aca="false">Sens!$M$8080*Sens!$M$8030</f>
        <v>29.4625357556135</v>
      </c>
      <c r="N8129" s="38" t="n">
        <f aca="false">Sens!$N$8080*Sens!$N$8030</f>
        <v>0.389180508437431</v>
      </c>
      <c r="O8129" s="38" t="n">
        <f aca="false">Sens!$O$8080*Sens!$O$8030</f>
        <v>0.485052120082802</v>
      </c>
    </row>
    <row r="8130" customFormat="false" ht="17.15" hidden="false" customHeight="false" outlineLevel="0" collapsed="false">
      <c r="A8130" s="0" t="s">
        <v>717</v>
      </c>
      <c r="B8130" s="0" t="s">
        <v>52</v>
      </c>
      <c r="C8130" s="28" t="n">
        <f aca="false">(Sens!$C$8131-Sens!$C$8127+Sens!$C$8129)/Sens!$C$8128</f>
        <v>0.0131526665379575</v>
      </c>
      <c r="D8130" s="28" t="n">
        <f aca="false">(Sens!$D$8131-Sens!$D$8127+Sens!$D$8129)/Sens!$D$8128</f>
        <v>0.0149280116962589</v>
      </c>
      <c r="E8130" s="28" t="n">
        <f aca="false">(Sens!$E$8131-Sens!$E$8127+Sens!$E$8129)/Sens!$E$8128</f>
        <v>0.0268030663774938</v>
      </c>
      <c r="F8130" s="28" t="n">
        <f aca="false">Sens!$O$8130+(Sens!$E$8130-Sens!$N$8130)</f>
        <v>0.0232379346966962</v>
      </c>
      <c r="G8130" s="28" t="n">
        <f aca="false">(Sens!$G$8131-Sens!$G$8127+Sens!$G$8129)/Sens!$G$8128</f>
        <v>0.0248969268652583</v>
      </c>
      <c r="H8130" s="28" t="n">
        <f aca="false">Sens!$G$8130+step_na</f>
        <v>0.0278969268652583</v>
      </c>
      <c r="I8130" s="28" t="n">
        <f aca="false">Sens!$H$8130+step_na</f>
        <v>0.0308969268652583</v>
      </c>
      <c r="J8130" s="28" t="n">
        <f aca="false">Sens!$I$8130+step_na</f>
        <v>0.0338969268652583</v>
      </c>
      <c r="K8130" s="28" t="n">
        <f aca="false">Sens!$J$8130+step_na</f>
        <v>0.0368969268652584</v>
      </c>
      <c r="L8130" s="28" t="n">
        <f aca="false">Sens!$K$8130</f>
        <v>0.0368969268652584</v>
      </c>
      <c r="M8130" s="28" t="n">
        <f aca="false">Sens!$L$8130</f>
        <v>0.0368969268652584</v>
      </c>
      <c r="N8130" s="28" t="n">
        <f aca="false">(Sens!$N$8131-Sens!$N$8127+Sens!$N$8129)/Sens!$N$8128</f>
        <v>0.0168927744775755</v>
      </c>
      <c r="O8130" s="28" t="n">
        <f aca="false">(Sens!$O$8131-Sens!$O$8127+Sens!$O$8129)/Sens!$O$8128</f>
        <v>0.0133276427967779</v>
      </c>
      <c r="P8130" s="8" t="s">
        <v>718</v>
      </c>
    </row>
    <row r="8131" customFormat="false" ht="17.15" hidden="false" customHeight="false" outlineLevel="0" collapsed="false">
      <c r="A8131" s="1" t="s">
        <v>719</v>
      </c>
      <c r="B8131" s="8" t="s">
        <v>86</v>
      </c>
      <c r="C8131" s="38" t="n">
        <f aca="false">Q!$D$22</f>
        <v>24.967</v>
      </c>
      <c r="D8131" s="38" t="n">
        <f aca="false">Q!$E$22</f>
        <v>29.619</v>
      </c>
      <c r="E8131" s="38" t="n">
        <f aca="false">Q!$P$22</f>
        <v>17.39</v>
      </c>
      <c r="F8131" s="38" t="n">
        <f aca="false">Sens!$F$8127+Sens!$F$8128*Sens!$F$8130-Sens!$F$8129</f>
        <v>20.1081060378156</v>
      </c>
      <c r="G8131" s="38" t="n">
        <f aca="false">Sens!$E$8131+Sens!$F$8131</f>
        <v>37.4981060378156</v>
      </c>
      <c r="H8131" s="38" t="n">
        <f aca="false">Sens!$H$8127+Sens!$H$8128*Sens!$H$8130-Sens!$H$8129</f>
        <v>41.2549060695171</v>
      </c>
      <c r="I8131" s="38" t="n">
        <f aca="false">Sens!$I$8127+Sens!$I$8128*Sens!$I$8130-Sens!$I$8129</f>
        <v>44.2589650023995</v>
      </c>
      <c r="J8131" s="38" t="n">
        <f aca="false">Sens!$J$8127+Sens!$J$8128*Sens!$J$8130-Sens!$J$8129</f>
        <v>46.8374504978059</v>
      </c>
      <c r="K8131" s="38" t="n">
        <f aca="false">Sens!$K$8127+Sens!$K$8128*Sens!$K$8130-Sens!$K$8129</f>
        <v>48.7631613151722</v>
      </c>
      <c r="L8131" s="38" t="n">
        <f aca="false">Sens!$L$8127+Sens!$L$8128*Sens!$L$8130-Sens!$L$8129</f>
        <v>51.6995474527812</v>
      </c>
      <c r="M8131" s="38" t="n">
        <f aca="false">Sens!$M$8127+Sens!$M$8128*Sens!$M$8130-Sens!$M$8129</f>
        <v>56.8626388885741</v>
      </c>
      <c r="N8131" s="38" t="n">
        <f aca="false">Q!$N$22</f>
        <v>13.358</v>
      </c>
      <c r="O8131" s="38" t="n">
        <f aca="false">Q!$O$22</f>
        <v>16.261</v>
      </c>
    </row>
    <row r="8132" customFormat="false" ht="17.15" hidden="false" customHeight="false" outlineLevel="0" collapsed="false">
      <c r="A8132" s="0" t="s">
        <v>720</v>
      </c>
      <c r="B8132" s="0" t="s">
        <v>86</v>
      </c>
      <c r="C8132" s="38" t="n">
        <f aca="false">Sens!$C$8034*m_ad</f>
        <v>7.57284355857716</v>
      </c>
      <c r="D8132" s="38" t="n">
        <f aca="false">Sens!$D$8034*m_ad</f>
        <v>9.44543827004127</v>
      </c>
      <c r="E8132" s="38" t="n">
        <f aca="false">Sens!$E$8034*m_ad</f>
        <v>5.02428875377928</v>
      </c>
      <c r="F8132" s="38" t="n">
        <f aca="false">Sens!$F$8034*m_ad</f>
        <v>6.50663858068173</v>
      </c>
      <c r="G8132" s="38" t="n">
        <f aca="false">Sens!$G$8034*m_ad</f>
        <v>11.5225190751659</v>
      </c>
      <c r="H8132" s="38" t="n">
        <f aca="false">Sens!$H$8034*m_ad</f>
        <v>13.8333728663174</v>
      </c>
      <c r="I8132" s="38" t="n">
        <f aca="false">Sens!$I$8034*m_ad</f>
        <v>16.1440173245485</v>
      </c>
      <c r="J8132" s="38" t="n">
        <f aca="false">Sens!$J$8034*m_ad</f>
        <v>18.2995185845066</v>
      </c>
      <c r="K8132" s="38" t="n">
        <f aca="false">Sens!$K$8034*m_ad</f>
        <v>20.1294704429572</v>
      </c>
      <c r="L8132" s="38" t="n">
        <f aca="false">Sens!$L$8034*m_ad</f>
        <v>22.142417487253</v>
      </c>
      <c r="M8132" s="38" t="n">
        <f aca="false">Sens!$M$8034*m_ad</f>
        <v>24.3566592359783</v>
      </c>
      <c r="N8132" s="38" t="n">
        <f aca="false">Sens!$N$8034*m_ad</f>
        <v>3.95314442937518</v>
      </c>
      <c r="O8132" s="38" t="n">
        <f aca="false">Sens!$O$8034*m_ad</f>
        <v>5.50052681786011</v>
      </c>
    </row>
    <row r="8133" customFormat="false" ht="17.15" hidden="false" customHeight="false" outlineLevel="0" collapsed="false">
      <c r="A8133" s="0" t="s">
        <v>721</v>
      </c>
      <c r="B8133" s="0" t="s">
        <v>86</v>
      </c>
      <c r="C8133" s="38" t="n">
        <f aca="false">Sens!$C$8032-Sens!$C$8034</f>
        <v>127.760312882846</v>
      </c>
      <c r="D8133" s="38" t="n">
        <f aca="false">Sens!$D$8032-Sens!$D$8034</f>
        <v>143.003123459917</v>
      </c>
      <c r="E8133" s="38" t="n">
        <f aca="false">Sens!$E$8032-Sens!$E$8034</f>
        <v>71.9374224924414</v>
      </c>
      <c r="F8133" s="38" t="n">
        <f aca="false">Sens!$F$8032-Sens!$F$8034</f>
        <v>85.3951910035875</v>
      </c>
      <c r="G8133" s="38" t="n">
        <f aca="false">Sens!$G$8032-Sens!$G$8034</f>
        <v>157.349430014619</v>
      </c>
      <c r="H8133" s="38" t="n">
        <f aca="false">Sens!$H$8032-Sens!$H$8034</f>
        <v>172.043153372315</v>
      </c>
      <c r="I8133" s="38" t="n">
        <f aca="false">Sens!$I$8032-Sens!$I$8034</f>
        <v>186.097493615879</v>
      </c>
      <c r="J8133" s="38" t="n">
        <f aca="false">Sens!$J$8032-Sens!$J$8034</f>
        <v>199.117932780497</v>
      </c>
      <c r="K8133" s="38" t="n">
        <f aca="false">Sens!$K$8032-Sens!$K$8034</f>
        <v>210.70928698363</v>
      </c>
      <c r="L8133" s="38" t="n">
        <f aca="false">Sens!$L$8032-Sens!$L$8034</f>
        <v>223.000532251316</v>
      </c>
      <c r="M8133" s="38" t="n">
        <f aca="false">Sens!$M$8032-Sens!$M$8034</f>
        <v>236.035261011339</v>
      </c>
      <c r="N8133" s="38" t="n">
        <f aca="false">Sens!$N$8032-Sens!$N$8034</f>
        <v>62.3677111412496</v>
      </c>
      <c r="O8133" s="38" t="n">
        <f aca="false">Sens!$O$8032-Sens!$O$8034</f>
        <v>80.6189463642798</v>
      </c>
    </row>
    <row r="8134" customFormat="false" ht="17.15" hidden="false" customHeight="false" outlineLevel="0" collapsed="false">
      <c r="A8134" s="0" t="s">
        <v>722</v>
      </c>
      <c r="B8134" s="0" t="s">
        <v>86</v>
      </c>
      <c r="C8134" s="38" t="n">
        <f aca="false">Sens!$C$8080*(1-Sens!$C$8030)</f>
        <v>0.0455891896019953</v>
      </c>
      <c r="D8134" s="38" t="n">
        <f aca="false">Sens!$D$8080*(1-Sens!$D$8030)</f>
        <v>0.332050421167231</v>
      </c>
      <c r="E8134" s="38" t="n">
        <f aca="false">Sens!$E$8080*(1-Sens!$E$8030)</f>
        <v>0.481224293644882</v>
      </c>
      <c r="F8134" s="38" t="n">
        <f aca="false">Sens!$F$8080*(1-Sens!$F$8030)</f>
        <v>0.596018918096053</v>
      </c>
      <c r="G8134" s="38" t="n">
        <f aca="false">Sens!$G$8080*(1-Sens!$G$8030)</f>
        <v>1.07691812241537</v>
      </c>
      <c r="H8134" s="38" t="n">
        <f aca="false">Sens!$H$8080*(1-Sens!$H$8030)</f>
        <v>2.83074090775622</v>
      </c>
      <c r="I8134" s="38" t="n">
        <f aca="false">Sens!$I$8080*(1-Sens!$I$8030)</f>
        <v>4.94108853926048</v>
      </c>
      <c r="J8134" s="38" t="n">
        <f aca="false">Sens!$J$8080*(1-Sens!$J$8030)</f>
        <v>7.10858281993502</v>
      </c>
      <c r="K8134" s="38" t="n">
        <f aca="false">Sens!$K$8080*(1-Sens!$K$8030)</f>
        <v>9.22595758198829</v>
      </c>
      <c r="L8134" s="38" t="n">
        <f aca="false">Sens!$L$8080*(1-Sens!$L$8030)</f>
        <v>10.5676726998883</v>
      </c>
      <c r="M8134" s="38" t="n">
        <f aca="false">Sens!$M$8080*(1-Sens!$M$8030)</f>
        <v>11.2852068641566</v>
      </c>
      <c r="N8134" s="38" t="n">
        <f aca="false">Sens!$N$8080*(1-Sens!$N$8030)</f>
        <v>0.141739115596548</v>
      </c>
      <c r="O8134" s="38" t="n">
        <f aca="false">Sens!$O$8080*(1-Sens!$O$8030)</f>
        <v>0.190445576353059</v>
      </c>
    </row>
    <row r="8135" customFormat="false" ht="17.15" hidden="false" customHeight="false" outlineLevel="0" collapsed="false">
      <c r="A8135" s="0" t="s">
        <v>723</v>
      </c>
      <c r="B8135" s="0" t="s">
        <v>52</v>
      </c>
      <c r="C8135" s="28" t="n">
        <f aca="false">(Sens!$C$8136-Sens!$C$8132+Sens!$C$8134)/Sens!$C$8133</f>
        <v>-0.0292364215826579</v>
      </c>
      <c r="D8135" s="28" t="n">
        <f aca="false">(Sens!$D$8136-Sens!$D$8132+Sens!$D$8134)/Sens!$D$8133</f>
        <v>-0.0305125352740778</v>
      </c>
      <c r="E8135" s="28" t="n">
        <f aca="false">(Sens!$E$8136-Sens!$E$8132+Sens!$E$8134)/Sens!$E$8133</f>
        <v>-0.019490056934994</v>
      </c>
      <c r="F8135" s="28" t="n">
        <f aca="false">Sens!$O$8135+(Sens!$E$8135-Sens!$N$8135)</f>
        <v>-0.0367332293992226</v>
      </c>
      <c r="G8135" s="28" t="n">
        <f aca="false">(Sens!$G$8136-Sens!$G$8132+Sens!$G$8134)/Sens!$G$8133</f>
        <v>-0.0287946542321067</v>
      </c>
      <c r="H8135" s="28" t="n">
        <f aca="false">Sens!$G$8135+step_in</f>
        <v>-0.0287946542321067</v>
      </c>
      <c r="I8135" s="28" t="n">
        <f aca="false">Sens!$H$8135+step_in</f>
        <v>-0.0287946542321067</v>
      </c>
      <c r="J8135" s="28" t="n">
        <f aca="false">Sens!$I$8135+step_in</f>
        <v>-0.0287946542321067</v>
      </c>
      <c r="K8135" s="28" t="n">
        <f aca="false">Sens!$J$8135+step_in</f>
        <v>-0.0287946542321067</v>
      </c>
      <c r="L8135" s="28" t="n">
        <f aca="false">Sens!$K$8135</f>
        <v>-0.0287946542321067</v>
      </c>
      <c r="M8135" s="28" t="n">
        <f aca="false">Sens!$L$8135</f>
        <v>-0.0287946542321067</v>
      </c>
      <c r="N8135" s="28" t="n">
        <f aca="false">(Sens!$N$8136-Sens!$N$8132+Sens!$N$8134)/Sens!$N$8133</f>
        <v>-0.02085061789158</v>
      </c>
      <c r="O8135" s="28" t="n">
        <f aca="false">(Sens!$O$8136-Sens!$O$8132+Sens!$O$8134)/Sens!$O$8133</f>
        <v>-0.0380937903558086</v>
      </c>
      <c r="P8135" s="8" t="s">
        <v>718</v>
      </c>
    </row>
    <row r="8136" customFormat="false" ht="17.15" hidden="false" customHeight="false" outlineLevel="0" collapsed="false">
      <c r="A8136" s="1" t="s">
        <v>724</v>
      </c>
      <c r="B8136" s="8" t="s">
        <v>86</v>
      </c>
      <c r="C8136" s="38" t="n">
        <f aca="false">Q!$D$23</f>
        <v>3.792</v>
      </c>
      <c r="D8136" s="38" t="n">
        <f aca="false">Q!$E$23</f>
        <v>4.75</v>
      </c>
      <c r="E8136" s="38" t="n">
        <f aca="false">Q!$P$23</f>
        <v>3.141</v>
      </c>
      <c r="F8136" s="38" t="n">
        <f aca="false">Sens!$F$8132+Sens!$F$8133*Sens!$F$8135-Sens!$F$8134</f>
        <v>2.77377852186047</v>
      </c>
      <c r="G8136" s="38" t="n">
        <f aca="false">Sens!$E$8136+Sens!$F$8136</f>
        <v>5.91477852186047</v>
      </c>
      <c r="H8136" s="38" t="n">
        <f aca="false">Sens!$H$8132+Sens!$H$8133*Sens!$H$8135-Sens!$H$8134</f>
        <v>6.04870884420403</v>
      </c>
      <c r="I8136" s="38" t="n">
        <f aca="false">Sens!$I$8132+Sens!$I$8133*Sens!$I$8135-Sens!$I$8134</f>
        <v>5.84431580315713</v>
      </c>
      <c r="J8136" s="38" t="n">
        <f aca="false">Sens!$J$8132+Sens!$J$8133*Sens!$J$8135-Sens!$J$8134</f>
        <v>5.45740373874528</v>
      </c>
      <c r="K8136" s="38" t="n">
        <f aca="false">Sens!$K$8132+Sens!$K$8133*Sens!$K$8135-Sens!$K$8134</f>
        <v>4.83621179878157</v>
      </c>
      <c r="L8136" s="38" t="n">
        <f aca="false">Sens!$L$8132+Sens!$L$8133*Sens!$L$8135-Sens!$L$8134</f>
        <v>5.15352156761228</v>
      </c>
      <c r="M8136" s="38" t="n">
        <f aca="false">Sens!$M$8132+Sens!$M$8133*Sens!$M$8135-Sens!$M$8134</f>
        <v>6.2748986444151</v>
      </c>
      <c r="N8136" s="38" t="n">
        <f aca="false">Q!$N$23</f>
        <v>2.511</v>
      </c>
      <c r="O8136" s="38" t="n">
        <f aca="false">Q!$O$23</f>
        <v>2.239</v>
      </c>
    </row>
    <row r="8137" customFormat="false" ht="17.15" hidden="false" customHeight="false" outlineLevel="0" collapsed="false">
      <c r="A8137" s="0" t="s">
        <v>725</v>
      </c>
      <c r="B8137" s="0" t="s">
        <v>86</v>
      </c>
      <c r="C8137" s="38" t="n">
        <f aca="false">Sens!$C$8077</f>
        <v>1.64417882953695</v>
      </c>
      <c r="D8137" s="38" t="n">
        <f aca="false">Sens!$D$8077</f>
        <v>3.8781008067718</v>
      </c>
      <c r="E8137" s="38" t="n">
        <f aca="false">Sens!$E$8077</f>
        <v>1.41270258088753</v>
      </c>
      <c r="F8137" s="38" t="n">
        <f aca="false">Sens!$F$8077</f>
        <v>6.50727700583486</v>
      </c>
      <c r="G8137" s="38" t="n">
        <f aca="false">Sens!$G$8077</f>
        <v>7.9199795867224</v>
      </c>
      <c r="H8137" s="38" t="n">
        <f aca="false">Sens!$H$8077</f>
        <v>19.2818189481807</v>
      </c>
      <c r="I8137" s="38" t="n">
        <f aca="false">Sens!$I$8077</f>
        <v>30.140114407202</v>
      </c>
      <c r="J8137" s="38" t="n">
        <f aca="false">Sens!$J$8077</f>
        <v>40.3569468829854</v>
      </c>
      <c r="K8137" s="38" t="n">
        <f aca="false">Sens!$K$8077</f>
        <v>44.9126530352048</v>
      </c>
      <c r="L8137" s="38" t="n">
        <f aca="false">Sens!$L$8077</f>
        <v>47.9631971059665</v>
      </c>
      <c r="M8137" s="38" t="n">
        <f aca="false">Sens!$M$8077</f>
        <v>47.2897004636212</v>
      </c>
      <c r="N8137" s="38" t="n">
        <f aca="false">Sens!$N$8077</f>
        <v>0.92264103489199</v>
      </c>
      <c r="O8137" s="38" t="n">
        <f aca="false">Sens!$O$8077</f>
        <v>2.95545977187981</v>
      </c>
    </row>
    <row r="8138" customFormat="false" ht="17.15" hidden="false" customHeight="false" outlineLevel="0" collapsed="false">
      <c r="A8138" s="0" t="s">
        <v>643</v>
      </c>
      <c r="B8138" s="0" t="s">
        <v>86</v>
      </c>
      <c r="C8138" s="38" t="n">
        <f aca="false">Sens!$C$8082</f>
        <v>38.1898211704631</v>
      </c>
      <c r="D8138" s="38" t="n">
        <f aca="false">Sens!$D$8082</f>
        <v>41.7278991932282</v>
      </c>
      <c r="E8138" s="38" t="n">
        <f aca="false">Sens!$E$8082</f>
        <v>29.3692974191125</v>
      </c>
      <c r="F8138" s="38" t="n">
        <f aca="false">Sens!$F$8082</f>
        <v>26.8997276714137</v>
      </c>
      <c r="G8138" s="38" t="n">
        <f aca="false">Sens!$G$8082</f>
        <v>56.2690250905262</v>
      </c>
      <c r="H8138" s="38" t="n">
        <f aca="false">Sens!$H$8082</f>
        <v>60.3505333937343</v>
      </c>
      <c r="I8138" s="38" t="n">
        <f aca="false">Sens!$I$8082</f>
        <v>67.0043857303571</v>
      </c>
      <c r="J8138" s="38" t="n">
        <f aca="false">Sens!$J$8082</f>
        <v>73.3782922956925</v>
      </c>
      <c r="K8138" s="38" t="n">
        <f aca="false">Sens!$K$8082</f>
        <v>79.2485556793479</v>
      </c>
      <c r="L8138" s="38" t="n">
        <f aca="false">Sens!$L$8082</f>
        <v>85.5884401336958</v>
      </c>
      <c r="M8138" s="38" t="n">
        <f aca="false">Sens!$M$8082</f>
        <v>92.4355153443914</v>
      </c>
      <c r="N8138" s="38" t="n">
        <f aca="false">Sens!$N$8082</f>
        <v>20.784358965108</v>
      </c>
      <c r="O8138" s="38" t="n">
        <f aca="false">Sens!$O$8082</f>
        <v>20.9435402281202</v>
      </c>
    </row>
    <row r="8139" customFormat="false" ht="17.15" hidden="false" customHeight="false" outlineLevel="0" collapsed="false">
      <c r="A8139" s="1" t="s">
        <v>726</v>
      </c>
      <c r="B8139" s="8" t="s">
        <v>86</v>
      </c>
      <c r="C8139" s="38" t="n">
        <f aca="false">Q!$D$24</f>
        <v>39.834</v>
      </c>
      <c r="D8139" s="38" t="n">
        <f aca="false">Q!$E$24</f>
        <v>45.606</v>
      </c>
      <c r="E8139" s="38" t="n">
        <f aca="false">Q!$P$24</f>
        <v>30.782</v>
      </c>
      <c r="F8139" s="38" t="n">
        <f aca="false">Sens!$F$8137+Sens!$F$8138</f>
        <v>33.4070046772486</v>
      </c>
      <c r="G8139" s="38" t="n">
        <f aca="false">Sens!$G$8137+Sens!$G$8138</f>
        <v>64.1890046772486</v>
      </c>
      <c r="H8139" s="38" t="n">
        <f aca="false">Sens!$H$8137+Sens!$H$8138</f>
        <v>79.6323523419149</v>
      </c>
      <c r="I8139" s="38" t="n">
        <f aca="false">Sens!$I$8137+Sens!$I$8138</f>
        <v>97.1445001375591</v>
      </c>
      <c r="J8139" s="38" t="n">
        <f aca="false">Sens!$J$8137+Sens!$J$8138</f>
        <v>113.735239178678</v>
      </c>
      <c r="K8139" s="38" t="n">
        <f aca="false">Sens!$K$8137+Sens!$K$8138</f>
        <v>124.161208714553</v>
      </c>
      <c r="L8139" s="38" t="n">
        <f aca="false">Sens!$L$8137+Sens!$L$8138</f>
        <v>133.551637239662</v>
      </c>
      <c r="M8139" s="38" t="n">
        <f aca="false">Sens!$M$8137+Sens!$M$8138</f>
        <v>139.725215808013</v>
      </c>
      <c r="N8139" s="38" t="n">
        <f aca="false">Q!$N$24</f>
        <v>21.707</v>
      </c>
      <c r="O8139" s="38" t="n">
        <f aca="false">Q!$O$24</f>
        <v>23.899</v>
      </c>
    </row>
    <row r="8140" customFormat="false" ht="17.15" hidden="false" customHeight="false" outlineLevel="0" collapsed="false">
      <c r="A8140" s="5" t="s">
        <v>727</v>
      </c>
      <c r="B8140" s="0" t="s">
        <v>86</v>
      </c>
      <c r="C8140" s="38" t="n">
        <f aca="false">Q!$D$26</f>
        <v>0</v>
      </c>
      <c r="D8140" s="38" t="n">
        <f aca="false">Q!$E$26</f>
        <v>0</v>
      </c>
      <c r="E8140" s="38" t="n">
        <f aca="false">Q!$P$26</f>
        <v>0</v>
      </c>
      <c r="F8140" s="39" t="n">
        <v>0</v>
      </c>
      <c r="G8140" s="38" t="n">
        <f aca="false">Sens!$E$8140+Sens!$F$8140</f>
        <v>0</v>
      </c>
      <c r="H8140" s="39" t="n">
        <v>0</v>
      </c>
      <c r="I8140" s="39" t="n">
        <v>0</v>
      </c>
      <c r="J8140" s="39" t="n">
        <v>0</v>
      </c>
      <c r="K8140" s="39" t="n">
        <v>0</v>
      </c>
      <c r="L8140" s="39" t="n">
        <v>0</v>
      </c>
      <c r="M8140" s="39" t="n">
        <v>0</v>
      </c>
      <c r="N8140" s="38" t="n">
        <f aca="false">Q!$N$26</f>
        <v>0</v>
      </c>
      <c r="O8140" s="38" t="n">
        <f aca="false">Q!$O$26</f>
        <v>0</v>
      </c>
    </row>
    <row r="8141" customFormat="false" ht="15" hidden="false" customHeight="false" outlineLevel="0" collapsed="false">
      <c r="A8141" s="3" t="s">
        <v>531</v>
      </c>
      <c r="B8141" s="8" t="s">
        <v>86</v>
      </c>
      <c r="C8141" s="38" t="n">
        <f aca="false">Q!$D$25</f>
        <v>68.593</v>
      </c>
      <c r="D8141" s="38" t="n">
        <f aca="false">Q!$E$25</f>
        <v>79.975</v>
      </c>
      <c r="E8141" s="38" t="n">
        <f aca="false">Q!$P$25</f>
        <v>51.313</v>
      </c>
      <c r="F8141" s="38" t="n">
        <f aca="false">Sens!$F$8131+Sens!$F$8136+Sens!$F$8139+Sens!$F$8140</f>
        <v>56.2888892369246</v>
      </c>
      <c r="G8141" s="38" t="n">
        <f aca="false">Sens!$G$8131+Sens!$G$8136+Sens!$G$8139+Sens!$G$8140</f>
        <v>107.601889236925</v>
      </c>
      <c r="H8141" s="38" t="n">
        <f aca="false">Sens!$H$8131+Sens!$H$8136+Sens!$H$8139+Sens!$H$8140</f>
        <v>126.935967255636</v>
      </c>
      <c r="I8141" s="38" t="n">
        <f aca="false">Sens!$I$8131+Sens!$I$8136+Sens!$I$8139+Sens!$I$8140</f>
        <v>147.247780943116</v>
      </c>
      <c r="J8141" s="38" t="n">
        <f aca="false">Sens!$J$8131+Sens!$J$8136+Sens!$J$8139+Sens!$J$8140</f>
        <v>166.030093415229</v>
      </c>
      <c r="K8141" s="38" t="n">
        <f aca="false">Sens!$K$8131+Sens!$K$8136+Sens!$K$8139+Sens!$K$8140</f>
        <v>177.760581828506</v>
      </c>
      <c r="L8141" s="38" t="n">
        <f aca="false">Sens!$L$8131+Sens!$L$8136+Sens!$L$8139+Sens!$L$8140</f>
        <v>190.404706260056</v>
      </c>
      <c r="M8141" s="38" t="n">
        <f aca="false">Sens!$M$8131+Sens!$M$8136+Sens!$M$8139+Sens!$M$8140</f>
        <v>202.862753341002</v>
      </c>
      <c r="N8141" s="38" t="n">
        <f aca="false">Q!$N$25</f>
        <v>37.576</v>
      </c>
      <c r="O8141" s="38" t="n">
        <f aca="false">Q!$O$25</f>
        <v>42.399</v>
      </c>
    </row>
    <row r="8142" customFormat="false" ht="17.15" hidden="false" customHeight="false" outlineLevel="0" collapsed="false">
      <c r="A8142" s="24" t="s">
        <v>758</v>
      </c>
      <c r="B8142" s="25" t="s">
        <v>86</v>
      </c>
      <c r="C8142" s="41" t="n">
        <f aca="false">Sens!$C$8131+Sens!$C$8136+Sens!$C$8139+Sens!$C$8140-Sens!$C$8141</f>
        <v>0</v>
      </c>
      <c r="D8142" s="41" t="n">
        <f aca="false">Sens!$D$8131+Sens!$D$8136+Sens!$D$8139+Sens!$D$8140-Sens!$D$8141</f>
        <v>0</v>
      </c>
      <c r="E8142" s="41" t="n">
        <f aca="false">Sens!$E$8131+Sens!$E$8136+Sens!$E$8139+Sens!$E$8140-Sens!$E$8141</f>
        <v>0</v>
      </c>
      <c r="F8142" s="41" t="n">
        <f aca="false">Sens!$F$8131+Sens!$F$8136+Sens!$F$8139+Sens!$F$8140-Sens!$F$8141</f>
        <v>0</v>
      </c>
      <c r="G8142" s="41" t="n">
        <f aca="false">Sens!$G$8131+Sens!$G$8136+Sens!$G$8139+Sens!$G$8140-Sens!$G$8141</f>
        <v>0</v>
      </c>
      <c r="H8142" s="41" t="n">
        <f aca="false">Sens!$H$8131+Sens!$H$8136+Sens!$H$8139+Sens!$H$8140-Sens!$H$8141</f>
        <v>0</v>
      </c>
      <c r="I8142" s="41" t="n">
        <f aca="false">Sens!$I$8131+Sens!$I$8136+Sens!$I$8139+Sens!$I$8140-Sens!$I$8141</f>
        <v>0</v>
      </c>
      <c r="J8142" s="41" t="n">
        <f aca="false">Sens!$J$8131+Sens!$J$8136+Sens!$J$8139+Sens!$J$8140-Sens!$J$8141</f>
        <v>0</v>
      </c>
      <c r="K8142" s="41" t="n">
        <f aca="false">Sens!$K$8131+Sens!$K$8136+Sens!$K$8139+Sens!$K$8140-Sens!$K$8141</f>
        <v>0</v>
      </c>
      <c r="L8142" s="41" t="n">
        <f aca="false">Sens!$L$8131+Sens!$L$8136+Sens!$L$8139+Sens!$L$8140-Sens!$L$8141</f>
        <v>0</v>
      </c>
      <c r="M8142" s="41" t="n">
        <f aca="false">Sens!$M$8131+Sens!$M$8136+Sens!$M$8139+Sens!$M$8140-Sens!$M$8141</f>
        <v>0</v>
      </c>
      <c r="N8142" s="41" t="n">
        <f aca="false">Sens!$N$8131+Sens!$N$8136+Sens!$N$8139+Sens!$N$8140-Sens!$N$8141</f>
        <v>0</v>
      </c>
      <c r="O8142" s="41" t="n">
        <f aca="false">Sens!$O$8131+Sens!$O$8136+Sens!$O$8139+Sens!$O$8140-Sens!$O$8141</f>
        <v>0</v>
      </c>
    </row>
    <row r="8143" customFormat="false" ht="17.15" hidden="false" customHeight="false" outlineLevel="0" collapsed="false">
      <c r="A8143" s="5" t="s">
        <v>729</v>
      </c>
      <c r="B8143" s="0" t="s">
        <v>86</v>
      </c>
      <c r="C8143" s="38" t="n">
        <f aca="false">Sens!$C$8079</f>
        <v>0</v>
      </c>
      <c r="D8143" s="38" t="n">
        <f aca="false">Sens!$D$8079</f>
        <v>0</v>
      </c>
      <c r="E8143" s="38" t="n">
        <f aca="false">Sens!$E$8079</f>
        <v>0</v>
      </c>
      <c r="F8143" s="38" t="n">
        <f aca="false">Sens!$F$8079</f>
        <v>3.77122048175818</v>
      </c>
      <c r="G8143" s="38" t="n">
        <f aca="false">Sens!$G$8079</f>
        <v>3.77122048175818</v>
      </c>
      <c r="H8143" s="38" t="n">
        <f aca="false">Sens!$H$8079</f>
        <v>15.1635543609893</v>
      </c>
      <c r="I8143" s="38" t="n">
        <f aca="false">Sens!$I$8079</f>
        <v>25.5818843619889</v>
      </c>
      <c r="J8143" s="38" t="n">
        <f aca="false">Sens!$J$8079</f>
        <v>36.0465624179122</v>
      </c>
      <c r="K8143" s="38" t="n">
        <f aca="false">Sens!$K$8079</f>
        <v>44.9020355557576</v>
      </c>
      <c r="L8143" s="38" t="n">
        <f aca="false">Sens!$L$8079</f>
        <v>50.55474151763</v>
      </c>
      <c r="M8143" s="38" t="n">
        <f aca="false">Sens!$M$8079</f>
        <v>52.9968449759368</v>
      </c>
      <c r="N8143" s="38" t="n">
        <f aca="false">Sens!$N$8079</f>
        <v>0</v>
      </c>
      <c r="O8143" s="38" t="n">
        <f aca="false">Sens!$O$8079</f>
        <v>0</v>
      </c>
      <c r="P8143" s="5" t="s">
        <v>730</v>
      </c>
    </row>
    <row r="8144" customFormat="false" ht="17.15" hidden="false" customHeight="false" outlineLevel="0" collapsed="false">
      <c r="A8144" s="5" t="s">
        <v>731</v>
      </c>
      <c r="B8144" s="0" t="s">
        <v>86</v>
      </c>
      <c r="C8144" s="38" t="n">
        <f aca="false">Sens!$C$8141+Sens!$C$8143</f>
        <v>68.593</v>
      </c>
      <c r="D8144" s="38" t="n">
        <f aca="false">Sens!$D$8141+Sens!$D$8143</f>
        <v>79.975</v>
      </c>
      <c r="E8144" s="38" t="n">
        <f aca="false">Sens!$E$8141+Sens!$E$8143</f>
        <v>51.313</v>
      </c>
      <c r="F8144" s="38" t="n">
        <f aca="false">Sens!$F$8141+Sens!$F$8143</f>
        <v>60.0601097186828</v>
      </c>
      <c r="G8144" s="38" t="n">
        <f aca="false">Sens!$G$8141+Sens!$G$8143</f>
        <v>111.373109718683</v>
      </c>
      <c r="H8144" s="38" t="n">
        <f aca="false">Sens!$H$8141+Sens!$H$8143</f>
        <v>142.099521616625</v>
      </c>
      <c r="I8144" s="38" t="n">
        <f aca="false">Sens!$I$8141+Sens!$I$8143</f>
        <v>172.829665305105</v>
      </c>
      <c r="J8144" s="38" t="n">
        <f aca="false">Sens!$J$8141+Sens!$J$8143</f>
        <v>202.076655833141</v>
      </c>
      <c r="K8144" s="38" t="n">
        <f aca="false">Sens!$K$8141+Sens!$K$8143</f>
        <v>222.662617384264</v>
      </c>
      <c r="L8144" s="38" t="n">
        <f aca="false">Sens!$L$8141+Sens!$L$8143</f>
        <v>240.959447777686</v>
      </c>
      <c r="M8144" s="38" t="n">
        <f aca="false">Sens!$M$8141+Sens!$M$8143</f>
        <v>255.859598316939</v>
      </c>
      <c r="N8144" s="38" t="n">
        <f aca="false">Sens!$N$8141+Sens!$N$8143</f>
        <v>37.576</v>
      </c>
      <c r="O8144" s="38" t="n">
        <f aca="false">Sens!$O$8141+Sens!$O$8143</f>
        <v>42.399</v>
      </c>
    </row>
    <row r="8145" customFormat="false" ht="17.15" hidden="false" customHeight="false" outlineLevel="0" collapsed="false">
      <c r="A8145" s="0" t="s">
        <v>732</v>
      </c>
      <c r="B8145" s="0" t="s">
        <v>52</v>
      </c>
      <c r="C8145" s="13" t="n">
        <f aca="false">Sens!$C$8131/Sens!$C$8116</f>
        <v>0.0644314665661928</v>
      </c>
      <c r="D8145" s="13" t="n">
        <f aca="false">Sens!$D$8131/Sens!$D$8116</f>
        <v>0.0694784250712518</v>
      </c>
      <c r="E8145" s="13" t="n">
        <f aca="false">Sens!$E$8131/Sens!$E$8116</f>
        <v>0.0789306463326071</v>
      </c>
      <c r="F8145" s="13" t="n">
        <f aca="false">Sens!$F$8131/Sens!$F$8116</f>
        <v>0.0802271154277638</v>
      </c>
      <c r="G8145" s="13" t="n">
        <f aca="false">Sens!$G$8131/Sens!$G$8116</f>
        <v>0.0796206133714758</v>
      </c>
      <c r="H8145" s="13" t="n">
        <f aca="false">Sens!$H$8131/Sens!$H$8116</f>
        <v>0.0791253077422711</v>
      </c>
      <c r="I8145" s="13" t="n">
        <f aca="false">Sens!$I$8131/Sens!$I$8116</f>
        <v>0.0776277144828766</v>
      </c>
      <c r="J8145" s="13" t="n">
        <f aca="false">Sens!$J$8131/Sens!$J$8116</f>
        <v>0.0761100135193333</v>
      </c>
      <c r="K8145" s="13" t="n">
        <f aca="false">Sens!$K$8131/Sens!$K$8116</f>
        <v>0.0744239148165946</v>
      </c>
      <c r="L8145" s="13" t="n">
        <f aca="false">Sens!$L$8131/Sens!$L$8116</f>
        <v>0.0740885268890323</v>
      </c>
      <c r="M8145" s="13" t="n">
        <f aca="false">Sens!$M$8131/Sens!$M$8116</f>
        <v>0.0764900326263329</v>
      </c>
      <c r="N8145" s="13" t="n">
        <f aca="false">Sens!$N$8131/Sens!$N$8116</f>
        <v>0.069228576611127</v>
      </c>
      <c r="O8145" s="13" t="n">
        <f aca="false">Sens!$O$8131/Sens!$O$8116</f>
        <v>0.069685022498393</v>
      </c>
    </row>
    <row r="8146" customFormat="false" ht="17.15" hidden="false" customHeight="false" outlineLevel="0" collapsed="false">
      <c r="A8146" s="0" t="s">
        <v>733</v>
      </c>
      <c r="B8146" s="0" t="s">
        <v>52</v>
      </c>
      <c r="C8146" s="13" t="n">
        <f aca="false">Sens!$C$8136/Sens!$C$8117</f>
        <v>0.026534925055631</v>
      </c>
      <c r="D8146" s="13" t="n">
        <f aca="false">Sens!$D$8136/Sens!$D$8117</f>
        <v>0.0293401855535103</v>
      </c>
      <c r="E8146" s="13" t="n">
        <f aca="false">Sens!$E$8136/Sens!$E$8117</f>
        <v>0.03831141902276</v>
      </c>
      <c r="F8146" s="13" t="n">
        <f aca="false">Sens!$F$8136/Sens!$F$8117</f>
        <v>0.028186380436398</v>
      </c>
      <c r="G8146" s="13" t="n">
        <f aca="false">Sens!$G$8136/Sens!$G$8117</f>
        <v>0.0327880260521739</v>
      </c>
      <c r="H8146" s="13" t="n">
        <f aca="false">Sens!$H$8136/Sens!$H$8117</f>
        <v>0.0302874763409969</v>
      </c>
      <c r="I8146" s="13" t="n">
        <f aca="false">Sens!$I$8136/Sens!$I$8117</f>
        <v>0.0267614610253202</v>
      </c>
      <c r="J8146" s="13" t="n">
        <f aca="false">Sens!$J$8136/Sens!$J$8117</f>
        <v>0.0231523582706593</v>
      </c>
      <c r="K8146" s="13" t="n">
        <f aca="false">Sens!$K$8136/Sens!$K$8117</f>
        <v>0.0192702153568836</v>
      </c>
      <c r="L8146" s="13" t="n">
        <f aca="false">Sens!$L$8136/Sens!$L$8117</f>
        <v>0.019280971573944</v>
      </c>
      <c r="M8146" s="13" t="n">
        <f aca="false">Sens!$M$8136/Sens!$M$8117</f>
        <v>0.022036628438328</v>
      </c>
      <c r="N8146" s="13" t="n">
        <f aca="false">Sens!$N$8136/Sens!$N$8117</f>
        <v>0.0357315650169337</v>
      </c>
      <c r="O8146" s="13" t="n">
        <f aca="false">Sens!$O$8136/Sens!$O$8117</f>
        <v>0.0244378956559703</v>
      </c>
    </row>
    <row r="8147" customFormat="false" ht="17.15" hidden="false" customHeight="false" outlineLevel="0" collapsed="false">
      <c r="A8147" s="14" t="s">
        <v>734</v>
      </c>
      <c r="B8147" s="14" t="s">
        <v>52</v>
      </c>
      <c r="C8147" s="17" t="n">
        <f aca="false">Sens!$C$8139/Sens!$C$8118</f>
        <v>0.370355907620217</v>
      </c>
      <c r="D8147" s="17" t="n">
        <f aca="false">Sens!$D$8139/Sens!$D$8118</f>
        <v>0.35429015342785</v>
      </c>
      <c r="E8147" s="17" t="n">
        <f aca="false">Sens!$E$8139/Sens!$E$8118</f>
        <v>0.385647527531039</v>
      </c>
      <c r="F8147" s="17" t="n">
        <f aca="false">Sens!$F$8139/Sens!$F$8118</f>
        <v>0.385171818673936</v>
      </c>
      <c r="G8147" s="17" t="n">
        <f aca="false">Sens!$G$8139/Sens!$G$8118</f>
        <v>0.385399799520974</v>
      </c>
      <c r="H8147" s="17" t="n">
        <f aca="false">Sens!$H$8139/Sens!$H$8118</f>
        <v>0.360029314750347</v>
      </c>
      <c r="I8147" s="17" t="n">
        <f aca="false">Sens!$I$8139/Sens!$I$8118</f>
        <v>0.346606134604193</v>
      </c>
      <c r="J8147" s="17" t="n">
        <f aca="false">Sens!$J$8139/Sens!$J$8118</f>
        <v>0.335699297156574</v>
      </c>
      <c r="K8147" s="17" t="n">
        <f aca="false">Sens!$K$8139/Sens!$K$8118</f>
        <v>0.318689179980705</v>
      </c>
      <c r="L8147" s="17" t="n">
        <f aca="false">Sens!$L$8139/Sens!$L$8118</f>
        <v>0.311350190213483</v>
      </c>
      <c r="M8147" s="17" t="n">
        <f aca="false">Sens!$M$8139/Sens!$M$8118</f>
        <v>0.305810390971897</v>
      </c>
      <c r="N8147" s="17" t="n">
        <f aca="false">Sens!$N$8139/Sens!$N$8118</f>
        <v>0.360941137346192</v>
      </c>
      <c r="O8147" s="17" t="n">
        <f aca="false">Sens!$O$8139/Sens!$O$8118</f>
        <v>0.348458117664212</v>
      </c>
    </row>
    <row r="8148" customFormat="false" ht="17.15" hidden="false" customHeight="false" outlineLevel="0" collapsed="false">
      <c r="A8148" s="0" t="s">
        <v>735</v>
      </c>
      <c r="B8148" s="0" t="s">
        <v>52</v>
      </c>
      <c r="C8148" s="13" t="n">
        <f aca="false">Sens!$C$8137/Sens!$C$8119</f>
        <v>0.708390794789371</v>
      </c>
      <c r="D8148" s="13" t="n">
        <f aca="false">Sens!$D$8137/Sens!$D$8119</f>
        <v>0.445565630441968</v>
      </c>
      <c r="E8148" s="13" t="n">
        <f aca="false">Sens!$E$8137/Sens!$E$8119</f>
        <v>0.165998118402711</v>
      </c>
      <c r="F8148" s="13" t="n">
        <f aca="false">Sens!$F$8137/Sens!$F$8119</f>
        <v>0.434878595403858</v>
      </c>
      <c r="G8148" s="13" t="n">
        <f aca="false">Sens!$G$8137/Sens!$G$8119</f>
        <v>0.3373967615381</v>
      </c>
      <c r="H8148" s="13" t="n">
        <f aca="false">Sens!$H$8137/Sens!$H$8119</f>
        <v>0.320477578041224</v>
      </c>
      <c r="I8148" s="13" t="n">
        <f aca="false">Sens!$I$8137/Sens!$I$8119</f>
        <v>0.296936118226494</v>
      </c>
      <c r="J8148" s="13" t="n">
        <f aca="false">Sens!$J$8137/Sens!$J$8119</f>
        <v>0.282166278613001</v>
      </c>
      <c r="K8148" s="13" t="n">
        <f aca="false">Sens!$K$8137/Sens!$K$8119</f>
        <v>0.252088678937066</v>
      </c>
      <c r="L8148" s="13" t="n">
        <f aca="false">Sens!$L$8137/Sens!$L$8119</f>
        <v>0.239109533373036</v>
      </c>
      <c r="M8148" s="13" t="n">
        <f aca="false">Sens!$M$8137/Sens!$M$8119</f>
        <v>0.224888480009211</v>
      </c>
      <c r="N8148" s="13" t="n">
        <f aca="false">Sens!$N$8137/Sens!$N$8119</f>
        <v>0.302870734830849</v>
      </c>
      <c r="O8148" s="13" t="n">
        <f aca="false">Sens!$O$8137/Sens!$O$8119</f>
        <v>0.52240134346334</v>
      </c>
    </row>
    <row r="8149" customFormat="false" ht="15" hidden="false" customHeight="false" outlineLevel="0" collapsed="false">
      <c r="A8149" s="5" t="s">
        <v>736</v>
      </c>
      <c r="B8149" s="0" t="s">
        <v>52</v>
      </c>
      <c r="C8149" s="13" t="n">
        <f aca="false">Sens!$C$8141/Sens!$C$8121</f>
        <v>0.107519448742004</v>
      </c>
      <c r="D8149" s="13" t="n">
        <f aca="false">Sens!$D$8141/Sens!$D$8121</f>
        <v>0.111552967957552</v>
      </c>
      <c r="E8149" s="13" t="n">
        <f aca="false">Sens!$E$8141/Sens!$E$8121</f>
        <v>0.13428328426562</v>
      </c>
      <c r="F8149" s="13" t="n">
        <f aca="false">Sens!$F$8141/Sens!$F$8121</f>
        <v>0.129167844525589</v>
      </c>
      <c r="G8149" s="13" t="n">
        <f aca="false">Sens!$G$8141/Sens!$G$8121</f>
        <v>0.131557773771988</v>
      </c>
      <c r="H8149" s="13" t="n">
        <f aca="false">Sens!$H$8141/Sens!$H$8121</f>
        <v>0.134711536350329</v>
      </c>
      <c r="I8149" s="13" t="n">
        <f aca="false">Sens!$I$8141/Sens!$I$8121</f>
        <v>0.137768888779847</v>
      </c>
      <c r="J8149" s="13" t="n">
        <f aca="false">Sens!$J$8141/Sens!$J$8121</f>
        <v>0.139531715827143</v>
      </c>
      <c r="K8149" s="13" t="n">
        <f aca="false">Sens!$K$8141/Sens!$K$8121</f>
        <v>0.137184637307287</v>
      </c>
      <c r="L8149" s="13" t="n">
        <f aca="false">Sens!$L$8141/Sens!$L$8121</f>
        <v>0.136585156175285</v>
      </c>
      <c r="M8149" s="13" t="n">
        <f aca="false">Sens!$M$8141/Sens!$M$8121</f>
        <v>0.136603372901098</v>
      </c>
      <c r="N8149" s="13" t="n">
        <f aca="false">Sens!$N$8141/Sens!$N$8121</f>
        <v>0.116201614873411</v>
      </c>
      <c r="O8149" s="13" t="n">
        <f aca="false">Sens!$O$8141/Sens!$O$8121</f>
        <v>0.107733353660861</v>
      </c>
    </row>
    <row r="8150" customFormat="false" ht="17.15" hidden="false" customHeight="false" outlineLevel="0" collapsed="false">
      <c r="A8150" s="1" t="s">
        <v>737</v>
      </c>
    </row>
    <row r="8151" customFormat="false" ht="17.15" hidden="false" customHeight="false" outlineLevel="0" collapsed="false">
      <c r="A8151" s="5" t="s">
        <v>738</v>
      </c>
      <c r="B8151" s="0" t="s">
        <v>52</v>
      </c>
      <c r="D8151" s="28" t="n">
        <f aca="false">(Q!$E$29+Q!$E$30-(1-ext_sh)*Sens!$D$8073)/Sens!$D$8029</f>
        <v>0.0334674312393194</v>
      </c>
    </row>
    <row r="8152" customFormat="false" ht="17.15" hidden="false" customHeight="false" outlineLevel="0" collapsed="false">
      <c r="A8152" s="0" t="s">
        <v>535</v>
      </c>
      <c r="B8152" s="0" t="s">
        <v>86</v>
      </c>
      <c r="C8152" s="38" t="n">
        <f aca="false">Q!$D$29</f>
        <v>14.285</v>
      </c>
      <c r="D8152" s="38" t="n">
        <f aca="false">Q!$E$29</f>
        <v>15.503</v>
      </c>
      <c r="E8152" s="38" t="n">
        <f aca="false">Q!$P$29</f>
        <v>8.78</v>
      </c>
      <c r="F8152" s="38" t="n">
        <f aca="false">(Sens!$D$8151*Sens!$F$8029+(1-ext_sh)*Sens!$F$8073)*Sens!$F$8030</f>
        <v>9.32404990199157</v>
      </c>
      <c r="G8152" s="38" t="n">
        <f aca="false">Sens!$E$8152+Sens!$F$8152</f>
        <v>18.1040499019916</v>
      </c>
      <c r="H8152" s="38" t="n">
        <f aca="false">(Sens!$D$8151*Sens!$H$8029+(1-ext_sh)*Sens!$H$8073)*Sens!$H$8030</f>
        <v>22.5533556752937</v>
      </c>
      <c r="I8152" s="38" t="n">
        <f aca="false">(Sens!$D$8151*Sens!$I$8029+(1-ext_sh)*Sens!$I$8073)*Sens!$I$8030</f>
        <v>28.1941479903215</v>
      </c>
      <c r="J8152" s="38" t="n">
        <f aca="false">(Sens!$D$8151*Sens!$J$8029+(1-ext_sh)*Sens!$J$8073)*Sens!$J$8030</f>
        <v>33.8639126241465</v>
      </c>
      <c r="K8152" s="38" t="n">
        <f aca="false">(Sens!$D$8151*Sens!$K$8029+(1-ext_sh)*Sens!$K$8073)*Sens!$K$8030</f>
        <v>39.4516429979446</v>
      </c>
      <c r="L8152" s="38" t="n">
        <f aca="false">(Sens!$D$8151*Sens!$L$8029+(1-ext_sh)*Sens!$L$8073)*Sens!$L$8030</f>
        <v>43.5676722283904</v>
      </c>
      <c r="M8152" s="38" t="n">
        <f aca="false">(Sens!$D$8151*Sens!$M$8029+(1-ext_sh)*Sens!$M$8073)*Sens!$M$8030</f>
        <v>46.614944729655</v>
      </c>
      <c r="N8152" s="38" t="n">
        <f aca="false">Q!$N$29</f>
        <v>7.272</v>
      </c>
      <c r="O8152" s="38" t="n">
        <f aca="false">Q!$O$29</f>
        <v>8.231</v>
      </c>
    </row>
    <row r="8153" customFormat="false" ht="17.15" hidden="false" customHeight="false" outlineLevel="0" collapsed="false">
      <c r="A8153" s="0" t="s">
        <v>537</v>
      </c>
      <c r="B8153" s="0" t="s">
        <v>86</v>
      </c>
      <c r="C8153" s="38" t="n">
        <f aca="false">Q!$D$30</f>
        <v>4.462</v>
      </c>
      <c r="D8153" s="38" t="n">
        <f aca="false">Q!$E$30</f>
        <v>4.907</v>
      </c>
      <c r="E8153" s="38" t="n">
        <f aca="false">Q!$P$30</f>
        <v>2.57</v>
      </c>
      <c r="F8153" s="38" t="n">
        <f aca="false">(Sens!$D$8151*Sens!$F$8029+(1-ext_sh)*Sens!$F$8073)*(1-Sens!$F$8030)</f>
        <v>3.66089330199472</v>
      </c>
      <c r="G8153" s="38" t="n">
        <f aca="false">Sens!$E$8153+Sens!$F$8153</f>
        <v>6.23089330199472</v>
      </c>
      <c r="H8153" s="38" t="n">
        <f aca="false">(Sens!$D$8151*Sens!$H$8029+(1-ext_sh)*Sens!$H$8073)*(1-Sens!$H$8030)</f>
        <v>8.63874333111657</v>
      </c>
      <c r="I8153" s="38" t="n">
        <f aca="false">(Sens!$D$8151*Sens!$I$8029+(1-ext_sh)*Sens!$I$8073)*(1-Sens!$I$8030)</f>
        <v>10.7993689025494</v>
      </c>
      <c r="J8153" s="38" t="n">
        <f aca="false">(Sens!$D$8151*Sens!$J$8029+(1-ext_sh)*Sens!$J$8073)*(1-Sens!$J$8030)</f>
        <v>12.9710919101865</v>
      </c>
      <c r="K8153" s="38" t="n">
        <f aca="false">(Sens!$D$8151*Sens!$K$8029+(1-ext_sh)*Sens!$K$8073)*(1-Sens!$K$8030)</f>
        <v>15.1113928568702</v>
      </c>
      <c r="L8153" s="38" t="n">
        <f aca="false">(Sens!$D$8151*Sens!$L$8029+(1-ext_sh)*Sens!$L$8073)*(1-Sens!$L$8030)</f>
        <v>16.6879795332443</v>
      </c>
      <c r="M8153" s="38" t="n">
        <f aca="false">(Sens!$D$8151*Sens!$M$8029+(1-ext_sh)*Sens!$M$8073)*(1-Sens!$M$8030)</f>
        <v>17.8551940878054</v>
      </c>
      <c r="N8153" s="38" t="n">
        <f aca="false">Q!$N$30</f>
        <v>2.316</v>
      </c>
      <c r="O8153" s="38" t="n">
        <f aca="false">Q!$O$30</f>
        <v>2.591</v>
      </c>
    </row>
    <row r="8154" customFormat="false" ht="17.15" hidden="false" customHeight="false" outlineLevel="0" collapsed="false">
      <c r="A8154" s="0" t="s">
        <v>538</v>
      </c>
      <c r="B8154" s="0" t="s">
        <v>86</v>
      </c>
      <c r="C8154" s="38" t="n">
        <f aca="false">Sens!$C$8085</f>
        <v>13.32</v>
      </c>
      <c r="D8154" s="38" t="n">
        <f aca="false">Sens!$D$8085</f>
        <v>21.45</v>
      </c>
      <c r="E8154" s="38" t="n">
        <f aca="false">Sens!$E$8085</f>
        <v>15.353</v>
      </c>
      <c r="F8154" s="38" t="n">
        <f aca="false">Sens!$F$8085</f>
        <v>16.3063747611001</v>
      </c>
      <c r="G8154" s="38" t="n">
        <f aca="false">Sens!$G$8085</f>
        <v>31.6593747611001</v>
      </c>
      <c r="H8154" s="38" t="n">
        <f aca="false">Sens!$H$8085</f>
        <v>53.124242092105</v>
      </c>
      <c r="I8154" s="38" t="n">
        <f aca="false">Sens!$I$8085</f>
        <v>78.046828098133</v>
      </c>
      <c r="J8154" s="38" t="n">
        <f aca="false">Sens!$J$8085</f>
        <v>103.663976940352</v>
      </c>
      <c r="K8154" s="38" t="n">
        <f aca="false">Sens!$K$8085</f>
        <v>129.625086115469</v>
      </c>
      <c r="L8154" s="38" t="n">
        <f aca="false">Sens!$L$8085</f>
        <v>147.122996715819</v>
      </c>
      <c r="M8154" s="38" t="n">
        <f aca="false">Sens!$M$8085</f>
        <v>158.36358708023</v>
      </c>
      <c r="N8154" s="38" t="n">
        <f aca="false">Sens!$N$8085</f>
        <v>9.234</v>
      </c>
      <c r="O8154" s="38" t="n">
        <f aca="false">Sens!$O$8085</f>
        <v>12.216</v>
      </c>
    </row>
    <row r="8155" customFormat="false" ht="17.15" hidden="false" customHeight="false" outlineLevel="0" collapsed="false">
      <c r="A8155" s="5" t="s">
        <v>739</v>
      </c>
      <c r="B8155" s="0" t="s">
        <v>86</v>
      </c>
      <c r="C8155" s="38" t="n">
        <f aca="false">Sens!$C$8152+Sens!$C$8153+Sens!$C$8154</f>
        <v>32.067</v>
      </c>
      <c r="D8155" s="38" t="n">
        <f aca="false">Sens!$D$8152+Sens!$D$8153+Sens!$D$8154</f>
        <v>41.86</v>
      </c>
      <c r="E8155" s="38" t="n">
        <f aca="false">Sens!$E$8152+Sens!$E$8153+Sens!$E$8154</f>
        <v>26.703</v>
      </c>
      <c r="F8155" s="38" t="n">
        <f aca="false">Sens!$F$8152+Sens!$F$8153+Sens!$F$8154</f>
        <v>29.2913179650864</v>
      </c>
      <c r="G8155" s="38" t="n">
        <f aca="false">Sens!$G$8152+Sens!$G$8153+Sens!$G$8154</f>
        <v>55.9943179650864</v>
      </c>
      <c r="H8155" s="38" t="n">
        <f aca="false">Sens!$H$8152+Sens!$H$8153+Sens!$H$8154</f>
        <v>84.3163410985152</v>
      </c>
      <c r="I8155" s="38" t="n">
        <f aca="false">Sens!$I$8152+Sens!$I$8153+Sens!$I$8154</f>
        <v>117.040344991004</v>
      </c>
      <c r="J8155" s="38" t="n">
        <f aca="false">Sens!$J$8152+Sens!$J$8153+Sens!$J$8154</f>
        <v>150.498981474685</v>
      </c>
      <c r="K8155" s="38" t="n">
        <f aca="false">Sens!$K$8152+Sens!$K$8153+Sens!$K$8154</f>
        <v>184.188121970284</v>
      </c>
      <c r="L8155" s="38" t="n">
        <f aca="false">Sens!$L$8152+Sens!$L$8153+Sens!$L$8154</f>
        <v>207.378648477454</v>
      </c>
      <c r="M8155" s="38" t="n">
        <f aca="false">Sens!$M$8152+Sens!$M$8153+Sens!$M$8154</f>
        <v>222.833725897691</v>
      </c>
      <c r="N8155" s="38" t="n">
        <f aca="false">Sens!$N$8152+Sens!$N$8153+Sens!$N$8154</f>
        <v>18.822</v>
      </c>
      <c r="O8155" s="38" t="n">
        <f aca="false">Sens!$O$8152+Sens!$O$8153+Sens!$O$8154</f>
        <v>23.038</v>
      </c>
    </row>
    <row r="8156" customFormat="false" ht="17.15" hidden="false" customHeight="false" outlineLevel="0" collapsed="false">
      <c r="A8156" s="0" t="s">
        <v>740</v>
      </c>
      <c r="B8156" s="0" t="s">
        <v>86</v>
      </c>
      <c r="C8156" s="38" t="n">
        <f aca="false">Sens!$C$8127+Sens!$C$8132</f>
        <v>28.107</v>
      </c>
      <c r="D8156" s="38" t="n">
        <f aca="false">Sens!$D$8127+Sens!$D$8132</f>
        <v>34.3175</v>
      </c>
      <c r="E8156" s="38" t="n">
        <f aca="false">Sens!$E$8127+Sens!$E$8132</f>
        <v>18.526</v>
      </c>
      <c r="F8156" s="38" t="n">
        <f aca="false">Sens!$F$8127+Sens!$F$8132</f>
        <v>23.0786109972074</v>
      </c>
      <c r="G8156" s="38" t="n">
        <f aca="false">Sens!$G$8127+Sens!$G$8132</f>
        <v>41.6046109972074</v>
      </c>
      <c r="H8156" s="38" t="n">
        <f aca="false">Sens!$H$8127+Sens!$H$8132</f>
        <v>49.9484611939488</v>
      </c>
      <c r="I8156" s="38" t="n">
        <f aca="false">Sens!$I$8127+Sens!$I$8132</f>
        <v>58.2915555477481</v>
      </c>
      <c r="J8156" s="38" t="n">
        <f aca="false">Sens!$J$8127+Sens!$J$8132</f>
        <v>66.0744709709759</v>
      </c>
      <c r="K8156" s="38" t="n">
        <f aca="false">Sens!$K$8127+Sens!$K$8132</f>
        <v>72.6819180680735</v>
      </c>
      <c r="L8156" s="38" t="n">
        <f aca="false">Sens!$L$8127+Sens!$L$8132</f>
        <v>79.9501098748808</v>
      </c>
      <c r="M8156" s="38" t="n">
        <f aca="false">Sens!$M$8127+Sens!$M$8132</f>
        <v>87.9451208623689</v>
      </c>
      <c r="N8156" s="38" t="n">
        <f aca="false">Sens!$N$8127+Sens!$N$8132</f>
        <v>14.8075</v>
      </c>
      <c r="O8156" s="38" t="n">
        <f aca="false">Sens!$O$8127+Sens!$O$8132</f>
        <v>19.51</v>
      </c>
    </row>
    <row r="8157" customFormat="false" ht="17.15" hidden="false" customHeight="false" outlineLevel="0" collapsed="false">
      <c r="A8157" s="0" t="s">
        <v>741</v>
      </c>
      <c r="B8157" s="0" t="s">
        <v>86</v>
      </c>
      <c r="C8157" s="38" t="n">
        <f aca="false">Sens!$C$8131+Sens!$C$8136+Sens!$C$8152+Sens!$C$8153-Sens!$C$8156</f>
        <v>19.399</v>
      </c>
      <c r="D8157" s="38" t="n">
        <f aca="false">Sens!$D$8131+Sens!$D$8136+Sens!$D$8152+Sens!$D$8153-Sens!$D$8156</f>
        <v>20.4615</v>
      </c>
      <c r="E8157" s="38" t="n">
        <f aca="false">Sens!$E$8131+Sens!$E$8136+Sens!$E$8152+Sens!$E$8153-Sens!$E$8156</f>
        <v>13.355</v>
      </c>
      <c r="F8157" s="38" t="n">
        <f aca="false">Sens!$F$8131+Sens!$F$8136+Sens!$F$8152+Sens!$F$8153-Sens!$F$8156</f>
        <v>12.7882167664549</v>
      </c>
      <c r="G8157" s="38" t="n">
        <f aca="false">Sens!$G$8131+Sens!$G$8136+Sens!$G$8152+Sens!$G$8153-Sens!$G$8156</f>
        <v>26.1432167664549</v>
      </c>
      <c r="H8157" s="38" t="n">
        <f aca="false">Sens!$H$8131+Sens!$H$8136+Sens!$H$8152+Sens!$H$8153-Sens!$H$8156</f>
        <v>28.5472527261826</v>
      </c>
      <c r="I8157" s="38" t="n">
        <f aca="false">Sens!$I$8131+Sens!$I$8136+Sens!$I$8152+Sens!$I$8153-Sens!$I$8156</f>
        <v>30.8052421506794</v>
      </c>
      <c r="J8157" s="38" t="n">
        <f aca="false">Sens!$J$8131+Sens!$J$8136+Sens!$J$8152+Sens!$J$8153-Sens!$J$8156</f>
        <v>33.0553877999083</v>
      </c>
      <c r="K8157" s="38" t="n">
        <f aca="false">Sens!$K$8131+Sens!$K$8136+Sens!$K$8152+Sens!$K$8153-Sens!$K$8156</f>
        <v>35.4804909006951</v>
      </c>
      <c r="L8157" s="38" t="n">
        <f aca="false">Sens!$L$8131+Sens!$L$8136+Sens!$L$8152+Sens!$L$8153-Sens!$L$8156</f>
        <v>37.1586109071473</v>
      </c>
      <c r="M8157" s="38" t="n">
        <f aca="false">Sens!$M$8131+Sens!$M$8136+Sens!$M$8152+Sens!$M$8153-Sens!$M$8156</f>
        <v>39.6625554880806</v>
      </c>
      <c r="N8157" s="38" t="n">
        <f aca="false">Sens!$N$8131+Sens!$N$8136+Sens!$N$8152+Sens!$N$8153-Sens!$N$8156</f>
        <v>10.6495</v>
      </c>
      <c r="O8157" s="38" t="n">
        <f aca="false">Sens!$O$8131+Sens!$O$8136+Sens!$O$8152+Sens!$O$8153-Sens!$O$8156</f>
        <v>9.81200000000001</v>
      </c>
    </row>
    <row r="8158" customFormat="false" ht="17.15" hidden="false" customHeight="false" outlineLevel="0" collapsed="false">
      <c r="A8158" s="0" t="s">
        <v>742</v>
      </c>
      <c r="B8158" s="0" t="s">
        <v>86</v>
      </c>
      <c r="C8158" s="38" t="n">
        <f aca="false">Sens!$C$8138+Sens!$C$8154-ext_sh*Sens!$C$8073</f>
        <v>51.3470500115664</v>
      </c>
      <c r="D8158" s="38" t="n">
        <f aca="false">Sens!$D$8138+Sens!$D$8154-ext_sh*Sens!$D$8073</f>
        <v>60.2799375433739</v>
      </c>
      <c r="E8158" s="38" t="n">
        <f aca="false">Sens!$E$8138+Sens!$E$8154-ext_sh*Sens!$E$8073</f>
        <v>39.5095167090767</v>
      </c>
      <c r="F8158" s="38" t="n">
        <f aca="false">Sens!$F$8138+Sens!$F$8154-ext_sh*Sens!$F$8073</f>
        <v>37.993321722478</v>
      </c>
      <c r="G8158" s="38" t="n">
        <f aca="false">Sens!$G$8138+Sens!$G$8154-ext_sh*Sens!$G$8073</f>
        <v>77.5028384315548</v>
      </c>
      <c r="H8158" s="38" t="n">
        <f aca="false">Sens!$H$8138+Sens!$H$8154-ext_sh*Sens!$H$8073</f>
        <v>85.2394217279746</v>
      </c>
      <c r="I8158" s="38" t="n">
        <f aca="false">Sens!$I$8138+Sens!$I$8154-ext_sh*Sens!$I$8073</f>
        <v>94.6373589713254</v>
      </c>
      <c r="J8158" s="38" t="n">
        <f aca="false">Sens!$J$8138+Sens!$J$8154-ext_sh*Sens!$J$8073</f>
        <v>103.639899284146</v>
      </c>
      <c r="K8158" s="38" t="n">
        <f aca="false">Sens!$K$8138+Sens!$K$8154-ext_sh*Sens!$K$8073</f>
        <v>111.931091226878</v>
      </c>
      <c r="L8158" s="38" t="n">
        <f aca="false">Sens!$L$8138+Sens!$L$8154-ext_sh*Sens!$L$8073</f>
        <v>120.885578525028</v>
      </c>
      <c r="M8158" s="38" t="n">
        <f aca="false">Sens!$M$8138+Sens!$M$8154-ext_sh*Sens!$M$8073</f>
        <v>130.55642480703</v>
      </c>
      <c r="N8158" s="38" t="n">
        <f aca="false">Sens!$N$8138+Sens!$N$8154-ext_sh*Sens!$N$8073</f>
        <v>28.5693781401809</v>
      </c>
      <c r="O8158" s="38" t="n">
        <f aca="false">Sens!$O$8138+Sens!$O$8154-ext_sh*Sens!$O$8073</f>
        <v>31.7105594031931</v>
      </c>
    </row>
    <row r="8159" customFormat="false" ht="17.15" hidden="false" customHeight="false" outlineLevel="0" collapsed="false">
      <c r="A8159" s="0" t="s">
        <v>743</v>
      </c>
      <c r="B8159" s="0" t="s">
        <v>86</v>
      </c>
      <c r="C8159" s="38" t="n">
        <f aca="false">Sens!$C$8076</f>
        <v>1.80694998843362</v>
      </c>
      <c r="D8159" s="38" t="n">
        <f aca="false">Sens!$D$8076</f>
        <v>6.77606245662607</v>
      </c>
      <c r="E8159" s="38" t="n">
        <f aca="false">Sens!$E$8076</f>
        <v>6.62548329092326</v>
      </c>
      <c r="F8159" s="38" t="n">
        <f aca="false">Sens!$F$8076</f>
        <v>11.7200577158706</v>
      </c>
      <c r="G8159" s="38" t="n">
        <f aca="false">Sens!$G$8076</f>
        <v>18.3455410067939</v>
      </c>
      <c r="H8159" s="38" t="n">
        <f aca="false">Sens!$H$8076</f>
        <v>47.5171727060453</v>
      </c>
      <c r="I8159" s="38" t="n">
        <f aca="false">Sens!$I$8076</f>
        <v>80.5539692643667</v>
      </c>
      <c r="J8159" s="38" t="n">
        <f aca="false">Sens!$J$8076</f>
        <v>113.759316834883</v>
      </c>
      <c r="K8159" s="38" t="n">
        <f aca="false">Sens!$K$8076</f>
        <v>141.855203603144</v>
      </c>
      <c r="L8159" s="38" t="n">
        <f aca="false">Sens!$L$8076</f>
        <v>159.789055430453</v>
      </c>
      <c r="M8159" s="38" t="n">
        <f aca="false">Sens!$M$8076</f>
        <v>167.532378081213</v>
      </c>
      <c r="N8159" s="38" t="n">
        <f aca="false">Sens!$N$8076</f>
        <v>2.37162185981912</v>
      </c>
      <c r="O8159" s="38" t="n">
        <f aca="false">Sens!$O$8076</f>
        <v>4.40444059680694</v>
      </c>
    </row>
    <row r="8160" customFormat="false" ht="17.15" hidden="false" customHeight="false" outlineLevel="0" collapsed="false">
      <c r="A8160" s="0" t="s">
        <v>744</v>
      </c>
      <c r="B8160" s="0" t="s">
        <v>86</v>
      </c>
      <c r="C8160" s="38" t="n">
        <f aca="false">Sens!$C$8141+Sens!$C$8155</f>
        <v>100.66</v>
      </c>
      <c r="D8160" s="38" t="n">
        <f aca="false">Sens!$D$8141+Sens!$D$8155</f>
        <v>121.835</v>
      </c>
      <c r="E8160" s="38" t="n">
        <f aca="false">Sens!$E$8141+Sens!$E$8155</f>
        <v>78.016</v>
      </c>
      <c r="F8160" s="38" t="n">
        <f aca="false">Sens!$F$8141+Sens!$F$8155</f>
        <v>85.580207202011</v>
      </c>
      <c r="G8160" s="38" t="n">
        <f aca="false">Sens!$G$8141+Sens!$G$8155</f>
        <v>163.596207202011</v>
      </c>
      <c r="H8160" s="38" t="n">
        <f aca="false">Sens!$H$8141+Sens!$H$8155</f>
        <v>211.252308354151</v>
      </c>
      <c r="I8160" s="38" t="n">
        <f aca="false">Sens!$I$8141+Sens!$I$8155</f>
        <v>264.28812593412</v>
      </c>
      <c r="J8160" s="38" t="n">
        <f aca="false">Sens!$J$8141+Sens!$J$8155</f>
        <v>316.529074889914</v>
      </c>
      <c r="K8160" s="38" t="n">
        <f aca="false">Sens!$K$8141+Sens!$K$8155</f>
        <v>361.94870379879</v>
      </c>
      <c r="L8160" s="38" t="n">
        <f aca="false">Sens!$L$8141+Sens!$L$8155</f>
        <v>397.78335473751</v>
      </c>
      <c r="M8160" s="38" t="n">
        <f aca="false">Sens!$M$8141+Sens!$M$8155</f>
        <v>425.696479238693</v>
      </c>
      <c r="N8160" s="38" t="n">
        <f aca="false">Sens!$N$8141+Sens!$N$8155</f>
        <v>56.398</v>
      </c>
      <c r="O8160" s="38" t="n">
        <f aca="false">Sens!$O$8141+Sens!$O$8155</f>
        <v>65.437</v>
      </c>
    </row>
    <row r="8161" customFormat="false" ht="17.15" hidden="false" customHeight="false" outlineLevel="0" collapsed="false">
      <c r="A8161" s="1" t="s">
        <v>745</v>
      </c>
    </row>
    <row r="8162" customFormat="false" ht="15" hidden="false" customHeight="false" outlineLevel="0" collapsed="false">
      <c r="A8162" s="5" t="s">
        <v>541</v>
      </c>
      <c r="B8162" s="0" t="s">
        <v>86</v>
      </c>
      <c r="C8162" s="38" t="n">
        <f aca="false">Q!$D$34</f>
        <v>2.406</v>
      </c>
      <c r="D8162" s="38" t="n">
        <f aca="false">Q!$E$34</f>
        <v>2.274</v>
      </c>
      <c r="E8162" s="38" t="n">
        <f aca="false">Q!$P$34</f>
        <v>2.114</v>
      </c>
      <c r="F8162" s="38" t="n">
        <f aca="false">Sens!$F$8200</f>
        <v>3.24888962733561</v>
      </c>
      <c r="G8162" s="38" t="n">
        <f aca="false">Sens!$E$8162+Sens!$F$8162</f>
        <v>5.36288962733561</v>
      </c>
      <c r="H8162" s="38" t="n">
        <f aca="false">Sens!$H$8200</f>
        <v>7.42354172302123</v>
      </c>
      <c r="I8162" s="38" t="n">
        <f aca="false">Sens!$I$8200</f>
        <v>8.2931747618896</v>
      </c>
      <c r="J8162" s="38" t="n">
        <f aca="false">Sens!$J$8200</f>
        <v>9.27718179522602</v>
      </c>
      <c r="K8162" s="38" t="n">
        <f aca="false">Sens!$K$8200</f>
        <v>9.27718179522602</v>
      </c>
      <c r="L8162" s="38" t="n">
        <f aca="false">Sens!$L$8200</f>
        <v>9.27718179522602</v>
      </c>
      <c r="M8162" s="38" t="n">
        <f aca="false">Sens!$M$8200</f>
        <v>9.27718179522602</v>
      </c>
      <c r="N8162" s="38" t="n">
        <f aca="false">Q!$N$34</f>
        <v>1.057</v>
      </c>
      <c r="O8162" s="38" t="n">
        <f aca="false">Q!$O$34</f>
        <v>1.217</v>
      </c>
    </row>
    <row r="8163" customFormat="false" ht="15" hidden="false" customHeight="false" outlineLevel="0" collapsed="false">
      <c r="A8163" s="5" t="s">
        <v>746</v>
      </c>
      <c r="B8163" s="0" t="s">
        <v>86</v>
      </c>
      <c r="F8163" s="38" t="n">
        <f aca="false">Sens!$F$8201</f>
        <v>2.59</v>
      </c>
      <c r="H8163" s="38" t="n">
        <f aca="false">Sens!$H$8201</f>
        <v>3.80133635330174</v>
      </c>
      <c r="I8163" s="38" t="n">
        <f aca="false">Sens!$I$8201</f>
        <v>2.10589651022864</v>
      </c>
      <c r="J8163" s="38" t="n">
        <f aca="false">Sens!$J$8201</f>
        <v>2.10589651022864</v>
      </c>
      <c r="K8163" s="38" t="n">
        <f aca="false">Sens!$K$8201</f>
        <v>3.14850442073996</v>
      </c>
      <c r="L8163" s="38" t="n">
        <f aca="false">Sens!$L$8201</f>
        <v>8.36866949261808</v>
      </c>
      <c r="M8163" s="38" t="n">
        <f aca="false">Sens!$M$8201</f>
        <v>16.1461031736674</v>
      </c>
    </row>
    <row r="8164" customFormat="false" ht="17.15" hidden="false" customHeight="false" outlineLevel="0" collapsed="false">
      <c r="A8164" s="5" t="s">
        <v>747</v>
      </c>
      <c r="B8164" s="0" t="s">
        <v>86</v>
      </c>
      <c r="C8164" s="38" t="n">
        <f aca="false">Q!$D$39</f>
        <v>2.427</v>
      </c>
      <c r="D8164" s="38" t="n">
        <f aca="false">Q!$E$39</f>
        <v>19.61</v>
      </c>
      <c r="E8164" s="38" t="n">
        <f aca="false">Q!$P$39</f>
        <v>71.492</v>
      </c>
      <c r="F8164" s="39" t="n">
        <v>0</v>
      </c>
      <c r="G8164" s="38" t="n">
        <f aca="false">Sens!$E$8164+Sens!$F$8164</f>
        <v>71.492</v>
      </c>
      <c r="H8164" s="39" t="n">
        <v>0</v>
      </c>
      <c r="I8164" s="39" t="n">
        <v>0</v>
      </c>
      <c r="J8164" s="39" t="n">
        <v>0</v>
      </c>
      <c r="K8164" s="39" t="n">
        <v>0</v>
      </c>
      <c r="L8164" s="39" t="n">
        <v>0</v>
      </c>
      <c r="M8164" s="39" t="n">
        <v>0</v>
      </c>
      <c r="N8164" s="38" t="n">
        <f aca="false">Q!$N$39</f>
        <v>6.017</v>
      </c>
      <c r="O8164" s="38" t="n">
        <f aca="false">Q!$O$39</f>
        <v>13.593</v>
      </c>
      <c r="P8164" s="5" t="s">
        <v>748</v>
      </c>
    </row>
    <row r="8165" customFormat="false" ht="15" hidden="false" customHeight="false" outlineLevel="0" collapsed="false">
      <c r="A8165" s="5" t="s">
        <v>544</v>
      </c>
      <c r="B8165" s="0" t="s">
        <v>86</v>
      </c>
      <c r="C8165" s="38" t="n">
        <f aca="false">Q!$D$36</f>
        <v>68.614</v>
      </c>
      <c r="D8165" s="38" t="n">
        <f aca="false">Q!$E$36</f>
        <v>97.311</v>
      </c>
      <c r="E8165" s="38" t="n">
        <f aca="false">Q!$P$36</f>
        <v>120.691</v>
      </c>
      <c r="F8165" s="38" t="n">
        <f aca="false">Sens!$F$8141-Sens!$F$8162+Sens!$F$8163+Sens!$F$8164</f>
        <v>55.629999609589</v>
      </c>
      <c r="G8165" s="38" t="n">
        <f aca="false">Sens!$E$8165+Sens!$F$8165</f>
        <v>176.320999609589</v>
      </c>
      <c r="H8165" s="38" t="n">
        <f aca="false">Sens!$H$8141-Sens!$H$8162+Sens!$H$8163+Sens!$H$8164</f>
        <v>123.313761885917</v>
      </c>
      <c r="I8165" s="38" t="n">
        <f aca="false">Sens!$I$8141-Sens!$I$8162+Sens!$I$8163+Sens!$I$8164</f>
        <v>141.060502691455</v>
      </c>
      <c r="J8165" s="38" t="n">
        <f aca="false">Sens!$J$8141-Sens!$J$8162+Sens!$J$8163+Sens!$J$8164</f>
        <v>158.858808130232</v>
      </c>
      <c r="K8165" s="38" t="n">
        <f aca="false">Sens!$K$8141-Sens!$K$8162+Sens!$K$8163+Sens!$K$8164</f>
        <v>171.63190445402</v>
      </c>
      <c r="L8165" s="38" t="n">
        <f aca="false">Sens!$L$8141-Sens!$L$8162+Sens!$L$8163+Sens!$L$8164</f>
        <v>189.496193957448</v>
      </c>
      <c r="M8165" s="38" t="n">
        <f aca="false">Sens!$M$8141-Sens!$M$8162+Sens!$M$8163+Sens!$M$8164</f>
        <v>209.731674719443</v>
      </c>
      <c r="N8165" s="38" t="n">
        <f aca="false">Q!$N$36</f>
        <v>42.536</v>
      </c>
      <c r="O8165" s="38" t="n">
        <f aca="false">Q!$O$36</f>
        <v>54.775</v>
      </c>
    </row>
    <row r="8166" customFormat="false" ht="15" hidden="false" customHeight="false" outlineLevel="0" collapsed="false">
      <c r="A8166" s="5" t="s">
        <v>545</v>
      </c>
      <c r="B8166" s="0" t="s">
        <v>86</v>
      </c>
      <c r="C8166" s="38" t="n">
        <f aca="false">Q!$D$37</f>
        <v>9.265</v>
      </c>
      <c r="D8166" s="38" t="n">
        <f aca="false">Q!$E$37</f>
        <v>19.087</v>
      </c>
      <c r="E8166" s="38" t="n">
        <f aca="false">Q!$P$37</f>
        <v>27.759</v>
      </c>
      <c r="F8166" s="38" t="n">
        <f aca="false">Sens!$F$8165*tax</f>
        <v>9.65650714815835</v>
      </c>
      <c r="G8166" s="38" t="n">
        <f aca="false">Sens!$E$8166+Sens!$F$8166</f>
        <v>37.4155071481584</v>
      </c>
      <c r="H8166" s="38" t="n">
        <f aca="false">Sens!$H$8165*tax</f>
        <v>21.4053609828247</v>
      </c>
      <c r="I8166" s="38" t="n">
        <f aca="false">Sens!$I$8165*tax</f>
        <v>24.4859205846201</v>
      </c>
      <c r="J8166" s="38" t="n">
        <f aca="false">Sens!$J$8165*tax</f>
        <v>27.5754310088666</v>
      </c>
      <c r="K8166" s="38" t="n">
        <f aca="false">Sens!$K$8165*tax</f>
        <v>29.7926428877163</v>
      </c>
      <c r="L8166" s="38" t="n">
        <f aca="false">Sens!$L$8165*tax</f>
        <v>32.8936071245897</v>
      </c>
      <c r="M8166" s="38" t="n">
        <f aca="false">Sens!$M$8165*tax</f>
        <v>36.4061734736095</v>
      </c>
      <c r="N8166" s="38" t="n">
        <f aca="false">Q!$N$37</f>
        <v>7.231</v>
      </c>
      <c r="O8166" s="38" t="n">
        <f aca="false">Q!$O$37</f>
        <v>11.856</v>
      </c>
    </row>
    <row r="8167" customFormat="false" ht="15" hidden="false" customHeight="false" outlineLevel="0" collapsed="false">
      <c r="A8167" s="3" t="s">
        <v>546</v>
      </c>
      <c r="B8167" s="8" t="s">
        <v>86</v>
      </c>
      <c r="C8167" s="38" t="n">
        <f aca="false">Q!$D$38</f>
        <v>59.248</v>
      </c>
      <c r="D8167" s="38" t="n">
        <f aca="false">Q!$E$38</f>
        <v>77.67</v>
      </c>
      <c r="E8167" s="38" t="n">
        <f aca="false">Q!$P$38</f>
        <v>92.902</v>
      </c>
      <c r="F8167" s="38" t="n">
        <f aca="false">Sens!$F$8165-Sens!$F$8166</f>
        <v>45.9734924614306</v>
      </c>
      <c r="G8167" s="38" t="n">
        <f aca="false">Sens!$E$8167+Sens!$F$8167</f>
        <v>138.875492461431</v>
      </c>
      <c r="H8167" s="38" t="n">
        <f aca="false">Sens!$H$8165-Sens!$H$8166</f>
        <v>101.908400903092</v>
      </c>
      <c r="I8167" s="38" t="n">
        <f aca="false">Sens!$I$8165-Sens!$I$8166</f>
        <v>116.574582106835</v>
      </c>
      <c r="J8167" s="38" t="n">
        <f aca="false">Sens!$J$8165-Sens!$J$8166</f>
        <v>131.283377121365</v>
      </c>
      <c r="K8167" s="38" t="n">
        <f aca="false">Sens!$K$8165-Sens!$K$8166</f>
        <v>141.839261566304</v>
      </c>
      <c r="L8167" s="38" t="n">
        <f aca="false">Sens!$L$8165-Sens!$L$8166</f>
        <v>156.602586832858</v>
      </c>
      <c r="M8167" s="38" t="n">
        <f aca="false">Sens!$M$8165-Sens!$M$8166</f>
        <v>173.325501245834</v>
      </c>
      <c r="N8167" s="38" t="n">
        <f aca="false">Q!$N$38</f>
        <v>35.291</v>
      </c>
      <c r="O8167" s="38" t="n">
        <f aca="false">Q!$O$38</f>
        <v>42.379</v>
      </c>
    </row>
    <row r="8168" customFormat="false" ht="17.15" hidden="false" customHeight="false" outlineLevel="0" collapsed="false">
      <c r="A8168" s="5" t="s">
        <v>549</v>
      </c>
      <c r="B8168" s="5" t="s">
        <v>33</v>
      </c>
      <c r="C8168" s="22" t="n">
        <f aca="false">Q!$D$41</f>
        <v>10.721</v>
      </c>
      <c r="D8168" s="22" t="n">
        <f aca="false">Q!$E$41</f>
        <v>10.827</v>
      </c>
      <c r="E8168" s="22" t="n">
        <f aca="false">(Q!$L$41+Q!$M$41)/2</f>
        <v>10.8885</v>
      </c>
      <c r="F8168" s="22" t="n">
        <f aca="false">Sens!$G$8168</f>
        <v>10.924806</v>
      </c>
      <c r="G8168" s="22" t="n">
        <f aca="false">Q!$M$41*(1+sh_g*0.25)</f>
        <v>10.924806</v>
      </c>
      <c r="H8168" s="22" t="n">
        <f aca="false">Sens!$G$8168*(1+sh_g)</f>
        <v>11.012204448</v>
      </c>
      <c r="I8168" s="22" t="n">
        <f aca="false">Sens!$H$8168*(1+sh_g)</f>
        <v>11.100302083584</v>
      </c>
      <c r="J8168" s="22" t="n">
        <f aca="false">Sens!$I$8168*(1+sh_g)</f>
        <v>11.1891045002527</v>
      </c>
      <c r="K8168" s="22" t="n">
        <f aca="false">Sens!$J$8168*(1+sh_g)</f>
        <v>11.2786173362547</v>
      </c>
      <c r="L8168" s="22" t="n">
        <f aca="false">Sens!$K$8168*(1+sh_g)</f>
        <v>11.3688462749447</v>
      </c>
      <c r="M8168" s="22" t="n">
        <f aca="false">Sens!$L$8168*(1+sh_g)</f>
        <v>11.4597970451443</v>
      </c>
      <c r="P8168" s="5" t="s">
        <v>749</v>
      </c>
    </row>
    <row r="8169" customFormat="false" ht="17.15" hidden="false" customHeight="false" outlineLevel="0" collapsed="false">
      <c r="A8169" s="5" t="s">
        <v>750</v>
      </c>
      <c r="B8169" s="0" t="s">
        <v>86</v>
      </c>
      <c r="C8169" s="38" t="n">
        <f aca="false">Sens!$C$8167+Sens!$C$8143*(1-tax)</f>
        <v>59.248</v>
      </c>
      <c r="D8169" s="38" t="n">
        <f aca="false">Sens!$D$8167+Sens!$D$8143*(1-tax)</f>
        <v>77.67</v>
      </c>
      <c r="E8169" s="38" t="n">
        <f aca="false">Sens!$E$8167+Sens!$E$8143*(1-tax)</f>
        <v>92.902</v>
      </c>
      <c r="F8169" s="38" t="n">
        <f aca="false">Sens!$F$8167+Sens!$F$8143*(1-tax)</f>
        <v>49.0900874210793</v>
      </c>
      <c r="G8169" s="38" t="n">
        <f aca="false">Sens!$G$8167+Sens!$G$8143*(1-tax)</f>
        <v>141.992087421079</v>
      </c>
      <c r="H8169" s="38" t="n">
        <f aca="false">Sens!$H$8167+Sens!$H$8143*(1-tax)</f>
        <v>114.439796858437</v>
      </c>
      <c r="I8169" s="38" t="n">
        <f aca="false">Sens!$I$8167+Sens!$I$8143*(1-tax)</f>
        <v>137.715847181774</v>
      </c>
      <c r="J8169" s="38" t="n">
        <f aca="false">Sens!$J$8167+Sens!$J$8143*(1-tax)</f>
        <v>161.072814065649</v>
      </c>
      <c r="K8169" s="38" t="n">
        <f aca="false">Sens!$K$8167+Sens!$K$8143*(1-tax)</f>
        <v>178.946998535795</v>
      </c>
      <c r="L8169" s="38" t="n">
        <f aca="false">Sens!$L$8167+Sens!$L$8143*(1-tax)</f>
        <v>198.381807475702</v>
      </c>
      <c r="M8169" s="38" t="n">
        <f aca="false">Sens!$M$8167+Sens!$M$8143*(1-tax)</f>
        <v>217.122913974215</v>
      </c>
      <c r="N8169" s="38" t="n">
        <f aca="false">Sens!$N$8167+Sens!$N$8143*(1-tax)</f>
        <v>35.291</v>
      </c>
      <c r="O8169" s="38" t="n">
        <f aca="false">Sens!$O$8167+Sens!$O$8143*(1-tax)</f>
        <v>42.379</v>
      </c>
    </row>
    <row r="8170" customFormat="false" ht="17.15" hidden="false" customHeight="false" outlineLevel="0" collapsed="false">
      <c r="A8170" s="43" t="s">
        <v>751</v>
      </c>
      <c r="B8170" s="14" t="s">
        <v>27</v>
      </c>
      <c r="C8170" s="44" t="n">
        <f aca="false">Sens!$C$8169/Sens!$C$8168</f>
        <v>5.52635015390355</v>
      </c>
      <c r="D8170" s="44" t="n">
        <f aca="false">Sens!$D$8169/Sens!$D$8168</f>
        <v>7.1737323358271</v>
      </c>
      <c r="E8170" s="44" t="n">
        <f aca="false">Sens!$E$8169/Sens!$E$8168</f>
        <v>8.53212104513937</v>
      </c>
      <c r="F8170" s="14"/>
      <c r="G8170" s="44" t="n">
        <f aca="false">Sens!$G$8169/Sens!$G$8168</f>
        <v>12.9972182042481</v>
      </c>
      <c r="H8170" s="44" t="n">
        <f aca="false">Sens!$H$8169/Sens!$H$8168</f>
        <v>10.3920879237963</v>
      </c>
      <c r="I8170" s="44" t="n">
        <f aca="false">Sens!$I$8169/Sens!$I$8168</f>
        <v>12.4064954399249</v>
      </c>
      <c r="J8170" s="44" t="n">
        <f aca="false">Sens!$J$8169/Sens!$J$8168</f>
        <v>14.3955053831172</v>
      </c>
      <c r="K8170" s="44" t="n">
        <f aca="false">Sens!$K$8169/Sens!$K$8168</f>
        <v>15.8660404197398</v>
      </c>
      <c r="L8170" s="44" t="n">
        <f aca="false">Sens!$L$8169/Sens!$L$8168</f>
        <v>17.4495989019489</v>
      </c>
      <c r="M8170" s="44" t="n">
        <f aca="false">Sens!$M$8169/Sens!$M$8168</f>
        <v>18.9464885912804</v>
      </c>
      <c r="N8170" s="14"/>
      <c r="O8170" s="14"/>
    </row>
    <row r="8171" customFormat="false" ht="17.15" hidden="false" customHeight="false" outlineLevel="0" collapsed="false">
      <c r="A8171" s="0" t="s">
        <v>752</v>
      </c>
      <c r="B8171" s="0" t="s">
        <v>27</v>
      </c>
      <c r="C8171" s="30" t="n">
        <f aca="false">Sens!$C$8167/Sens!$C$8168</f>
        <v>5.52635015390355</v>
      </c>
      <c r="D8171" s="30" t="n">
        <f aca="false">Sens!$D$8167/Sens!$D$8168</f>
        <v>7.1737323358271</v>
      </c>
      <c r="E8171" s="30" t="n">
        <f aca="false">Sens!$E$8167/Sens!$E$8168</f>
        <v>8.53212104513937</v>
      </c>
      <c r="G8171" s="30" t="n">
        <f aca="false">Sens!$G$8167/Sens!$G$8168</f>
        <v>12.7119412886078</v>
      </c>
      <c r="H8171" s="30" t="n">
        <f aca="false">Sens!$H$8167/Sens!$H$8168</f>
        <v>9.25413266565353</v>
      </c>
      <c r="I8171" s="30" t="n">
        <f aca="false">Sens!$I$8167/Sens!$I$8168</f>
        <v>10.501928796986</v>
      </c>
      <c r="J8171" s="30" t="n">
        <f aca="false">Sens!$J$8167/Sens!$J$8168</f>
        <v>11.7331442492472</v>
      </c>
      <c r="K8171" s="30" t="n">
        <f aca="false">Sens!$K$8167/Sens!$K$8168</f>
        <v>12.5759441372629</v>
      </c>
      <c r="L8171" s="30" t="n">
        <f aca="false">Sens!$L$8167/Sens!$L$8168</f>
        <v>13.7747123186974</v>
      </c>
      <c r="M8171" s="30" t="n">
        <f aca="false">Sens!$M$8167/Sens!$M$8168</f>
        <v>15.1246571438431</v>
      </c>
    </row>
    <row r="8172" customFormat="false" ht="17.15" hidden="false" customHeight="false" outlineLevel="0" collapsed="false">
      <c r="A8172" s="0" t="s">
        <v>753</v>
      </c>
      <c r="B8172" s="0" t="s">
        <v>27</v>
      </c>
      <c r="C8172" s="30" t="n">
        <f aca="false">(Sens!$C$8167-Sens!$C$8164*(1-tax))/Sens!$C$8168</f>
        <v>5.33926775917445</v>
      </c>
      <c r="D8172" s="30" t="n">
        <f aca="false">(Sens!$D$8167-Sens!$D$8164*(1-tax))/Sens!$D$8168</f>
        <v>5.67691812755503</v>
      </c>
      <c r="E8172" s="30" t="n">
        <f aca="false">(Sens!$E$8167-Sens!$E$8164*(1-tax))/Sens!$E$8168</f>
        <v>3.10602057006846</v>
      </c>
      <c r="G8172" s="30" t="n">
        <f aca="false">(Sens!$G$8167-Sens!$G$8164*(1-tax))/Sens!$G$8168</f>
        <v>7.30387317071086</v>
      </c>
      <c r="H8172" s="30" t="n">
        <f aca="false">(Sens!$H$8167-Sens!$H$8164*(1-tax))/Sens!$H$8168</f>
        <v>9.25413266565353</v>
      </c>
      <c r="I8172" s="30" t="n">
        <f aca="false">(Sens!$I$8167-Sens!$I$8164*(1-tax))/Sens!$I$8168</f>
        <v>10.501928796986</v>
      </c>
      <c r="J8172" s="30" t="n">
        <f aca="false">(Sens!$J$8167-Sens!$J$8164*(1-tax))/Sens!$J$8168</f>
        <v>11.7331442492472</v>
      </c>
      <c r="K8172" s="30" t="n">
        <f aca="false">(Sens!$K$8167-Sens!$K$8164*(1-tax))/Sens!$K$8168</f>
        <v>12.5759441372629</v>
      </c>
      <c r="L8172" s="30" t="n">
        <f aca="false">(Sens!$L$8167-Sens!$L$8164*(1-tax))/Sens!$L$8168</f>
        <v>13.7747123186974</v>
      </c>
      <c r="M8172" s="30" t="n">
        <f aca="false">(Sens!$M$8167-Sens!$M$8164*(1-tax))/Sens!$M$8168</f>
        <v>15.1246571438431</v>
      </c>
      <c r="P8172" s="5" t="s">
        <v>754</v>
      </c>
    </row>
    <row r="8173" customFormat="false" ht="17.15" hidden="false" customHeight="false" outlineLevel="0" collapsed="false">
      <c r="A8173" s="0" t="s">
        <v>755</v>
      </c>
      <c r="B8173" s="0" t="s">
        <v>52</v>
      </c>
      <c r="H8173" s="13" t="n">
        <f aca="false">Sens!$H$8170/Sens!$G$8170-1</f>
        <v>-0.200437527439553</v>
      </c>
      <c r="I8173" s="13" t="n">
        <f aca="false">Sens!$I$8170/Sens!$H$8170-1</f>
        <v>0.193840499705158</v>
      </c>
      <c r="J8173" s="13" t="n">
        <f aca="false">Sens!$J$8170/Sens!$I$8170-1</f>
        <v>0.160320047899391</v>
      </c>
      <c r="K8173" s="13" t="n">
        <f aca="false">Sens!$K$8170/Sens!$J$8170-1</f>
        <v>0.102152373083559</v>
      </c>
      <c r="L8173" s="13" t="n">
        <f aca="false">Sens!$L$8170/Sens!$K$8170-1</f>
        <v>0.0998080453796744</v>
      </c>
      <c r="M8173" s="13" t="n">
        <f aca="false">Sens!$M$8170/Sens!$L$8170-1</f>
        <v>0.0857836158723522</v>
      </c>
    </row>
    <row r="8176" customFormat="false" ht="19.4" hidden="false" customHeight="false" outlineLevel="0" collapsed="false">
      <c r="A8176" s="31" t="s">
        <v>1295</v>
      </c>
    </row>
    <row r="8177" customFormat="false" ht="17.15" hidden="false" customHeight="false" outlineLevel="0" collapsed="false">
      <c r="A8177" s="6" t="s">
        <v>16</v>
      </c>
      <c r="B8177" s="6" t="s">
        <v>17</v>
      </c>
      <c r="C8177" s="20" t="s">
        <v>494</v>
      </c>
      <c r="D8177" s="20" t="s">
        <v>495</v>
      </c>
      <c r="E8177" s="20" t="s">
        <v>577</v>
      </c>
      <c r="F8177" s="20" t="s">
        <v>578</v>
      </c>
      <c r="G8177" s="20" t="s">
        <v>579</v>
      </c>
      <c r="H8177" s="20" t="s">
        <v>580</v>
      </c>
      <c r="I8177" s="20" t="s">
        <v>581</v>
      </c>
      <c r="J8177" s="20" t="s">
        <v>582</v>
      </c>
      <c r="K8177" s="20" t="s">
        <v>583</v>
      </c>
      <c r="L8177" s="20" t="s">
        <v>584</v>
      </c>
      <c r="M8177" s="20" t="s">
        <v>585</v>
      </c>
      <c r="N8177" s="20" t="s">
        <v>586</v>
      </c>
      <c r="O8177" s="20" t="s">
        <v>587</v>
      </c>
      <c r="P8177" s="6" t="s">
        <v>23</v>
      </c>
      <c r="R8177" s="20" t="n">
        <v>2023</v>
      </c>
      <c r="S8177" s="20" t="n">
        <v>2024</v>
      </c>
      <c r="T8177" s="20" t="n">
        <v>2025</v>
      </c>
      <c r="U8177" s="20" t="n">
        <v>2026</v>
      </c>
      <c r="V8177" s="20" t="n">
        <v>2027</v>
      </c>
      <c r="W8177" s="20" t="n">
        <v>2028</v>
      </c>
      <c r="X8177" s="20" t="n">
        <v>2029</v>
      </c>
      <c r="Y8177" s="20" t="n">
        <v>2030</v>
      </c>
      <c r="Z8177" s="20" t="n">
        <v>2031</v>
      </c>
      <c r="AA8177" s="20" t="n">
        <v>2032</v>
      </c>
    </row>
    <row r="8178" customFormat="false" ht="15" hidden="false" customHeight="false" outlineLevel="0" collapsed="false">
      <c r="A8178" s="5" t="s">
        <v>546</v>
      </c>
      <c r="B8178" s="0" t="s">
        <v>86</v>
      </c>
      <c r="C8178" s="38" t="n">
        <f aca="false">Sens!$C$8167</f>
        <v>59.248</v>
      </c>
      <c r="D8178" s="38" t="n">
        <f aca="false">Sens!$D$8167</f>
        <v>77.67</v>
      </c>
      <c r="E8178" s="38" t="n">
        <f aca="false">Sens!$E$8167</f>
        <v>92.902</v>
      </c>
      <c r="F8178" s="38" t="n">
        <f aca="false">Sens!$F$8167</f>
        <v>45.9734924614306</v>
      </c>
      <c r="G8178" s="38" t="n">
        <f aca="false">Sens!$G$8167</f>
        <v>138.875492461431</v>
      </c>
      <c r="H8178" s="38" t="n">
        <f aca="false">Sens!$H$8167</f>
        <v>101.908400903092</v>
      </c>
      <c r="I8178" s="38" t="n">
        <f aca="false">Sens!$I$8167</f>
        <v>116.574582106835</v>
      </c>
      <c r="J8178" s="38" t="n">
        <f aca="false">Sens!$J$8167</f>
        <v>131.283377121365</v>
      </c>
      <c r="K8178" s="38" t="n">
        <f aca="false">Sens!$K$8167</f>
        <v>141.839261566304</v>
      </c>
      <c r="L8178" s="38" t="n">
        <f aca="false">Sens!$L$8167</f>
        <v>156.602586832858</v>
      </c>
      <c r="M8178" s="38" t="n">
        <f aca="false">Sens!$M$8167</f>
        <v>173.325501245834</v>
      </c>
    </row>
    <row r="8179" customFormat="false" ht="17.15" hidden="false" customHeight="false" outlineLevel="0" collapsed="false">
      <c r="A8179" s="5" t="s">
        <v>778</v>
      </c>
      <c r="B8179" s="0" t="s">
        <v>86</v>
      </c>
      <c r="C8179" s="38" t="n">
        <f aca="false">Sens!$C$8155</f>
        <v>32.067</v>
      </c>
      <c r="D8179" s="38" t="n">
        <f aca="false">Sens!$D$8155</f>
        <v>41.86</v>
      </c>
      <c r="E8179" s="38" t="n">
        <f aca="false">Sens!$E$8155</f>
        <v>26.703</v>
      </c>
      <c r="F8179" s="38" t="n">
        <f aca="false">Sens!$F$8155</f>
        <v>29.2913179650864</v>
      </c>
      <c r="G8179" s="38" t="n">
        <f aca="false">Sens!$G$8155</f>
        <v>55.9943179650864</v>
      </c>
      <c r="H8179" s="38" t="n">
        <f aca="false">Sens!$H$8155</f>
        <v>84.3163410985152</v>
      </c>
      <c r="I8179" s="38" t="n">
        <f aca="false">Sens!$I$8155</f>
        <v>117.040344991004</v>
      </c>
      <c r="J8179" s="38" t="n">
        <f aca="false">Sens!$J$8155</f>
        <v>150.498981474685</v>
      </c>
      <c r="K8179" s="38" t="n">
        <f aca="false">Sens!$K$8155</f>
        <v>184.188121970284</v>
      </c>
      <c r="L8179" s="38" t="n">
        <f aca="false">Sens!$L$8155</f>
        <v>207.378648477454</v>
      </c>
      <c r="M8179" s="38" t="n">
        <f aca="false">Sens!$M$8155</f>
        <v>222.833725897691</v>
      </c>
    </row>
    <row r="8180" customFormat="false" ht="15" hidden="false" customHeight="false" outlineLevel="0" collapsed="false">
      <c r="A8180" s="5" t="s">
        <v>779</v>
      </c>
      <c r="B8180" s="0" t="s">
        <v>86</v>
      </c>
      <c r="C8180" s="38" t="n">
        <f aca="false">Q!$D$48</f>
        <v>22.011</v>
      </c>
      <c r="D8180" s="38" t="n">
        <f aca="false">Q!$E$48</f>
        <v>19.467</v>
      </c>
      <c r="E8180" s="38" t="n">
        <f aca="false">Q!$P$48</f>
        <v>10.07</v>
      </c>
      <c r="F8180" s="38" t="n">
        <f aca="false">sbc_r*Sens!$F$8097</f>
        <v>10.8507035798037</v>
      </c>
      <c r="G8180" s="38" t="n">
        <f aca="false">Sens!$E$8180+Sens!$F$8180</f>
        <v>20.9207035798037</v>
      </c>
      <c r="H8180" s="38" t="n">
        <f aca="false">sbc_r*Sens!$H$8097</f>
        <v>23.46224366345</v>
      </c>
      <c r="I8180" s="38" t="n">
        <f aca="false">sbc_r*Sens!$I$8097</f>
        <v>26.6125957111676</v>
      </c>
      <c r="J8180" s="38" t="n">
        <f aca="false">sbc_r*Sens!$J$8097</f>
        <v>29.6280801413323</v>
      </c>
      <c r="K8180" s="38" t="n">
        <f aca="false">sbc_r*Sens!$K$8097</f>
        <v>32.26410459716</v>
      </c>
      <c r="L8180" s="38" t="n">
        <f aca="false">sbc_r*Sens!$L$8097</f>
        <v>34.7107348734595</v>
      </c>
      <c r="M8180" s="38" t="n">
        <f aca="false">sbc_r*Sens!$M$8097</f>
        <v>36.9769023298878</v>
      </c>
    </row>
    <row r="8181" customFormat="false" ht="17.15" hidden="false" customHeight="false" outlineLevel="0" collapsed="false">
      <c r="A8181" s="5" t="s">
        <v>780</v>
      </c>
      <c r="B8181" s="0" t="s">
        <v>86</v>
      </c>
      <c r="C8181" s="38" t="n">
        <f aca="false">Q!$D$44-Sens!$C$8178-Sens!$C$8179-Sens!$C$8180</f>
        <v>2.551</v>
      </c>
      <c r="D8181" s="38" t="n">
        <f aca="false">Q!$E$44-Sens!$D$8178-Sens!$D$8179-Sens!$D$8180</f>
        <v>0.51700000000001</v>
      </c>
      <c r="E8181" s="38" t="n">
        <f aca="false">Q!$P$44-Sens!$E$8178-Sens!$E$8179-Sens!$E$8180</f>
        <v>-58.256</v>
      </c>
      <c r="F8181" s="38" t="n">
        <f aca="false">oth_r*Sens!$F$8097</f>
        <v>5.22265251035878</v>
      </c>
      <c r="G8181" s="38" t="n">
        <f aca="false">Sens!$E$8181+Sens!$F$8181</f>
        <v>-53.0333474896412</v>
      </c>
      <c r="H8181" s="38" t="n">
        <f aca="false">oth_r*Sens!$H$8097</f>
        <v>11.2928295263397</v>
      </c>
      <c r="I8181" s="38" t="n">
        <f aca="false">oth_r*Sens!$I$8097</f>
        <v>12.8091546115766</v>
      </c>
      <c r="J8181" s="38" t="n">
        <f aca="false">oth_r*Sens!$J$8097</f>
        <v>14.2605653162668</v>
      </c>
      <c r="K8181" s="38" t="n">
        <f aca="false">oth_r*Sens!$K$8097</f>
        <v>15.5293346306567</v>
      </c>
      <c r="L8181" s="38" t="n">
        <f aca="false">oth_r*Sens!$L$8097</f>
        <v>16.7069448805781</v>
      </c>
      <c r="M8181" s="38" t="n">
        <f aca="false">oth_r*Sens!$M$8097</f>
        <v>17.7976949013636</v>
      </c>
      <c r="P8181" s="8" t="s">
        <v>781</v>
      </c>
    </row>
    <row r="8182" customFormat="false" ht="15" hidden="false" customHeight="false" outlineLevel="0" collapsed="false">
      <c r="A8182" s="3" t="s">
        <v>552</v>
      </c>
      <c r="B8182" s="8" t="s">
        <v>86</v>
      </c>
      <c r="C8182" s="38" t="n">
        <f aca="false">Q!$D$44</f>
        <v>115.877</v>
      </c>
      <c r="D8182" s="38" t="n">
        <f aca="false">Q!$E$44</f>
        <v>139.514</v>
      </c>
      <c r="E8182" s="38" t="n">
        <f aca="false">Q!$P$44</f>
        <v>71.419</v>
      </c>
      <c r="F8182" s="38" t="n">
        <f aca="false">Sens!$F$8178+Sens!$F$8179+Sens!$F$8180+Sens!$F$8181</f>
        <v>91.3381665166794</v>
      </c>
      <c r="G8182" s="38" t="n">
        <f aca="false">Sens!$E$8182+Sens!$F$8182</f>
        <v>162.757166516679</v>
      </c>
      <c r="H8182" s="38" t="n">
        <f aca="false">Sens!$H$8178+Sens!$H$8179+Sens!$H$8180+Sens!$H$8181</f>
        <v>220.979815191397</v>
      </c>
      <c r="I8182" s="38" t="n">
        <f aca="false">Sens!$I$8178+Sens!$I$8179+Sens!$I$8180+Sens!$I$8181</f>
        <v>273.036677420583</v>
      </c>
      <c r="J8182" s="38" t="n">
        <f aca="false">Sens!$J$8178+Sens!$J$8179+Sens!$J$8180+Sens!$J$8181</f>
        <v>325.671004053649</v>
      </c>
      <c r="K8182" s="38" t="n">
        <f aca="false">Sens!$K$8178+Sens!$K$8179+Sens!$K$8180+Sens!$K$8181</f>
        <v>373.820822764405</v>
      </c>
      <c r="L8182" s="38" t="n">
        <f aca="false">Sens!$L$8178+Sens!$L$8179+Sens!$L$8180+Sens!$L$8181</f>
        <v>415.39891506435</v>
      </c>
      <c r="M8182" s="38" t="n">
        <f aca="false">Sens!$M$8178+Sens!$M$8179+Sens!$M$8180+Sens!$M$8181</f>
        <v>450.933824374776</v>
      </c>
    </row>
    <row r="8183" customFormat="false" ht="17.15" hidden="false" customHeight="false" outlineLevel="0" collapsed="false">
      <c r="A8183" s="5" t="s">
        <v>782</v>
      </c>
      <c r="B8183" s="0" t="s">
        <v>86</v>
      </c>
      <c r="C8183" s="38" t="n">
        <f aca="false">Sens!$C$8066</f>
        <v>25.2781053077374</v>
      </c>
      <c r="D8183" s="38" t="n">
        <f aca="false">Sens!$D$8066</f>
        <v>69.5686316310026</v>
      </c>
      <c r="E8183" s="38" t="n">
        <f aca="false">Sens!$E$8066</f>
        <v>64.1899206485108</v>
      </c>
      <c r="F8183" s="38" t="n">
        <f aca="false">Sens!$F$8066</f>
        <v>96.2481299895</v>
      </c>
      <c r="G8183" s="38" t="n">
        <f aca="false">Sens!$G$8066</f>
        <v>160.438050638011</v>
      </c>
      <c r="H8183" s="38" t="n">
        <f aca="false">Sens!$H$8066</f>
        <v>198.57136494475</v>
      </c>
      <c r="I8183" s="38" t="n">
        <f aca="false">Sens!$I$8066</f>
        <v>204.6464699105</v>
      </c>
      <c r="J8183" s="38" t="n">
        <f aca="false">Sens!$J$8066</f>
        <v>209.8832381105</v>
      </c>
      <c r="K8183" s="38" t="n">
        <f aca="false">Sens!$K$8066</f>
        <v>152.460428963578</v>
      </c>
      <c r="L8183" s="38" t="n">
        <f aca="false">Sens!$L$8066</f>
        <v>126.458229016657</v>
      </c>
      <c r="M8183" s="38" t="n">
        <f aca="false">Sens!$M$8066</f>
        <v>123.897112724985</v>
      </c>
    </row>
    <row r="8184" customFormat="false" ht="17.15" hidden="false" customHeight="false" outlineLevel="0" collapsed="false">
      <c r="A8184" s="5" t="s">
        <v>783</v>
      </c>
      <c r="B8184" s="0" t="s">
        <v>86</v>
      </c>
      <c r="C8184" s="38" t="n">
        <f aca="false">cx_awso*Sens!$C$8095</f>
        <v>21.0469989286053</v>
      </c>
      <c r="D8184" s="38" t="n">
        <f aca="false">cx_awso*Sens!$D$8095</f>
        <v>24.0042459822698</v>
      </c>
      <c r="E8184" s="38" t="n">
        <f aca="false">cx_awso*Sens!$E$8095</f>
        <v>14.261729404886</v>
      </c>
      <c r="F8184" s="38" t="n">
        <f aca="false">cx_awso*Sens!$F$8095</f>
        <v>14.3538599588493</v>
      </c>
      <c r="G8184" s="38" t="n">
        <f aca="false">Sens!$E$8184+Sens!$F$8184</f>
        <v>28.6155893637353</v>
      </c>
      <c r="H8184" s="38" t="n">
        <f aca="false">cx_awso*Sens!$H$8095</f>
        <v>32.2034154158406</v>
      </c>
      <c r="I8184" s="38" t="n">
        <f aca="false">cx_awso*Sens!$I$8095</f>
        <v>35.7539519042915</v>
      </c>
      <c r="J8184" s="38" t="n">
        <f aca="false">cx_awso*Sens!$J$8095</f>
        <v>39.1551076091815</v>
      </c>
      <c r="K8184" s="38" t="n">
        <f aca="false">cx_awso*Sens!$K$8095</f>
        <v>42.287516217916</v>
      </c>
      <c r="L8184" s="38" t="n">
        <f aca="false">cx_awso*Sens!$L$8095</f>
        <v>45.6705175153492</v>
      </c>
      <c r="M8184" s="38" t="n">
        <f aca="false">cx_awso*Sens!$M$8095</f>
        <v>49.3241589165772</v>
      </c>
    </row>
    <row r="8185" customFormat="false" ht="17.15" hidden="false" customHeight="false" outlineLevel="0" collapsed="false">
      <c r="A8185" s="5" t="s">
        <v>784</v>
      </c>
      <c r="B8185" s="0" t="s">
        <v>86</v>
      </c>
      <c r="C8185" s="38" t="n">
        <f aca="false">Q!$D$46-Sens!$C$8183-Sens!$C$8184</f>
        <v>31.3328957636573</v>
      </c>
      <c r="D8185" s="38" t="n">
        <f aca="false">Q!$E$46-Sens!$D$8183-Sens!$D$8184</f>
        <v>34.7471223867276</v>
      </c>
      <c r="E8185" s="38" t="n">
        <f aca="false">Q!$P$46-Sens!$E$8183-Sens!$E$8184</f>
        <v>17.8583499466032</v>
      </c>
      <c r="F8185" s="38" t="n">
        <f aca="false">cx_rt*Sens!$F$8029</f>
        <v>20.6195895799373</v>
      </c>
      <c r="G8185" s="38" t="n">
        <f aca="false">Sens!$E$8185+Sens!$F$8185</f>
        <v>38.4779395265405</v>
      </c>
      <c r="H8185" s="38" t="n">
        <f aca="false">cx_rt*Sens!$H$8029</f>
        <v>42.5978994743075</v>
      </c>
      <c r="I8185" s="38" t="n">
        <f aca="false">cx_rt*Sens!$I$8029</f>
        <v>46.5813904136335</v>
      </c>
      <c r="J8185" s="38" t="n">
        <f aca="false">cx_rt*Sens!$J$8029</f>
        <v>50.2781676586844</v>
      </c>
      <c r="K8185" s="38" t="n">
        <f aca="false">cx_rt*Sens!$K$8029</f>
        <v>53.5312440191755</v>
      </c>
      <c r="L8185" s="38" t="n">
        <f aca="false">cx_rt*Sens!$L$8029</f>
        <v>57.0116717051447</v>
      </c>
      <c r="M8185" s="38" t="n">
        <f aca="false">cx_rt*Sens!$M$8029</f>
        <v>60.7365554669226</v>
      </c>
    </row>
    <row r="8186" customFormat="false" ht="15" hidden="false" customHeight="false" outlineLevel="0" collapsed="false">
      <c r="A8186" s="3" t="s">
        <v>785</v>
      </c>
      <c r="B8186" s="8" t="s">
        <v>86</v>
      </c>
      <c r="C8186" s="38" t="n">
        <f aca="false">Q!$D$46</f>
        <v>77.658</v>
      </c>
      <c r="D8186" s="38" t="n">
        <f aca="false">Q!$E$46</f>
        <v>128.32</v>
      </c>
      <c r="E8186" s="38" t="n">
        <f aca="false">Q!$P$46</f>
        <v>96.31</v>
      </c>
      <c r="F8186" s="38" t="n">
        <f aca="false">Sens!$F$8183+Sens!$F$8184+Sens!$F$8185</f>
        <v>131.221579528287</v>
      </c>
      <c r="G8186" s="38" t="n">
        <f aca="false">Sens!$E$8186+Sens!$F$8186</f>
        <v>227.531579528287</v>
      </c>
      <c r="H8186" s="38" t="n">
        <f aca="false">Sens!$H$8183+Sens!$H$8184+Sens!$H$8185</f>
        <v>273.372679834898</v>
      </c>
      <c r="I8186" s="38" t="n">
        <f aca="false">Sens!$I$8183+Sens!$I$8184+Sens!$I$8185</f>
        <v>286.981812228425</v>
      </c>
      <c r="J8186" s="38" t="n">
        <f aca="false">Sens!$J$8183+Sens!$J$8184+Sens!$J$8185</f>
        <v>299.316513378366</v>
      </c>
      <c r="K8186" s="38" t="n">
        <f aca="false">Sens!$K$8183+Sens!$K$8184+Sens!$K$8185</f>
        <v>248.27918920067</v>
      </c>
      <c r="L8186" s="38" t="n">
        <f aca="false">Sens!$L$8183+Sens!$L$8184+Sens!$L$8185</f>
        <v>229.140418237151</v>
      </c>
      <c r="M8186" s="38" t="n">
        <f aca="false">Sens!$M$8183+Sens!$M$8184+Sens!$M$8185</f>
        <v>233.957827108485</v>
      </c>
    </row>
    <row r="8187" customFormat="false" ht="17.15" hidden="false" customHeight="false" outlineLevel="0" collapsed="false">
      <c r="A8187" s="5" t="s">
        <v>560</v>
      </c>
      <c r="B8187" s="0" t="s">
        <v>86</v>
      </c>
      <c r="C8187" s="38" t="n">
        <f aca="false">Q!$D$50</f>
        <v>2.043</v>
      </c>
      <c r="D8187" s="38" t="n">
        <f aca="false">Q!$E$50</f>
        <v>1.557</v>
      </c>
      <c r="E8187" s="38" t="n">
        <f aca="false">lease_pr/2</f>
        <v>0.8</v>
      </c>
      <c r="F8187" s="38" t="n">
        <f aca="false">lease_pr/2</f>
        <v>0.8</v>
      </c>
      <c r="G8187" s="38" t="n">
        <f aca="false">Sens!$E$8187+Sens!$F$8187</f>
        <v>1.6</v>
      </c>
      <c r="H8187" s="38" t="n">
        <f aca="false">lease_pr</f>
        <v>1.6</v>
      </c>
      <c r="I8187" s="38" t="n">
        <f aca="false">lease_pr</f>
        <v>1.6</v>
      </c>
      <c r="J8187" s="38" t="n">
        <f aca="false">lease_pr</f>
        <v>1.6</v>
      </c>
      <c r="K8187" s="38" t="n">
        <f aca="false">lease_pr</f>
        <v>1.6</v>
      </c>
      <c r="L8187" s="38" t="n">
        <f aca="false">lease_pr</f>
        <v>1.6</v>
      </c>
      <c r="M8187" s="38" t="n">
        <f aca="false">lease_pr</f>
        <v>1.6</v>
      </c>
      <c r="P8187" s="8" t="s">
        <v>786</v>
      </c>
    </row>
    <row r="8188" customFormat="false" ht="15" hidden="false" customHeight="false" outlineLevel="0" collapsed="false">
      <c r="A8188" s="47" t="s">
        <v>787</v>
      </c>
      <c r="B8188" s="14" t="s">
        <v>86</v>
      </c>
      <c r="C8188" s="48" t="n">
        <f aca="false">Sens!$C$8182-Sens!$C$8186-Sens!$C$8187</f>
        <v>36.176</v>
      </c>
      <c r="D8188" s="48" t="n">
        <f aca="false">Sens!$D$8182-Sens!$D$8186-Sens!$D$8187</f>
        <v>9.63700000000002</v>
      </c>
      <c r="E8188" s="48" t="n">
        <f aca="false">Sens!$E$8182-Sens!$E$8186-Sens!$E$8187</f>
        <v>-25.691</v>
      </c>
      <c r="F8188" s="48" t="n">
        <f aca="false">Sens!$F$8182-Sens!$F$8186-Sens!$F$8187</f>
        <v>-40.6834130116072</v>
      </c>
      <c r="G8188" s="48" t="n">
        <f aca="false">Sens!$G$8182-Sens!$G$8186-Sens!$G$8187</f>
        <v>-66.3744130116072</v>
      </c>
      <c r="H8188" s="48" t="n">
        <f aca="false">Sens!$H$8182-Sens!$H$8186-Sens!$H$8187</f>
        <v>-53.9928646435014</v>
      </c>
      <c r="I8188" s="48" t="n">
        <f aca="false">Sens!$I$8182-Sens!$I$8186-Sens!$I$8187</f>
        <v>-15.5451348078424</v>
      </c>
      <c r="J8188" s="48" t="n">
        <f aca="false">Sens!$J$8182-Sens!$J$8186-Sens!$J$8187</f>
        <v>24.754490675283</v>
      </c>
      <c r="K8188" s="48" t="n">
        <f aca="false">Sens!$K$8182-Sens!$K$8186-Sens!$K$8187</f>
        <v>123.941633563735</v>
      </c>
      <c r="L8188" s="48" t="n">
        <f aca="false">Sens!$L$8182-Sens!$L$8186-Sens!$L$8187</f>
        <v>184.658496827199</v>
      </c>
      <c r="M8188" s="48" t="n">
        <f aca="false">Sens!$M$8182-Sens!$M$8186-Sens!$M$8187</f>
        <v>215.375997266291</v>
      </c>
      <c r="N8188" s="14"/>
      <c r="O8188" s="14"/>
    </row>
    <row r="8189" customFormat="false" ht="17.15" hidden="false" customHeight="false" outlineLevel="0" collapsed="false">
      <c r="A8189" s="5" t="s">
        <v>788</v>
      </c>
      <c r="B8189" s="0" t="s">
        <v>86</v>
      </c>
      <c r="C8189" s="38" t="n">
        <f aca="false">dps*Sens!$C$8168</f>
        <v>0</v>
      </c>
      <c r="D8189" s="38" t="n">
        <f aca="false">dps*Sens!$D$8168</f>
        <v>0</v>
      </c>
      <c r="E8189" s="38" t="n">
        <f aca="false">dps*Sens!$E$8168</f>
        <v>0</v>
      </c>
      <c r="F8189" s="38" t="n">
        <f aca="false">0</f>
        <v>0</v>
      </c>
      <c r="G8189" s="38" t="n">
        <f aca="false">dps*Sens!$G$8168</f>
        <v>0</v>
      </c>
      <c r="H8189" s="38" t="n">
        <f aca="false">dps*Sens!$H$8168</f>
        <v>0</v>
      </c>
      <c r="I8189" s="38" t="n">
        <f aca="false">dps*Sens!$I$8168</f>
        <v>0</v>
      </c>
      <c r="J8189" s="38" t="n">
        <f aca="false">dps*Sens!$J$8168</f>
        <v>0</v>
      </c>
      <c r="K8189" s="38" t="n">
        <f aca="false">dps*Sens!$K$8168</f>
        <v>0</v>
      </c>
      <c r="L8189" s="38" t="n">
        <f aca="false">dps*Sens!$L$8168</f>
        <v>0</v>
      </c>
      <c r="M8189" s="38" t="n">
        <f aca="false">dps*Sens!$M$8168</f>
        <v>0</v>
      </c>
      <c r="P8189" s="8" t="s">
        <v>789</v>
      </c>
    </row>
    <row r="8190" customFormat="false" ht="17.15" hidden="false" customHeight="false" outlineLevel="0" collapsed="false">
      <c r="A8190" s="5" t="s">
        <v>790</v>
      </c>
      <c r="B8190" s="0" t="s">
        <v>86</v>
      </c>
      <c r="C8190" s="38" t="n">
        <f aca="false">0</f>
        <v>0</v>
      </c>
      <c r="D8190" s="38" t="n">
        <f aca="false">0</f>
        <v>0</v>
      </c>
      <c r="E8190" s="38" t="n">
        <f aca="false">0</f>
        <v>0</v>
      </c>
      <c r="F8190" s="38" t="n">
        <f aca="false">0</f>
        <v>0</v>
      </c>
      <c r="G8190" s="38" t="n">
        <f aca="false">0</f>
        <v>0</v>
      </c>
      <c r="H8190" s="38" t="n">
        <f aca="false">0</f>
        <v>0</v>
      </c>
      <c r="I8190" s="38" t="n">
        <f aca="false">0</f>
        <v>0</v>
      </c>
      <c r="J8190" s="38" t="n">
        <f aca="false">0</f>
        <v>0</v>
      </c>
      <c r="K8190" s="38" t="n">
        <f aca="false">0</f>
        <v>0</v>
      </c>
      <c r="L8190" s="38" t="n">
        <f aca="false">0</f>
        <v>0</v>
      </c>
      <c r="M8190" s="38" t="n">
        <f aca="false">0</f>
        <v>0</v>
      </c>
      <c r="P8190" s="8" t="s">
        <v>791</v>
      </c>
    </row>
    <row r="8191" customFormat="false" ht="15" hidden="false" customHeight="false" outlineLevel="0" collapsed="false">
      <c r="A8191" s="3" t="s">
        <v>792</v>
      </c>
      <c r="B8191" s="8" t="s">
        <v>86</v>
      </c>
      <c r="C8191" s="38" t="n">
        <f aca="false">Sens!$C$8188-Sens!$C$8189</f>
        <v>36.176</v>
      </c>
      <c r="D8191" s="38" t="n">
        <f aca="false">Sens!$D$8188-Sens!$D$8189</f>
        <v>9.63700000000002</v>
      </c>
      <c r="E8191" s="38" t="n">
        <f aca="false">Sens!$E$8188-Sens!$E$8189</f>
        <v>-25.691</v>
      </c>
      <c r="F8191" s="38" t="n">
        <f aca="false">Sens!$F$8188-Sens!$F$8189</f>
        <v>-40.6834130116072</v>
      </c>
      <c r="G8191" s="38" t="n">
        <f aca="false">Sens!$G$8188-Sens!$G$8189</f>
        <v>-66.3744130116072</v>
      </c>
      <c r="H8191" s="38" t="n">
        <f aca="false">Sens!$H$8188-Sens!$H$8189</f>
        <v>-53.9928646435014</v>
      </c>
      <c r="I8191" s="38" t="n">
        <f aca="false">Sens!$I$8188-Sens!$I$8189</f>
        <v>-15.5451348078424</v>
      </c>
      <c r="J8191" s="38" t="n">
        <f aca="false">Sens!$J$8188-Sens!$J$8189</f>
        <v>24.754490675283</v>
      </c>
      <c r="K8191" s="38" t="n">
        <f aca="false">Sens!$K$8188-Sens!$K$8189</f>
        <v>123.941633563735</v>
      </c>
      <c r="L8191" s="38" t="n">
        <f aca="false">Sens!$L$8188-Sens!$L$8189</f>
        <v>184.658496827199</v>
      </c>
      <c r="M8191" s="38" t="n">
        <f aca="false">Sens!$M$8188-Sens!$M$8189</f>
        <v>215.375997266291</v>
      </c>
    </row>
    <row r="8192" customFormat="false" ht="17.15" hidden="false" customHeight="false" outlineLevel="0" collapsed="false">
      <c r="A8192" s="5" t="s">
        <v>793</v>
      </c>
      <c r="B8192" s="0" t="s">
        <v>86</v>
      </c>
      <c r="E8192" s="38" t="n">
        <f aca="false">Q!$P$53</f>
        <v>39.767</v>
      </c>
      <c r="F8192" s="38" t="n">
        <f aca="false">inv_2h26</f>
        <v>21.3</v>
      </c>
      <c r="G8192" s="38" t="n">
        <f aca="false">Sens!$E$8192+Sens!$F$8192</f>
        <v>61.067</v>
      </c>
      <c r="H8192" s="39" t="n">
        <v>0</v>
      </c>
      <c r="I8192" s="39" t="n">
        <v>0</v>
      </c>
      <c r="J8192" s="39" t="n">
        <v>0</v>
      </c>
      <c r="K8192" s="39" t="n">
        <v>0</v>
      </c>
      <c r="L8192" s="39" t="n">
        <v>0</v>
      </c>
      <c r="M8192" s="39" t="n">
        <v>0</v>
      </c>
    </row>
    <row r="8193" customFormat="false" ht="17.15" hidden="false" customHeight="false" outlineLevel="0" collapsed="false">
      <c r="A8193" s="5" t="s">
        <v>794</v>
      </c>
      <c r="B8193" s="0" t="s">
        <v>86</v>
      </c>
      <c r="F8193" s="38" t="n">
        <f aca="false">iss_2h26</f>
        <v>29.249999</v>
      </c>
      <c r="G8193" s="38" t="n">
        <f aca="false">Sens!$F$8193</f>
        <v>29.249999</v>
      </c>
      <c r="H8193" s="39" t="n">
        <v>0</v>
      </c>
      <c r="I8193" s="39" t="n">
        <v>0</v>
      </c>
      <c r="J8193" s="39" t="n">
        <v>0</v>
      </c>
      <c r="K8193" s="39" t="n">
        <v>0</v>
      </c>
      <c r="L8193" s="39" t="n">
        <v>0</v>
      </c>
      <c r="M8193" s="39" t="n">
        <v>0</v>
      </c>
    </row>
    <row r="8194" customFormat="false" ht="17.15" hidden="false" customHeight="false" outlineLevel="0" collapsed="false">
      <c r="A8194" s="5" t="s">
        <v>795</v>
      </c>
      <c r="B8194" s="0" t="s">
        <v>86</v>
      </c>
      <c r="F8194" s="38" t="n">
        <f aca="false">cash_q2</f>
        <v>122.988</v>
      </c>
      <c r="G8194" s="38" t="n">
        <f aca="false">cash_q2</f>
        <v>122.988</v>
      </c>
      <c r="H8194" s="38" t="n">
        <f aca="false">Sens!$G$8197</f>
        <v>90.2545859883928</v>
      </c>
      <c r="I8194" s="38" t="n">
        <f aca="false">Sens!$H$8197</f>
        <v>50</v>
      </c>
      <c r="J8194" s="38" t="n">
        <f aca="false">Sens!$I$8197</f>
        <v>50</v>
      </c>
      <c r="K8194" s="38" t="n">
        <f aca="false">Sens!$J$8197</f>
        <v>74.7544906752831</v>
      </c>
      <c r="L8194" s="38" t="n">
        <f aca="false">Sens!$K$8197</f>
        <v>198.696124239018</v>
      </c>
      <c r="M8194" s="38" t="n">
        <f aca="false">Sens!$L$8197</f>
        <v>383.354621066217</v>
      </c>
    </row>
    <row r="8195" customFormat="false" ht="15" hidden="false" customHeight="false" outlineLevel="0" collapsed="false">
      <c r="A8195" s="5" t="s">
        <v>796</v>
      </c>
      <c r="B8195" s="0" t="s">
        <v>86</v>
      </c>
      <c r="F8195" s="38" t="n">
        <f aca="false">Sens!$F$8194+Sens!$F$8191-Sens!$F$8190-Sens!$F$8192+Sens!$F$8193</f>
        <v>90.2545859883928</v>
      </c>
      <c r="H8195" s="38" t="n">
        <f aca="false">Sens!$H$8194+Sens!$H$8191-Sens!$H$8190-Sens!$H$8192+Sens!$H$8193</f>
        <v>36.2617213448915</v>
      </c>
      <c r="I8195" s="38" t="n">
        <f aca="false">Sens!$I$8194+Sens!$I$8191-Sens!$I$8190-Sens!$I$8192+Sens!$I$8193</f>
        <v>34.4548651921577</v>
      </c>
      <c r="J8195" s="38" t="n">
        <f aca="false">Sens!$J$8194+Sens!$J$8191-Sens!$J$8190-Sens!$J$8192+Sens!$J$8193</f>
        <v>74.7544906752831</v>
      </c>
      <c r="K8195" s="38" t="n">
        <f aca="false">Sens!$K$8194+Sens!$K$8191-Sens!$K$8190-Sens!$K$8192+Sens!$K$8193</f>
        <v>198.696124239018</v>
      </c>
      <c r="L8195" s="38" t="n">
        <f aca="false">Sens!$L$8194+Sens!$L$8191-Sens!$L$8190-Sens!$L$8192+Sens!$L$8193</f>
        <v>383.354621066217</v>
      </c>
      <c r="M8195" s="38" t="n">
        <f aca="false">Sens!$M$8194+Sens!$M$8191-Sens!$M$8190-Sens!$M$8192+Sens!$M$8193</f>
        <v>598.730618332508</v>
      </c>
    </row>
    <row r="8196" customFormat="false" ht="17.15" hidden="false" customHeight="false" outlineLevel="0" collapsed="false">
      <c r="A8196" s="5" t="s">
        <v>797</v>
      </c>
      <c r="B8196" s="0" t="s">
        <v>86</v>
      </c>
      <c r="F8196" s="38" t="n">
        <f aca="false">MAX(0,min_cash-Sens!$F$8195)</f>
        <v>0</v>
      </c>
      <c r="G8196" s="38" t="n">
        <f aca="false">Sens!$F$8196</f>
        <v>0</v>
      </c>
      <c r="H8196" s="38" t="n">
        <f aca="false">MAX(0,min_cash-Sens!$H$8195)</f>
        <v>13.7382786551085</v>
      </c>
      <c r="I8196" s="38" t="n">
        <f aca="false">MAX(0,min_cash-Sens!$I$8195)</f>
        <v>15.5451348078424</v>
      </c>
      <c r="J8196" s="38" t="n">
        <f aca="false">MAX(0,min_cash-Sens!$J$8195)</f>
        <v>0</v>
      </c>
      <c r="K8196" s="38" t="n">
        <f aca="false">MAX(0,min_cash-Sens!$K$8195)</f>
        <v>0</v>
      </c>
      <c r="L8196" s="38" t="n">
        <f aca="false">MAX(0,min_cash-Sens!$L$8195)</f>
        <v>0</v>
      </c>
      <c r="M8196" s="38" t="n">
        <f aca="false">MAX(0,min_cash-Sens!$M$8195)</f>
        <v>0</v>
      </c>
      <c r="P8196" s="5" t="s">
        <v>798</v>
      </c>
    </row>
    <row r="8197" customFormat="false" ht="15" hidden="false" customHeight="false" outlineLevel="0" collapsed="false">
      <c r="A8197" s="5" t="s">
        <v>799</v>
      </c>
      <c r="B8197" s="0" t="s">
        <v>86</v>
      </c>
      <c r="D8197" s="38" t="n">
        <f aca="false">Q!$E$61</f>
        <v>123.029</v>
      </c>
      <c r="E8197" s="38" t="n">
        <f aca="false">Q!$M$61</f>
        <v>122.988</v>
      </c>
      <c r="F8197" s="38" t="n">
        <f aca="false">Sens!$F$8195+Sens!$F$8196</f>
        <v>90.2545859883928</v>
      </c>
      <c r="G8197" s="38" t="n">
        <f aca="false">Sens!$F$8197</f>
        <v>90.2545859883928</v>
      </c>
      <c r="H8197" s="38" t="n">
        <f aca="false">Sens!$H$8195+Sens!$H$8196</f>
        <v>50</v>
      </c>
      <c r="I8197" s="38" t="n">
        <f aca="false">Sens!$I$8195+Sens!$I$8196</f>
        <v>50</v>
      </c>
      <c r="J8197" s="38" t="n">
        <f aca="false">Sens!$J$8195+Sens!$J$8196</f>
        <v>74.7544906752831</v>
      </c>
      <c r="K8197" s="38" t="n">
        <f aca="false">Sens!$K$8195+Sens!$K$8196</f>
        <v>198.696124239018</v>
      </c>
      <c r="L8197" s="38" t="n">
        <f aca="false">Sens!$L$8195+Sens!$L$8196</f>
        <v>383.354621066217</v>
      </c>
      <c r="M8197" s="38" t="n">
        <f aca="false">Sens!$M$8195+Sens!$M$8196</f>
        <v>598.730618332508</v>
      </c>
    </row>
    <row r="8198" customFormat="false" ht="15" hidden="false" customHeight="false" outlineLevel="0" collapsed="false">
      <c r="A8198" s="5" t="s">
        <v>800</v>
      </c>
      <c r="B8198" s="0" t="s">
        <v>86</v>
      </c>
      <c r="D8198" s="38" t="n">
        <f aca="false">Q!$E$62</f>
        <v>68.836</v>
      </c>
      <c r="E8198" s="38" t="n">
        <f aca="false">Q!$M$62</f>
        <v>132.995</v>
      </c>
      <c r="F8198" s="38" t="n">
        <f aca="false">debt_q2+Sens!$F$8193+Sens!$F$8196</f>
        <v>162.244999</v>
      </c>
      <c r="G8198" s="38" t="n">
        <f aca="false">Sens!$F$8198</f>
        <v>162.244999</v>
      </c>
      <c r="H8198" s="38" t="n">
        <f aca="false">Sens!$G$8198+Sens!$H$8196</f>
        <v>175.983277655109</v>
      </c>
      <c r="I8198" s="38" t="n">
        <f aca="false">Sens!$H$8198+Sens!$I$8196</f>
        <v>191.528412462951</v>
      </c>
      <c r="J8198" s="38" t="n">
        <f aca="false">Sens!$I$8198+Sens!$J$8196</f>
        <v>191.528412462951</v>
      </c>
      <c r="K8198" s="38" t="n">
        <f aca="false">Sens!$J$8198+Sens!$K$8196</f>
        <v>191.528412462951</v>
      </c>
      <c r="L8198" s="38" t="n">
        <f aca="false">Sens!$K$8198+Sens!$L$8196</f>
        <v>191.528412462951</v>
      </c>
      <c r="M8198" s="38" t="n">
        <f aca="false">Sens!$L$8198+Sens!$M$8196</f>
        <v>191.528412462951</v>
      </c>
    </row>
    <row r="8199" customFormat="false" ht="15" hidden="false" customHeight="false" outlineLevel="0" collapsed="false">
      <c r="A8199" s="5" t="s">
        <v>801</v>
      </c>
      <c r="B8199" s="0" t="s">
        <v>86</v>
      </c>
      <c r="D8199" s="38" t="n">
        <f aca="false">Sens!$D$8198-Sens!$D$8197</f>
        <v>-54.193</v>
      </c>
      <c r="E8199" s="38" t="n">
        <f aca="false">Sens!$E$8198-Sens!$E$8197</f>
        <v>10.007</v>
      </c>
      <c r="F8199" s="38" t="n">
        <f aca="false">Sens!$F$8198-Sens!$F$8197</f>
        <v>71.9904130116072</v>
      </c>
      <c r="G8199" s="38" t="n">
        <f aca="false">Sens!$G$8198-Sens!$G$8197</f>
        <v>71.9904130116072</v>
      </c>
      <c r="H8199" s="38" t="n">
        <f aca="false">Sens!$H$8198-Sens!$H$8197</f>
        <v>125.983277655109</v>
      </c>
      <c r="I8199" s="38" t="n">
        <f aca="false">Sens!$I$8198-Sens!$I$8197</f>
        <v>141.528412462951</v>
      </c>
      <c r="J8199" s="38" t="n">
        <f aca="false">Sens!$J$8198-Sens!$J$8197</f>
        <v>116.773921787668</v>
      </c>
      <c r="K8199" s="38" t="n">
        <f aca="false">Sens!$K$8198-Sens!$K$8197</f>
        <v>-7.16771177606697</v>
      </c>
      <c r="L8199" s="38" t="n">
        <f aca="false">Sens!$L$8198-Sens!$L$8197</f>
        <v>-191.826208603266</v>
      </c>
      <c r="M8199" s="38" t="n">
        <f aca="false">Sens!$M$8198-Sens!$M$8197</f>
        <v>-407.202205869557</v>
      </c>
    </row>
    <row r="8200" customFormat="false" ht="17.15" hidden="false" customHeight="false" outlineLevel="0" collapsed="false">
      <c r="A8200" s="5" t="s">
        <v>802</v>
      </c>
      <c r="B8200" s="0" t="s">
        <v>86</v>
      </c>
      <c r="F8200" s="38" t="n">
        <f aca="false">debt_q2*kd_book*0.5+iss_2h26*kd_new*iss_t</f>
        <v>3.24888962733561</v>
      </c>
      <c r="H8200" s="38" t="n">
        <f aca="false">debt_q2*kd_book+(Sens!$G$8198-debt_q2)*kd_new</f>
        <v>7.42354172302123</v>
      </c>
      <c r="I8200" s="38" t="n">
        <f aca="false">debt_q2*kd_book+(Sens!$H$8198-debt_q2)*kd_new</f>
        <v>8.2931747618896</v>
      </c>
      <c r="J8200" s="38" t="n">
        <f aca="false">debt_q2*kd_book+(Sens!$I$8198-debt_q2)*kd_new</f>
        <v>9.27718179522602</v>
      </c>
      <c r="K8200" s="38" t="n">
        <f aca="false">debt_q2*kd_book+(Sens!$J$8198-debt_q2)*kd_new</f>
        <v>9.27718179522602</v>
      </c>
      <c r="L8200" s="38" t="n">
        <f aca="false">debt_q2*kd_book+(Sens!$K$8198-debt_q2)*kd_new</f>
        <v>9.27718179522602</v>
      </c>
      <c r="M8200" s="38" t="n">
        <f aca="false">debt_q2*kd_book+(Sens!$L$8198-debt_q2)*kd_new</f>
        <v>9.27718179522602</v>
      </c>
    </row>
    <row r="8201" customFormat="false" ht="17.15" hidden="false" customHeight="false" outlineLevel="0" collapsed="false">
      <c r="A8201" s="5" t="s">
        <v>803</v>
      </c>
      <c r="B8201" s="0" t="s">
        <v>86</v>
      </c>
      <c r="F8201" s="38" t="n">
        <f aca="false">cash_q2*y_cash*0.5</f>
        <v>2.59</v>
      </c>
      <c r="H8201" s="38" t="n">
        <f aca="false">Sens!$G$8197*y_cash</f>
        <v>3.80133635330174</v>
      </c>
      <c r="I8201" s="38" t="n">
        <f aca="false">Sens!$H$8197*y_cash</f>
        <v>2.10589651022864</v>
      </c>
      <c r="J8201" s="38" t="n">
        <f aca="false">Sens!$I$8197*y_cash</f>
        <v>2.10589651022864</v>
      </c>
      <c r="K8201" s="38" t="n">
        <f aca="false">Sens!$J$8197*y_cash</f>
        <v>3.14850442073996</v>
      </c>
      <c r="L8201" s="38" t="n">
        <f aca="false">Sens!$K$8197*y_cash</f>
        <v>8.36866949261808</v>
      </c>
      <c r="M8201" s="38" t="n">
        <f aca="false">Sens!$L$8197*y_cash</f>
        <v>16.1461031736674</v>
      </c>
    </row>
    <row r="8202" customFormat="false" ht="17.15" hidden="false" customHeight="false" outlineLevel="0" collapsed="false">
      <c r="A8202" s="47" t="s">
        <v>804</v>
      </c>
      <c r="B8202" s="14" t="s">
        <v>86</v>
      </c>
      <c r="C8202" s="14"/>
      <c r="D8202" s="14"/>
      <c r="E8202" s="14"/>
      <c r="F8202" s="14"/>
      <c r="G8202" s="48" t="n">
        <f aca="false">SUM(Sens!$G$8191:$K$8191)</f>
        <v>12.783711776067</v>
      </c>
      <c r="H8202" s="14"/>
      <c r="I8202" s="14"/>
      <c r="J8202" s="14"/>
      <c r="K8202" s="14"/>
      <c r="L8202" s="14"/>
      <c r="M8202" s="14"/>
      <c r="N8202" s="14"/>
      <c r="O8202" s="14"/>
    </row>
    <row r="8203" customFormat="false" ht="17.15" hidden="false" customHeight="false" outlineLevel="0" collapsed="false">
      <c r="A8203" s="0" t="s">
        <v>770</v>
      </c>
      <c r="B8203" s="0" t="s">
        <v>86</v>
      </c>
      <c r="G8203" s="38" t="n">
        <f aca="false">SUM(Sens!$G$8196:$K$8196)</f>
        <v>29.2834134629509</v>
      </c>
    </row>
    <row r="8204" customFormat="false" ht="17.15" hidden="false" customHeight="false" outlineLevel="0" collapsed="false">
      <c r="A8204" s="24" t="s">
        <v>807</v>
      </c>
      <c r="B8204" s="25" t="s">
        <v>86</v>
      </c>
      <c r="C8204" s="25"/>
      <c r="D8204" s="25"/>
      <c r="E8204" s="25"/>
      <c r="F8204" s="25"/>
      <c r="G8204" s="41" t="n">
        <f aca="false">Sens!$G$8202-(Sens!$G$8191+Sens!$H$8191+Sens!$I$8191+Sens!$J$8191+Sens!$K$8191)</f>
        <v>0</v>
      </c>
      <c r="H8204" s="25"/>
      <c r="I8204" s="25"/>
      <c r="J8204" s="25"/>
      <c r="K8204" s="25"/>
      <c r="L8204" s="25"/>
      <c r="M8204" s="25"/>
      <c r="N8204" s="25"/>
      <c r="O8204" s="25"/>
    </row>
    <row r="8207" customFormat="false" ht="19.4" hidden="false" customHeight="false" outlineLevel="0" collapsed="false">
      <c r="A8207" s="31" t="s">
        <v>1296</v>
      </c>
    </row>
    <row r="8208" customFormat="false" ht="17.15" hidden="false" customHeight="false" outlineLevel="0" collapsed="false">
      <c r="A8208" s="6" t="s">
        <v>16</v>
      </c>
      <c r="B8208" s="6" t="s">
        <v>17</v>
      </c>
      <c r="C8208" s="20" t="s">
        <v>494</v>
      </c>
      <c r="D8208" s="20" t="s">
        <v>495</v>
      </c>
      <c r="E8208" s="20" t="s">
        <v>577</v>
      </c>
      <c r="F8208" s="20" t="s">
        <v>578</v>
      </c>
      <c r="G8208" s="20" t="s">
        <v>579</v>
      </c>
      <c r="H8208" s="20" t="s">
        <v>580</v>
      </c>
      <c r="I8208" s="20" t="s">
        <v>581</v>
      </c>
      <c r="J8208" s="20" t="s">
        <v>582</v>
      </c>
      <c r="K8208" s="20" t="s">
        <v>583</v>
      </c>
      <c r="L8208" s="20" t="s">
        <v>584</v>
      </c>
      <c r="M8208" s="20" t="s">
        <v>585</v>
      </c>
      <c r="N8208" s="20" t="s">
        <v>586</v>
      </c>
      <c r="O8208" s="20" t="s">
        <v>587</v>
      </c>
      <c r="P8208" s="6" t="s">
        <v>23</v>
      </c>
      <c r="R8208" s="20" t="n">
        <v>2023</v>
      </c>
      <c r="S8208" s="20" t="n">
        <v>2024</v>
      </c>
      <c r="T8208" s="20" t="n">
        <v>2025</v>
      </c>
      <c r="U8208" s="20" t="n">
        <v>2026</v>
      </c>
      <c r="V8208" s="20" t="n">
        <v>2027</v>
      </c>
      <c r="W8208" s="20" t="n">
        <v>2028</v>
      </c>
      <c r="X8208" s="20" t="n">
        <v>2029</v>
      </c>
      <c r="Y8208" s="20" t="n">
        <v>2030</v>
      </c>
      <c r="Z8208" s="20" t="n">
        <v>2031</v>
      </c>
      <c r="AA8208" s="20" t="n">
        <v>2032</v>
      </c>
    </row>
    <row r="8209" customFormat="false" ht="17.15" hidden="false" customHeight="false" outlineLevel="0" collapsed="false">
      <c r="A8209" s="1" t="s">
        <v>909</v>
      </c>
    </row>
    <row r="8210" customFormat="false" ht="17.15" hidden="false" customHeight="false" outlineLevel="0" collapsed="false">
      <c r="A8210" s="0" t="s">
        <v>910</v>
      </c>
      <c r="B8210" s="0" t="s">
        <v>86</v>
      </c>
      <c r="H8210" s="38" t="n">
        <f aca="false">Sens!$H$8144*(1-tax)</f>
        <v>117.433243423729</v>
      </c>
      <c r="I8210" s="38" t="n">
        <f aca="false">Sens!$I$8144*(1-tax)</f>
        <v>142.829109667048</v>
      </c>
      <c r="J8210" s="38" t="n">
        <f aca="false">Sens!$J$8144*(1-tax)</f>
        <v>166.999275189185</v>
      </c>
      <c r="K8210" s="38" t="n">
        <f aca="false">Sens!$K$8144*(1-tax)</f>
        <v>184.011832349418</v>
      </c>
      <c r="L8210" s="38" t="n">
        <f aca="false">Sens!$L$8144*(1-tax)</f>
        <v>199.132616100332</v>
      </c>
      <c r="M8210" s="38" t="n">
        <f aca="false">Sens!$M$8144*(1-tax)</f>
        <v>211.446331061647</v>
      </c>
    </row>
    <row r="8211" customFormat="false" ht="15" hidden="false" customHeight="false" outlineLevel="0" collapsed="false">
      <c r="A8211" s="5" t="s">
        <v>911</v>
      </c>
      <c r="B8211" s="0" t="s">
        <v>86</v>
      </c>
      <c r="H8211" s="38" t="n">
        <f aca="false">Sens!$H$8155</f>
        <v>84.3163410985152</v>
      </c>
      <c r="I8211" s="38" t="n">
        <f aca="false">Sens!$I$8155</f>
        <v>117.040344991004</v>
      </c>
      <c r="J8211" s="38" t="n">
        <f aca="false">Sens!$J$8155</f>
        <v>150.498981474685</v>
      </c>
      <c r="K8211" s="38" t="n">
        <f aca="false">Sens!$K$8155</f>
        <v>184.188121970284</v>
      </c>
      <c r="L8211" s="38" t="n">
        <f aca="false">Sens!$L$8155</f>
        <v>207.378648477454</v>
      </c>
      <c r="M8211" s="38" t="n">
        <f aca="false">Sens!$M$8155</f>
        <v>222.833725897691</v>
      </c>
    </row>
    <row r="8212" customFormat="false" ht="15" hidden="false" customHeight="false" outlineLevel="0" collapsed="false">
      <c r="A8212" s="5" t="s">
        <v>912</v>
      </c>
      <c r="B8212" s="0" t="s">
        <v>86</v>
      </c>
      <c r="H8212" s="38" t="n">
        <f aca="false">Sens!$H$8186</f>
        <v>273.372679834898</v>
      </c>
      <c r="I8212" s="38" t="n">
        <f aca="false">Sens!$I$8186</f>
        <v>286.981812228425</v>
      </c>
      <c r="J8212" s="38" t="n">
        <f aca="false">Sens!$J$8186</f>
        <v>299.316513378366</v>
      </c>
      <c r="K8212" s="38" t="n">
        <f aca="false">Sens!$K$8186</f>
        <v>248.27918920067</v>
      </c>
      <c r="L8212" s="38" t="n">
        <f aca="false">Sens!$L$8186</f>
        <v>229.140418237151</v>
      </c>
      <c r="M8212" s="38" t="n">
        <f aca="false">Sens!$M$8186</f>
        <v>233.957827108485</v>
      </c>
    </row>
    <row r="8213" customFormat="false" ht="15" hidden="false" customHeight="false" outlineLevel="0" collapsed="false">
      <c r="A8213" s="5" t="s">
        <v>913</v>
      </c>
      <c r="B8213" s="0" t="s">
        <v>86</v>
      </c>
      <c r="H8213" s="38" t="n">
        <f aca="false">Sens!$H$8187</f>
        <v>1.6</v>
      </c>
      <c r="I8213" s="38" t="n">
        <f aca="false">Sens!$I$8187</f>
        <v>1.6</v>
      </c>
      <c r="J8213" s="38" t="n">
        <f aca="false">Sens!$J$8187</f>
        <v>1.6</v>
      </c>
      <c r="K8213" s="38" t="n">
        <f aca="false">Sens!$K$8187</f>
        <v>1.6</v>
      </c>
      <c r="L8213" s="38" t="n">
        <f aca="false">Sens!$L$8187</f>
        <v>1.6</v>
      </c>
      <c r="M8213" s="38" t="n">
        <f aca="false">Sens!$M$8187</f>
        <v>1.6</v>
      </c>
    </row>
    <row r="8214" customFormat="false" ht="15" hidden="false" customHeight="false" outlineLevel="0" collapsed="false">
      <c r="A8214" s="5" t="s">
        <v>914</v>
      </c>
      <c r="B8214" s="0" t="s">
        <v>86</v>
      </c>
      <c r="H8214" s="38" t="n">
        <f aca="false">Sens!$H$8181</f>
        <v>11.2928295263397</v>
      </c>
      <c r="I8214" s="38" t="n">
        <f aca="false">Sens!$I$8181</f>
        <v>12.8091546115766</v>
      </c>
      <c r="J8214" s="38" t="n">
        <f aca="false">Sens!$J$8181</f>
        <v>14.2605653162668</v>
      </c>
      <c r="K8214" s="38" t="n">
        <f aca="false">Sens!$K$8181</f>
        <v>15.5293346306567</v>
      </c>
      <c r="L8214" s="38" t="n">
        <f aca="false">Sens!$L$8181</f>
        <v>16.7069448805781</v>
      </c>
      <c r="M8214" s="38" t="n">
        <f aca="false">Sens!$M$8181</f>
        <v>17.7976949013636</v>
      </c>
    </row>
    <row r="8215" customFormat="false" ht="17.15" hidden="false" customHeight="false" outlineLevel="0" collapsed="false">
      <c r="A8215" s="1" t="s">
        <v>915</v>
      </c>
      <c r="B8215" s="8" t="s">
        <v>86</v>
      </c>
      <c r="H8215" s="38" t="n">
        <f aca="false">Sens!$H$8210+Sens!$H$8211-Sens!$H$8212-Sens!$H$8213+Sens!$H$8214</f>
        <v>-61.930265786314</v>
      </c>
      <c r="I8215" s="38" t="n">
        <f aca="false">Sens!$I$8210+Sens!$I$8211-Sens!$I$8212-Sens!$I$8213+Sens!$I$8214</f>
        <v>-15.9032029587969</v>
      </c>
      <c r="J8215" s="38" t="n">
        <f aca="false">Sens!$J$8210+Sens!$J$8211-Sens!$J$8212-Sens!$J$8213+Sens!$J$8214</f>
        <v>30.8423086017711</v>
      </c>
      <c r="K8215" s="38" t="n">
        <f aca="false">Sens!$K$8210+Sens!$K$8211-Sens!$K$8212-Sens!$K$8213+Sens!$K$8214</f>
        <v>133.850099749689</v>
      </c>
      <c r="L8215" s="38" t="n">
        <f aca="false">Sens!$L$8210+Sens!$L$8211-Sens!$L$8212-Sens!$L$8213+Sens!$L$8214</f>
        <v>192.477791221214</v>
      </c>
      <c r="M8215" s="38" t="n">
        <f aca="false">Sens!$M$8210+Sens!$M$8211-Sens!$M$8212-Sens!$M$8213+Sens!$M$8214</f>
        <v>216.519924752217</v>
      </c>
    </row>
    <row r="8216" customFormat="false" ht="15" hidden="false" customHeight="false" outlineLevel="0" collapsed="false">
      <c r="A8216" s="5" t="s">
        <v>916</v>
      </c>
      <c r="B8216" s="0" t="s">
        <v>57</v>
      </c>
      <c r="H8216" s="40" t="n">
        <f aca="false">1/(1+(wacc-0.01))^(2027-2026-0.5)</f>
        <v>0.952036717208703</v>
      </c>
      <c r="I8216" s="40" t="n">
        <f aca="false">1/(1+(wacc-0.01))^(2028-2026-0.5)</f>
        <v>0.862901242709724</v>
      </c>
      <c r="J8216" s="40" t="n">
        <f aca="false">1/(1+(wacc-0.01))^(2029-2026-0.5)</f>
        <v>0.782111174086951</v>
      </c>
      <c r="K8216" s="40" t="n">
        <f aca="false">1/(1+(wacc-0.01))^(2030-2026-0.5)</f>
        <v>0.708885163626357</v>
      </c>
      <c r="L8216" s="40" t="n">
        <f aca="false">1/(1+(wacc-0.01))^(2031-2026-0.5)</f>
        <v>0.642515018144594</v>
      </c>
      <c r="M8216" s="40" t="n">
        <f aca="false">1/(1+(wacc-0.01))^(2032-2026-0.5)</f>
        <v>0.582358849816389</v>
      </c>
    </row>
    <row r="8217" customFormat="false" ht="15" hidden="false" customHeight="false" outlineLevel="0" collapsed="false">
      <c r="A8217" s="5" t="s">
        <v>917</v>
      </c>
      <c r="B8217" s="0" t="s">
        <v>86</v>
      </c>
      <c r="H8217" s="38" t="n">
        <f aca="false">Sens!$H$8215*Sens!$H$8216</f>
        <v>-58.9598869350648</v>
      </c>
      <c r="I8217" s="38" t="n">
        <f aca="false">Sens!$I$8215*Sens!$I$8216</f>
        <v>-13.7228935962108</v>
      </c>
      <c r="J8217" s="38" t="n">
        <f aca="false">Sens!$J$8215*Sens!$J$8216</f>
        <v>24.1221141920833</v>
      </c>
      <c r="K8217" s="38" t="n">
        <f aca="false">Sens!$K$8215*Sens!$K$8216</f>
        <v>94.8843498624623</v>
      </c>
      <c r="L8217" s="38" t="n">
        <f aca="false">Sens!$L$8215*Sens!$L$8216</f>
        <v>123.66987151893</v>
      </c>
      <c r="M8217" s="38" t="n">
        <f aca="false">Sens!$M$8215*Sens!$M$8216</f>
        <v>126.092294341032</v>
      </c>
    </row>
    <row r="8218" customFormat="false" ht="15" hidden="false" customHeight="false" outlineLevel="0" collapsed="false">
      <c r="A8218" s="5" t="s">
        <v>918</v>
      </c>
      <c r="B8218" s="0" t="s">
        <v>86</v>
      </c>
      <c r="C8218" s="38" t="n">
        <f aca="false">SUM(Sens!$H$8217:$M$8217)</f>
        <v>296.085849383232</v>
      </c>
    </row>
    <row r="8219" customFormat="false" ht="17.15" hidden="false" customHeight="false" outlineLevel="0" collapsed="false">
      <c r="A8219" s="5" t="s">
        <v>919</v>
      </c>
      <c r="B8219" s="0" t="s">
        <v>86</v>
      </c>
      <c r="C8219" s="38" t="n">
        <f aca="false">Sens!$M$8210*(1+tg_lo)*(1-tg_lo/ronic)/((wacc-0.01)-tg_lo)</f>
        <v>2132.15305585338</v>
      </c>
    </row>
    <row r="8220" customFormat="false" ht="15" hidden="false" customHeight="false" outlineLevel="0" collapsed="false">
      <c r="A8220" s="5" t="s">
        <v>920</v>
      </c>
      <c r="B8220" s="0" t="s">
        <v>86</v>
      </c>
      <c r="C8220" s="38" t="n">
        <f aca="false">Sens!$C$8219/(1+(wacc-0.01))^6</f>
        <v>1182.12323853745</v>
      </c>
    </row>
    <row r="8221" customFormat="false" ht="17.15" hidden="false" customHeight="false" outlineLevel="0" collapsed="false">
      <c r="A8221" s="5" t="s">
        <v>921</v>
      </c>
      <c r="B8221" s="0" t="s">
        <v>86</v>
      </c>
      <c r="C8221" s="38" t="n">
        <f aca="false">Sens!$C$8218+Sens!$C$8220</f>
        <v>1478.20908792068</v>
      </c>
    </row>
    <row r="8222" customFormat="false" ht="17.15" hidden="false" customHeight="false" outlineLevel="0" collapsed="false">
      <c r="A8222" s="5" t="s">
        <v>922</v>
      </c>
      <c r="B8222" s="0" t="s">
        <v>52</v>
      </c>
      <c r="C8222" s="13" t="n">
        <f aca="false">Sens!$C$8220/Sens!$C$8221</f>
        <v>0.799699615025557</v>
      </c>
    </row>
    <row r="8223" customFormat="false" ht="17.15" hidden="false" customHeight="false" outlineLevel="0" collapsed="false">
      <c r="A8223" s="5" t="s">
        <v>923</v>
      </c>
      <c r="B8223" s="0" t="s">
        <v>86</v>
      </c>
      <c r="C8223" s="38" t="n">
        <f aca="false">Sens!$G$8199+fin_debt</f>
        <v>96.5114130116072</v>
      </c>
    </row>
    <row r="8224" customFormat="false" ht="17.15" hidden="false" customHeight="false" outlineLevel="0" collapsed="false">
      <c r="A8224" s="5" t="s">
        <v>924</v>
      </c>
      <c r="B8224" s="0" t="s">
        <v>86</v>
      </c>
      <c r="C8224" s="38" t="n">
        <f aca="false">(ant_val*ant_sh+oai_val*oai_sh)*(1-liq_disc)</f>
        <v>178.944</v>
      </c>
    </row>
    <row r="8225" customFormat="false" ht="15" hidden="false" customHeight="false" outlineLevel="0" collapsed="false">
      <c r="A8225" s="5" t="s">
        <v>925</v>
      </c>
      <c r="B8225" s="0" t="s">
        <v>86</v>
      </c>
      <c r="C8225" s="38" t="n">
        <f aca="false">Sens!$C$8221-Sens!$C$8223+Sens!$C$8224</f>
        <v>1560.64167490907</v>
      </c>
    </row>
    <row r="8226" customFormat="false" ht="17.15" hidden="false" customHeight="false" outlineLevel="0" collapsed="false">
      <c r="A8226" s="5" t="s">
        <v>926</v>
      </c>
      <c r="B8226" s="0" t="s">
        <v>27</v>
      </c>
      <c r="C8226" s="30" t="n">
        <f aca="false">Sens!$C$8225/sh_out</f>
        <v>144.687209635198</v>
      </c>
    </row>
    <row r="8227" customFormat="false" ht="17.15" hidden="false" customHeight="false" outlineLevel="0" collapsed="false">
      <c r="A8227" s="1" t="s">
        <v>927</v>
      </c>
      <c r="B8227" s="8" t="s">
        <v>27</v>
      </c>
      <c r="C8227" s="30" t="n">
        <f aca="false">Sens!$C$8226*(1+ke)^tp_yf-dps*tp_yf</f>
        <v>158.48586191774</v>
      </c>
    </row>
    <row r="8228" customFormat="false" ht="17.15" hidden="false" customHeight="false" outlineLevel="0" collapsed="false">
      <c r="A8228" s="3" t="s">
        <v>928</v>
      </c>
    </row>
    <row r="8229" customFormat="false" ht="17.15" hidden="false" customHeight="false" outlineLevel="0" collapsed="false">
      <c r="A8229" s="5" t="s">
        <v>929</v>
      </c>
      <c r="B8229" s="0" t="s">
        <v>86</v>
      </c>
      <c r="C8229" s="38" t="n">
        <f aca="false">(1-tp_yf)*(Sens!$H$8156+Sens!$H$8180*Sens!$H$8022/Sens!$H$8097)+tp_yf*(Sens!$I$8156+Sens!$I$8180*Sens!$I$8022/Sens!$I$8097)</f>
        <v>59.634664536349</v>
      </c>
    </row>
    <row r="8230" customFormat="false" ht="15" hidden="false" customHeight="false" outlineLevel="0" collapsed="false">
      <c r="A8230" s="5" t="s">
        <v>930</v>
      </c>
      <c r="B8230" s="0" t="s">
        <v>57</v>
      </c>
      <c r="C8230" s="30" t="n">
        <f aca="false">m_ads*m_x</f>
        <v>9.11</v>
      </c>
    </row>
    <row r="8231" customFormat="false" ht="17.15" hidden="false" customHeight="false" outlineLevel="0" collapsed="false">
      <c r="A8231" s="5" t="s">
        <v>931</v>
      </c>
      <c r="B8231" s="0" t="s">
        <v>86</v>
      </c>
      <c r="C8231" s="38" t="n">
        <f aca="false">Sens!$C$8229*Sens!$C$8230</f>
        <v>543.271793926139</v>
      </c>
    </row>
    <row r="8232" customFormat="false" ht="17.15" hidden="false" customHeight="false" outlineLevel="0" collapsed="false">
      <c r="A8232" s="5" t="s">
        <v>932</v>
      </c>
      <c r="B8232" s="0" t="s">
        <v>86</v>
      </c>
      <c r="C8232" s="38" t="n">
        <f aca="false">(1-tp_yf)*(Sens!$H$8157+Sens!$H$8180*(Sens!$H$8029-Sens!$H$8022)/Sens!$H$8097+IF(internal_ai_reading=2,1,0)*(1-ext_sh)*Sens!$H$8059)+tp_yf*(Sens!$I$8157+Sens!$I$8180*(Sens!$I$8029-Sens!$I$8022)/Sens!$I$8097+IF(internal_ai_reading=2,1,0)*(1-ext_sh)*Sens!$I$8059)</f>
        <v>51.7770728324773</v>
      </c>
    </row>
    <row r="8233" customFormat="false" ht="17.15" hidden="false" customHeight="false" outlineLevel="0" collapsed="false">
      <c r="A8233" s="5" t="s">
        <v>933</v>
      </c>
      <c r="B8233" s="0" t="s">
        <v>57</v>
      </c>
      <c r="C8233" s="30" t="n">
        <f aca="false">m_retail*m_x</f>
        <v>17.72</v>
      </c>
    </row>
    <row r="8234" customFormat="false" ht="17.15" hidden="false" customHeight="false" outlineLevel="0" collapsed="false">
      <c r="A8234" s="5" t="s">
        <v>934</v>
      </c>
      <c r="B8234" s="0" t="s">
        <v>86</v>
      </c>
      <c r="C8234" s="38" t="n">
        <f aca="false">Sens!$C$8232*Sens!$C$8233</f>
        <v>917.489730591498</v>
      </c>
    </row>
    <row r="8235" customFormat="false" ht="17.15" hidden="false" customHeight="false" outlineLevel="0" collapsed="false">
      <c r="A8235" s="0" t="s">
        <v>935</v>
      </c>
      <c r="B8235" s="0" t="s">
        <v>86</v>
      </c>
      <c r="C8235" s="38" t="n">
        <f aca="false">(1-tp_yf)*(Sens!$H$8158+Sens!$H$8180*Sens!$H$8095/Sens!$H$8097)+tp_yf*(Sens!$I$8158+Sens!$I$8180*Sens!$I$8095/Sens!$I$8097)</f>
        <v>97.3363031479074</v>
      </c>
    </row>
    <row r="8236" customFormat="false" ht="17.15" hidden="false" customHeight="false" outlineLevel="0" collapsed="false">
      <c r="A8236" s="0" t="s">
        <v>936</v>
      </c>
      <c r="B8236" s="0" t="s">
        <v>57</v>
      </c>
      <c r="C8236" s="30" t="n">
        <f aca="false">m_cloud*m_x</f>
        <v>13.82</v>
      </c>
    </row>
    <row r="8237" customFormat="false" ht="17.15" hidden="false" customHeight="false" outlineLevel="0" collapsed="false">
      <c r="A8237" s="0" t="s">
        <v>937</v>
      </c>
      <c r="B8237" s="0" t="s">
        <v>86</v>
      </c>
      <c r="C8237" s="38" t="n">
        <f aca="false">Sens!$C$8235*Sens!$C$8236</f>
        <v>1345.18770950408</v>
      </c>
    </row>
    <row r="8238" customFormat="false" ht="17.15" hidden="false" customHeight="false" outlineLevel="0" collapsed="false">
      <c r="A8238" s="0" t="s">
        <v>938</v>
      </c>
      <c r="B8238" s="0" t="s">
        <v>86</v>
      </c>
      <c r="H8238" s="38" t="n">
        <f aca="false">Sens!$H$8076-tax*Sens!$H$8077-ext_sh*Sens!$H$8066</f>
        <v>-114.686944664267</v>
      </c>
      <c r="I8238" s="38" t="n">
        <f aca="false">Sens!$I$8076-tax*Sens!$I$8077-ext_sh*Sens!$I$8066</f>
        <v>-88.3950641557111</v>
      </c>
      <c r="J8238" s="38" t="n">
        <f aca="false">Sens!$J$8076-tax*Sens!$J$8077-ext_sh*Sens!$J$8066</f>
        <v>-61.1526151740695</v>
      </c>
      <c r="K8238" s="38" t="n">
        <f aca="false">Sens!$K$8076-tax*Sens!$K$8077-ext_sh*Sens!$K$8066</f>
        <v>12.0907188158706</v>
      </c>
      <c r="L8238" s="38" t="n">
        <f aca="false">Sens!$L$8076-tax*Sens!$L$8077-ext_sh*Sens!$L$8066</f>
        <v>50.296803352258</v>
      </c>
      <c r="M8238" s="38" t="n">
        <f aca="false">Sens!$M$8076-tax*Sens!$M$8077-ext_sh*Sens!$M$8066</f>
        <v>60.2059276321968</v>
      </c>
    </row>
    <row r="8239" customFormat="false" ht="17.15" hidden="false" customHeight="false" outlineLevel="0" collapsed="false">
      <c r="A8239" s="5" t="s">
        <v>939</v>
      </c>
      <c r="B8239" s="0" t="s">
        <v>86</v>
      </c>
      <c r="H8239" s="38" t="n">
        <f aca="false">Sens!$H$8238*Sens!$H$8216</f>
        <v>-109.186182304865</v>
      </c>
      <c r="I8239" s="38" t="n">
        <f aca="false">Sens!$I$8238*Sens!$I$8216</f>
        <v>-76.2762107093688</v>
      </c>
      <c r="J8239" s="38" t="n">
        <f aca="false">Sens!$J$8238*Sens!$J$8216</f>
        <v>-47.828143652279</v>
      </c>
      <c r="K8239" s="38" t="n">
        <f aca="false">Sens!$K$8238*Sens!$K$8216</f>
        <v>8.57093118614873</v>
      </c>
      <c r="L8239" s="38" t="n">
        <f aca="false">Sens!$L$8238*Sens!$L$8216</f>
        <v>32.3164515184911</v>
      </c>
      <c r="M8239" s="38" t="n">
        <f aca="false">Sens!$M$8238*Sens!$M$8216</f>
        <v>35.0614547680149</v>
      </c>
    </row>
    <row r="8240" customFormat="false" ht="17.15" hidden="false" customHeight="false" outlineLevel="0" collapsed="false">
      <c r="A8240" s="5" t="s">
        <v>940</v>
      </c>
      <c r="B8240" s="0" t="s">
        <v>86</v>
      </c>
      <c r="C8240" s="38" t="n">
        <f aca="false">Sens!$M$8077*(1-tax)*(1+tg_lo)*(1-tg_lo/ronic)/((wacc-0.01)-tg_lo)</f>
        <v>394.078940235817</v>
      </c>
    </row>
    <row r="8241" customFormat="false" ht="17.15" hidden="false" customHeight="false" outlineLevel="0" collapsed="false">
      <c r="A8241" s="0" t="s">
        <v>941</v>
      </c>
      <c r="B8241" s="0" t="s">
        <v>86</v>
      </c>
      <c r="C8241" s="38" t="n">
        <f aca="false">(SUM(Sens!$H$8239:$M$8239)+Sens!$C$8240/(1+(wacc-0.01))^6)*(1+(wacc-0.01))^tp_yf</f>
        <v>66.2918369814206</v>
      </c>
    </row>
    <row r="8242" customFormat="false" ht="17.15" hidden="false" customHeight="false" outlineLevel="0" collapsed="false">
      <c r="A8242" s="5" t="s">
        <v>942</v>
      </c>
      <c r="B8242" s="0" t="s">
        <v>86</v>
      </c>
      <c r="C8242" s="38" t="n">
        <f aca="false">(1-tp_yf)*(Sens!$H$8159)+tp_yf*(Sens!$I$8159)</f>
        <v>74.6707041238437</v>
      </c>
    </row>
    <row r="8243" customFormat="false" ht="17.15" hidden="false" customHeight="false" outlineLevel="0" collapsed="false">
      <c r="A8243" s="5" t="s">
        <v>943</v>
      </c>
      <c r="B8243" s="0" t="s">
        <v>86</v>
      </c>
      <c r="C8243" s="38" t="n">
        <f aca="false">Sens!$C$8242*m_ai</f>
        <v>448.024224743062</v>
      </c>
    </row>
    <row r="8244" customFormat="false" ht="17.15" hidden="false" customHeight="false" outlineLevel="0" collapsed="false">
      <c r="A8244" s="0" t="s">
        <v>944</v>
      </c>
      <c r="B8244" s="0" t="s">
        <v>86</v>
      </c>
      <c r="C8244" s="38" t="n">
        <f aca="false">IF(ai_leg=1,Sens!$C$8241,Sens!$C$8243)</f>
        <v>66.2918369814206</v>
      </c>
    </row>
    <row r="8245" customFormat="false" ht="17.15" hidden="false" customHeight="false" outlineLevel="0" collapsed="false">
      <c r="A8245" s="5" t="s">
        <v>945</v>
      </c>
      <c r="B8245" s="0" t="s">
        <v>86</v>
      </c>
      <c r="C8245" s="38" t="n">
        <f aca="false">Sens!$C$8231+Sens!$C$8234+Sens!$C$8237+Sens!$C$8244</f>
        <v>2872.24107100314</v>
      </c>
    </row>
    <row r="8246" customFormat="false" ht="17.15" hidden="false" customHeight="false" outlineLevel="0" collapsed="false">
      <c r="A8246" s="5" t="s">
        <v>946</v>
      </c>
      <c r="B8246" s="0" t="s">
        <v>86</v>
      </c>
      <c r="C8246" s="38" t="n">
        <f aca="false">Sens!$H$8199+fin_debt</f>
        <v>150.504277655109</v>
      </c>
    </row>
    <row r="8247" customFormat="false" ht="15" hidden="false" customHeight="false" outlineLevel="0" collapsed="false">
      <c r="A8247" s="5" t="s">
        <v>947</v>
      </c>
      <c r="B8247" s="0" t="s">
        <v>86</v>
      </c>
      <c r="C8247" s="38" t="n">
        <f aca="false">Sens!$C$8245-Sens!$C$8246+Sens!$C$8224</f>
        <v>2900.68079334803</v>
      </c>
    </row>
    <row r="8248" customFormat="false" ht="15" hidden="false" customHeight="false" outlineLevel="0" collapsed="false">
      <c r="A8248" s="3" t="s">
        <v>948</v>
      </c>
      <c r="B8248" s="8" t="s">
        <v>27</v>
      </c>
      <c r="C8248" s="30" t="n">
        <f aca="false">Sens!$C$8247/sh_val</f>
        <v>262.973546659508</v>
      </c>
    </row>
    <row r="8249" customFormat="false" ht="17.15" hidden="false" customHeight="false" outlineLevel="0" collapsed="false">
      <c r="A8249" s="47" t="s">
        <v>949</v>
      </c>
      <c r="B8249" s="14" t="s">
        <v>27</v>
      </c>
      <c r="C8249" s="44" t="n">
        <f aca="false">w_dcf*Sens!$C$8227+(1-w_dcf)*Sens!$C$8248</f>
        <v>210.729704288624</v>
      </c>
      <c r="D8249" s="14"/>
      <c r="E8249" s="14"/>
      <c r="F8249" s="14"/>
      <c r="G8249" s="14"/>
      <c r="H8249" s="14"/>
      <c r="I8249" s="14"/>
      <c r="J8249" s="14"/>
      <c r="K8249" s="14"/>
      <c r="L8249" s="14"/>
      <c r="M8249" s="14"/>
      <c r="N8249" s="14"/>
      <c r="O8249" s="14"/>
    </row>
    <row r="8250" customFormat="false" ht="17.15" hidden="false" customHeight="false" outlineLevel="0" collapsed="false">
      <c r="A8250" s="5" t="s">
        <v>950</v>
      </c>
      <c r="B8250" s="0" t="s">
        <v>27</v>
      </c>
      <c r="C8250" s="30" t="n">
        <f aca="false">v022_wdcf*Sens!$C$8227+(1-v022_wdcf)*Sens!$C$8248</f>
        <v>215.954088525713</v>
      </c>
    </row>
    <row r="8251" customFormat="false" ht="17.15" hidden="false" customHeight="false" outlineLevel="0" collapsed="false">
      <c r="A8251" s="5" t="s">
        <v>951</v>
      </c>
      <c r="B8251" s="0" t="s">
        <v>27</v>
      </c>
      <c r="C8251" s="30" t="n">
        <f aca="false">(Sens!$C$8247-Sens!$C$8244+Sens!$C$8243)/sh_val</f>
        <v>297.581118824874</v>
      </c>
    </row>
    <row r="8254" customFormat="false" ht="19.4" hidden="false" customHeight="false" outlineLevel="0" collapsed="false">
      <c r="A8254" s="31" t="s">
        <v>1297</v>
      </c>
    </row>
    <row r="8255" customFormat="false" ht="17.15" hidden="false" customHeight="false" outlineLevel="0" collapsed="false">
      <c r="A8255" s="6" t="s">
        <v>16</v>
      </c>
      <c r="B8255" s="6" t="s">
        <v>17</v>
      </c>
      <c r="C8255" s="20" t="s">
        <v>494</v>
      </c>
      <c r="D8255" s="20" t="s">
        <v>495</v>
      </c>
      <c r="E8255" s="20" t="s">
        <v>577</v>
      </c>
      <c r="F8255" s="20" t="s">
        <v>578</v>
      </c>
      <c r="G8255" s="20" t="s">
        <v>579</v>
      </c>
      <c r="H8255" s="20" t="s">
        <v>580</v>
      </c>
      <c r="I8255" s="20" t="s">
        <v>581</v>
      </c>
      <c r="J8255" s="20" t="s">
        <v>582</v>
      </c>
      <c r="K8255" s="20" t="s">
        <v>583</v>
      </c>
      <c r="L8255" s="20" t="s">
        <v>584</v>
      </c>
      <c r="M8255" s="20" t="s">
        <v>585</v>
      </c>
      <c r="N8255" s="20" t="s">
        <v>586</v>
      </c>
      <c r="O8255" s="20" t="s">
        <v>587</v>
      </c>
      <c r="P8255" s="6" t="s">
        <v>23</v>
      </c>
      <c r="R8255" s="20" t="n">
        <v>2023</v>
      </c>
      <c r="S8255" s="20" t="n">
        <v>2024</v>
      </c>
      <c r="T8255" s="20" t="n">
        <v>2025</v>
      </c>
      <c r="U8255" s="20" t="n">
        <v>2026</v>
      </c>
      <c r="V8255" s="20" t="n">
        <v>2027</v>
      </c>
      <c r="W8255" s="20" t="n">
        <v>2028</v>
      </c>
      <c r="X8255" s="20" t="n">
        <v>2029</v>
      </c>
      <c r="Y8255" s="20" t="n">
        <v>2030</v>
      </c>
      <c r="Z8255" s="20" t="n">
        <v>2031</v>
      </c>
      <c r="AA8255" s="20" t="n">
        <v>2032</v>
      </c>
    </row>
    <row r="8256" customFormat="false" ht="17.15" hidden="false" customHeight="false" outlineLevel="0" collapsed="false">
      <c r="A8256" s="1" t="s">
        <v>660</v>
      </c>
    </row>
    <row r="8257" customFormat="false" ht="17.15" hidden="false" customHeight="false" outlineLevel="0" collapsed="false">
      <c r="A8257" s="0" t="s">
        <v>516</v>
      </c>
      <c r="B8257" s="0" t="s">
        <v>86</v>
      </c>
      <c r="C8257" s="38" t="n">
        <f aca="false">Q!$D$10</f>
        <v>247.029</v>
      </c>
      <c r="D8257" s="38" t="n">
        <f aca="false">Q!$E$10</f>
        <v>269.287</v>
      </c>
      <c r="E8257" s="38" t="n">
        <f aca="false">Q!$P$10</f>
        <v>134.686</v>
      </c>
      <c r="F8257" s="38" t="n">
        <f aca="false">Sens!$O$8257*(1+Sens!$F$8258)*Sens!$F$8269</f>
        <v>158.293876822267</v>
      </c>
      <c r="G8257" s="38" t="n">
        <f aca="false">Sens!$E$8257+Sens!$F$8257</f>
        <v>292.979876822267</v>
      </c>
      <c r="H8257" s="38" t="n">
        <f aca="false">Sens!$G$8257*(1+Sens!$H$8258)</f>
        <v>318.184543087396</v>
      </c>
      <c r="I8257" s="38" t="n">
        <f aca="false">Sens!$H$8257*(1+Sens!$I$8258)</f>
        <v>341.736278761793</v>
      </c>
      <c r="J8257" s="38" t="n">
        <f aca="false">Sens!$I$8257*(1+Sens!$J$8258)</f>
        <v>362.927192787048</v>
      </c>
      <c r="K8257" s="38" t="n">
        <f aca="false">Sens!$J$8257*(1+Sens!$K$8258)</f>
        <v>381.0735524264</v>
      </c>
      <c r="L8257" s="38" t="n">
        <f aca="false">Sens!$K$8257*(1+Sens!$L$8258)</f>
        <v>400.12723004772</v>
      </c>
      <c r="M8257" s="38" t="n">
        <f aca="false">Sens!$L$8257*(1+Sens!$M$8258)</f>
        <v>420.133591550106</v>
      </c>
      <c r="N8257" s="38" t="n">
        <f aca="false">Q!$N$10</f>
        <v>118.892</v>
      </c>
      <c r="O8257" s="38" t="n">
        <f aca="false">Q!$O$10</f>
        <v>150.395</v>
      </c>
      <c r="P8257" s="8" t="s">
        <v>661</v>
      </c>
    </row>
    <row r="8258" customFormat="false" ht="17.15" hidden="false" customHeight="false" outlineLevel="0" collapsed="false">
      <c r="A8258" s="0" t="s">
        <v>662</v>
      </c>
      <c r="B8258" s="0" t="s">
        <v>52</v>
      </c>
      <c r="E8258" s="13" t="n">
        <f aca="false">Sens!$E$8257/Sens!$N$8257-1</f>
        <v>0.132843252699929</v>
      </c>
      <c r="F8258" s="13" t="n">
        <f aca="false">Sens!$O$8257/(Q!$F$10+Q!$G$10)-1</f>
        <v>0.0980382135842941</v>
      </c>
      <c r="G8258" s="13" t="n">
        <f aca="false">Sens!$G$8257/Sens!$D$8257-1</f>
        <v>0.0879837378791657</v>
      </c>
      <c r="H8258" s="13" t="n">
        <f aca="false">Sens!$F$8258+(g_os-Sens!$F$8258)*1/4</f>
        <v>0.0860286601882206</v>
      </c>
      <c r="I8258" s="13" t="n">
        <f aca="false">Sens!$F$8258+(g_os-Sens!$F$8258)*2/4</f>
        <v>0.074019106792147</v>
      </c>
      <c r="J8258" s="13" t="n">
        <f aca="false">Sens!$F$8258+(g_os-Sens!$F$8258)*3/4</f>
        <v>0.0620095533960735</v>
      </c>
      <c r="K8258" s="13" t="n">
        <f aca="false">Sens!$F$8258+(g_os-Sens!$F$8258)*4/4</f>
        <v>0.05</v>
      </c>
      <c r="L8258" s="13" t="n">
        <f aca="false">g_os</f>
        <v>0.05</v>
      </c>
      <c r="M8258" s="13" t="n">
        <f aca="false">g_os</f>
        <v>0.05</v>
      </c>
      <c r="P8258" s="8" t="s">
        <v>663</v>
      </c>
    </row>
    <row r="8259" customFormat="false" ht="17.15" hidden="false" customHeight="false" outlineLevel="0" collapsed="false">
      <c r="A8259" s="0" t="s">
        <v>517</v>
      </c>
      <c r="B8259" s="0" t="s">
        <v>86</v>
      </c>
      <c r="C8259" s="38" t="n">
        <f aca="false">Q!$D$11</f>
        <v>21.215</v>
      </c>
      <c r="D8259" s="38" t="n">
        <f aca="false">Q!$E$11</f>
        <v>22.561</v>
      </c>
      <c r="E8259" s="38" t="n">
        <f aca="false">Q!$P$11</f>
        <v>11.579</v>
      </c>
      <c r="F8259" s="38" t="n">
        <f aca="false">Sens!$O$8259*(1+Sens!$F$8260)*Sens!$F$8269</f>
        <v>11.5938724610325</v>
      </c>
      <c r="G8259" s="38" t="n">
        <f aca="false">Sens!$E$8259+Sens!$F$8259</f>
        <v>23.1728724610325</v>
      </c>
      <c r="H8259" s="38" t="n">
        <f aca="false">Sens!$G$8259*(1+Sens!$H$8260)</f>
        <v>24.353392759506</v>
      </c>
      <c r="I8259" s="38" t="n">
        <f aca="false">Sens!$H$8259*(1+Sens!$I$8260)</f>
        <v>25.4240338872015</v>
      </c>
      <c r="J8259" s="38" t="n">
        <f aca="false">Sens!$I$8259*(1+Sens!$J$8260)</f>
        <v>26.3642491017174</v>
      </c>
      <c r="K8259" s="38" t="n">
        <f aca="false">Sens!$J$8259*(1+Sens!$K$8260)</f>
        <v>27.155176574769</v>
      </c>
      <c r="L8259" s="38" t="n">
        <f aca="false">Sens!$K$8259*(1+Sens!$L$8260)</f>
        <v>27.969831872012</v>
      </c>
      <c r="M8259" s="38" t="n">
        <f aca="false">Sens!$L$8259*(1+Sens!$M$8260)</f>
        <v>28.8089268281724</v>
      </c>
      <c r="N8259" s="38" t="n">
        <f aca="false">Q!$N$11</f>
        <v>11.128</v>
      </c>
      <c r="O8259" s="38" t="n">
        <f aca="false">Q!$O$11</f>
        <v>11.433</v>
      </c>
      <c r="P8259" s="8" t="s">
        <v>661</v>
      </c>
    </row>
    <row r="8260" customFormat="false" ht="17.15" hidden="false" customHeight="false" outlineLevel="0" collapsed="false">
      <c r="A8260" s="0" t="s">
        <v>664</v>
      </c>
      <c r="B8260" s="0" t="s">
        <v>52</v>
      </c>
      <c r="E8260" s="13" t="n">
        <f aca="false">Sens!$E$8259/Sens!$N$8259-1</f>
        <v>0.0405283968368082</v>
      </c>
      <c r="F8260" s="13" t="n">
        <f aca="false">Sens!$O$8259/(Q!$F$11+Q!$G$11)-1</f>
        <v>0.0579254187100955</v>
      </c>
      <c r="G8260" s="13" t="n">
        <f aca="false">Sens!$G$8259/Sens!$D$8259-1</f>
        <v>0.0271208040881397</v>
      </c>
      <c r="H8260" s="13" t="n">
        <f aca="false">Sens!$F$8260+(g_ps-Sens!$F$8260)*1/4</f>
        <v>0.0509440640325716</v>
      </c>
      <c r="I8260" s="13" t="n">
        <f aca="false">Sens!$F$8260+(g_ps-Sens!$F$8260)*2/4</f>
        <v>0.0439627093550477</v>
      </c>
      <c r="J8260" s="13" t="n">
        <f aca="false">Sens!$F$8260+(g_ps-Sens!$F$8260)*3/4</f>
        <v>0.0369813546775239</v>
      </c>
      <c r="K8260" s="13" t="n">
        <f aca="false">Sens!$F$8260+(g_ps-Sens!$F$8260)*4/4</f>
        <v>0.03</v>
      </c>
      <c r="L8260" s="13" t="n">
        <f aca="false">g_ps</f>
        <v>0.03</v>
      </c>
      <c r="M8260" s="13" t="n">
        <f aca="false">g_ps</f>
        <v>0.03</v>
      </c>
      <c r="P8260" s="8" t="s">
        <v>665</v>
      </c>
    </row>
    <row r="8261" customFormat="false" ht="17.15" hidden="false" customHeight="false" outlineLevel="0" collapsed="false">
      <c r="A8261" s="0" t="s">
        <v>518</v>
      </c>
      <c r="B8261" s="0" t="s">
        <v>86</v>
      </c>
      <c r="C8261" s="38" t="n">
        <f aca="false">Q!$D$12</f>
        <v>156.146</v>
      </c>
      <c r="D8261" s="38" t="n">
        <f aca="false">Q!$E$12</f>
        <v>172.162</v>
      </c>
      <c r="E8261" s="38" t="n">
        <f aca="false">Q!$P$12</f>
        <v>88.358</v>
      </c>
      <c r="F8261" s="38" t="n">
        <f aca="false">Sens!$O$8261*(1+Sens!$F$8262)*Sens!$F$8269</f>
        <v>102.004388260171</v>
      </c>
      <c r="G8261" s="38" t="n">
        <f aca="false">Sens!$E$8261+Sens!$F$8261</f>
        <v>190.362388260171</v>
      </c>
      <c r="H8261" s="38" t="n">
        <f aca="false">Sens!$G$8261*(1+Sens!$H$8262)</f>
        <v>210.343106588311</v>
      </c>
      <c r="I8261" s="38" t="n">
        <f aca="false">Sens!$H$8261*(1+Sens!$I$8262)</f>
        <v>229.969728494648</v>
      </c>
      <c r="J8261" s="38" t="n">
        <f aca="false">Sens!$I$8261*(1+Sens!$J$8262)</f>
        <v>248.747636972598</v>
      </c>
      <c r="K8261" s="38" t="n">
        <f aca="false">Sens!$J$8261*(1+Sens!$K$8262)</f>
        <v>266.15997156068</v>
      </c>
      <c r="L8261" s="38" t="n">
        <f aca="false">Sens!$K$8261*(1+Sens!$L$8262)</f>
        <v>284.791169569927</v>
      </c>
      <c r="M8261" s="38" t="n">
        <f aca="false">Sens!$L$8261*(1+Sens!$M$8262)</f>
        <v>304.726551439822</v>
      </c>
      <c r="N8261" s="38" t="n">
        <f aca="false">Q!$N$12</f>
        <v>76.86</v>
      </c>
      <c r="O8261" s="38" t="n">
        <f aca="false">Q!$O$12</f>
        <v>95.302</v>
      </c>
      <c r="P8261" s="8" t="s">
        <v>661</v>
      </c>
    </row>
    <row r="8262" customFormat="false" ht="17.15" hidden="false" customHeight="false" outlineLevel="0" collapsed="false">
      <c r="A8262" s="0" t="s">
        <v>666</v>
      </c>
      <c r="B8262" s="0" t="s">
        <v>52</v>
      </c>
      <c r="E8262" s="13" t="n">
        <f aca="false">Sens!$E$8261/Sens!$N$8261-1</f>
        <v>0.1495966692688</v>
      </c>
      <c r="F8262" s="13" t="n">
        <f aca="false">Sens!$O$8261/(Q!$F$12+Q!$G$12)-1</f>
        <v>0.11661530890813</v>
      </c>
      <c r="G8262" s="13" t="n">
        <f aca="false">Sens!$G$8261/Sens!$D$8261-1</f>
        <v>0.105716640490767</v>
      </c>
      <c r="H8262" s="13" t="n">
        <f aca="false">Sens!$F$8262+(g_sp-Sens!$F$8262)*1/4</f>
        <v>0.104961481681098</v>
      </c>
      <c r="I8262" s="13" t="n">
        <f aca="false">Sens!$F$8262+(g_sp-Sens!$F$8262)*2/4</f>
        <v>0.0933076544540651</v>
      </c>
      <c r="J8262" s="13" t="n">
        <f aca="false">Sens!$F$8262+(g_sp-Sens!$F$8262)*3/4</f>
        <v>0.0816538272270325</v>
      </c>
      <c r="K8262" s="13" t="n">
        <f aca="false">Sens!$F$8262+(g_sp-Sens!$F$8262)*4/4</f>
        <v>0.07</v>
      </c>
      <c r="L8262" s="13" t="n">
        <f aca="false">g_sp</f>
        <v>0.07</v>
      </c>
      <c r="M8262" s="13" t="n">
        <f aca="false">g_sp</f>
        <v>0.07</v>
      </c>
      <c r="P8262" s="8" t="s">
        <v>667</v>
      </c>
    </row>
    <row r="8263" customFormat="false" ht="17.15" hidden="false" customHeight="false" outlineLevel="0" collapsed="false">
      <c r="A8263" s="0" t="s">
        <v>519</v>
      </c>
      <c r="B8263" s="0" t="s">
        <v>86</v>
      </c>
      <c r="C8263" s="38" t="n">
        <f aca="false">Q!$D$13</f>
        <v>56.214</v>
      </c>
      <c r="D8263" s="38" t="n">
        <f aca="false">Q!$E$13</f>
        <v>68.635</v>
      </c>
      <c r="E8263" s="38" t="n">
        <f aca="false">Q!$P$13</f>
        <v>37.052</v>
      </c>
      <c r="F8263" s="38" t="n">
        <f aca="false">Sens!$O$8263*(1+Sens!$F$8264)*Sens!$F$8269</f>
        <v>46.1572219944148</v>
      </c>
      <c r="G8263" s="38" t="n">
        <f aca="false">Sens!$E$8263+Sens!$F$8263</f>
        <v>83.2092219944148</v>
      </c>
      <c r="H8263" s="38" t="n">
        <f aca="false">Sens!$G$8263*(1+Sens!$H$8264)</f>
        <v>99.8969223878976</v>
      </c>
      <c r="I8263" s="38" t="n">
        <f aca="false">Sens!$H$8263*(1+Sens!$I$8264)</f>
        <v>116.583111095496</v>
      </c>
      <c r="J8263" s="38" t="n">
        <f aca="false">Sens!$I$8263*(1+Sens!$J$8264)</f>
        <v>132.148941941952</v>
      </c>
      <c r="K8263" s="38" t="n">
        <f aca="false">Sens!$J$8263*(1+Sens!$K$8264)</f>
        <v>145.363836136147</v>
      </c>
      <c r="L8263" s="38" t="n">
        <f aca="false">Sens!$K$8263*(1+Sens!$L$8264)</f>
        <v>159.900219749762</v>
      </c>
      <c r="M8263" s="38" t="n">
        <f aca="false">Sens!$L$8263*(1+Sens!$M$8264)</f>
        <v>175.890241724738</v>
      </c>
      <c r="N8263" s="38" t="n">
        <f aca="false">Q!$N$13</f>
        <v>29.615</v>
      </c>
      <c r="O8263" s="38" t="n">
        <f aca="false">Q!$O$13</f>
        <v>39.02</v>
      </c>
      <c r="P8263" s="8" t="s">
        <v>661</v>
      </c>
    </row>
    <row r="8264" customFormat="false" ht="17.15" hidden="false" customHeight="false" outlineLevel="0" collapsed="false">
      <c r="A8264" s="0" t="s">
        <v>668</v>
      </c>
      <c r="B8264" s="0" t="s">
        <v>52</v>
      </c>
      <c r="E8264" s="13" t="n">
        <f aca="false">Sens!$E$8263/Sens!$N$8263-1</f>
        <v>0.25112274185379</v>
      </c>
      <c r="F8264" s="13" t="n">
        <f aca="false">Sens!$O$8263/(Q!$F$13+Q!$G$13)-1</f>
        <v>0.234068123596572</v>
      </c>
      <c r="G8264" s="13" t="n">
        <f aca="false">Sens!$G$8263/Sens!$D$8263-1</f>
        <v>0.212343876949294</v>
      </c>
      <c r="H8264" s="13" t="n">
        <f aca="false">Sens!$F$8264+(g_ad-Sens!$F$8264)*1/4</f>
        <v>0.200551092697429</v>
      </c>
      <c r="I8264" s="13" t="n">
        <f aca="false">Sens!$F$8264+(g_ad-Sens!$F$8264)*2/4</f>
        <v>0.167034061798286</v>
      </c>
      <c r="J8264" s="13" t="n">
        <f aca="false">Sens!$F$8264+(g_ad-Sens!$F$8264)*3/4</f>
        <v>0.133517030899143</v>
      </c>
      <c r="K8264" s="13" t="n">
        <f aca="false">Sens!$F$8264+(g_ad-Sens!$F$8264)*4/4</f>
        <v>0.1</v>
      </c>
      <c r="L8264" s="13" t="n">
        <f aca="false">g_ad</f>
        <v>0.1</v>
      </c>
      <c r="M8264" s="13" t="n">
        <f aca="false">g_ad</f>
        <v>0.1</v>
      </c>
      <c r="P8264" s="8" t="s">
        <v>669</v>
      </c>
    </row>
    <row r="8265" customFormat="false" ht="17.15" hidden="false" customHeight="false" outlineLevel="0" collapsed="false">
      <c r="A8265" s="0" t="s">
        <v>520</v>
      </c>
      <c r="B8265" s="0" t="s">
        <v>86</v>
      </c>
      <c r="C8265" s="38" t="n">
        <f aca="false">Q!$D$14</f>
        <v>44.374</v>
      </c>
      <c r="D8265" s="38" t="n">
        <f aca="false">Q!$E$14</f>
        <v>49.619</v>
      </c>
      <c r="E8265" s="38" t="n">
        <f aca="false">Q!$P$14</f>
        <v>27.157</v>
      </c>
      <c r="F8265" s="38" t="n">
        <f aca="false">Sens!$O$8265*(1+Sens!$F$8266)*Sens!$F$8269</f>
        <v>27.7764165988154</v>
      </c>
      <c r="G8265" s="38" t="n">
        <f aca="false">Sens!$E$8265+Sens!$F$8265</f>
        <v>54.9334165988154</v>
      </c>
      <c r="H8265" s="38" t="n">
        <f aca="false">Sens!$G$8265*(1+Sens!$H$8266)</f>
        <v>61.1564112561829</v>
      </c>
      <c r="I8265" s="38" t="n">
        <f aca="false">Sens!$H$8265*(1+Sens!$I$8266)</f>
        <v>67.2020282103945</v>
      </c>
      <c r="J8265" s="38" t="n">
        <f aca="false">Sens!$I$8265*(1+Sens!$J$8266)</f>
        <v>72.8757274028885</v>
      </c>
      <c r="K8265" s="38" t="n">
        <f aca="false">Sens!$J$8265*(1+Sens!$K$8266)</f>
        <v>77.9770283210907</v>
      </c>
      <c r="L8265" s="38" t="n">
        <f aca="false">Sens!$K$8265*(1+Sens!$L$8266)</f>
        <v>83.4354203035671</v>
      </c>
      <c r="M8265" s="38" t="n">
        <f aca="false">Sens!$L$8265*(1+Sens!$M$8266)</f>
        <v>89.2758997248168</v>
      </c>
      <c r="N8265" s="38" t="n">
        <f aca="false">Q!$N$14</f>
        <v>23.923</v>
      </c>
      <c r="O8265" s="38" t="n">
        <f aca="false">Q!$O$14</f>
        <v>25.696</v>
      </c>
      <c r="P8265" s="8" t="s">
        <v>661</v>
      </c>
    </row>
    <row r="8266" customFormat="false" ht="17.15" hidden="false" customHeight="false" outlineLevel="0" collapsed="false">
      <c r="A8266" s="0" t="s">
        <v>670</v>
      </c>
      <c r="B8266" s="0" t="s">
        <v>52</v>
      </c>
      <c r="E8266" s="13" t="n">
        <f aca="false">Sens!$E$8265/Sens!$N$8265-1</f>
        <v>0.135183714417088</v>
      </c>
      <c r="F8266" s="13" t="n">
        <f aca="false">Sens!$O$8265/(Q!$F$14+Q!$G$14)-1</f>
        <v>0.127709997366804</v>
      </c>
      <c r="G8266" s="13" t="n">
        <f aca="false">Sens!$G$8265/Sens!$D$8265-1</f>
        <v>0.107104468022641</v>
      </c>
      <c r="H8266" s="13" t="n">
        <f aca="false">Sens!$F$8266+(g_sub-Sens!$F$8266)*1/4</f>
        <v>0.113282498025103</v>
      </c>
      <c r="I8266" s="13" t="n">
        <f aca="false">Sens!$F$8266+(g_sub-Sens!$F$8266)*2/4</f>
        <v>0.0988549986834021</v>
      </c>
      <c r="J8266" s="13" t="n">
        <f aca="false">Sens!$F$8266+(g_sub-Sens!$F$8266)*3/4</f>
        <v>0.084427499341701</v>
      </c>
      <c r="K8266" s="13" t="n">
        <f aca="false">Sens!$F$8266+(g_sub-Sens!$F$8266)*4/4</f>
        <v>0.07</v>
      </c>
      <c r="L8266" s="13" t="n">
        <f aca="false">g_sub</f>
        <v>0.07</v>
      </c>
      <c r="M8266" s="13" t="n">
        <f aca="false">g_sub</f>
        <v>0.07</v>
      </c>
      <c r="P8266" s="8" t="s">
        <v>671</v>
      </c>
    </row>
    <row r="8267" customFormat="false" ht="17.15" hidden="false" customHeight="false" outlineLevel="0" collapsed="false">
      <c r="A8267" s="0" t="s">
        <v>521</v>
      </c>
      <c r="B8267" s="0" t="s">
        <v>86</v>
      </c>
      <c r="C8267" s="38" t="n">
        <f aca="false">Q!$D$15</f>
        <v>5.425</v>
      </c>
      <c r="D8267" s="38" t="n">
        <f aca="false">Q!$E$15</f>
        <v>5.935</v>
      </c>
      <c r="E8267" s="38" t="n">
        <f aca="false">Q!$P$15</f>
        <v>3.474</v>
      </c>
      <c r="F8267" s="38" t="n">
        <f aca="false">Sens!$O$8267*(1+Sens!$F$8268)*Sens!$F$8269</f>
        <v>3.22246550883619</v>
      </c>
      <c r="G8267" s="38" t="n">
        <f aca="false">Sens!$E$8267+Sens!$F$8267</f>
        <v>6.69646550883619</v>
      </c>
      <c r="H8267" s="38" t="n">
        <f aca="false">Sens!$G$8267*(1+Sens!$H$8268)</f>
        <v>7.16251344209196</v>
      </c>
      <c r="I8267" s="38" t="n">
        <f aca="false">Sens!$H$8267*(1+Sens!$I$8268)</f>
        <v>7.61421070299826</v>
      </c>
      <c r="J8267" s="38" t="n">
        <f aca="false">Sens!$I$8267*(1+Sens!$J$8268)</f>
        <v>8.04465753523932</v>
      </c>
      <c r="K8267" s="38" t="n">
        <f aca="false">Sens!$J$8267*(1+Sens!$K$8268)</f>
        <v>8.44689041200128</v>
      </c>
      <c r="L8267" s="38" t="n">
        <f aca="false">Sens!$K$8267*(1+Sens!$L$8268)</f>
        <v>8.86923493260135</v>
      </c>
      <c r="M8267" s="38" t="n">
        <f aca="false">Sens!$L$8267*(1+Sens!$M$8268)</f>
        <v>9.31269667923142</v>
      </c>
      <c r="N8267" s="38" t="n">
        <f aca="false">Q!$N$15</f>
        <v>2.811</v>
      </c>
      <c r="O8267" s="38" t="n">
        <f aca="false">Q!$O$15</f>
        <v>3.124</v>
      </c>
      <c r="P8267" s="8" t="s">
        <v>661</v>
      </c>
    </row>
    <row r="8268" customFormat="false" ht="17.15" hidden="false" customHeight="false" outlineLevel="0" collapsed="false">
      <c r="A8268" s="0" t="s">
        <v>672</v>
      </c>
      <c r="B8268" s="0" t="s">
        <v>52</v>
      </c>
      <c r="E8268" s="13" t="n">
        <f aca="false">Sens!$E$8267/Sens!$N$8267-1</f>
        <v>0.235859124866596</v>
      </c>
      <c r="F8268" s="13" t="n">
        <f aca="false">Sens!$O$8267/(Q!$F$15+Q!$G$15)-1</f>
        <v>0.0761281433000345</v>
      </c>
      <c r="G8268" s="13" t="n">
        <f aca="false">Sens!$G$8267/Sens!$D$8267-1</f>
        <v>0.128300843948811</v>
      </c>
      <c r="H8268" s="13" t="n">
        <f aca="false">Sens!$F$8268+(g_ot-Sens!$F$8268)*1/4</f>
        <v>0.0695961074750259</v>
      </c>
      <c r="I8268" s="13" t="n">
        <f aca="false">Sens!$F$8268+(g_ot-Sens!$F$8268)*2/4</f>
        <v>0.0630640716500172</v>
      </c>
      <c r="J8268" s="13" t="n">
        <f aca="false">Sens!$F$8268+(g_ot-Sens!$F$8268)*3/4</f>
        <v>0.0565320358250086</v>
      </c>
      <c r="K8268" s="13" t="n">
        <f aca="false">Sens!$F$8268+(g_ot-Sens!$F$8268)*4/4</f>
        <v>0.05</v>
      </c>
      <c r="L8268" s="13" t="n">
        <f aca="false">g_ot</f>
        <v>0.05</v>
      </c>
      <c r="M8268" s="13" t="n">
        <f aca="false">g_ot</f>
        <v>0.05</v>
      </c>
      <c r="P8268" s="8" t="s">
        <v>673</v>
      </c>
    </row>
    <row r="8269" customFormat="false" ht="17.15" hidden="false" customHeight="false" outlineLevel="0" collapsed="false">
      <c r="A8269" s="0" t="s">
        <v>674</v>
      </c>
      <c r="B8269" s="0" t="s">
        <v>57</v>
      </c>
      <c r="F8269" s="40" t="n">
        <f aca="false">(g26q3_mid*Q!$O$8/Q!$J$8-Sens!$F$8298-Sens!$F$8302)/(Sens!$O$8257*(1+Sens!$F$8258)+Sens!$O$8259*(1+Sens!$F$8260)+Sens!$O$8261*(1+Sens!$F$8262)+Sens!$O$8263*(1+Sens!$F$8264)+Sens!$O$8265*(1+Sens!$F$8266)+Sens!$O$8267*(1+Sens!$F$8268))</f>
        <v>0.958546670622329</v>
      </c>
      <c r="P8269" s="8" t="s">
        <v>675</v>
      </c>
    </row>
    <row r="8270" customFormat="false" ht="17.15" hidden="false" customHeight="false" outlineLevel="0" collapsed="false">
      <c r="A8270" s="3" t="s">
        <v>676</v>
      </c>
      <c r="B8270" s="8" t="s">
        <v>86</v>
      </c>
      <c r="C8270" s="38" t="n">
        <f aca="false">Sens!$C$8257+Sens!$C$8259+Sens!$C$8261+Sens!$C$8263+Sens!$C$8265+Sens!$C$8267</f>
        <v>530.403</v>
      </c>
      <c r="D8270" s="38" t="n">
        <f aca="false">Sens!$D$8257+Sens!$D$8259+Sens!$D$8261+Sens!$D$8263+Sens!$D$8265+Sens!$D$8267</f>
        <v>588.199</v>
      </c>
      <c r="E8270" s="38" t="n">
        <f aca="false">Sens!$E$8257+Sens!$E$8259+Sens!$E$8261+Sens!$E$8263+Sens!$E$8265+Sens!$E$8267</f>
        <v>302.306</v>
      </c>
      <c r="F8270" s="38" t="n">
        <f aca="false">Sens!$F$8257+Sens!$F$8259+Sens!$F$8261+Sens!$F$8263+Sens!$F$8265+Sens!$F$8267</f>
        <v>349.048241645537</v>
      </c>
      <c r="G8270" s="38" t="n">
        <f aca="false">Sens!$G$8257+Sens!$G$8259+Sens!$G$8261+Sens!$G$8263+Sens!$G$8265+Sens!$G$8267</f>
        <v>651.354241645537</v>
      </c>
      <c r="H8270" s="38" t="n">
        <f aca="false">Sens!$H$8257+Sens!$H$8259+Sens!$H$8261+Sens!$H$8263+Sens!$H$8265+Sens!$H$8267</f>
        <v>721.096889521386</v>
      </c>
      <c r="I8270" s="38" t="n">
        <f aca="false">Sens!$I$8257+Sens!$I$8259+Sens!$I$8261+Sens!$I$8263+Sens!$I$8265+Sens!$I$8267</f>
        <v>788.529391152531</v>
      </c>
      <c r="J8270" s="38" t="n">
        <f aca="false">Sens!$J$8257+Sens!$J$8259+Sens!$J$8261+Sens!$J$8263+Sens!$J$8265+Sens!$J$8267</f>
        <v>851.108405741443</v>
      </c>
      <c r="K8270" s="38" t="n">
        <f aca="false">Sens!$K$8257+Sens!$K$8259+Sens!$K$8261+Sens!$K$8263+Sens!$K$8265+Sens!$K$8267</f>
        <v>906.176455431088</v>
      </c>
      <c r="L8270" s="38" t="n">
        <f aca="false">Sens!$L$8257+Sens!$L$8259+Sens!$L$8261+Sens!$L$8263+Sens!$L$8265+Sens!$L$8267</f>
        <v>965.093106475589</v>
      </c>
      <c r="M8270" s="38" t="n">
        <f aca="false">Sens!$M$8257+Sens!$M$8259+Sens!$M$8261+Sens!$M$8263+Sens!$M$8265+Sens!$M$8267</f>
        <v>1028.14790794689</v>
      </c>
      <c r="N8270" s="38" t="n">
        <f aca="false">Sens!$N$8257+Sens!$N$8259+Sens!$N$8261+Sens!$N$8263+Sens!$N$8265+Sens!$N$8267</f>
        <v>263.229</v>
      </c>
      <c r="O8270" s="38" t="n">
        <f aca="false">Sens!$O$8257+Sens!$O$8259+Sens!$O$8261+Sens!$O$8263+Sens!$O$8265+Sens!$O$8267</f>
        <v>324.97</v>
      </c>
    </row>
    <row r="8271" customFormat="false" ht="17.15" hidden="false" customHeight="false" outlineLevel="0" collapsed="false">
      <c r="A8271" s="5" t="s">
        <v>677</v>
      </c>
      <c r="B8271" s="0" t="s">
        <v>52</v>
      </c>
      <c r="C8271" s="13" t="n">
        <f aca="false">Q!$D$5/(Q!$D$5+Q!$D$6)</f>
        <v>0.730570905519011</v>
      </c>
      <c r="D8271" s="13" t="n">
        <f aca="false">Q!$E$5/(Q!$E$5+Q!$E$6)</f>
        <v>0.724763217890544</v>
      </c>
      <c r="E8271" s="13" t="n">
        <f aca="false">Q!$P$5/(Q!$P$5+Q!$P$6)</f>
        <v>0.728797972914861</v>
      </c>
      <c r="F8271" s="13" t="n">
        <f aca="false">Sens!$O$8271</f>
        <v>0.718066283041511</v>
      </c>
      <c r="G8271" s="13" t="n">
        <f aca="false">Sens!$G$8272/Sens!$G$8270</f>
        <v>0.723047066202847</v>
      </c>
      <c r="H8271" s="13" t="n">
        <f aca="false">Sens!$G$8271</f>
        <v>0.723047066202847</v>
      </c>
      <c r="I8271" s="13" t="n">
        <f aca="false">Sens!$G$8271</f>
        <v>0.723047066202847</v>
      </c>
      <c r="J8271" s="13" t="n">
        <f aca="false">Sens!$G$8271</f>
        <v>0.723047066202847</v>
      </c>
      <c r="K8271" s="13" t="n">
        <f aca="false">Sens!$G$8271</f>
        <v>0.723047066202847</v>
      </c>
      <c r="L8271" s="13" t="n">
        <f aca="false">Sens!$G$8271</f>
        <v>0.723047066202847</v>
      </c>
      <c r="M8271" s="13" t="n">
        <f aca="false">Sens!$G$8271</f>
        <v>0.723047066202847</v>
      </c>
      <c r="N8271" s="13" t="n">
        <f aca="false">Q!$N$5/(Q!$N$5+Q!$N$6)</f>
        <v>0.733030935041352</v>
      </c>
      <c r="O8271" s="13" t="n">
        <f aca="false">Q!$O$5/(Q!$O$5+Q!$O$6)</f>
        <v>0.718066283041511</v>
      </c>
      <c r="P8271" s="8" t="s">
        <v>678</v>
      </c>
    </row>
    <row r="8272" customFormat="false" ht="17.15" hidden="false" customHeight="false" outlineLevel="0" collapsed="false">
      <c r="A8272" s="1" t="s">
        <v>509</v>
      </c>
      <c r="B8272" s="8" t="s">
        <v>86</v>
      </c>
      <c r="C8272" s="38" t="n">
        <f aca="false">Q!$D$5</f>
        <v>387.497</v>
      </c>
      <c r="D8272" s="38" t="n">
        <f aca="false">Q!$E$5</f>
        <v>426.305</v>
      </c>
      <c r="E8272" s="38" t="n">
        <f aca="false">Q!$P$5</f>
        <v>220.32</v>
      </c>
      <c r="F8272" s="38" t="n">
        <f aca="false">Sens!$F$8270*Sens!$F$8271</f>
        <v>250.639773480586</v>
      </c>
      <c r="G8272" s="38" t="n">
        <f aca="false">Sens!$E$8272+Sens!$F$8272</f>
        <v>470.959773480586</v>
      </c>
      <c r="H8272" s="38" t="n">
        <f aca="false">Sens!$H$8270*Sens!$H$8271</f>
        <v>521.386990416437</v>
      </c>
      <c r="I8272" s="38" t="n">
        <f aca="false">Sens!$I$8270*Sens!$I$8271</f>
        <v>570.143862887555</v>
      </c>
      <c r="J8272" s="38" t="n">
        <f aca="false">Sens!$J$8270*Sens!$J$8271</f>
        <v>615.391435791933</v>
      </c>
      <c r="K8272" s="38" t="n">
        <f aca="false">Sens!$K$8270*Sens!$K$8271</f>
        <v>655.208227561543</v>
      </c>
      <c r="L8272" s="38" t="n">
        <f aca="false">Sens!$L$8270*Sens!$L$8271</f>
        <v>697.807739249767</v>
      </c>
      <c r="M8272" s="38" t="n">
        <f aca="false">Sens!$M$8270*Sens!$M$8271</f>
        <v>743.399328463592</v>
      </c>
      <c r="N8272" s="38" t="n">
        <f aca="false">Q!$N$5</f>
        <v>192.955</v>
      </c>
      <c r="O8272" s="38" t="n">
        <f aca="false">Q!$O$5</f>
        <v>233.35</v>
      </c>
      <c r="P8272" s="5" t="s">
        <v>679</v>
      </c>
    </row>
    <row r="8273" customFormat="false" ht="17.15" hidden="false" customHeight="false" outlineLevel="0" collapsed="false">
      <c r="A8273" s="1" t="s">
        <v>512</v>
      </c>
      <c r="B8273" s="8" t="s">
        <v>86</v>
      </c>
      <c r="C8273" s="38" t="n">
        <f aca="false">Q!$D$6</f>
        <v>142.906</v>
      </c>
      <c r="D8273" s="38" t="n">
        <f aca="false">Q!$E$6</f>
        <v>161.894</v>
      </c>
      <c r="E8273" s="38" t="n">
        <f aca="false">Q!$P$6</f>
        <v>81.986</v>
      </c>
      <c r="F8273" s="38" t="n">
        <f aca="false">Sens!$F$8270*(1-Sens!$F$8271)</f>
        <v>98.408468164951</v>
      </c>
      <c r="G8273" s="38" t="n">
        <f aca="false">Sens!$E$8273+Sens!$F$8273</f>
        <v>180.394468164951</v>
      </c>
      <c r="H8273" s="38" t="n">
        <f aca="false">Sens!$H$8270*(1-Sens!$H$8271)</f>
        <v>199.709899104949</v>
      </c>
      <c r="I8273" s="38" t="n">
        <f aca="false">Sens!$I$8270*(1-Sens!$I$8271)</f>
        <v>218.385528264976</v>
      </c>
      <c r="J8273" s="38" t="n">
        <f aca="false">Sens!$J$8270*(1-Sens!$J$8271)</f>
        <v>235.71696994951</v>
      </c>
      <c r="K8273" s="38" t="n">
        <f aca="false">Sens!$K$8270*(1-Sens!$K$8271)</f>
        <v>250.968227869545</v>
      </c>
      <c r="L8273" s="38" t="n">
        <f aca="false">Sens!$L$8270*(1-Sens!$L$8271)</f>
        <v>267.285367225822</v>
      </c>
      <c r="M8273" s="38" t="n">
        <f aca="false">Sens!$M$8270*(1-Sens!$M$8271)</f>
        <v>284.748579483295</v>
      </c>
      <c r="N8273" s="38" t="n">
        <f aca="false">Q!$N$6</f>
        <v>70.274</v>
      </c>
      <c r="O8273" s="38" t="n">
        <f aca="false">Q!$O$6</f>
        <v>91.62</v>
      </c>
      <c r="P8273" s="5" t="s">
        <v>680</v>
      </c>
    </row>
    <row r="8274" customFormat="false" ht="17.15" hidden="false" customHeight="false" outlineLevel="0" collapsed="false">
      <c r="A8274" s="5" t="s">
        <v>681</v>
      </c>
      <c r="B8274" s="0" t="s">
        <v>86</v>
      </c>
      <c r="C8274" s="38" t="n">
        <f aca="false">Sens!$C$8263*Sens!$C$8271</f>
        <v>41.0683128828457</v>
      </c>
      <c r="D8274" s="38" t="n">
        <f aca="false">Sens!$D$8263*Sens!$D$8271</f>
        <v>49.7441234599175</v>
      </c>
      <c r="E8274" s="38" t="n">
        <f aca="false">Sens!$E$8263*Sens!$E$8271</f>
        <v>27.0034224924414</v>
      </c>
      <c r="F8274" s="38" t="n">
        <f aca="false">Sens!$F$8263*Sens!$F$8271</f>
        <v>33.1439448330513</v>
      </c>
      <c r="G8274" s="38" t="n">
        <f aca="false">Sens!$G$8263*Sens!$G$8271</f>
        <v>60.164183844083</v>
      </c>
      <c r="H8274" s="38" t="n">
        <f aca="false">Sens!$H$8263*Sens!$H$8271</f>
        <v>72.2301766552629</v>
      </c>
      <c r="I8274" s="38" t="n">
        <f aca="false">Sens!$I$8263*Sens!$I$8271</f>
        <v>84.2950764463991</v>
      </c>
      <c r="J8274" s="38" t="n">
        <f aca="false">Sens!$J$8263*Sens!$J$8271</f>
        <v>95.5499047729386</v>
      </c>
      <c r="K8274" s="38" t="n">
        <f aca="false">Sens!$K$8263*Sens!$K$8271</f>
        <v>105.104895250232</v>
      </c>
      <c r="L8274" s="38" t="n">
        <f aca="false">Sens!$L$8263*Sens!$L$8271</f>
        <v>115.615384775256</v>
      </c>
      <c r="M8274" s="38" t="n">
        <f aca="false">Sens!$M$8263*Sens!$M$8271</f>
        <v>127.176923252781</v>
      </c>
      <c r="N8274" s="38" t="n">
        <f aca="false">Sens!$N$8263*Sens!$N$8271</f>
        <v>21.7087111412496</v>
      </c>
      <c r="O8274" s="38" t="n">
        <f aca="false">Sens!$O$8263*Sens!$O$8271</f>
        <v>28.0189463642798</v>
      </c>
      <c r="P8274" s="5" t="s">
        <v>682</v>
      </c>
    </row>
    <row r="8275" customFormat="false" ht="15" hidden="false" customHeight="false" outlineLevel="0" collapsed="false">
      <c r="A8275" s="5" t="s">
        <v>683</v>
      </c>
      <c r="B8275" s="0" t="s">
        <v>86</v>
      </c>
      <c r="C8275" s="38" t="n">
        <f aca="false">Sens!$C$8263-Sens!$C$8274</f>
        <v>15.1456871171543</v>
      </c>
      <c r="D8275" s="38" t="n">
        <f aca="false">Sens!$D$8263-Sens!$D$8274</f>
        <v>18.8908765400825</v>
      </c>
      <c r="E8275" s="38" t="n">
        <f aca="false">Sens!$E$8263-Sens!$E$8274</f>
        <v>10.0485775075586</v>
      </c>
      <c r="F8275" s="38" t="n">
        <f aca="false">Sens!$F$8263-Sens!$F$8274</f>
        <v>13.0132771613635</v>
      </c>
      <c r="G8275" s="38" t="n">
        <f aca="false">Sens!$G$8263-Sens!$G$8274</f>
        <v>23.0450381503318</v>
      </c>
      <c r="H8275" s="38" t="n">
        <f aca="false">Sens!$H$8263-Sens!$H$8274</f>
        <v>27.6667457326347</v>
      </c>
      <c r="I8275" s="38" t="n">
        <f aca="false">Sens!$I$8263-Sens!$I$8274</f>
        <v>32.2880346490971</v>
      </c>
      <c r="J8275" s="38" t="n">
        <f aca="false">Sens!$J$8263-Sens!$J$8274</f>
        <v>36.5990371690132</v>
      </c>
      <c r="K8275" s="38" t="n">
        <f aca="false">Sens!$K$8263-Sens!$K$8274</f>
        <v>40.2589408859145</v>
      </c>
      <c r="L8275" s="38" t="n">
        <f aca="false">Sens!$L$8263-Sens!$L$8274</f>
        <v>44.2848349745059</v>
      </c>
      <c r="M8275" s="38" t="n">
        <f aca="false">Sens!$M$8263-Sens!$M$8274</f>
        <v>48.7133184719565</v>
      </c>
      <c r="N8275" s="38" t="n">
        <f aca="false">Sens!$N$8263-Sens!$N$8274</f>
        <v>7.90628885875037</v>
      </c>
      <c r="O8275" s="38" t="n">
        <f aca="false">Sens!$O$8263-Sens!$O$8274</f>
        <v>11.0010536357202</v>
      </c>
    </row>
    <row r="8276" customFormat="false" ht="19.4" hidden="false" customHeight="false" outlineLevel="0" collapsed="false">
      <c r="A8276" s="31" t="s">
        <v>1298</v>
      </c>
    </row>
    <row r="8277" customFormat="false" ht="17.15" hidden="false" customHeight="false" outlineLevel="0" collapsed="false">
      <c r="A8277" s="6" t="s">
        <v>16</v>
      </c>
      <c r="B8277" s="6" t="s">
        <v>17</v>
      </c>
      <c r="C8277" s="20" t="s">
        <v>494</v>
      </c>
      <c r="D8277" s="20" t="s">
        <v>495</v>
      </c>
      <c r="E8277" s="20" t="s">
        <v>577</v>
      </c>
      <c r="F8277" s="20" t="s">
        <v>578</v>
      </c>
      <c r="G8277" s="20" t="s">
        <v>579</v>
      </c>
      <c r="H8277" s="20" t="s">
        <v>580</v>
      </c>
      <c r="I8277" s="20" t="s">
        <v>581</v>
      </c>
      <c r="J8277" s="20" t="s">
        <v>582</v>
      </c>
      <c r="K8277" s="20" t="s">
        <v>583</v>
      </c>
      <c r="L8277" s="20" t="s">
        <v>584</v>
      </c>
      <c r="M8277" s="20" t="s">
        <v>585</v>
      </c>
      <c r="N8277" s="20" t="s">
        <v>586</v>
      </c>
      <c r="O8277" s="20" t="s">
        <v>587</v>
      </c>
      <c r="P8277" s="6" t="s">
        <v>23</v>
      </c>
      <c r="R8277" s="20" t="n">
        <v>2023</v>
      </c>
      <c r="S8277" s="20" t="n">
        <v>2024</v>
      </c>
      <c r="T8277" s="20" t="n">
        <v>2025</v>
      </c>
      <c r="U8277" s="20" t="n">
        <v>2026</v>
      </c>
      <c r="V8277" s="20" t="n">
        <v>2027</v>
      </c>
      <c r="W8277" s="20" t="n">
        <v>2028</v>
      </c>
      <c r="X8277" s="20" t="n">
        <v>2029</v>
      </c>
      <c r="Y8277" s="20" t="n">
        <v>2030</v>
      </c>
      <c r="Z8277" s="20" t="n">
        <v>2031</v>
      </c>
      <c r="AA8277" s="20" t="n">
        <v>2032</v>
      </c>
    </row>
    <row r="8278" customFormat="false" ht="17.15" hidden="false" customHeight="false" outlineLevel="0" collapsed="false">
      <c r="A8278" s="1" t="s">
        <v>588</v>
      </c>
    </row>
    <row r="8279" customFormat="false" ht="17.15" hidden="false" customHeight="false" outlineLevel="0" collapsed="false">
      <c r="A8279" s="5" t="s">
        <v>589</v>
      </c>
      <c r="B8279" s="0" t="s">
        <v>144</v>
      </c>
      <c r="H8279" s="32" t="n">
        <f aca="false">pace_B</f>
        <v>3634.3</v>
      </c>
      <c r="I8279" s="32" t="n">
        <f aca="false">pace_B</f>
        <v>3634.3</v>
      </c>
      <c r="J8279" s="32" t="n">
        <f aca="false">pace_B</f>
        <v>3634.3</v>
      </c>
      <c r="K8279" s="32" t="n">
        <f aca="false">pace_B+(Sens!$J$8280*tg-pace_B)*1/3</f>
        <v>2570.86716666667</v>
      </c>
      <c r="L8279" s="32" t="n">
        <f aca="false">pace_B+(Sens!$J$8280*tg-pace_B)*2/3</f>
        <v>1507.43433333333</v>
      </c>
      <c r="M8279" s="32" t="n">
        <f aca="false">pace_B+(Sens!$J$8280*tg-pace_B)*3/3</f>
        <v>444.0015</v>
      </c>
      <c r="P8279" s="5" t="s">
        <v>590</v>
      </c>
    </row>
    <row r="8280" customFormat="false" ht="17.15" hidden="false" customHeight="false" outlineLevel="0" collapsed="false">
      <c r="A8280" s="15" t="s">
        <v>591</v>
      </c>
      <c r="B8280" s="14" t="s">
        <v>129</v>
      </c>
      <c r="C8280" s="33" t="n">
        <f aca="false">mw_ye24</f>
        <v>360</v>
      </c>
      <c r="D8280" s="33" t="n">
        <f aca="false">mw_ye25</f>
        <v>1440</v>
      </c>
      <c r="E8280" s="33" t="n">
        <f aca="false">mw_open</f>
        <v>2080</v>
      </c>
      <c r="F8280" s="33" t="n">
        <f aca="false">Sens!$E$8280+pace_B*0.5</f>
        <v>3897.15</v>
      </c>
      <c r="G8280" s="33" t="n">
        <f aca="false">Sens!$F$8280</f>
        <v>3897.15</v>
      </c>
      <c r="H8280" s="33" t="n">
        <f aca="false">Sens!$G$8280+Sens!$H$8279</f>
        <v>7531.45</v>
      </c>
      <c r="I8280" s="33" t="n">
        <f aca="false">Sens!$H$8280+Sens!$I$8279</f>
        <v>11165.75</v>
      </c>
      <c r="J8280" s="33" t="n">
        <f aca="false">Sens!$I$8280+Sens!$J$8279</f>
        <v>14800.05</v>
      </c>
      <c r="K8280" s="33" t="n">
        <f aca="false">Sens!$J$8280+Sens!$K$8279</f>
        <v>17370.9171666667</v>
      </c>
      <c r="L8280" s="33" t="n">
        <f aca="false">Sens!$K$8280+Sens!$L$8279</f>
        <v>18878.3515</v>
      </c>
      <c r="M8280" s="33" t="n">
        <f aca="false">Sens!$L$8280+Sens!$M$8279</f>
        <v>19322.353</v>
      </c>
      <c r="N8280" s="33" t="n">
        <f aca="false">(mw_ye24+mw_ye25)/2</f>
        <v>900</v>
      </c>
      <c r="O8280" s="33" t="n">
        <f aca="false">mw_ye25</f>
        <v>1440</v>
      </c>
      <c r="P8280" s="5" t="s">
        <v>592</v>
      </c>
    </row>
    <row r="8281" customFormat="false" ht="17.15" hidden="false" customHeight="false" outlineLevel="0" collapsed="false">
      <c r="A8281" s="5" t="s">
        <v>593</v>
      </c>
      <c r="B8281" s="0" t="s">
        <v>129</v>
      </c>
      <c r="C8281" s="32" t="n">
        <f aca="false">(mw_ye23+mw_ye24)/2</f>
        <v>240</v>
      </c>
      <c r="D8281" s="32" t="n">
        <f aca="false">(Sens!$C$8280+Sens!$D$8280)/2</f>
        <v>900</v>
      </c>
      <c r="E8281" s="32" t="n">
        <f aca="false">(Sens!$D$8280+Sens!$E$8280)/2</f>
        <v>1760</v>
      </c>
      <c r="F8281" s="32" t="n">
        <f aca="false">(Sens!$E$8280+Sens!$F$8280)/2</f>
        <v>2988.575</v>
      </c>
      <c r="G8281" s="32" t="n">
        <f aca="false">(Sens!$E$8281+Sens!$F$8281)/2</f>
        <v>2374.2875</v>
      </c>
      <c r="H8281" s="32" t="n">
        <f aca="false">(Sens!$G$8280+Sens!$H$8280)/2</f>
        <v>5714.3</v>
      </c>
      <c r="I8281" s="32" t="n">
        <f aca="false">(Sens!$H$8280+Sens!$I$8280)/2</f>
        <v>9348.6</v>
      </c>
      <c r="J8281" s="32" t="n">
        <f aca="false">(Sens!$I$8280+Sens!$J$8280)/2</f>
        <v>12982.9</v>
      </c>
      <c r="K8281" s="32" t="n">
        <f aca="false">(Sens!$J$8280+Sens!$K$8280)/2</f>
        <v>16085.4835833333</v>
      </c>
      <c r="L8281" s="32" t="n">
        <f aca="false">(Sens!$K$8280+Sens!$L$8280)/2</f>
        <v>18124.6343333333</v>
      </c>
      <c r="M8281" s="32" t="n">
        <f aca="false">(Sens!$L$8280+Sens!$M$8280)/2</f>
        <v>19100.35225</v>
      </c>
      <c r="N8281" s="32" t="n">
        <f aca="false">(Sens!$C$8280+Sens!$N$8280)/2</f>
        <v>630</v>
      </c>
      <c r="O8281" s="32" t="n">
        <f aca="false">(Sens!$N$8280+Sens!$O$8280)/2</f>
        <v>1170</v>
      </c>
    </row>
    <row r="8282" customFormat="false" ht="15" hidden="false" customHeight="false" outlineLevel="0" collapsed="false">
      <c r="A8282" s="5" t="s">
        <v>594</v>
      </c>
      <c r="B8282" s="5" t="s">
        <v>123</v>
      </c>
      <c r="C8282" s="34" t="n">
        <v>1</v>
      </c>
      <c r="D8282" s="34" t="n">
        <v>1</v>
      </c>
      <c r="E8282" s="34" t="n">
        <v>0.5</v>
      </c>
      <c r="F8282" s="34" t="n">
        <v>0.5</v>
      </c>
      <c r="G8282" s="34" t="n">
        <v>1</v>
      </c>
      <c r="H8282" s="34" t="n">
        <v>1</v>
      </c>
      <c r="I8282" s="34" t="n">
        <v>1</v>
      </c>
      <c r="J8282" s="34" t="n">
        <v>1</v>
      </c>
      <c r="K8282" s="34" t="n">
        <v>1</v>
      </c>
      <c r="L8282" s="34" t="n">
        <v>1</v>
      </c>
      <c r="M8282" s="34" t="n">
        <v>1</v>
      </c>
      <c r="N8282" s="34" t="n">
        <v>0.5</v>
      </c>
      <c r="O8282" s="34" t="n">
        <v>0.5</v>
      </c>
    </row>
    <row r="8283" customFormat="false" ht="17.15" hidden="false" customHeight="false" outlineLevel="0" collapsed="false">
      <c r="A8283" s="5" t="s">
        <v>595</v>
      </c>
      <c r="B8283" s="0" t="s">
        <v>129</v>
      </c>
      <c r="C8283" s="32" t="n">
        <f aca="false">Sens!$C$8280-mw_ye23</f>
        <v>240</v>
      </c>
      <c r="D8283" s="32" t="n">
        <f aca="false">Sens!$D$8280-Sens!$C$8280</f>
        <v>1080</v>
      </c>
      <c r="E8283" s="32" t="n">
        <f aca="false">Sens!$E$8280-Sens!$D$8280</f>
        <v>640</v>
      </c>
      <c r="F8283" s="32" t="n">
        <f aca="false">Sens!$F$8280-Sens!$E$8280</f>
        <v>1817.15</v>
      </c>
      <c r="G8283" s="32" t="n">
        <f aca="false">Sens!$E$8283+Sens!$F$8283</f>
        <v>2457.15</v>
      </c>
      <c r="H8283" s="32" t="n">
        <f aca="false">Sens!$H$8280-Sens!$G$8280</f>
        <v>3634.3</v>
      </c>
      <c r="I8283" s="32" t="n">
        <f aca="false">Sens!$I$8280-Sens!$H$8280</f>
        <v>3634.3</v>
      </c>
      <c r="J8283" s="32" t="n">
        <f aca="false">Sens!$J$8280-Sens!$I$8280</f>
        <v>3634.3</v>
      </c>
      <c r="K8283" s="32" t="n">
        <f aca="false">Sens!$K$8280-Sens!$J$8280</f>
        <v>2570.86716666667</v>
      </c>
      <c r="L8283" s="32" t="n">
        <f aca="false">Sens!$L$8280-Sens!$K$8280</f>
        <v>1507.43433333333</v>
      </c>
      <c r="M8283" s="32" t="n">
        <f aca="false">Sens!$M$8280-Sens!$L$8280</f>
        <v>444.001499999999</v>
      </c>
      <c r="N8283" s="32" t="n">
        <f aca="false">Sens!$N$8280-Sens!$C$8280</f>
        <v>540</v>
      </c>
      <c r="O8283" s="32" t="n">
        <f aca="false">Sens!$O$8280-Sens!$N$8280</f>
        <v>540</v>
      </c>
    </row>
    <row r="8284" customFormat="false" ht="17.15" hidden="false" customHeight="false" outlineLevel="0" collapsed="false">
      <c r="A8284" s="5" t="s">
        <v>596</v>
      </c>
      <c r="B8284" s="0" t="s">
        <v>129</v>
      </c>
      <c r="C8284" s="32" t="n">
        <f aca="false">Sens!$C$8283/ext_sh</f>
        <v>300</v>
      </c>
      <c r="D8284" s="32" t="n">
        <f aca="false">Sens!$D$8283/ext_sh</f>
        <v>1350</v>
      </c>
      <c r="E8284" s="32" t="n">
        <f aca="false">Sens!$E$8283/ext_sh</f>
        <v>800</v>
      </c>
      <c r="F8284" s="32" t="n">
        <f aca="false">Sens!$F$8283/ext_sh</f>
        <v>2271.4375</v>
      </c>
      <c r="G8284" s="32" t="n">
        <f aca="false">Sens!$G$8283/ext_sh</f>
        <v>3071.4375</v>
      </c>
      <c r="H8284" s="32" t="n">
        <f aca="false">Sens!$H$8283/ext_sh</f>
        <v>4542.875</v>
      </c>
      <c r="I8284" s="32" t="n">
        <f aca="false">Sens!$I$8283/ext_sh</f>
        <v>4542.875</v>
      </c>
      <c r="J8284" s="32" t="n">
        <f aca="false">Sens!$J$8283/ext_sh</f>
        <v>4542.875</v>
      </c>
      <c r="K8284" s="32" t="n">
        <f aca="false">Sens!$K$8283/ext_sh</f>
        <v>3213.58395833333</v>
      </c>
      <c r="L8284" s="32" t="n">
        <f aca="false">Sens!$L$8283/ext_sh</f>
        <v>1884.29291666667</v>
      </c>
      <c r="M8284" s="32" t="n">
        <f aca="false">Sens!$M$8283/ext_sh</f>
        <v>555.001874999998</v>
      </c>
      <c r="N8284" s="32" t="n">
        <f aca="false">Sens!$N$8283/ext_sh</f>
        <v>675</v>
      </c>
      <c r="O8284" s="32" t="n">
        <f aca="false">Sens!$O$8283/ext_sh</f>
        <v>675</v>
      </c>
      <c r="P8284" s="8" t="s">
        <v>597</v>
      </c>
      <c r="R8284" s="32" t="n">
        <f aca="false">mw_ye23/ext_sh</f>
        <v>150</v>
      </c>
      <c r="S8284" s="32" t="n">
        <f aca="false">Sens!$C$8284</f>
        <v>300</v>
      </c>
      <c r="T8284" s="32" t="n">
        <f aca="false">Sens!$D$8284</f>
        <v>1350</v>
      </c>
      <c r="U8284" s="32" t="n">
        <f aca="false">Sens!$G$8284</f>
        <v>3071.4375</v>
      </c>
      <c r="V8284" s="32" t="n">
        <f aca="false">Sens!$H$8284</f>
        <v>4542.875</v>
      </c>
      <c r="W8284" s="32" t="n">
        <f aca="false">Sens!$I$8284</f>
        <v>4542.875</v>
      </c>
      <c r="X8284" s="32" t="n">
        <f aca="false">Sens!$J$8284</f>
        <v>4542.875</v>
      </c>
      <c r="Y8284" s="32" t="n">
        <f aca="false">Sens!$K$8284</f>
        <v>3213.58395833333</v>
      </c>
      <c r="Z8284" s="32" t="n">
        <f aca="false">Sens!$L$8284</f>
        <v>1884.29291666667</v>
      </c>
      <c r="AA8284" s="32" t="n">
        <f aca="false">Sens!$M$8284</f>
        <v>555.001874999998</v>
      </c>
    </row>
    <row r="8285" customFormat="false" ht="17.15" hidden="false" customHeight="false" outlineLevel="0" collapsed="false">
      <c r="A8285" s="1" t="s">
        <v>598</v>
      </c>
    </row>
    <row r="8286" customFormat="false" ht="17.15" hidden="false" customHeight="false" outlineLevel="0" collapsed="false">
      <c r="A8286" s="0" t="s">
        <v>599</v>
      </c>
      <c r="B8286" s="0" t="s">
        <v>52</v>
      </c>
      <c r="F8286" s="35" t="n">
        <f aca="false">na_vr26</f>
        <v>0</v>
      </c>
      <c r="G8286" s="35" t="n">
        <f aca="false">na_vr26</f>
        <v>0</v>
      </c>
      <c r="H8286" s="35" t="n">
        <f aca="false">na_vr27</f>
        <v>0.5</v>
      </c>
      <c r="I8286" s="35" t="n">
        <f aca="false">na_vr28</f>
        <v>1</v>
      </c>
      <c r="J8286" s="35" t="n">
        <f aca="false">na_vr28</f>
        <v>1</v>
      </c>
      <c r="K8286" s="35" t="n">
        <f aca="false">na_vr28</f>
        <v>1</v>
      </c>
      <c r="L8286" s="35" t="n">
        <f aca="false">na_vr28</f>
        <v>1</v>
      </c>
      <c r="M8286" s="35" t="n">
        <f aca="false">na_vr28</f>
        <v>1</v>
      </c>
    </row>
    <row r="8287" customFormat="false" ht="17.15" hidden="false" customHeight="false" outlineLevel="0" collapsed="false">
      <c r="A8287" s="5" t="s">
        <v>600</v>
      </c>
      <c r="B8287" s="0" t="s">
        <v>173</v>
      </c>
      <c r="F8287" s="36" t="n">
        <f aca="false">cust_sh*tk_he_gb300*cf_chip+(1-cust_sh)*((1-Sens!$F$8286)*tk_he_gb300+Sens!$F$8286*tk_he_vr200)</f>
        <v>10.8864110021101</v>
      </c>
      <c r="G8287" s="36" t="n">
        <f aca="false">cust_sh*tk_he_gb300*cf_chip+(1-cust_sh)*((1-Sens!$G$8286)*tk_he_gb300+Sens!$G$8286*tk_he_vr200)</f>
        <v>10.8864110021101</v>
      </c>
      <c r="H8287" s="36" t="n">
        <f aca="false">cust_sh*tk_he_gb300*cf_chip+(1-cust_sh)*((1-Sens!$H$8286)*tk_he_gb300+Sens!$H$8286*tk_he_vr200)</f>
        <v>11.2211760027286</v>
      </c>
      <c r="I8287" s="36" t="n">
        <f aca="false">cust_sh*tk_he_gb300*cf_chip+(1-cust_sh)*((1-Sens!$I$8286)*tk_he_gb300+Sens!$I$8286*tk_he_vr200)</f>
        <v>11.5559410033471</v>
      </c>
      <c r="J8287" s="36" t="n">
        <f aca="false">cust_sh*tk_he_gb300*cf_chip+(1-cust_sh)*((1-Sens!$J$8286)*tk_he_gb300+Sens!$J$8286*tk_he_vr200)</f>
        <v>11.5559410033471</v>
      </c>
      <c r="K8287" s="36" t="n">
        <f aca="false">cust_sh*tk_he_gb300*cf_chip+(1-cust_sh)*((1-Sens!$K$8286)*tk_he_gb300+Sens!$K$8286*tk_he_vr200)</f>
        <v>11.5559410033471</v>
      </c>
      <c r="L8287" s="36" t="n">
        <f aca="false">cust_sh*tk_he_gb300*cf_chip+(1-cust_sh)*((1-Sens!$L$8286)*tk_he_gb300+Sens!$L$8286*tk_he_vr200)</f>
        <v>11.5559410033471</v>
      </c>
      <c r="M8287" s="36" t="n">
        <f aca="false">cust_sh*tk_he_gb300*cf_chip+(1-cust_sh)*((1-Sens!$M$8286)*tk_he_gb300+Sens!$M$8286*tk_he_vr200)</f>
        <v>11.5559410033471</v>
      </c>
    </row>
    <row r="8288" customFormat="false" ht="17.15" hidden="false" customHeight="false" outlineLevel="0" collapsed="false">
      <c r="A8288" s="5" t="s">
        <v>601</v>
      </c>
      <c r="B8288" s="0" t="s">
        <v>173</v>
      </c>
      <c r="F8288" s="36" t="n">
        <f aca="false">cust_sh*tk_ox_gb300+(1-cust_sh)*((1-Sens!$F$8286)*tk_ox_gb300+Sens!$F$8286*tk_ox_vr200)</f>
        <v>1.98263481314457</v>
      </c>
      <c r="G8288" s="36" t="n">
        <f aca="false">cust_sh*tk_ox_gb300+(1-cust_sh)*((1-Sens!$G$8286)*tk_ox_gb300+Sens!$G$8286*tk_ox_vr200)</f>
        <v>1.98263481314457</v>
      </c>
      <c r="H8288" s="36" t="n">
        <f aca="false">cust_sh*tk_ox_gb300+(1-cust_sh)*((1-Sens!$H$8286)*tk_ox_gb300+Sens!$H$8286*tk_ox_vr200)</f>
        <v>2.01034999693694</v>
      </c>
      <c r="I8288" s="36" t="n">
        <f aca="false">cust_sh*tk_ox_gb300+(1-cust_sh)*((1-Sens!$I$8286)*tk_ox_gb300+Sens!$I$8286*tk_ox_vr200)</f>
        <v>2.0380651807293</v>
      </c>
      <c r="J8288" s="36" t="n">
        <f aca="false">cust_sh*tk_ox_gb300+(1-cust_sh)*((1-Sens!$J$8286)*tk_ox_gb300+Sens!$J$8286*tk_ox_vr200)</f>
        <v>2.0380651807293</v>
      </c>
      <c r="K8288" s="36" t="n">
        <f aca="false">cust_sh*tk_ox_gb300+(1-cust_sh)*((1-Sens!$K$8286)*tk_ox_gb300+Sens!$K$8286*tk_ox_vr200)</f>
        <v>2.0380651807293</v>
      </c>
      <c r="L8288" s="36" t="n">
        <f aca="false">cust_sh*tk_ox_gb300+(1-cust_sh)*((1-Sens!$L$8286)*tk_ox_gb300+Sens!$L$8286*tk_ox_vr200)</f>
        <v>2.0380651807293</v>
      </c>
      <c r="M8288" s="36" t="n">
        <f aca="false">cust_sh*tk_ox_gb300+(1-cust_sh)*((1-Sens!$M$8286)*tk_ox_gb300+Sens!$M$8286*tk_ox_vr200)</f>
        <v>2.0380651807293</v>
      </c>
    </row>
    <row r="8289" customFormat="false" ht="17.15" hidden="false" customHeight="false" outlineLevel="0" collapsed="false">
      <c r="A8289" s="5" t="s">
        <v>602</v>
      </c>
      <c r="B8289" s="0" t="s">
        <v>192</v>
      </c>
      <c r="F8289" s="36" t="n">
        <f aca="false">cust_sh*tk_cx_gb300*cf_cx+(1-cust_sh)*((1-Sens!$F$8286)*tk_cx_gb300+Sens!$F$8286*tk_cx_vr200)</f>
        <v>32.237224</v>
      </c>
      <c r="G8289" s="36" t="n">
        <f aca="false">cust_sh*tk_cx_gb300*cf_cx+(1-cust_sh)*((1-Sens!$G$8286)*tk_cx_gb300+Sens!$G$8286*tk_cx_vr200)</f>
        <v>32.237224</v>
      </c>
      <c r="H8289" s="36" t="n">
        <f aca="false">cust_sh*tk_cx_gb300*cf_cx+(1-cust_sh)*((1-Sens!$H$8286)*tk_cx_gb300+Sens!$H$8286*tk_cx_vr200)</f>
        <v>33.574506</v>
      </c>
      <c r="I8289" s="36" t="n">
        <f aca="false">cust_sh*tk_cx_gb300*cf_cx+(1-cust_sh)*((1-Sens!$I$8286)*tk_cx_gb300+Sens!$I$8286*tk_cx_vr200)</f>
        <v>34.911788</v>
      </c>
      <c r="J8289" s="36" t="n">
        <f aca="false">cust_sh*tk_cx_gb300*cf_cx+(1-cust_sh)*((1-Sens!$J$8286)*tk_cx_gb300+Sens!$J$8286*tk_cx_vr200)</f>
        <v>34.911788</v>
      </c>
      <c r="K8289" s="36" t="n">
        <f aca="false">cust_sh*tk_cx_gb300*cf_cx+(1-cust_sh)*((1-Sens!$K$8286)*tk_cx_gb300+Sens!$K$8286*tk_cx_vr200)</f>
        <v>34.911788</v>
      </c>
      <c r="L8289" s="36" t="n">
        <f aca="false">cust_sh*tk_cx_gb300*cf_cx+(1-cust_sh)*((1-Sens!$L$8286)*tk_cx_gb300+Sens!$L$8286*tk_cx_vr200)</f>
        <v>34.911788</v>
      </c>
      <c r="M8289" s="36" t="n">
        <f aca="false">cust_sh*tk_cx_gb300*cf_cx+(1-cust_sh)*((1-Sens!$M$8286)*tk_cx_gb300+Sens!$M$8286*tk_cx_vr200)</f>
        <v>34.911788</v>
      </c>
    </row>
    <row r="8290" customFormat="false" ht="17.15" hidden="false" customHeight="false" outlineLevel="0" collapsed="false">
      <c r="A8290" s="5" t="s">
        <v>603</v>
      </c>
      <c r="B8290" s="0" t="s">
        <v>129</v>
      </c>
      <c r="F8290" s="32" t="n">
        <f aca="false">Sens!$F$8280-mw_open</f>
        <v>1817.15</v>
      </c>
      <c r="G8290" s="32" t="n">
        <f aca="false">Sens!$F$8290</f>
        <v>1817.15</v>
      </c>
      <c r="H8290" s="32" t="n">
        <f aca="false">Sens!$H$8280-mw_open</f>
        <v>5451.45</v>
      </c>
      <c r="I8290" s="32" t="n">
        <f aca="false">Sens!$I$8280-mw_open</f>
        <v>9085.75</v>
      </c>
      <c r="J8290" s="32" t="n">
        <f aca="false">Sens!$J$8280-mw_open</f>
        <v>12720.05</v>
      </c>
      <c r="K8290" s="32" t="n">
        <f aca="false">Sens!$K$8280-mw_open</f>
        <v>15290.9171666667</v>
      </c>
      <c r="L8290" s="32" t="n">
        <f aca="false">Sens!$L$8280-mw_open</f>
        <v>16798.3515</v>
      </c>
      <c r="M8290" s="32" t="n">
        <f aca="false">Sens!$M$8280-mw_open</f>
        <v>17242.353</v>
      </c>
    </row>
    <row r="8291" customFormat="false" ht="17.15" hidden="false" customHeight="false" outlineLevel="0" collapsed="false">
      <c r="A8291" s="0" t="s">
        <v>604</v>
      </c>
      <c r="B8291" s="0" t="s">
        <v>605</v>
      </c>
      <c r="F8291" s="32" t="n">
        <f aca="false">Sens!$F$8283*Sens!$F$8287</f>
        <v>19782.2417524844</v>
      </c>
      <c r="G8291" s="32" t="n">
        <f aca="false">Sens!$F$8291</f>
        <v>19782.2417524844</v>
      </c>
      <c r="H8291" s="32" t="n">
        <f aca="false">Sens!$G$8291+Sens!$H$8283*Sens!$H$8287</f>
        <v>60563.3616992009</v>
      </c>
      <c r="I8291" s="32" t="n">
        <f aca="false">Sens!$H$8291+Sens!$I$8283*Sens!$I$8287</f>
        <v>102561.118087665</v>
      </c>
      <c r="J8291" s="32" t="n">
        <f aca="false">Sens!$I$8291+Sens!$J$8283*Sens!$J$8287</f>
        <v>144558.87447613</v>
      </c>
      <c r="K8291" s="32" t="n">
        <f aca="false">Sens!$J$8291+Sens!$K$8283*Sens!$K$8287</f>
        <v>174267.663781572</v>
      </c>
      <c r="L8291" s="32" t="n">
        <f aca="false">Sens!$K$8291+Sens!$L$8283*Sens!$L$8287</f>
        <v>191687.486003992</v>
      </c>
      <c r="M8291" s="32" t="n">
        <f aca="false">Sens!$L$8291+Sens!$M$8283*Sens!$M$8287</f>
        <v>196818.341143389</v>
      </c>
    </row>
    <row r="8292" customFormat="false" ht="17.15" hidden="false" customHeight="false" outlineLevel="0" collapsed="false">
      <c r="A8292" s="0" t="s">
        <v>606</v>
      </c>
      <c r="B8292" s="0" t="s">
        <v>605</v>
      </c>
      <c r="F8292" s="32" t="n">
        <f aca="false">Sens!$F$8283*Sens!$F$8288</f>
        <v>3602.74485070566</v>
      </c>
      <c r="G8292" s="32" t="n">
        <f aca="false">Sens!$F$8292</f>
        <v>3602.74485070566</v>
      </c>
      <c r="H8292" s="32" t="n">
        <f aca="false">Sens!$G$8292+Sens!$H$8283*Sens!$H$8288</f>
        <v>10908.9598445736</v>
      </c>
      <c r="I8292" s="32" t="n">
        <f aca="false">Sens!$H$8292+Sens!$I$8283*Sens!$I$8288</f>
        <v>18315.9001308981</v>
      </c>
      <c r="J8292" s="32" t="n">
        <f aca="false">Sens!$I$8292+Sens!$J$8283*Sens!$J$8288</f>
        <v>25722.8404172225</v>
      </c>
      <c r="K8292" s="32" t="n">
        <f aca="false">Sens!$J$8292+Sens!$K$8283*Sens!$K$8288</f>
        <v>30962.4352738861</v>
      </c>
      <c r="L8292" s="32" t="n">
        <f aca="false">Sens!$K$8292+Sens!$L$8283*Sens!$L$8288</f>
        <v>34034.6847008886</v>
      </c>
      <c r="M8292" s="32" t="n">
        <f aca="false">Sens!$L$8292+Sens!$M$8283*Sens!$M$8288</f>
        <v>34939.5886982302</v>
      </c>
    </row>
    <row r="8293" customFormat="false" ht="17.15" hidden="false" customHeight="false" outlineLevel="0" collapsed="false">
      <c r="A8293" s="5" t="s">
        <v>607</v>
      </c>
      <c r="B8293" s="0" t="s">
        <v>173</v>
      </c>
      <c r="F8293" s="36" t="n">
        <f aca="false">IF(Sens!$F$8290&gt;0,Sens!$F$8291/Sens!$F$8290,Sens!$F$8287)</f>
        <v>10.8864110021101</v>
      </c>
      <c r="G8293" s="36" t="n">
        <f aca="false">IF(Sens!$G$8290&gt;0,Sens!$G$8291/Sens!$G$8290,Sens!$G$8287)</f>
        <v>10.8864110021101</v>
      </c>
      <c r="H8293" s="36" t="n">
        <f aca="false">IF(Sens!$H$8290&gt;0,Sens!$H$8291/Sens!$H$8290,Sens!$H$8287)</f>
        <v>11.1095876691891</v>
      </c>
      <c r="I8293" s="36" t="n">
        <f aca="false">IF(Sens!$I$8290&gt;0,Sens!$I$8291/Sens!$I$8290,Sens!$I$8287)</f>
        <v>11.2881290028523</v>
      </c>
      <c r="J8293" s="36" t="n">
        <f aca="false">IF(Sens!$J$8290&gt;0,Sens!$J$8291/Sens!$J$8290,Sens!$J$8287)</f>
        <v>11.3646467172794</v>
      </c>
      <c r="K8293" s="36" t="n">
        <f aca="false">IF(Sens!$K$8290&gt;0,Sens!$K$8291/Sens!$K$8290,Sens!$K$8287)</f>
        <v>11.3968090914432</v>
      </c>
      <c r="L8293" s="36" t="n">
        <f aca="false">IF(Sens!$L$8290&gt;0,Sens!$L$8291/Sens!$L$8290,Sens!$L$8287)</f>
        <v>11.4110891181192</v>
      </c>
      <c r="M8293" s="36" t="n">
        <f aca="false">IF(Sens!$M$8290&gt;0,Sens!$M$8291/Sens!$M$8290,Sens!$M$8287)</f>
        <v>11.4148191458201</v>
      </c>
    </row>
    <row r="8294" customFormat="false" ht="17.15" hidden="false" customHeight="false" outlineLevel="0" collapsed="false">
      <c r="A8294" s="5" t="s">
        <v>608</v>
      </c>
      <c r="B8294" s="0" t="s">
        <v>173</v>
      </c>
      <c r="F8294" s="36" t="n">
        <f aca="false">IF(Sens!$F$8290&gt;0,Sens!$F$8292/Sens!$F$8290,Sens!$F$8288)</f>
        <v>1.98263481314457</v>
      </c>
      <c r="G8294" s="36" t="n">
        <f aca="false">IF(Sens!$G$8290&gt;0,Sens!$G$8292/Sens!$G$8290,Sens!$G$8288)</f>
        <v>1.98263481314457</v>
      </c>
      <c r="H8294" s="36" t="n">
        <f aca="false">IF(Sens!$H$8290&gt;0,Sens!$H$8292/Sens!$H$8290,Sens!$H$8288)</f>
        <v>2.00111160233948</v>
      </c>
      <c r="I8294" s="36" t="n">
        <f aca="false">IF(Sens!$I$8290&gt;0,Sens!$I$8292/Sens!$I$8290,Sens!$I$8288)</f>
        <v>2.01589303369541</v>
      </c>
      <c r="J8294" s="36" t="n">
        <f aca="false">IF(Sens!$J$8290&gt;0,Sens!$J$8292/Sens!$J$8290,Sens!$J$8288)</f>
        <v>2.02222793284795</v>
      </c>
      <c r="K8294" s="36" t="n">
        <f aca="false">IF(Sens!$K$8290&gt;0,Sens!$K$8292/Sens!$K$8290,Sens!$K$8288)</f>
        <v>2.02489065478573</v>
      </c>
      <c r="L8294" s="36" t="n">
        <f aca="false">IF(Sens!$L$8290&gt;0,Sens!$L$8292/Sens!$L$8290,Sens!$L$8288)</f>
        <v>2.0260728977417</v>
      </c>
      <c r="M8294" s="36" t="n">
        <f aca="false">IF(Sens!$M$8290&gt;0,Sens!$M$8292/Sens!$M$8290,Sens!$M$8288)</f>
        <v>2.02638170661685</v>
      </c>
    </row>
    <row r="8295" customFormat="false" ht="17.15" hidden="false" customHeight="false" outlineLevel="0" collapsed="false">
      <c r="A8295" s="15" t="s">
        <v>609</v>
      </c>
      <c r="B8295" s="14" t="s">
        <v>173</v>
      </c>
      <c r="C8295" s="14"/>
      <c r="D8295" s="14"/>
      <c r="E8295" s="14"/>
      <c r="F8295" s="37" t="n">
        <f aca="false">Sens!$F$8293*k_B</f>
        <v>10.7987645808025</v>
      </c>
      <c r="G8295" s="37" t="n">
        <f aca="false">Sens!$G$8293*k_B</f>
        <v>10.7987645808025</v>
      </c>
      <c r="H8295" s="37" t="n">
        <f aca="false">Sens!$H$8293*k_B</f>
        <v>11.0201444540452</v>
      </c>
      <c r="I8295" s="37" t="n">
        <f aca="false">Sens!$I$8293*k_B</f>
        <v>11.1972483526393</v>
      </c>
      <c r="J8295" s="37" t="n">
        <f aca="false">Sens!$J$8293*k_B</f>
        <v>11.2731500234653</v>
      </c>
      <c r="K8295" s="37" t="n">
        <f aca="false">Sens!$K$8293*k_B</f>
        <v>11.3050534585724</v>
      </c>
      <c r="L8295" s="37" t="n">
        <f aca="false">Sens!$L$8293*k_B</f>
        <v>11.3192185168503</v>
      </c>
      <c r="M8295" s="37" t="n">
        <f aca="false">Sens!$M$8293*k_B</f>
        <v>11.3229185141234</v>
      </c>
      <c r="N8295" s="14"/>
      <c r="O8295" s="14"/>
      <c r="P8295" s="5" t="s">
        <v>610</v>
      </c>
    </row>
    <row r="8296" customFormat="false" ht="17.15" hidden="false" customHeight="false" outlineLevel="0" collapsed="false">
      <c r="A8296" s="5" t="s">
        <v>611</v>
      </c>
      <c r="B8296" s="0" t="s">
        <v>129</v>
      </c>
      <c r="F8296" s="32" t="n">
        <f aca="false">Sens!$F$8290/2</f>
        <v>908.575</v>
      </c>
      <c r="H8296" s="32" t="n">
        <f aca="false">(Sens!$G$8290+Sens!$H$8290)/2</f>
        <v>3634.3</v>
      </c>
      <c r="I8296" s="32" t="n">
        <f aca="false">(Sens!$H$8290+Sens!$I$8290)/2</f>
        <v>7268.6</v>
      </c>
      <c r="J8296" s="32" t="n">
        <f aca="false">(Sens!$I$8290+Sens!$J$8290)/2</f>
        <v>10902.9</v>
      </c>
      <c r="K8296" s="32" t="n">
        <f aca="false">(Sens!$J$8290+Sens!$K$8290)/2</f>
        <v>14005.4835833333</v>
      </c>
      <c r="L8296" s="32" t="n">
        <f aca="false">(Sens!$K$8290+Sens!$L$8290)/2</f>
        <v>16044.6343333333</v>
      </c>
      <c r="M8296" s="32" t="n">
        <f aca="false">(Sens!$L$8290+Sens!$M$8290)/2</f>
        <v>17020.35225</v>
      </c>
    </row>
    <row r="8297" customFormat="false" ht="17.15" hidden="false" customHeight="false" outlineLevel="0" collapsed="false">
      <c r="A8297" s="1" t="s">
        <v>612</v>
      </c>
    </row>
    <row r="8298" customFormat="false" ht="17.15" hidden="false" customHeight="false" outlineLevel="0" collapsed="false">
      <c r="A8298" s="1" t="s">
        <v>613</v>
      </c>
      <c r="B8298" s="8" t="s">
        <v>86</v>
      </c>
      <c r="C8298" s="38" t="n">
        <f aca="false">Sens!$C$8281*rpm_open*Sens!$C$8282/1000</f>
        <v>2.32100535697364</v>
      </c>
      <c r="D8298" s="38" t="n">
        <f aca="false">Sens!$D$8281*rpm_open*Sens!$D$8282/1000</f>
        <v>8.70377008865116</v>
      </c>
      <c r="E8298" s="38" t="n">
        <f aca="false">Sens!$E$8281*rpm_open*Sens!$E$8282/1000</f>
        <v>8.51035297557002</v>
      </c>
      <c r="F8298" s="38" t="n">
        <f aca="false">(mw_open*rpm_open+Sens!$F$8296*Sens!$F$8295)*Sens!$F$8282/1000</f>
        <v>14.9634336447205</v>
      </c>
      <c r="G8298" s="38" t="n">
        <f aca="false">Sens!$E$8298+Sens!$F$8298</f>
        <v>23.4737866202905</v>
      </c>
      <c r="H8298" s="38" t="n">
        <f aca="false">(mw_open*rpm_open+Sens!$H$8296*Sens!$H$8295)/1000</f>
        <v>60.1658907497746</v>
      </c>
      <c r="I8298" s="38" t="n">
        <f aca="false">(mw_open*rpm_open+Sens!$I$8296*Sens!$I$8295)/1000</f>
        <v>101.503699136432</v>
      </c>
      <c r="J8298" s="38" t="n">
        <f aca="false">(mw_open*rpm_open+Sens!$J$8296*Sens!$J$8295)/1000</f>
        <v>143.025407151278</v>
      </c>
      <c r="K8298" s="38" t="n">
        <f aca="false">(mw_open*rpm_open+Sens!$K$8296*Sens!$K$8295)/1000</f>
        <v>178.44812038318</v>
      </c>
      <c r="L8298" s="38" t="n">
        <f aca="false">(mw_open*rpm_open+Sens!$L$8296*Sens!$L$8295)/1000</f>
        <v>201.728101802396</v>
      </c>
      <c r="M8298" s="38" t="n">
        <f aca="false">(mw_open*rpm_open+Sens!$M$8296*Sens!$M$8295)/1000</f>
        <v>212.835441368865</v>
      </c>
      <c r="N8298" s="38" t="n">
        <f aca="false">Sens!$N$8281*rpm_open*Sens!$N$8282/1000</f>
        <v>3.04631953102791</v>
      </c>
      <c r="O8298" s="38" t="n">
        <f aca="false">Sens!$O$8281*rpm_open*Sens!$O$8282/1000</f>
        <v>5.65745055762326</v>
      </c>
      <c r="P8298" s="5" t="s">
        <v>614</v>
      </c>
    </row>
    <row r="8299" customFormat="false" ht="17.15" hidden="false" customHeight="false" outlineLevel="0" collapsed="false">
      <c r="A8299" s="5" t="s">
        <v>615</v>
      </c>
      <c r="B8299" s="0" t="s">
        <v>173</v>
      </c>
      <c r="C8299" s="36" t="n">
        <f aca="false">Sens!$C$8298*1000/(Sens!$C$8281*Sens!$C$8282)</f>
        <v>9.67085565405685</v>
      </c>
      <c r="D8299" s="36" t="n">
        <f aca="false">Sens!$D$8298*1000/(Sens!$D$8281*Sens!$D$8282)</f>
        <v>9.67085565405685</v>
      </c>
      <c r="E8299" s="36" t="n">
        <f aca="false">Sens!$E$8298*1000/(Sens!$E$8281*Sens!$E$8282)</f>
        <v>9.67085565405685</v>
      </c>
      <c r="F8299" s="36" t="n">
        <f aca="false">Sens!$F$8298*1000/(Sens!$F$8281*Sens!$F$8282)</f>
        <v>10.0137581588017</v>
      </c>
      <c r="G8299" s="36" t="n">
        <f aca="false">Sens!$G$8298*1000/(Sens!$G$8281*Sens!$G$8282)</f>
        <v>9.88666562928478</v>
      </c>
      <c r="H8299" s="36" t="n">
        <f aca="false">Sens!$H$8298*1000/(Sens!$H$8281*Sens!$H$8282)</f>
        <v>10.5290045586992</v>
      </c>
      <c r="I8299" s="36" t="n">
        <f aca="false">Sens!$I$8298*1000/(Sens!$I$8281*Sens!$I$8282)</f>
        <v>10.8576363451674</v>
      </c>
      <c r="J8299" s="36" t="n">
        <f aca="false">Sens!$J$8298*1000/(Sens!$J$8281*Sens!$J$8282)</f>
        <v>11.0164452588619</v>
      </c>
      <c r="K8299" s="36" t="n">
        <f aca="false">Sens!$K$8298*1000/(Sens!$K$8281*Sens!$K$8282)</f>
        <v>11.0937367508227</v>
      </c>
      <c r="L8299" s="36" t="n">
        <f aca="false">Sens!$L$8298*1000/(Sens!$L$8281*Sens!$L$8282)</f>
        <v>11.1300508519168</v>
      </c>
      <c r="M8299" s="36" t="n">
        <f aca="false">Sens!$M$8298*1000/(Sens!$M$8281*Sens!$M$8282)</f>
        <v>11.1430113216297</v>
      </c>
      <c r="N8299" s="36" t="n">
        <f aca="false">Sens!$N$8298*1000/(Sens!$N$8281*Sens!$N$8282)</f>
        <v>9.67085565405685</v>
      </c>
      <c r="O8299" s="36" t="n">
        <f aca="false">Sens!$O$8298*1000/(Sens!$O$8281*Sens!$O$8282)</f>
        <v>9.67085565405685</v>
      </c>
    </row>
    <row r="8300" customFormat="false" ht="17.15" hidden="false" customHeight="false" outlineLevel="0" collapsed="false">
      <c r="A8300" s="0" t="s">
        <v>616</v>
      </c>
      <c r="B8300" s="0" t="s">
        <v>86</v>
      </c>
      <c r="C8300" s="38" t="n">
        <f aca="false">Sens!$C$8281/ext_sh*(ox_open+rent_mw)*Sens!$C$8282/1000</f>
        <v>0.642569210675032</v>
      </c>
      <c r="D8300" s="38" t="n">
        <f aca="false">Sens!$D$8281/ext_sh*(ox_open+rent_mw)*Sens!$D$8282/1000</f>
        <v>2.40963454003137</v>
      </c>
      <c r="E8300" s="38" t="n">
        <f aca="false">Sens!$E$8281/ext_sh*(ox_open+rent_mw)*Sens!$E$8282/1000</f>
        <v>2.35608710580845</v>
      </c>
      <c r="F8300" s="38" t="n">
        <f aca="false">((mw_open*ox_open+Sens!$F$8296*Sens!$F$8294)/ext_sh+Sens!$F$8281/ext_sh*rent_mw)*Sens!$F$8282/1000</f>
        <v>4.05421991106232</v>
      </c>
      <c r="G8300" s="38" t="n">
        <f aca="false">Sens!$E$8300+Sens!$F$8300</f>
        <v>6.41030701687077</v>
      </c>
      <c r="H8300" s="38" t="n">
        <f aca="false">((mw_open*ox_open+Sens!$H$8296*Sens!$H$8294)/ext_sh+Sens!$H$8281/ext_sh*rent_mw)*Sens!$H$8282/1000</f>
        <v>15.8108975546616</v>
      </c>
      <c r="I8300" s="38" t="n">
        <f aca="false">((mw_open*ox_open+Sens!$I$8296*Sens!$I$8294)/ext_sh+Sens!$I$8281/ext_sh*rent_mw)*Sens!$I$8282/1000</f>
        <v>26.1871623400817</v>
      </c>
      <c r="J8300" s="38" t="n">
        <f aca="false">((mw_open*ox_open+Sens!$J$8296*Sens!$J$8294)/ext_sh+Sens!$J$8281/ext_sh*rent_mw)*Sens!$J$8282/1000</f>
        <v>36.5826128954935</v>
      </c>
      <c r="K8300" s="38" t="n">
        <f aca="false">((mw_open*ox_open+Sens!$K$8296*Sens!$K$8294)/ext_sh+Sens!$K$8281/ext_sh*rent_mw)*Sens!$K$8282/1000</f>
        <v>45.4546361137628</v>
      </c>
      <c r="L8300" s="38" t="n">
        <f aca="false">((mw_open*ox_open+Sens!$L$8296*Sens!$L$8294)/ext_sh+Sens!$L$8281/ext_sh*rent_mw)*Sens!$L$8282/1000</f>
        <v>51.2855695554452</v>
      </c>
      <c r="M8300" s="38" t="n">
        <f aca="false">((mw_open*ox_open+Sens!$M$8296*Sens!$M$8294)/ext_sh+Sens!$M$8281/ext_sh*rent_mw)*Sens!$M$8282/1000</f>
        <v>54.0722927838398</v>
      </c>
      <c r="N8300" s="38" t="n">
        <f aca="false">Sens!$N$8281/ext_sh*(ox_open+rent_mw)*Sens!$N$8282/1000</f>
        <v>0.84337208901098</v>
      </c>
      <c r="O8300" s="38" t="n">
        <f aca="false">Sens!$O$8281/ext_sh*(ox_open+rent_mw)*Sens!$O$8282/1000</f>
        <v>1.56626245102039</v>
      </c>
    </row>
    <row r="8301" customFormat="false" ht="17.15" hidden="false" customHeight="false" outlineLevel="0" collapsed="false">
      <c r="A8301" s="0" t="s">
        <v>617</v>
      </c>
      <c r="B8301" s="0" t="s">
        <v>86</v>
      </c>
      <c r="C8301" s="38" t="n">
        <f aca="false">Q!$D$7</f>
        <v>107.556</v>
      </c>
      <c r="D8301" s="38" t="n">
        <f aca="false">Q!$E$7</f>
        <v>128.725</v>
      </c>
      <c r="E8301" s="38" t="n">
        <f aca="false">Q!$P$7</f>
        <v>79.819</v>
      </c>
      <c r="N8301" s="38" t="n">
        <f aca="false">Q!$N$7</f>
        <v>60.14</v>
      </c>
      <c r="O8301" s="38" t="n">
        <f aca="false">Q!$O$7</f>
        <v>68.585</v>
      </c>
    </row>
    <row r="8302" customFormat="false" ht="17.15" hidden="false" customHeight="false" outlineLevel="0" collapsed="false">
      <c r="A8302" s="1" t="s">
        <v>618</v>
      </c>
      <c r="B8302" s="8" t="s">
        <v>86</v>
      </c>
      <c r="C8302" s="38" t="n">
        <f aca="false">Sens!$C$8301-Sens!$C$8298</f>
        <v>105.234994643026</v>
      </c>
      <c r="D8302" s="38" t="n">
        <f aca="false">Sens!$D$8301-Sens!$D$8298</f>
        <v>120.021229911349</v>
      </c>
      <c r="E8302" s="38" t="n">
        <f aca="false">Sens!$E$8301-Sens!$E$8298</f>
        <v>71.30864702443</v>
      </c>
      <c r="F8302" s="38" t="n">
        <f aca="false">Sens!$O$8302*(1+Sens!$F$8303)</f>
        <v>71.7692997942464</v>
      </c>
      <c r="G8302" s="38" t="n">
        <f aca="false">Sens!$E$8302+Sens!$F$8302</f>
        <v>143.077946818676</v>
      </c>
      <c r="H8302" s="38" t="n">
        <f aca="false">Sens!$G$8302*(1+Sens!$H$8303)</f>
        <v>161.017077079203</v>
      </c>
      <c r="I8302" s="38" t="n">
        <f aca="false">Sens!$H$8302*(1+Sens!$I$8303)</f>
        <v>178.769759521457</v>
      </c>
      <c r="J8302" s="38" t="n">
        <f aca="false">Sens!$I$8302*(1+Sens!$J$8303)</f>
        <v>195.775538045907</v>
      </c>
      <c r="K8302" s="38" t="n">
        <f aca="false">Sens!$J$8302*(1+Sens!$K$8303)</f>
        <v>211.43758108958</v>
      </c>
      <c r="L8302" s="38" t="n">
        <f aca="false">Sens!$K$8302*(1+Sens!$L$8303)</f>
        <v>228.352587576746</v>
      </c>
      <c r="M8302" s="38" t="n">
        <f aca="false">Sens!$L$8302*(1+Sens!$M$8303)</f>
        <v>246.620794582886</v>
      </c>
      <c r="N8302" s="38" t="n">
        <f aca="false">Sens!$N$8301-Sens!$N$8298</f>
        <v>57.0936804689721</v>
      </c>
      <c r="O8302" s="38" t="n">
        <f aca="false">Sens!$O$8301-Sens!$O$8298</f>
        <v>62.9275494423768</v>
      </c>
      <c r="P8302" s="5" t="s">
        <v>619</v>
      </c>
    </row>
    <row r="8303" customFormat="false" ht="17.15" hidden="false" customHeight="false" outlineLevel="0" collapsed="false">
      <c r="A8303" s="0" t="s">
        <v>620</v>
      </c>
      <c r="B8303" s="0" t="s">
        <v>52</v>
      </c>
      <c r="D8303" s="13" t="n">
        <f aca="false">Sens!$D$8302/Sens!$C$8302-1</f>
        <v>0.140506827776062</v>
      </c>
      <c r="E8303" s="13" t="n">
        <f aca="false">Sens!$E$8302/Sens!$N$8302-1</f>
        <v>0.248976181579029</v>
      </c>
      <c r="F8303" s="13" t="n">
        <f aca="false">Sens!$D$8303</f>
        <v>0.140506827776062</v>
      </c>
      <c r="G8303" s="13" t="n">
        <f aca="false">Sens!$G$8302/Sens!$D$8302-1</f>
        <v>0.19210532106993</v>
      </c>
      <c r="H8303" s="13" t="n">
        <f aca="false">Sens!$F$8303+(g_awso_lt-Sens!$F$8303)*1/4</f>
        <v>0.125380120832046</v>
      </c>
      <c r="I8303" s="13" t="n">
        <f aca="false">Sens!$F$8303+(g_awso_lt-Sens!$F$8303)*2/4</f>
        <v>0.110253413888031</v>
      </c>
      <c r="J8303" s="13" t="n">
        <f aca="false">Sens!$F$8303+(g_awso_lt-Sens!$F$8303)*3/4</f>
        <v>0.0951267069440154</v>
      </c>
      <c r="K8303" s="13" t="n">
        <f aca="false">Sens!$F$8303+(g_awso_lt-Sens!$F$8303)*4/4</f>
        <v>0.08</v>
      </c>
      <c r="L8303" s="13" t="n">
        <f aca="false">g_awso_lt</f>
        <v>0.08</v>
      </c>
      <c r="M8303" s="13" t="n">
        <f aca="false">g_awso_lt</f>
        <v>0.08</v>
      </c>
      <c r="P8303" s="5" t="s">
        <v>621</v>
      </c>
    </row>
    <row r="8304" customFormat="false" ht="17.15" hidden="false" customHeight="false" outlineLevel="0" collapsed="false">
      <c r="A8304" s="1" t="s">
        <v>622</v>
      </c>
    </row>
    <row r="8305" customFormat="false" ht="17.15" hidden="false" customHeight="false" outlineLevel="0" collapsed="false">
      <c r="A8305" s="0" t="s">
        <v>623</v>
      </c>
      <c r="B8305" s="0" t="s">
        <v>86</v>
      </c>
      <c r="F8305" s="38" t="n">
        <f aca="false">cx_rt*Sens!$F$8270+cx_awso*Sens!$F$8302</f>
        <v>34.9734495387866</v>
      </c>
    </row>
    <row r="8306" customFormat="false" ht="17.15" hidden="false" customHeight="false" outlineLevel="0" collapsed="false">
      <c r="A8306" s="0" t="s">
        <v>624</v>
      </c>
      <c r="B8306" s="0" t="s">
        <v>52</v>
      </c>
      <c r="C8306" s="13" t="n">
        <f aca="false">tk_cx_h100/(tk_cx_h100+tk_fac*(1-colo_sh))</f>
        <v>0.730756458006641</v>
      </c>
      <c r="D8306" s="13" t="n">
        <f aca="false">tk_cx_h100/(tk_cx_h100+tk_fac*(1-colo_sh))</f>
        <v>0.730756458006641</v>
      </c>
      <c r="E8306" s="13" t="n">
        <f aca="false">Sens!$F$8306</f>
        <v>0.760792334328868</v>
      </c>
      <c r="F8306" s="13" t="n">
        <f aca="false">Sens!$F$8289/(Sens!$F$8289+tk_fac*(1-colo_sh))</f>
        <v>0.760792334328868</v>
      </c>
      <c r="G8306" s="13" t="n">
        <f aca="false">Sens!$G$8289/(Sens!$G$8289+tk_fac*(1-colo_sh))</f>
        <v>0.760792334328868</v>
      </c>
      <c r="H8306" s="13" t="n">
        <f aca="false">Sens!$H$8289/(Sens!$H$8289+tk_fac*(1-colo_sh))</f>
        <v>0.768110668862996</v>
      </c>
      <c r="I8306" s="13" t="n">
        <f aca="false">Sens!$I$8289/(Sens!$I$8289+tk_fac*(1-colo_sh))</f>
        <v>0.77499450139483</v>
      </c>
      <c r="J8306" s="13" t="n">
        <f aca="false">Sens!$J$8289/(Sens!$J$8289+tk_fac*(1-colo_sh))</f>
        <v>0.77499450139483</v>
      </c>
      <c r="K8306" s="13" t="n">
        <f aca="false">Sens!$K$8289/(Sens!$K$8289+tk_fac*(1-colo_sh))</f>
        <v>0.77499450139483</v>
      </c>
      <c r="L8306" s="13" t="n">
        <f aca="false">Sens!$L$8289/(Sens!$L$8289+tk_fac*(1-colo_sh))</f>
        <v>0.77499450139483</v>
      </c>
      <c r="M8306" s="13" t="n">
        <f aca="false">Sens!$M$8289/(Sens!$M$8289+tk_fac*(1-colo_sh))</f>
        <v>0.77499450139483</v>
      </c>
    </row>
    <row r="8307" customFormat="false" ht="17.15" hidden="false" customHeight="false" outlineLevel="0" collapsed="false">
      <c r="A8307" s="1" t="s">
        <v>625</v>
      </c>
      <c r="B8307" s="8" t="s">
        <v>86</v>
      </c>
      <c r="C8307" s="38" t="n">
        <f aca="false">Q!$D$46-cx_rt*Q!$D$16-cx_awso*Sens!$C$8302</f>
        <v>25.2781053077374</v>
      </c>
      <c r="D8307" s="38" t="n">
        <f aca="false">Q!$E$46-cx_rt*Q!$E$16-cx_awso*Sens!$D$8302</f>
        <v>69.5686316310026</v>
      </c>
      <c r="E8307" s="38" t="n">
        <f aca="false">Q!$P$46-cx_rt*Q!$P$16-cx_awso*Sens!$E$8302</f>
        <v>64.1899206485108</v>
      </c>
      <c r="F8307" s="38" t="n">
        <f aca="false">MAX(Sens!$F$8284*(Sens!$F$8289+tk_fac*(1-colo_sh))/1000,capex_g26-Q!$P$46-Sens!$F$8305)</f>
        <v>96.2481299895</v>
      </c>
      <c r="G8307" s="38" t="n">
        <f aca="false">Sens!$E$8307+Sens!$F$8307</f>
        <v>160.438050638011</v>
      </c>
      <c r="H8307" s="38" t="n">
        <f aca="false">Sens!$H$8284*(Sens!$H$8289+tk_fac*(1-colo_sh))/1000+Sens!$H$8308</f>
        <v>198.57136494475</v>
      </c>
      <c r="I8307" s="38" t="n">
        <f aca="false">Sens!$I$8284*(Sens!$I$8289+tk_fac*(1-colo_sh))/1000+Sens!$I$8308</f>
        <v>204.6464699105</v>
      </c>
      <c r="J8307" s="38" t="n">
        <f aca="false">Sens!$J$8284*(Sens!$J$8289+tk_fac*(1-colo_sh))/1000+Sens!$J$8308</f>
        <v>209.8832381105</v>
      </c>
      <c r="K8307" s="38" t="n">
        <f aca="false">Sens!$K$8284*(Sens!$K$8289+tk_fac*(1-colo_sh))/1000+Sens!$K$8308</f>
        <v>155.238385275201</v>
      </c>
      <c r="L8307" s="38" t="n">
        <f aca="false">Sens!$L$8284*(Sens!$L$8289+tk_fac*(1-colo_sh))/1000+Sens!$L$8308</f>
        <v>132.014141639902</v>
      </c>
      <c r="M8307" s="38" t="n">
        <f aca="false">Sens!$M$8284*(Sens!$M$8289+tk_fac*(1-colo_sh))/1000+Sens!$M$8308</f>
        <v>132.230981659852</v>
      </c>
      <c r="P8307" s="5" t="s">
        <v>626</v>
      </c>
      <c r="R8307" s="38" t="n">
        <f aca="false">Q!$C$46-cx_rt*Q!$C$16-cx_awso*(Q!$C$7-mw_ye23/2*rpm_open/1000)</f>
        <v>1.50429979529945</v>
      </c>
      <c r="S8307" s="38" t="n">
        <f aca="false">Sens!$C$8307</f>
        <v>25.2781053077374</v>
      </c>
      <c r="T8307" s="38" t="n">
        <f aca="false">Sens!$D$8307</f>
        <v>69.5686316310026</v>
      </c>
      <c r="U8307" s="38" t="n">
        <f aca="false">Sens!$G$8307</f>
        <v>160.438050638011</v>
      </c>
      <c r="V8307" s="38" t="n">
        <f aca="false">Sens!$H$8307</f>
        <v>198.57136494475</v>
      </c>
      <c r="W8307" s="38" t="n">
        <f aca="false">Sens!$I$8307</f>
        <v>204.6464699105</v>
      </c>
      <c r="X8307" s="38" t="n">
        <f aca="false">Sens!$J$8307</f>
        <v>209.8832381105</v>
      </c>
      <c r="Y8307" s="38" t="n">
        <f aca="false">Sens!$K$8307</f>
        <v>155.238385275201</v>
      </c>
      <c r="Z8307" s="38" t="n">
        <f aca="false">Sens!$L$8307</f>
        <v>132.014141639902</v>
      </c>
      <c r="AA8307" s="38" t="n">
        <f aca="false">Sens!$M$8307</f>
        <v>132.230981659852</v>
      </c>
    </row>
    <row r="8308" customFormat="false" ht="17.15" hidden="false" customHeight="false" outlineLevel="0" collapsed="false">
      <c r="A8308" s="0" t="s">
        <v>627</v>
      </c>
      <c r="B8308" s="0" t="s">
        <v>86</v>
      </c>
      <c r="H8308" s="38" t="n">
        <f aca="false">SUMPRODUCT(--(Sens!$R$8277:$AA$8277=2027-tk_life),Sens!$R$8284:$AA$8284)*Sens!$H$8289/1000</f>
        <v>0</v>
      </c>
      <c r="I8308" s="38" t="n">
        <f aca="false">SUMPRODUCT(--(Sens!$R$8277:$AA$8277=2028-tk_life),Sens!$R$8284:$AA$8284)*Sens!$I$8289/1000</f>
        <v>0</v>
      </c>
      <c r="J8308" s="38" t="n">
        <f aca="false">SUMPRODUCT(--(Sens!$R$8277:$AA$8277=2029-tk_life),Sens!$R$8284:$AA$8284)*Sens!$J$8289/1000</f>
        <v>5.2367682</v>
      </c>
      <c r="K8308" s="38" t="n">
        <f aca="false">SUMPRODUCT(--(Sens!$R$8277:$AA$8277=2030-tk_life),Sens!$R$8284:$AA$8284)*Sens!$K$8289/1000</f>
        <v>10.4735364</v>
      </c>
      <c r="L8308" s="38" t="n">
        <f aca="false">SUMPRODUCT(--(Sens!$R$8277:$AA$8277=2031-tk_life),Sens!$R$8284:$AA$8284)*Sens!$L$8289/1000</f>
        <v>47.1309138</v>
      </c>
      <c r="M8308" s="38" t="n">
        <f aca="false">SUMPRODUCT(--(Sens!$R$8277:$AA$8277=2032-tk_life),Sens!$R$8284:$AA$8284)*Sens!$M$8289/1000</f>
        <v>107.22937485525</v>
      </c>
    </row>
    <row r="8309" customFormat="false" ht="17.15" hidden="false" customHeight="false" outlineLevel="0" collapsed="false">
      <c r="A8309" s="5" t="s">
        <v>628</v>
      </c>
      <c r="B8309" s="0" t="s">
        <v>86</v>
      </c>
      <c r="C8309" s="38" t="n">
        <f aca="false">Sens!$C$8307*Sens!$C$8306</f>
        <v>18.472138699801</v>
      </c>
      <c r="D8309" s="38" t="n">
        <f aca="false">Sens!$D$8307*Sens!$D$8306</f>
        <v>50.8377268390402</v>
      </c>
      <c r="E8309" s="38" t="n">
        <f aca="false">Sens!$E$8307*Sens!$E$8306</f>
        <v>48.8351995705653</v>
      </c>
      <c r="F8309" s="38" t="n">
        <f aca="false">Sens!$F$8307*Sens!$F$8306</f>
        <v>73.2248394895</v>
      </c>
      <c r="G8309" s="38" t="n">
        <f aca="false">Sens!$E$8309+Sens!$F$8309</f>
        <v>122.060039060065</v>
      </c>
      <c r="H8309" s="38" t="n">
        <f aca="false">(Sens!$H$8307-Sens!$H$8308)*Sens!$H$8306+Sens!$H$8308</f>
        <v>152.52478394475</v>
      </c>
      <c r="I8309" s="38" t="n">
        <f aca="false">(Sens!$I$8307-Sens!$I$8308)*Sens!$I$8306+Sens!$I$8308</f>
        <v>158.5998889105</v>
      </c>
      <c r="J8309" s="38" t="n">
        <f aca="false">(Sens!$J$8307-Sens!$J$8308)*Sens!$J$8306+Sens!$J$8308</f>
        <v>163.8366571105</v>
      </c>
      <c r="K8309" s="38" t="n">
        <f aca="false">(Sens!$K$8307-Sens!$K$8308)*Sens!$K$8306+Sens!$K$8308</f>
        <v>122.665498273534</v>
      </c>
      <c r="L8309" s="38" t="n">
        <f aca="false">(Sens!$L$8307-Sens!$L$8308)*Sens!$L$8306+Sens!$L$8308</f>
        <v>112.914948636568</v>
      </c>
      <c r="M8309" s="38" t="n">
        <f aca="false">(Sens!$M$8307-Sens!$M$8308)*Sens!$M$8306+Sens!$M$8308</f>
        <v>126.605482654852</v>
      </c>
      <c r="R8309" s="38" t="n">
        <f aca="false">Sens!$R$8307*Sens!$C$8306</f>
        <v>1.09927679019314</v>
      </c>
      <c r="S8309" s="38" t="n">
        <f aca="false">Sens!$C$8309</f>
        <v>18.472138699801</v>
      </c>
      <c r="T8309" s="38" t="n">
        <f aca="false">Sens!$D$8309</f>
        <v>50.8377268390402</v>
      </c>
      <c r="U8309" s="38" t="n">
        <f aca="false">Sens!$G$8309</f>
        <v>122.060039060065</v>
      </c>
      <c r="V8309" s="38" t="n">
        <f aca="false">Sens!$H$8309</f>
        <v>152.52478394475</v>
      </c>
      <c r="W8309" s="38" t="n">
        <f aca="false">Sens!$I$8309</f>
        <v>158.5998889105</v>
      </c>
      <c r="X8309" s="38" t="n">
        <f aca="false">Sens!$J$8309</f>
        <v>163.8366571105</v>
      </c>
      <c r="Y8309" s="38" t="n">
        <f aca="false">Sens!$K$8309</f>
        <v>122.665498273534</v>
      </c>
      <c r="Z8309" s="38" t="n">
        <f aca="false">Sens!$L$8309</f>
        <v>112.914948636568</v>
      </c>
      <c r="AA8309" s="38" t="n">
        <f aca="false">Sens!$M$8309</f>
        <v>126.605482654852</v>
      </c>
    </row>
    <row r="8310" customFormat="false" ht="15" hidden="false" customHeight="false" outlineLevel="0" collapsed="false">
      <c r="A8310" s="5" t="s">
        <v>629</v>
      </c>
      <c r="B8310" s="0" t="s">
        <v>86</v>
      </c>
      <c r="C8310" s="38" t="n">
        <f aca="false">Sens!$C$8307-Sens!$C$8309</f>
        <v>6.80596660793636</v>
      </c>
      <c r="D8310" s="38" t="n">
        <f aca="false">Sens!$D$8307-Sens!$D$8309</f>
        <v>18.7309047919624</v>
      </c>
      <c r="E8310" s="38" t="n">
        <f aca="false">Sens!$E$8307-Sens!$E$8309</f>
        <v>15.3547210779455</v>
      </c>
      <c r="F8310" s="38" t="n">
        <f aca="false">Sens!$F$8307-Sens!$F$8309</f>
        <v>23.0232905</v>
      </c>
      <c r="G8310" s="38" t="n">
        <f aca="false">Sens!$G$8307-Sens!$G$8309</f>
        <v>38.3780115779455</v>
      </c>
      <c r="H8310" s="38" t="n">
        <f aca="false">Sens!$H$8307-Sens!$H$8309</f>
        <v>46.046581</v>
      </c>
      <c r="I8310" s="38" t="n">
        <f aca="false">Sens!$I$8307-Sens!$I$8309</f>
        <v>46.046581</v>
      </c>
      <c r="J8310" s="38" t="n">
        <f aca="false">Sens!$J$8307-Sens!$J$8309</f>
        <v>46.046581</v>
      </c>
      <c r="K8310" s="38" t="n">
        <f aca="false">Sens!$K$8307-Sens!$K$8309</f>
        <v>32.5728870016667</v>
      </c>
      <c r="L8310" s="38" t="n">
        <f aca="false">Sens!$L$8307-Sens!$L$8309</f>
        <v>19.0991930033334</v>
      </c>
      <c r="M8310" s="38" t="n">
        <f aca="false">Sens!$M$8307-Sens!$M$8309</f>
        <v>5.62549900499998</v>
      </c>
      <c r="R8310" s="38" t="n">
        <f aca="false">Sens!$R$8307-Sens!$R$8309</f>
        <v>0.405023005106309</v>
      </c>
      <c r="S8310" s="38" t="n">
        <f aca="false">Sens!$S$8307-Sens!$S$8309</f>
        <v>6.80596660793636</v>
      </c>
      <c r="T8310" s="38" t="n">
        <f aca="false">Sens!$T$8307-Sens!$T$8309</f>
        <v>18.7309047919624</v>
      </c>
      <c r="U8310" s="38" t="n">
        <f aca="false">Sens!$U$8307-Sens!$U$8309</f>
        <v>38.3780115779455</v>
      </c>
      <c r="V8310" s="38" t="n">
        <f aca="false">Sens!$V$8307-Sens!$V$8309</f>
        <v>46.046581</v>
      </c>
      <c r="W8310" s="38" t="n">
        <f aca="false">Sens!$W$8307-Sens!$W$8309</f>
        <v>46.046581</v>
      </c>
      <c r="X8310" s="38" t="n">
        <f aca="false">Sens!$X$8307-Sens!$X$8309</f>
        <v>46.046581</v>
      </c>
      <c r="Y8310" s="38" t="n">
        <f aca="false">Sens!$Y$8307-Sens!$Y$8309</f>
        <v>32.5728870016667</v>
      </c>
      <c r="Z8310" s="38" t="n">
        <f aca="false">Sens!$Z$8307-Sens!$Z$8309</f>
        <v>19.0991930033334</v>
      </c>
      <c r="AA8310" s="38" t="n">
        <f aca="false">Sens!$AA$8307-Sens!$AA$8309</f>
        <v>5.62549900499998</v>
      </c>
    </row>
    <row r="8311" customFormat="false" ht="17.15" hidden="false" customHeight="false" outlineLevel="0" collapsed="false">
      <c r="A8311" s="0" t="s">
        <v>630</v>
      </c>
      <c r="B8311" s="0" t="s">
        <v>52</v>
      </c>
      <c r="C8311" s="13" t="n">
        <f aca="false">Sens!$C$8307/Sens!$C$8427</f>
        <v>0.325505489553393</v>
      </c>
      <c r="D8311" s="13" t="n">
        <f aca="false">Sens!$D$8307/Sens!$D$8427</f>
        <v>0.54214956071542</v>
      </c>
      <c r="E8311" s="13" t="n">
        <f aca="false">Sens!$E$8307/Sens!$E$8427</f>
        <v>0.666492790452817</v>
      </c>
      <c r="F8311" s="13" t="n">
        <f aca="false">Sens!$F$8307/Sens!$F$8427</f>
        <v>0.733477910687338</v>
      </c>
      <c r="G8311" s="13" t="n">
        <f aca="false">Sens!$G$8307/Sens!$G$8427</f>
        <v>0.705124321514523</v>
      </c>
      <c r="H8311" s="13" t="n">
        <f aca="false">Sens!$H$8307/Sens!$H$8427</f>
        <v>0.726376041178204</v>
      </c>
      <c r="I8311" s="13" t="n">
        <f aca="false">Sens!$I$8307/Sens!$I$8427</f>
        <v>0.713099092661699</v>
      </c>
      <c r="J8311" s="13" t="n">
        <f aca="false">Sens!$J$8307/Sens!$J$8427</f>
        <v>0.701208348786245</v>
      </c>
      <c r="K8311" s="13" t="n">
        <f aca="false">Sens!$K$8307/Sens!$K$8427</f>
        <v>0.618338844562383</v>
      </c>
      <c r="L8311" s="13" t="n">
        <f aca="false">Sens!$L$8307/Sens!$L$8427</f>
        <v>0.562489158462506</v>
      </c>
      <c r="M8311" s="13" t="n">
        <f aca="false">Sens!$M$8307/Sens!$M$8427</f>
        <v>0.545751190895923</v>
      </c>
    </row>
    <row r="8312" customFormat="false" ht="17.15" hidden="false" customHeight="false" outlineLevel="0" collapsed="false">
      <c r="A8312" s="0" t="s">
        <v>631</v>
      </c>
      <c r="B8312" s="0" t="s">
        <v>86</v>
      </c>
      <c r="C8312" s="38" t="n">
        <f aca="false">Sens!$S$8312</f>
        <v>0.183212798365523</v>
      </c>
      <c r="D8312" s="38" t="n">
        <f aca="false">Sens!$T$8312</f>
        <v>3.2619025816657</v>
      </c>
      <c r="E8312" s="38" t="n">
        <f aca="false">Sens!$G$8312/2</f>
        <v>5.86742852741953</v>
      </c>
      <c r="F8312" s="38" t="n">
        <f aca="false">Sens!$G$8312/2</f>
        <v>5.86742852741953</v>
      </c>
      <c r="G8312" s="38" t="n">
        <f aca="false">Sens!$U$8312</f>
        <v>11.7348570548391</v>
      </c>
      <c r="H8312" s="38" t="n">
        <f aca="false">Sens!$V$8312</f>
        <v>32.0781968981833</v>
      </c>
      <c r="I8312" s="38" t="n">
        <f aca="false">Sens!$W$8312</f>
        <v>57.4989942223083</v>
      </c>
      <c r="J8312" s="38" t="n">
        <f aca="false">Sens!$X$8312</f>
        <v>83.932309040725</v>
      </c>
      <c r="K8312" s="38" t="n">
        <f aca="false">Sens!$Y$8312</f>
        <v>111.055205760776</v>
      </c>
      <c r="L8312" s="38" t="n">
        <f aca="false">Sens!$Z$8312</f>
        <v>128.420765689732</v>
      </c>
      <c r="M8312" s="38" t="n">
        <f aca="false">Sens!$AA$8312</f>
        <v>138.766969322653</v>
      </c>
      <c r="N8312" s="38" t="n">
        <f aca="false">Sens!$D$8312/2</f>
        <v>1.63095129083285</v>
      </c>
      <c r="O8312" s="38" t="n">
        <f aca="false">Sens!$D$8312/2</f>
        <v>1.63095129083285</v>
      </c>
      <c r="R8312" s="38" t="n">
        <f aca="false">SUMPRODUCT(--(Sens!$R$8277:$AA$8277&lt;Sens!R$8277),--(Sens!$R$8277:$AA$8277&gt;=Sens!R$8277-tk_life),Sens!$R$8309:$AA$8309)/tk_life</f>
        <v>0</v>
      </c>
      <c r="S8312" s="38" t="n">
        <f aca="false">SUMPRODUCT(--(Sens!$R$8277:$AA$8277&lt;Sens!S$8277),--(Sens!$R$8277:$AA$8277&gt;=Sens!S$8277-tk_life),Sens!$R$8309:$AA$8309)/tk_life</f>
        <v>0.183212798365523</v>
      </c>
      <c r="T8312" s="38" t="n">
        <f aca="false">SUMPRODUCT(--(Sens!$R$8277:$AA$8277&lt;Sens!T$8277),--(Sens!$R$8277:$AA$8277&gt;=Sens!T$8277-tk_life),Sens!$R$8309:$AA$8309)/tk_life</f>
        <v>3.2619025816657</v>
      </c>
      <c r="U8312" s="38" t="n">
        <f aca="false">SUMPRODUCT(--(Sens!$R$8277:$AA$8277&lt;Sens!U$8277),--(Sens!$R$8277:$AA$8277&gt;=Sens!U$8277-tk_life),Sens!$R$8309:$AA$8309)/tk_life</f>
        <v>11.7348570548391</v>
      </c>
      <c r="V8312" s="38" t="n">
        <f aca="false">SUMPRODUCT(--(Sens!$R$8277:$AA$8277&lt;Sens!V$8277),--(Sens!$R$8277:$AA$8277&gt;=Sens!V$8277-tk_life),Sens!$R$8309:$AA$8309)/tk_life</f>
        <v>32.0781968981833</v>
      </c>
      <c r="W8312" s="38" t="n">
        <f aca="false">SUMPRODUCT(--(Sens!$R$8277:$AA$8277&lt;Sens!W$8277),--(Sens!$R$8277:$AA$8277&gt;=Sens!W$8277-tk_life),Sens!$R$8309:$AA$8309)/tk_life</f>
        <v>57.4989942223083</v>
      </c>
      <c r="X8312" s="38" t="n">
        <f aca="false">SUMPRODUCT(--(Sens!$R$8277:$AA$8277&lt;Sens!X$8277),--(Sens!$R$8277:$AA$8277&gt;=Sens!X$8277-tk_life),Sens!$R$8309:$AA$8309)/tk_life</f>
        <v>83.932309040725</v>
      </c>
      <c r="Y8312" s="38" t="n">
        <f aca="false">SUMPRODUCT(--(Sens!$R$8277:$AA$8277&lt;Sens!Y$8277),--(Sens!$R$8277:$AA$8277&gt;=Sens!Y$8277-tk_life),Sens!$R$8309:$AA$8309)/tk_life</f>
        <v>111.055205760776</v>
      </c>
      <c r="Z8312" s="38" t="n">
        <f aca="false">SUMPRODUCT(--(Sens!$R$8277:$AA$8277&lt;Sens!Z$8277),--(Sens!$R$8277:$AA$8277&gt;=Sens!Z$8277-tk_life),Sens!$R$8309:$AA$8309)/tk_life</f>
        <v>128.420765689732</v>
      </c>
      <c r="AA8312" s="38" t="n">
        <f aca="false">SUMPRODUCT(--(Sens!$R$8277:$AA$8277&lt;Sens!AA$8277),--(Sens!$R$8277:$AA$8277&gt;=Sens!AA$8277-tk_life),Sens!$R$8309:$AA$8309)/tk_life</f>
        <v>138.766969322653</v>
      </c>
    </row>
    <row r="8313" customFormat="false" ht="17.15" hidden="false" customHeight="false" outlineLevel="0" collapsed="false">
      <c r="A8313" s="0" t="s">
        <v>632</v>
      </c>
      <c r="B8313" s="0" t="s">
        <v>86</v>
      </c>
      <c r="C8313" s="38" t="n">
        <f aca="false">Sens!$S$8313</f>
        <v>0.0202511502553155</v>
      </c>
      <c r="D8313" s="38" t="n">
        <f aca="false">Sens!$T$8313</f>
        <v>0.360549480652134</v>
      </c>
      <c r="E8313" s="38" t="n">
        <f aca="false">Sens!$G$8313/2</f>
        <v>0.648547360125127</v>
      </c>
      <c r="F8313" s="38" t="n">
        <f aca="false">Sens!$G$8313/2</f>
        <v>0.648547360125127</v>
      </c>
      <c r="G8313" s="38" t="n">
        <f aca="false">Sens!$U$8313</f>
        <v>1.29709472025025</v>
      </c>
      <c r="H8313" s="38" t="n">
        <f aca="false">Sens!$V$8313</f>
        <v>3.21599529914753</v>
      </c>
      <c r="I8313" s="38" t="n">
        <f aca="false">Sens!$W$8313</f>
        <v>5.51832434914753</v>
      </c>
      <c r="J8313" s="38" t="n">
        <f aca="false">Sens!$X$8313</f>
        <v>7.82065339914753</v>
      </c>
      <c r="K8313" s="38" t="n">
        <f aca="false">Sens!$Y$8313</f>
        <v>10.1229824491475</v>
      </c>
      <c r="L8313" s="38" t="n">
        <f aca="false">Sens!$Z$8313</f>
        <v>11.7516267992309</v>
      </c>
      <c r="M8313" s="38" t="n">
        <f aca="false">Sens!$AA$8313</f>
        <v>12.7065864493975</v>
      </c>
      <c r="N8313" s="38" t="n">
        <f aca="false">Sens!$D$8313/2</f>
        <v>0.180274740326067</v>
      </c>
      <c r="O8313" s="38" t="n">
        <f aca="false">Sens!$D$8313/2</f>
        <v>0.180274740326067</v>
      </c>
      <c r="R8313" s="38" t="n">
        <f aca="false">SUMPRODUCT(--(Sens!$R$8277:$AA$8277&lt;Sens!R$8277),Sens!$R$8310:$AA$8310)/fac_life</f>
        <v>0</v>
      </c>
      <c r="S8313" s="38" t="n">
        <f aca="false">SUMPRODUCT(--(Sens!$R$8277:$AA$8277&lt;Sens!S$8277),Sens!$R$8310:$AA$8310)/fac_life</f>
        <v>0.0202511502553155</v>
      </c>
      <c r="T8313" s="38" t="n">
        <f aca="false">SUMPRODUCT(--(Sens!$R$8277:$AA$8277&lt;Sens!T$8277),Sens!$R$8310:$AA$8310)/fac_life</f>
        <v>0.360549480652134</v>
      </c>
      <c r="U8313" s="38" t="n">
        <f aca="false">SUMPRODUCT(--(Sens!$R$8277:$AA$8277&lt;Sens!U$8277),Sens!$R$8310:$AA$8310)/fac_life</f>
        <v>1.29709472025025</v>
      </c>
      <c r="V8313" s="38" t="n">
        <f aca="false">SUMPRODUCT(--(Sens!$R$8277:$AA$8277&lt;Sens!V$8277),Sens!$R$8310:$AA$8310)/fac_life</f>
        <v>3.21599529914753</v>
      </c>
      <c r="W8313" s="38" t="n">
        <f aca="false">SUMPRODUCT(--(Sens!$R$8277:$AA$8277&lt;Sens!W$8277),Sens!$R$8310:$AA$8310)/fac_life</f>
        <v>5.51832434914753</v>
      </c>
      <c r="X8313" s="38" t="n">
        <f aca="false">SUMPRODUCT(--(Sens!$R$8277:$AA$8277&lt;Sens!X$8277),Sens!$R$8310:$AA$8310)/fac_life</f>
        <v>7.82065339914753</v>
      </c>
      <c r="Y8313" s="38" t="n">
        <f aca="false">SUMPRODUCT(--(Sens!$R$8277:$AA$8277&lt;Sens!Y$8277),Sens!$R$8310:$AA$8310)/fac_life</f>
        <v>10.1229824491475</v>
      </c>
      <c r="Z8313" s="38" t="n">
        <f aca="false">SUMPRODUCT(--(Sens!$R$8277:$AA$8277&lt;Sens!Z$8277),Sens!$R$8310:$AA$8310)/fac_life</f>
        <v>11.7516267992309</v>
      </c>
      <c r="AA8313" s="38" t="n">
        <f aca="false">SUMPRODUCT(--(Sens!$R$8277:$AA$8277&lt;Sens!AA$8277),Sens!$R$8310:$AA$8310)/fac_life</f>
        <v>12.7065864493975</v>
      </c>
    </row>
    <row r="8314" customFormat="false" ht="17.15" hidden="false" customHeight="false" outlineLevel="0" collapsed="false">
      <c r="A8314" s="1" t="s">
        <v>633</v>
      </c>
      <c r="B8314" s="8" t="s">
        <v>86</v>
      </c>
      <c r="C8314" s="38" t="n">
        <f aca="false">Sens!$C$8312+Sens!$C$8313</f>
        <v>0.203463948620839</v>
      </c>
      <c r="D8314" s="38" t="n">
        <f aca="false">Sens!$D$8312+Sens!$D$8313</f>
        <v>3.62245206231783</v>
      </c>
      <c r="E8314" s="38" t="n">
        <f aca="false">Sens!$E$8312+Sens!$E$8313</f>
        <v>6.51597588754466</v>
      </c>
      <c r="F8314" s="38" t="n">
        <f aca="false">Sens!$F$8312+Sens!$F$8313</f>
        <v>6.51597588754466</v>
      </c>
      <c r="G8314" s="38" t="n">
        <f aca="false">Sens!$G$8312+Sens!$G$8313</f>
        <v>13.0319517750893</v>
      </c>
      <c r="H8314" s="38" t="n">
        <f aca="false">Sens!$H$8312+Sens!$H$8313</f>
        <v>35.2941921973308</v>
      </c>
      <c r="I8314" s="38" t="n">
        <f aca="false">Sens!$I$8312+Sens!$I$8313</f>
        <v>63.0173185714558</v>
      </c>
      <c r="J8314" s="38" t="n">
        <f aca="false">Sens!$J$8312+Sens!$J$8313</f>
        <v>91.7529624398725</v>
      </c>
      <c r="K8314" s="38" t="n">
        <f aca="false">Sens!$K$8312+Sens!$K$8313</f>
        <v>121.178188209924</v>
      </c>
      <c r="L8314" s="38" t="n">
        <f aca="false">Sens!$L$8312+Sens!$L$8313</f>
        <v>140.172392488963</v>
      </c>
      <c r="M8314" s="38" t="n">
        <f aca="false">Sens!$M$8312+Sens!$M$8313</f>
        <v>151.473555772051</v>
      </c>
      <c r="N8314" s="38" t="n">
        <f aca="false">Sens!$N$8312+Sens!$N$8313</f>
        <v>1.81122603115892</v>
      </c>
      <c r="O8314" s="38" t="n">
        <f aca="false">Sens!$O$8312+Sens!$O$8313</f>
        <v>1.81122603115892</v>
      </c>
      <c r="R8314" s="38" t="n">
        <f aca="false">Sens!$R$8312+Sens!$R$8313</f>
        <v>0</v>
      </c>
      <c r="S8314" s="38" t="n">
        <f aca="false">Sens!$S$8312+Sens!$S$8313</f>
        <v>0.203463948620839</v>
      </c>
      <c r="T8314" s="38" t="n">
        <f aca="false">Sens!$T$8312+Sens!$T$8313</f>
        <v>3.62245206231783</v>
      </c>
      <c r="U8314" s="38" t="n">
        <f aca="false">Sens!$U$8312+Sens!$U$8313</f>
        <v>13.0319517750893</v>
      </c>
      <c r="V8314" s="38" t="n">
        <f aca="false">Sens!$V$8312+Sens!$V$8313</f>
        <v>35.2941921973308</v>
      </c>
      <c r="W8314" s="38" t="n">
        <f aca="false">Sens!$W$8312+Sens!$W$8313</f>
        <v>63.0173185714558</v>
      </c>
      <c r="X8314" s="38" t="n">
        <f aca="false">Sens!$X$8312+Sens!$X$8313</f>
        <v>91.7529624398725</v>
      </c>
      <c r="Y8314" s="38" t="n">
        <f aca="false">Sens!$Y$8312+Sens!$Y$8313</f>
        <v>121.178188209924</v>
      </c>
      <c r="Z8314" s="38" t="n">
        <f aca="false">Sens!$Z$8312+Sens!$Z$8313</f>
        <v>140.172392488963</v>
      </c>
      <c r="AA8314" s="38" t="n">
        <f aca="false">Sens!$AA$8312+Sens!$AA$8313</f>
        <v>151.473555772051</v>
      </c>
    </row>
    <row r="8315" customFormat="false" ht="17.15" hidden="false" customHeight="false" outlineLevel="0" collapsed="false">
      <c r="A8315" s="0" t="s">
        <v>634</v>
      </c>
      <c r="B8315" s="0" t="s">
        <v>86</v>
      </c>
      <c r="C8315" s="38" t="n">
        <f aca="false">Sens!$S$8315</f>
        <v>26.578941154416</v>
      </c>
      <c r="D8315" s="38" t="n">
        <f aca="false">Sens!$T$8315</f>
        <v>92.5251207231008</v>
      </c>
      <c r="G8315" s="38" t="n">
        <f aca="false">Sens!$U$8315</f>
        <v>239.931219586022</v>
      </c>
      <c r="H8315" s="38" t="n">
        <f aca="false">Sens!$V$8315</f>
        <v>403.208392333442</v>
      </c>
      <c r="I8315" s="38" t="n">
        <f aca="false">Sens!$W$8315</f>
        <v>544.837543672486</v>
      </c>
      <c r="J8315" s="38" t="n">
        <f aca="false">Sens!$X$8315</f>
        <v>662.967819343113</v>
      </c>
      <c r="K8315" s="38" t="n">
        <f aca="false">Sens!$Y$8315</f>
        <v>697.028016408391</v>
      </c>
      <c r="L8315" s="38" t="n">
        <f aca="false">Sens!$Z$8315</f>
        <v>688.86976555933</v>
      </c>
      <c r="M8315" s="38" t="n">
        <f aca="false">Sens!$AA$8315</f>
        <v>669.627191447132</v>
      </c>
      <c r="R8315" s="38" t="n">
        <f aca="false">SUM(Sens!$R$8307:$R$8307)-SUM(Sens!$R$8314:$R$8314)</f>
        <v>1.50429979529945</v>
      </c>
      <c r="S8315" s="38" t="n">
        <f aca="false">SUM(Sens!$R$8307:$S$8307)-SUM(Sens!$R$8314:$S$8314)</f>
        <v>26.578941154416</v>
      </c>
      <c r="T8315" s="38" t="n">
        <f aca="false">SUM(Sens!$R$8307:$T$8307)-SUM(Sens!$R$8314:$T$8314)</f>
        <v>92.5251207231008</v>
      </c>
      <c r="U8315" s="38" t="n">
        <f aca="false">SUM(Sens!$R$8307:$U$8307)-SUM(Sens!$R$8314:$U$8314)</f>
        <v>239.931219586022</v>
      </c>
      <c r="V8315" s="38" t="n">
        <f aca="false">SUM(Sens!$R$8307:$V$8307)-SUM(Sens!$R$8314:$V$8314)</f>
        <v>403.208392333442</v>
      </c>
      <c r="W8315" s="38" t="n">
        <f aca="false">SUM(Sens!$R$8307:$W$8307)-SUM(Sens!$R$8314:$W$8314)</f>
        <v>544.837543672486</v>
      </c>
      <c r="X8315" s="38" t="n">
        <f aca="false">SUM(Sens!$R$8307:$X$8307)-SUM(Sens!$R$8314:$X$8314)</f>
        <v>662.967819343113</v>
      </c>
      <c r="Y8315" s="38" t="n">
        <f aca="false">SUM(Sens!$R$8307:$Y$8307)-SUM(Sens!$R$8314:$Y$8314)</f>
        <v>697.028016408391</v>
      </c>
      <c r="Z8315" s="38" t="n">
        <f aca="false">SUM(Sens!$R$8307:$Z$8307)-SUM(Sens!$R$8314:$Z$8314)</f>
        <v>688.86976555933</v>
      </c>
      <c r="AA8315" s="38" t="n">
        <f aca="false">SUM(Sens!$R$8307:$AA$8307)-SUM(Sens!$R$8314:$AA$8314)</f>
        <v>669.627191447132</v>
      </c>
    </row>
    <row r="8316" customFormat="false" ht="17.15" hidden="false" customHeight="false" outlineLevel="0" collapsed="false">
      <c r="A8316" s="1" t="s">
        <v>635</v>
      </c>
    </row>
    <row r="8317" customFormat="false" ht="17.15" hidden="false" customHeight="false" outlineLevel="0" collapsed="false">
      <c r="A8317" s="0" t="s">
        <v>636</v>
      </c>
      <c r="B8317" s="0" t="s">
        <v>86</v>
      </c>
      <c r="C8317" s="38" t="n">
        <f aca="false">Sens!$C$8298-ext_sh*Sens!$C$8300</f>
        <v>1.80694998843362</v>
      </c>
      <c r="D8317" s="38" t="n">
        <f aca="false">Sens!$D$8298-ext_sh*Sens!$D$8300</f>
        <v>6.77606245662607</v>
      </c>
      <c r="E8317" s="38" t="n">
        <f aca="false">Sens!$E$8298-ext_sh*Sens!$E$8300</f>
        <v>6.62548329092326</v>
      </c>
      <c r="F8317" s="38" t="n">
        <f aca="false">Sens!$F$8298-ext_sh*Sens!$F$8300</f>
        <v>11.7200577158706</v>
      </c>
      <c r="G8317" s="38" t="n">
        <f aca="false">Sens!$G$8298-ext_sh*Sens!$G$8300</f>
        <v>18.3455410067939</v>
      </c>
      <c r="H8317" s="38" t="n">
        <f aca="false">Sens!$H$8298-ext_sh*Sens!$H$8300</f>
        <v>47.5171727060453</v>
      </c>
      <c r="I8317" s="38" t="n">
        <f aca="false">Sens!$I$8298-ext_sh*Sens!$I$8300</f>
        <v>80.5539692643667</v>
      </c>
      <c r="J8317" s="38" t="n">
        <f aca="false">Sens!$J$8298-ext_sh*Sens!$J$8300</f>
        <v>113.759316834883</v>
      </c>
      <c r="K8317" s="38" t="n">
        <f aca="false">Sens!$K$8298-ext_sh*Sens!$K$8300</f>
        <v>142.084411492169</v>
      </c>
      <c r="L8317" s="38" t="n">
        <f aca="false">Sens!$L$8298-ext_sh*Sens!$L$8300</f>
        <v>160.69964615804</v>
      </c>
      <c r="M8317" s="38" t="n">
        <f aca="false">Sens!$M$8298-ext_sh*Sens!$M$8300</f>
        <v>169.577607141793</v>
      </c>
      <c r="N8317" s="38" t="n">
        <f aca="false">Sens!$N$8298-ext_sh*Sens!$N$8300</f>
        <v>2.37162185981912</v>
      </c>
      <c r="O8317" s="38" t="n">
        <f aca="false">Sens!$O$8298-ext_sh*Sens!$O$8300</f>
        <v>4.40444059680694</v>
      </c>
    </row>
    <row r="8318" customFormat="false" ht="17.15" hidden="false" customHeight="false" outlineLevel="0" collapsed="false">
      <c r="A8318" s="1" t="s">
        <v>637</v>
      </c>
      <c r="B8318" s="8" t="s">
        <v>86</v>
      </c>
      <c r="C8318" s="38" t="n">
        <f aca="false">Sens!$C$8317-ext_sh*Sens!$C$8314</f>
        <v>1.64417882953695</v>
      </c>
      <c r="D8318" s="38" t="n">
        <f aca="false">Sens!$D$8317-ext_sh*Sens!$D$8314</f>
        <v>3.8781008067718</v>
      </c>
      <c r="E8318" s="38" t="n">
        <f aca="false">Sens!$E$8317-ext_sh*Sens!$E$8314</f>
        <v>1.41270258088753</v>
      </c>
      <c r="F8318" s="38" t="n">
        <f aca="false">Sens!$F$8317-ext_sh*Sens!$F$8314</f>
        <v>6.50727700583486</v>
      </c>
      <c r="G8318" s="38" t="n">
        <f aca="false">Sens!$G$8317-ext_sh*Sens!$G$8314</f>
        <v>7.9199795867224</v>
      </c>
      <c r="H8318" s="38" t="n">
        <f aca="false">Sens!$H$8317-ext_sh*Sens!$H$8314</f>
        <v>19.2818189481807</v>
      </c>
      <c r="I8318" s="38" t="n">
        <f aca="false">Sens!$I$8317-ext_sh*Sens!$I$8314</f>
        <v>30.140114407202</v>
      </c>
      <c r="J8318" s="38" t="n">
        <f aca="false">Sens!$J$8317-ext_sh*Sens!$J$8314</f>
        <v>40.3569468829854</v>
      </c>
      <c r="K8318" s="38" t="n">
        <f aca="false">Sens!$K$8317-ext_sh*Sens!$K$8314</f>
        <v>45.1418609242305</v>
      </c>
      <c r="L8318" s="38" t="n">
        <f aca="false">Sens!$L$8317-ext_sh*Sens!$L$8314</f>
        <v>48.5617321668703</v>
      </c>
      <c r="M8318" s="38" t="n">
        <f aca="false">Sens!$M$8317-ext_sh*Sens!$M$8314</f>
        <v>48.3987625241529</v>
      </c>
      <c r="N8318" s="38" t="n">
        <f aca="false">Sens!$N$8317-ext_sh*Sens!$N$8314</f>
        <v>0.92264103489199</v>
      </c>
      <c r="O8318" s="38" t="n">
        <f aca="false">Sens!$O$8317-ext_sh*Sens!$O$8314</f>
        <v>2.95545977187981</v>
      </c>
    </row>
    <row r="8319" customFormat="false" ht="17.15" hidden="false" customHeight="false" outlineLevel="0" collapsed="false">
      <c r="A8319" s="0" t="s">
        <v>638</v>
      </c>
      <c r="B8319" s="0" t="s">
        <v>52</v>
      </c>
      <c r="C8319" s="13" t="n">
        <f aca="false">Sens!$C$8318/Sens!$C$8298</f>
        <v>0.708390794789371</v>
      </c>
      <c r="D8319" s="13" t="n">
        <f aca="false">Sens!$D$8318/Sens!$D$8298</f>
        <v>0.445565630441968</v>
      </c>
      <c r="E8319" s="13" t="n">
        <f aca="false">Sens!$E$8318/Sens!$E$8298</f>
        <v>0.165998118402711</v>
      </c>
      <c r="F8319" s="13" t="n">
        <f aca="false">Sens!$F$8318/Sens!$F$8298</f>
        <v>0.434878595403858</v>
      </c>
      <c r="G8319" s="13" t="n">
        <f aca="false">Sens!$G$8318/Sens!$G$8298</f>
        <v>0.3373967615381</v>
      </c>
      <c r="H8319" s="13" t="n">
        <f aca="false">Sens!$H$8318/Sens!$H$8298</f>
        <v>0.320477578041224</v>
      </c>
      <c r="I8319" s="13" t="n">
        <f aca="false">Sens!$I$8318/Sens!$I$8298</f>
        <v>0.296936118226494</v>
      </c>
      <c r="J8319" s="13" t="n">
        <f aca="false">Sens!$J$8318/Sens!$J$8298</f>
        <v>0.282166278613001</v>
      </c>
      <c r="K8319" s="13" t="n">
        <f aca="false">Sens!$K$8318/Sens!$K$8298</f>
        <v>0.252969102881543</v>
      </c>
      <c r="L8319" s="13" t="n">
        <f aca="false">Sens!$L$8318/Sens!$L$8298</f>
        <v>0.240728642826566</v>
      </c>
      <c r="M8319" s="13" t="n">
        <f aca="false">Sens!$M$8318/Sens!$M$8298</f>
        <v>0.227399920863147</v>
      </c>
      <c r="N8319" s="13" t="n">
        <f aca="false">Sens!$N$8318/Sens!$N$8298</f>
        <v>0.302870734830849</v>
      </c>
      <c r="O8319" s="13" t="n">
        <f aca="false">Sens!$O$8318/Sens!$O$8298</f>
        <v>0.52240134346334</v>
      </c>
    </row>
    <row r="8320" customFormat="false" ht="17.15" hidden="false" customHeight="false" outlineLevel="0" collapsed="false">
      <c r="A8320" s="5" t="s">
        <v>639</v>
      </c>
      <c r="B8320" s="0" t="s">
        <v>86</v>
      </c>
      <c r="C8320" s="39" t="n">
        <v>0</v>
      </c>
      <c r="D8320" s="39" t="n">
        <v>0</v>
      </c>
      <c r="E8320" s="39" t="n">
        <v>0</v>
      </c>
      <c r="F8320" s="38" t="n">
        <f aca="false">IF(internal_ai_reading=2,1,0)*(1-ext_sh)/ext_sh*(mw_open*he_open+Sens!$F$8296*Sens!$F$8293)*Sens!$F$8282/1000</f>
        <v>3.77122048175818</v>
      </c>
      <c r="G8320" s="38" t="n">
        <f aca="false">Sens!$E$8320+Sens!$F$8320</f>
        <v>3.77122048175818</v>
      </c>
      <c r="H8320" s="38" t="n">
        <f aca="false">IF(internal_ai_reading=2,1,0)*(1-ext_sh)/ext_sh*(mw_open*he_open+Sens!$H$8296*Sens!$H$8293)*Sens!$H$8282/1000</f>
        <v>15.1635543609893</v>
      </c>
      <c r="I8320" s="38" t="n">
        <f aca="false">IF(internal_ai_reading=2,1,0)*(1-ext_sh)/ext_sh*(mw_open*he_open+Sens!$I$8296*Sens!$I$8293)*Sens!$I$8282/1000</f>
        <v>25.5818843619889</v>
      </c>
      <c r="J8320" s="38" t="n">
        <f aca="false">IF(internal_ai_reading=2,1,0)*(1-ext_sh)/ext_sh*(mw_open*he_open+Sens!$J$8296*Sens!$J$8293)*Sens!$J$8282/1000</f>
        <v>36.0465624179122</v>
      </c>
      <c r="K8320" s="38" t="n">
        <f aca="false">IF(internal_ai_reading=2,1,0)*(1-ext_sh)/ext_sh*(mw_open*he_open+Sens!$K$8296*Sens!$K$8293)*Sens!$K$8282/1000</f>
        <v>44.9741164026038</v>
      </c>
      <c r="L8320" s="38" t="n">
        <f aca="false">IF(internal_ai_reading=2,1,0)*(1-ext_sh)/ext_sh*(mw_open*he_open+Sens!$L$8296*Sens!$L$8293)*Sens!$L$8282/1000</f>
        <v>50.8413488057813</v>
      </c>
      <c r="M8320" s="38" t="n">
        <f aca="false">IF(internal_ai_reading=2,1,0)*(1-ext_sh)/ext_sh*(mw_open*he_open+Sens!$M$8296*Sens!$M$8293)*Sens!$M$8282/1000</f>
        <v>53.6407214274315</v>
      </c>
      <c r="N8320" s="39" t="n">
        <v>0</v>
      </c>
      <c r="O8320" s="39" t="n">
        <v>0</v>
      </c>
      <c r="P8320" s="8" t="s">
        <v>640</v>
      </c>
    </row>
    <row r="8321" customFormat="false" ht="17.15" hidden="false" customHeight="false" outlineLevel="0" collapsed="false">
      <c r="A8321" s="5" t="s">
        <v>641</v>
      </c>
      <c r="B8321" s="0" t="s">
        <v>86</v>
      </c>
      <c r="C8321" s="38" t="n">
        <f aca="false">(1-ext_sh)*(Sens!$C$8300+Sens!$C$8314)</f>
        <v>0.169206631859174</v>
      </c>
      <c r="D8321" s="38" t="n">
        <f aca="false">(1-ext_sh)*(Sens!$D$8300+Sens!$D$8314)</f>
        <v>1.20641732046984</v>
      </c>
      <c r="E8321" s="38" t="n">
        <f aca="false">(1-ext_sh)*(Sens!$E$8300+Sens!$E$8314)</f>
        <v>1.77441259867062</v>
      </c>
      <c r="F8321" s="38" t="n">
        <f aca="false">(1-ext_sh)*(Sens!$F$8300+Sens!$F$8314)</f>
        <v>2.1140391597214</v>
      </c>
      <c r="G8321" s="38" t="n">
        <f aca="false">(1-ext_sh)*(Sens!$G$8300+Sens!$G$8314)</f>
        <v>3.88845175839202</v>
      </c>
      <c r="H8321" s="38" t="n">
        <f aca="false">(1-ext_sh)*(Sens!$H$8300+Sens!$H$8314)</f>
        <v>10.2210179503985</v>
      </c>
      <c r="I8321" s="38" t="n">
        <f aca="false">(1-ext_sh)*(Sens!$I$8300+Sens!$I$8314)</f>
        <v>17.8408961823075</v>
      </c>
      <c r="J8321" s="38" t="n">
        <f aca="false">(1-ext_sh)*(Sens!$J$8300+Sens!$J$8314)</f>
        <v>25.6671150670732</v>
      </c>
      <c r="K8321" s="38" t="n">
        <f aca="false">(1-ext_sh)*(Sens!$K$8300+Sens!$K$8314)</f>
        <v>33.3265648647373</v>
      </c>
      <c r="L8321" s="38" t="n">
        <f aca="false">(1-ext_sh)*(Sens!$L$8300+Sens!$L$8314)</f>
        <v>38.2915924088815</v>
      </c>
      <c r="M8321" s="38" t="n">
        <f aca="false">(1-ext_sh)*(Sens!$M$8300+Sens!$M$8314)</f>
        <v>41.1091697111781</v>
      </c>
      <c r="N8321" s="38" t="n">
        <f aca="false">(1-ext_sh)*(Sens!$N$8300+Sens!$N$8314)</f>
        <v>0.530919624033979</v>
      </c>
      <c r="O8321" s="38" t="n">
        <f aca="false">(1-ext_sh)*(Sens!$O$8300+Sens!$O$8314)</f>
        <v>0.675497696435861</v>
      </c>
    </row>
    <row r="8322" customFormat="false" ht="17.15" hidden="false" customHeight="false" outlineLevel="0" collapsed="false">
      <c r="A8322" s="0" t="s">
        <v>642</v>
      </c>
      <c r="B8322" s="0" t="s">
        <v>86</v>
      </c>
      <c r="C8322" s="38" t="n">
        <f aca="false">Q!$D$24</f>
        <v>39.834</v>
      </c>
      <c r="D8322" s="38" t="n">
        <f aca="false">Q!$E$24</f>
        <v>45.606</v>
      </c>
      <c r="E8322" s="38" t="n">
        <f aca="false">Q!$P$24</f>
        <v>30.782</v>
      </c>
      <c r="N8322" s="38" t="n">
        <f aca="false">Q!$N$24</f>
        <v>21.707</v>
      </c>
      <c r="O8322" s="38" t="n">
        <f aca="false">Q!$O$24</f>
        <v>23.899</v>
      </c>
    </row>
    <row r="8323" customFormat="false" ht="17.15" hidden="false" customHeight="false" outlineLevel="0" collapsed="false">
      <c r="A8323" s="0" t="s">
        <v>643</v>
      </c>
      <c r="B8323" s="0" t="s">
        <v>86</v>
      </c>
      <c r="C8323" s="38" t="n">
        <f aca="false">Sens!$C$8322-Sens!$C$8318</f>
        <v>38.1898211704631</v>
      </c>
      <c r="D8323" s="38" t="n">
        <f aca="false">Sens!$D$8322-Sens!$D$8318</f>
        <v>41.7278991932282</v>
      </c>
      <c r="E8323" s="38" t="n">
        <f aca="false">Sens!$E$8322-Sens!$E$8318</f>
        <v>29.3692974191125</v>
      </c>
      <c r="F8323" s="38" t="n">
        <f aca="false">Sens!$F$8302*Sens!$F$8324</f>
        <v>26.8997276714137</v>
      </c>
      <c r="G8323" s="38" t="n">
        <f aca="false">Sens!$E$8323+Sens!$F$8323</f>
        <v>56.2690250905262</v>
      </c>
      <c r="H8323" s="38" t="n">
        <f aca="false">Sens!$H$8302*Sens!$H$8324</f>
        <v>60.3505333937343</v>
      </c>
      <c r="I8323" s="38" t="n">
        <f aca="false">Sens!$I$8302*Sens!$I$8324</f>
        <v>67.0043857303571</v>
      </c>
      <c r="J8323" s="38" t="n">
        <f aca="false">Sens!$J$8302*Sens!$J$8324</f>
        <v>73.3782922956925</v>
      </c>
      <c r="K8323" s="38" t="n">
        <f aca="false">Sens!$K$8302*Sens!$K$8324</f>
        <v>79.2485556793479</v>
      </c>
      <c r="L8323" s="38" t="n">
        <f aca="false">Sens!$L$8302*Sens!$L$8324</f>
        <v>85.5884401336958</v>
      </c>
      <c r="M8323" s="38" t="n">
        <f aca="false">Sens!$M$8302*Sens!$M$8324</f>
        <v>92.4355153443914</v>
      </c>
      <c r="N8323" s="38" t="n">
        <f aca="false">Sens!$N$8322-Sens!$N$8318</f>
        <v>20.784358965108</v>
      </c>
      <c r="O8323" s="38" t="n">
        <f aca="false">Sens!$O$8322-Sens!$O$8318</f>
        <v>20.9435402281202</v>
      </c>
      <c r="P8323" s="5" t="s">
        <v>644</v>
      </c>
    </row>
    <row r="8324" customFormat="false" ht="17.15" hidden="false" customHeight="false" outlineLevel="0" collapsed="false">
      <c r="A8324" s="0" t="s">
        <v>645</v>
      </c>
      <c r="B8324" s="0" t="s">
        <v>52</v>
      </c>
      <c r="C8324" s="13" t="n">
        <f aca="false">Sens!$C$8323/Sens!$C$8302</f>
        <v>0.362900395443635</v>
      </c>
      <c r="D8324" s="13" t="n">
        <f aca="false">Sens!$D$8323/Sens!$D$8302</f>
        <v>0.34767098474203</v>
      </c>
      <c r="E8324" s="13" t="n">
        <f aca="false">Sens!$E$8323/Sens!$E$8302</f>
        <v>0.411861655558416</v>
      </c>
      <c r="F8324" s="13" t="n">
        <f aca="false">(Sens!$O$8323+Sens!$E$8323)/(Sens!$O$8302+Sens!$E$8302)</f>
        <v>0.37480827803158</v>
      </c>
      <c r="G8324" s="13" t="n">
        <f aca="false">Sens!$G$8323/Sens!$G$8302</f>
        <v>0.393275318395757</v>
      </c>
      <c r="H8324" s="13" t="n">
        <f aca="false">Sens!$F$8324</f>
        <v>0.37480827803158</v>
      </c>
      <c r="I8324" s="13" t="n">
        <f aca="false">Sens!$F$8324</f>
        <v>0.37480827803158</v>
      </c>
      <c r="J8324" s="13" t="n">
        <f aca="false">Sens!$F$8324</f>
        <v>0.37480827803158</v>
      </c>
      <c r="K8324" s="13" t="n">
        <f aca="false">Sens!$F$8324</f>
        <v>0.37480827803158</v>
      </c>
      <c r="L8324" s="13" t="n">
        <f aca="false">Sens!$F$8324</f>
        <v>0.37480827803158</v>
      </c>
      <c r="M8324" s="13" t="n">
        <f aca="false">Sens!$F$8324</f>
        <v>0.37480827803158</v>
      </c>
      <c r="N8324" s="13" t="n">
        <f aca="false">Sens!$N$8323/Sens!$N$8302</f>
        <v>0.364039571356823</v>
      </c>
      <c r="O8324" s="13" t="n">
        <f aca="false">Sens!$O$8323/Sens!$O$8302</f>
        <v>0.332819892300086</v>
      </c>
      <c r="P8324" s="8" t="s">
        <v>646</v>
      </c>
    </row>
    <row r="8325" customFormat="false" ht="17.15" hidden="false" customHeight="false" outlineLevel="0" collapsed="false">
      <c r="A8325" s="0" t="s">
        <v>647</v>
      </c>
      <c r="B8325" s="0" t="s">
        <v>52</v>
      </c>
      <c r="D8325" s="13" t="n">
        <f aca="false">(Q!$E$31-ext_sh*Sens!$D$8314)/Sens!$D$8302</f>
        <v>0.154572973163571</v>
      </c>
    </row>
    <row r="8326" customFormat="false" ht="17.15" hidden="false" customHeight="false" outlineLevel="0" collapsed="false">
      <c r="A8326" s="0" t="s">
        <v>648</v>
      </c>
      <c r="B8326" s="0" t="s">
        <v>86</v>
      </c>
      <c r="C8326" s="38" t="n">
        <f aca="false">Q!$D$31</f>
        <v>13.32</v>
      </c>
      <c r="D8326" s="38" t="n">
        <f aca="false">Q!$E$31</f>
        <v>21.45</v>
      </c>
      <c r="E8326" s="38" t="n">
        <f aca="false">Q!$P$31</f>
        <v>15.353</v>
      </c>
      <c r="F8326" s="38" t="n">
        <f aca="false">ext_sh*Sens!$F$8314+Sens!$D$8325*Sens!$F$8302</f>
        <v>16.3063747611001</v>
      </c>
      <c r="G8326" s="38" t="n">
        <f aca="false">Sens!$E$8326+Sens!$F$8326</f>
        <v>31.6593747611001</v>
      </c>
      <c r="H8326" s="38" t="n">
        <f aca="false">ext_sh*Sens!$H$8314+Sens!$D$8325*Sens!$H$8302</f>
        <v>53.124242092105</v>
      </c>
      <c r="I8326" s="38" t="n">
        <f aca="false">ext_sh*Sens!$I$8314+Sens!$D$8325*Sens!$I$8302</f>
        <v>78.046828098133</v>
      </c>
      <c r="J8326" s="38" t="n">
        <f aca="false">ext_sh*Sens!$J$8314+Sens!$D$8325*Sens!$J$8302</f>
        <v>103.663976940352</v>
      </c>
      <c r="K8326" s="38" t="n">
        <f aca="false">ext_sh*Sens!$K$8314+Sens!$D$8325*Sens!$K$8302</f>
        <v>129.625086115469</v>
      </c>
      <c r="L8326" s="38" t="n">
        <f aca="false">ext_sh*Sens!$L$8314+Sens!$D$8325*Sens!$L$8302</f>
        <v>147.435052382502</v>
      </c>
      <c r="M8326" s="38" t="n">
        <f aca="false">ext_sh*Sens!$M$8314+Sens!$D$8325*Sens!$M$8302</f>
        <v>159.299754080279</v>
      </c>
      <c r="N8326" s="38" t="n">
        <f aca="false">Q!$N$31</f>
        <v>9.234</v>
      </c>
      <c r="O8326" s="38" t="n">
        <f aca="false">Q!$O$31</f>
        <v>12.216</v>
      </c>
    </row>
    <row r="8327" customFormat="false" ht="17.15" hidden="false" customHeight="false" outlineLevel="0" collapsed="false">
      <c r="A8327" s="1" t="s">
        <v>649</v>
      </c>
    </row>
    <row r="8328" customFormat="false" ht="17.15" hidden="false" customHeight="false" outlineLevel="0" collapsed="false">
      <c r="A8328" s="15" t="s">
        <v>650</v>
      </c>
      <c r="B8328" s="14" t="s">
        <v>52</v>
      </c>
      <c r="C8328" s="14"/>
      <c r="D8328" s="14"/>
      <c r="E8328" s="14"/>
      <c r="F8328" s="14"/>
      <c r="G8328" s="17" t="n">
        <f aca="false">Sens!$G$8318*(1-tax)/(ext_sh*(Sens!$D$8315+Sens!$G$8315)/2)</f>
        <v>0.0492184452944045</v>
      </c>
      <c r="H8328" s="17" t="n">
        <f aca="false">Sens!$H$8318*(1-tax)/(ext_sh*(Sens!$G$8315+Sens!$H$8315)/2)</f>
        <v>0.0619414246858107</v>
      </c>
      <c r="I8328" s="17" t="n">
        <f aca="false">Sens!$I$8318*(1-tax)/(ext_sh*(Sens!$H$8315+Sens!$I$8315)/2)</f>
        <v>0.0656831488051666</v>
      </c>
      <c r="J8328" s="17" t="n">
        <f aca="false">Sens!$J$8318*(1-tax)/(ext_sh*(Sens!$I$8315+Sens!$J$8315)/2)</f>
        <v>0.0690334849962116</v>
      </c>
      <c r="K8328" s="17" t="n">
        <f aca="false">Sens!$K$8318*(1-tax)/(ext_sh*(Sens!$J$8315+Sens!$K$8315)/2)</f>
        <v>0.0685772915331967</v>
      </c>
      <c r="L8328" s="17" t="n">
        <f aca="false">Sens!$L$8318*(1-tax)/(ext_sh*(Sens!$K$8315+Sens!$L$8315)/2)</f>
        <v>0.0723938074635756</v>
      </c>
      <c r="M8328" s="17" t="n">
        <f aca="false">Sens!$M$8318*(1-tax)/(ext_sh*(Sens!$L$8315+Sens!$M$8315)/2)</f>
        <v>0.0736061388214139</v>
      </c>
      <c r="N8328" s="14"/>
      <c r="O8328" s="14"/>
      <c r="P8328" s="8" t="s">
        <v>651</v>
      </c>
    </row>
    <row r="8329" customFormat="false" ht="17.15" hidden="false" customHeight="false" outlineLevel="0" collapsed="false">
      <c r="A8329" s="5" t="s">
        <v>652</v>
      </c>
      <c r="B8329" s="0" t="s">
        <v>57</v>
      </c>
      <c r="H8329" s="36" t="n">
        <f aca="false">Sens!$H$8298*1000/(mw_open*he_open+Sens!$H$8296*Sens!$H$8293)</f>
        <v>0.991949006767191</v>
      </c>
      <c r="I8329" s="36" t="n">
        <f aca="false">Sens!$I$8298*1000/(mw_open*he_open+Sens!$I$8296*Sens!$I$8293)</f>
        <v>0.991949006767191</v>
      </c>
      <c r="J8329" s="36" t="n">
        <f aca="false">Sens!$J$8298*1000/(mw_open*he_open+Sens!$J$8296*Sens!$J$8293)</f>
        <v>0.991949006767191</v>
      </c>
      <c r="K8329" s="36" t="n">
        <f aca="false">Sens!$K$8298*1000/(mw_open*he_open+Sens!$K$8296*Sens!$K$8293)</f>
        <v>0.991949006767191</v>
      </c>
      <c r="L8329" s="36" t="n">
        <f aca="false">Sens!$L$8298*1000/(mw_open*he_open+Sens!$L$8296*Sens!$L$8293)</f>
        <v>0.991949006767191</v>
      </c>
      <c r="M8329" s="36" t="n">
        <f aca="false">Sens!$M$8298*1000/(mw_open*he_open+Sens!$M$8296*Sens!$M$8293)</f>
        <v>0.991949006767191</v>
      </c>
    </row>
    <row r="8330" customFormat="false" ht="17.15" hidden="false" customHeight="false" outlineLevel="0" collapsed="false">
      <c r="A8330" s="5" t="s">
        <v>653</v>
      </c>
      <c r="B8330" s="0" t="s">
        <v>57</v>
      </c>
      <c r="H8330" s="36" t="n">
        <f aca="false">Sens!$H$8329*(Sens!$H$8298+(wacc-0.01)*ext_sh*(Sens!$G$8315+Sens!$H$8315)/2/(1-tax)-Sens!$H$8318)/Sens!$H$8298</f>
        <v>1.20419735219982</v>
      </c>
      <c r="I8330" s="36" t="n">
        <f aca="false">Sens!$I$8329*(Sens!$I$8298+(wacc-0.01)*ext_sh*(Sens!$H$8315+Sens!$I$8315)/2/(1-tax)-Sens!$I$8318)/Sens!$I$8298</f>
        <v>1.16062415210962</v>
      </c>
      <c r="J8330" s="36" t="n">
        <f aca="false">Sens!$J$8329*(Sens!$J$8298+(wacc-0.01)*ext_sh*(Sens!$I$8315+Sens!$J$8315)/2/(1-tax)-Sens!$J$8318)/Sens!$J$8298</f>
        <v>1.13087129626685</v>
      </c>
      <c r="K8330" s="36" t="n">
        <f aca="false">Sens!$K$8329*(Sens!$K$8298+(wacc-0.01)*ext_sh*(Sens!$J$8315+Sens!$K$8315)/2/(1-tax)-Sens!$K$8318)/Sens!$K$8298</f>
        <v>1.11899408858966</v>
      </c>
      <c r="L8330" s="36" t="n">
        <f aca="false">Sens!$L$8329*(Sens!$L$8298+(wacc-0.01)*ext_sh*(Sens!$K$8315+Sens!$L$8315)/2/(1-tax)-Sens!$L$8318)/Sens!$L$8298</f>
        <v>1.09388439591883</v>
      </c>
      <c r="M8330" s="36" t="n">
        <f aca="false">Sens!$M$8329*(Sens!$M$8298+(wacc-0.01)*ext_sh*(Sens!$L$8315+Sens!$M$8315)/2/(1-tax)-Sens!$M$8318)/Sens!$M$8298</f>
        <v>1.08293920231862</v>
      </c>
    </row>
    <row r="8331" customFormat="false" ht="17.15" hidden="false" customHeight="false" outlineLevel="0" collapsed="false">
      <c r="A8331" s="5" t="s">
        <v>654</v>
      </c>
      <c r="B8331" s="0" t="s">
        <v>52</v>
      </c>
      <c r="C8331" s="13" t="n">
        <f aca="false">Sens!$C$8299/tk_pq</f>
        <v>0.195316432429398</v>
      </c>
      <c r="D8331" s="13" t="n">
        <f aca="false">Sens!$D$8299/tk_pq</f>
        <v>0.195316432429398</v>
      </c>
      <c r="E8331" s="13" t="n">
        <f aca="false">Sens!$E$8299/tk_pq</f>
        <v>0.195316432429398</v>
      </c>
      <c r="F8331" s="13" t="n">
        <f aca="false">Sens!$F$8299/tk_pq</f>
        <v>0.202241827274866</v>
      </c>
      <c r="G8331" s="13" t="n">
        <f aca="false">Sens!$G$8299/tk_pq</f>
        <v>0.199675016194063</v>
      </c>
      <c r="H8331" s="13" t="n">
        <f aca="false">Sens!$H$8299/tk_pq</f>
        <v>0.212647947710325</v>
      </c>
      <c r="I8331" s="13" t="n">
        <f aca="false">Sens!$I$8299/tk_pq</f>
        <v>0.219285125475351</v>
      </c>
      <c r="J8331" s="13" t="n">
        <f aca="false">Sens!$J$8299/tk_pq</f>
        <v>0.222492493217189</v>
      </c>
      <c r="K8331" s="13" t="n">
        <f aca="false">Sens!$K$8299/tk_pq</f>
        <v>0.224053502812094</v>
      </c>
      <c r="L8331" s="13" t="n">
        <f aca="false">Sens!$L$8299/tk_pq</f>
        <v>0.224786916785614</v>
      </c>
      <c r="M8331" s="13" t="n">
        <f aca="false">Sens!$M$8299/tk_pq</f>
        <v>0.225048671566937</v>
      </c>
      <c r="N8331" s="13" t="n">
        <f aca="false">Sens!$N$8299/tk_pq</f>
        <v>0.195316432429398</v>
      </c>
      <c r="O8331" s="13" t="n">
        <f aca="false">Sens!$O$8299/tk_pq</f>
        <v>0.195316432429398</v>
      </c>
      <c r="P8331" s="5" t="s">
        <v>655</v>
      </c>
    </row>
    <row r="8334" customFormat="false" ht="17.15" hidden="false" customHeight="false" outlineLevel="0" collapsed="false">
      <c r="A8334" s="1" t="s">
        <v>684</v>
      </c>
    </row>
    <row r="8335" customFormat="false" ht="17.15" hidden="false" customHeight="false" outlineLevel="0" collapsed="false">
      <c r="A8335" s="0" t="s">
        <v>685</v>
      </c>
      <c r="B8335" s="0" t="s">
        <v>86</v>
      </c>
      <c r="C8335" s="38" t="n">
        <f aca="false">Sens!$C$8298</f>
        <v>2.32100535697364</v>
      </c>
      <c r="D8335" s="38" t="n">
        <f aca="false">Sens!$D$8298</f>
        <v>8.70377008865116</v>
      </c>
      <c r="E8335" s="38" t="n">
        <f aca="false">Sens!$E$8298</f>
        <v>8.51035297557002</v>
      </c>
      <c r="F8335" s="38" t="n">
        <f aca="false">Sens!$F$8298</f>
        <v>14.9634336447205</v>
      </c>
      <c r="G8335" s="38" t="n">
        <f aca="false">Sens!$G$8298</f>
        <v>23.4737866202905</v>
      </c>
      <c r="H8335" s="38" t="n">
        <f aca="false">Sens!$H$8298</f>
        <v>60.1658907497746</v>
      </c>
      <c r="I8335" s="38" t="n">
        <f aca="false">Sens!$I$8298</f>
        <v>101.503699136432</v>
      </c>
      <c r="J8335" s="38" t="n">
        <f aca="false">Sens!$J$8298</f>
        <v>143.025407151278</v>
      </c>
      <c r="K8335" s="38" t="n">
        <f aca="false">Sens!$K$8298</f>
        <v>178.44812038318</v>
      </c>
      <c r="L8335" s="38" t="n">
        <f aca="false">Sens!$L$8298</f>
        <v>201.728101802396</v>
      </c>
      <c r="M8335" s="38" t="n">
        <f aca="false">Sens!$M$8298</f>
        <v>212.835441368865</v>
      </c>
      <c r="N8335" s="38" t="n">
        <f aca="false">Sens!$N$8298</f>
        <v>3.04631953102791</v>
      </c>
      <c r="O8335" s="38" t="n">
        <f aca="false">Sens!$O$8298</f>
        <v>5.65745055762326</v>
      </c>
      <c r="P8335" s="8" t="s">
        <v>686</v>
      </c>
    </row>
    <row r="8336" customFormat="false" ht="17.15" hidden="false" customHeight="false" outlineLevel="0" collapsed="false">
      <c r="A8336" s="0" t="s">
        <v>687</v>
      </c>
      <c r="B8336" s="0" t="s">
        <v>86</v>
      </c>
      <c r="C8336" s="38" t="n">
        <f aca="false">Sens!$C$8302</f>
        <v>105.234994643026</v>
      </c>
      <c r="D8336" s="38" t="n">
        <f aca="false">Sens!$D$8302</f>
        <v>120.021229911349</v>
      </c>
      <c r="E8336" s="38" t="n">
        <f aca="false">Sens!$E$8302</f>
        <v>71.30864702443</v>
      </c>
      <c r="F8336" s="38" t="n">
        <f aca="false">Sens!$F$8302</f>
        <v>71.7692997942464</v>
      </c>
      <c r="G8336" s="38" t="n">
        <f aca="false">Sens!$G$8302</f>
        <v>143.077946818676</v>
      </c>
      <c r="H8336" s="38" t="n">
        <f aca="false">Sens!$H$8302</f>
        <v>161.017077079203</v>
      </c>
      <c r="I8336" s="38" t="n">
        <f aca="false">Sens!$I$8302</f>
        <v>178.769759521457</v>
      </c>
      <c r="J8336" s="38" t="n">
        <f aca="false">Sens!$J$8302</f>
        <v>195.775538045907</v>
      </c>
      <c r="K8336" s="38" t="n">
        <f aca="false">Sens!$K$8302</f>
        <v>211.43758108958</v>
      </c>
      <c r="L8336" s="38" t="n">
        <f aca="false">Sens!$L$8302</f>
        <v>228.352587576746</v>
      </c>
      <c r="M8336" s="38" t="n">
        <f aca="false">Sens!$M$8302</f>
        <v>246.620794582886</v>
      </c>
      <c r="N8336" s="38" t="n">
        <f aca="false">Sens!$N$8302</f>
        <v>57.0936804689721</v>
      </c>
      <c r="O8336" s="38" t="n">
        <f aca="false">Sens!$O$8302</f>
        <v>62.9275494423768</v>
      </c>
      <c r="P8336" s="8" t="s">
        <v>686</v>
      </c>
    </row>
    <row r="8337" customFormat="false" ht="17.15" hidden="false" customHeight="false" outlineLevel="0" collapsed="false">
      <c r="A8337" s="1" t="s">
        <v>513</v>
      </c>
      <c r="B8337" s="8" t="s">
        <v>86</v>
      </c>
      <c r="C8337" s="38" t="n">
        <f aca="false">Q!$D$7</f>
        <v>107.556</v>
      </c>
      <c r="D8337" s="38" t="n">
        <f aca="false">Q!$E$7</f>
        <v>128.725</v>
      </c>
      <c r="E8337" s="38" t="n">
        <f aca="false">Q!$P$7</f>
        <v>79.819</v>
      </c>
      <c r="F8337" s="38" t="n">
        <f aca="false">Sens!$F$8335+Sens!$F$8336</f>
        <v>86.7327334389669</v>
      </c>
      <c r="G8337" s="38" t="n">
        <f aca="false">Sens!$G$8335+Sens!$G$8336</f>
        <v>166.551733438967</v>
      </c>
      <c r="H8337" s="38" t="n">
        <f aca="false">Sens!$H$8335+Sens!$H$8336</f>
        <v>221.182967828978</v>
      </c>
      <c r="I8337" s="38" t="n">
        <f aca="false">Sens!$I$8335+Sens!$I$8336</f>
        <v>280.27345865789</v>
      </c>
      <c r="J8337" s="38" t="n">
        <f aca="false">Sens!$J$8335+Sens!$J$8336</f>
        <v>338.800945197185</v>
      </c>
      <c r="K8337" s="38" t="n">
        <f aca="false">Sens!$K$8335+Sens!$K$8336</f>
        <v>389.88570147276</v>
      </c>
      <c r="L8337" s="38" t="n">
        <f aca="false">Sens!$L$8335+Sens!$L$8336</f>
        <v>430.080689379143</v>
      </c>
      <c r="M8337" s="38" t="n">
        <f aca="false">Sens!$M$8335+Sens!$M$8336</f>
        <v>459.456235951751</v>
      </c>
      <c r="N8337" s="38" t="n">
        <f aca="false">Q!$N$7</f>
        <v>60.14</v>
      </c>
      <c r="O8337" s="38" t="n">
        <f aca="false">Q!$O$7</f>
        <v>68.585</v>
      </c>
      <c r="P8337" s="5" t="s">
        <v>688</v>
      </c>
    </row>
    <row r="8338" customFormat="false" ht="15" hidden="false" customHeight="false" outlineLevel="0" collapsed="false">
      <c r="A8338" s="3" t="s">
        <v>689</v>
      </c>
      <c r="B8338" s="8" t="s">
        <v>86</v>
      </c>
      <c r="C8338" s="38" t="n">
        <f aca="false">Q!$D$8</f>
        <v>637.959</v>
      </c>
      <c r="D8338" s="38" t="n">
        <f aca="false">Q!$E$8</f>
        <v>716.924</v>
      </c>
      <c r="E8338" s="38" t="n">
        <f aca="false">Q!$P$8</f>
        <v>382.125</v>
      </c>
      <c r="F8338" s="38" t="n">
        <f aca="false">Sens!$F$8270+Sens!$F$8337</f>
        <v>435.780975084504</v>
      </c>
      <c r="G8338" s="38" t="n">
        <f aca="false">Sens!$G$8270+Sens!$G$8337</f>
        <v>817.905975084504</v>
      </c>
      <c r="H8338" s="38" t="n">
        <f aca="false">Sens!$H$8270+Sens!$H$8337</f>
        <v>942.279857350364</v>
      </c>
      <c r="I8338" s="38" t="n">
        <f aca="false">Sens!$I$8270+Sens!$I$8337</f>
        <v>1068.80284981042</v>
      </c>
      <c r="J8338" s="38" t="n">
        <f aca="false">Sens!$J$8270+Sens!$J$8337</f>
        <v>1189.90935093863</v>
      </c>
      <c r="K8338" s="38" t="n">
        <f aca="false">Sens!$K$8270+Sens!$K$8337</f>
        <v>1296.06215690385</v>
      </c>
      <c r="L8338" s="38" t="n">
        <f aca="false">Sens!$L$8270+Sens!$L$8337</f>
        <v>1395.17379585473</v>
      </c>
      <c r="M8338" s="38" t="n">
        <f aca="false">Sens!$M$8270+Sens!$M$8337</f>
        <v>1487.60414389864</v>
      </c>
      <c r="N8338" s="38" t="n">
        <f aca="false">Q!$N$8</f>
        <v>323.369</v>
      </c>
      <c r="O8338" s="38" t="n">
        <f aca="false">Q!$O$8</f>
        <v>393.555</v>
      </c>
    </row>
    <row r="8339" customFormat="false" ht="17.15" hidden="false" customHeight="false" outlineLevel="0" collapsed="false">
      <c r="A8339" s="24" t="s">
        <v>697</v>
      </c>
      <c r="B8339" s="25" t="s">
        <v>86</v>
      </c>
      <c r="C8339" s="41" t="n">
        <f aca="false">Sens!$C$8270-(Sens!$C$8272+Sens!$C$8273)</f>
        <v>0</v>
      </c>
      <c r="D8339" s="41" t="n">
        <f aca="false">Sens!$D$8270-(Sens!$D$8272+Sens!$D$8273)</f>
        <v>0</v>
      </c>
      <c r="E8339" s="41" t="n">
        <f aca="false">Sens!$E$8270-(Sens!$E$8272+Sens!$E$8273)</f>
        <v>0</v>
      </c>
      <c r="F8339" s="41" t="n">
        <f aca="false">Sens!$F$8270-(Sens!$F$8272+Sens!$F$8273)</f>
        <v>0</v>
      </c>
      <c r="G8339" s="41" t="n">
        <f aca="false">Sens!$G$8270-(Sens!$G$8272+Sens!$G$8273)</f>
        <v>0</v>
      </c>
      <c r="H8339" s="41" t="n">
        <f aca="false">Sens!$H$8270-(Sens!$H$8272+Sens!$H$8273)</f>
        <v>0</v>
      </c>
      <c r="I8339" s="41" t="n">
        <f aca="false">Sens!$I$8270-(Sens!$I$8272+Sens!$I$8273)</f>
        <v>0</v>
      </c>
      <c r="J8339" s="41" t="n">
        <f aca="false">Sens!$J$8270-(Sens!$J$8272+Sens!$J$8273)</f>
        <v>0</v>
      </c>
      <c r="K8339" s="41" t="n">
        <f aca="false">Sens!$K$8270-(Sens!$K$8272+Sens!$K$8273)</f>
        <v>0</v>
      </c>
      <c r="L8339" s="41" t="n">
        <f aca="false">Sens!$L$8270-(Sens!$L$8272+Sens!$L$8273)</f>
        <v>0</v>
      </c>
      <c r="M8339" s="41" t="n">
        <f aca="false">Sens!$M$8270-(Sens!$M$8272+Sens!$M$8273)</f>
        <v>0</v>
      </c>
      <c r="N8339" s="41" t="n">
        <f aca="false">Sens!$N$8270-(Sens!$N$8272+Sens!$N$8273)</f>
        <v>0</v>
      </c>
      <c r="O8339" s="41" t="n">
        <f aca="false">Sens!$O$8270-(Sens!$O$8272+Sens!$O$8273)</f>
        <v>0</v>
      </c>
    </row>
    <row r="8340" customFormat="false" ht="17.15" hidden="false" customHeight="false" outlineLevel="0" collapsed="false">
      <c r="A8340" s="24" t="s">
        <v>698</v>
      </c>
      <c r="B8340" s="25" t="s">
        <v>86</v>
      </c>
      <c r="C8340" s="41" t="n">
        <f aca="false">Sens!$C$8335+Sens!$C$8336-Sens!$C$8337</f>
        <v>0</v>
      </c>
      <c r="D8340" s="41" t="n">
        <f aca="false">Sens!$D$8335+Sens!$D$8336-Sens!$D$8337</f>
        <v>0</v>
      </c>
      <c r="E8340" s="41" t="n">
        <f aca="false">Sens!$E$8335+Sens!$E$8336-Sens!$E$8337</f>
        <v>0</v>
      </c>
      <c r="F8340" s="41" t="n">
        <f aca="false">Sens!$F$8335+Sens!$F$8336-Sens!$F$8337</f>
        <v>0</v>
      </c>
      <c r="G8340" s="41" t="n">
        <f aca="false">Sens!$G$8335+Sens!$G$8336-Sens!$G$8337</f>
        <v>0</v>
      </c>
      <c r="H8340" s="41" t="n">
        <f aca="false">Sens!$H$8335+Sens!$H$8336-Sens!$H$8337</f>
        <v>0</v>
      </c>
      <c r="I8340" s="41" t="n">
        <f aca="false">Sens!$I$8335+Sens!$I$8336-Sens!$I$8337</f>
        <v>0</v>
      </c>
      <c r="J8340" s="41" t="n">
        <f aca="false">Sens!$J$8335+Sens!$J$8336-Sens!$J$8337</f>
        <v>0</v>
      </c>
      <c r="K8340" s="41" t="n">
        <f aca="false">Sens!$K$8335+Sens!$K$8336-Sens!$K$8337</f>
        <v>0</v>
      </c>
      <c r="L8340" s="41" t="n">
        <f aca="false">Sens!$L$8335+Sens!$L$8336-Sens!$L$8337</f>
        <v>0</v>
      </c>
      <c r="M8340" s="41" t="n">
        <f aca="false">Sens!$M$8335+Sens!$M$8336-Sens!$M$8337</f>
        <v>0</v>
      </c>
      <c r="N8340" s="41" t="n">
        <f aca="false">Sens!$N$8335+Sens!$N$8336-Sens!$N$8337</f>
        <v>0</v>
      </c>
      <c r="O8340" s="41" t="n">
        <f aca="false">Sens!$O$8335+Sens!$O$8336-Sens!$O$8337</f>
        <v>0</v>
      </c>
    </row>
    <row r="8341" customFormat="false" ht="17.15" hidden="false" customHeight="false" outlineLevel="0" collapsed="false">
      <c r="A8341" s="24" t="s">
        <v>699</v>
      </c>
      <c r="B8341" s="25" t="s">
        <v>86</v>
      </c>
      <c r="C8341" s="41" t="n">
        <f aca="false">Sens!$C$8272+Sens!$C$8273+Sens!$C$8337-Sens!$C$8338</f>
        <v>0</v>
      </c>
      <c r="D8341" s="41" t="n">
        <f aca="false">Sens!$D$8272+Sens!$D$8273+Sens!$D$8337-Sens!$D$8338</f>
        <v>0</v>
      </c>
      <c r="E8341" s="41" t="n">
        <f aca="false">Sens!$E$8272+Sens!$E$8273+Sens!$E$8337-Sens!$E$8338</f>
        <v>0</v>
      </c>
      <c r="F8341" s="41" t="n">
        <f aca="false">Sens!$F$8272+Sens!$F$8273+Sens!$F$8337-Sens!$F$8338</f>
        <v>0</v>
      </c>
      <c r="G8341" s="41" t="n">
        <f aca="false">Sens!$G$8272+Sens!$G$8273+Sens!$G$8337-Sens!$G$8338</f>
        <v>0</v>
      </c>
      <c r="H8341" s="41" t="n">
        <f aca="false">Sens!$H$8272+Sens!$H$8273+Sens!$H$8337-Sens!$H$8338</f>
        <v>0</v>
      </c>
      <c r="I8341" s="41" t="n">
        <f aca="false">Sens!$I$8272+Sens!$I$8273+Sens!$I$8337-Sens!$I$8338</f>
        <v>0</v>
      </c>
      <c r="J8341" s="41" t="n">
        <f aca="false">Sens!$J$8272+Sens!$J$8273+Sens!$J$8337-Sens!$J$8338</f>
        <v>0</v>
      </c>
      <c r="K8341" s="41" t="n">
        <f aca="false">Sens!$K$8272+Sens!$K$8273+Sens!$K$8337-Sens!$K$8338</f>
        <v>0</v>
      </c>
      <c r="L8341" s="41" t="n">
        <f aca="false">Sens!$L$8272+Sens!$L$8273+Sens!$L$8337-Sens!$L$8338</f>
        <v>0</v>
      </c>
      <c r="M8341" s="41" t="n">
        <f aca="false">Sens!$M$8272+Sens!$M$8273+Sens!$M$8337-Sens!$M$8338</f>
        <v>0</v>
      </c>
      <c r="N8341" s="41" t="n">
        <f aca="false">Sens!$N$8272+Sens!$N$8273+Sens!$N$8337-Sens!$N$8338</f>
        <v>0</v>
      </c>
      <c r="O8341" s="41" t="n">
        <f aca="false">Sens!$O$8272+Sens!$O$8273+Sens!$O$8337-Sens!$O$8338</f>
        <v>0</v>
      </c>
    </row>
    <row r="8342" customFormat="false" ht="15" hidden="false" customHeight="false" outlineLevel="0" collapsed="false">
      <c r="A8342" s="5" t="s">
        <v>693</v>
      </c>
      <c r="B8342" s="0" t="s">
        <v>52</v>
      </c>
      <c r="G8342" s="13" t="n">
        <f aca="false">Sens!$G$8338/Sens!$D$8338-1</f>
        <v>0.140854504918937</v>
      </c>
      <c r="H8342" s="13" t="n">
        <f aca="false">Sens!$H$8338/Sens!$G$8338-1</f>
        <v>0.152063789793209</v>
      </c>
      <c r="I8342" s="13" t="n">
        <f aca="false">Sens!$I$8338/Sens!$H$8338-1</f>
        <v>0.134273264437417</v>
      </c>
      <c r="J8342" s="13" t="n">
        <f aca="false">Sens!$J$8338/Sens!$I$8338-1</f>
        <v>0.113310421234083</v>
      </c>
      <c r="K8342" s="13" t="n">
        <f aca="false">Sens!$K$8338/Sens!$J$8338-1</f>
        <v>0.0892108343223652</v>
      </c>
      <c r="L8342" s="13" t="n">
        <f aca="false">Sens!$L$8338/Sens!$K$8338-1</f>
        <v>0.076471362444261</v>
      </c>
      <c r="M8342" s="13" t="n">
        <f aca="false">Sens!$M$8338/Sens!$L$8338-1</f>
        <v>0.066250060256672</v>
      </c>
    </row>
    <row r="8343" customFormat="false" ht="17.15" hidden="false" customHeight="false" outlineLevel="0" collapsed="false">
      <c r="A8343" s="0" t="s">
        <v>694</v>
      </c>
      <c r="B8343" s="0" t="s">
        <v>52</v>
      </c>
      <c r="C8343" s="13" t="n">
        <f aca="false">Sens!$C$8337/Sens!$C$8338</f>
        <v>0.168593906504964</v>
      </c>
      <c r="D8343" s="13" t="n">
        <f aca="false">Sens!$D$8337/Sens!$D$8338</f>
        <v>0.179551807444025</v>
      </c>
      <c r="E8343" s="13" t="n">
        <f aca="false">Sens!$E$8337/Sens!$E$8338</f>
        <v>0.208881910369643</v>
      </c>
      <c r="F8343" s="13" t="n">
        <f aca="false">Sens!$F$8337/Sens!$F$8338</f>
        <v>0.199028269699356</v>
      </c>
      <c r="G8343" s="13" t="n">
        <f aca="false">Sens!$G$8337/Sens!$G$8338</f>
        <v>0.203631882529968</v>
      </c>
      <c r="H8343" s="13" t="n">
        <f aca="false">Sens!$H$8337/Sens!$H$8338</f>
        <v>0.234731715958496</v>
      </c>
      <c r="I8343" s="13" t="n">
        <f aca="false">Sens!$I$8337/Sens!$I$8338</f>
        <v>0.262231204480418</v>
      </c>
      <c r="J8343" s="13" t="n">
        <f aca="false">Sens!$J$8337/Sens!$J$8338</f>
        <v>0.284728366013706</v>
      </c>
      <c r="K8343" s="13" t="n">
        <f aca="false">Sens!$K$8337/Sens!$K$8338</f>
        <v>0.300823304959505</v>
      </c>
      <c r="L8343" s="13" t="n">
        <f aca="false">Sens!$L$8337/Sens!$L$8338</f>
        <v>0.308263164529735</v>
      </c>
      <c r="M8343" s="13" t="n">
        <f aca="false">Sens!$M$8337/Sens!$M$8338</f>
        <v>0.308856517936036</v>
      </c>
      <c r="N8343" s="13" t="n">
        <f aca="false">Sens!$N$8337/Sens!$N$8338</f>
        <v>0.185979484737251</v>
      </c>
      <c r="O8343" s="13" t="n">
        <f aca="false">Sens!$O$8337/Sens!$O$8338</f>
        <v>0.174270432341096</v>
      </c>
    </row>
    <row r="8344" customFormat="false" ht="17.15" hidden="false" customHeight="false" outlineLevel="0" collapsed="false">
      <c r="A8344" s="0" t="s">
        <v>695</v>
      </c>
      <c r="B8344" s="0" t="s">
        <v>52</v>
      </c>
      <c r="C8344" s="13" t="n">
        <f aca="false">Sens!$C$8335/Sens!$C$8337</f>
        <v>0.0215795060896058</v>
      </c>
      <c r="D8344" s="13" t="n">
        <f aca="false">Sens!$D$8335/Sens!$D$8337</f>
        <v>0.0676152269462122</v>
      </c>
      <c r="E8344" s="13" t="n">
        <f aca="false">Sens!$E$8335/Sens!$E$8337</f>
        <v>0.106620641395783</v>
      </c>
      <c r="F8344" s="13" t="n">
        <f aca="false">Sens!$F$8335/Sens!$F$8337</f>
        <v>0.172523487401099</v>
      </c>
      <c r="G8344" s="13" t="n">
        <f aca="false">Sens!$G$8335/Sens!$G$8337</f>
        <v>0.140939911795589</v>
      </c>
      <c r="H8344" s="13" t="n">
        <f aca="false">Sens!$H$8335/Sens!$H$8337</f>
        <v>0.272018642937714</v>
      </c>
      <c r="I8344" s="13" t="n">
        <f aca="false">Sens!$I$8335/Sens!$I$8337</f>
        <v>0.362159512436497</v>
      </c>
      <c r="J8344" s="13" t="n">
        <f aca="false">Sens!$J$8335/Sens!$J$8337</f>
        <v>0.422151735934609</v>
      </c>
      <c r="K8344" s="13" t="n">
        <f aca="false">Sens!$K$8335/Sens!$K$8337</f>
        <v>0.45769342068485</v>
      </c>
      <c r="L8344" s="13" t="n">
        <f aca="false">Sens!$L$8335/Sens!$L$8337</f>
        <v>0.469047103913472</v>
      </c>
      <c r="M8344" s="13" t="n">
        <f aca="false">Sens!$M$8335/Sens!$M$8337</f>
        <v>0.463233328258093</v>
      </c>
      <c r="N8344" s="13" t="n">
        <f aca="false">Sens!$N$8335/Sens!$N$8337</f>
        <v>0.0506537999838362</v>
      </c>
      <c r="O8344" s="13" t="n">
        <f aca="false">Sens!$O$8335/Sens!$O$8337</f>
        <v>0.0824881615167056</v>
      </c>
    </row>
    <row r="8347" customFormat="false" ht="19.4" hidden="false" customHeight="false" outlineLevel="0" collapsed="false">
      <c r="A8347" s="31" t="s">
        <v>1299</v>
      </c>
    </row>
    <row r="8348" customFormat="false" ht="17.15" hidden="false" customHeight="false" outlineLevel="0" collapsed="false">
      <c r="A8348" s="6" t="s">
        <v>16</v>
      </c>
      <c r="B8348" s="6" t="s">
        <v>17</v>
      </c>
      <c r="C8348" s="20" t="s">
        <v>494</v>
      </c>
      <c r="D8348" s="20" t="s">
        <v>495</v>
      </c>
      <c r="E8348" s="20" t="s">
        <v>577</v>
      </c>
      <c r="F8348" s="20" t="s">
        <v>578</v>
      </c>
      <c r="G8348" s="20" t="s">
        <v>579</v>
      </c>
      <c r="H8348" s="20" t="s">
        <v>580</v>
      </c>
      <c r="I8348" s="20" t="s">
        <v>581</v>
      </c>
      <c r="J8348" s="20" t="s">
        <v>582</v>
      </c>
      <c r="K8348" s="20" t="s">
        <v>583</v>
      </c>
      <c r="L8348" s="20" t="s">
        <v>584</v>
      </c>
      <c r="M8348" s="20" t="s">
        <v>585</v>
      </c>
      <c r="N8348" s="20" t="s">
        <v>586</v>
      </c>
      <c r="O8348" s="20" t="s">
        <v>587</v>
      </c>
      <c r="P8348" s="6" t="s">
        <v>23</v>
      </c>
      <c r="R8348" s="20" t="n">
        <v>2023</v>
      </c>
      <c r="S8348" s="20" t="n">
        <v>2024</v>
      </c>
      <c r="T8348" s="20" t="n">
        <v>2025</v>
      </c>
      <c r="U8348" s="20" t="n">
        <v>2026</v>
      </c>
      <c r="V8348" s="20" t="n">
        <v>2027</v>
      </c>
      <c r="W8348" s="20" t="n">
        <v>2028</v>
      </c>
      <c r="X8348" s="20" t="n">
        <v>2029</v>
      </c>
      <c r="Y8348" s="20" t="n">
        <v>2030</v>
      </c>
      <c r="Z8348" s="20" t="n">
        <v>2031</v>
      </c>
      <c r="AA8348" s="20" t="n">
        <v>2032</v>
      </c>
    </row>
    <row r="8349" customFormat="false" ht="17.15" hidden="false" customHeight="false" outlineLevel="0" collapsed="false">
      <c r="A8349" s="1" t="s">
        <v>710</v>
      </c>
    </row>
    <row r="8350" customFormat="false" ht="15" hidden="false" customHeight="false" outlineLevel="0" collapsed="false">
      <c r="A8350" s="0" t="s">
        <v>516</v>
      </c>
      <c r="B8350" s="0" t="s">
        <v>86</v>
      </c>
      <c r="C8350" s="38" t="n">
        <f aca="false">Sens!$C$8257</f>
        <v>247.029</v>
      </c>
      <c r="D8350" s="38" t="n">
        <f aca="false">Sens!$D$8257</f>
        <v>269.287</v>
      </c>
      <c r="E8350" s="38" t="n">
        <f aca="false">Sens!$E$8257</f>
        <v>134.686</v>
      </c>
      <c r="F8350" s="38" t="n">
        <f aca="false">Sens!$F$8257</f>
        <v>158.293876822267</v>
      </c>
      <c r="G8350" s="38" t="n">
        <f aca="false">Sens!$G$8257</f>
        <v>292.979876822267</v>
      </c>
      <c r="H8350" s="38" t="n">
        <f aca="false">Sens!$H$8257</f>
        <v>318.184543087396</v>
      </c>
      <c r="I8350" s="38" t="n">
        <f aca="false">Sens!$I$8257</f>
        <v>341.736278761793</v>
      </c>
      <c r="J8350" s="38" t="n">
        <f aca="false">Sens!$J$8257</f>
        <v>362.927192787048</v>
      </c>
      <c r="K8350" s="38" t="n">
        <f aca="false">Sens!$K$8257</f>
        <v>381.0735524264</v>
      </c>
      <c r="L8350" s="38" t="n">
        <f aca="false">Sens!$L$8257</f>
        <v>400.12723004772</v>
      </c>
      <c r="M8350" s="38" t="n">
        <f aca="false">Sens!$M$8257</f>
        <v>420.133591550106</v>
      </c>
      <c r="N8350" s="38" t="n">
        <f aca="false">Sens!$N$8257</f>
        <v>118.892</v>
      </c>
      <c r="O8350" s="38" t="n">
        <f aca="false">Sens!$O$8257</f>
        <v>150.395</v>
      </c>
    </row>
    <row r="8351" customFormat="false" ht="15" hidden="false" customHeight="false" outlineLevel="0" collapsed="false">
      <c r="A8351" s="0" t="s">
        <v>517</v>
      </c>
      <c r="B8351" s="0" t="s">
        <v>86</v>
      </c>
      <c r="C8351" s="38" t="n">
        <f aca="false">Sens!$C$8259</f>
        <v>21.215</v>
      </c>
      <c r="D8351" s="38" t="n">
        <f aca="false">Sens!$D$8259</f>
        <v>22.561</v>
      </c>
      <c r="E8351" s="38" t="n">
        <f aca="false">Sens!$E$8259</f>
        <v>11.579</v>
      </c>
      <c r="F8351" s="38" t="n">
        <f aca="false">Sens!$F$8259</f>
        <v>11.5938724610325</v>
      </c>
      <c r="G8351" s="38" t="n">
        <f aca="false">Sens!$G$8259</f>
        <v>23.1728724610325</v>
      </c>
      <c r="H8351" s="38" t="n">
        <f aca="false">Sens!$H$8259</f>
        <v>24.353392759506</v>
      </c>
      <c r="I8351" s="38" t="n">
        <f aca="false">Sens!$I$8259</f>
        <v>25.4240338872015</v>
      </c>
      <c r="J8351" s="38" t="n">
        <f aca="false">Sens!$J$8259</f>
        <v>26.3642491017174</v>
      </c>
      <c r="K8351" s="38" t="n">
        <f aca="false">Sens!$K$8259</f>
        <v>27.155176574769</v>
      </c>
      <c r="L8351" s="38" t="n">
        <f aca="false">Sens!$L$8259</f>
        <v>27.969831872012</v>
      </c>
      <c r="M8351" s="38" t="n">
        <f aca="false">Sens!$M$8259</f>
        <v>28.8089268281724</v>
      </c>
      <c r="N8351" s="38" t="n">
        <f aca="false">Sens!$N$8259</f>
        <v>11.128</v>
      </c>
      <c r="O8351" s="38" t="n">
        <f aca="false">Sens!$O$8259</f>
        <v>11.433</v>
      </c>
    </row>
    <row r="8352" customFormat="false" ht="15" hidden="false" customHeight="false" outlineLevel="0" collapsed="false">
      <c r="A8352" s="0" t="s">
        <v>518</v>
      </c>
      <c r="B8352" s="0" t="s">
        <v>86</v>
      </c>
      <c r="C8352" s="38" t="n">
        <f aca="false">Sens!$C$8261</f>
        <v>156.146</v>
      </c>
      <c r="D8352" s="38" t="n">
        <f aca="false">Sens!$D$8261</f>
        <v>172.162</v>
      </c>
      <c r="E8352" s="38" t="n">
        <f aca="false">Sens!$E$8261</f>
        <v>88.358</v>
      </c>
      <c r="F8352" s="38" t="n">
        <f aca="false">Sens!$F$8261</f>
        <v>102.004388260171</v>
      </c>
      <c r="G8352" s="38" t="n">
        <f aca="false">Sens!$G$8261</f>
        <v>190.362388260171</v>
      </c>
      <c r="H8352" s="38" t="n">
        <f aca="false">Sens!$H$8261</f>
        <v>210.343106588311</v>
      </c>
      <c r="I8352" s="38" t="n">
        <f aca="false">Sens!$I$8261</f>
        <v>229.969728494648</v>
      </c>
      <c r="J8352" s="38" t="n">
        <f aca="false">Sens!$J$8261</f>
        <v>248.747636972598</v>
      </c>
      <c r="K8352" s="38" t="n">
        <f aca="false">Sens!$K$8261</f>
        <v>266.15997156068</v>
      </c>
      <c r="L8352" s="38" t="n">
        <f aca="false">Sens!$L$8261</f>
        <v>284.791169569927</v>
      </c>
      <c r="M8352" s="38" t="n">
        <f aca="false">Sens!$M$8261</f>
        <v>304.726551439822</v>
      </c>
      <c r="N8352" s="38" t="n">
        <f aca="false">Sens!$N$8261</f>
        <v>76.86</v>
      </c>
      <c r="O8352" s="38" t="n">
        <f aca="false">Sens!$O$8261</f>
        <v>95.302</v>
      </c>
    </row>
    <row r="8353" customFormat="false" ht="15" hidden="false" customHeight="false" outlineLevel="0" collapsed="false">
      <c r="A8353" s="0" t="s">
        <v>519</v>
      </c>
      <c r="B8353" s="0" t="s">
        <v>86</v>
      </c>
      <c r="C8353" s="38" t="n">
        <f aca="false">Sens!$C$8263</f>
        <v>56.214</v>
      </c>
      <c r="D8353" s="38" t="n">
        <f aca="false">Sens!$D$8263</f>
        <v>68.635</v>
      </c>
      <c r="E8353" s="38" t="n">
        <f aca="false">Sens!$E$8263</f>
        <v>37.052</v>
      </c>
      <c r="F8353" s="38" t="n">
        <f aca="false">Sens!$F$8263</f>
        <v>46.1572219944148</v>
      </c>
      <c r="G8353" s="38" t="n">
        <f aca="false">Sens!$G$8263</f>
        <v>83.2092219944148</v>
      </c>
      <c r="H8353" s="38" t="n">
        <f aca="false">Sens!$H$8263</f>
        <v>99.8969223878976</v>
      </c>
      <c r="I8353" s="38" t="n">
        <f aca="false">Sens!$I$8263</f>
        <v>116.583111095496</v>
      </c>
      <c r="J8353" s="38" t="n">
        <f aca="false">Sens!$J$8263</f>
        <v>132.148941941952</v>
      </c>
      <c r="K8353" s="38" t="n">
        <f aca="false">Sens!$K$8263</f>
        <v>145.363836136147</v>
      </c>
      <c r="L8353" s="38" t="n">
        <f aca="false">Sens!$L$8263</f>
        <v>159.900219749762</v>
      </c>
      <c r="M8353" s="38" t="n">
        <f aca="false">Sens!$M$8263</f>
        <v>175.890241724738</v>
      </c>
      <c r="N8353" s="38" t="n">
        <f aca="false">Sens!$N$8263</f>
        <v>29.615</v>
      </c>
      <c r="O8353" s="38" t="n">
        <f aca="false">Sens!$O$8263</f>
        <v>39.02</v>
      </c>
    </row>
    <row r="8354" customFormat="false" ht="15" hidden="false" customHeight="false" outlineLevel="0" collapsed="false">
      <c r="A8354" s="0" t="s">
        <v>520</v>
      </c>
      <c r="B8354" s="0" t="s">
        <v>86</v>
      </c>
      <c r="C8354" s="38" t="n">
        <f aca="false">Sens!$C$8265</f>
        <v>44.374</v>
      </c>
      <c r="D8354" s="38" t="n">
        <f aca="false">Sens!$D$8265</f>
        <v>49.619</v>
      </c>
      <c r="E8354" s="38" t="n">
        <f aca="false">Sens!$E$8265</f>
        <v>27.157</v>
      </c>
      <c r="F8354" s="38" t="n">
        <f aca="false">Sens!$F$8265</f>
        <v>27.7764165988154</v>
      </c>
      <c r="G8354" s="38" t="n">
        <f aca="false">Sens!$G$8265</f>
        <v>54.9334165988154</v>
      </c>
      <c r="H8354" s="38" t="n">
        <f aca="false">Sens!$H$8265</f>
        <v>61.1564112561829</v>
      </c>
      <c r="I8354" s="38" t="n">
        <f aca="false">Sens!$I$8265</f>
        <v>67.2020282103945</v>
      </c>
      <c r="J8354" s="38" t="n">
        <f aca="false">Sens!$J$8265</f>
        <v>72.8757274028885</v>
      </c>
      <c r="K8354" s="38" t="n">
        <f aca="false">Sens!$K$8265</f>
        <v>77.9770283210907</v>
      </c>
      <c r="L8354" s="38" t="n">
        <f aca="false">Sens!$L$8265</f>
        <v>83.4354203035671</v>
      </c>
      <c r="M8354" s="38" t="n">
        <f aca="false">Sens!$M$8265</f>
        <v>89.2758997248168</v>
      </c>
      <c r="N8354" s="38" t="n">
        <f aca="false">Sens!$N$8265</f>
        <v>23.923</v>
      </c>
      <c r="O8354" s="38" t="n">
        <f aca="false">Sens!$O$8265</f>
        <v>25.696</v>
      </c>
    </row>
    <row r="8355" customFormat="false" ht="15" hidden="false" customHeight="false" outlineLevel="0" collapsed="false">
      <c r="A8355" s="0" t="s">
        <v>521</v>
      </c>
      <c r="B8355" s="0" t="s">
        <v>86</v>
      </c>
      <c r="C8355" s="38" t="n">
        <f aca="false">Sens!$C$8267</f>
        <v>5.425</v>
      </c>
      <c r="D8355" s="38" t="n">
        <f aca="false">Sens!$D$8267</f>
        <v>5.935</v>
      </c>
      <c r="E8355" s="38" t="n">
        <f aca="false">Sens!$E$8267</f>
        <v>3.474</v>
      </c>
      <c r="F8355" s="38" t="n">
        <f aca="false">Sens!$F$8267</f>
        <v>3.22246550883619</v>
      </c>
      <c r="G8355" s="38" t="n">
        <f aca="false">Sens!$G$8267</f>
        <v>6.69646550883619</v>
      </c>
      <c r="H8355" s="38" t="n">
        <f aca="false">Sens!$H$8267</f>
        <v>7.16251344209196</v>
      </c>
      <c r="I8355" s="38" t="n">
        <f aca="false">Sens!$I$8267</f>
        <v>7.61421070299826</v>
      </c>
      <c r="J8355" s="38" t="n">
        <f aca="false">Sens!$J$8267</f>
        <v>8.04465753523932</v>
      </c>
      <c r="K8355" s="38" t="n">
        <f aca="false">Sens!$K$8267</f>
        <v>8.44689041200128</v>
      </c>
      <c r="L8355" s="38" t="n">
        <f aca="false">Sens!$L$8267</f>
        <v>8.86923493260135</v>
      </c>
      <c r="M8355" s="38" t="n">
        <f aca="false">Sens!$M$8267</f>
        <v>9.31269667923142</v>
      </c>
      <c r="N8355" s="38" t="n">
        <f aca="false">Sens!$N$8267</f>
        <v>2.811</v>
      </c>
      <c r="O8355" s="38" t="n">
        <f aca="false">Sens!$O$8267</f>
        <v>3.124</v>
      </c>
    </row>
    <row r="8356" customFormat="false" ht="17.15" hidden="false" customHeight="false" outlineLevel="0" collapsed="false">
      <c r="A8356" s="0" t="s">
        <v>711</v>
      </c>
      <c r="B8356" s="0" t="s">
        <v>86</v>
      </c>
      <c r="C8356" s="38" t="n">
        <f aca="false">Sens!$C$8337</f>
        <v>107.556</v>
      </c>
      <c r="D8356" s="38" t="n">
        <f aca="false">Sens!$D$8337</f>
        <v>128.725</v>
      </c>
      <c r="E8356" s="38" t="n">
        <f aca="false">Sens!$E$8337</f>
        <v>79.819</v>
      </c>
      <c r="F8356" s="38" t="n">
        <f aca="false">Sens!$F$8337</f>
        <v>86.7327334389669</v>
      </c>
      <c r="G8356" s="38" t="n">
        <f aca="false">Sens!$G$8337</f>
        <v>166.551733438967</v>
      </c>
      <c r="H8356" s="38" t="n">
        <f aca="false">Sens!$H$8337</f>
        <v>221.182967828978</v>
      </c>
      <c r="I8356" s="38" t="n">
        <f aca="false">Sens!$I$8337</f>
        <v>280.27345865789</v>
      </c>
      <c r="J8356" s="38" t="n">
        <f aca="false">Sens!$J$8337</f>
        <v>338.800945197185</v>
      </c>
      <c r="K8356" s="38" t="n">
        <f aca="false">Sens!$K$8337</f>
        <v>389.88570147276</v>
      </c>
      <c r="L8356" s="38" t="n">
        <f aca="false">Sens!$L$8337</f>
        <v>430.080689379143</v>
      </c>
      <c r="M8356" s="38" t="n">
        <f aca="false">Sens!$M$8337</f>
        <v>459.456235951751</v>
      </c>
      <c r="N8356" s="38" t="n">
        <f aca="false">Sens!$N$8337</f>
        <v>60.14</v>
      </c>
      <c r="O8356" s="38" t="n">
        <f aca="false">Sens!$O$8337</f>
        <v>68.585</v>
      </c>
    </row>
    <row r="8357" customFormat="false" ht="15" hidden="false" customHeight="false" outlineLevel="0" collapsed="false">
      <c r="A8357" s="1" t="s">
        <v>509</v>
      </c>
      <c r="B8357" s="8" t="s">
        <v>86</v>
      </c>
      <c r="C8357" s="38" t="n">
        <f aca="false">Sens!$C$8272</f>
        <v>387.497</v>
      </c>
      <c r="D8357" s="38" t="n">
        <f aca="false">Sens!$D$8272</f>
        <v>426.305</v>
      </c>
      <c r="E8357" s="38" t="n">
        <f aca="false">Sens!$E$8272</f>
        <v>220.32</v>
      </c>
      <c r="F8357" s="38" t="n">
        <f aca="false">Sens!$F$8272</f>
        <v>250.639773480586</v>
      </c>
      <c r="G8357" s="38" t="n">
        <f aca="false">Sens!$G$8272</f>
        <v>470.959773480586</v>
      </c>
      <c r="H8357" s="38" t="n">
        <f aca="false">Sens!$H$8272</f>
        <v>521.386990416437</v>
      </c>
      <c r="I8357" s="38" t="n">
        <f aca="false">Sens!$I$8272</f>
        <v>570.143862887555</v>
      </c>
      <c r="J8357" s="38" t="n">
        <f aca="false">Sens!$J$8272</f>
        <v>615.391435791933</v>
      </c>
      <c r="K8357" s="38" t="n">
        <f aca="false">Sens!$K$8272</f>
        <v>655.208227561543</v>
      </c>
      <c r="L8357" s="38" t="n">
        <f aca="false">Sens!$L$8272</f>
        <v>697.807739249767</v>
      </c>
      <c r="M8357" s="38" t="n">
        <f aca="false">Sens!$M$8272</f>
        <v>743.399328463592</v>
      </c>
      <c r="N8357" s="38" t="n">
        <f aca="false">Sens!$N$8272</f>
        <v>192.955</v>
      </c>
      <c r="O8357" s="38" t="n">
        <f aca="false">Sens!$O$8272</f>
        <v>233.35</v>
      </c>
    </row>
    <row r="8358" customFormat="false" ht="15" hidden="false" customHeight="false" outlineLevel="0" collapsed="false">
      <c r="A8358" s="1" t="s">
        <v>512</v>
      </c>
      <c r="B8358" s="8" t="s">
        <v>86</v>
      </c>
      <c r="C8358" s="38" t="n">
        <f aca="false">Sens!$C$8273</f>
        <v>142.906</v>
      </c>
      <c r="D8358" s="38" t="n">
        <f aca="false">Sens!$D$8273</f>
        <v>161.894</v>
      </c>
      <c r="E8358" s="38" t="n">
        <f aca="false">Sens!$E$8273</f>
        <v>81.986</v>
      </c>
      <c r="F8358" s="38" t="n">
        <f aca="false">Sens!$F$8273</f>
        <v>98.408468164951</v>
      </c>
      <c r="G8358" s="38" t="n">
        <f aca="false">Sens!$G$8273</f>
        <v>180.394468164951</v>
      </c>
      <c r="H8358" s="38" t="n">
        <f aca="false">Sens!$H$8273</f>
        <v>199.709899104949</v>
      </c>
      <c r="I8358" s="38" t="n">
        <f aca="false">Sens!$I$8273</f>
        <v>218.385528264976</v>
      </c>
      <c r="J8358" s="38" t="n">
        <f aca="false">Sens!$J$8273</f>
        <v>235.71696994951</v>
      </c>
      <c r="K8358" s="38" t="n">
        <f aca="false">Sens!$K$8273</f>
        <v>250.968227869545</v>
      </c>
      <c r="L8358" s="38" t="n">
        <f aca="false">Sens!$L$8273</f>
        <v>267.285367225822</v>
      </c>
      <c r="M8358" s="38" t="n">
        <f aca="false">Sens!$M$8273</f>
        <v>284.748579483295</v>
      </c>
      <c r="N8358" s="38" t="n">
        <f aca="false">Sens!$N$8273</f>
        <v>70.274</v>
      </c>
      <c r="O8358" s="38" t="n">
        <f aca="false">Sens!$O$8273</f>
        <v>91.62</v>
      </c>
    </row>
    <row r="8359" customFormat="false" ht="15" hidden="false" customHeight="false" outlineLevel="0" collapsed="false">
      <c r="A8359" s="1" t="s">
        <v>513</v>
      </c>
      <c r="B8359" s="8" t="s">
        <v>86</v>
      </c>
      <c r="C8359" s="38" t="n">
        <f aca="false">Sens!$C$8337</f>
        <v>107.556</v>
      </c>
      <c r="D8359" s="38" t="n">
        <f aca="false">Sens!$D$8337</f>
        <v>128.725</v>
      </c>
      <c r="E8359" s="38" t="n">
        <f aca="false">Sens!$E$8337</f>
        <v>79.819</v>
      </c>
      <c r="F8359" s="38" t="n">
        <f aca="false">Sens!$F$8337</f>
        <v>86.7327334389669</v>
      </c>
      <c r="G8359" s="38" t="n">
        <f aca="false">Sens!$G$8337</f>
        <v>166.551733438967</v>
      </c>
      <c r="H8359" s="38" t="n">
        <f aca="false">Sens!$H$8337</f>
        <v>221.182967828978</v>
      </c>
      <c r="I8359" s="38" t="n">
        <f aca="false">Sens!$I$8337</f>
        <v>280.27345865789</v>
      </c>
      <c r="J8359" s="38" t="n">
        <f aca="false">Sens!$J$8337</f>
        <v>338.800945197185</v>
      </c>
      <c r="K8359" s="38" t="n">
        <f aca="false">Sens!$K$8337</f>
        <v>389.88570147276</v>
      </c>
      <c r="L8359" s="38" t="n">
        <f aca="false">Sens!$L$8337</f>
        <v>430.080689379143</v>
      </c>
      <c r="M8359" s="38" t="n">
        <f aca="false">Sens!$M$8337</f>
        <v>459.456235951751</v>
      </c>
      <c r="N8359" s="38" t="n">
        <f aca="false">Sens!$N$8337</f>
        <v>60.14</v>
      </c>
      <c r="O8359" s="38" t="n">
        <f aca="false">Sens!$O$8337</f>
        <v>68.585</v>
      </c>
    </row>
    <row r="8360" customFormat="false" ht="17.15" hidden="false" customHeight="false" outlineLevel="0" collapsed="false">
      <c r="A8360" s="0" t="s">
        <v>685</v>
      </c>
      <c r="B8360" s="0" t="s">
        <v>86</v>
      </c>
      <c r="C8360" s="38" t="n">
        <f aca="false">Sens!$C$8335</f>
        <v>2.32100535697364</v>
      </c>
      <c r="D8360" s="38" t="n">
        <f aca="false">Sens!$D$8335</f>
        <v>8.70377008865116</v>
      </c>
      <c r="E8360" s="38" t="n">
        <f aca="false">Sens!$E$8335</f>
        <v>8.51035297557002</v>
      </c>
      <c r="F8360" s="38" t="n">
        <f aca="false">Sens!$F$8335</f>
        <v>14.9634336447205</v>
      </c>
      <c r="G8360" s="38" t="n">
        <f aca="false">Sens!$G$8335</f>
        <v>23.4737866202905</v>
      </c>
      <c r="H8360" s="38" t="n">
        <f aca="false">Sens!$H$8335</f>
        <v>60.1658907497746</v>
      </c>
      <c r="I8360" s="38" t="n">
        <f aca="false">Sens!$I$8335</f>
        <v>101.503699136432</v>
      </c>
      <c r="J8360" s="38" t="n">
        <f aca="false">Sens!$J$8335</f>
        <v>143.025407151278</v>
      </c>
      <c r="K8360" s="38" t="n">
        <f aca="false">Sens!$K$8335</f>
        <v>178.44812038318</v>
      </c>
      <c r="L8360" s="38" t="n">
        <f aca="false">Sens!$L$8335</f>
        <v>201.728101802396</v>
      </c>
      <c r="M8360" s="38" t="n">
        <f aca="false">Sens!$M$8335</f>
        <v>212.835441368865</v>
      </c>
      <c r="N8360" s="38" t="n">
        <f aca="false">Sens!$N$8335</f>
        <v>3.04631953102791</v>
      </c>
      <c r="O8360" s="38" t="n">
        <f aca="false">Sens!$O$8335</f>
        <v>5.65745055762326</v>
      </c>
    </row>
    <row r="8361" customFormat="false" ht="17.15" hidden="false" customHeight="false" outlineLevel="0" collapsed="false">
      <c r="A8361" s="0" t="s">
        <v>687</v>
      </c>
      <c r="B8361" s="0" t="s">
        <v>86</v>
      </c>
      <c r="C8361" s="38" t="n">
        <f aca="false">Sens!$C$8336</f>
        <v>105.234994643026</v>
      </c>
      <c r="D8361" s="38" t="n">
        <f aca="false">Sens!$D$8336</f>
        <v>120.021229911349</v>
      </c>
      <c r="E8361" s="38" t="n">
        <f aca="false">Sens!$E$8336</f>
        <v>71.30864702443</v>
      </c>
      <c r="F8361" s="38" t="n">
        <f aca="false">Sens!$F$8336</f>
        <v>71.7692997942464</v>
      </c>
      <c r="G8361" s="38" t="n">
        <f aca="false">Sens!$G$8336</f>
        <v>143.077946818676</v>
      </c>
      <c r="H8361" s="38" t="n">
        <f aca="false">Sens!$H$8336</f>
        <v>161.017077079203</v>
      </c>
      <c r="I8361" s="38" t="n">
        <f aca="false">Sens!$I$8336</f>
        <v>178.769759521457</v>
      </c>
      <c r="J8361" s="38" t="n">
        <f aca="false">Sens!$J$8336</f>
        <v>195.775538045907</v>
      </c>
      <c r="K8361" s="38" t="n">
        <f aca="false">Sens!$K$8336</f>
        <v>211.43758108958</v>
      </c>
      <c r="L8361" s="38" t="n">
        <f aca="false">Sens!$L$8336</f>
        <v>228.352587576746</v>
      </c>
      <c r="M8361" s="38" t="n">
        <f aca="false">Sens!$M$8336</f>
        <v>246.620794582886</v>
      </c>
      <c r="N8361" s="38" t="n">
        <f aca="false">Sens!$N$8336</f>
        <v>57.0936804689721</v>
      </c>
      <c r="O8361" s="38" t="n">
        <f aca="false">Sens!$O$8336</f>
        <v>62.9275494423768</v>
      </c>
    </row>
    <row r="8362" customFormat="false" ht="15" hidden="false" customHeight="false" outlineLevel="0" collapsed="false">
      <c r="A8362" s="3" t="s">
        <v>514</v>
      </c>
      <c r="B8362" s="8" t="s">
        <v>86</v>
      </c>
      <c r="C8362" s="38" t="n">
        <f aca="false">Sens!$C$8338</f>
        <v>637.959</v>
      </c>
      <c r="D8362" s="38" t="n">
        <f aca="false">Sens!$D$8338</f>
        <v>716.924</v>
      </c>
      <c r="E8362" s="38" t="n">
        <f aca="false">Sens!$E$8338</f>
        <v>382.125</v>
      </c>
      <c r="F8362" s="38" t="n">
        <f aca="false">Sens!$F$8338</f>
        <v>435.780975084504</v>
      </c>
      <c r="G8362" s="38" t="n">
        <f aca="false">Sens!$G$8338</f>
        <v>817.905975084504</v>
      </c>
      <c r="H8362" s="38" t="n">
        <f aca="false">Sens!$H$8338</f>
        <v>942.279857350364</v>
      </c>
      <c r="I8362" s="38" t="n">
        <f aca="false">Sens!$I$8338</f>
        <v>1068.80284981042</v>
      </c>
      <c r="J8362" s="38" t="n">
        <f aca="false">Sens!$J$8338</f>
        <v>1189.90935093863</v>
      </c>
      <c r="K8362" s="38" t="n">
        <f aca="false">Sens!$K$8338</f>
        <v>1296.06215690385</v>
      </c>
      <c r="L8362" s="38" t="n">
        <f aca="false">Sens!$L$8338</f>
        <v>1395.17379585473</v>
      </c>
      <c r="M8362" s="38" t="n">
        <f aca="false">Sens!$M$8338</f>
        <v>1487.60414389864</v>
      </c>
      <c r="N8362" s="38" t="n">
        <f aca="false">Sens!$N$8338</f>
        <v>323.369</v>
      </c>
      <c r="O8362" s="38" t="n">
        <f aca="false">Sens!$O$8338</f>
        <v>393.555</v>
      </c>
    </row>
    <row r="8363" customFormat="false" ht="17.15" hidden="false" customHeight="false" outlineLevel="0" collapsed="false">
      <c r="A8363" s="24" t="s">
        <v>697</v>
      </c>
      <c r="B8363" s="25" t="s">
        <v>86</v>
      </c>
      <c r="C8363" s="41" t="n">
        <f aca="false">Sens!$C$8350+Sens!$C$8351+Sens!$C$8352+Sens!$C$8353+Sens!$C$8354+Sens!$C$8355-(Sens!$C$8357+Sens!$C$8358)</f>
        <v>0</v>
      </c>
      <c r="D8363" s="41" t="n">
        <f aca="false">Sens!$D$8350+Sens!$D$8351+Sens!$D$8352+Sens!$D$8353+Sens!$D$8354+Sens!$D$8355-(Sens!$D$8357+Sens!$D$8358)</f>
        <v>0</v>
      </c>
      <c r="E8363" s="41" t="n">
        <f aca="false">Sens!$E$8350+Sens!$E$8351+Sens!$E$8352+Sens!$E$8353+Sens!$E$8354+Sens!$E$8355-(Sens!$E$8357+Sens!$E$8358)</f>
        <v>0</v>
      </c>
      <c r="F8363" s="41" t="n">
        <f aca="false">Sens!$F$8350+Sens!$F$8351+Sens!$F$8352+Sens!$F$8353+Sens!$F$8354+Sens!$F$8355-(Sens!$F$8357+Sens!$F$8358)</f>
        <v>0</v>
      </c>
      <c r="G8363" s="41" t="n">
        <f aca="false">Sens!$G$8350+Sens!$G$8351+Sens!$G$8352+Sens!$G$8353+Sens!$G$8354+Sens!$G$8355-(Sens!$G$8357+Sens!$G$8358)</f>
        <v>0</v>
      </c>
      <c r="H8363" s="41" t="n">
        <f aca="false">Sens!$H$8350+Sens!$H$8351+Sens!$H$8352+Sens!$H$8353+Sens!$H$8354+Sens!$H$8355-(Sens!$H$8357+Sens!$H$8358)</f>
        <v>0</v>
      </c>
      <c r="I8363" s="41" t="n">
        <f aca="false">Sens!$I$8350+Sens!$I$8351+Sens!$I$8352+Sens!$I$8353+Sens!$I$8354+Sens!$I$8355-(Sens!$I$8357+Sens!$I$8358)</f>
        <v>0</v>
      </c>
      <c r="J8363" s="41" t="n">
        <f aca="false">Sens!$J$8350+Sens!$J$8351+Sens!$J$8352+Sens!$J$8353+Sens!$J$8354+Sens!$J$8355-(Sens!$J$8357+Sens!$J$8358)</f>
        <v>0</v>
      </c>
      <c r="K8363" s="41" t="n">
        <f aca="false">Sens!$K$8350+Sens!$K$8351+Sens!$K$8352+Sens!$K$8353+Sens!$K$8354+Sens!$K$8355-(Sens!$K$8357+Sens!$K$8358)</f>
        <v>0</v>
      </c>
      <c r="L8363" s="41" t="n">
        <f aca="false">Sens!$L$8350+Sens!$L$8351+Sens!$L$8352+Sens!$L$8353+Sens!$L$8354+Sens!$L$8355-(Sens!$L$8357+Sens!$L$8358)</f>
        <v>0</v>
      </c>
      <c r="M8363" s="41" t="n">
        <f aca="false">Sens!$M$8350+Sens!$M$8351+Sens!$M$8352+Sens!$M$8353+Sens!$M$8354+Sens!$M$8355-(Sens!$M$8357+Sens!$M$8358)</f>
        <v>0</v>
      </c>
      <c r="N8363" s="41" t="n">
        <f aca="false">Sens!$N$8350+Sens!$N$8351+Sens!$N$8352+Sens!$N$8353+Sens!$N$8354+Sens!$N$8355-(Sens!$N$8357+Sens!$N$8358)</f>
        <v>0</v>
      </c>
      <c r="O8363" s="41" t="n">
        <f aca="false">Sens!$O$8350+Sens!$O$8351+Sens!$O$8352+Sens!$O$8353+Sens!$O$8354+Sens!$O$8355-(Sens!$O$8357+Sens!$O$8358)</f>
        <v>0</v>
      </c>
    </row>
    <row r="8364" customFormat="false" ht="17.15" hidden="false" customHeight="false" outlineLevel="0" collapsed="false">
      <c r="A8364" s="24" t="s">
        <v>698</v>
      </c>
      <c r="B8364" s="25" t="s">
        <v>86</v>
      </c>
      <c r="C8364" s="41" t="n">
        <f aca="false">Sens!$C$8360+Sens!$C$8361-Sens!$C$8359</f>
        <v>0</v>
      </c>
      <c r="D8364" s="41" t="n">
        <f aca="false">Sens!$D$8360+Sens!$D$8361-Sens!$D$8359</f>
        <v>0</v>
      </c>
      <c r="E8364" s="41" t="n">
        <f aca="false">Sens!$E$8360+Sens!$E$8361-Sens!$E$8359</f>
        <v>0</v>
      </c>
      <c r="F8364" s="41" t="n">
        <f aca="false">Sens!$F$8360+Sens!$F$8361-Sens!$F$8359</f>
        <v>0</v>
      </c>
      <c r="G8364" s="41" t="n">
        <f aca="false">Sens!$G$8360+Sens!$G$8361-Sens!$G$8359</f>
        <v>0</v>
      </c>
      <c r="H8364" s="41" t="n">
        <f aca="false">Sens!$H$8360+Sens!$H$8361-Sens!$H$8359</f>
        <v>0</v>
      </c>
      <c r="I8364" s="41" t="n">
        <f aca="false">Sens!$I$8360+Sens!$I$8361-Sens!$I$8359</f>
        <v>0</v>
      </c>
      <c r="J8364" s="41" t="n">
        <f aca="false">Sens!$J$8360+Sens!$J$8361-Sens!$J$8359</f>
        <v>0</v>
      </c>
      <c r="K8364" s="41" t="n">
        <f aca="false">Sens!$K$8360+Sens!$K$8361-Sens!$K$8359</f>
        <v>0</v>
      </c>
      <c r="L8364" s="41" t="n">
        <f aca="false">Sens!$L$8360+Sens!$L$8361-Sens!$L$8359</f>
        <v>0</v>
      </c>
      <c r="M8364" s="41" t="n">
        <f aca="false">Sens!$M$8360+Sens!$M$8361-Sens!$M$8359</f>
        <v>0</v>
      </c>
      <c r="N8364" s="41" t="n">
        <f aca="false">Sens!$N$8360+Sens!$N$8361-Sens!$N$8359</f>
        <v>0</v>
      </c>
      <c r="O8364" s="41" t="n">
        <f aca="false">Sens!$O$8360+Sens!$O$8361-Sens!$O$8359</f>
        <v>0</v>
      </c>
    </row>
    <row r="8365" customFormat="false" ht="17.15" hidden="false" customHeight="false" outlineLevel="0" collapsed="false">
      <c r="A8365" s="24" t="s">
        <v>757</v>
      </c>
      <c r="B8365" s="25" t="s">
        <v>86</v>
      </c>
      <c r="C8365" s="41" t="n">
        <f aca="false">Sens!$C$8350+Sens!$C$8351+Sens!$C$8352+Sens!$C$8353+Sens!$C$8354+Sens!$C$8355+Sens!$C$8356-Sens!$C$8362</f>
        <v>0</v>
      </c>
      <c r="D8365" s="41" t="n">
        <f aca="false">Sens!$D$8350+Sens!$D$8351+Sens!$D$8352+Sens!$D$8353+Sens!$D$8354+Sens!$D$8355+Sens!$D$8356-Sens!$D$8362</f>
        <v>0</v>
      </c>
      <c r="E8365" s="41" t="n">
        <f aca="false">Sens!$E$8350+Sens!$E$8351+Sens!$E$8352+Sens!$E$8353+Sens!$E$8354+Sens!$E$8355+Sens!$E$8356-Sens!$E$8362</f>
        <v>0</v>
      </c>
      <c r="F8365" s="41" t="n">
        <f aca="false">Sens!$F$8350+Sens!$F$8351+Sens!$F$8352+Sens!$F$8353+Sens!$F$8354+Sens!$F$8355+Sens!$F$8356-Sens!$F$8362</f>
        <v>0</v>
      </c>
      <c r="G8365" s="41" t="n">
        <f aca="false">Sens!$G$8350+Sens!$G$8351+Sens!$G$8352+Sens!$G$8353+Sens!$G$8354+Sens!$G$8355+Sens!$G$8356-Sens!$G$8362</f>
        <v>0</v>
      </c>
      <c r="H8365" s="41" t="n">
        <f aca="false">Sens!$H$8350+Sens!$H$8351+Sens!$H$8352+Sens!$H$8353+Sens!$H$8354+Sens!$H$8355+Sens!$H$8356-Sens!$H$8362</f>
        <v>0</v>
      </c>
      <c r="I8365" s="41" t="n">
        <f aca="false">Sens!$I$8350+Sens!$I$8351+Sens!$I$8352+Sens!$I$8353+Sens!$I$8354+Sens!$I$8355+Sens!$I$8356-Sens!$I$8362</f>
        <v>0</v>
      </c>
      <c r="J8365" s="41" t="n">
        <f aca="false">Sens!$J$8350+Sens!$J$8351+Sens!$J$8352+Sens!$J$8353+Sens!$J$8354+Sens!$J$8355+Sens!$J$8356-Sens!$J$8362</f>
        <v>0</v>
      </c>
      <c r="K8365" s="41" t="n">
        <f aca="false">Sens!$K$8350+Sens!$K$8351+Sens!$K$8352+Sens!$K$8353+Sens!$K$8354+Sens!$K$8355+Sens!$K$8356-Sens!$K$8362</f>
        <v>0</v>
      </c>
      <c r="L8365" s="41" t="n">
        <f aca="false">Sens!$L$8350+Sens!$L$8351+Sens!$L$8352+Sens!$L$8353+Sens!$L$8354+Sens!$L$8355+Sens!$L$8356-Sens!$L$8362</f>
        <v>0</v>
      </c>
      <c r="M8365" s="41" t="n">
        <f aca="false">Sens!$M$8350+Sens!$M$8351+Sens!$M$8352+Sens!$M$8353+Sens!$M$8354+Sens!$M$8355+Sens!$M$8356-Sens!$M$8362</f>
        <v>0</v>
      </c>
      <c r="N8365" s="41" t="n">
        <f aca="false">Sens!$N$8350+Sens!$N$8351+Sens!$N$8352+Sens!$N$8353+Sens!$N$8354+Sens!$N$8355+Sens!$N$8356-Sens!$N$8362</f>
        <v>0</v>
      </c>
      <c r="O8365" s="41" t="n">
        <f aca="false">Sens!$O$8350+Sens!$O$8351+Sens!$O$8352+Sens!$O$8353+Sens!$O$8354+Sens!$O$8355+Sens!$O$8356-Sens!$O$8362</f>
        <v>0</v>
      </c>
    </row>
    <row r="8366" customFormat="false" ht="17.15" hidden="false" customHeight="false" outlineLevel="0" collapsed="false">
      <c r="A8366" s="24" t="s">
        <v>699</v>
      </c>
      <c r="B8366" s="25" t="s">
        <v>86</v>
      </c>
      <c r="C8366" s="41" t="n">
        <f aca="false">Sens!$C$8357+Sens!$C$8358+Sens!$C$8359-Sens!$C$8362</f>
        <v>0</v>
      </c>
      <c r="D8366" s="41" t="n">
        <f aca="false">Sens!$D$8357+Sens!$D$8358+Sens!$D$8359-Sens!$D$8362</f>
        <v>0</v>
      </c>
      <c r="E8366" s="41" t="n">
        <f aca="false">Sens!$E$8357+Sens!$E$8358+Sens!$E$8359-Sens!$E$8362</f>
        <v>0</v>
      </c>
      <c r="F8366" s="41" t="n">
        <f aca="false">Sens!$F$8357+Sens!$F$8358+Sens!$F$8359-Sens!$F$8362</f>
        <v>0</v>
      </c>
      <c r="G8366" s="41" t="n">
        <f aca="false">Sens!$G$8357+Sens!$G$8358+Sens!$G$8359-Sens!$G$8362</f>
        <v>0</v>
      </c>
      <c r="H8366" s="41" t="n">
        <f aca="false">Sens!$H$8357+Sens!$H$8358+Sens!$H$8359-Sens!$H$8362</f>
        <v>0</v>
      </c>
      <c r="I8366" s="41" t="n">
        <f aca="false">Sens!$I$8357+Sens!$I$8358+Sens!$I$8359-Sens!$I$8362</f>
        <v>0</v>
      </c>
      <c r="J8366" s="41" t="n">
        <f aca="false">Sens!$J$8357+Sens!$J$8358+Sens!$J$8359-Sens!$J$8362</f>
        <v>0</v>
      </c>
      <c r="K8366" s="41" t="n">
        <f aca="false">Sens!$K$8357+Sens!$K$8358+Sens!$K$8359-Sens!$K$8362</f>
        <v>0</v>
      </c>
      <c r="L8366" s="41" t="n">
        <f aca="false">Sens!$L$8357+Sens!$L$8358+Sens!$L$8359-Sens!$L$8362</f>
        <v>0</v>
      </c>
      <c r="M8366" s="41" t="n">
        <f aca="false">Sens!$M$8357+Sens!$M$8358+Sens!$M$8359-Sens!$M$8362</f>
        <v>0</v>
      </c>
      <c r="N8366" s="41" t="n">
        <f aca="false">Sens!$N$8357+Sens!$N$8358+Sens!$N$8359-Sens!$N$8362</f>
        <v>0</v>
      </c>
      <c r="O8366" s="41" t="n">
        <f aca="false">Sens!$O$8357+Sens!$O$8358+Sens!$O$8359-Sens!$O$8362</f>
        <v>0</v>
      </c>
    </row>
    <row r="8367" customFormat="false" ht="17.15" hidden="false" customHeight="false" outlineLevel="0" collapsed="false">
      <c r="A8367" s="1" t="s">
        <v>713</v>
      </c>
    </row>
    <row r="8368" customFormat="false" ht="17.15" hidden="false" customHeight="false" outlineLevel="0" collapsed="false">
      <c r="A8368" s="0" t="s">
        <v>714</v>
      </c>
      <c r="B8368" s="0" t="s">
        <v>86</v>
      </c>
      <c r="C8368" s="38" t="n">
        <f aca="false">Sens!$C$8274*m_ad</f>
        <v>20.5341564414228</v>
      </c>
      <c r="D8368" s="38" t="n">
        <f aca="false">Sens!$D$8274*m_ad</f>
        <v>24.8720617299587</v>
      </c>
      <c r="E8368" s="38" t="n">
        <f aca="false">Sens!$E$8274*m_ad</f>
        <v>13.5017112462207</v>
      </c>
      <c r="F8368" s="38" t="n">
        <f aca="false">Sens!$F$8274*m_ad</f>
        <v>16.5719724165257</v>
      </c>
      <c r="G8368" s="38" t="n">
        <f aca="false">Sens!$G$8274*m_ad</f>
        <v>30.0820919220415</v>
      </c>
      <c r="H8368" s="38" t="n">
        <f aca="false">Sens!$H$8274*m_ad</f>
        <v>36.1150883276314</v>
      </c>
      <c r="I8368" s="38" t="n">
        <f aca="false">Sens!$I$8274*m_ad</f>
        <v>42.1475382231996</v>
      </c>
      <c r="J8368" s="38" t="n">
        <f aca="false">Sens!$J$8274*m_ad</f>
        <v>47.7749523864693</v>
      </c>
      <c r="K8368" s="38" t="n">
        <f aca="false">Sens!$K$8274*m_ad</f>
        <v>52.5524476251162</v>
      </c>
      <c r="L8368" s="38" t="n">
        <f aca="false">Sens!$L$8274*m_ad</f>
        <v>57.8076923876279</v>
      </c>
      <c r="M8368" s="38" t="n">
        <f aca="false">Sens!$M$8274*m_ad</f>
        <v>63.5884616263907</v>
      </c>
      <c r="N8368" s="38" t="n">
        <f aca="false">Sens!$N$8274*m_ad</f>
        <v>10.8543555706248</v>
      </c>
      <c r="O8368" s="38" t="n">
        <f aca="false">Sens!$O$8274*m_ad</f>
        <v>14.0094731821399</v>
      </c>
    </row>
    <row r="8369" customFormat="false" ht="17.15" hidden="false" customHeight="false" outlineLevel="0" collapsed="false">
      <c r="A8369" s="0" t="s">
        <v>715</v>
      </c>
      <c r="B8369" s="0" t="s">
        <v>86</v>
      </c>
      <c r="C8369" s="38" t="n">
        <f aca="false">Sens!$C$8272-Sens!$C$8274</f>
        <v>346.428687117154</v>
      </c>
      <c r="D8369" s="38" t="n">
        <f aca="false">Sens!$D$8272-Sens!$D$8274</f>
        <v>376.560876540083</v>
      </c>
      <c r="E8369" s="38" t="n">
        <f aca="false">Sens!$E$8272-Sens!$E$8274</f>
        <v>193.316577507559</v>
      </c>
      <c r="F8369" s="38" t="n">
        <f aca="false">Sens!$F$8272-Sens!$F$8274</f>
        <v>217.495828647535</v>
      </c>
      <c r="G8369" s="38" t="n">
        <f aca="false">Sens!$G$8272-Sens!$G$8274</f>
        <v>410.795589636503</v>
      </c>
      <c r="H8369" s="38" t="n">
        <f aca="false">Sens!$H$8272-Sens!$H$8274</f>
        <v>449.156813761174</v>
      </c>
      <c r="I8369" s="38" t="n">
        <f aca="false">Sens!$I$8272-Sens!$I$8274</f>
        <v>485.848786441156</v>
      </c>
      <c r="J8369" s="38" t="n">
        <f aca="false">Sens!$J$8272-Sens!$J$8274</f>
        <v>519.841531018994</v>
      </c>
      <c r="K8369" s="38" t="n">
        <f aca="false">Sens!$K$8272-Sens!$K$8274</f>
        <v>550.103332311311</v>
      </c>
      <c r="L8369" s="38" t="n">
        <f aca="false">Sens!$L$8272-Sens!$L$8274</f>
        <v>582.192354474511</v>
      </c>
      <c r="M8369" s="38" t="n">
        <f aca="false">Sens!$M$8272-Sens!$M$8274</f>
        <v>616.22240521081</v>
      </c>
      <c r="N8369" s="38" t="n">
        <f aca="false">Sens!$N$8272-Sens!$N$8274</f>
        <v>171.24628885875</v>
      </c>
      <c r="O8369" s="38" t="n">
        <f aca="false">Sens!$O$8272-Sens!$O$8274</f>
        <v>205.33105363572</v>
      </c>
    </row>
    <row r="8370" customFormat="false" ht="17.15" hidden="false" customHeight="false" outlineLevel="0" collapsed="false">
      <c r="A8370" s="0" t="s">
        <v>716</v>
      </c>
      <c r="B8370" s="0" t="s">
        <v>86</v>
      </c>
      <c r="C8370" s="38" t="n">
        <f aca="false">Sens!$C$8321*Sens!$C$8271</f>
        <v>0.123617442257179</v>
      </c>
      <c r="D8370" s="38" t="n">
        <f aca="false">Sens!$D$8321*Sens!$D$8271</f>
        <v>0.874366899302609</v>
      </c>
      <c r="E8370" s="38" t="n">
        <f aca="false">Sens!$E$8321*Sens!$E$8271</f>
        <v>1.29318830502574</v>
      </c>
      <c r="F8370" s="38" t="n">
        <f aca="false">Sens!$F$8321*Sens!$F$8271</f>
        <v>1.51802024162534</v>
      </c>
      <c r="G8370" s="38" t="n">
        <f aca="false">Sens!$G$8321*Sens!$G$8271</f>
        <v>2.81153363597665</v>
      </c>
      <c r="H8370" s="38" t="n">
        <f aca="false">Sens!$H$8321*Sens!$H$8271</f>
        <v>7.39027704264226</v>
      </c>
      <c r="I8370" s="38" t="n">
        <f aca="false">Sens!$I$8321*Sens!$I$8271</f>
        <v>12.899807643047</v>
      </c>
      <c r="J8370" s="38" t="n">
        <f aca="false">Sens!$J$8321*Sens!$J$8271</f>
        <v>18.5585322471382</v>
      </c>
      <c r="K8370" s="38" t="n">
        <f aca="false">Sens!$K$8321*Sens!$K$8271</f>
        <v>24.0966749520672</v>
      </c>
      <c r="L8370" s="38" t="n">
        <f aca="false">Sens!$L$8321*Sens!$L$8271</f>
        <v>27.686623551477</v>
      </c>
      <c r="M8370" s="38" t="n">
        <f aca="false">Sens!$M$8321*Sens!$M$8271</f>
        <v>29.7238645537022</v>
      </c>
      <c r="N8370" s="38" t="n">
        <f aca="false">Sens!$N$8321*Sens!$N$8271</f>
        <v>0.389180508437431</v>
      </c>
      <c r="O8370" s="38" t="n">
        <f aca="false">Sens!$O$8321*Sens!$O$8271</f>
        <v>0.485052120082802</v>
      </c>
    </row>
    <row r="8371" customFormat="false" ht="17.15" hidden="false" customHeight="false" outlineLevel="0" collapsed="false">
      <c r="A8371" s="0" t="s">
        <v>717</v>
      </c>
      <c r="B8371" s="0" t="s">
        <v>52</v>
      </c>
      <c r="C8371" s="28" t="n">
        <f aca="false">(Sens!$C$8372-Sens!$C$8368+Sens!$C$8370)/Sens!$C$8369</f>
        <v>0.0131526665379575</v>
      </c>
      <c r="D8371" s="28" t="n">
        <f aca="false">(Sens!$D$8372-Sens!$D$8368+Sens!$D$8370)/Sens!$D$8369</f>
        <v>0.0149280116962589</v>
      </c>
      <c r="E8371" s="28" t="n">
        <f aca="false">(Sens!$E$8372-Sens!$E$8368+Sens!$E$8370)/Sens!$E$8369</f>
        <v>0.0268030663774938</v>
      </c>
      <c r="F8371" s="28" t="n">
        <f aca="false">Sens!$O$8371+(Sens!$E$8371-Sens!$N$8371)</f>
        <v>0.0232379346966962</v>
      </c>
      <c r="G8371" s="28" t="n">
        <f aca="false">(Sens!$G$8372-Sens!$G$8368+Sens!$G$8370)/Sens!$G$8369</f>
        <v>0.0248969268652583</v>
      </c>
      <c r="H8371" s="28" t="n">
        <f aca="false">Sens!$G$8371+step_na</f>
        <v>0.0278969268652583</v>
      </c>
      <c r="I8371" s="28" t="n">
        <f aca="false">Sens!$H$8371+step_na</f>
        <v>0.0308969268652583</v>
      </c>
      <c r="J8371" s="28" t="n">
        <f aca="false">Sens!$I$8371+step_na</f>
        <v>0.0338969268652583</v>
      </c>
      <c r="K8371" s="28" t="n">
        <f aca="false">Sens!$J$8371+step_na</f>
        <v>0.0368969268652584</v>
      </c>
      <c r="L8371" s="28" t="n">
        <f aca="false">Sens!$K$8371</f>
        <v>0.0368969268652584</v>
      </c>
      <c r="M8371" s="28" t="n">
        <f aca="false">Sens!$L$8371</f>
        <v>0.0368969268652584</v>
      </c>
      <c r="N8371" s="28" t="n">
        <f aca="false">(Sens!$N$8372-Sens!$N$8368+Sens!$N$8370)/Sens!$N$8369</f>
        <v>0.0168927744775755</v>
      </c>
      <c r="O8371" s="28" t="n">
        <f aca="false">(Sens!$O$8372-Sens!$O$8368+Sens!$O$8370)/Sens!$O$8369</f>
        <v>0.0133276427967779</v>
      </c>
      <c r="P8371" s="8" t="s">
        <v>718</v>
      </c>
    </row>
    <row r="8372" customFormat="false" ht="17.15" hidden="false" customHeight="false" outlineLevel="0" collapsed="false">
      <c r="A8372" s="1" t="s">
        <v>719</v>
      </c>
      <c r="B8372" s="8" t="s">
        <v>86</v>
      </c>
      <c r="C8372" s="38" t="n">
        <f aca="false">Q!$D$22</f>
        <v>24.967</v>
      </c>
      <c r="D8372" s="38" t="n">
        <f aca="false">Q!$E$22</f>
        <v>29.619</v>
      </c>
      <c r="E8372" s="38" t="n">
        <f aca="false">Q!$P$22</f>
        <v>17.39</v>
      </c>
      <c r="F8372" s="38" t="n">
        <f aca="false">Sens!$F$8368+Sens!$F$8369*Sens!$F$8371-Sens!$F$8370</f>
        <v>20.1081060378156</v>
      </c>
      <c r="G8372" s="38" t="n">
        <f aca="false">Sens!$E$8372+Sens!$F$8372</f>
        <v>37.4981060378156</v>
      </c>
      <c r="H8372" s="38" t="n">
        <f aca="false">Sens!$H$8368+Sens!$H$8369*Sens!$H$8371-Sens!$H$8370</f>
        <v>41.2549060695171</v>
      </c>
      <c r="I8372" s="38" t="n">
        <f aca="false">Sens!$I$8368+Sens!$I$8369*Sens!$I$8371-Sens!$I$8370</f>
        <v>44.2589650023995</v>
      </c>
      <c r="J8372" s="38" t="n">
        <f aca="false">Sens!$J$8368+Sens!$J$8369*Sens!$J$8371-Sens!$J$8370</f>
        <v>46.8374504978059</v>
      </c>
      <c r="K8372" s="38" t="n">
        <f aca="false">Sens!$K$8368+Sens!$K$8369*Sens!$K$8371-Sens!$K$8370</f>
        <v>48.7528950936744</v>
      </c>
      <c r="L8372" s="38" t="n">
        <f aca="false">Sens!$L$8368+Sens!$L$8369*Sens!$L$8371-Sens!$L$8370</f>
        <v>51.6021775607095</v>
      </c>
      <c r="M8372" s="38" t="n">
        <f aca="false">Sens!$M$8368+Sens!$M$8369*Sens!$M$8371-Sens!$M$8370</f>
        <v>56.6013100904853</v>
      </c>
      <c r="N8372" s="38" t="n">
        <f aca="false">Q!$N$22</f>
        <v>13.358</v>
      </c>
      <c r="O8372" s="38" t="n">
        <f aca="false">Q!$O$22</f>
        <v>16.261</v>
      </c>
    </row>
    <row r="8373" customFormat="false" ht="17.15" hidden="false" customHeight="false" outlineLevel="0" collapsed="false">
      <c r="A8373" s="0" t="s">
        <v>720</v>
      </c>
      <c r="B8373" s="0" t="s">
        <v>86</v>
      </c>
      <c r="C8373" s="38" t="n">
        <f aca="false">Sens!$C$8275*m_ad</f>
        <v>7.57284355857716</v>
      </c>
      <c r="D8373" s="38" t="n">
        <f aca="false">Sens!$D$8275*m_ad</f>
        <v>9.44543827004127</v>
      </c>
      <c r="E8373" s="38" t="n">
        <f aca="false">Sens!$E$8275*m_ad</f>
        <v>5.02428875377928</v>
      </c>
      <c r="F8373" s="38" t="n">
        <f aca="false">Sens!$F$8275*m_ad</f>
        <v>6.50663858068173</v>
      </c>
      <c r="G8373" s="38" t="n">
        <f aca="false">Sens!$G$8275*m_ad</f>
        <v>11.5225190751659</v>
      </c>
      <c r="H8373" s="38" t="n">
        <f aca="false">Sens!$H$8275*m_ad</f>
        <v>13.8333728663174</v>
      </c>
      <c r="I8373" s="38" t="n">
        <f aca="false">Sens!$I$8275*m_ad</f>
        <v>16.1440173245485</v>
      </c>
      <c r="J8373" s="38" t="n">
        <f aca="false">Sens!$J$8275*m_ad</f>
        <v>18.2995185845066</v>
      </c>
      <c r="K8373" s="38" t="n">
        <f aca="false">Sens!$K$8275*m_ad</f>
        <v>20.1294704429572</v>
      </c>
      <c r="L8373" s="38" t="n">
        <f aca="false">Sens!$L$8275*m_ad</f>
        <v>22.142417487253</v>
      </c>
      <c r="M8373" s="38" t="n">
        <f aca="false">Sens!$M$8275*m_ad</f>
        <v>24.3566592359783</v>
      </c>
      <c r="N8373" s="38" t="n">
        <f aca="false">Sens!$N$8275*m_ad</f>
        <v>3.95314442937518</v>
      </c>
      <c r="O8373" s="38" t="n">
        <f aca="false">Sens!$O$8275*m_ad</f>
        <v>5.50052681786011</v>
      </c>
    </row>
    <row r="8374" customFormat="false" ht="17.15" hidden="false" customHeight="false" outlineLevel="0" collapsed="false">
      <c r="A8374" s="0" t="s">
        <v>721</v>
      </c>
      <c r="B8374" s="0" t="s">
        <v>86</v>
      </c>
      <c r="C8374" s="38" t="n">
        <f aca="false">Sens!$C$8273-Sens!$C$8275</f>
        <v>127.760312882846</v>
      </c>
      <c r="D8374" s="38" t="n">
        <f aca="false">Sens!$D$8273-Sens!$D$8275</f>
        <v>143.003123459917</v>
      </c>
      <c r="E8374" s="38" t="n">
        <f aca="false">Sens!$E$8273-Sens!$E$8275</f>
        <v>71.9374224924414</v>
      </c>
      <c r="F8374" s="38" t="n">
        <f aca="false">Sens!$F$8273-Sens!$F$8275</f>
        <v>85.3951910035875</v>
      </c>
      <c r="G8374" s="38" t="n">
        <f aca="false">Sens!$G$8273-Sens!$G$8275</f>
        <v>157.349430014619</v>
      </c>
      <c r="H8374" s="38" t="n">
        <f aca="false">Sens!$H$8273-Sens!$H$8275</f>
        <v>172.043153372315</v>
      </c>
      <c r="I8374" s="38" t="n">
        <f aca="false">Sens!$I$8273-Sens!$I$8275</f>
        <v>186.097493615879</v>
      </c>
      <c r="J8374" s="38" t="n">
        <f aca="false">Sens!$J$8273-Sens!$J$8275</f>
        <v>199.117932780497</v>
      </c>
      <c r="K8374" s="38" t="n">
        <f aca="false">Sens!$K$8273-Sens!$K$8275</f>
        <v>210.70928698363</v>
      </c>
      <c r="L8374" s="38" t="n">
        <f aca="false">Sens!$L$8273-Sens!$L$8275</f>
        <v>223.000532251316</v>
      </c>
      <c r="M8374" s="38" t="n">
        <f aca="false">Sens!$M$8273-Sens!$M$8275</f>
        <v>236.035261011339</v>
      </c>
      <c r="N8374" s="38" t="n">
        <f aca="false">Sens!$N$8273-Sens!$N$8275</f>
        <v>62.3677111412496</v>
      </c>
      <c r="O8374" s="38" t="n">
        <f aca="false">Sens!$O$8273-Sens!$O$8275</f>
        <v>80.6189463642798</v>
      </c>
    </row>
    <row r="8375" customFormat="false" ht="17.15" hidden="false" customHeight="false" outlineLevel="0" collapsed="false">
      <c r="A8375" s="0" t="s">
        <v>722</v>
      </c>
      <c r="B8375" s="0" t="s">
        <v>86</v>
      </c>
      <c r="C8375" s="38" t="n">
        <f aca="false">Sens!$C$8321*(1-Sens!$C$8271)</f>
        <v>0.0455891896019953</v>
      </c>
      <c r="D8375" s="38" t="n">
        <f aca="false">Sens!$D$8321*(1-Sens!$D$8271)</f>
        <v>0.332050421167231</v>
      </c>
      <c r="E8375" s="38" t="n">
        <f aca="false">Sens!$E$8321*(1-Sens!$E$8271)</f>
        <v>0.481224293644882</v>
      </c>
      <c r="F8375" s="38" t="n">
        <f aca="false">Sens!$F$8321*(1-Sens!$F$8271)</f>
        <v>0.596018918096053</v>
      </c>
      <c r="G8375" s="38" t="n">
        <f aca="false">Sens!$G$8321*(1-Sens!$G$8271)</f>
        <v>1.07691812241537</v>
      </c>
      <c r="H8375" s="38" t="n">
        <f aca="false">Sens!$H$8321*(1-Sens!$H$8271)</f>
        <v>2.83074090775622</v>
      </c>
      <c r="I8375" s="38" t="n">
        <f aca="false">Sens!$I$8321*(1-Sens!$I$8271)</f>
        <v>4.94108853926048</v>
      </c>
      <c r="J8375" s="38" t="n">
        <f aca="false">Sens!$J$8321*(1-Sens!$J$8271)</f>
        <v>7.10858281993502</v>
      </c>
      <c r="K8375" s="38" t="n">
        <f aca="false">Sens!$K$8321*(1-Sens!$K$8271)</f>
        <v>9.2298899126701</v>
      </c>
      <c r="L8375" s="38" t="n">
        <f aca="false">Sens!$L$8321*(1-Sens!$L$8271)</f>
        <v>10.6049688574045</v>
      </c>
      <c r="M8375" s="38" t="n">
        <f aca="false">Sens!$M$8321*(1-Sens!$M$8271)</f>
        <v>11.3853051574758</v>
      </c>
      <c r="N8375" s="38" t="n">
        <f aca="false">Sens!$N$8321*(1-Sens!$N$8271)</f>
        <v>0.141739115596548</v>
      </c>
      <c r="O8375" s="38" t="n">
        <f aca="false">Sens!$O$8321*(1-Sens!$O$8271)</f>
        <v>0.190445576353059</v>
      </c>
    </row>
    <row r="8376" customFormat="false" ht="17.15" hidden="false" customHeight="false" outlineLevel="0" collapsed="false">
      <c r="A8376" s="0" t="s">
        <v>723</v>
      </c>
      <c r="B8376" s="0" t="s">
        <v>52</v>
      </c>
      <c r="C8376" s="28" t="n">
        <f aca="false">(Sens!$C$8377-Sens!$C$8373+Sens!$C$8375)/Sens!$C$8374</f>
        <v>-0.0292364215826579</v>
      </c>
      <c r="D8376" s="28" t="n">
        <f aca="false">(Sens!$D$8377-Sens!$D$8373+Sens!$D$8375)/Sens!$D$8374</f>
        <v>-0.0305125352740778</v>
      </c>
      <c r="E8376" s="28" t="n">
        <f aca="false">(Sens!$E$8377-Sens!$E$8373+Sens!$E$8375)/Sens!$E$8374</f>
        <v>-0.019490056934994</v>
      </c>
      <c r="F8376" s="28" t="n">
        <f aca="false">Sens!$O$8376+(Sens!$E$8376-Sens!$N$8376)</f>
        <v>-0.0367332293992226</v>
      </c>
      <c r="G8376" s="28" t="n">
        <f aca="false">(Sens!$G$8377-Sens!$G$8373+Sens!$G$8375)/Sens!$G$8374</f>
        <v>-0.0287946542321067</v>
      </c>
      <c r="H8376" s="28" t="n">
        <f aca="false">Sens!$G$8376+step_in</f>
        <v>-0.0287946542321067</v>
      </c>
      <c r="I8376" s="28" t="n">
        <f aca="false">Sens!$H$8376+step_in</f>
        <v>-0.0287946542321067</v>
      </c>
      <c r="J8376" s="28" t="n">
        <f aca="false">Sens!$I$8376+step_in</f>
        <v>-0.0287946542321067</v>
      </c>
      <c r="K8376" s="28" t="n">
        <f aca="false">Sens!$J$8376+step_in</f>
        <v>-0.0287946542321067</v>
      </c>
      <c r="L8376" s="28" t="n">
        <f aca="false">Sens!$K$8376</f>
        <v>-0.0287946542321067</v>
      </c>
      <c r="M8376" s="28" t="n">
        <f aca="false">Sens!$L$8376</f>
        <v>-0.0287946542321067</v>
      </c>
      <c r="N8376" s="28" t="n">
        <f aca="false">(Sens!$N$8377-Sens!$N$8373+Sens!$N$8375)/Sens!$N$8374</f>
        <v>-0.02085061789158</v>
      </c>
      <c r="O8376" s="28" t="n">
        <f aca="false">(Sens!$O$8377-Sens!$O$8373+Sens!$O$8375)/Sens!$O$8374</f>
        <v>-0.0380937903558086</v>
      </c>
      <c r="P8376" s="8" t="s">
        <v>718</v>
      </c>
    </row>
    <row r="8377" customFormat="false" ht="17.15" hidden="false" customHeight="false" outlineLevel="0" collapsed="false">
      <c r="A8377" s="1" t="s">
        <v>724</v>
      </c>
      <c r="B8377" s="8" t="s">
        <v>86</v>
      </c>
      <c r="C8377" s="38" t="n">
        <f aca="false">Q!$D$23</f>
        <v>3.792</v>
      </c>
      <c r="D8377" s="38" t="n">
        <f aca="false">Q!$E$23</f>
        <v>4.75</v>
      </c>
      <c r="E8377" s="38" t="n">
        <f aca="false">Q!$P$23</f>
        <v>3.141</v>
      </c>
      <c r="F8377" s="38" t="n">
        <f aca="false">Sens!$F$8373+Sens!$F$8374*Sens!$F$8376-Sens!$F$8375</f>
        <v>2.77377852186047</v>
      </c>
      <c r="G8377" s="38" t="n">
        <f aca="false">Sens!$E$8377+Sens!$F$8377</f>
        <v>5.91477852186047</v>
      </c>
      <c r="H8377" s="38" t="n">
        <f aca="false">Sens!$H$8373+Sens!$H$8374*Sens!$H$8376-Sens!$H$8375</f>
        <v>6.04870884420403</v>
      </c>
      <c r="I8377" s="38" t="n">
        <f aca="false">Sens!$I$8373+Sens!$I$8374*Sens!$I$8376-Sens!$I$8375</f>
        <v>5.84431580315713</v>
      </c>
      <c r="J8377" s="38" t="n">
        <f aca="false">Sens!$J$8373+Sens!$J$8374*Sens!$J$8376-Sens!$J$8375</f>
        <v>5.45740373874528</v>
      </c>
      <c r="K8377" s="38" t="n">
        <f aca="false">Sens!$K$8373+Sens!$K$8374*Sens!$K$8376-Sens!$K$8375</f>
        <v>4.83227946809976</v>
      </c>
      <c r="L8377" s="38" t="n">
        <f aca="false">Sens!$L$8373+Sens!$L$8374*Sens!$L$8376-Sens!$L$8375</f>
        <v>5.11622541009601</v>
      </c>
      <c r="M8377" s="38" t="n">
        <f aca="false">Sens!$M$8373+Sens!$M$8374*Sens!$M$8376-Sens!$M$8375</f>
        <v>6.17480035109588</v>
      </c>
      <c r="N8377" s="38" t="n">
        <f aca="false">Q!$N$23</f>
        <v>2.511</v>
      </c>
      <c r="O8377" s="38" t="n">
        <f aca="false">Q!$O$23</f>
        <v>2.239</v>
      </c>
    </row>
    <row r="8378" customFormat="false" ht="17.15" hidden="false" customHeight="false" outlineLevel="0" collapsed="false">
      <c r="A8378" s="0" t="s">
        <v>725</v>
      </c>
      <c r="B8378" s="0" t="s">
        <v>86</v>
      </c>
      <c r="C8378" s="38" t="n">
        <f aca="false">Sens!$C$8318</f>
        <v>1.64417882953695</v>
      </c>
      <c r="D8378" s="38" t="n">
        <f aca="false">Sens!$D$8318</f>
        <v>3.8781008067718</v>
      </c>
      <c r="E8378" s="38" t="n">
        <f aca="false">Sens!$E$8318</f>
        <v>1.41270258088753</v>
      </c>
      <c r="F8378" s="38" t="n">
        <f aca="false">Sens!$F$8318</f>
        <v>6.50727700583486</v>
      </c>
      <c r="G8378" s="38" t="n">
        <f aca="false">Sens!$G$8318</f>
        <v>7.9199795867224</v>
      </c>
      <c r="H8378" s="38" t="n">
        <f aca="false">Sens!$H$8318</f>
        <v>19.2818189481807</v>
      </c>
      <c r="I8378" s="38" t="n">
        <f aca="false">Sens!$I$8318</f>
        <v>30.140114407202</v>
      </c>
      <c r="J8378" s="38" t="n">
        <f aca="false">Sens!$J$8318</f>
        <v>40.3569468829854</v>
      </c>
      <c r="K8378" s="38" t="n">
        <f aca="false">Sens!$K$8318</f>
        <v>45.1418609242305</v>
      </c>
      <c r="L8378" s="38" t="n">
        <f aca="false">Sens!$L$8318</f>
        <v>48.5617321668703</v>
      </c>
      <c r="M8378" s="38" t="n">
        <f aca="false">Sens!$M$8318</f>
        <v>48.3987625241529</v>
      </c>
      <c r="N8378" s="38" t="n">
        <f aca="false">Sens!$N$8318</f>
        <v>0.92264103489199</v>
      </c>
      <c r="O8378" s="38" t="n">
        <f aca="false">Sens!$O$8318</f>
        <v>2.95545977187981</v>
      </c>
    </row>
    <row r="8379" customFormat="false" ht="17.15" hidden="false" customHeight="false" outlineLevel="0" collapsed="false">
      <c r="A8379" s="0" t="s">
        <v>643</v>
      </c>
      <c r="B8379" s="0" t="s">
        <v>86</v>
      </c>
      <c r="C8379" s="38" t="n">
        <f aca="false">Sens!$C$8323</f>
        <v>38.1898211704631</v>
      </c>
      <c r="D8379" s="38" t="n">
        <f aca="false">Sens!$D$8323</f>
        <v>41.7278991932282</v>
      </c>
      <c r="E8379" s="38" t="n">
        <f aca="false">Sens!$E$8323</f>
        <v>29.3692974191125</v>
      </c>
      <c r="F8379" s="38" t="n">
        <f aca="false">Sens!$F$8323</f>
        <v>26.8997276714137</v>
      </c>
      <c r="G8379" s="38" t="n">
        <f aca="false">Sens!$G$8323</f>
        <v>56.2690250905262</v>
      </c>
      <c r="H8379" s="38" t="n">
        <f aca="false">Sens!$H$8323</f>
        <v>60.3505333937343</v>
      </c>
      <c r="I8379" s="38" t="n">
        <f aca="false">Sens!$I$8323</f>
        <v>67.0043857303571</v>
      </c>
      <c r="J8379" s="38" t="n">
        <f aca="false">Sens!$J$8323</f>
        <v>73.3782922956925</v>
      </c>
      <c r="K8379" s="38" t="n">
        <f aca="false">Sens!$K$8323</f>
        <v>79.2485556793479</v>
      </c>
      <c r="L8379" s="38" t="n">
        <f aca="false">Sens!$L$8323</f>
        <v>85.5884401336958</v>
      </c>
      <c r="M8379" s="38" t="n">
        <f aca="false">Sens!$M$8323</f>
        <v>92.4355153443914</v>
      </c>
      <c r="N8379" s="38" t="n">
        <f aca="false">Sens!$N$8323</f>
        <v>20.784358965108</v>
      </c>
      <c r="O8379" s="38" t="n">
        <f aca="false">Sens!$O$8323</f>
        <v>20.9435402281202</v>
      </c>
    </row>
    <row r="8380" customFormat="false" ht="17.15" hidden="false" customHeight="false" outlineLevel="0" collapsed="false">
      <c r="A8380" s="1" t="s">
        <v>726</v>
      </c>
      <c r="B8380" s="8" t="s">
        <v>86</v>
      </c>
      <c r="C8380" s="38" t="n">
        <f aca="false">Q!$D$24</f>
        <v>39.834</v>
      </c>
      <c r="D8380" s="38" t="n">
        <f aca="false">Q!$E$24</f>
        <v>45.606</v>
      </c>
      <c r="E8380" s="38" t="n">
        <f aca="false">Q!$P$24</f>
        <v>30.782</v>
      </c>
      <c r="F8380" s="38" t="n">
        <f aca="false">Sens!$F$8378+Sens!$F$8379</f>
        <v>33.4070046772486</v>
      </c>
      <c r="G8380" s="38" t="n">
        <f aca="false">Sens!$G$8378+Sens!$G$8379</f>
        <v>64.1890046772486</v>
      </c>
      <c r="H8380" s="38" t="n">
        <f aca="false">Sens!$H$8378+Sens!$H$8379</f>
        <v>79.6323523419149</v>
      </c>
      <c r="I8380" s="38" t="n">
        <f aca="false">Sens!$I$8378+Sens!$I$8379</f>
        <v>97.1445001375591</v>
      </c>
      <c r="J8380" s="38" t="n">
        <f aca="false">Sens!$J$8378+Sens!$J$8379</f>
        <v>113.735239178678</v>
      </c>
      <c r="K8380" s="38" t="n">
        <f aca="false">Sens!$K$8378+Sens!$K$8379</f>
        <v>124.390416603578</v>
      </c>
      <c r="L8380" s="38" t="n">
        <f aca="false">Sens!$L$8378+Sens!$L$8379</f>
        <v>134.150172300566</v>
      </c>
      <c r="M8380" s="38" t="n">
        <f aca="false">Sens!$M$8378+Sens!$M$8379</f>
        <v>140.834277868544</v>
      </c>
      <c r="N8380" s="38" t="n">
        <f aca="false">Q!$N$24</f>
        <v>21.707</v>
      </c>
      <c r="O8380" s="38" t="n">
        <f aca="false">Q!$O$24</f>
        <v>23.899</v>
      </c>
    </row>
    <row r="8381" customFormat="false" ht="17.15" hidden="false" customHeight="false" outlineLevel="0" collapsed="false">
      <c r="A8381" s="5" t="s">
        <v>727</v>
      </c>
      <c r="B8381" s="0" t="s">
        <v>86</v>
      </c>
      <c r="C8381" s="38" t="n">
        <f aca="false">Q!$D$26</f>
        <v>0</v>
      </c>
      <c r="D8381" s="38" t="n">
        <f aca="false">Q!$E$26</f>
        <v>0</v>
      </c>
      <c r="E8381" s="38" t="n">
        <f aca="false">Q!$P$26</f>
        <v>0</v>
      </c>
      <c r="F8381" s="39" t="n">
        <v>0</v>
      </c>
      <c r="G8381" s="38" t="n">
        <f aca="false">Sens!$E$8381+Sens!$F$8381</f>
        <v>0</v>
      </c>
      <c r="H8381" s="39" t="n">
        <v>0</v>
      </c>
      <c r="I8381" s="39" t="n">
        <v>0</v>
      </c>
      <c r="J8381" s="39" t="n">
        <v>0</v>
      </c>
      <c r="K8381" s="39" t="n">
        <v>0</v>
      </c>
      <c r="L8381" s="39" t="n">
        <v>0</v>
      </c>
      <c r="M8381" s="39" t="n">
        <v>0</v>
      </c>
      <c r="N8381" s="38" t="n">
        <f aca="false">Q!$N$26</f>
        <v>0</v>
      </c>
      <c r="O8381" s="38" t="n">
        <f aca="false">Q!$O$26</f>
        <v>0</v>
      </c>
    </row>
    <row r="8382" customFormat="false" ht="15" hidden="false" customHeight="false" outlineLevel="0" collapsed="false">
      <c r="A8382" s="3" t="s">
        <v>531</v>
      </c>
      <c r="B8382" s="8" t="s">
        <v>86</v>
      </c>
      <c r="C8382" s="38" t="n">
        <f aca="false">Q!$D$25</f>
        <v>68.593</v>
      </c>
      <c r="D8382" s="38" t="n">
        <f aca="false">Q!$E$25</f>
        <v>79.975</v>
      </c>
      <c r="E8382" s="38" t="n">
        <f aca="false">Q!$P$25</f>
        <v>51.313</v>
      </c>
      <c r="F8382" s="38" t="n">
        <f aca="false">Sens!$F$8372+Sens!$F$8377+Sens!$F$8380+Sens!$F$8381</f>
        <v>56.2888892369246</v>
      </c>
      <c r="G8382" s="38" t="n">
        <f aca="false">Sens!$G$8372+Sens!$G$8377+Sens!$G$8380+Sens!$G$8381</f>
        <v>107.601889236925</v>
      </c>
      <c r="H8382" s="38" t="n">
        <f aca="false">Sens!$H$8372+Sens!$H$8377+Sens!$H$8380+Sens!$H$8381</f>
        <v>126.935967255636</v>
      </c>
      <c r="I8382" s="38" t="n">
        <f aca="false">Sens!$I$8372+Sens!$I$8377+Sens!$I$8380+Sens!$I$8381</f>
        <v>147.247780943116</v>
      </c>
      <c r="J8382" s="38" t="n">
        <f aca="false">Sens!$J$8372+Sens!$J$8377+Sens!$J$8380+Sens!$J$8381</f>
        <v>166.030093415229</v>
      </c>
      <c r="K8382" s="38" t="n">
        <f aca="false">Sens!$K$8372+Sens!$K$8377+Sens!$K$8380+Sens!$K$8381</f>
        <v>177.975591165353</v>
      </c>
      <c r="L8382" s="38" t="n">
        <f aca="false">Sens!$L$8372+Sens!$L$8377+Sens!$L$8380+Sens!$L$8381</f>
        <v>190.868575271371</v>
      </c>
      <c r="M8382" s="38" t="n">
        <f aca="false">Sens!$M$8372+Sens!$M$8377+Sens!$M$8380+Sens!$M$8381</f>
        <v>203.610388310126</v>
      </c>
      <c r="N8382" s="38" t="n">
        <f aca="false">Q!$N$25</f>
        <v>37.576</v>
      </c>
      <c r="O8382" s="38" t="n">
        <f aca="false">Q!$O$25</f>
        <v>42.399</v>
      </c>
    </row>
    <row r="8383" customFormat="false" ht="17.15" hidden="false" customHeight="false" outlineLevel="0" collapsed="false">
      <c r="A8383" s="24" t="s">
        <v>758</v>
      </c>
      <c r="B8383" s="25" t="s">
        <v>86</v>
      </c>
      <c r="C8383" s="41" t="n">
        <f aca="false">Sens!$C$8372+Sens!$C$8377+Sens!$C$8380+Sens!$C$8381-Sens!$C$8382</f>
        <v>0</v>
      </c>
      <c r="D8383" s="41" t="n">
        <f aca="false">Sens!$D$8372+Sens!$D$8377+Sens!$D$8380+Sens!$D$8381-Sens!$D$8382</f>
        <v>0</v>
      </c>
      <c r="E8383" s="41" t="n">
        <f aca="false">Sens!$E$8372+Sens!$E$8377+Sens!$E$8380+Sens!$E$8381-Sens!$E$8382</f>
        <v>0</v>
      </c>
      <c r="F8383" s="41" t="n">
        <f aca="false">Sens!$F$8372+Sens!$F$8377+Sens!$F$8380+Sens!$F$8381-Sens!$F$8382</f>
        <v>0</v>
      </c>
      <c r="G8383" s="41" t="n">
        <f aca="false">Sens!$G$8372+Sens!$G$8377+Sens!$G$8380+Sens!$G$8381-Sens!$G$8382</f>
        <v>0</v>
      </c>
      <c r="H8383" s="41" t="n">
        <f aca="false">Sens!$H$8372+Sens!$H$8377+Sens!$H$8380+Sens!$H$8381-Sens!$H$8382</f>
        <v>0</v>
      </c>
      <c r="I8383" s="41" t="n">
        <f aca="false">Sens!$I$8372+Sens!$I$8377+Sens!$I$8380+Sens!$I$8381-Sens!$I$8382</f>
        <v>0</v>
      </c>
      <c r="J8383" s="41" t="n">
        <f aca="false">Sens!$J$8372+Sens!$J$8377+Sens!$J$8380+Sens!$J$8381-Sens!$J$8382</f>
        <v>0</v>
      </c>
      <c r="K8383" s="41" t="n">
        <f aca="false">Sens!$K$8372+Sens!$K$8377+Sens!$K$8380+Sens!$K$8381-Sens!$K$8382</f>
        <v>0</v>
      </c>
      <c r="L8383" s="41" t="n">
        <f aca="false">Sens!$L$8372+Sens!$L$8377+Sens!$L$8380+Sens!$L$8381-Sens!$L$8382</f>
        <v>0</v>
      </c>
      <c r="M8383" s="41" t="n">
        <f aca="false">Sens!$M$8372+Sens!$M$8377+Sens!$M$8380+Sens!$M$8381-Sens!$M$8382</f>
        <v>0</v>
      </c>
      <c r="N8383" s="41" t="n">
        <f aca="false">Sens!$N$8372+Sens!$N$8377+Sens!$N$8380+Sens!$N$8381-Sens!$N$8382</f>
        <v>0</v>
      </c>
      <c r="O8383" s="41" t="n">
        <f aca="false">Sens!$O$8372+Sens!$O$8377+Sens!$O$8380+Sens!$O$8381-Sens!$O$8382</f>
        <v>0</v>
      </c>
    </row>
    <row r="8384" customFormat="false" ht="17.15" hidden="false" customHeight="false" outlineLevel="0" collapsed="false">
      <c r="A8384" s="5" t="s">
        <v>729</v>
      </c>
      <c r="B8384" s="0" t="s">
        <v>86</v>
      </c>
      <c r="C8384" s="38" t="n">
        <f aca="false">Sens!$C$8320</f>
        <v>0</v>
      </c>
      <c r="D8384" s="38" t="n">
        <f aca="false">Sens!$D$8320</f>
        <v>0</v>
      </c>
      <c r="E8384" s="38" t="n">
        <f aca="false">Sens!$E$8320</f>
        <v>0</v>
      </c>
      <c r="F8384" s="38" t="n">
        <f aca="false">Sens!$F$8320</f>
        <v>3.77122048175818</v>
      </c>
      <c r="G8384" s="38" t="n">
        <f aca="false">Sens!$G$8320</f>
        <v>3.77122048175818</v>
      </c>
      <c r="H8384" s="38" t="n">
        <f aca="false">Sens!$H$8320</f>
        <v>15.1635543609893</v>
      </c>
      <c r="I8384" s="38" t="n">
        <f aca="false">Sens!$I$8320</f>
        <v>25.5818843619889</v>
      </c>
      <c r="J8384" s="38" t="n">
        <f aca="false">Sens!$J$8320</f>
        <v>36.0465624179122</v>
      </c>
      <c r="K8384" s="38" t="n">
        <f aca="false">Sens!$K$8320</f>
        <v>44.9741164026038</v>
      </c>
      <c r="L8384" s="38" t="n">
        <f aca="false">Sens!$L$8320</f>
        <v>50.8413488057813</v>
      </c>
      <c r="M8384" s="38" t="n">
        <f aca="false">Sens!$M$8320</f>
        <v>53.6407214274315</v>
      </c>
      <c r="N8384" s="38" t="n">
        <f aca="false">Sens!$N$8320</f>
        <v>0</v>
      </c>
      <c r="O8384" s="38" t="n">
        <f aca="false">Sens!$O$8320</f>
        <v>0</v>
      </c>
      <c r="P8384" s="5" t="s">
        <v>730</v>
      </c>
    </row>
    <row r="8385" customFormat="false" ht="17.15" hidden="false" customHeight="false" outlineLevel="0" collapsed="false">
      <c r="A8385" s="5" t="s">
        <v>731</v>
      </c>
      <c r="B8385" s="0" t="s">
        <v>86</v>
      </c>
      <c r="C8385" s="38" t="n">
        <f aca="false">Sens!$C$8382+Sens!$C$8384</f>
        <v>68.593</v>
      </c>
      <c r="D8385" s="38" t="n">
        <f aca="false">Sens!$D$8382+Sens!$D$8384</f>
        <v>79.975</v>
      </c>
      <c r="E8385" s="38" t="n">
        <f aca="false">Sens!$E$8382+Sens!$E$8384</f>
        <v>51.313</v>
      </c>
      <c r="F8385" s="38" t="n">
        <f aca="false">Sens!$F$8382+Sens!$F$8384</f>
        <v>60.0601097186828</v>
      </c>
      <c r="G8385" s="38" t="n">
        <f aca="false">Sens!$G$8382+Sens!$G$8384</f>
        <v>111.373109718683</v>
      </c>
      <c r="H8385" s="38" t="n">
        <f aca="false">Sens!$H$8382+Sens!$H$8384</f>
        <v>142.099521616625</v>
      </c>
      <c r="I8385" s="38" t="n">
        <f aca="false">Sens!$I$8382+Sens!$I$8384</f>
        <v>172.829665305105</v>
      </c>
      <c r="J8385" s="38" t="n">
        <f aca="false">Sens!$J$8382+Sens!$J$8384</f>
        <v>202.076655833141</v>
      </c>
      <c r="K8385" s="38" t="n">
        <f aca="false">Sens!$K$8382+Sens!$K$8384</f>
        <v>222.949707567956</v>
      </c>
      <c r="L8385" s="38" t="n">
        <f aca="false">Sens!$L$8382+Sens!$L$8384</f>
        <v>241.709924077153</v>
      </c>
      <c r="M8385" s="38" t="n">
        <f aca="false">Sens!$M$8382+Sens!$M$8384</f>
        <v>257.251109737557</v>
      </c>
      <c r="N8385" s="38" t="n">
        <f aca="false">Sens!$N$8382+Sens!$N$8384</f>
        <v>37.576</v>
      </c>
      <c r="O8385" s="38" t="n">
        <f aca="false">Sens!$O$8382+Sens!$O$8384</f>
        <v>42.399</v>
      </c>
    </row>
    <row r="8386" customFormat="false" ht="17.15" hidden="false" customHeight="false" outlineLevel="0" collapsed="false">
      <c r="A8386" s="0" t="s">
        <v>732</v>
      </c>
      <c r="B8386" s="0" t="s">
        <v>52</v>
      </c>
      <c r="C8386" s="13" t="n">
        <f aca="false">Sens!$C$8372/Sens!$C$8357</f>
        <v>0.0644314665661928</v>
      </c>
      <c r="D8386" s="13" t="n">
        <f aca="false">Sens!$D$8372/Sens!$D$8357</f>
        <v>0.0694784250712518</v>
      </c>
      <c r="E8386" s="13" t="n">
        <f aca="false">Sens!$E$8372/Sens!$E$8357</f>
        <v>0.0789306463326071</v>
      </c>
      <c r="F8386" s="13" t="n">
        <f aca="false">Sens!$F$8372/Sens!$F$8357</f>
        <v>0.0802271154277638</v>
      </c>
      <c r="G8386" s="13" t="n">
        <f aca="false">Sens!$G$8372/Sens!$G$8357</f>
        <v>0.0796206133714758</v>
      </c>
      <c r="H8386" s="13" t="n">
        <f aca="false">Sens!$H$8372/Sens!$H$8357</f>
        <v>0.0791253077422711</v>
      </c>
      <c r="I8386" s="13" t="n">
        <f aca="false">Sens!$I$8372/Sens!$I$8357</f>
        <v>0.0776277144828766</v>
      </c>
      <c r="J8386" s="13" t="n">
        <f aca="false">Sens!$J$8372/Sens!$J$8357</f>
        <v>0.0761100135193333</v>
      </c>
      <c r="K8386" s="13" t="n">
        <f aca="false">Sens!$K$8372/Sens!$K$8357</f>
        <v>0.074408246177121</v>
      </c>
      <c r="L8386" s="13" t="n">
        <f aca="false">Sens!$L$8372/Sens!$L$8357</f>
        <v>0.0739489900415671</v>
      </c>
      <c r="M8386" s="13" t="n">
        <f aca="false">Sens!$M$8372/Sens!$M$8357</f>
        <v>0.076138500430805</v>
      </c>
      <c r="N8386" s="13" t="n">
        <f aca="false">Sens!$N$8372/Sens!$N$8357</f>
        <v>0.069228576611127</v>
      </c>
      <c r="O8386" s="13" t="n">
        <f aca="false">Sens!$O$8372/Sens!$O$8357</f>
        <v>0.069685022498393</v>
      </c>
    </row>
    <row r="8387" customFormat="false" ht="17.15" hidden="false" customHeight="false" outlineLevel="0" collapsed="false">
      <c r="A8387" s="0" t="s">
        <v>733</v>
      </c>
      <c r="B8387" s="0" t="s">
        <v>52</v>
      </c>
      <c r="C8387" s="13" t="n">
        <f aca="false">Sens!$C$8377/Sens!$C$8358</f>
        <v>0.026534925055631</v>
      </c>
      <c r="D8387" s="13" t="n">
        <f aca="false">Sens!$D$8377/Sens!$D$8358</f>
        <v>0.0293401855535103</v>
      </c>
      <c r="E8387" s="13" t="n">
        <f aca="false">Sens!$E$8377/Sens!$E$8358</f>
        <v>0.03831141902276</v>
      </c>
      <c r="F8387" s="13" t="n">
        <f aca="false">Sens!$F$8377/Sens!$F$8358</f>
        <v>0.028186380436398</v>
      </c>
      <c r="G8387" s="13" t="n">
        <f aca="false">Sens!$G$8377/Sens!$G$8358</f>
        <v>0.0327880260521739</v>
      </c>
      <c r="H8387" s="13" t="n">
        <f aca="false">Sens!$H$8377/Sens!$H$8358</f>
        <v>0.0302874763409969</v>
      </c>
      <c r="I8387" s="13" t="n">
        <f aca="false">Sens!$I$8377/Sens!$I$8358</f>
        <v>0.0267614610253202</v>
      </c>
      <c r="J8387" s="13" t="n">
        <f aca="false">Sens!$J$8377/Sens!$J$8358</f>
        <v>0.0231523582706593</v>
      </c>
      <c r="K8387" s="13" t="n">
        <f aca="false">Sens!$K$8377/Sens!$K$8358</f>
        <v>0.0192545467174101</v>
      </c>
      <c r="L8387" s="13" t="n">
        <f aca="false">Sens!$L$8377/Sens!$L$8358</f>
        <v>0.0191414347264789</v>
      </c>
      <c r="M8387" s="13" t="n">
        <f aca="false">Sens!$M$8377/Sens!$M$8358</f>
        <v>0.0216850962428001</v>
      </c>
      <c r="N8387" s="13" t="n">
        <f aca="false">Sens!$N$8377/Sens!$N$8358</f>
        <v>0.0357315650169337</v>
      </c>
      <c r="O8387" s="13" t="n">
        <f aca="false">Sens!$O$8377/Sens!$O$8358</f>
        <v>0.0244378956559703</v>
      </c>
    </row>
    <row r="8388" customFormat="false" ht="17.15" hidden="false" customHeight="false" outlineLevel="0" collapsed="false">
      <c r="A8388" s="14" t="s">
        <v>734</v>
      </c>
      <c r="B8388" s="14" t="s">
        <v>52</v>
      </c>
      <c r="C8388" s="17" t="n">
        <f aca="false">Sens!$C$8380/Sens!$C$8359</f>
        <v>0.370355907620217</v>
      </c>
      <c r="D8388" s="17" t="n">
        <f aca="false">Sens!$D$8380/Sens!$D$8359</f>
        <v>0.35429015342785</v>
      </c>
      <c r="E8388" s="17" t="n">
        <f aca="false">Sens!$E$8380/Sens!$E$8359</f>
        <v>0.385647527531039</v>
      </c>
      <c r="F8388" s="17" t="n">
        <f aca="false">Sens!$F$8380/Sens!$F$8359</f>
        <v>0.385171818673936</v>
      </c>
      <c r="G8388" s="17" t="n">
        <f aca="false">Sens!$G$8380/Sens!$G$8359</f>
        <v>0.385399799520974</v>
      </c>
      <c r="H8388" s="17" t="n">
        <f aca="false">Sens!$H$8380/Sens!$H$8359</f>
        <v>0.360029314750347</v>
      </c>
      <c r="I8388" s="17" t="n">
        <f aca="false">Sens!$I$8380/Sens!$I$8359</f>
        <v>0.346606134604193</v>
      </c>
      <c r="J8388" s="17" t="n">
        <f aca="false">Sens!$J$8380/Sens!$J$8359</f>
        <v>0.335699297156574</v>
      </c>
      <c r="K8388" s="17" t="n">
        <f aca="false">Sens!$K$8380/Sens!$K$8359</f>
        <v>0.319043289183739</v>
      </c>
      <c r="L8388" s="17" t="n">
        <f aca="false">Sens!$L$8380/Sens!$L$8359</f>
        <v>0.311918613444893</v>
      </c>
      <c r="M8388" s="17" t="n">
        <f aca="false">Sens!$M$8380/Sens!$M$8359</f>
        <v>0.306523814127389</v>
      </c>
      <c r="N8388" s="17" t="n">
        <f aca="false">Sens!$N$8380/Sens!$N$8359</f>
        <v>0.360941137346192</v>
      </c>
      <c r="O8388" s="17" t="n">
        <f aca="false">Sens!$O$8380/Sens!$O$8359</f>
        <v>0.348458117664212</v>
      </c>
    </row>
    <row r="8389" customFormat="false" ht="17.15" hidden="false" customHeight="false" outlineLevel="0" collapsed="false">
      <c r="A8389" s="0" t="s">
        <v>735</v>
      </c>
      <c r="B8389" s="0" t="s">
        <v>52</v>
      </c>
      <c r="C8389" s="13" t="n">
        <f aca="false">Sens!$C$8378/Sens!$C$8360</f>
        <v>0.708390794789371</v>
      </c>
      <c r="D8389" s="13" t="n">
        <f aca="false">Sens!$D$8378/Sens!$D$8360</f>
        <v>0.445565630441968</v>
      </c>
      <c r="E8389" s="13" t="n">
        <f aca="false">Sens!$E$8378/Sens!$E$8360</f>
        <v>0.165998118402711</v>
      </c>
      <c r="F8389" s="13" t="n">
        <f aca="false">Sens!$F$8378/Sens!$F$8360</f>
        <v>0.434878595403858</v>
      </c>
      <c r="G8389" s="13" t="n">
        <f aca="false">Sens!$G$8378/Sens!$G$8360</f>
        <v>0.3373967615381</v>
      </c>
      <c r="H8389" s="13" t="n">
        <f aca="false">Sens!$H$8378/Sens!$H$8360</f>
        <v>0.320477578041224</v>
      </c>
      <c r="I8389" s="13" t="n">
        <f aca="false">Sens!$I$8378/Sens!$I$8360</f>
        <v>0.296936118226494</v>
      </c>
      <c r="J8389" s="13" t="n">
        <f aca="false">Sens!$J$8378/Sens!$J$8360</f>
        <v>0.282166278613001</v>
      </c>
      <c r="K8389" s="13" t="n">
        <f aca="false">Sens!$K$8378/Sens!$K$8360</f>
        <v>0.252969102881543</v>
      </c>
      <c r="L8389" s="13" t="n">
        <f aca="false">Sens!$L$8378/Sens!$L$8360</f>
        <v>0.240728642826566</v>
      </c>
      <c r="M8389" s="13" t="n">
        <f aca="false">Sens!$M$8378/Sens!$M$8360</f>
        <v>0.227399920863147</v>
      </c>
      <c r="N8389" s="13" t="n">
        <f aca="false">Sens!$N$8378/Sens!$N$8360</f>
        <v>0.302870734830849</v>
      </c>
      <c r="O8389" s="13" t="n">
        <f aca="false">Sens!$O$8378/Sens!$O$8360</f>
        <v>0.52240134346334</v>
      </c>
    </row>
    <row r="8390" customFormat="false" ht="15" hidden="false" customHeight="false" outlineLevel="0" collapsed="false">
      <c r="A8390" s="5" t="s">
        <v>736</v>
      </c>
      <c r="B8390" s="0" t="s">
        <v>52</v>
      </c>
      <c r="C8390" s="13" t="n">
        <f aca="false">Sens!$C$8382/Sens!$C$8362</f>
        <v>0.107519448742004</v>
      </c>
      <c r="D8390" s="13" t="n">
        <f aca="false">Sens!$D$8382/Sens!$D$8362</f>
        <v>0.111552967957552</v>
      </c>
      <c r="E8390" s="13" t="n">
        <f aca="false">Sens!$E$8382/Sens!$E$8362</f>
        <v>0.13428328426562</v>
      </c>
      <c r="F8390" s="13" t="n">
        <f aca="false">Sens!$F$8382/Sens!$F$8362</f>
        <v>0.129167844525589</v>
      </c>
      <c r="G8390" s="13" t="n">
        <f aca="false">Sens!$G$8382/Sens!$G$8362</f>
        <v>0.131557773771988</v>
      </c>
      <c r="H8390" s="13" t="n">
        <f aca="false">Sens!$H$8382/Sens!$H$8362</f>
        <v>0.134711536350329</v>
      </c>
      <c r="I8390" s="13" t="n">
        <f aca="false">Sens!$I$8382/Sens!$I$8362</f>
        <v>0.137768888779847</v>
      </c>
      <c r="J8390" s="13" t="n">
        <f aca="false">Sens!$J$8382/Sens!$J$8362</f>
        <v>0.139531715827143</v>
      </c>
      <c r="K8390" s="13" t="n">
        <f aca="false">Sens!$K$8382/Sens!$K$8362</f>
        <v>0.137320259076553</v>
      </c>
      <c r="L8390" s="13" t="n">
        <f aca="false">Sens!$L$8382/Sens!$L$8362</f>
        <v>0.136806307456799</v>
      </c>
      <c r="M8390" s="13" t="n">
        <f aca="false">Sens!$M$8382/Sens!$M$8362</f>
        <v>0.136871350584245</v>
      </c>
      <c r="N8390" s="13" t="n">
        <f aca="false">Sens!$N$8382/Sens!$N$8362</f>
        <v>0.116201614873411</v>
      </c>
      <c r="O8390" s="13" t="n">
        <f aca="false">Sens!$O$8382/Sens!$O$8362</f>
        <v>0.107733353660861</v>
      </c>
    </row>
    <row r="8391" customFormat="false" ht="17.15" hidden="false" customHeight="false" outlineLevel="0" collapsed="false">
      <c r="A8391" s="1" t="s">
        <v>737</v>
      </c>
    </row>
    <row r="8392" customFormat="false" ht="17.15" hidden="false" customHeight="false" outlineLevel="0" collapsed="false">
      <c r="A8392" s="5" t="s">
        <v>738</v>
      </c>
      <c r="B8392" s="0" t="s">
        <v>52</v>
      </c>
      <c r="D8392" s="28" t="n">
        <f aca="false">(Q!$E$29+Q!$E$30-(1-ext_sh)*Sens!$D$8314)/Sens!$D$8270</f>
        <v>0.0334674312393194</v>
      </c>
    </row>
    <row r="8393" customFormat="false" ht="17.15" hidden="false" customHeight="false" outlineLevel="0" collapsed="false">
      <c r="A8393" s="0" t="s">
        <v>535</v>
      </c>
      <c r="B8393" s="0" t="s">
        <v>86</v>
      </c>
      <c r="C8393" s="38" t="n">
        <f aca="false">Q!$D$29</f>
        <v>14.285</v>
      </c>
      <c r="D8393" s="38" t="n">
        <f aca="false">Q!$E$29</f>
        <v>15.503</v>
      </c>
      <c r="E8393" s="38" t="n">
        <f aca="false">Q!$P$29</f>
        <v>8.78</v>
      </c>
      <c r="F8393" s="38" t="n">
        <f aca="false">(Sens!$D$8392*Sens!$F$8270+(1-ext_sh)*Sens!$F$8314)*Sens!$F$8271</f>
        <v>9.32404990199157</v>
      </c>
      <c r="G8393" s="38" t="n">
        <f aca="false">Sens!$E$8393+Sens!$F$8393</f>
        <v>18.1040499019916</v>
      </c>
      <c r="H8393" s="38" t="n">
        <f aca="false">(Sens!$D$8392*Sens!$H$8270+(1-ext_sh)*Sens!$H$8314)*Sens!$H$8271</f>
        <v>22.5533556752937</v>
      </c>
      <c r="I8393" s="38" t="n">
        <f aca="false">(Sens!$D$8392*Sens!$I$8270+(1-ext_sh)*Sens!$I$8314)*Sens!$I$8271</f>
        <v>28.1941479903215</v>
      </c>
      <c r="J8393" s="38" t="n">
        <f aca="false">(Sens!$D$8392*Sens!$J$8270+(1-ext_sh)*Sens!$J$8314)*Sens!$J$8271</f>
        <v>33.8639126241465</v>
      </c>
      <c r="K8393" s="38" t="n">
        <f aca="false">(Sens!$D$8392*Sens!$K$8270+(1-ext_sh)*Sens!$K$8314)*Sens!$K$8271</f>
        <v>39.4516429979446</v>
      </c>
      <c r="L8393" s="38" t="n">
        <f aca="false">(Sens!$D$8392*Sens!$L$8270+(1-ext_sh)*Sens!$L$8314)*Sens!$L$8271</f>
        <v>43.6240799619622</v>
      </c>
      <c r="M8393" s="38" t="n">
        <f aca="false">(Sens!$D$8392*Sens!$M$8270+(1-ext_sh)*Sens!$M$8314)*Sens!$M$8271</f>
        <v>46.7841679303704</v>
      </c>
      <c r="N8393" s="38" t="n">
        <f aca="false">Q!$N$29</f>
        <v>7.272</v>
      </c>
      <c r="O8393" s="38" t="n">
        <f aca="false">Q!$O$29</f>
        <v>8.231</v>
      </c>
    </row>
    <row r="8394" customFormat="false" ht="17.15" hidden="false" customHeight="false" outlineLevel="0" collapsed="false">
      <c r="A8394" s="0" t="s">
        <v>537</v>
      </c>
      <c r="B8394" s="0" t="s">
        <v>86</v>
      </c>
      <c r="C8394" s="38" t="n">
        <f aca="false">Q!$D$30</f>
        <v>4.462</v>
      </c>
      <c r="D8394" s="38" t="n">
        <f aca="false">Q!$E$30</f>
        <v>4.907</v>
      </c>
      <c r="E8394" s="38" t="n">
        <f aca="false">Q!$P$30</f>
        <v>2.57</v>
      </c>
      <c r="F8394" s="38" t="n">
        <f aca="false">(Sens!$D$8392*Sens!$F$8270+(1-ext_sh)*Sens!$F$8314)*(1-Sens!$F$8271)</f>
        <v>3.66089330199472</v>
      </c>
      <c r="G8394" s="38" t="n">
        <f aca="false">Sens!$E$8394+Sens!$F$8394</f>
        <v>6.23089330199472</v>
      </c>
      <c r="H8394" s="38" t="n">
        <f aca="false">(Sens!$D$8392*Sens!$H$8270+(1-ext_sh)*Sens!$H$8314)*(1-Sens!$H$8271)</f>
        <v>8.63874333111657</v>
      </c>
      <c r="I8394" s="38" t="n">
        <f aca="false">(Sens!$D$8392*Sens!$I$8270+(1-ext_sh)*Sens!$I$8314)*(1-Sens!$I$8271)</f>
        <v>10.7993689025494</v>
      </c>
      <c r="J8394" s="38" t="n">
        <f aca="false">(Sens!$D$8392*Sens!$J$8270+(1-ext_sh)*Sens!$J$8314)*(1-Sens!$J$8271)</f>
        <v>12.9710919101865</v>
      </c>
      <c r="K8394" s="38" t="n">
        <f aca="false">(Sens!$D$8392*Sens!$K$8270+(1-ext_sh)*Sens!$K$8314)*(1-Sens!$K$8271)</f>
        <v>15.1113928568702</v>
      </c>
      <c r="L8394" s="38" t="n">
        <f aca="false">(Sens!$D$8392*Sens!$L$8270+(1-ext_sh)*Sens!$L$8314)*(1-Sens!$L$8271)</f>
        <v>16.7095857163433</v>
      </c>
      <c r="M8394" s="38" t="n">
        <f aca="false">(Sens!$D$8392*Sens!$M$8270+(1-ext_sh)*Sens!$M$8314)*(1-Sens!$M$8271)</f>
        <v>17.9200126371023</v>
      </c>
      <c r="N8394" s="38" t="n">
        <f aca="false">Q!$N$30</f>
        <v>2.316</v>
      </c>
      <c r="O8394" s="38" t="n">
        <f aca="false">Q!$O$30</f>
        <v>2.591</v>
      </c>
    </row>
    <row r="8395" customFormat="false" ht="17.15" hidden="false" customHeight="false" outlineLevel="0" collapsed="false">
      <c r="A8395" s="0" t="s">
        <v>538</v>
      </c>
      <c r="B8395" s="0" t="s">
        <v>86</v>
      </c>
      <c r="C8395" s="38" t="n">
        <f aca="false">Sens!$C$8326</f>
        <v>13.32</v>
      </c>
      <c r="D8395" s="38" t="n">
        <f aca="false">Sens!$D$8326</f>
        <v>21.45</v>
      </c>
      <c r="E8395" s="38" t="n">
        <f aca="false">Sens!$E$8326</f>
        <v>15.353</v>
      </c>
      <c r="F8395" s="38" t="n">
        <f aca="false">Sens!$F$8326</f>
        <v>16.3063747611001</v>
      </c>
      <c r="G8395" s="38" t="n">
        <f aca="false">Sens!$G$8326</f>
        <v>31.6593747611001</v>
      </c>
      <c r="H8395" s="38" t="n">
        <f aca="false">Sens!$H$8326</f>
        <v>53.124242092105</v>
      </c>
      <c r="I8395" s="38" t="n">
        <f aca="false">Sens!$I$8326</f>
        <v>78.046828098133</v>
      </c>
      <c r="J8395" s="38" t="n">
        <f aca="false">Sens!$J$8326</f>
        <v>103.663976940352</v>
      </c>
      <c r="K8395" s="38" t="n">
        <f aca="false">Sens!$K$8326</f>
        <v>129.625086115469</v>
      </c>
      <c r="L8395" s="38" t="n">
        <f aca="false">Sens!$L$8326</f>
        <v>147.435052382502</v>
      </c>
      <c r="M8395" s="38" t="n">
        <f aca="false">Sens!$M$8326</f>
        <v>159.299754080279</v>
      </c>
      <c r="N8395" s="38" t="n">
        <f aca="false">Sens!$N$8326</f>
        <v>9.234</v>
      </c>
      <c r="O8395" s="38" t="n">
        <f aca="false">Sens!$O$8326</f>
        <v>12.216</v>
      </c>
    </row>
    <row r="8396" customFormat="false" ht="17.15" hidden="false" customHeight="false" outlineLevel="0" collapsed="false">
      <c r="A8396" s="5" t="s">
        <v>739</v>
      </c>
      <c r="B8396" s="0" t="s">
        <v>86</v>
      </c>
      <c r="C8396" s="38" t="n">
        <f aca="false">Sens!$C$8393+Sens!$C$8394+Sens!$C$8395</f>
        <v>32.067</v>
      </c>
      <c r="D8396" s="38" t="n">
        <f aca="false">Sens!$D$8393+Sens!$D$8394+Sens!$D$8395</f>
        <v>41.86</v>
      </c>
      <c r="E8396" s="38" t="n">
        <f aca="false">Sens!$E$8393+Sens!$E$8394+Sens!$E$8395</f>
        <v>26.703</v>
      </c>
      <c r="F8396" s="38" t="n">
        <f aca="false">Sens!$F$8393+Sens!$F$8394+Sens!$F$8395</f>
        <v>29.2913179650864</v>
      </c>
      <c r="G8396" s="38" t="n">
        <f aca="false">Sens!$G$8393+Sens!$G$8394+Sens!$G$8395</f>
        <v>55.9943179650864</v>
      </c>
      <c r="H8396" s="38" t="n">
        <f aca="false">Sens!$H$8393+Sens!$H$8394+Sens!$H$8395</f>
        <v>84.3163410985152</v>
      </c>
      <c r="I8396" s="38" t="n">
        <f aca="false">Sens!$I$8393+Sens!$I$8394+Sens!$I$8395</f>
        <v>117.040344991004</v>
      </c>
      <c r="J8396" s="38" t="n">
        <f aca="false">Sens!$J$8393+Sens!$J$8394+Sens!$J$8395</f>
        <v>150.498981474685</v>
      </c>
      <c r="K8396" s="38" t="n">
        <f aca="false">Sens!$K$8393+Sens!$K$8394+Sens!$K$8395</f>
        <v>184.188121970284</v>
      </c>
      <c r="L8396" s="38" t="n">
        <f aca="false">Sens!$L$8393+Sens!$L$8394+Sens!$L$8395</f>
        <v>207.768718060808</v>
      </c>
      <c r="M8396" s="38" t="n">
        <f aca="false">Sens!$M$8393+Sens!$M$8394+Sens!$M$8395</f>
        <v>224.003934647752</v>
      </c>
      <c r="N8396" s="38" t="n">
        <f aca="false">Sens!$N$8393+Sens!$N$8394+Sens!$N$8395</f>
        <v>18.822</v>
      </c>
      <c r="O8396" s="38" t="n">
        <f aca="false">Sens!$O$8393+Sens!$O$8394+Sens!$O$8395</f>
        <v>23.038</v>
      </c>
    </row>
    <row r="8397" customFormat="false" ht="17.15" hidden="false" customHeight="false" outlineLevel="0" collapsed="false">
      <c r="A8397" s="0" t="s">
        <v>740</v>
      </c>
      <c r="B8397" s="0" t="s">
        <v>86</v>
      </c>
      <c r="C8397" s="38" t="n">
        <f aca="false">Sens!$C$8368+Sens!$C$8373</f>
        <v>28.107</v>
      </c>
      <c r="D8397" s="38" t="n">
        <f aca="false">Sens!$D$8368+Sens!$D$8373</f>
        <v>34.3175</v>
      </c>
      <c r="E8397" s="38" t="n">
        <f aca="false">Sens!$E$8368+Sens!$E$8373</f>
        <v>18.526</v>
      </c>
      <c r="F8397" s="38" t="n">
        <f aca="false">Sens!$F$8368+Sens!$F$8373</f>
        <v>23.0786109972074</v>
      </c>
      <c r="G8397" s="38" t="n">
        <f aca="false">Sens!$G$8368+Sens!$G$8373</f>
        <v>41.6046109972074</v>
      </c>
      <c r="H8397" s="38" t="n">
        <f aca="false">Sens!$H$8368+Sens!$H$8373</f>
        <v>49.9484611939488</v>
      </c>
      <c r="I8397" s="38" t="n">
        <f aca="false">Sens!$I$8368+Sens!$I$8373</f>
        <v>58.2915555477481</v>
      </c>
      <c r="J8397" s="38" t="n">
        <f aca="false">Sens!$J$8368+Sens!$J$8373</f>
        <v>66.0744709709759</v>
      </c>
      <c r="K8397" s="38" t="n">
        <f aca="false">Sens!$K$8368+Sens!$K$8373</f>
        <v>72.6819180680735</v>
      </c>
      <c r="L8397" s="38" t="n">
        <f aca="false">Sens!$L$8368+Sens!$L$8373</f>
        <v>79.9501098748808</v>
      </c>
      <c r="M8397" s="38" t="n">
        <f aca="false">Sens!$M$8368+Sens!$M$8373</f>
        <v>87.9451208623689</v>
      </c>
      <c r="N8397" s="38" t="n">
        <f aca="false">Sens!$N$8368+Sens!$N$8373</f>
        <v>14.8075</v>
      </c>
      <c r="O8397" s="38" t="n">
        <f aca="false">Sens!$O$8368+Sens!$O$8373</f>
        <v>19.51</v>
      </c>
    </row>
    <row r="8398" customFormat="false" ht="17.15" hidden="false" customHeight="false" outlineLevel="0" collapsed="false">
      <c r="A8398" s="0" t="s">
        <v>741</v>
      </c>
      <c r="B8398" s="0" t="s">
        <v>86</v>
      </c>
      <c r="C8398" s="38" t="n">
        <f aca="false">Sens!$C$8372+Sens!$C$8377+Sens!$C$8393+Sens!$C$8394-Sens!$C$8397</f>
        <v>19.399</v>
      </c>
      <c r="D8398" s="38" t="n">
        <f aca="false">Sens!$D$8372+Sens!$D$8377+Sens!$D$8393+Sens!$D$8394-Sens!$D$8397</f>
        <v>20.4615</v>
      </c>
      <c r="E8398" s="38" t="n">
        <f aca="false">Sens!$E$8372+Sens!$E$8377+Sens!$E$8393+Sens!$E$8394-Sens!$E$8397</f>
        <v>13.355</v>
      </c>
      <c r="F8398" s="38" t="n">
        <f aca="false">Sens!$F$8372+Sens!$F$8377+Sens!$F$8393+Sens!$F$8394-Sens!$F$8397</f>
        <v>12.7882167664549</v>
      </c>
      <c r="G8398" s="38" t="n">
        <f aca="false">Sens!$G$8372+Sens!$G$8377+Sens!$G$8393+Sens!$G$8394-Sens!$G$8397</f>
        <v>26.1432167664549</v>
      </c>
      <c r="H8398" s="38" t="n">
        <f aca="false">Sens!$H$8372+Sens!$H$8377+Sens!$H$8393+Sens!$H$8394-Sens!$H$8397</f>
        <v>28.5472527261826</v>
      </c>
      <c r="I8398" s="38" t="n">
        <f aca="false">Sens!$I$8372+Sens!$I$8377+Sens!$I$8393+Sens!$I$8394-Sens!$I$8397</f>
        <v>30.8052421506794</v>
      </c>
      <c r="J8398" s="38" t="n">
        <f aca="false">Sens!$J$8372+Sens!$J$8377+Sens!$J$8393+Sens!$J$8394-Sens!$J$8397</f>
        <v>33.0553877999083</v>
      </c>
      <c r="K8398" s="38" t="n">
        <f aca="false">Sens!$K$8372+Sens!$K$8377+Sens!$K$8393+Sens!$K$8394-Sens!$K$8397</f>
        <v>35.4662923485155</v>
      </c>
      <c r="L8398" s="38" t="n">
        <f aca="false">Sens!$L$8372+Sens!$L$8377+Sens!$L$8393+Sens!$L$8394-Sens!$L$8397</f>
        <v>37.1019587742301</v>
      </c>
      <c r="M8398" s="38" t="n">
        <f aca="false">Sens!$M$8372+Sens!$M$8377+Sens!$M$8393+Sens!$M$8394-Sens!$M$8397</f>
        <v>39.5351701466849</v>
      </c>
      <c r="N8398" s="38" t="n">
        <f aca="false">Sens!$N$8372+Sens!$N$8377+Sens!$N$8393+Sens!$N$8394-Sens!$N$8397</f>
        <v>10.6495</v>
      </c>
      <c r="O8398" s="38" t="n">
        <f aca="false">Sens!$O$8372+Sens!$O$8377+Sens!$O$8393+Sens!$O$8394-Sens!$O$8397</f>
        <v>9.81200000000001</v>
      </c>
    </row>
    <row r="8399" customFormat="false" ht="17.15" hidden="false" customHeight="false" outlineLevel="0" collapsed="false">
      <c r="A8399" s="0" t="s">
        <v>742</v>
      </c>
      <c r="B8399" s="0" t="s">
        <v>86</v>
      </c>
      <c r="C8399" s="38" t="n">
        <f aca="false">Sens!$C$8379+Sens!$C$8395-ext_sh*Sens!$C$8314</f>
        <v>51.3470500115664</v>
      </c>
      <c r="D8399" s="38" t="n">
        <f aca="false">Sens!$D$8379+Sens!$D$8395-ext_sh*Sens!$D$8314</f>
        <v>60.2799375433739</v>
      </c>
      <c r="E8399" s="38" t="n">
        <f aca="false">Sens!$E$8379+Sens!$E$8395-ext_sh*Sens!$E$8314</f>
        <v>39.5095167090767</v>
      </c>
      <c r="F8399" s="38" t="n">
        <f aca="false">Sens!$F$8379+Sens!$F$8395-ext_sh*Sens!$F$8314</f>
        <v>37.993321722478</v>
      </c>
      <c r="G8399" s="38" t="n">
        <f aca="false">Sens!$G$8379+Sens!$G$8395-ext_sh*Sens!$G$8314</f>
        <v>77.5028384315548</v>
      </c>
      <c r="H8399" s="38" t="n">
        <f aca="false">Sens!$H$8379+Sens!$H$8395-ext_sh*Sens!$H$8314</f>
        <v>85.2394217279746</v>
      </c>
      <c r="I8399" s="38" t="n">
        <f aca="false">Sens!$I$8379+Sens!$I$8395-ext_sh*Sens!$I$8314</f>
        <v>94.6373589713254</v>
      </c>
      <c r="J8399" s="38" t="n">
        <f aca="false">Sens!$J$8379+Sens!$J$8395-ext_sh*Sens!$J$8314</f>
        <v>103.639899284146</v>
      </c>
      <c r="K8399" s="38" t="n">
        <f aca="false">Sens!$K$8379+Sens!$K$8395-ext_sh*Sens!$K$8314</f>
        <v>111.931091226878</v>
      </c>
      <c r="L8399" s="38" t="n">
        <f aca="false">Sens!$L$8379+Sens!$L$8395-ext_sh*Sens!$L$8314</f>
        <v>120.885578525028</v>
      </c>
      <c r="M8399" s="38" t="n">
        <f aca="false">Sens!$M$8379+Sens!$M$8395-ext_sh*Sens!$M$8314</f>
        <v>130.55642480703</v>
      </c>
      <c r="N8399" s="38" t="n">
        <f aca="false">Sens!$N$8379+Sens!$N$8395-ext_sh*Sens!$N$8314</f>
        <v>28.5693781401809</v>
      </c>
      <c r="O8399" s="38" t="n">
        <f aca="false">Sens!$O$8379+Sens!$O$8395-ext_sh*Sens!$O$8314</f>
        <v>31.7105594031931</v>
      </c>
    </row>
    <row r="8400" customFormat="false" ht="17.15" hidden="false" customHeight="false" outlineLevel="0" collapsed="false">
      <c r="A8400" s="0" t="s">
        <v>743</v>
      </c>
      <c r="B8400" s="0" t="s">
        <v>86</v>
      </c>
      <c r="C8400" s="38" t="n">
        <f aca="false">Sens!$C$8317</f>
        <v>1.80694998843362</v>
      </c>
      <c r="D8400" s="38" t="n">
        <f aca="false">Sens!$D$8317</f>
        <v>6.77606245662607</v>
      </c>
      <c r="E8400" s="38" t="n">
        <f aca="false">Sens!$E$8317</f>
        <v>6.62548329092326</v>
      </c>
      <c r="F8400" s="38" t="n">
        <f aca="false">Sens!$F$8317</f>
        <v>11.7200577158706</v>
      </c>
      <c r="G8400" s="38" t="n">
        <f aca="false">Sens!$G$8317</f>
        <v>18.3455410067939</v>
      </c>
      <c r="H8400" s="38" t="n">
        <f aca="false">Sens!$H$8317</f>
        <v>47.5171727060453</v>
      </c>
      <c r="I8400" s="38" t="n">
        <f aca="false">Sens!$I$8317</f>
        <v>80.5539692643667</v>
      </c>
      <c r="J8400" s="38" t="n">
        <f aca="false">Sens!$J$8317</f>
        <v>113.759316834883</v>
      </c>
      <c r="K8400" s="38" t="n">
        <f aca="false">Sens!$K$8317</f>
        <v>142.084411492169</v>
      </c>
      <c r="L8400" s="38" t="n">
        <f aca="false">Sens!$L$8317</f>
        <v>160.69964615804</v>
      </c>
      <c r="M8400" s="38" t="n">
        <f aca="false">Sens!$M$8317</f>
        <v>169.577607141793</v>
      </c>
      <c r="N8400" s="38" t="n">
        <f aca="false">Sens!$N$8317</f>
        <v>2.37162185981912</v>
      </c>
      <c r="O8400" s="38" t="n">
        <f aca="false">Sens!$O$8317</f>
        <v>4.40444059680694</v>
      </c>
    </row>
    <row r="8401" customFormat="false" ht="17.15" hidden="false" customHeight="false" outlineLevel="0" collapsed="false">
      <c r="A8401" s="0" t="s">
        <v>744</v>
      </c>
      <c r="B8401" s="0" t="s">
        <v>86</v>
      </c>
      <c r="C8401" s="38" t="n">
        <f aca="false">Sens!$C$8382+Sens!$C$8396</f>
        <v>100.66</v>
      </c>
      <c r="D8401" s="38" t="n">
        <f aca="false">Sens!$D$8382+Sens!$D$8396</f>
        <v>121.835</v>
      </c>
      <c r="E8401" s="38" t="n">
        <f aca="false">Sens!$E$8382+Sens!$E$8396</f>
        <v>78.016</v>
      </c>
      <c r="F8401" s="38" t="n">
        <f aca="false">Sens!$F$8382+Sens!$F$8396</f>
        <v>85.580207202011</v>
      </c>
      <c r="G8401" s="38" t="n">
        <f aca="false">Sens!$G$8382+Sens!$G$8396</f>
        <v>163.596207202011</v>
      </c>
      <c r="H8401" s="38" t="n">
        <f aca="false">Sens!$H$8382+Sens!$H$8396</f>
        <v>211.252308354151</v>
      </c>
      <c r="I8401" s="38" t="n">
        <f aca="false">Sens!$I$8382+Sens!$I$8396</f>
        <v>264.28812593412</v>
      </c>
      <c r="J8401" s="38" t="n">
        <f aca="false">Sens!$J$8382+Sens!$J$8396</f>
        <v>316.529074889914</v>
      </c>
      <c r="K8401" s="38" t="n">
        <f aca="false">Sens!$K$8382+Sens!$K$8396</f>
        <v>362.163713135636</v>
      </c>
      <c r="L8401" s="38" t="n">
        <f aca="false">Sens!$L$8382+Sens!$L$8396</f>
        <v>398.637293332179</v>
      </c>
      <c r="M8401" s="38" t="n">
        <f aca="false">Sens!$M$8382+Sens!$M$8396</f>
        <v>427.614322957878</v>
      </c>
      <c r="N8401" s="38" t="n">
        <f aca="false">Sens!$N$8382+Sens!$N$8396</f>
        <v>56.398</v>
      </c>
      <c r="O8401" s="38" t="n">
        <f aca="false">Sens!$O$8382+Sens!$O$8396</f>
        <v>65.437</v>
      </c>
    </row>
    <row r="8402" customFormat="false" ht="17.15" hidden="false" customHeight="false" outlineLevel="0" collapsed="false">
      <c r="A8402" s="1" t="s">
        <v>745</v>
      </c>
    </row>
    <row r="8403" customFormat="false" ht="15" hidden="false" customHeight="false" outlineLevel="0" collapsed="false">
      <c r="A8403" s="5" t="s">
        <v>541</v>
      </c>
      <c r="B8403" s="0" t="s">
        <v>86</v>
      </c>
      <c r="C8403" s="38" t="n">
        <f aca="false">Q!$D$34</f>
        <v>2.406</v>
      </c>
      <c r="D8403" s="38" t="n">
        <f aca="false">Q!$E$34</f>
        <v>2.274</v>
      </c>
      <c r="E8403" s="38" t="n">
        <f aca="false">Q!$P$34</f>
        <v>2.114</v>
      </c>
      <c r="F8403" s="38" t="n">
        <f aca="false">Sens!$F$8441</f>
        <v>3.24888962733561</v>
      </c>
      <c r="G8403" s="38" t="n">
        <f aca="false">Sens!$E$8403+Sens!$F$8403</f>
        <v>5.36288962733561</v>
      </c>
      <c r="H8403" s="38" t="n">
        <f aca="false">Sens!$H$8441</f>
        <v>7.42354172302123</v>
      </c>
      <c r="I8403" s="38" t="n">
        <f aca="false">Sens!$I$8441</f>
        <v>8.2931747618896</v>
      </c>
      <c r="J8403" s="38" t="n">
        <f aca="false">Sens!$J$8441</f>
        <v>9.27718179522602</v>
      </c>
      <c r="K8403" s="38" t="n">
        <f aca="false">Sens!$K$8441</f>
        <v>9.27718179522602</v>
      </c>
      <c r="L8403" s="38" t="n">
        <f aca="false">Sens!$L$8441</f>
        <v>9.27718179522602</v>
      </c>
      <c r="M8403" s="38" t="n">
        <f aca="false">Sens!$M$8441</f>
        <v>9.27718179522602</v>
      </c>
      <c r="N8403" s="38" t="n">
        <f aca="false">Q!$N$34</f>
        <v>1.057</v>
      </c>
      <c r="O8403" s="38" t="n">
        <f aca="false">Q!$O$34</f>
        <v>1.217</v>
      </c>
    </row>
    <row r="8404" customFormat="false" ht="15" hidden="false" customHeight="false" outlineLevel="0" collapsed="false">
      <c r="A8404" s="5" t="s">
        <v>746</v>
      </c>
      <c r="B8404" s="0" t="s">
        <v>86</v>
      </c>
      <c r="F8404" s="38" t="n">
        <f aca="false">Sens!$F$8442</f>
        <v>2.59</v>
      </c>
      <c r="H8404" s="38" t="n">
        <f aca="false">Sens!$H$8442</f>
        <v>3.80133635330174</v>
      </c>
      <c r="I8404" s="38" t="n">
        <f aca="false">Sens!$I$8442</f>
        <v>2.10589651022864</v>
      </c>
      <c r="J8404" s="38" t="n">
        <f aca="false">Sens!$J$8442</f>
        <v>2.10589651022864</v>
      </c>
      <c r="K8404" s="38" t="n">
        <f aca="false">Sens!$K$8442</f>
        <v>3.14850442073996</v>
      </c>
      <c r="L8404" s="38" t="n">
        <f aca="false">Sens!$L$8442</f>
        <v>8.25959583122945</v>
      </c>
      <c r="M8404" s="38" t="n">
        <f aca="false">Sens!$M$8442</f>
        <v>15.8335708401143</v>
      </c>
    </row>
    <row r="8405" customFormat="false" ht="17.15" hidden="false" customHeight="false" outlineLevel="0" collapsed="false">
      <c r="A8405" s="5" t="s">
        <v>747</v>
      </c>
      <c r="B8405" s="0" t="s">
        <v>86</v>
      </c>
      <c r="C8405" s="38" t="n">
        <f aca="false">Q!$D$39</f>
        <v>2.427</v>
      </c>
      <c r="D8405" s="38" t="n">
        <f aca="false">Q!$E$39</f>
        <v>19.61</v>
      </c>
      <c r="E8405" s="38" t="n">
        <f aca="false">Q!$P$39</f>
        <v>71.492</v>
      </c>
      <c r="F8405" s="39" t="n">
        <v>0</v>
      </c>
      <c r="G8405" s="38" t="n">
        <f aca="false">Sens!$E$8405+Sens!$F$8405</f>
        <v>71.492</v>
      </c>
      <c r="H8405" s="39" t="n">
        <v>0</v>
      </c>
      <c r="I8405" s="39" t="n">
        <v>0</v>
      </c>
      <c r="J8405" s="39" t="n">
        <v>0</v>
      </c>
      <c r="K8405" s="39" t="n">
        <v>0</v>
      </c>
      <c r="L8405" s="39" t="n">
        <v>0</v>
      </c>
      <c r="M8405" s="39" t="n">
        <v>0</v>
      </c>
      <c r="N8405" s="38" t="n">
        <f aca="false">Q!$N$39</f>
        <v>6.017</v>
      </c>
      <c r="O8405" s="38" t="n">
        <f aca="false">Q!$O$39</f>
        <v>13.593</v>
      </c>
      <c r="P8405" s="5" t="s">
        <v>748</v>
      </c>
    </row>
    <row r="8406" customFormat="false" ht="15" hidden="false" customHeight="false" outlineLevel="0" collapsed="false">
      <c r="A8406" s="5" t="s">
        <v>544</v>
      </c>
      <c r="B8406" s="0" t="s">
        <v>86</v>
      </c>
      <c r="C8406" s="38" t="n">
        <f aca="false">Q!$D$36</f>
        <v>68.614</v>
      </c>
      <c r="D8406" s="38" t="n">
        <f aca="false">Q!$E$36</f>
        <v>97.311</v>
      </c>
      <c r="E8406" s="38" t="n">
        <f aca="false">Q!$P$36</f>
        <v>120.691</v>
      </c>
      <c r="F8406" s="38" t="n">
        <f aca="false">Sens!$F$8382-Sens!$F$8403+Sens!$F$8404+Sens!$F$8405</f>
        <v>55.629999609589</v>
      </c>
      <c r="G8406" s="38" t="n">
        <f aca="false">Sens!$E$8406+Sens!$F$8406</f>
        <v>176.320999609589</v>
      </c>
      <c r="H8406" s="38" t="n">
        <f aca="false">Sens!$H$8382-Sens!$H$8403+Sens!$H$8404+Sens!$H$8405</f>
        <v>123.313761885917</v>
      </c>
      <c r="I8406" s="38" t="n">
        <f aca="false">Sens!$I$8382-Sens!$I$8403+Sens!$I$8404+Sens!$I$8405</f>
        <v>141.060502691455</v>
      </c>
      <c r="J8406" s="38" t="n">
        <f aca="false">Sens!$J$8382-Sens!$J$8403+Sens!$J$8404+Sens!$J$8405</f>
        <v>158.858808130232</v>
      </c>
      <c r="K8406" s="38" t="n">
        <f aca="false">Sens!$K$8382-Sens!$K$8403+Sens!$K$8404+Sens!$K$8405</f>
        <v>171.846913790867</v>
      </c>
      <c r="L8406" s="38" t="n">
        <f aca="false">Sens!$L$8382-Sens!$L$8403+Sens!$L$8404+Sens!$L$8405</f>
        <v>189.850989307375</v>
      </c>
      <c r="M8406" s="38" t="n">
        <f aca="false">Sens!$M$8382-Sens!$M$8403+Sens!$M$8404+Sens!$M$8405</f>
        <v>210.166777355014</v>
      </c>
      <c r="N8406" s="38" t="n">
        <f aca="false">Q!$N$36</f>
        <v>42.536</v>
      </c>
      <c r="O8406" s="38" t="n">
        <f aca="false">Q!$O$36</f>
        <v>54.775</v>
      </c>
    </row>
    <row r="8407" customFormat="false" ht="15" hidden="false" customHeight="false" outlineLevel="0" collapsed="false">
      <c r="A8407" s="5" t="s">
        <v>545</v>
      </c>
      <c r="B8407" s="0" t="s">
        <v>86</v>
      </c>
      <c r="C8407" s="38" t="n">
        <f aca="false">Q!$D$37</f>
        <v>9.265</v>
      </c>
      <c r="D8407" s="38" t="n">
        <f aca="false">Q!$E$37</f>
        <v>19.087</v>
      </c>
      <c r="E8407" s="38" t="n">
        <f aca="false">Q!$P$37</f>
        <v>27.759</v>
      </c>
      <c r="F8407" s="38" t="n">
        <f aca="false">Sens!$F$8406*tax</f>
        <v>9.65650714815835</v>
      </c>
      <c r="G8407" s="38" t="n">
        <f aca="false">Sens!$E$8407+Sens!$F$8407</f>
        <v>37.4155071481584</v>
      </c>
      <c r="H8407" s="38" t="n">
        <f aca="false">Sens!$H$8406*tax</f>
        <v>21.4053609828247</v>
      </c>
      <c r="I8407" s="38" t="n">
        <f aca="false">Sens!$I$8406*tax</f>
        <v>24.4859205846201</v>
      </c>
      <c r="J8407" s="38" t="n">
        <f aca="false">Sens!$J$8406*tax</f>
        <v>27.5754310088666</v>
      </c>
      <c r="K8407" s="38" t="n">
        <f aca="false">Sens!$K$8406*tax</f>
        <v>29.8299651816718</v>
      </c>
      <c r="L8407" s="38" t="n">
        <f aca="false">Sens!$L$8406*tax</f>
        <v>32.9551941074541</v>
      </c>
      <c r="M8407" s="38" t="n">
        <f aca="false">Sens!$M$8406*tax</f>
        <v>36.4817005586366</v>
      </c>
      <c r="N8407" s="38" t="n">
        <f aca="false">Q!$N$37</f>
        <v>7.231</v>
      </c>
      <c r="O8407" s="38" t="n">
        <f aca="false">Q!$O$37</f>
        <v>11.856</v>
      </c>
    </row>
    <row r="8408" customFormat="false" ht="15" hidden="false" customHeight="false" outlineLevel="0" collapsed="false">
      <c r="A8408" s="3" t="s">
        <v>546</v>
      </c>
      <c r="B8408" s="8" t="s">
        <v>86</v>
      </c>
      <c r="C8408" s="38" t="n">
        <f aca="false">Q!$D$38</f>
        <v>59.248</v>
      </c>
      <c r="D8408" s="38" t="n">
        <f aca="false">Q!$E$38</f>
        <v>77.67</v>
      </c>
      <c r="E8408" s="38" t="n">
        <f aca="false">Q!$P$38</f>
        <v>92.902</v>
      </c>
      <c r="F8408" s="38" t="n">
        <f aca="false">Sens!$F$8406-Sens!$F$8407</f>
        <v>45.9734924614306</v>
      </c>
      <c r="G8408" s="38" t="n">
        <f aca="false">Sens!$E$8408+Sens!$F$8408</f>
        <v>138.875492461431</v>
      </c>
      <c r="H8408" s="38" t="n">
        <f aca="false">Sens!$H$8406-Sens!$H$8407</f>
        <v>101.908400903092</v>
      </c>
      <c r="I8408" s="38" t="n">
        <f aca="false">Sens!$I$8406-Sens!$I$8407</f>
        <v>116.574582106835</v>
      </c>
      <c r="J8408" s="38" t="n">
        <f aca="false">Sens!$J$8406-Sens!$J$8407</f>
        <v>131.283377121365</v>
      </c>
      <c r="K8408" s="38" t="n">
        <f aca="false">Sens!$K$8406-Sens!$K$8407</f>
        <v>142.016948609195</v>
      </c>
      <c r="L8408" s="38" t="n">
        <f aca="false">Sens!$L$8406-Sens!$L$8407</f>
        <v>156.895795199921</v>
      </c>
      <c r="M8408" s="38" t="n">
        <f aca="false">Sens!$M$8406-Sens!$M$8407</f>
        <v>173.685076796377</v>
      </c>
      <c r="N8408" s="38" t="n">
        <f aca="false">Q!$N$38</f>
        <v>35.291</v>
      </c>
      <c r="O8408" s="38" t="n">
        <f aca="false">Q!$O$38</f>
        <v>42.379</v>
      </c>
    </row>
    <row r="8409" customFormat="false" ht="17.15" hidden="false" customHeight="false" outlineLevel="0" collapsed="false">
      <c r="A8409" s="5" t="s">
        <v>549</v>
      </c>
      <c r="B8409" s="5" t="s">
        <v>33</v>
      </c>
      <c r="C8409" s="22" t="n">
        <f aca="false">Q!$D$41</f>
        <v>10.721</v>
      </c>
      <c r="D8409" s="22" t="n">
        <f aca="false">Q!$E$41</f>
        <v>10.827</v>
      </c>
      <c r="E8409" s="22" t="n">
        <f aca="false">(Q!$L$41+Q!$M$41)/2</f>
        <v>10.8885</v>
      </c>
      <c r="F8409" s="22" t="n">
        <f aca="false">Sens!$G$8409</f>
        <v>10.924806</v>
      </c>
      <c r="G8409" s="22" t="n">
        <f aca="false">Q!$M$41*(1+sh_g*0.25)</f>
        <v>10.924806</v>
      </c>
      <c r="H8409" s="22" t="n">
        <f aca="false">Sens!$G$8409*(1+sh_g)</f>
        <v>11.012204448</v>
      </c>
      <c r="I8409" s="22" t="n">
        <f aca="false">Sens!$H$8409*(1+sh_g)</f>
        <v>11.100302083584</v>
      </c>
      <c r="J8409" s="22" t="n">
        <f aca="false">Sens!$I$8409*(1+sh_g)</f>
        <v>11.1891045002527</v>
      </c>
      <c r="K8409" s="22" t="n">
        <f aca="false">Sens!$J$8409*(1+sh_g)</f>
        <v>11.2786173362547</v>
      </c>
      <c r="L8409" s="22" t="n">
        <f aca="false">Sens!$K$8409*(1+sh_g)</f>
        <v>11.3688462749447</v>
      </c>
      <c r="M8409" s="22" t="n">
        <f aca="false">Sens!$L$8409*(1+sh_g)</f>
        <v>11.4597970451443</v>
      </c>
      <c r="P8409" s="5" t="s">
        <v>749</v>
      </c>
    </row>
    <row r="8410" customFormat="false" ht="17.15" hidden="false" customHeight="false" outlineLevel="0" collapsed="false">
      <c r="A8410" s="5" t="s">
        <v>750</v>
      </c>
      <c r="B8410" s="0" t="s">
        <v>86</v>
      </c>
      <c r="C8410" s="38" t="n">
        <f aca="false">Sens!$C$8408+Sens!$C$8384*(1-tax)</f>
        <v>59.248</v>
      </c>
      <c r="D8410" s="38" t="n">
        <f aca="false">Sens!$D$8408+Sens!$D$8384*(1-tax)</f>
        <v>77.67</v>
      </c>
      <c r="E8410" s="38" t="n">
        <f aca="false">Sens!$E$8408+Sens!$E$8384*(1-tax)</f>
        <v>92.902</v>
      </c>
      <c r="F8410" s="38" t="n">
        <f aca="false">Sens!$F$8408+Sens!$F$8384*(1-tax)</f>
        <v>49.0900874210793</v>
      </c>
      <c r="G8410" s="38" t="n">
        <f aca="false">Sens!$G$8408+Sens!$G$8384*(1-tax)</f>
        <v>141.992087421079</v>
      </c>
      <c r="H8410" s="38" t="n">
        <f aca="false">Sens!$H$8408+Sens!$H$8384*(1-tax)</f>
        <v>114.439796858437</v>
      </c>
      <c r="I8410" s="38" t="n">
        <f aca="false">Sens!$I$8408+Sens!$I$8384*(1-tax)</f>
        <v>137.715847181774</v>
      </c>
      <c r="J8410" s="38" t="n">
        <f aca="false">Sens!$J$8408+Sens!$J$8384*(1-tax)</f>
        <v>161.072814065649</v>
      </c>
      <c r="K8410" s="38" t="n">
        <f aca="false">Sens!$K$8408+Sens!$K$8384*(1-tax)</f>
        <v>179.184254305854</v>
      </c>
      <c r="L8410" s="38" t="n">
        <f aca="false">Sens!$L$8408+Sens!$L$8384*(1-tax)</f>
        <v>198.911872540476</v>
      </c>
      <c r="M8410" s="38" t="n">
        <f aca="false">Sens!$M$8408+Sens!$M$8384*(1-tax)</f>
        <v>218.014598987218</v>
      </c>
      <c r="N8410" s="38" t="n">
        <f aca="false">Sens!$N$8408+Sens!$N$8384*(1-tax)</f>
        <v>35.291</v>
      </c>
      <c r="O8410" s="38" t="n">
        <f aca="false">Sens!$O$8408+Sens!$O$8384*(1-tax)</f>
        <v>42.379</v>
      </c>
    </row>
    <row r="8411" customFormat="false" ht="17.15" hidden="false" customHeight="false" outlineLevel="0" collapsed="false">
      <c r="A8411" s="43" t="s">
        <v>751</v>
      </c>
      <c r="B8411" s="14" t="s">
        <v>27</v>
      </c>
      <c r="C8411" s="44" t="n">
        <f aca="false">Sens!$C$8410/Sens!$C$8409</f>
        <v>5.52635015390355</v>
      </c>
      <c r="D8411" s="44" t="n">
        <f aca="false">Sens!$D$8410/Sens!$D$8409</f>
        <v>7.1737323358271</v>
      </c>
      <c r="E8411" s="44" t="n">
        <f aca="false">Sens!$E$8410/Sens!$E$8409</f>
        <v>8.53212104513937</v>
      </c>
      <c r="F8411" s="14"/>
      <c r="G8411" s="44" t="n">
        <f aca="false">Sens!$G$8410/Sens!$G$8409</f>
        <v>12.9972182042481</v>
      </c>
      <c r="H8411" s="44" t="n">
        <f aca="false">Sens!$H$8410/Sens!$H$8409</f>
        <v>10.3920879237963</v>
      </c>
      <c r="I8411" s="44" t="n">
        <f aca="false">Sens!$I$8410/Sens!$I$8409</f>
        <v>12.4064954399249</v>
      </c>
      <c r="J8411" s="44" t="n">
        <f aca="false">Sens!$J$8410/Sens!$J$8409</f>
        <v>14.3955053831172</v>
      </c>
      <c r="K8411" s="44" t="n">
        <f aca="false">Sens!$K$8410/Sens!$K$8409</f>
        <v>15.8870763111957</v>
      </c>
      <c r="L8411" s="44" t="n">
        <f aca="false">Sens!$L$8410/Sens!$L$8409</f>
        <v>17.4962232516811</v>
      </c>
      <c r="M8411" s="44" t="n">
        <f aca="false">Sens!$M$8410/Sens!$M$8409</f>
        <v>19.0242984346389</v>
      </c>
      <c r="N8411" s="14"/>
      <c r="O8411" s="14"/>
    </row>
    <row r="8412" customFormat="false" ht="17.15" hidden="false" customHeight="false" outlineLevel="0" collapsed="false">
      <c r="A8412" s="0" t="s">
        <v>752</v>
      </c>
      <c r="B8412" s="0" t="s">
        <v>27</v>
      </c>
      <c r="C8412" s="30" t="n">
        <f aca="false">Sens!$C$8408/Sens!$C$8409</f>
        <v>5.52635015390355</v>
      </c>
      <c r="D8412" s="30" t="n">
        <f aca="false">Sens!$D$8408/Sens!$D$8409</f>
        <v>7.1737323358271</v>
      </c>
      <c r="E8412" s="30" t="n">
        <f aca="false">Sens!$E$8408/Sens!$E$8409</f>
        <v>8.53212104513937</v>
      </c>
      <c r="G8412" s="30" t="n">
        <f aca="false">Sens!$G$8408/Sens!$G$8409</f>
        <v>12.7119412886078</v>
      </c>
      <c r="H8412" s="30" t="n">
        <f aca="false">Sens!$H$8408/Sens!$H$8409</f>
        <v>9.25413266565353</v>
      </c>
      <c r="I8412" s="30" t="n">
        <f aca="false">Sens!$I$8408/Sens!$I$8409</f>
        <v>10.501928796986</v>
      </c>
      <c r="J8412" s="30" t="n">
        <f aca="false">Sens!$J$8408/Sens!$J$8409</f>
        <v>11.7331442492472</v>
      </c>
      <c r="K8412" s="30" t="n">
        <f aca="false">Sens!$K$8408/Sens!$K$8409</f>
        <v>12.5916984657939</v>
      </c>
      <c r="L8412" s="30" t="n">
        <f aca="false">Sens!$L$8408/Sens!$L$8409</f>
        <v>13.8005028307662</v>
      </c>
      <c r="M8412" s="30" t="n">
        <f aca="false">Sens!$M$8408/Sens!$M$8409</f>
        <v>15.1560342746184</v>
      </c>
    </row>
    <row r="8413" customFormat="false" ht="17.15" hidden="false" customHeight="false" outlineLevel="0" collapsed="false">
      <c r="A8413" s="0" t="s">
        <v>753</v>
      </c>
      <c r="B8413" s="0" t="s">
        <v>27</v>
      </c>
      <c r="C8413" s="30" t="n">
        <f aca="false">(Sens!$C$8408-Sens!$C$8405*(1-tax))/Sens!$C$8409</f>
        <v>5.33926775917445</v>
      </c>
      <c r="D8413" s="30" t="n">
        <f aca="false">(Sens!$D$8408-Sens!$D$8405*(1-tax))/Sens!$D$8409</f>
        <v>5.67691812755503</v>
      </c>
      <c r="E8413" s="30" t="n">
        <f aca="false">(Sens!$E$8408-Sens!$E$8405*(1-tax))/Sens!$E$8409</f>
        <v>3.10602057006846</v>
      </c>
      <c r="G8413" s="30" t="n">
        <f aca="false">(Sens!$G$8408-Sens!$G$8405*(1-tax))/Sens!$G$8409</f>
        <v>7.30387317071086</v>
      </c>
      <c r="H8413" s="30" t="n">
        <f aca="false">(Sens!$H$8408-Sens!$H$8405*(1-tax))/Sens!$H$8409</f>
        <v>9.25413266565353</v>
      </c>
      <c r="I8413" s="30" t="n">
        <f aca="false">(Sens!$I$8408-Sens!$I$8405*(1-tax))/Sens!$I$8409</f>
        <v>10.501928796986</v>
      </c>
      <c r="J8413" s="30" t="n">
        <f aca="false">(Sens!$J$8408-Sens!$J$8405*(1-tax))/Sens!$J$8409</f>
        <v>11.7331442492472</v>
      </c>
      <c r="K8413" s="30" t="n">
        <f aca="false">(Sens!$K$8408-Sens!$K$8405*(1-tax))/Sens!$K$8409</f>
        <v>12.5916984657939</v>
      </c>
      <c r="L8413" s="30" t="n">
        <f aca="false">(Sens!$L$8408-Sens!$L$8405*(1-tax))/Sens!$L$8409</f>
        <v>13.8005028307662</v>
      </c>
      <c r="M8413" s="30" t="n">
        <f aca="false">(Sens!$M$8408-Sens!$M$8405*(1-tax))/Sens!$M$8409</f>
        <v>15.1560342746184</v>
      </c>
      <c r="P8413" s="5" t="s">
        <v>754</v>
      </c>
    </row>
    <row r="8414" customFormat="false" ht="17.15" hidden="false" customHeight="false" outlineLevel="0" collapsed="false">
      <c r="A8414" s="0" t="s">
        <v>755</v>
      </c>
      <c r="B8414" s="0" t="s">
        <v>52</v>
      </c>
      <c r="H8414" s="13" t="n">
        <f aca="false">Sens!$H$8411/Sens!$G$8411-1</f>
        <v>-0.200437527439553</v>
      </c>
      <c r="I8414" s="13" t="n">
        <f aca="false">Sens!$I$8411/Sens!$H$8411-1</f>
        <v>0.193840499705158</v>
      </c>
      <c r="J8414" s="13" t="n">
        <f aca="false">Sens!$J$8411/Sens!$I$8411-1</f>
        <v>0.160320047899391</v>
      </c>
      <c r="K8414" s="13" t="n">
        <f aca="false">Sens!$K$8411/Sens!$J$8411-1</f>
        <v>0.103613654983436</v>
      </c>
      <c r="L8414" s="13" t="n">
        <f aca="false">Sens!$L$8411/Sens!$K$8411-1</f>
        <v>0.101286536865904</v>
      </c>
      <c r="M8414" s="13" t="n">
        <f aca="false">Sens!$M$8411/Sens!$L$8411-1</f>
        <v>0.0873374305400994</v>
      </c>
    </row>
    <row r="8417" customFormat="false" ht="19.4" hidden="false" customHeight="false" outlineLevel="0" collapsed="false">
      <c r="A8417" s="31" t="s">
        <v>1300</v>
      </c>
    </row>
    <row r="8418" customFormat="false" ht="17.15" hidden="false" customHeight="false" outlineLevel="0" collapsed="false">
      <c r="A8418" s="6" t="s">
        <v>16</v>
      </c>
      <c r="B8418" s="6" t="s">
        <v>17</v>
      </c>
      <c r="C8418" s="20" t="s">
        <v>494</v>
      </c>
      <c r="D8418" s="20" t="s">
        <v>495</v>
      </c>
      <c r="E8418" s="20" t="s">
        <v>577</v>
      </c>
      <c r="F8418" s="20" t="s">
        <v>578</v>
      </c>
      <c r="G8418" s="20" t="s">
        <v>579</v>
      </c>
      <c r="H8418" s="20" t="s">
        <v>580</v>
      </c>
      <c r="I8418" s="20" t="s">
        <v>581</v>
      </c>
      <c r="J8418" s="20" t="s">
        <v>582</v>
      </c>
      <c r="K8418" s="20" t="s">
        <v>583</v>
      </c>
      <c r="L8418" s="20" t="s">
        <v>584</v>
      </c>
      <c r="M8418" s="20" t="s">
        <v>585</v>
      </c>
      <c r="N8418" s="20" t="s">
        <v>586</v>
      </c>
      <c r="O8418" s="20" t="s">
        <v>587</v>
      </c>
      <c r="P8418" s="6" t="s">
        <v>23</v>
      </c>
      <c r="R8418" s="20" t="n">
        <v>2023</v>
      </c>
      <c r="S8418" s="20" t="n">
        <v>2024</v>
      </c>
      <c r="T8418" s="20" t="n">
        <v>2025</v>
      </c>
      <c r="U8418" s="20" t="n">
        <v>2026</v>
      </c>
      <c r="V8418" s="20" t="n">
        <v>2027</v>
      </c>
      <c r="W8418" s="20" t="n">
        <v>2028</v>
      </c>
      <c r="X8418" s="20" t="n">
        <v>2029</v>
      </c>
      <c r="Y8418" s="20" t="n">
        <v>2030</v>
      </c>
      <c r="Z8418" s="20" t="n">
        <v>2031</v>
      </c>
      <c r="AA8418" s="20" t="n">
        <v>2032</v>
      </c>
    </row>
    <row r="8419" customFormat="false" ht="15" hidden="false" customHeight="false" outlineLevel="0" collapsed="false">
      <c r="A8419" s="5" t="s">
        <v>546</v>
      </c>
      <c r="B8419" s="0" t="s">
        <v>86</v>
      </c>
      <c r="C8419" s="38" t="n">
        <f aca="false">Sens!$C$8408</f>
        <v>59.248</v>
      </c>
      <c r="D8419" s="38" t="n">
        <f aca="false">Sens!$D$8408</f>
        <v>77.67</v>
      </c>
      <c r="E8419" s="38" t="n">
        <f aca="false">Sens!$E$8408</f>
        <v>92.902</v>
      </c>
      <c r="F8419" s="38" t="n">
        <f aca="false">Sens!$F$8408</f>
        <v>45.9734924614306</v>
      </c>
      <c r="G8419" s="38" t="n">
        <f aca="false">Sens!$G$8408</f>
        <v>138.875492461431</v>
      </c>
      <c r="H8419" s="38" t="n">
        <f aca="false">Sens!$H$8408</f>
        <v>101.908400903092</v>
      </c>
      <c r="I8419" s="38" t="n">
        <f aca="false">Sens!$I$8408</f>
        <v>116.574582106835</v>
      </c>
      <c r="J8419" s="38" t="n">
        <f aca="false">Sens!$J$8408</f>
        <v>131.283377121365</v>
      </c>
      <c r="K8419" s="38" t="n">
        <f aca="false">Sens!$K$8408</f>
        <v>142.016948609195</v>
      </c>
      <c r="L8419" s="38" t="n">
        <f aca="false">Sens!$L$8408</f>
        <v>156.895795199921</v>
      </c>
      <c r="M8419" s="38" t="n">
        <f aca="false">Sens!$M$8408</f>
        <v>173.685076796377</v>
      </c>
    </row>
    <row r="8420" customFormat="false" ht="17.15" hidden="false" customHeight="false" outlineLevel="0" collapsed="false">
      <c r="A8420" s="5" t="s">
        <v>778</v>
      </c>
      <c r="B8420" s="0" t="s">
        <v>86</v>
      </c>
      <c r="C8420" s="38" t="n">
        <f aca="false">Sens!$C$8396</f>
        <v>32.067</v>
      </c>
      <c r="D8420" s="38" t="n">
        <f aca="false">Sens!$D$8396</f>
        <v>41.86</v>
      </c>
      <c r="E8420" s="38" t="n">
        <f aca="false">Sens!$E$8396</f>
        <v>26.703</v>
      </c>
      <c r="F8420" s="38" t="n">
        <f aca="false">Sens!$F$8396</f>
        <v>29.2913179650864</v>
      </c>
      <c r="G8420" s="38" t="n">
        <f aca="false">Sens!$G$8396</f>
        <v>55.9943179650864</v>
      </c>
      <c r="H8420" s="38" t="n">
        <f aca="false">Sens!$H$8396</f>
        <v>84.3163410985152</v>
      </c>
      <c r="I8420" s="38" t="n">
        <f aca="false">Sens!$I$8396</f>
        <v>117.040344991004</v>
      </c>
      <c r="J8420" s="38" t="n">
        <f aca="false">Sens!$J$8396</f>
        <v>150.498981474685</v>
      </c>
      <c r="K8420" s="38" t="n">
        <f aca="false">Sens!$K$8396</f>
        <v>184.188121970284</v>
      </c>
      <c r="L8420" s="38" t="n">
        <f aca="false">Sens!$L$8396</f>
        <v>207.768718060808</v>
      </c>
      <c r="M8420" s="38" t="n">
        <f aca="false">Sens!$M$8396</f>
        <v>224.003934647752</v>
      </c>
    </row>
    <row r="8421" customFormat="false" ht="15" hidden="false" customHeight="false" outlineLevel="0" collapsed="false">
      <c r="A8421" s="5" t="s">
        <v>779</v>
      </c>
      <c r="B8421" s="0" t="s">
        <v>86</v>
      </c>
      <c r="C8421" s="38" t="n">
        <f aca="false">Q!$D$48</f>
        <v>22.011</v>
      </c>
      <c r="D8421" s="38" t="n">
        <f aca="false">Q!$E$48</f>
        <v>19.467</v>
      </c>
      <c r="E8421" s="38" t="n">
        <f aca="false">Q!$P$48</f>
        <v>10.07</v>
      </c>
      <c r="F8421" s="38" t="n">
        <f aca="false">sbc_r*Sens!$F$8338</f>
        <v>10.8507035798037</v>
      </c>
      <c r="G8421" s="38" t="n">
        <f aca="false">Sens!$E$8421+Sens!$F$8421</f>
        <v>20.9207035798037</v>
      </c>
      <c r="H8421" s="38" t="n">
        <f aca="false">sbc_r*Sens!$H$8338</f>
        <v>23.46224366345</v>
      </c>
      <c r="I8421" s="38" t="n">
        <f aca="false">sbc_r*Sens!$I$8338</f>
        <v>26.6125957111676</v>
      </c>
      <c r="J8421" s="38" t="n">
        <f aca="false">sbc_r*Sens!$J$8338</f>
        <v>29.6280801413323</v>
      </c>
      <c r="K8421" s="38" t="n">
        <f aca="false">sbc_r*Sens!$K$8338</f>
        <v>32.2712258901105</v>
      </c>
      <c r="L8421" s="38" t="n">
        <f aca="false">sbc_r*Sens!$L$8338</f>
        <v>34.7390505016737</v>
      </c>
      <c r="M8421" s="38" t="n">
        <f aca="false">sbc_r*Sens!$M$8338</f>
        <v>37.0405146906692</v>
      </c>
    </row>
    <row r="8422" customFormat="false" ht="17.15" hidden="false" customHeight="false" outlineLevel="0" collapsed="false">
      <c r="A8422" s="5" t="s">
        <v>780</v>
      </c>
      <c r="B8422" s="0" t="s">
        <v>86</v>
      </c>
      <c r="C8422" s="38" t="n">
        <f aca="false">Q!$D$44-Sens!$C$8419-Sens!$C$8420-Sens!$C$8421</f>
        <v>2.551</v>
      </c>
      <c r="D8422" s="38" t="n">
        <f aca="false">Q!$E$44-Sens!$D$8419-Sens!$D$8420-Sens!$D$8421</f>
        <v>0.51700000000001</v>
      </c>
      <c r="E8422" s="38" t="n">
        <f aca="false">Q!$P$44-Sens!$E$8419-Sens!$E$8420-Sens!$E$8421</f>
        <v>-58.256</v>
      </c>
      <c r="F8422" s="38" t="n">
        <f aca="false">oth_r*Sens!$F$8338</f>
        <v>5.22265251035878</v>
      </c>
      <c r="G8422" s="38" t="n">
        <f aca="false">Sens!$E$8422+Sens!$F$8422</f>
        <v>-53.0333474896412</v>
      </c>
      <c r="H8422" s="38" t="n">
        <f aca="false">oth_r*Sens!$H$8338</f>
        <v>11.2928295263397</v>
      </c>
      <c r="I8422" s="38" t="n">
        <f aca="false">oth_r*Sens!$I$8338</f>
        <v>12.8091546115766</v>
      </c>
      <c r="J8422" s="38" t="n">
        <f aca="false">oth_r*Sens!$J$8338</f>
        <v>14.2605653162668</v>
      </c>
      <c r="K8422" s="38" t="n">
        <f aca="false">oth_r*Sens!$K$8338</f>
        <v>15.5327622460396</v>
      </c>
      <c r="L8422" s="38" t="n">
        <f aca="false">oth_r*Sens!$L$8338</f>
        <v>16.720573737517</v>
      </c>
      <c r="M8422" s="38" t="n">
        <f aca="false">oth_r*Sens!$M$8338</f>
        <v>17.8283127551536</v>
      </c>
      <c r="P8422" s="8" t="s">
        <v>781</v>
      </c>
    </row>
    <row r="8423" customFormat="false" ht="15" hidden="false" customHeight="false" outlineLevel="0" collapsed="false">
      <c r="A8423" s="3" t="s">
        <v>552</v>
      </c>
      <c r="B8423" s="8" t="s">
        <v>86</v>
      </c>
      <c r="C8423" s="38" t="n">
        <f aca="false">Q!$D$44</f>
        <v>115.877</v>
      </c>
      <c r="D8423" s="38" t="n">
        <f aca="false">Q!$E$44</f>
        <v>139.514</v>
      </c>
      <c r="E8423" s="38" t="n">
        <f aca="false">Q!$P$44</f>
        <v>71.419</v>
      </c>
      <c r="F8423" s="38" t="n">
        <f aca="false">Sens!$F$8419+Sens!$F$8420+Sens!$F$8421+Sens!$F$8422</f>
        <v>91.3381665166794</v>
      </c>
      <c r="G8423" s="38" t="n">
        <f aca="false">Sens!$E$8423+Sens!$F$8423</f>
        <v>162.757166516679</v>
      </c>
      <c r="H8423" s="38" t="n">
        <f aca="false">Sens!$H$8419+Sens!$H$8420+Sens!$H$8421+Sens!$H$8422</f>
        <v>220.979815191397</v>
      </c>
      <c r="I8423" s="38" t="n">
        <f aca="false">Sens!$I$8419+Sens!$I$8420+Sens!$I$8421+Sens!$I$8422</f>
        <v>273.036677420583</v>
      </c>
      <c r="J8423" s="38" t="n">
        <f aca="false">Sens!$J$8419+Sens!$J$8420+Sens!$J$8421+Sens!$J$8422</f>
        <v>325.671004053649</v>
      </c>
      <c r="K8423" s="38" t="n">
        <f aca="false">Sens!$K$8419+Sens!$K$8420+Sens!$K$8421+Sens!$K$8422</f>
        <v>374.009058715629</v>
      </c>
      <c r="L8423" s="38" t="n">
        <f aca="false">Sens!$L$8419+Sens!$L$8420+Sens!$L$8421+Sens!$L$8422</f>
        <v>416.124137499919</v>
      </c>
      <c r="M8423" s="38" t="n">
        <f aca="false">Sens!$M$8419+Sens!$M$8420+Sens!$M$8421+Sens!$M$8422</f>
        <v>452.557838889952</v>
      </c>
    </row>
    <row r="8424" customFormat="false" ht="17.15" hidden="false" customHeight="false" outlineLevel="0" collapsed="false">
      <c r="A8424" s="5" t="s">
        <v>782</v>
      </c>
      <c r="B8424" s="0" t="s">
        <v>86</v>
      </c>
      <c r="C8424" s="38" t="n">
        <f aca="false">Sens!$C$8307</f>
        <v>25.2781053077374</v>
      </c>
      <c r="D8424" s="38" t="n">
        <f aca="false">Sens!$D$8307</f>
        <v>69.5686316310026</v>
      </c>
      <c r="E8424" s="38" t="n">
        <f aca="false">Sens!$E$8307</f>
        <v>64.1899206485108</v>
      </c>
      <c r="F8424" s="38" t="n">
        <f aca="false">Sens!$F$8307</f>
        <v>96.2481299895</v>
      </c>
      <c r="G8424" s="38" t="n">
        <f aca="false">Sens!$G$8307</f>
        <v>160.438050638011</v>
      </c>
      <c r="H8424" s="38" t="n">
        <f aca="false">Sens!$H$8307</f>
        <v>198.57136494475</v>
      </c>
      <c r="I8424" s="38" t="n">
        <f aca="false">Sens!$I$8307</f>
        <v>204.6464699105</v>
      </c>
      <c r="J8424" s="38" t="n">
        <f aca="false">Sens!$J$8307</f>
        <v>209.8832381105</v>
      </c>
      <c r="K8424" s="38" t="n">
        <f aca="false">Sens!$K$8307</f>
        <v>155.238385275201</v>
      </c>
      <c r="L8424" s="38" t="n">
        <f aca="false">Sens!$L$8307</f>
        <v>132.014141639902</v>
      </c>
      <c r="M8424" s="38" t="n">
        <f aca="false">Sens!$M$8307</f>
        <v>132.230981659852</v>
      </c>
    </row>
    <row r="8425" customFormat="false" ht="17.15" hidden="false" customHeight="false" outlineLevel="0" collapsed="false">
      <c r="A8425" s="5" t="s">
        <v>783</v>
      </c>
      <c r="B8425" s="0" t="s">
        <v>86</v>
      </c>
      <c r="C8425" s="38" t="n">
        <f aca="false">cx_awso*Sens!$C$8336</f>
        <v>21.0469989286053</v>
      </c>
      <c r="D8425" s="38" t="n">
        <f aca="false">cx_awso*Sens!$D$8336</f>
        <v>24.0042459822698</v>
      </c>
      <c r="E8425" s="38" t="n">
        <f aca="false">cx_awso*Sens!$E$8336</f>
        <v>14.261729404886</v>
      </c>
      <c r="F8425" s="38" t="n">
        <f aca="false">cx_awso*Sens!$F$8336</f>
        <v>14.3538599588493</v>
      </c>
      <c r="G8425" s="38" t="n">
        <f aca="false">Sens!$E$8425+Sens!$F$8425</f>
        <v>28.6155893637353</v>
      </c>
      <c r="H8425" s="38" t="n">
        <f aca="false">cx_awso*Sens!$H$8336</f>
        <v>32.2034154158406</v>
      </c>
      <c r="I8425" s="38" t="n">
        <f aca="false">cx_awso*Sens!$I$8336</f>
        <v>35.7539519042915</v>
      </c>
      <c r="J8425" s="38" t="n">
        <f aca="false">cx_awso*Sens!$J$8336</f>
        <v>39.1551076091815</v>
      </c>
      <c r="K8425" s="38" t="n">
        <f aca="false">cx_awso*Sens!$K$8336</f>
        <v>42.287516217916</v>
      </c>
      <c r="L8425" s="38" t="n">
        <f aca="false">cx_awso*Sens!$L$8336</f>
        <v>45.6705175153492</v>
      </c>
      <c r="M8425" s="38" t="n">
        <f aca="false">cx_awso*Sens!$M$8336</f>
        <v>49.3241589165772</v>
      </c>
    </row>
    <row r="8426" customFormat="false" ht="17.15" hidden="false" customHeight="false" outlineLevel="0" collapsed="false">
      <c r="A8426" s="5" t="s">
        <v>784</v>
      </c>
      <c r="B8426" s="0" t="s">
        <v>86</v>
      </c>
      <c r="C8426" s="38" t="n">
        <f aca="false">Q!$D$46-Sens!$C$8424-Sens!$C$8425</f>
        <v>31.3328957636573</v>
      </c>
      <c r="D8426" s="38" t="n">
        <f aca="false">Q!$E$46-Sens!$D$8424-Sens!$D$8425</f>
        <v>34.7471223867276</v>
      </c>
      <c r="E8426" s="38" t="n">
        <f aca="false">Q!$P$46-Sens!$E$8424-Sens!$E$8425</f>
        <v>17.8583499466032</v>
      </c>
      <c r="F8426" s="38" t="n">
        <f aca="false">cx_rt*Sens!$F$8270</f>
        <v>20.6195895799373</v>
      </c>
      <c r="G8426" s="38" t="n">
        <f aca="false">Sens!$E$8426+Sens!$F$8426</f>
        <v>38.4779395265405</v>
      </c>
      <c r="H8426" s="38" t="n">
        <f aca="false">cx_rt*Sens!$H$8270</f>
        <v>42.5978994743075</v>
      </c>
      <c r="I8426" s="38" t="n">
        <f aca="false">cx_rt*Sens!$I$8270</f>
        <v>46.5813904136335</v>
      </c>
      <c r="J8426" s="38" t="n">
        <f aca="false">cx_rt*Sens!$J$8270</f>
        <v>50.2781676586844</v>
      </c>
      <c r="K8426" s="38" t="n">
        <f aca="false">cx_rt*Sens!$K$8270</f>
        <v>53.5312440191755</v>
      </c>
      <c r="L8426" s="38" t="n">
        <f aca="false">cx_rt*Sens!$L$8270</f>
        <v>57.0116717051447</v>
      </c>
      <c r="M8426" s="38" t="n">
        <f aca="false">cx_rt*Sens!$M$8270</f>
        <v>60.7365554669226</v>
      </c>
    </row>
    <row r="8427" customFormat="false" ht="15" hidden="false" customHeight="false" outlineLevel="0" collapsed="false">
      <c r="A8427" s="3" t="s">
        <v>785</v>
      </c>
      <c r="B8427" s="8" t="s">
        <v>86</v>
      </c>
      <c r="C8427" s="38" t="n">
        <f aca="false">Q!$D$46</f>
        <v>77.658</v>
      </c>
      <c r="D8427" s="38" t="n">
        <f aca="false">Q!$E$46</f>
        <v>128.32</v>
      </c>
      <c r="E8427" s="38" t="n">
        <f aca="false">Q!$P$46</f>
        <v>96.31</v>
      </c>
      <c r="F8427" s="38" t="n">
        <f aca="false">Sens!$F$8424+Sens!$F$8425+Sens!$F$8426</f>
        <v>131.221579528287</v>
      </c>
      <c r="G8427" s="38" t="n">
        <f aca="false">Sens!$E$8427+Sens!$F$8427</f>
        <v>227.531579528287</v>
      </c>
      <c r="H8427" s="38" t="n">
        <f aca="false">Sens!$H$8424+Sens!$H$8425+Sens!$H$8426</f>
        <v>273.372679834898</v>
      </c>
      <c r="I8427" s="38" t="n">
        <f aca="false">Sens!$I$8424+Sens!$I$8425+Sens!$I$8426</f>
        <v>286.981812228425</v>
      </c>
      <c r="J8427" s="38" t="n">
        <f aca="false">Sens!$J$8424+Sens!$J$8425+Sens!$J$8426</f>
        <v>299.316513378366</v>
      </c>
      <c r="K8427" s="38" t="n">
        <f aca="false">Sens!$K$8424+Sens!$K$8425+Sens!$K$8426</f>
        <v>251.057145512292</v>
      </c>
      <c r="L8427" s="38" t="n">
        <f aca="false">Sens!$L$8424+Sens!$L$8425+Sens!$L$8426</f>
        <v>234.696330860396</v>
      </c>
      <c r="M8427" s="38" t="n">
        <f aca="false">Sens!$M$8424+Sens!$M$8425+Sens!$M$8426</f>
        <v>242.291696043352</v>
      </c>
    </row>
    <row r="8428" customFormat="false" ht="17.15" hidden="false" customHeight="false" outlineLevel="0" collapsed="false">
      <c r="A8428" s="5" t="s">
        <v>560</v>
      </c>
      <c r="B8428" s="0" t="s">
        <v>86</v>
      </c>
      <c r="C8428" s="38" t="n">
        <f aca="false">Q!$D$50</f>
        <v>2.043</v>
      </c>
      <c r="D8428" s="38" t="n">
        <f aca="false">Q!$E$50</f>
        <v>1.557</v>
      </c>
      <c r="E8428" s="38" t="n">
        <f aca="false">lease_pr/2</f>
        <v>0.8</v>
      </c>
      <c r="F8428" s="38" t="n">
        <f aca="false">lease_pr/2</f>
        <v>0.8</v>
      </c>
      <c r="G8428" s="38" t="n">
        <f aca="false">Sens!$E$8428+Sens!$F$8428</f>
        <v>1.6</v>
      </c>
      <c r="H8428" s="38" t="n">
        <f aca="false">lease_pr</f>
        <v>1.6</v>
      </c>
      <c r="I8428" s="38" t="n">
        <f aca="false">lease_pr</f>
        <v>1.6</v>
      </c>
      <c r="J8428" s="38" t="n">
        <f aca="false">lease_pr</f>
        <v>1.6</v>
      </c>
      <c r="K8428" s="38" t="n">
        <f aca="false">lease_pr</f>
        <v>1.6</v>
      </c>
      <c r="L8428" s="38" t="n">
        <f aca="false">lease_pr</f>
        <v>1.6</v>
      </c>
      <c r="M8428" s="38" t="n">
        <f aca="false">lease_pr</f>
        <v>1.6</v>
      </c>
      <c r="P8428" s="8" t="s">
        <v>786</v>
      </c>
    </row>
    <row r="8429" customFormat="false" ht="15" hidden="false" customHeight="false" outlineLevel="0" collapsed="false">
      <c r="A8429" s="47" t="s">
        <v>787</v>
      </c>
      <c r="B8429" s="14" t="s">
        <v>86</v>
      </c>
      <c r="C8429" s="48" t="n">
        <f aca="false">Sens!$C$8423-Sens!$C$8427-Sens!$C$8428</f>
        <v>36.176</v>
      </c>
      <c r="D8429" s="48" t="n">
        <f aca="false">Sens!$D$8423-Sens!$D$8427-Sens!$D$8428</f>
        <v>9.63700000000002</v>
      </c>
      <c r="E8429" s="48" t="n">
        <f aca="false">Sens!$E$8423-Sens!$E$8427-Sens!$E$8428</f>
        <v>-25.691</v>
      </c>
      <c r="F8429" s="48" t="n">
        <f aca="false">Sens!$F$8423-Sens!$F$8427-Sens!$F$8428</f>
        <v>-40.6834130116072</v>
      </c>
      <c r="G8429" s="48" t="n">
        <f aca="false">Sens!$G$8423-Sens!$G$8427-Sens!$G$8428</f>
        <v>-66.3744130116072</v>
      </c>
      <c r="H8429" s="48" t="n">
        <f aca="false">Sens!$H$8423-Sens!$H$8427-Sens!$H$8428</f>
        <v>-53.9928646435014</v>
      </c>
      <c r="I8429" s="48" t="n">
        <f aca="false">Sens!$I$8423-Sens!$I$8427-Sens!$I$8428</f>
        <v>-15.5451348078424</v>
      </c>
      <c r="J8429" s="48" t="n">
        <f aca="false">Sens!$J$8423-Sens!$J$8427-Sens!$J$8428</f>
        <v>24.754490675283</v>
      </c>
      <c r="K8429" s="48" t="n">
        <f aca="false">Sens!$K$8423-Sens!$K$8427-Sens!$K$8428</f>
        <v>121.351913203336</v>
      </c>
      <c r="L8429" s="48" t="n">
        <f aca="false">Sens!$L$8423-Sens!$L$8427-Sens!$L$8428</f>
        <v>179.827806639524</v>
      </c>
      <c r="M8429" s="48" t="n">
        <f aca="false">Sens!$M$8423-Sens!$M$8427-Sens!$M$8428</f>
        <v>208.6661428466</v>
      </c>
      <c r="N8429" s="14"/>
      <c r="O8429" s="14"/>
    </row>
    <row r="8430" customFormat="false" ht="17.15" hidden="false" customHeight="false" outlineLevel="0" collapsed="false">
      <c r="A8430" s="5" t="s">
        <v>788</v>
      </c>
      <c r="B8430" s="0" t="s">
        <v>86</v>
      </c>
      <c r="C8430" s="38" t="n">
        <f aca="false">dps*Sens!$C$8409</f>
        <v>0</v>
      </c>
      <c r="D8430" s="38" t="n">
        <f aca="false">dps*Sens!$D$8409</f>
        <v>0</v>
      </c>
      <c r="E8430" s="38" t="n">
        <f aca="false">dps*Sens!$E$8409</f>
        <v>0</v>
      </c>
      <c r="F8430" s="38" t="n">
        <f aca="false">0</f>
        <v>0</v>
      </c>
      <c r="G8430" s="38" t="n">
        <f aca="false">dps*Sens!$G$8409</f>
        <v>0</v>
      </c>
      <c r="H8430" s="38" t="n">
        <f aca="false">dps*Sens!$H$8409</f>
        <v>0</v>
      </c>
      <c r="I8430" s="38" t="n">
        <f aca="false">dps*Sens!$I$8409</f>
        <v>0</v>
      </c>
      <c r="J8430" s="38" t="n">
        <f aca="false">dps*Sens!$J$8409</f>
        <v>0</v>
      </c>
      <c r="K8430" s="38" t="n">
        <f aca="false">dps*Sens!$K$8409</f>
        <v>0</v>
      </c>
      <c r="L8430" s="38" t="n">
        <f aca="false">dps*Sens!$L$8409</f>
        <v>0</v>
      </c>
      <c r="M8430" s="38" t="n">
        <f aca="false">dps*Sens!$M$8409</f>
        <v>0</v>
      </c>
      <c r="P8430" s="8" t="s">
        <v>789</v>
      </c>
    </row>
    <row r="8431" customFormat="false" ht="17.15" hidden="false" customHeight="false" outlineLevel="0" collapsed="false">
      <c r="A8431" s="5" t="s">
        <v>790</v>
      </c>
      <c r="B8431" s="0" t="s">
        <v>86</v>
      </c>
      <c r="C8431" s="38" t="n">
        <f aca="false">0</f>
        <v>0</v>
      </c>
      <c r="D8431" s="38" t="n">
        <f aca="false">0</f>
        <v>0</v>
      </c>
      <c r="E8431" s="38" t="n">
        <f aca="false">0</f>
        <v>0</v>
      </c>
      <c r="F8431" s="38" t="n">
        <f aca="false">0</f>
        <v>0</v>
      </c>
      <c r="G8431" s="38" t="n">
        <f aca="false">0</f>
        <v>0</v>
      </c>
      <c r="H8431" s="38" t="n">
        <f aca="false">0</f>
        <v>0</v>
      </c>
      <c r="I8431" s="38" t="n">
        <f aca="false">0</f>
        <v>0</v>
      </c>
      <c r="J8431" s="38" t="n">
        <f aca="false">0</f>
        <v>0</v>
      </c>
      <c r="K8431" s="38" t="n">
        <f aca="false">0</f>
        <v>0</v>
      </c>
      <c r="L8431" s="38" t="n">
        <f aca="false">0</f>
        <v>0</v>
      </c>
      <c r="M8431" s="38" t="n">
        <f aca="false">0</f>
        <v>0</v>
      </c>
      <c r="P8431" s="8" t="s">
        <v>791</v>
      </c>
    </row>
    <row r="8432" customFormat="false" ht="15" hidden="false" customHeight="false" outlineLevel="0" collapsed="false">
      <c r="A8432" s="3" t="s">
        <v>792</v>
      </c>
      <c r="B8432" s="8" t="s">
        <v>86</v>
      </c>
      <c r="C8432" s="38" t="n">
        <f aca="false">Sens!$C$8429-Sens!$C$8430</f>
        <v>36.176</v>
      </c>
      <c r="D8432" s="38" t="n">
        <f aca="false">Sens!$D$8429-Sens!$D$8430</f>
        <v>9.63700000000002</v>
      </c>
      <c r="E8432" s="38" t="n">
        <f aca="false">Sens!$E$8429-Sens!$E$8430</f>
        <v>-25.691</v>
      </c>
      <c r="F8432" s="38" t="n">
        <f aca="false">Sens!$F$8429-Sens!$F$8430</f>
        <v>-40.6834130116072</v>
      </c>
      <c r="G8432" s="38" t="n">
        <f aca="false">Sens!$G$8429-Sens!$G$8430</f>
        <v>-66.3744130116072</v>
      </c>
      <c r="H8432" s="38" t="n">
        <f aca="false">Sens!$H$8429-Sens!$H$8430</f>
        <v>-53.9928646435014</v>
      </c>
      <c r="I8432" s="38" t="n">
        <f aca="false">Sens!$I$8429-Sens!$I$8430</f>
        <v>-15.5451348078424</v>
      </c>
      <c r="J8432" s="38" t="n">
        <f aca="false">Sens!$J$8429-Sens!$J$8430</f>
        <v>24.754490675283</v>
      </c>
      <c r="K8432" s="38" t="n">
        <f aca="false">Sens!$K$8429-Sens!$K$8430</f>
        <v>121.351913203336</v>
      </c>
      <c r="L8432" s="38" t="n">
        <f aca="false">Sens!$L$8429-Sens!$L$8430</f>
        <v>179.827806639524</v>
      </c>
      <c r="M8432" s="38" t="n">
        <f aca="false">Sens!$M$8429-Sens!$M$8430</f>
        <v>208.6661428466</v>
      </c>
    </row>
    <row r="8433" customFormat="false" ht="17.15" hidden="false" customHeight="false" outlineLevel="0" collapsed="false">
      <c r="A8433" s="5" t="s">
        <v>793</v>
      </c>
      <c r="B8433" s="0" t="s">
        <v>86</v>
      </c>
      <c r="E8433" s="38" t="n">
        <f aca="false">Q!$P$53</f>
        <v>39.767</v>
      </c>
      <c r="F8433" s="38" t="n">
        <f aca="false">inv_2h26</f>
        <v>21.3</v>
      </c>
      <c r="G8433" s="38" t="n">
        <f aca="false">Sens!$E$8433+Sens!$F$8433</f>
        <v>61.067</v>
      </c>
      <c r="H8433" s="39" t="n">
        <v>0</v>
      </c>
      <c r="I8433" s="39" t="n">
        <v>0</v>
      </c>
      <c r="J8433" s="39" t="n">
        <v>0</v>
      </c>
      <c r="K8433" s="39" t="n">
        <v>0</v>
      </c>
      <c r="L8433" s="39" t="n">
        <v>0</v>
      </c>
      <c r="M8433" s="39" t="n">
        <v>0</v>
      </c>
    </row>
    <row r="8434" customFormat="false" ht="17.15" hidden="false" customHeight="false" outlineLevel="0" collapsed="false">
      <c r="A8434" s="5" t="s">
        <v>794</v>
      </c>
      <c r="B8434" s="0" t="s">
        <v>86</v>
      </c>
      <c r="F8434" s="38" t="n">
        <f aca="false">iss_2h26</f>
        <v>29.249999</v>
      </c>
      <c r="G8434" s="38" t="n">
        <f aca="false">Sens!$F$8434</f>
        <v>29.249999</v>
      </c>
      <c r="H8434" s="39" t="n">
        <v>0</v>
      </c>
      <c r="I8434" s="39" t="n">
        <v>0</v>
      </c>
      <c r="J8434" s="39" t="n">
        <v>0</v>
      </c>
      <c r="K8434" s="39" t="n">
        <v>0</v>
      </c>
      <c r="L8434" s="39" t="n">
        <v>0</v>
      </c>
      <c r="M8434" s="39" t="n">
        <v>0</v>
      </c>
    </row>
    <row r="8435" customFormat="false" ht="17.15" hidden="false" customHeight="false" outlineLevel="0" collapsed="false">
      <c r="A8435" s="5" t="s">
        <v>795</v>
      </c>
      <c r="B8435" s="0" t="s">
        <v>86</v>
      </c>
      <c r="F8435" s="38" t="n">
        <f aca="false">cash_q2</f>
        <v>122.988</v>
      </c>
      <c r="G8435" s="38" t="n">
        <f aca="false">cash_q2</f>
        <v>122.988</v>
      </c>
      <c r="H8435" s="38" t="n">
        <f aca="false">Sens!$G$8438</f>
        <v>90.2545859883928</v>
      </c>
      <c r="I8435" s="38" t="n">
        <f aca="false">Sens!$H$8438</f>
        <v>50</v>
      </c>
      <c r="J8435" s="38" t="n">
        <f aca="false">Sens!$I$8438</f>
        <v>50</v>
      </c>
      <c r="K8435" s="38" t="n">
        <f aca="false">Sens!$J$8438</f>
        <v>74.7544906752831</v>
      </c>
      <c r="L8435" s="38" t="n">
        <f aca="false">Sens!$K$8438</f>
        <v>196.106403878619</v>
      </c>
      <c r="M8435" s="38" t="n">
        <f aca="false">Sens!$L$8438</f>
        <v>375.934210518143</v>
      </c>
    </row>
    <row r="8436" customFormat="false" ht="15" hidden="false" customHeight="false" outlineLevel="0" collapsed="false">
      <c r="A8436" s="5" t="s">
        <v>796</v>
      </c>
      <c r="B8436" s="0" t="s">
        <v>86</v>
      </c>
      <c r="F8436" s="38" t="n">
        <f aca="false">Sens!$F$8435+Sens!$F$8432-Sens!$F$8431-Sens!$F$8433+Sens!$F$8434</f>
        <v>90.2545859883928</v>
      </c>
      <c r="H8436" s="38" t="n">
        <f aca="false">Sens!$H$8435+Sens!$H$8432-Sens!$H$8431-Sens!$H$8433+Sens!$H$8434</f>
        <v>36.2617213448915</v>
      </c>
      <c r="I8436" s="38" t="n">
        <f aca="false">Sens!$I$8435+Sens!$I$8432-Sens!$I$8431-Sens!$I$8433+Sens!$I$8434</f>
        <v>34.4548651921577</v>
      </c>
      <c r="J8436" s="38" t="n">
        <f aca="false">Sens!$J$8435+Sens!$J$8432-Sens!$J$8431-Sens!$J$8433+Sens!$J$8434</f>
        <v>74.7544906752831</v>
      </c>
      <c r="K8436" s="38" t="n">
        <f aca="false">Sens!$K$8435+Sens!$K$8432-Sens!$K$8431-Sens!$K$8433+Sens!$K$8434</f>
        <v>196.106403878619</v>
      </c>
      <c r="L8436" s="38" t="n">
        <f aca="false">Sens!$L$8435+Sens!$L$8432-Sens!$L$8431-Sens!$L$8433+Sens!$L$8434</f>
        <v>375.934210518143</v>
      </c>
      <c r="M8436" s="38" t="n">
        <f aca="false">Sens!$M$8435+Sens!$M$8432-Sens!$M$8431-Sens!$M$8433+Sens!$M$8434</f>
        <v>584.600353364743</v>
      </c>
    </row>
    <row r="8437" customFormat="false" ht="17.15" hidden="false" customHeight="false" outlineLevel="0" collapsed="false">
      <c r="A8437" s="5" t="s">
        <v>797</v>
      </c>
      <c r="B8437" s="0" t="s">
        <v>86</v>
      </c>
      <c r="F8437" s="38" t="n">
        <f aca="false">MAX(0,min_cash-Sens!$F$8436)</f>
        <v>0</v>
      </c>
      <c r="G8437" s="38" t="n">
        <f aca="false">Sens!$F$8437</f>
        <v>0</v>
      </c>
      <c r="H8437" s="38" t="n">
        <f aca="false">MAX(0,min_cash-Sens!$H$8436)</f>
        <v>13.7382786551085</v>
      </c>
      <c r="I8437" s="38" t="n">
        <f aca="false">MAX(0,min_cash-Sens!$I$8436)</f>
        <v>15.5451348078424</v>
      </c>
      <c r="J8437" s="38" t="n">
        <f aca="false">MAX(0,min_cash-Sens!$J$8436)</f>
        <v>0</v>
      </c>
      <c r="K8437" s="38" t="n">
        <f aca="false">MAX(0,min_cash-Sens!$K$8436)</f>
        <v>0</v>
      </c>
      <c r="L8437" s="38" t="n">
        <f aca="false">MAX(0,min_cash-Sens!$L$8436)</f>
        <v>0</v>
      </c>
      <c r="M8437" s="38" t="n">
        <f aca="false">MAX(0,min_cash-Sens!$M$8436)</f>
        <v>0</v>
      </c>
      <c r="P8437" s="5" t="s">
        <v>798</v>
      </c>
    </row>
    <row r="8438" customFormat="false" ht="15" hidden="false" customHeight="false" outlineLevel="0" collapsed="false">
      <c r="A8438" s="5" t="s">
        <v>799</v>
      </c>
      <c r="B8438" s="0" t="s">
        <v>86</v>
      </c>
      <c r="D8438" s="38" t="n">
        <f aca="false">Q!$E$61</f>
        <v>123.029</v>
      </c>
      <c r="E8438" s="38" t="n">
        <f aca="false">Q!$M$61</f>
        <v>122.988</v>
      </c>
      <c r="F8438" s="38" t="n">
        <f aca="false">Sens!$F$8436+Sens!$F$8437</f>
        <v>90.2545859883928</v>
      </c>
      <c r="G8438" s="38" t="n">
        <f aca="false">Sens!$F$8438</f>
        <v>90.2545859883928</v>
      </c>
      <c r="H8438" s="38" t="n">
        <f aca="false">Sens!$H$8436+Sens!$H$8437</f>
        <v>50</v>
      </c>
      <c r="I8438" s="38" t="n">
        <f aca="false">Sens!$I$8436+Sens!$I$8437</f>
        <v>50</v>
      </c>
      <c r="J8438" s="38" t="n">
        <f aca="false">Sens!$J$8436+Sens!$J$8437</f>
        <v>74.7544906752831</v>
      </c>
      <c r="K8438" s="38" t="n">
        <f aca="false">Sens!$K$8436+Sens!$K$8437</f>
        <v>196.106403878619</v>
      </c>
      <c r="L8438" s="38" t="n">
        <f aca="false">Sens!$L$8436+Sens!$L$8437</f>
        <v>375.934210518143</v>
      </c>
      <c r="M8438" s="38" t="n">
        <f aca="false">Sens!$M$8436+Sens!$M$8437</f>
        <v>584.600353364743</v>
      </c>
    </row>
    <row r="8439" customFormat="false" ht="15" hidden="false" customHeight="false" outlineLevel="0" collapsed="false">
      <c r="A8439" s="5" t="s">
        <v>800</v>
      </c>
      <c r="B8439" s="0" t="s">
        <v>86</v>
      </c>
      <c r="D8439" s="38" t="n">
        <f aca="false">Q!$E$62</f>
        <v>68.836</v>
      </c>
      <c r="E8439" s="38" t="n">
        <f aca="false">Q!$M$62</f>
        <v>132.995</v>
      </c>
      <c r="F8439" s="38" t="n">
        <f aca="false">debt_q2+Sens!$F$8434+Sens!$F$8437</f>
        <v>162.244999</v>
      </c>
      <c r="G8439" s="38" t="n">
        <f aca="false">Sens!$F$8439</f>
        <v>162.244999</v>
      </c>
      <c r="H8439" s="38" t="n">
        <f aca="false">Sens!$G$8439+Sens!$H$8437</f>
        <v>175.983277655109</v>
      </c>
      <c r="I8439" s="38" t="n">
        <f aca="false">Sens!$H$8439+Sens!$I$8437</f>
        <v>191.528412462951</v>
      </c>
      <c r="J8439" s="38" t="n">
        <f aca="false">Sens!$I$8439+Sens!$J$8437</f>
        <v>191.528412462951</v>
      </c>
      <c r="K8439" s="38" t="n">
        <f aca="false">Sens!$J$8439+Sens!$K$8437</f>
        <v>191.528412462951</v>
      </c>
      <c r="L8439" s="38" t="n">
        <f aca="false">Sens!$K$8439+Sens!$L$8437</f>
        <v>191.528412462951</v>
      </c>
      <c r="M8439" s="38" t="n">
        <f aca="false">Sens!$L$8439+Sens!$M$8437</f>
        <v>191.528412462951</v>
      </c>
    </row>
    <row r="8440" customFormat="false" ht="15" hidden="false" customHeight="false" outlineLevel="0" collapsed="false">
      <c r="A8440" s="5" t="s">
        <v>801</v>
      </c>
      <c r="B8440" s="0" t="s">
        <v>86</v>
      </c>
      <c r="D8440" s="38" t="n">
        <f aca="false">Sens!$D$8439-Sens!$D$8438</f>
        <v>-54.193</v>
      </c>
      <c r="E8440" s="38" t="n">
        <f aca="false">Sens!$E$8439-Sens!$E$8438</f>
        <v>10.007</v>
      </c>
      <c r="F8440" s="38" t="n">
        <f aca="false">Sens!$F$8439-Sens!$F$8438</f>
        <v>71.9904130116072</v>
      </c>
      <c r="G8440" s="38" t="n">
        <f aca="false">Sens!$G$8439-Sens!$G$8438</f>
        <v>71.9904130116072</v>
      </c>
      <c r="H8440" s="38" t="n">
        <f aca="false">Sens!$H$8439-Sens!$H$8438</f>
        <v>125.983277655109</v>
      </c>
      <c r="I8440" s="38" t="n">
        <f aca="false">Sens!$I$8439-Sens!$I$8438</f>
        <v>141.528412462951</v>
      </c>
      <c r="J8440" s="38" t="n">
        <f aca="false">Sens!$J$8439-Sens!$J$8438</f>
        <v>116.773921787668</v>
      </c>
      <c r="K8440" s="38" t="n">
        <f aca="false">Sens!$K$8439-Sens!$K$8438</f>
        <v>-4.57799141566841</v>
      </c>
      <c r="L8440" s="38" t="n">
        <f aca="false">Sens!$L$8439-Sens!$L$8438</f>
        <v>-184.405798055192</v>
      </c>
      <c r="M8440" s="38" t="n">
        <f aca="false">Sens!$M$8439-Sens!$M$8438</f>
        <v>-393.071940901792</v>
      </c>
    </row>
    <row r="8441" customFormat="false" ht="17.15" hidden="false" customHeight="false" outlineLevel="0" collapsed="false">
      <c r="A8441" s="5" t="s">
        <v>802</v>
      </c>
      <c r="B8441" s="0" t="s">
        <v>86</v>
      </c>
      <c r="F8441" s="38" t="n">
        <f aca="false">debt_q2*kd_book*0.5+iss_2h26*kd_new*iss_t</f>
        <v>3.24888962733561</v>
      </c>
      <c r="H8441" s="38" t="n">
        <f aca="false">debt_q2*kd_book+(Sens!$G$8439-debt_q2)*kd_new</f>
        <v>7.42354172302123</v>
      </c>
      <c r="I8441" s="38" t="n">
        <f aca="false">debt_q2*kd_book+(Sens!$H$8439-debt_q2)*kd_new</f>
        <v>8.2931747618896</v>
      </c>
      <c r="J8441" s="38" t="n">
        <f aca="false">debt_q2*kd_book+(Sens!$I$8439-debt_q2)*kd_new</f>
        <v>9.27718179522602</v>
      </c>
      <c r="K8441" s="38" t="n">
        <f aca="false">debt_q2*kd_book+(Sens!$J$8439-debt_q2)*kd_new</f>
        <v>9.27718179522602</v>
      </c>
      <c r="L8441" s="38" t="n">
        <f aca="false">debt_q2*kd_book+(Sens!$K$8439-debt_q2)*kd_new</f>
        <v>9.27718179522602</v>
      </c>
      <c r="M8441" s="38" t="n">
        <f aca="false">debt_q2*kd_book+(Sens!$L$8439-debt_q2)*kd_new</f>
        <v>9.27718179522602</v>
      </c>
    </row>
    <row r="8442" customFormat="false" ht="17.15" hidden="false" customHeight="false" outlineLevel="0" collapsed="false">
      <c r="A8442" s="5" t="s">
        <v>803</v>
      </c>
      <c r="B8442" s="0" t="s">
        <v>86</v>
      </c>
      <c r="F8442" s="38" t="n">
        <f aca="false">cash_q2*y_cash*0.5</f>
        <v>2.59</v>
      </c>
      <c r="H8442" s="38" t="n">
        <f aca="false">Sens!$G$8438*y_cash</f>
        <v>3.80133635330174</v>
      </c>
      <c r="I8442" s="38" t="n">
        <f aca="false">Sens!$H$8438*y_cash</f>
        <v>2.10589651022864</v>
      </c>
      <c r="J8442" s="38" t="n">
        <f aca="false">Sens!$I$8438*y_cash</f>
        <v>2.10589651022864</v>
      </c>
      <c r="K8442" s="38" t="n">
        <f aca="false">Sens!$J$8438*y_cash</f>
        <v>3.14850442073996</v>
      </c>
      <c r="L8442" s="38" t="n">
        <f aca="false">Sens!$K$8438*y_cash</f>
        <v>8.25959583122945</v>
      </c>
      <c r="M8442" s="38" t="n">
        <f aca="false">Sens!$L$8438*y_cash</f>
        <v>15.8335708401143</v>
      </c>
    </row>
    <row r="8443" customFormat="false" ht="17.15" hidden="false" customHeight="false" outlineLevel="0" collapsed="false">
      <c r="A8443" s="47" t="s">
        <v>804</v>
      </c>
      <c r="B8443" s="14" t="s">
        <v>86</v>
      </c>
      <c r="C8443" s="14"/>
      <c r="D8443" s="14"/>
      <c r="E8443" s="14"/>
      <c r="F8443" s="14"/>
      <c r="G8443" s="48" t="n">
        <f aca="false">SUM(Sens!$G$8432:$K$8432)</f>
        <v>10.1939914156684</v>
      </c>
      <c r="H8443" s="14"/>
      <c r="I8443" s="14"/>
      <c r="J8443" s="14"/>
      <c r="K8443" s="14"/>
      <c r="L8443" s="14"/>
      <c r="M8443" s="14"/>
      <c r="N8443" s="14"/>
      <c r="O8443" s="14"/>
    </row>
    <row r="8444" customFormat="false" ht="17.15" hidden="false" customHeight="false" outlineLevel="0" collapsed="false">
      <c r="A8444" s="0" t="s">
        <v>770</v>
      </c>
      <c r="B8444" s="0" t="s">
        <v>86</v>
      </c>
      <c r="G8444" s="38" t="n">
        <f aca="false">SUM(Sens!$G$8437:$K$8437)</f>
        <v>29.2834134629509</v>
      </c>
    </row>
    <row r="8445" customFormat="false" ht="17.15" hidden="false" customHeight="false" outlineLevel="0" collapsed="false">
      <c r="A8445" s="24" t="s">
        <v>807</v>
      </c>
      <c r="B8445" s="25" t="s">
        <v>86</v>
      </c>
      <c r="C8445" s="25"/>
      <c r="D8445" s="25"/>
      <c r="E8445" s="25"/>
      <c r="F8445" s="25"/>
      <c r="G8445" s="41" t="n">
        <f aca="false">Sens!$G$8443-(Sens!$G$8432+Sens!$H$8432+Sens!$I$8432+Sens!$J$8432+Sens!$K$8432)</f>
        <v>0</v>
      </c>
      <c r="H8445" s="25"/>
      <c r="I8445" s="25"/>
      <c r="J8445" s="25"/>
      <c r="K8445" s="25"/>
      <c r="L8445" s="25"/>
      <c r="M8445" s="25"/>
      <c r="N8445" s="25"/>
      <c r="O8445" s="25"/>
    </row>
    <row r="8448" customFormat="false" ht="19.4" hidden="false" customHeight="false" outlineLevel="0" collapsed="false">
      <c r="A8448" s="31" t="s">
        <v>1301</v>
      </c>
    </row>
    <row r="8449" customFormat="false" ht="17.15" hidden="false" customHeight="false" outlineLevel="0" collapsed="false">
      <c r="A8449" s="6" t="s">
        <v>16</v>
      </c>
      <c r="B8449" s="6" t="s">
        <v>17</v>
      </c>
      <c r="C8449" s="20" t="s">
        <v>494</v>
      </c>
      <c r="D8449" s="20" t="s">
        <v>495</v>
      </c>
      <c r="E8449" s="20" t="s">
        <v>577</v>
      </c>
      <c r="F8449" s="20" t="s">
        <v>578</v>
      </c>
      <c r="G8449" s="20" t="s">
        <v>579</v>
      </c>
      <c r="H8449" s="20" t="s">
        <v>580</v>
      </c>
      <c r="I8449" s="20" t="s">
        <v>581</v>
      </c>
      <c r="J8449" s="20" t="s">
        <v>582</v>
      </c>
      <c r="K8449" s="20" t="s">
        <v>583</v>
      </c>
      <c r="L8449" s="20" t="s">
        <v>584</v>
      </c>
      <c r="M8449" s="20" t="s">
        <v>585</v>
      </c>
      <c r="N8449" s="20" t="s">
        <v>586</v>
      </c>
      <c r="O8449" s="20" t="s">
        <v>587</v>
      </c>
      <c r="P8449" s="6" t="s">
        <v>23</v>
      </c>
      <c r="R8449" s="20" t="n">
        <v>2023</v>
      </c>
      <c r="S8449" s="20" t="n">
        <v>2024</v>
      </c>
      <c r="T8449" s="20" t="n">
        <v>2025</v>
      </c>
      <c r="U8449" s="20" t="n">
        <v>2026</v>
      </c>
      <c r="V8449" s="20" t="n">
        <v>2027</v>
      </c>
      <c r="W8449" s="20" t="n">
        <v>2028</v>
      </c>
      <c r="X8449" s="20" t="n">
        <v>2029</v>
      </c>
      <c r="Y8449" s="20" t="n">
        <v>2030</v>
      </c>
      <c r="Z8449" s="20" t="n">
        <v>2031</v>
      </c>
      <c r="AA8449" s="20" t="n">
        <v>2032</v>
      </c>
    </row>
    <row r="8450" customFormat="false" ht="17.15" hidden="false" customHeight="false" outlineLevel="0" collapsed="false">
      <c r="A8450" s="1" t="s">
        <v>909</v>
      </c>
    </row>
    <row r="8451" customFormat="false" ht="17.15" hidden="false" customHeight="false" outlineLevel="0" collapsed="false">
      <c r="A8451" s="0" t="s">
        <v>910</v>
      </c>
      <c r="B8451" s="0" t="s">
        <v>86</v>
      </c>
      <c r="H8451" s="38" t="n">
        <f aca="false">Sens!$H$8385*(1-tax)</f>
        <v>117.433243423729</v>
      </c>
      <c r="I8451" s="38" t="n">
        <f aca="false">Sens!$I$8385*(1-tax)</f>
        <v>142.829109667048</v>
      </c>
      <c r="J8451" s="38" t="n">
        <f aca="false">Sens!$J$8385*(1-tax)</f>
        <v>166.999275189185</v>
      </c>
      <c r="K8451" s="38" t="n">
        <f aca="false">Sens!$K$8385*(1-tax)</f>
        <v>184.249088119477</v>
      </c>
      <c r="L8451" s="38" t="n">
        <f aca="false">Sens!$L$8385*(1-tax)</f>
        <v>199.752821326616</v>
      </c>
      <c r="M8451" s="38" t="n">
        <f aca="false">Sens!$M$8385*(1-tax)</f>
        <v>212.59629763103</v>
      </c>
    </row>
    <row r="8452" customFormat="false" ht="15" hidden="false" customHeight="false" outlineLevel="0" collapsed="false">
      <c r="A8452" s="5" t="s">
        <v>911</v>
      </c>
      <c r="B8452" s="0" t="s">
        <v>86</v>
      </c>
      <c r="H8452" s="38" t="n">
        <f aca="false">Sens!$H$8396</f>
        <v>84.3163410985152</v>
      </c>
      <c r="I8452" s="38" t="n">
        <f aca="false">Sens!$I$8396</f>
        <v>117.040344991004</v>
      </c>
      <c r="J8452" s="38" t="n">
        <f aca="false">Sens!$J$8396</f>
        <v>150.498981474685</v>
      </c>
      <c r="K8452" s="38" t="n">
        <f aca="false">Sens!$K$8396</f>
        <v>184.188121970284</v>
      </c>
      <c r="L8452" s="38" t="n">
        <f aca="false">Sens!$L$8396</f>
        <v>207.768718060808</v>
      </c>
      <c r="M8452" s="38" t="n">
        <f aca="false">Sens!$M$8396</f>
        <v>224.003934647752</v>
      </c>
    </row>
    <row r="8453" customFormat="false" ht="15" hidden="false" customHeight="false" outlineLevel="0" collapsed="false">
      <c r="A8453" s="5" t="s">
        <v>912</v>
      </c>
      <c r="B8453" s="0" t="s">
        <v>86</v>
      </c>
      <c r="H8453" s="38" t="n">
        <f aca="false">Sens!$H$8427</f>
        <v>273.372679834898</v>
      </c>
      <c r="I8453" s="38" t="n">
        <f aca="false">Sens!$I$8427</f>
        <v>286.981812228425</v>
      </c>
      <c r="J8453" s="38" t="n">
        <f aca="false">Sens!$J$8427</f>
        <v>299.316513378366</v>
      </c>
      <c r="K8453" s="38" t="n">
        <f aca="false">Sens!$K$8427</f>
        <v>251.057145512292</v>
      </c>
      <c r="L8453" s="38" t="n">
        <f aca="false">Sens!$L$8427</f>
        <v>234.696330860396</v>
      </c>
      <c r="M8453" s="38" t="n">
        <f aca="false">Sens!$M$8427</f>
        <v>242.291696043352</v>
      </c>
    </row>
    <row r="8454" customFormat="false" ht="15" hidden="false" customHeight="false" outlineLevel="0" collapsed="false">
      <c r="A8454" s="5" t="s">
        <v>913</v>
      </c>
      <c r="B8454" s="0" t="s">
        <v>86</v>
      </c>
      <c r="H8454" s="38" t="n">
        <f aca="false">Sens!$H$8428</f>
        <v>1.6</v>
      </c>
      <c r="I8454" s="38" t="n">
        <f aca="false">Sens!$I$8428</f>
        <v>1.6</v>
      </c>
      <c r="J8454" s="38" t="n">
        <f aca="false">Sens!$J$8428</f>
        <v>1.6</v>
      </c>
      <c r="K8454" s="38" t="n">
        <f aca="false">Sens!$K$8428</f>
        <v>1.6</v>
      </c>
      <c r="L8454" s="38" t="n">
        <f aca="false">Sens!$L$8428</f>
        <v>1.6</v>
      </c>
      <c r="M8454" s="38" t="n">
        <f aca="false">Sens!$M$8428</f>
        <v>1.6</v>
      </c>
    </row>
    <row r="8455" customFormat="false" ht="15" hidden="false" customHeight="false" outlineLevel="0" collapsed="false">
      <c r="A8455" s="5" t="s">
        <v>914</v>
      </c>
      <c r="B8455" s="0" t="s">
        <v>86</v>
      </c>
      <c r="H8455" s="38" t="n">
        <f aca="false">Sens!$H$8422</f>
        <v>11.2928295263397</v>
      </c>
      <c r="I8455" s="38" t="n">
        <f aca="false">Sens!$I$8422</f>
        <v>12.8091546115766</v>
      </c>
      <c r="J8455" s="38" t="n">
        <f aca="false">Sens!$J$8422</f>
        <v>14.2605653162668</v>
      </c>
      <c r="K8455" s="38" t="n">
        <f aca="false">Sens!$K$8422</f>
        <v>15.5327622460396</v>
      </c>
      <c r="L8455" s="38" t="n">
        <f aca="false">Sens!$L$8422</f>
        <v>16.720573737517</v>
      </c>
      <c r="M8455" s="38" t="n">
        <f aca="false">Sens!$M$8422</f>
        <v>17.8283127551536</v>
      </c>
    </row>
    <row r="8456" customFormat="false" ht="17.15" hidden="false" customHeight="false" outlineLevel="0" collapsed="false">
      <c r="A8456" s="1" t="s">
        <v>915</v>
      </c>
      <c r="B8456" s="8" t="s">
        <v>86</v>
      </c>
      <c r="H8456" s="38" t="n">
        <f aca="false">Sens!$H$8451+Sens!$H$8452-Sens!$H$8453-Sens!$H$8454+Sens!$H$8455</f>
        <v>-61.930265786314</v>
      </c>
      <c r="I8456" s="38" t="n">
        <f aca="false">Sens!$I$8451+Sens!$I$8452-Sens!$I$8453-Sens!$I$8454+Sens!$I$8455</f>
        <v>-15.9032029587969</v>
      </c>
      <c r="J8456" s="38" t="n">
        <f aca="false">Sens!$J$8451+Sens!$J$8452-Sens!$J$8453-Sens!$J$8454+Sens!$J$8455</f>
        <v>30.8423086017711</v>
      </c>
      <c r="K8456" s="38" t="n">
        <f aca="false">Sens!$K$8451+Sens!$K$8452-Sens!$K$8453-Sens!$K$8454+Sens!$K$8455</f>
        <v>131.312826823508</v>
      </c>
      <c r="L8456" s="38" t="n">
        <f aca="false">Sens!$L$8451+Sens!$L$8452-Sens!$L$8453-Sens!$L$8454+Sens!$L$8455</f>
        <v>187.945782264545</v>
      </c>
      <c r="M8456" s="38" t="n">
        <f aca="false">Sens!$M$8451+Sens!$M$8452-Sens!$M$8453-Sens!$M$8454+Sens!$M$8455</f>
        <v>210.536848990583</v>
      </c>
    </row>
    <row r="8457" customFormat="false" ht="15" hidden="false" customHeight="false" outlineLevel="0" collapsed="false">
      <c r="A8457" s="5" t="s">
        <v>916</v>
      </c>
      <c r="B8457" s="0" t="s">
        <v>57</v>
      </c>
      <c r="H8457" s="40" t="n">
        <f aca="false">1/(1+(wacc-0.01))^(2027-2026-0.5)</f>
        <v>0.952036717208703</v>
      </c>
      <c r="I8457" s="40" t="n">
        <f aca="false">1/(1+(wacc-0.01))^(2028-2026-0.5)</f>
        <v>0.862901242709724</v>
      </c>
      <c r="J8457" s="40" t="n">
        <f aca="false">1/(1+(wacc-0.01))^(2029-2026-0.5)</f>
        <v>0.782111174086951</v>
      </c>
      <c r="K8457" s="40" t="n">
        <f aca="false">1/(1+(wacc-0.01))^(2030-2026-0.5)</f>
        <v>0.708885163626357</v>
      </c>
      <c r="L8457" s="40" t="n">
        <f aca="false">1/(1+(wacc-0.01))^(2031-2026-0.5)</f>
        <v>0.642515018144594</v>
      </c>
      <c r="M8457" s="40" t="n">
        <f aca="false">1/(1+(wacc-0.01))^(2032-2026-0.5)</f>
        <v>0.582358849816389</v>
      </c>
    </row>
    <row r="8458" customFormat="false" ht="15" hidden="false" customHeight="false" outlineLevel="0" collapsed="false">
      <c r="A8458" s="5" t="s">
        <v>917</v>
      </c>
      <c r="B8458" s="0" t="s">
        <v>86</v>
      </c>
      <c r="H8458" s="38" t="n">
        <f aca="false">Sens!$H$8456*Sens!$H$8457</f>
        <v>-58.9598869350648</v>
      </c>
      <c r="I8458" s="38" t="n">
        <f aca="false">Sens!$I$8456*Sens!$I$8457</f>
        <v>-13.7228935962108</v>
      </c>
      <c r="J8458" s="38" t="n">
        <f aca="false">Sens!$J$8456*Sens!$J$8457</f>
        <v>24.1221141920833</v>
      </c>
      <c r="K8458" s="38" t="n">
        <f aca="false">Sens!$K$8456*Sens!$K$8457</f>
        <v>93.0857147290217</v>
      </c>
      <c r="L8458" s="38" t="n">
        <f aca="false">Sens!$L$8456*Sens!$L$8457</f>
        <v>120.757987701904</v>
      </c>
      <c r="M8458" s="38" t="n">
        <f aca="false">Sens!$M$8456*Sens!$M$8457</f>
        <v>122.607997222123</v>
      </c>
    </row>
    <row r="8459" customFormat="false" ht="15" hidden="false" customHeight="false" outlineLevel="0" collapsed="false">
      <c r="A8459" s="5" t="s">
        <v>918</v>
      </c>
      <c r="B8459" s="0" t="s">
        <v>86</v>
      </c>
      <c r="C8459" s="38" t="n">
        <f aca="false">SUM(Sens!$H$8458:$M$8458)</f>
        <v>287.891033313856</v>
      </c>
    </row>
    <row r="8460" customFormat="false" ht="17.15" hidden="false" customHeight="false" outlineLevel="0" collapsed="false">
      <c r="A8460" s="5" t="s">
        <v>919</v>
      </c>
      <c r="B8460" s="0" t="s">
        <v>86</v>
      </c>
      <c r="C8460" s="38" t="n">
        <f aca="false">Sens!$M$8451*(1+tg)*(1-tg/ronic)/((wacc-0.01)-tg)</f>
        <v>2196.42182591402</v>
      </c>
    </row>
    <row r="8461" customFormat="false" ht="15" hidden="false" customHeight="false" outlineLevel="0" collapsed="false">
      <c r="A8461" s="5" t="s">
        <v>920</v>
      </c>
      <c r="B8461" s="0" t="s">
        <v>86</v>
      </c>
      <c r="C8461" s="38" t="n">
        <f aca="false">Sens!$C$8460/(1+(wacc-0.01))^6</f>
        <v>1217.75558040536</v>
      </c>
    </row>
    <row r="8462" customFormat="false" ht="17.15" hidden="false" customHeight="false" outlineLevel="0" collapsed="false">
      <c r="A8462" s="5" t="s">
        <v>921</v>
      </c>
      <c r="B8462" s="0" t="s">
        <v>86</v>
      </c>
      <c r="C8462" s="38" t="n">
        <f aca="false">Sens!$C$8459+Sens!$C$8461</f>
        <v>1505.64661371922</v>
      </c>
    </row>
    <row r="8463" customFormat="false" ht="17.15" hidden="false" customHeight="false" outlineLevel="0" collapsed="false">
      <c r="A8463" s="5" t="s">
        <v>922</v>
      </c>
      <c r="B8463" s="0" t="s">
        <v>52</v>
      </c>
      <c r="C8463" s="13" t="n">
        <f aca="false">Sens!$C$8461/Sens!$C$8462</f>
        <v>0.808792427990315</v>
      </c>
    </row>
    <row r="8464" customFormat="false" ht="17.15" hidden="false" customHeight="false" outlineLevel="0" collapsed="false">
      <c r="A8464" s="5" t="s">
        <v>923</v>
      </c>
      <c r="B8464" s="0" t="s">
        <v>86</v>
      </c>
      <c r="C8464" s="38" t="n">
        <f aca="false">Sens!$G$8440+fin_debt</f>
        <v>96.5114130116072</v>
      </c>
    </row>
    <row r="8465" customFormat="false" ht="17.15" hidden="false" customHeight="false" outlineLevel="0" collapsed="false">
      <c r="A8465" s="5" t="s">
        <v>924</v>
      </c>
      <c r="B8465" s="0" t="s">
        <v>86</v>
      </c>
      <c r="C8465" s="38" t="n">
        <f aca="false">(ant_val*ant_sh+oai_val*oai_sh)*(1-liq_disc)</f>
        <v>178.944</v>
      </c>
    </row>
    <row r="8466" customFormat="false" ht="15" hidden="false" customHeight="false" outlineLevel="0" collapsed="false">
      <c r="A8466" s="5" t="s">
        <v>925</v>
      </c>
      <c r="B8466" s="0" t="s">
        <v>86</v>
      </c>
      <c r="C8466" s="38" t="n">
        <f aca="false">Sens!$C$8462-Sens!$C$8464+Sens!$C$8465</f>
        <v>1588.07920070761</v>
      </c>
    </row>
    <row r="8467" customFormat="false" ht="17.15" hidden="false" customHeight="false" outlineLevel="0" collapsed="false">
      <c r="A8467" s="5" t="s">
        <v>926</v>
      </c>
      <c r="B8467" s="0" t="s">
        <v>27</v>
      </c>
      <c r="C8467" s="30" t="n">
        <f aca="false">Sens!$C$8466/sh_out</f>
        <v>147.23094476089</v>
      </c>
    </row>
    <row r="8468" customFormat="false" ht="17.15" hidden="false" customHeight="false" outlineLevel="0" collapsed="false">
      <c r="A8468" s="1" t="s">
        <v>927</v>
      </c>
      <c r="B8468" s="8" t="s">
        <v>27</v>
      </c>
      <c r="C8468" s="30" t="n">
        <f aca="false">Sens!$C$8467*(1+ke)^tp_yf-dps*tp_yf</f>
        <v>161.272190128107</v>
      </c>
    </row>
    <row r="8469" customFormat="false" ht="17.15" hidden="false" customHeight="false" outlineLevel="0" collapsed="false">
      <c r="A8469" s="3" t="s">
        <v>928</v>
      </c>
    </row>
    <row r="8470" customFormat="false" ht="17.15" hidden="false" customHeight="false" outlineLevel="0" collapsed="false">
      <c r="A8470" s="5" t="s">
        <v>929</v>
      </c>
      <c r="B8470" s="0" t="s">
        <v>86</v>
      </c>
      <c r="C8470" s="38" t="n">
        <f aca="false">(1-tp_yf)*(Sens!$H$8397+Sens!$H$8421*Sens!$H$8263/Sens!$H$8338)+tp_yf*(Sens!$I$8397+Sens!$I$8421*Sens!$I$8263/Sens!$I$8338)</f>
        <v>59.634664536349</v>
      </c>
    </row>
    <row r="8471" customFormat="false" ht="15" hidden="false" customHeight="false" outlineLevel="0" collapsed="false">
      <c r="A8471" s="5" t="s">
        <v>930</v>
      </c>
      <c r="B8471" s="0" t="s">
        <v>57</v>
      </c>
      <c r="C8471" s="30" t="n">
        <f aca="false">m_ads*m_x</f>
        <v>9.11</v>
      </c>
    </row>
    <row r="8472" customFormat="false" ht="17.15" hidden="false" customHeight="false" outlineLevel="0" collapsed="false">
      <c r="A8472" s="5" t="s">
        <v>931</v>
      </c>
      <c r="B8472" s="0" t="s">
        <v>86</v>
      </c>
      <c r="C8472" s="38" t="n">
        <f aca="false">Sens!$C$8470*Sens!$C$8471</f>
        <v>543.271793926139</v>
      </c>
    </row>
    <row r="8473" customFormat="false" ht="17.15" hidden="false" customHeight="false" outlineLevel="0" collapsed="false">
      <c r="A8473" s="5" t="s">
        <v>932</v>
      </c>
      <c r="B8473" s="0" t="s">
        <v>86</v>
      </c>
      <c r="C8473" s="38" t="n">
        <f aca="false">(1-tp_yf)*(Sens!$H$8398+Sens!$H$8421*(Sens!$H$8270-Sens!$H$8263)/Sens!$H$8338+IF(internal_ai_reading=2,1,0)*(1-ext_sh)*Sens!$H$8300)+tp_yf*(Sens!$I$8398+Sens!$I$8421*(Sens!$I$8270-Sens!$I$8263)/Sens!$I$8338+IF(internal_ai_reading=2,1,0)*(1-ext_sh)*Sens!$I$8300)</f>
        <v>51.7770728324773</v>
      </c>
    </row>
    <row r="8474" customFormat="false" ht="17.15" hidden="false" customHeight="false" outlineLevel="0" collapsed="false">
      <c r="A8474" s="5" t="s">
        <v>933</v>
      </c>
      <c r="B8474" s="0" t="s">
        <v>57</v>
      </c>
      <c r="C8474" s="30" t="n">
        <f aca="false">m_retail*m_x</f>
        <v>17.72</v>
      </c>
    </row>
    <row r="8475" customFormat="false" ht="17.15" hidden="false" customHeight="false" outlineLevel="0" collapsed="false">
      <c r="A8475" s="5" t="s">
        <v>934</v>
      </c>
      <c r="B8475" s="0" t="s">
        <v>86</v>
      </c>
      <c r="C8475" s="38" t="n">
        <f aca="false">Sens!$C$8473*Sens!$C$8474</f>
        <v>917.489730591498</v>
      </c>
    </row>
    <row r="8476" customFormat="false" ht="17.15" hidden="false" customHeight="false" outlineLevel="0" collapsed="false">
      <c r="A8476" s="0" t="s">
        <v>935</v>
      </c>
      <c r="B8476" s="0" t="s">
        <v>86</v>
      </c>
      <c r="C8476" s="38" t="n">
        <f aca="false">(1-tp_yf)*(Sens!$H$8399+Sens!$H$8421*Sens!$H$8336/Sens!$H$8338)+tp_yf*(Sens!$I$8399+Sens!$I$8421*Sens!$I$8336/Sens!$I$8338)</f>
        <v>97.3363031479074</v>
      </c>
    </row>
    <row r="8477" customFormat="false" ht="17.15" hidden="false" customHeight="false" outlineLevel="0" collapsed="false">
      <c r="A8477" s="0" t="s">
        <v>936</v>
      </c>
      <c r="B8477" s="0" t="s">
        <v>57</v>
      </c>
      <c r="C8477" s="30" t="n">
        <f aca="false">m_cloud*m_x</f>
        <v>13.82</v>
      </c>
    </row>
    <row r="8478" customFormat="false" ht="17.15" hidden="false" customHeight="false" outlineLevel="0" collapsed="false">
      <c r="A8478" s="0" t="s">
        <v>937</v>
      </c>
      <c r="B8478" s="0" t="s">
        <v>86</v>
      </c>
      <c r="C8478" s="38" t="n">
        <f aca="false">Sens!$C$8476*Sens!$C$8477</f>
        <v>1345.18770950408</v>
      </c>
    </row>
    <row r="8479" customFormat="false" ht="17.15" hidden="false" customHeight="false" outlineLevel="0" collapsed="false">
      <c r="A8479" s="0" t="s">
        <v>938</v>
      </c>
      <c r="B8479" s="0" t="s">
        <v>86</v>
      </c>
      <c r="H8479" s="38" t="n">
        <f aca="false">Sens!$H$8317-tax*Sens!$H$8318-ext_sh*Sens!$H$8307</f>
        <v>-114.686944664267</v>
      </c>
      <c r="I8479" s="38" t="n">
        <f aca="false">Sens!$I$8317-tax*Sens!$I$8318-ext_sh*Sens!$I$8307</f>
        <v>-88.3950641557111</v>
      </c>
      <c r="J8479" s="38" t="n">
        <f aca="false">Sens!$J$8317-tax*Sens!$J$8318-ext_sh*Sens!$J$8307</f>
        <v>-61.1526151740695</v>
      </c>
      <c r="K8479" s="38" t="n">
        <f aca="false">Sens!$K$8317-tax*Sens!$K$8318-ext_sh*Sens!$K$8307</f>
        <v>10.057774712684</v>
      </c>
      <c r="L8479" s="38" t="n">
        <f aca="false">Sens!$L$8317-tax*Sens!$L$8318-ext_sh*Sens!$L$8307</f>
        <v>46.6587675560356</v>
      </c>
      <c r="M8479" s="38" t="n">
        <f aca="false">Sens!$M$8317-tax*Sens!$M$8318-ext_sh*Sens!$M$8307</f>
        <v>55.3915455321129</v>
      </c>
    </row>
    <row r="8480" customFormat="false" ht="17.15" hidden="false" customHeight="false" outlineLevel="0" collapsed="false">
      <c r="A8480" s="5" t="s">
        <v>939</v>
      </c>
      <c r="B8480" s="0" t="s">
        <v>86</v>
      </c>
      <c r="H8480" s="38" t="n">
        <f aca="false">Sens!$H$8479*Sens!$H$8457</f>
        <v>-109.186182304865</v>
      </c>
      <c r="I8480" s="38" t="n">
        <f aca="false">Sens!$I$8479*Sens!$I$8457</f>
        <v>-76.2762107093688</v>
      </c>
      <c r="J8480" s="38" t="n">
        <f aca="false">Sens!$J$8479*Sens!$J$8457</f>
        <v>-47.828143652279</v>
      </c>
      <c r="K8480" s="38" t="n">
        <f aca="false">Sens!$K$8479*Sens!$K$8457</f>
        <v>7.12980727291801</v>
      </c>
      <c r="L8480" s="38" t="n">
        <f aca="false">Sens!$L$8479*Sens!$L$8457</f>
        <v>29.9789588828706</v>
      </c>
      <c r="M8480" s="38" t="n">
        <f aca="false">Sens!$M$8479*Sens!$M$8457</f>
        <v>32.2577567456334</v>
      </c>
    </row>
    <row r="8481" customFormat="false" ht="17.15" hidden="false" customHeight="false" outlineLevel="0" collapsed="false">
      <c r="A8481" s="5" t="s">
        <v>940</v>
      </c>
      <c r="B8481" s="0" t="s">
        <v>86</v>
      </c>
      <c r="C8481" s="38" t="n">
        <f aca="false">Sens!$M$8318*(1-tax)*(1+tg)*(1-tg/ronic)/((wacc-0.01)-tg)</f>
        <v>413.230864052359</v>
      </c>
    </row>
    <row r="8482" customFormat="false" ht="17.15" hidden="false" customHeight="false" outlineLevel="0" collapsed="false">
      <c r="A8482" s="0" t="s">
        <v>941</v>
      </c>
      <c r="B8482" s="0" t="s">
        <v>86</v>
      </c>
      <c r="C8482" s="38" t="n">
        <f aca="false">(SUM(Sens!$H$8480:$M$8480)+Sens!$C$8481/(1+(wacc-0.01))^6)*(1+(wacc-0.01))^tp_yf</f>
        <v>70.667502486622</v>
      </c>
    </row>
    <row r="8483" customFormat="false" ht="17.15" hidden="false" customHeight="false" outlineLevel="0" collapsed="false">
      <c r="A8483" s="5" t="s">
        <v>942</v>
      </c>
      <c r="B8483" s="0" t="s">
        <v>86</v>
      </c>
      <c r="C8483" s="38" t="n">
        <f aca="false">(1-tp_yf)*(Sens!$H$8400)+tp_yf*(Sens!$I$8400)</f>
        <v>74.6707041238437</v>
      </c>
    </row>
    <row r="8484" customFormat="false" ht="17.15" hidden="false" customHeight="false" outlineLevel="0" collapsed="false">
      <c r="A8484" s="5" t="s">
        <v>943</v>
      </c>
      <c r="B8484" s="0" t="s">
        <v>86</v>
      </c>
      <c r="C8484" s="38" t="n">
        <f aca="false">Sens!$C$8483*m_ai</f>
        <v>448.024224743062</v>
      </c>
    </row>
    <row r="8485" customFormat="false" ht="17.15" hidden="false" customHeight="false" outlineLevel="0" collapsed="false">
      <c r="A8485" s="0" t="s">
        <v>944</v>
      </c>
      <c r="B8485" s="0" t="s">
        <v>86</v>
      </c>
      <c r="C8485" s="38" t="n">
        <f aca="false">IF(ai_leg=1,Sens!$C$8482,Sens!$C$8484)</f>
        <v>70.667502486622</v>
      </c>
    </row>
    <row r="8486" customFormat="false" ht="17.15" hidden="false" customHeight="false" outlineLevel="0" collapsed="false">
      <c r="A8486" s="5" t="s">
        <v>945</v>
      </c>
      <c r="B8486" s="0" t="s">
        <v>86</v>
      </c>
      <c r="C8486" s="38" t="n">
        <f aca="false">Sens!$C$8472+Sens!$C$8475+Sens!$C$8478+Sens!$C$8485</f>
        <v>2876.61673650834</v>
      </c>
    </row>
    <row r="8487" customFormat="false" ht="17.15" hidden="false" customHeight="false" outlineLevel="0" collapsed="false">
      <c r="A8487" s="5" t="s">
        <v>946</v>
      </c>
      <c r="B8487" s="0" t="s">
        <v>86</v>
      </c>
      <c r="C8487" s="38" t="n">
        <f aca="false">Sens!$H$8440+fin_debt</f>
        <v>150.504277655109</v>
      </c>
    </row>
    <row r="8488" customFormat="false" ht="15" hidden="false" customHeight="false" outlineLevel="0" collapsed="false">
      <c r="A8488" s="5" t="s">
        <v>947</v>
      </c>
      <c r="B8488" s="0" t="s">
        <v>86</v>
      </c>
      <c r="C8488" s="38" t="n">
        <f aca="false">Sens!$C$8486-Sens!$C$8487+Sens!$C$8465</f>
        <v>2905.05645885323</v>
      </c>
    </row>
    <row r="8489" customFormat="false" ht="15" hidden="false" customHeight="false" outlineLevel="0" collapsed="false">
      <c r="A8489" s="3" t="s">
        <v>948</v>
      </c>
      <c r="B8489" s="8" t="s">
        <v>27</v>
      </c>
      <c r="C8489" s="30" t="n">
        <f aca="false">Sens!$C$8488/sh_val</f>
        <v>263.370241214641</v>
      </c>
    </row>
    <row r="8490" customFormat="false" ht="17.15" hidden="false" customHeight="false" outlineLevel="0" collapsed="false">
      <c r="A8490" s="47" t="s">
        <v>949</v>
      </c>
      <c r="B8490" s="14" t="s">
        <v>27</v>
      </c>
      <c r="C8490" s="44" t="n">
        <f aca="false">w_dcf*Sens!$C$8468+(1-w_dcf)*Sens!$C$8489</f>
        <v>212.321215671374</v>
      </c>
      <c r="D8490" s="14"/>
      <c r="E8490" s="14"/>
      <c r="F8490" s="14"/>
      <c r="G8490" s="14"/>
      <c r="H8490" s="14"/>
      <c r="I8490" s="14"/>
      <c r="J8490" s="14"/>
      <c r="K8490" s="14"/>
      <c r="L8490" s="14"/>
      <c r="M8490" s="14"/>
      <c r="N8490" s="14"/>
      <c r="O8490" s="14"/>
    </row>
    <row r="8491" customFormat="false" ht="17.15" hidden="false" customHeight="false" outlineLevel="0" collapsed="false">
      <c r="A8491" s="5" t="s">
        <v>950</v>
      </c>
      <c r="B8491" s="0" t="s">
        <v>27</v>
      </c>
      <c r="C8491" s="30" t="n">
        <f aca="false">v022_wdcf*Sens!$C$8468+(1-v022_wdcf)*Sens!$C$8489</f>
        <v>217.426118225701</v>
      </c>
    </row>
    <row r="8492" customFormat="false" ht="17.15" hidden="false" customHeight="false" outlineLevel="0" collapsed="false">
      <c r="A8492" s="5" t="s">
        <v>951</v>
      </c>
      <c r="B8492" s="0" t="s">
        <v>27</v>
      </c>
      <c r="C8492" s="30" t="n">
        <f aca="false">(Sens!$C$8488-Sens!$C$8485+Sens!$C$8484)/sh_val</f>
        <v>297.581118824874</v>
      </c>
    </row>
    <row r="8495" customFormat="false" ht="19.4" hidden="false" customHeight="false" outlineLevel="0" collapsed="false">
      <c r="A8495" s="31" t="s">
        <v>1302</v>
      </c>
    </row>
    <row r="8496" customFormat="false" ht="17.15" hidden="false" customHeight="false" outlineLevel="0" collapsed="false">
      <c r="A8496" s="6" t="s">
        <v>16</v>
      </c>
      <c r="B8496" s="6" t="s">
        <v>17</v>
      </c>
      <c r="C8496" s="20" t="s">
        <v>494</v>
      </c>
      <c r="D8496" s="20" t="s">
        <v>495</v>
      </c>
      <c r="E8496" s="20" t="s">
        <v>577</v>
      </c>
      <c r="F8496" s="20" t="s">
        <v>578</v>
      </c>
      <c r="G8496" s="20" t="s">
        <v>579</v>
      </c>
      <c r="H8496" s="20" t="s">
        <v>580</v>
      </c>
      <c r="I8496" s="20" t="s">
        <v>581</v>
      </c>
      <c r="J8496" s="20" t="s">
        <v>582</v>
      </c>
      <c r="K8496" s="20" t="s">
        <v>583</v>
      </c>
      <c r="L8496" s="20" t="s">
        <v>584</v>
      </c>
      <c r="M8496" s="20" t="s">
        <v>585</v>
      </c>
      <c r="N8496" s="20" t="s">
        <v>586</v>
      </c>
      <c r="O8496" s="20" t="s">
        <v>587</v>
      </c>
      <c r="P8496" s="6" t="s">
        <v>23</v>
      </c>
      <c r="R8496" s="20" t="n">
        <v>2023</v>
      </c>
      <c r="S8496" s="20" t="n">
        <v>2024</v>
      </c>
      <c r="T8496" s="20" t="n">
        <v>2025</v>
      </c>
      <c r="U8496" s="20" t="n">
        <v>2026</v>
      </c>
      <c r="V8496" s="20" t="n">
        <v>2027</v>
      </c>
      <c r="W8496" s="20" t="n">
        <v>2028</v>
      </c>
      <c r="X8496" s="20" t="n">
        <v>2029</v>
      </c>
      <c r="Y8496" s="20" t="n">
        <v>2030</v>
      </c>
      <c r="Z8496" s="20" t="n">
        <v>2031</v>
      </c>
      <c r="AA8496" s="20" t="n">
        <v>2032</v>
      </c>
    </row>
    <row r="8497" customFormat="false" ht="17.15" hidden="false" customHeight="false" outlineLevel="0" collapsed="false">
      <c r="A8497" s="1" t="s">
        <v>660</v>
      </c>
    </row>
    <row r="8498" customFormat="false" ht="17.15" hidden="false" customHeight="false" outlineLevel="0" collapsed="false">
      <c r="A8498" s="0" t="s">
        <v>516</v>
      </c>
      <c r="B8498" s="0" t="s">
        <v>86</v>
      </c>
      <c r="C8498" s="38" t="n">
        <f aca="false">Q!$D$10</f>
        <v>247.029</v>
      </c>
      <c r="D8498" s="38" t="n">
        <f aca="false">Q!$E$10</f>
        <v>269.287</v>
      </c>
      <c r="E8498" s="38" t="n">
        <f aca="false">Q!$P$10</f>
        <v>134.686</v>
      </c>
      <c r="F8498" s="38" t="n">
        <f aca="false">Sens!$O$8498*(1+Sens!$F$8499)*Sens!$F$8510</f>
        <v>158.293876822267</v>
      </c>
      <c r="G8498" s="38" t="n">
        <f aca="false">Sens!$E$8498+Sens!$F$8498</f>
        <v>292.979876822267</v>
      </c>
      <c r="H8498" s="38" t="n">
        <f aca="false">Sens!$G$8498*(1+Sens!$H$8499)</f>
        <v>318.184543087396</v>
      </c>
      <c r="I8498" s="38" t="n">
        <f aca="false">Sens!$H$8498*(1+Sens!$I$8499)</f>
        <v>341.736278761793</v>
      </c>
      <c r="J8498" s="38" t="n">
        <f aca="false">Sens!$I$8498*(1+Sens!$J$8499)</f>
        <v>362.927192787048</v>
      </c>
      <c r="K8498" s="38" t="n">
        <f aca="false">Sens!$J$8498*(1+Sens!$K$8499)</f>
        <v>381.0735524264</v>
      </c>
      <c r="L8498" s="38" t="n">
        <f aca="false">Sens!$K$8498*(1+Sens!$L$8499)</f>
        <v>400.12723004772</v>
      </c>
      <c r="M8498" s="38" t="n">
        <f aca="false">Sens!$L$8498*(1+Sens!$M$8499)</f>
        <v>420.133591550106</v>
      </c>
      <c r="N8498" s="38" t="n">
        <f aca="false">Q!$N$10</f>
        <v>118.892</v>
      </c>
      <c r="O8498" s="38" t="n">
        <f aca="false">Q!$O$10</f>
        <v>150.395</v>
      </c>
      <c r="P8498" s="8" t="s">
        <v>661</v>
      </c>
    </row>
    <row r="8499" customFormat="false" ht="17.15" hidden="false" customHeight="false" outlineLevel="0" collapsed="false">
      <c r="A8499" s="0" t="s">
        <v>662</v>
      </c>
      <c r="B8499" s="0" t="s">
        <v>52</v>
      </c>
      <c r="E8499" s="13" t="n">
        <f aca="false">Sens!$E$8498/Sens!$N$8498-1</f>
        <v>0.132843252699929</v>
      </c>
      <c r="F8499" s="13" t="n">
        <f aca="false">Sens!$O$8498/(Q!$F$10+Q!$G$10)-1</f>
        <v>0.0980382135842941</v>
      </c>
      <c r="G8499" s="13" t="n">
        <f aca="false">Sens!$G$8498/Sens!$D$8498-1</f>
        <v>0.0879837378791657</v>
      </c>
      <c r="H8499" s="13" t="n">
        <f aca="false">Sens!$F$8499+(g_os-Sens!$F$8499)*1/4</f>
        <v>0.0860286601882206</v>
      </c>
      <c r="I8499" s="13" t="n">
        <f aca="false">Sens!$F$8499+(g_os-Sens!$F$8499)*2/4</f>
        <v>0.074019106792147</v>
      </c>
      <c r="J8499" s="13" t="n">
        <f aca="false">Sens!$F$8499+(g_os-Sens!$F$8499)*3/4</f>
        <v>0.0620095533960735</v>
      </c>
      <c r="K8499" s="13" t="n">
        <f aca="false">Sens!$F$8499+(g_os-Sens!$F$8499)*4/4</f>
        <v>0.05</v>
      </c>
      <c r="L8499" s="13" t="n">
        <f aca="false">g_os</f>
        <v>0.05</v>
      </c>
      <c r="M8499" s="13" t="n">
        <f aca="false">g_os</f>
        <v>0.05</v>
      </c>
      <c r="P8499" s="8" t="s">
        <v>663</v>
      </c>
    </row>
    <row r="8500" customFormat="false" ht="17.15" hidden="false" customHeight="false" outlineLevel="0" collapsed="false">
      <c r="A8500" s="0" t="s">
        <v>517</v>
      </c>
      <c r="B8500" s="0" t="s">
        <v>86</v>
      </c>
      <c r="C8500" s="38" t="n">
        <f aca="false">Q!$D$11</f>
        <v>21.215</v>
      </c>
      <c r="D8500" s="38" t="n">
        <f aca="false">Q!$E$11</f>
        <v>22.561</v>
      </c>
      <c r="E8500" s="38" t="n">
        <f aca="false">Q!$P$11</f>
        <v>11.579</v>
      </c>
      <c r="F8500" s="38" t="n">
        <f aca="false">Sens!$O$8500*(1+Sens!$F$8501)*Sens!$F$8510</f>
        <v>11.5938724610325</v>
      </c>
      <c r="G8500" s="38" t="n">
        <f aca="false">Sens!$E$8500+Sens!$F$8500</f>
        <v>23.1728724610325</v>
      </c>
      <c r="H8500" s="38" t="n">
        <f aca="false">Sens!$G$8500*(1+Sens!$H$8501)</f>
        <v>24.353392759506</v>
      </c>
      <c r="I8500" s="38" t="n">
        <f aca="false">Sens!$H$8500*(1+Sens!$I$8501)</f>
        <v>25.4240338872015</v>
      </c>
      <c r="J8500" s="38" t="n">
        <f aca="false">Sens!$I$8500*(1+Sens!$J$8501)</f>
        <v>26.3642491017174</v>
      </c>
      <c r="K8500" s="38" t="n">
        <f aca="false">Sens!$J$8500*(1+Sens!$K$8501)</f>
        <v>27.155176574769</v>
      </c>
      <c r="L8500" s="38" t="n">
        <f aca="false">Sens!$K$8500*(1+Sens!$L$8501)</f>
        <v>27.969831872012</v>
      </c>
      <c r="M8500" s="38" t="n">
        <f aca="false">Sens!$L$8500*(1+Sens!$M$8501)</f>
        <v>28.8089268281724</v>
      </c>
      <c r="N8500" s="38" t="n">
        <f aca="false">Q!$N$11</f>
        <v>11.128</v>
      </c>
      <c r="O8500" s="38" t="n">
        <f aca="false">Q!$O$11</f>
        <v>11.433</v>
      </c>
      <c r="P8500" s="8" t="s">
        <v>661</v>
      </c>
    </row>
    <row r="8501" customFormat="false" ht="17.15" hidden="false" customHeight="false" outlineLevel="0" collapsed="false">
      <c r="A8501" s="0" t="s">
        <v>664</v>
      </c>
      <c r="B8501" s="0" t="s">
        <v>52</v>
      </c>
      <c r="E8501" s="13" t="n">
        <f aca="false">Sens!$E$8500/Sens!$N$8500-1</f>
        <v>0.0405283968368082</v>
      </c>
      <c r="F8501" s="13" t="n">
        <f aca="false">Sens!$O$8500/(Q!$F$11+Q!$G$11)-1</f>
        <v>0.0579254187100955</v>
      </c>
      <c r="G8501" s="13" t="n">
        <f aca="false">Sens!$G$8500/Sens!$D$8500-1</f>
        <v>0.0271208040881397</v>
      </c>
      <c r="H8501" s="13" t="n">
        <f aca="false">Sens!$F$8501+(g_ps-Sens!$F$8501)*1/4</f>
        <v>0.0509440640325716</v>
      </c>
      <c r="I8501" s="13" t="n">
        <f aca="false">Sens!$F$8501+(g_ps-Sens!$F$8501)*2/4</f>
        <v>0.0439627093550477</v>
      </c>
      <c r="J8501" s="13" t="n">
        <f aca="false">Sens!$F$8501+(g_ps-Sens!$F$8501)*3/4</f>
        <v>0.0369813546775239</v>
      </c>
      <c r="K8501" s="13" t="n">
        <f aca="false">Sens!$F$8501+(g_ps-Sens!$F$8501)*4/4</f>
        <v>0.03</v>
      </c>
      <c r="L8501" s="13" t="n">
        <f aca="false">g_ps</f>
        <v>0.03</v>
      </c>
      <c r="M8501" s="13" t="n">
        <f aca="false">g_ps</f>
        <v>0.03</v>
      </c>
      <c r="P8501" s="8" t="s">
        <v>665</v>
      </c>
    </row>
    <row r="8502" customFormat="false" ht="17.15" hidden="false" customHeight="false" outlineLevel="0" collapsed="false">
      <c r="A8502" s="0" t="s">
        <v>518</v>
      </c>
      <c r="B8502" s="0" t="s">
        <v>86</v>
      </c>
      <c r="C8502" s="38" t="n">
        <f aca="false">Q!$D$12</f>
        <v>156.146</v>
      </c>
      <c r="D8502" s="38" t="n">
        <f aca="false">Q!$E$12</f>
        <v>172.162</v>
      </c>
      <c r="E8502" s="38" t="n">
        <f aca="false">Q!$P$12</f>
        <v>88.358</v>
      </c>
      <c r="F8502" s="38" t="n">
        <f aca="false">Sens!$O$8502*(1+Sens!$F$8503)*Sens!$F$8510</f>
        <v>102.004388260171</v>
      </c>
      <c r="G8502" s="38" t="n">
        <f aca="false">Sens!$E$8502+Sens!$F$8502</f>
        <v>190.362388260171</v>
      </c>
      <c r="H8502" s="38" t="n">
        <f aca="false">Sens!$G$8502*(1+Sens!$H$8503)</f>
        <v>210.343106588311</v>
      </c>
      <c r="I8502" s="38" t="n">
        <f aca="false">Sens!$H$8502*(1+Sens!$I$8503)</f>
        <v>229.969728494648</v>
      </c>
      <c r="J8502" s="38" t="n">
        <f aca="false">Sens!$I$8502*(1+Sens!$J$8503)</f>
        <v>248.747636972598</v>
      </c>
      <c r="K8502" s="38" t="n">
        <f aca="false">Sens!$J$8502*(1+Sens!$K$8503)</f>
        <v>266.15997156068</v>
      </c>
      <c r="L8502" s="38" t="n">
        <f aca="false">Sens!$K$8502*(1+Sens!$L$8503)</f>
        <v>284.791169569927</v>
      </c>
      <c r="M8502" s="38" t="n">
        <f aca="false">Sens!$L$8502*(1+Sens!$M$8503)</f>
        <v>304.726551439822</v>
      </c>
      <c r="N8502" s="38" t="n">
        <f aca="false">Q!$N$12</f>
        <v>76.86</v>
      </c>
      <c r="O8502" s="38" t="n">
        <f aca="false">Q!$O$12</f>
        <v>95.302</v>
      </c>
      <c r="P8502" s="8" t="s">
        <v>661</v>
      </c>
    </row>
    <row r="8503" customFormat="false" ht="17.15" hidden="false" customHeight="false" outlineLevel="0" collapsed="false">
      <c r="A8503" s="0" t="s">
        <v>666</v>
      </c>
      <c r="B8503" s="0" t="s">
        <v>52</v>
      </c>
      <c r="E8503" s="13" t="n">
        <f aca="false">Sens!$E$8502/Sens!$N$8502-1</f>
        <v>0.1495966692688</v>
      </c>
      <c r="F8503" s="13" t="n">
        <f aca="false">Sens!$O$8502/(Q!$F$12+Q!$G$12)-1</f>
        <v>0.11661530890813</v>
      </c>
      <c r="G8503" s="13" t="n">
        <f aca="false">Sens!$G$8502/Sens!$D$8502-1</f>
        <v>0.105716640490767</v>
      </c>
      <c r="H8503" s="13" t="n">
        <f aca="false">Sens!$F$8503+(g_sp-Sens!$F$8503)*1/4</f>
        <v>0.104961481681098</v>
      </c>
      <c r="I8503" s="13" t="n">
        <f aca="false">Sens!$F$8503+(g_sp-Sens!$F$8503)*2/4</f>
        <v>0.0933076544540651</v>
      </c>
      <c r="J8503" s="13" t="n">
        <f aca="false">Sens!$F$8503+(g_sp-Sens!$F$8503)*3/4</f>
        <v>0.0816538272270325</v>
      </c>
      <c r="K8503" s="13" t="n">
        <f aca="false">Sens!$F$8503+(g_sp-Sens!$F$8503)*4/4</f>
        <v>0.07</v>
      </c>
      <c r="L8503" s="13" t="n">
        <f aca="false">g_sp</f>
        <v>0.07</v>
      </c>
      <c r="M8503" s="13" t="n">
        <f aca="false">g_sp</f>
        <v>0.07</v>
      </c>
      <c r="P8503" s="8" t="s">
        <v>667</v>
      </c>
    </row>
    <row r="8504" customFormat="false" ht="17.15" hidden="false" customHeight="false" outlineLevel="0" collapsed="false">
      <c r="A8504" s="0" t="s">
        <v>519</v>
      </c>
      <c r="B8504" s="0" t="s">
        <v>86</v>
      </c>
      <c r="C8504" s="38" t="n">
        <f aca="false">Q!$D$13</f>
        <v>56.214</v>
      </c>
      <c r="D8504" s="38" t="n">
        <f aca="false">Q!$E$13</f>
        <v>68.635</v>
      </c>
      <c r="E8504" s="38" t="n">
        <f aca="false">Q!$P$13</f>
        <v>37.052</v>
      </c>
      <c r="F8504" s="38" t="n">
        <f aca="false">Sens!$O$8504*(1+Sens!$F$8505)*Sens!$F$8510</f>
        <v>46.1572219944148</v>
      </c>
      <c r="G8504" s="38" t="n">
        <f aca="false">Sens!$E$8504+Sens!$F$8504</f>
        <v>83.2092219944148</v>
      </c>
      <c r="H8504" s="38" t="n">
        <f aca="false">Sens!$G$8504*(1+Sens!$H$8505)</f>
        <v>99.8969223878976</v>
      </c>
      <c r="I8504" s="38" t="n">
        <f aca="false">Sens!$H$8504*(1+Sens!$I$8505)</f>
        <v>116.583111095496</v>
      </c>
      <c r="J8504" s="38" t="n">
        <f aca="false">Sens!$I$8504*(1+Sens!$J$8505)</f>
        <v>132.148941941952</v>
      </c>
      <c r="K8504" s="38" t="n">
        <f aca="false">Sens!$J$8504*(1+Sens!$K$8505)</f>
        <v>145.363836136147</v>
      </c>
      <c r="L8504" s="38" t="n">
        <f aca="false">Sens!$K$8504*(1+Sens!$L$8505)</f>
        <v>159.900219749762</v>
      </c>
      <c r="M8504" s="38" t="n">
        <f aca="false">Sens!$L$8504*(1+Sens!$M$8505)</f>
        <v>175.890241724738</v>
      </c>
      <c r="N8504" s="38" t="n">
        <f aca="false">Q!$N$13</f>
        <v>29.615</v>
      </c>
      <c r="O8504" s="38" t="n">
        <f aca="false">Q!$O$13</f>
        <v>39.02</v>
      </c>
      <c r="P8504" s="8" t="s">
        <v>661</v>
      </c>
    </row>
    <row r="8505" customFormat="false" ht="17.15" hidden="false" customHeight="false" outlineLevel="0" collapsed="false">
      <c r="A8505" s="0" t="s">
        <v>668</v>
      </c>
      <c r="B8505" s="0" t="s">
        <v>52</v>
      </c>
      <c r="E8505" s="13" t="n">
        <f aca="false">Sens!$E$8504/Sens!$N$8504-1</f>
        <v>0.25112274185379</v>
      </c>
      <c r="F8505" s="13" t="n">
        <f aca="false">Sens!$O$8504/(Q!$F$13+Q!$G$13)-1</f>
        <v>0.234068123596572</v>
      </c>
      <c r="G8505" s="13" t="n">
        <f aca="false">Sens!$G$8504/Sens!$D$8504-1</f>
        <v>0.212343876949294</v>
      </c>
      <c r="H8505" s="13" t="n">
        <f aca="false">Sens!$F$8505+(g_ad-Sens!$F$8505)*1/4</f>
        <v>0.200551092697429</v>
      </c>
      <c r="I8505" s="13" t="n">
        <f aca="false">Sens!$F$8505+(g_ad-Sens!$F$8505)*2/4</f>
        <v>0.167034061798286</v>
      </c>
      <c r="J8505" s="13" t="n">
        <f aca="false">Sens!$F$8505+(g_ad-Sens!$F$8505)*3/4</f>
        <v>0.133517030899143</v>
      </c>
      <c r="K8505" s="13" t="n">
        <f aca="false">Sens!$F$8505+(g_ad-Sens!$F$8505)*4/4</f>
        <v>0.1</v>
      </c>
      <c r="L8505" s="13" t="n">
        <f aca="false">g_ad</f>
        <v>0.1</v>
      </c>
      <c r="M8505" s="13" t="n">
        <f aca="false">g_ad</f>
        <v>0.1</v>
      </c>
      <c r="P8505" s="8" t="s">
        <v>669</v>
      </c>
    </row>
    <row r="8506" customFormat="false" ht="17.15" hidden="false" customHeight="false" outlineLevel="0" collapsed="false">
      <c r="A8506" s="0" t="s">
        <v>520</v>
      </c>
      <c r="B8506" s="0" t="s">
        <v>86</v>
      </c>
      <c r="C8506" s="38" t="n">
        <f aca="false">Q!$D$14</f>
        <v>44.374</v>
      </c>
      <c r="D8506" s="38" t="n">
        <f aca="false">Q!$E$14</f>
        <v>49.619</v>
      </c>
      <c r="E8506" s="38" t="n">
        <f aca="false">Q!$P$14</f>
        <v>27.157</v>
      </c>
      <c r="F8506" s="38" t="n">
        <f aca="false">Sens!$O$8506*(1+Sens!$F$8507)*Sens!$F$8510</f>
        <v>27.7764165988154</v>
      </c>
      <c r="G8506" s="38" t="n">
        <f aca="false">Sens!$E$8506+Sens!$F$8506</f>
        <v>54.9334165988154</v>
      </c>
      <c r="H8506" s="38" t="n">
        <f aca="false">Sens!$G$8506*(1+Sens!$H$8507)</f>
        <v>61.1564112561829</v>
      </c>
      <c r="I8506" s="38" t="n">
        <f aca="false">Sens!$H$8506*(1+Sens!$I$8507)</f>
        <v>67.2020282103945</v>
      </c>
      <c r="J8506" s="38" t="n">
        <f aca="false">Sens!$I$8506*(1+Sens!$J$8507)</f>
        <v>72.8757274028885</v>
      </c>
      <c r="K8506" s="38" t="n">
        <f aca="false">Sens!$J$8506*(1+Sens!$K$8507)</f>
        <v>77.9770283210907</v>
      </c>
      <c r="L8506" s="38" t="n">
        <f aca="false">Sens!$K$8506*(1+Sens!$L$8507)</f>
        <v>83.4354203035671</v>
      </c>
      <c r="M8506" s="38" t="n">
        <f aca="false">Sens!$L$8506*(1+Sens!$M$8507)</f>
        <v>89.2758997248168</v>
      </c>
      <c r="N8506" s="38" t="n">
        <f aca="false">Q!$N$14</f>
        <v>23.923</v>
      </c>
      <c r="O8506" s="38" t="n">
        <f aca="false">Q!$O$14</f>
        <v>25.696</v>
      </c>
      <c r="P8506" s="8" t="s">
        <v>661</v>
      </c>
    </row>
    <row r="8507" customFormat="false" ht="17.15" hidden="false" customHeight="false" outlineLevel="0" collapsed="false">
      <c r="A8507" s="0" t="s">
        <v>670</v>
      </c>
      <c r="B8507" s="0" t="s">
        <v>52</v>
      </c>
      <c r="E8507" s="13" t="n">
        <f aca="false">Sens!$E$8506/Sens!$N$8506-1</f>
        <v>0.135183714417088</v>
      </c>
      <c r="F8507" s="13" t="n">
        <f aca="false">Sens!$O$8506/(Q!$F$14+Q!$G$14)-1</f>
        <v>0.127709997366804</v>
      </c>
      <c r="G8507" s="13" t="n">
        <f aca="false">Sens!$G$8506/Sens!$D$8506-1</f>
        <v>0.107104468022641</v>
      </c>
      <c r="H8507" s="13" t="n">
        <f aca="false">Sens!$F$8507+(g_sub-Sens!$F$8507)*1/4</f>
        <v>0.113282498025103</v>
      </c>
      <c r="I8507" s="13" t="n">
        <f aca="false">Sens!$F$8507+(g_sub-Sens!$F$8507)*2/4</f>
        <v>0.0988549986834021</v>
      </c>
      <c r="J8507" s="13" t="n">
        <f aca="false">Sens!$F$8507+(g_sub-Sens!$F$8507)*3/4</f>
        <v>0.084427499341701</v>
      </c>
      <c r="K8507" s="13" t="n">
        <f aca="false">Sens!$F$8507+(g_sub-Sens!$F$8507)*4/4</f>
        <v>0.07</v>
      </c>
      <c r="L8507" s="13" t="n">
        <f aca="false">g_sub</f>
        <v>0.07</v>
      </c>
      <c r="M8507" s="13" t="n">
        <f aca="false">g_sub</f>
        <v>0.07</v>
      </c>
      <c r="P8507" s="8" t="s">
        <v>671</v>
      </c>
    </row>
    <row r="8508" customFormat="false" ht="17.15" hidden="false" customHeight="false" outlineLevel="0" collapsed="false">
      <c r="A8508" s="0" t="s">
        <v>521</v>
      </c>
      <c r="B8508" s="0" t="s">
        <v>86</v>
      </c>
      <c r="C8508" s="38" t="n">
        <f aca="false">Q!$D$15</f>
        <v>5.425</v>
      </c>
      <c r="D8508" s="38" t="n">
        <f aca="false">Q!$E$15</f>
        <v>5.935</v>
      </c>
      <c r="E8508" s="38" t="n">
        <f aca="false">Q!$P$15</f>
        <v>3.474</v>
      </c>
      <c r="F8508" s="38" t="n">
        <f aca="false">Sens!$O$8508*(1+Sens!$F$8509)*Sens!$F$8510</f>
        <v>3.22246550883619</v>
      </c>
      <c r="G8508" s="38" t="n">
        <f aca="false">Sens!$E$8508+Sens!$F$8508</f>
        <v>6.69646550883619</v>
      </c>
      <c r="H8508" s="38" t="n">
        <f aca="false">Sens!$G$8508*(1+Sens!$H$8509)</f>
        <v>7.16251344209196</v>
      </c>
      <c r="I8508" s="38" t="n">
        <f aca="false">Sens!$H$8508*(1+Sens!$I$8509)</f>
        <v>7.61421070299826</v>
      </c>
      <c r="J8508" s="38" t="n">
        <f aca="false">Sens!$I$8508*(1+Sens!$J$8509)</f>
        <v>8.04465753523932</v>
      </c>
      <c r="K8508" s="38" t="n">
        <f aca="false">Sens!$J$8508*(1+Sens!$K$8509)</f>
        <v>8.44689041200128</v>
      </c>
      <c r="L8508" s="38" t="n">
        <f aca="false">Sens!$K$8508*(1+Sens!$L$8509)</f>
        <v>8.86923493260135</v>
      </c>
      <c r="M8508" s="38" t="n">
        <f aca="false">Sens!$L$8508*(1+Sens!$M$8509)</f>
        <v>9.31269667923142</v>
      </c>
      <c r="N8508" s="38" t="n">
        <f aca="false">Q!$N$15</f>
        <v>2.811</v>
      </c>
      <c r="O8508" s="38" t="n">
        <f aca="false">Q!$O$15</f>
        <v>3.124</v>
      </c>
      <c r="P8508" s="8" t="s">
        <v>661</v>
      </c>
    </row>
    <row r="8509" customFormat="false" ht="17.15" hidden="false" customHeight="false" outlineLevel="0" collapsed="false">
      <c r="A8509" s="0" t="s">
        <v>672</v>
      </c>
      <c r="B8509" s="0" t="s">
        <v>52</v>
      </c>
      <c r="E8509" s="13" t="n">
        <f aca="false">Sens!$E$8508/Sens!$N$8508-1</f>
        <v>0.235859124866596</v>
      </c>
      <c r="F8509" s="13" t="n">
        <f aca="false">Sens!$O$8508/(Q!$F$15+Q!$G$15)-1</f>
        <v>0.0761281433000345</v>
      </c>
      <c r="G8509" s="13" t="n">
        <f aca="false">Sens!$G$8508/Sens!$D$8508-1</f>
        <v>0.128300843948811</v>
      </c>
      <c r="H8509" s="13" t="n">
        <f aca="false">Sens!$F$8509+(g_ot-Sens!$F$8509)*1/4</f>
        <v>0.0695961074750259</v>
      </c>
      <c r="I8509" s="13" t="n">
        <f aca="false">Sens!$F$8509+(g_ot-Sens!$F$8509)*2/4</f>
        <v>0.0630640716500172</v>
      </c>
      <c r="J8509" s="13" t="n">
        <f aca="false">Sens!$F$8509+(g_ot-Sens!$F$8509)*3/4</f>
        <v>0.0565320358250086</v>
      </c>
      <c r="K8509" s="13" t="n">
        <f aca="false">Sens!$F$8509+(g_ot-Sens!$F$8509)*4/4</f>
        <v>0.05</v>
      </c>
      <c r="L8509" s="13" t="n">
        <f aca="false">g_ot</f>
        <v>0.05</v>
      </c>
      <c r="M8509" s="13" t="n">
        <f aca="false">g_ot</f>
        <v>0.05</v>
      </c>
      <c r="P8509" s="8" t="s">
        <v>673</v>
      </c>
    </row>
    <row r="8510" customFormat="false" ht="17.15" hidden="false" customHeight="false" outlineLevel="0" collapsed="false">
      <c r="A8510" s="0" t="s">
        <v>674</v>
      </c>
      <c r="B8510" s="0" t="s">
        <v>57</v>
      </c>
      <c r="F8510" s="40" t="n">
        <f aca="false">(g26q3_mid*Q!$O$8/Q!$J$8-Sens!$F$8539-Sens!$F$8543)/(Sens!$O$8498*(1+Sens!$F$8499)+Sens!$O$8500*(1+Sens!$F$8501)+Sens!$O$8502*(1+Sens!$F$8503)+Sens!$O$8504*(1+Sens!$F$8505)+Sens!$O$8506*(1+Sens!$F$8507)+Sens!$O$8508*(1+Sens!$F$8509))</f>
        <v>0.958546670622329</v>
      </c>
      <c r="P8510" s="8" t="s">
        <v>675</v>
      </c>
    </row>
    <row r="8511" customFormat="false" ht="17.15" hidden="false" customHeight="false" outlineLevel="0" collapsed="false">
      <c r="A8511" s="3" t="s">
        <v>676</v>
      </c>
      <c r="B8511" s="8" t="s">
        <v>86</v>
      </c>
      <c r="C8511" s="38" t="n">
        <f aca="false">Sens!$C$8498+Sens!$C$8500+Sens!$C$8502+Sens!$C$8504+Sens!$C$8506+Sens!$C$8508</f>
        <v>530.403</v>
      </c>
      <c r="D8511" s="38" t="n">
        <f aca="false">Sens!$D$8498+Sens!$D$8500+Sens!$D$8502+Sens!$D$8504+Sens!$D$8506+Sens!$D$8508</f>
        <v>588.199</v>
      </c>
      <c r="E8511" s="38" t="n">
        <f aca="false">Sens!$E$8498+Sens!$E$8500+Sens!$E$8502+Sens!$E$8504+Sens!$E$8506+Sens!$E$8508</f>
        <v>302.306</v>
      </c>
      <c r="F8511" s="38" t="n">
        <f aca="false">Sens!$F$8498+Sens!$F$8500+Sens!$F$8502+Sens!$F$8504+Sens!$F$8506+Sens!$F$8508</f>
        <v>349.048241645537</v>
      </c>
      <c r="G8511" s="38" t="n">
        <f aca="false">Sens!$G$8498+Sens!$G$8500+Sens!$G$8502+Sens!$G$8504+Sens!$G$8506+Sens!$G$8508</f>
        <v>651.354241645537</v>
      </c>
      <c r="H8511" s="38" t="n">
        <f aca="false">Sens!$H$8498+Sens!$H$8500+Sens!$H$8502+Sens!$H$8504+Sens!$H$8506+Sens!$H$8508</f>
        <v>721.096889521386</v>
      </c>
      <c r="I8511" s="38" t="n">
        <f aca="false">Sens!$I$8498+Sens!$I$8500+Sens!$I$8502+Sens!$I$8504+Sens!$I$8506+Sens!$I$8508</f>
        <v>788.529391152531</v>
      </c>
      <c r="J8511" s="38" t="n">
        <f aca="false">Sens!$J$8498+Sens!$J$8500+Sens!$J$8502+Sens!$J$8504+Sens!$J$8506+Sens!$J$8508</f>
        <v>851.108405741443</v>
      </c>
      <c r="K8511" s="38" t="n">
        <f aca="false">Sens!$K$8498+Sens!$K$8500+Sens!$K$8502+Sens!$K$8504+Sens!$K$8506+Sens!$K$8508</f>
        <v>906.176455431088</v>
      </c>
      <c r="L8511" s="38" t="n">
        <f aca="false">Sens!$L$8498+Sens!$L$8500+Sens!$L$8502+Sens!$L$8504+Sens!$L$8506+Sens!$L$8508</f>
        <v>965.093106475589</v>
      </c>
      <c r="M8511" s="38" t="n">
        <f aca="false">Sens!$M$8498+Sens!$M$8500+Sens!$M$8502+Sens!$M$8504+Sens!$M$8506+Sens!$M$8508</f>
        <v>1028.14790794689</v>
      </c>
      <c r="N8511" s="38" t="n">
        <f aca="false">Sens!$N$8498+Sens!$N$8500+Sens!$N$8502+Sens!$N$8504+Sens!$N$8506+Sens!$N$8508</f>
        <v>263.229</v>
      </c>
      <c r="O8511" s="38" t="n">
        <f aca="false">Sens!$O$8498+Sens!$O$8500+Sens!$O$8502+Sens!$O$8504+Sens!$O$8506+Sens!$O$8508</f>
        <v>324.97</v>
      </c>
    </row>
    <row r="8512" customFormat="false" ht="17.15" hidden="false" customHeight="false" outlineLevel="0" collapsed="false">
      <c r="A8512" s="5" t="s">
        <v>677</v>
      </c>
      <c r="B8512" s="0" t="s">
        <v>52</v>
      </c>
      <c r="C8512" s="13" t="n">
        <f aca="false">Q!$D$5/(Q!$D$5+Q!$D$6)</f>
        <v>0.730570905519011</v>
      </c>
      <c r="D8512" s="13" t="n">
        <f aca="false">Q!$E$5/(Q!$E$5+Q!$E$6)</f>
        <v>0.724763217890544</v>
      </c>
      <c r="E8512" s="13" t="n">
        <f aca="false">Q!$P$5/(Q!$P$5+Q!$P$6)</f>
        <v>0.728797972914861</v>
      </c>
      <c r="F8512" s="13" t="n">
        <f aca="false">Sens!$O$8512</f>
        <v>0.718066283041511</v>
      </c>
      <c r="G8512" s="13" t="n">
        <f aca="false">Sens!$G$8513/Sens!$G$8511</f>
        <v>0.723047066202847</v>
      </c>
      <c r="H8512" s="13" t="n">
        <f aca="false">Sens!$G$8512</f>
        <v>0.723047066202847</v>
      </c>
      <c r="I8512" s="13" t="n">
        <f aca="false">Sens!$G$8512</f>
        <v>0.723047066202847</v>
      </c>
      <c r="J8512" s="13" t="n">
        <f aca="false">Sens!$G$8512</f>
        <v>0.723047066202847</v>
      </c>
      <c r="K8512" s="13" t="n">
        <f aca="false">Sens!$G$8512</f>
        <v>0.723047066202847</v>
      </c>
      <c r="L8512" s="13" t="n">
        <f aca="false">Sens!$G$8512</f>
        <v>0.723047066202847</v>
      </c>
      <c r="M8512" s="13" t="n">
        <f aca="false">Sens!$G$8512</f>
        <v>0.723047066202847</v>
      </c>
      <c r="N8512" s="13" t="n">
        <f aca="false">Q!$N$5/(Q!$N$5+Q!$N$6)</f>
        <v>0.733030935041352</v>
      </c>
      <c r="O8512" s="13" t="n">
        <f aca="false">Q!$O$5/(Q!$O$5+Q!$O$6)</f>
        <v>0.718066283041511</v>
      </c>
      <c r="P8512" s="8" t="s">
        <v>678</v>
      </c>
    </row>
    <row r="8513" customFormat="false" ht="17.15" hidden="false" customHeight="false" outlineLevel="0" collapsed="false">
      <c r="A8513" s="1" t="s">
        <v>509</v>
      </c>
      <c r="B8513" s="8" t="s">
        <v>86</v>
      </c>
      <c r="C8513" s="38" t="n">
        <f aca="false">Q!$D$5</f>
        <v>387.497</v>
      </c>
      <c r="D8513" s="38" t="n">
        <f aca="false">Q!$E$5</f>
        <v>426.305</v>
      </c>
      <c r="E8513" s="38" t="n">
        <f aca="false">Q!$P$5</f>
        <v>220.32</v>
      </c>
      <c r="F8513" s="38" t="n">
        <f aca="false">Sens!$F$8511*Sens!$F$8512</f>
        <v>250.639773480586</v>
      </c>
      <c r="G8513" s="38" t="n">
        <f aca="false">Sens!$E$8513+Sens!$F$8513</f>
        <v>470.959773480586</v>
      </c>
      <c r="H8513" s="38" t="n">
        <f aca="false">Sens!$H$8511*Sens!$H$8512</f>
        <v>521.386990416437</v>
      </c>
      <c r="I8513" s="38" t="n">
        <f aca="false">Sens!$I$8511*Sens!$I$8512</f>
        <v>570.143862887555</v>
      </c>
      <c r="J8513" s="38" t="n">
        <f aca="false">Sens!$J$8511*Sens!$J$8512</f>
        <v>615.391435791933</v>
      </c>
      <c r="K8513" s="38" t="n">
        <f aca="false">Sens!$K$8511*Sens!$K$8512</f>
        <v>655.208227561543</v>
      </c>
      <c r="L8513" s="38" t="n">
        <f aca="false">Sens!$L$8511*Sens!$L$8512</f>
        <v>697.807739249767</v>
      </c>
      <c r="M8513" s="38" t="n">
        <f aca="false">Sens!$M$8511*Sens!$M$8512</f>
        <v>743.399328463592</v>
      </c>
      <c r="N8513" s="38" t="n">
        <f aca="false">Q!$N$5</f>
        <v>192.955</v>
      </c>
      <c r="O8513" s="38" t="n">
        <f aca="false">Q!$O$5</f>
        <v>233.35</v>
      </c>
      <c r="P8513" s="5" t="s">
        <v>679</v>
      </c>
    </row>
    <row r="8514" customFormat="false" ht="17.15" hidden="false" customHeight="false" outlineLevel="0" collapsed="false">
      <c r="A8514" s="1" t="s">
        <v>512</v>
      </c>
      <c r="B8514" s="8" t="s">
        <v>86</v>
      </c>
      <c r="C8514" s="38" t="n">
        <f aca="false">Q!$D$6</f>
        <v>142.906</v>
      </c>
      <c r="D8514" s="38" t="n">
        <f aca="false">Q!$E$6</f>
        <v>161.894</v>
      </c>
      <c r="E8514" s="38" t="n">
        <f aca="false">Q!$P$6</f>
        <v>81.986</v>
      </c>
      <c r="F8514" s="38" t="n">
        <f aca="false">Sens!$F$8511*(1-Sens!$F$8512)</f>
        <v>98.408468164951</v>
      </c>
      <c r="G8514" s="38" t="n">
        <f aca="false">Sens!$E$8514+Sens!$F$8514</f>
        <v>180.394468164951</v>
      </c>
      <c r="H8514" s="38" t="n">
        <f aca="false">Sens!$H$8511*(1-Sens!$H$8512)</f>
        <v>199.709899104949</v>
      </c>
      <c r="I8514" s="38" t="n">
        <f aca="false">Sens!$I$8511*(1-Sens!$I$8512)</f>
        <v>218.385528264976</v>
      </c>
      <c r="J8514" s="38" t="n">
        <f aca="false">Sens!$J$8511*(1-Sens!$J$8512)</f>
        <v>235.71696994951</v>
      </c>
      <c r="K8514" s="38" t="n">
        <f aca="false">Sens!$K$8511*(1-Sens!$K$8512)</f>
        <v>250.968227869545</v>
      </c>
      <c r="L8514" s="38" t="n">
        <f aca="false">Sens!$L$8511*(1-Sens!$L$8512)</f>
        <v>267.285367225822</v>
      </c>
      <c r="M8514" s="38" t="n">
        <f aca="false">Sens!$M$8511*(1-Sens!$M$8512)</f>
        <v>284.748579483295</v>
      </c>
      <c r="N8514" s="38" t="n">
        <f aca="false">Q!$N$6</f>
        <v>70.274</v>
      </c>
      <c r="O8514" s="38" t="n">
        <f aca="false">Q!$O$6</f>
        <v>91.62</v>
      </c>
      <c r="P8514" s="5" t="s">
        <v>680</v>
      </c>
    </row>
    <row r="8515" customFormat="false" ht="17.15" hidden="false" customHeight="false" outlineLevel="0" collapsed="false">
      <c r="A8515" s="5" t="s">
        <v>681</v>
      </c>
      <c r="B8515" s="0" t="s">
        <v>86</v>
      </c>
      <c r="C8515" s="38" t="n">
        <f aca="false">Sens!$C$8504*Sens!$C$8512</f>
        <v>41.0683128828457</v>
      </c>
      <c r="D8515" s="38" t="n">
        <f aca="false">Sens!$D$8504*Sens!$D$8512</f>
        <v>49.7441234599175</v>
      </c>
      <c r="E8515" s="38" t="n">
        <f aca="false">Sens!$E$8504*Sens!$E$8512</f>
        <v>27.0034224924414</v>
      </c>
      <c r="F8515" s="38" t="n">
        <f aca="false">Sens!$F$8504*Sens!$F$8512</f>
        <v>33.1439448330513</v>
      </c>
      <c r="G8515" s="38" t="n">
        <f aca="false">Sens!$G$8504*Sens!$G$8512</f>
        <v>60.164183844083</v>
      </c>
      <c r="H8515" s="38" t="n">
        <f aca="false">Sens!$H$8504*Sens!$H$8512</f>
        <v>72.2301766552629</v>
      </c>
      <c r="I8515" s="38" t="n">
        <f aca="false">Sens!$I$8504*Sens!$I$8512</f>
        <v>84.2950764463991</v>
      </c>
      <c r="J8515" s="38" t="n">
        <f aca="false">Sens!$J$8504*Sens!$J$8512</f>
        <v>95.5499047729386</v>
      </c>
      <c r="K8515" s="38" t="n">
        <f aca="false">Sens!$K$8504*Sens!$K$8512</f>
        <v>105.104895250232</v>
      </c>
      <c r="L8515" s="38" t="n">
        <f aca="false">Sens!$L$8504*Sens!$L$8512</f>
        <v>115.615384775256</v>
      </c>
      <c r="M8515" s="38" t="n">
        <f aca="false">Sens!$M$8504*Sens!$M$8512</f>
        <v>127.176923252781</v>
      </c>
      <c r="N8515" s="38" t="n">
        <f aca="false">Sens!$N$8504*Sens!$N$8512</f>
        <v>21.7087111412496</v>
      </c>
      <c r="O8515" s="38" t="n">
        <f aca="false">Sens!$O$8504*Sens!$O$8512</f>
        <v>28.0189463642798</v>
      </c>
      <c r="P8515" s="5" t="s">
        <v>682</v>
      </c>
    </row>
    <row r="8516" customFormat="false" ht="15" hidden="false" customHeight="false" outlineLevel="0" collapsed="false">
      <c r="A8516" s="5" t="s">
        <v>683</v>
      </c>
      <c r="B8516" s="0" t="s">
        <v>86</v>
      </c>
      <c r="C8516" s="38" t="n">
        <f aca="false">Sens!$C$8504-Sens!$C$8515</f>
        <v>15.1456871171543</v>
      </c>
      <c r="D8516" s="38" t="n">
        <f aca="false">Sens!$D$8504-Sens!$D$8515</f>
        <v>18.8908765400825</v>
      </c>
      <c r="E8516" s="38" t="n">
        <f aca="false">Sens!$E$8504-Sens!$E$8515</f>
        <v>10.0485775075586</v>
      </c>
      <c r="F8516" s="38" t="n">
        <f aca="false">Sens!$F$8504-Sens!$F$8515</f>
        <v>13.0132771613635</v>
      </c>
      <c r="G8516" s="38" t="n">
        <f aca="false">Sens!$G$8504-Sens!$G$8515</f>
        <v>23.0450381503318</v>
      </c>
      <c r="H8516" s="38" t="n">
        <f aca="false">Sens!$H$8504-Sens!$H$8515</f>
        <v>27.6667457326347</v>
      </c>
      <c r="I8516" s="38" t="n">
        <f aca="false">Sens!$I$8504-Sens!$I$8515</f>
        <v>32.2880346490971</v>
      </c>
      <c r="J8516" s="38" t="n">
        <f aca="false">Sens!$J$8504-Sens!$J$8515</f>
        <v>36.5990371690132</v>
      </c>
      <c r="K8516" s="38" t="n">
        <f aca="false">Sens!$K$8504-Sens!$K$8515</f>
        <v>40.2589408859145</v>
      </c>
      <c r="L8516" s="38" t="n">
        <f aca="false">Sens!$L$8504-Sens!$L$8515</f>
        <v>44.2848349745059</v>
      </c>
      <c r="M8516" s="38" t="n">
        <f aca="false">Sens!$M$8504-Sens!$M$8515</f>
        <v>48.7133184719565</v>
      </c>
      <c r="N8516" s="38" t="n">
        <f aca="false">Sens!$N$8504-Sens!$N$8515</f>
        <v>7.90628885875037</v>
      </c>
      <c r="O8516" s="38" t="n">
        <f aca="false">Sens!$O$8504-Sens!$O$8515</f>
        <v>11.0010536357202</v>
      </c>
    </row>
    <row r="8517" customFormat="false" ht="19.4" hidden="false" customHeight="false" outlineLevel="0" collapsed="false">
      <c r="A8517" s="31" t="s">
        <v>1303</v>
      </c>
    </row>
    <row r="8518" customFormat="false" ht="17.15" hidden="false" customHeight="false" outlineLevel="0" collapsed="false">
      <c r="A8518" s="6" t="s">
        <v>16</v>
      </c>
      <c r="B8518" s="6" t="s">
        <v>17</v>
      </c>
      <c r="C8518" s="20" t="s">
        <v>494</v>
      </c>
      <c r="D8518" s="20" t="s">
        <v>495</v>
      </c>
      <c r="E8518" s="20" t="s">
        <v>577</v>
      </c>
      <c r="F8518" s="20" t="s">
        <v>578</v>
      </c>
      <c r="G8518" s="20" t="s">
        <v>579</v>
      </c>
      <c r="H8518" s="20" t="s">
        <v>580</v>
      </c>
      <c r="I8518" s="20" t="s">
        <v>581</v>
      </c>
      <c r="J8518" s="20" t="s">
        <v>582</v>
      </c>
      <c r="K8518" s="20" t="s">
        <v>583</v>
      </c>
      <c r="L8518" s="20" t="s">
        <v>584</v>
      </c>
      <c r="M8518" s="20" t="s">
        <v>585</v>
      </c>
      <c r="N8518" s="20" t="s">
        <v>586</v>
      </c>
      <c r="O8518" s="20" t="s">
        <v>587</v>
      </c>
      <c r="P8518" s="6" t="s">
        <v>23</v>
      </c>
      <c r="R8518" s="20" t="n">
        <v>2023</v>
      </c>
      <c r="S8518" s="20" t="n">
        <v>2024</v>
      </c>
      <c r="T8518" s="20" t="n">
        <v>2025</v>
      </c>
      <c r="U8518" s="20" t="n">
        <v>2026</v>
      </c>
      <c r="V8518" s="20" t="n">
        <v>2027</v>
      </c>
      <c r="W8518" s="20" t="n">
        <v>2028</v>
      </c>
      <c r="X8518" s="20" t="n">
        <v>2029</v>
      </c>
      <c r="Y8518" s="20" t="n">
        <v>2030</v>
      </c>
      <c r="Z8518" s="20" t="n">
        <v>2031</v>
      </c>
      <c r="AA8518" s="20" t="n">
        <v>2032</v>
      </c>
    </row>
    <row r="8519" customFormat="false" ht="17.15" hidden="false" customHeight="false" outlineLevel="0" collapsed="false">
      <c r="A8519" s="1" t="s">
        <v>588</v>
      </c>
    </row>
    <row r="8520" customFormat="false" ht="17.15" hidden="false" customHeight="false" outlineLevel="0" collapsed="false">
      <c r="A8520" s="5" t="s">
        <v>589</v>
      </c>
      <c r="B8520" s="0" t="s">
        <v>144</v>
      </c>
      <c r="H8520" s="32" t="n">
        <f aca="false">pace_B</f>
        <v>3634.3</v>
      </c>
      <c r="I8520" s="32" t="n">
        <f aca="false">pace_B</f>
        <v>3634.3</v>
      </c>
      <c r="J8520" s="32" t="n">
        <f aca="false">pace_B</f>
        <v>3634.3</v>
      </c>
      <c r="K8520" s="32" t="n">
        <f aca="false">pace_B+(Sens!$J$8521*tg_hi-pace_B)*1/3</f>
        <v>2620.20066666667</v>
      </c>
      <c r="L8520" s="32" t="n">
        <f aca="false">pace_B+(Sens!$J$8521*tg_hi-pace_B)*2/3</f>
        <v>1606.10133333333</v>
      </c>
      <c r="M8520" s="32" t="n">
        <f aca="false">pace_B+(Sens!$J$8521*tg_hi-pace_B)*3/3</f>
        <v>592.002</v>
      </c>
      <c r="P8520" s="5" t="s">
        <v>590</v>
      </c>
    </row>
    <row r="8521" customFormat="false" ht="17.15" hidden="false" customHeight="false" outlineLevel="0" collapsed="false">
      <c r="A8521" s="15" t="s">
        <v>591</v>
      </c>
      <c r="B8521" s="14" t="s">
        <v>129</v>
      </c>
      <c r="C8521" s="33" t="n">
        <f aca="false">mw_ye24</f>
        <v>360</v>
      </c>
      <c r="D8521" s="33" t="n">
        <f aca="false">mw_ye25</f>
        <v>1440</v>
      </c>
      <c r="E8521" s="33" t="n">
        <f aca="false">mw_open</f>
        <v>2080</v>
      </c>
      <c r="F8521" s="33" t="n">
        <f aca="false">Sens!$E$8521+pace_B*0.5</f>
        <v>3897.15</v>
      </c>
      <c r="G8521" s="33" t="n">
        <f aca="false">Sens!$F$8521</f>
        <v>3897.15</v>
      </c>
      <c r="H8521" s="33" t="n">
        <f aca="false">Sens!$G$8521+Sens!$H$8520</f>
        <v>7531.45</v>
      </c>
      <c r="I8521" s="33" t="n">
        <f aca="false">Sens!$H$8521+Sens!$I$8520</f>
        <v>11165.75</v>
      </c>
      <c r="J8521" s="33" t="n">
        <f aca="false">Sens!$I$8521+Sens!$J$8520</f>
        <v>14800.05</v>
      </c>
      <c r="K8521" s="33" t="n">
        <f aca="false">Sens!$J$8521+Sens!$K$8520</f>
        <v>17420.2506666667</v>
      </c>
      <c r="L8521" s="33" t="n">
        <f aca="false">Sens!$K$8521+Sens!$L$8520</f>
        <v>19026.352</v>
      </c>
      <c r="M8521" s="33" t="n">
        <f aca="false">Sens!$L$8521+Sens!$M$8520</f>
        <v>19618.354</v>
      </c>
      <c r="N8521" s="33" t="n">
        <f aca="false">(mw_ye24+mw_ye25)/2</f>
        <v>900</v>
      </c>
      <c r="O8521" s="33" t="n">
        <f aca="false">mw_ye25</f>
        <v>1440</v>
      </c>
      <c r="P8521" s="5" t="s">
        <v>592</v>
      </c>
    </row>
    <row r="8522" customFormat="false" ht="17.15" hidden="false" customHeight="false" outlineLevel="0" collapsed="false">
      <c r="A8522" s="5" t="s">
        <v>593</v>
      </c>
      <c r="B8522" s="0" t="s">
        <v>129</v>
      </c>
      <c r="C8522" s="32" t="n">
        <f aca="false">(mw_ye23+mw_ye24)/2</f>
        <v>240</v>
      </c>
      <c r="D8522" s="32" t="n">
        <f aca="false">(Sens!$C$8521+Sens!$D$8521)/2</f>
        <v>900</v>
      </c>
      <c r="E8522" s="32" t="n">
        <f aca="false">(Sens!$D$8521+Sens!$E$8521)/2</f>
        <v>1760</v>
      </c>
      <c r="F8522" s="32" t="n">
        <f aca="false">(Sens!$E$8521+Sens!$F$8521)/2</f>
        <v>2988.575</v>
      </c>
      <c r="G8522" s="32" t="n">
        <f aca="false">(Sens!$E$8522+Sens!$F$8522)/2</f>
        <v>2374.2875</v>
      </c>
      <c r="H8522" s="32" t="n">
        <f aca="false">(Sens!$G$8521+Sens!$H$8521)/2</f>
        <v>5714.3</v>
      </c>
      <c r="I8522" s="32" t="n">
        <f aca="false">(Sens!$H$8521+Sens!$I$8521)/2</f>
        <v>9348.6</v>
      </c>
      <c r="J8522" s="32" t="n">
        <f aca="false">(Sens!$I$8521+Sens!$J$8521)/2</f>
        <v>12982.9</v>
      </c>
      <c r="K8522" s="32" t="n">
        <f aca="false">(Sens!$J$8521+Sens!$K$8521)/2</f>
        <v>16110.1503333333</v>
      </c>
      <c r="L8522" s="32" t="n">
        <f aca="false">(Sens!$K$8521+Sens!$L$8521)/2</f>
        <v>18223.3013333333</v>
      </c>
      <c r="M8522" s="32" t="n">
        <f aca="false">(Sens!$L$8521+Sens!$M$8521)/2</f>
        <v>19322.353</v>
      </c>
      <c r="N8522" s="32" t="n">
        <f aca="false">(Sens!$C$8521+Sens!$N$8521)/2</f>
        <v>630</v>
      </c>
      <c r="O8522" s="32" t="n">
        <f aca="false">(Sens!$N$8521+Sens!$O$8521)/2</f>
        <v>1170</v>
      </c>
    </row>
    <row r="8523" customFormat="false" ht="15" hidden="false" customHeight="false" outlineLevel="0" collapsed="false">
      <c r="A8523" s="5" t="s">
        <v>594</v>
      </c>
      <c r="B8523" s="5" t="s">
        <v>123</v>
      </c>
      <c r="C8523" s="34" t="n">
        <v>1</v>
      </c>
      <c r="D8523" s="34" t="n">
        <v>1</v>
      </c>
      <c r="E8523" s="34" t="n">
        <v>0.5</v>
      </c>
      <c r="F8523" s="34" t="n">
        <v>0.5</v>
      </c>
      <c r="G8523" s="34" t="n">
        <v>1</v>
      </c>
      <c r="H8523" s="34" t="n">
        <v>1</v>
      </c>
      <c r="I8523" s="34" t="n">
        <v>1</v>
      </c>
      <c r="J8523" s="34" t="n">
        <v>1</v>
      </c>
      <c r="K8523" s="34" t="n">
        <v>1</v>
      </c>
      <c r="L8523" s="34" t="n">
        <v>1</v>
      </c>
      <c r="M8523" s="34" t="n">
        <v>1</v>
      </c>
      <c r="N8523" s="34" t="n">
        <v>0.5</v>
      </c>
      <c r="O8523" s="34" t="n">
        <v>0.5</v>
      </c>
    </row>
    <row r="8524" customFormat="false" ht="17.15" hidden="false" customHeight="false" outlineLevel="0" collapsed="false">
      <c r="A8524" s="5" t="s">
        <v>595</v>
      </c>
      <c r="B8524" s="0" t="s">
        <v>129</v>
      </c>
      <c r="C8524" s="32" t="n">
        <f aca="false">Sens!$C$8521-mw_ye23</f>
        <v>240</v>
      </c>
      <c r="D8524" s="32" t="n">
        <f aca="false">Sens!$D$8521-Sens!$C$8521</f>
        <v>1080</v>
      </c>
      <c r="E8524" s="32" t="n">
        <f aca="false">Sens!$E$8521-Sens!$D$8521</f>
        <v>640</v>
      </c>
      <c r="F8524" s="32" t="n">
        <f aca="false">Sens!$F$8521-Sens!$E$8521</f>
        <v>1817.15</v>
      </c>
      <c r="G8524" s="32" t="n">
        <f aca="false">Sens!$E$8524+Sens!$F$8524</f>
        <v>2457.15</v>
      </c>
      <c r="H8524" s="32" t="n">
        <f aca="false">Sens!$H$8521-Sens!$G$8521</f>
        <v>3634.3</v>
      </c>
      <c r="I8524" s="32" t="n">
        <f aca="false">Sens!$I$8521-Sens!$H$8521</f>
        <v>3634.3</v>
      </c>
      <c r="J8524" s="32" t="n">
        <f aca="false">Sens!$J$8521-Sens!$I$8521</f>
        <v>3634.3</v>
      </c>
      <c r="K8524" s="32" t="n">
        <f aca="false">Sens!$K$8521-Sens!$J$8521</f>
        <v>2620.20066666667</v>
      </c>
      <c r="L8524" s="32" t="n">
        <f aca="false">Sens!$L$8521-Sens!$K$8521</f>
        <v>1606.10133333333</v>
      </c>
      <c r="M8524" s="32" t="n">
        <f aca="false">Sens!$M$8521-Sens!$L$8521</f>
        <v>592.002</v>
      </c>
      <c r="N8524" s="32" t="n">
        <f aca="false">Sens!$N$8521-Sens!$C$8521</f>
        <v>540</v>
      </c>
      <c r="O8524" s="32" t="n">
        <f aca="false">Sens!$O$8521-Sens!$N$8521</f>
        <v>540</v>
      </c>
    </row>
    <row r="8525" customFormat="false" ht="17.15" hidden="false" customHeight="false" outlineLevel="0" collapsed="false">
      <c r="A8525" s="5" t="s">
        <v>596</v>
      </c>
      <c r="B8525" s="0" t="s">
        <v>129</v>
      </c>
      <c r="C8525" s="32" t="n">
        <f aca="false">Sens!$C$8524/ext_sh</f>
        <v>300</v>
      </c>
      <c r="D8525" s="32" t="n">
        <f aca="false">Sens!$D$8524/ext_sh</f>
        <v>1350</v>
      </c>
      <c r="E8525" s="32" t="n">
        <f aca="false">Sens!$E$8524/ext_sh</f>
        <v>800</v>
      </c>
      <c r="F8525" s="32" t="n">
        <f aca="false">Sens!$F$8524/ext_sh</f>
        <v>2271.4375</v>
      </c>
      <c r="G8525" s="32" t="n">
        <f aca="false">Sens!$G$8524/ext_sh</f>
        <v>3071.4375</v>
      </c>
      <c r="H8525" s="32" t="n">
        <f aca="false">Sens!$H$8524/ext_sh</f>
        <v>4542.875</v>
      </c>
      <c r="I8525" s="32" t="n">
        <f aca="false">Sens!$I$8524/ext_sh</f>
        <v>4542.875</v>
      </c>
      <c r="J8525" s="32" t="n">
        <f aca="false">Sens!$J$8524/ext_sh</f>
        <v>4542.875</v>
      </c>
      <c r="K8525" s="32" t="n">
        <f aca="false">Sens!$K$8524/ext_sh</f>
        <v>3275.25083333333</v>
      </c>
      <c r="L8525" s="32" t="n">
        <f aca="false">Sens!$L$8524/ext_sh</f>
        <v>2007.62666666667</v>
      </c>
      <c r="M8525" s="32" t="n">
        <f aca="false">Sens!$M$8524/ext_sh</f>
        <v>740.002500000001</v>
      </c>
      <c r="N8525" s="32" t="n">
        <f aca="false">Sens!$N$8524/ext_sh</f>
        <v>675</v>
      </c>
      <c r="O8525" s="32" t="n">
        <f aca="false">Sens!$O$8524/ext_sh</f>
        <v>675</v>
      </c>
      <c r="P8525" s="8" t="s">
        <v>597</v>
      </c>
      <c r="R8525" s="32" t="n">
        <f aca="false">mw_ye23/ext_sh</f>
        <v>150</v>
      </c>
      <c r="S8525" s="32" t="n">
        <f aca="false">Sens!$C$8525</f>
        <v>300</v>
      </c>
      <c r="T8525" s="32" t="n">
        <f aca="false">Sens!$D$8525</f>
        <v>1350</v>
      </c>
      <c r="U8525" s="32" t="n">
        <f aca="false">Sens!$G$8525</f>
        <v>3071.4375</v>
      </c>
      <c r="V8525" s="32" t="n">
        <f aca="false">Sens!$H$8525</f>
        <v>4542.875</v>
      </c>
      <c r="W8525" s="32" t="n">
        <f aca="false">Sens!$I$8525</f>
        <v>4542.875</v>
      </c>
      <c r="X8525" s="32" t="n">
        <f aca="false">Sens!$J$8525</f>
        <v>4542.875</v>
      </c>
      <c r="Y8525" s="32" t="n">
        <f aca="false">Sens!$K$8525</f>
        <v>3275.25083333333</v>
      </c>
      <c r="Z8525" s="32" t="n">
        <f aca="false">Sens!$L$8525</f>
        <v>2007.62666666667</v>
      </c>
      <c r="AA8525" s="32" t="n">
        <f aca="false">Sens!$M$8525</f>
        <v>740.002500000001</v>
      </c>
    </row>
    <row r="8526" customFormat="false" ht="17.15" hidden="false" customHeight="false" outlineLevel="0" collapsed="false">
      <c r="A8526" s="1" t="s">
        <v>598</v>
      </c>
    </row>
    <row r="8527" customFormat="false" ht="17.15" hidden="false" customHeight="false" outlineLevel="0" collapsed="false">
      <c r="A8527" s="0" t="s">
        <v>599</v>
      </c>
      <c r="B8527" s="0" t="s">
        <v>52</v>
      </c>
      <c r="F8527" s="35" t="n">
        <f aca="false">na_vr26</f>
        <v>0</v>
      </c>
      <c r="G8527" s="35" t="n">
        <f aca="false">na_vr26</f>
        <v>0</v>
      </c>
      <c r="H8527" s="35" t="n">
        <f aca="false">na_vr27</f>
        <v>0.5</v>
      </c>
      <c r="I8527" s="35" t="n">
        <f aca="false">na_vr28</f>
        <v>1</v>
      </c>
      <c r="J8527" s="35" t="n">
        <f aca="false">na_vr28</f>
        <v>1</v>
      </c>
      <c r="K8527" s="35" t="n">
        <f aca="false">na_vr28</f>
        <v>1</v>
      </c>
      <c r="L8527" s="35" t="n">
        <f aca="false">na_vr28</f>
        <v>1</v>
      </c>
      <c r="M8527" s="35" t="n">
        <f aca="false">na_vr28</f>
        <v>1</v>
      </c>
    </row>
    <row r="8528" customFormat="false" ht="17.15" hidden="false" customHeight="false" outlineLevel="0" collapsed="false">
      <c r="A8528" s="5" t="s">
        <v>600</v>
      </c>
      <c r="B8528" s="0" t="s">
        <v>173</v>
      </c>
      <c r="F8528" s="36" t="n">
        <f aca="false">cust_sh*tk_he_gb300*cf_chip+(1-cust_sh)*((1-Sens!$F$8527)*tk_he_gb300+Sens!$F$8527*tk_he_vr200)</f>
        <v>10.8864110021101</v>
      </c>
      <c r="G8528" s="36" t="n">
        <f aca="false">cust_sh*tk_he_gb300*cf_chip+(1-cust_sh)*((1-Sens!$G$8527)*tk_he_gb300+Sens!$G$8527*tk_he_vr200)</f>
        <v>10.8864110021101</v>
      </c>
      <c r="H8528" s="36" t="n">
        <f aca="false">cust_sh*tk_he_gb300*cf_chip+(1-cust_sh)*((1-Sens!$H$8527)*tk_he_gb300+Sens!$H$8527*tk_he_vr200)</f>
        <v>11.2211760027286</v>
      </c>
      <c r="I8528" s="36" t="n">
        <f aca="false">cust_sh*tk_he_gb300*cf_chip+(1-cust_sh)*((1-Sens!$I$8527)*tk_he_gb300+Sens!$I$8527*tk_he_vr200)</f>
        <v>11.5559410033471</v>
      </c>
      <c r="J8528" s="36" t="n">
        <f aca="false">cust_sh*tk_he_gb300*cf_chip+(1-cust_sh)*((1-Sens!$J$8527)*tk_he_gb300+Sens!$J$8527*tk_he_vr200)</f>
        <v>11.5559410033471</v>
      </c>
      <c r="K8528" s="36" t="n">
        <f aca="false">cust_sh*tk_he_gb300*cf_chip+(1-cust_sh)*((1-Sens!$K$8527)*tk_he_gb300+Sens!$K$8527*tk_he_vr200)</f>
        <v>11.5559410033471</v>
      </c>
      <c r="L8528" s="36" t="n">
        <f aca="false">cust_sh*tk_he_gb300*cf_chip+(1-cust_sh)*((1-Sens!$L$8527)*tk_he_gb300+Sens!$L$8527*tk_he_vr200)</f>
        <v>11.5559410033471</v>
      </c>
      <c r="M8528" s="36" t="n">
        <f aca="false">cust_sh*tk_he_gb300*cf_chip+(1-cust_sh)*((1-Sens!$M$8527)*tk_he_gb300+Sens!$M$8527*tk_he_vr200)</f>
        <v>11.5559410033471</v>
      </c>
    </row>
    <row r="8529" customFormat="false" ht="17.15" hidden="false" customHeight="false" outlineLevel="0" collapsed="false">
      <c r="A8529" s="5" t="s">
        <v>601</v>
      </c>
      <c r="B8529" s="0" t="s">
        <v>173</v>
      </c>
      <c r="F8529" s="36" t="n">
        <f aca="false">cust_sh*tk_ox_gb300+(1-cust_sh)*((1-Sens!$F$8527)*tk_ox_gb300+Sens!$F$8527*tk_ox_vr200)</f>
        <v>1.98263481314457</v>
      </c>
      <c r="G8529" s="36" t="n">
        <f aca="false">cust_sh*tk_ox_gb300+(1-cust_sh)*((1-Sens!$G$8527)*tk_ox_gb300+Sens!$G$8527*tk_ox_vr200)</f>
        <v>1.98263481314457</v>
      </c>
      <c r="H8529" s="36" t="n">
        <f aca="false">cust_sh*tk_ox_gb300+(1-cust_sh)*((1-Sens!$H$8527)*tk_ox_gb300+Sens!$H$8527*tk_ox_vr200)</f>
        <v>2.01034999693694</v>
      </c>
      <c r="I8529" s="36" t="n">
        <f aca="false">cust_sh*tk_ox_gb300+(1-cust_sh)*((1-Sens!$I$8527)*tk_ox_gb300+Sens!$I$8527*tk_ox_vr200)</f>
        <v>2.0380651807293</v>
      </c>
      <c r="J8529" s="36" t="n">
        <f aca="false">cust_sh*tk_ox_gb300+(1-cust_sh)*((1-Sens!$J$8527)*tk_ox_gb300+Sens!$J$8527*tk_ox_vr200)</f>
        <v>2.0380651807293</v>
      </c>
      <c r="K8529" s="36" t="n">
        <f aca="false">cust_sh*tk_ox_gb300+(1-cust_sh)*((1-Sens!$K$8527)*tk_ox_gb300+Sens!$K$8527*tk_ox_vr200)</f>
        <v>2.0380651807293</v>
      </c>
      <c r="L8529" s="36" t="n">
        <f aca="false">cust_sh*tk_ox_gb300+(1-cust_sh)*((1-Sens!$L$8527)*tk_ox_gb300+Sens!$L$8527*tk_ox_vr200)</f>
        <v>2.0380651807293</v>
      </c>
      <c r="M8529" s="36" t="n">
        <f aca="false">cust_sh*tk_ox_gb300+(1-cust_sh)*((1-Sens!$M$8527)*tk_ox_gb300+Sens!$M$8527*tk_ox_vr200)</f>
        <v>2.0380651807293</v>
      </c>
    </row>
    <row r="8530" customFormat="false" ht="17.15" hidden="false" customHeight="false" outlineLevel="0" collapsed="false">
      <c r="A8530" s="5" t="s">
        <v>602</v>
      </c>
      <c r="B8530" s="0" t="s">
        <v>192</v>
      </c>
      <c r="F8530" s="36" t="n">
        <f aca="false">cust_sh*tk_cx_gb300*cf_cx+(1-cust_sh)*((1-Sens!$F$8527)*tk_cx_gb300+Sens!$F$8527*tk_cx_vr200)</f>
        <v>32.237224</v>
      </c>
      <c r="G8530" s="36" t="n">
        <f aca="false">cust_sh*tk_cx_gb300*cf_cx+(1-cust_sh)*((1-Sens!$G$8527)*tk_cx_gb300+Sens!$G$8527*tk_cx_vr200)</f>
        <v>32.237224</v>
      </c>
      <c r="H8530" s="36" t="n">
        <f aca="false">cust_sh*tk_cx_gb300*cf_cx+(1-cust_sh)*((1-Sens!$H$8527)*tk_cx_gb300+Sens!$H$8527*tk_cx_vr200)</f>
        <v>33.574506</v>
      </c>
      <c r="I8530" s="36" t="n">
        <f aca="false">cust_sh*tk_cx_gb300*cf_cx+(1-cust_sh)*((1-Sens!$I$8527)*tk_cx_gb300+Sens!$I$8527*tk_cx_vr200)</f>
        <v>34.911788</v>
      </c>
      <c r="J8530" s="36" t="n">
        <f aca="false">cust_sh*tk_cx_gb300*cf_cx+(1-cust_sh)*((1-Sens!$J$8527)*tk_cx_gb300+Sens!$J$8527*tk_cx_vr200)</f>
        <v>34.911788</v>
      </c>
      <c r="K8530" s="36" t="n">
        <f aca="false">cust_sh*tk_cx_gb300*cf_cx+(1-cust_sh)*((1-Sens!$K$8527)*tk_cx_gb300+Sens!$K$8527*tk_cx_vr200)</f>
        <v>34.911788</v>
      </c>
      <c r="L8530" s="36" t="n">
        <f aca="false">cust_sh*tk_cx_gb300*cf_cx+(1-cust_sh)*((1-Sens!$L$8527)*tk_cx_gb300+Sens!$L$8527*tk_cx_vr200)</f>
        <v>34.911788</v>
      </c>
      <c r="M8530" s="36" t="n">
        <f aca="false">cust_sh*tk_cx_gb300*cf_cx+(1-cust_sh)*((1-Sens!$M$8527)*tk_cx_gb300+Sens!$M$8527*tk_cx_vr200)</f>
        <v>34.911788</v>
      </c>
    </row>
    <row r="8531" customFormat="false" ht="17.15" hidden="false" customHeight="false" outlineLevel="0" collapsed="false">
      <c r="A8531" s="5" t="s">
        <v>603</v>
      </c>
      <c r="B8531" s="0" t="s">
        <v>129</v>
      </c>
      <c r="F8531" s="32" t="n">
        <f aca="false">Sens!$F$8521-mw_open</f>
        <v>1817.15</v>
      </c>
      <c r="G8531" s="32" t="n">
        <f aca="false">Sens!$F$8531</f>
        <v>1817.15</v>
      </c>
      <c r="H8531" s="32" t="n">
        <f aca="false">Sens!$H$8521-mw_open</f>
        <v>5451.45</v>
      </c>
      <c r="I8531" s="32" t="n">
        <f aca="false">Sens!$I$8521-mw_open</f>
        <v>9085.75</v>
      </c>
      <c r="J8531" s="32" t="n">
        <f aca="false">Sens!$J$8521-mw_open</f>
        <v>12720.05</v>
      </c>
      <c r="K8531" s="32" t="n">
        <f aca="false">Sens!$K$8521-mw_open</f>
        <v>15340.2506666667</v>
      </c>
      <c r="L8531" s="32" t="n">
        <f aca="false">Sens!$L$8521-mw_open</f>
        <v>16946.352</v>
      </c>
      <c r="M8531" s="32" t="n">
        <f aca="false">Sens!$M$8521-mw_open</f>
        <v>17538.354</v>
      </c>
    </row>
    <row r="8532" customFormat="false" ht="17.15" hidden="false" customHeight="false" outlineLevel="0" collapsed="false">
      <c r="A8532" s="0" t="s">
        <v>604</v>
      </c>
      <c r="B8532" s="0" t="s">
        <v>605</v>
      </c>
      <c r="F8532" s="32" t="n">
        <f aca="false">Sens!$F$8524*Sens!$F$8528</f>
        <v>19782.2417524844</v>
      </c>
      <c r="G8532" s="32" t="n">
        <f aca="false">Sens!$F$8532</f>
        <v>19782.2417524844</v>
      </c>
      <c r="H8532" s="32" t="n">
        <f aca="false">Sens!$G$8532+Sens!$H$8524*Sens!$H$8528</f>
        <v>60563.3616992009</v>
      </c>
      <c r="I8532" s="32" t="n">
        <f aca="false">Sens!$H$8532+Sens!$I$8524*Sens!$I$8528</f>
        <v>102561.118087665</v>
      </c>
      <c r="J8532" s="32" t="n">
        <f aca="false">Sens!$I$8532+Sens!$J$8524*Sens!$J$8528</f>
        <v>144558.87447613</v>
      </c>
      <c r="K8532" s="32" t="n">
        <f aca="false">Sens!$J$8532+Sens!$K$8524*Sens!$K$8528</f>
        <v>174837.75879706</v>
      </c>
      <c r="L8532" s="32" t="n">
        <f aca="false">Sens!$K$8532+Sens!$L$8524*Sens!$L$8528</f>
        <v>193397.771050458</v>
      </c>
      <c r="M8532" s="32" t="n">
        <f aca="false">Sens!$L$8532+Sens!$M$8524*Sens!$M$8528</f>
        <v>200238.911236321</v>
      </c>
    </row>
    <row r="8533" customFormat="false" ht="17.15" hidden="false" customHeight="false" outlineLevel="0" collapsed="false">
      <c r="A8533" s="0" t="s">
        <v>606</v>
      </c>
      <c r="B8533" s="0" t="s">
        <v>605</v>
      </c>
      <c r="F8533" s="32" t="n">
        <f aca="false">Sens!$F$8524*Sens!$F$8529</f>
        <v>3602.74485070566</v>
      </c>
      <c r="G8533" s="32" t="n">
        <f aca="false">Sens!$F$8533</f>
        <v>3602.74485070566</v>
      </c>
      <c r="H8533" s="32" t="n">
        <f aca="false">Sens!$G$8533+Sens!$H$8524*Sens!$H$8529</f>
        <v>10908.9598445736</v>
      </c>
      <c r="I8533" s="32" t="n">
        <f aca="false">Sens!$H$8533+Sens!$I$8524*Sens!$I$8529</f>
        <v>18315.9001308981</v>
      </c>
      <c r="J8533" s="32" t="n">
        <f aca="false">Sens!$I$8533+Sens!$J$8524*Sens!$J$8529</f>
        <v>25722.8404172225</v>
      </c>
      <c r="K8533" s="32" t="n">
        <f aca="false">Sens!$J$8533+Sens!$K$8524*Sens!$K$8529</f>
        <v>31062.9801624796</v>
      </c>
      <c r="L8533" s="32" t="n">
        <f aca="false">Sens!$K$8533+Sens!$L$8524*Sens!$L$8529</f>
        <v>34336.3193666691</v>
      </c>
      <c r="M8533" s="32" t="n">
        <f aca="false">Sens!$L$8533+Sens!$M$8524*Sens!$M$8529</f>
        <v>35542.8580297913</v>
      </c>
    </row>
    <row r="8534" customFormat="false" ht="17.15" hidden="false" customHeight="false" outlineLevel="0" collapsed="false">
      <c r="A8534" s="5" t="s">
        <v>607</v>
      </c>
      <c r="B8534" s="0" t="s">
        <v>173</v>
      </c>
      <c r="F8534" s="36" t="n">
        <f aca="false">IF(Sens!$F$8531&gt;0,Sens!$F$8532/Sens!$F$8531,Sens!$F$8528)</f>
        <v>10.8864110021101</v>
      </c>
      <c r="G8534" s="36" t="n">
        <f aca="false">IF(Sens!$G$8531&gt;0,Sens!$G$8532/Sens!$G$8531,Sens!$G$8528)</f>
        <v>10.8864110021101</v>
      </c>
      <c r="H8534" s="36" t="n">
        <f aca="false">IF(Sens!$H$8531&gt;0,Sens!$H$8532/Sens!$H$8531,Sens!$H$8528)</f>
        <v>11.1095876691891</v>
      </c>
      <c r="I8534" s="36" t="n">
        <f aca="false">IF(Sens!$I$8531&gt;0,Sens!$I$8532/Sens!$I$8531,Sens!$I$8528)</f>
        <v>11.2881290028523</v>
      </c>
      <c r="J8534" s="36" t="n">
        <f aca="false">IF(Sens!$J$8531&gt;0,Sens!$J$8532/Sens!$J$8531,Sens!$J$8528)</f>
        <v>11.3646467172794</v>
      </c>
      <c r="K8534" s="36" t="n">
        <f aca="false">IF(Sens!$K$8531&gt;0,Sens!$K$8532/Sens!$K$8531,Sens!$K$8528)</f>
        <v>11.3973208519318</v>
      </c>
      <c r="L8534" s="36" t="n">
        <f aca="false">IF(Sens!$L$8531&gt;0,Sens!$L$8532/Sens!$L$8531,Sens!$L$8528)</f>
        <v>11.4123541780825</v>
      </c>
      <c r="M8534" s="36" t="n">
        <f aca="false">IF(Sens!$M$8531&gt;0,Sens!$M$8532/Sens!$M$8531,Sens!$M$8528)</f>
        <v>11.4172009092941</v>
      </c>
    </row>
    <row r="8535" customFormat="false" ht="17.15" hidden="false" customHeight="false" outlineLevel="0" collapsed="false">
      <c r="A8535" s="5" t="s">
        <v>608</v>
      </c>
      <c r="B8535" s="0" t="s">
        <v>173</v>
      </c>
      <c r="F8535" s="36" t="n">
        <f aca="false">IF(Sens!$F$8531&gt;0,Sens!$F$8533/Sens!$F$8531,Sens!$F$8529)</f>
        <v>1.98263481314457</v>
      </c>
      <c r="G8535" s="36" t="n">
        <f aca="false">IF(Sens!$G$8531&gt;0,Sens!$G$8533/Sens!$G$8531,Sens!$G$8529)</f>
        <v>1.98263481314457</v>
      </c>
      <c r="H8535" s="36" t="n">
        <f aca="false">IF(Sens!$H$8531&gt;0,Sens!$H$8533/Sens!$H$8531,Sens!$H$8529)</f>
        <v>2.00111160233948</v>
      </c>
      <c r="I8535" s="36" t="n">
        <f aca="false">IF(Sens!$I$8531&gt;0,Sens!$I$8533/Sens!$I$8531,Sens!$I$8529)</f>
        <v>2.01589303369541</v>
      </c>
      <c r="J8535" s="36" t="n">
        <f aca="false">IF(Sens!$J$8531&gt;0,Sens!$J$8533/Sens!$J$8531,Sens!$J$8529)</f>
        <v>2.02222793284795</v>
      </c>
      <c r="K8535" s="36" t="n">
        <f aca="false">IF(Sens!$K$8531&gt;0,Sens!$K$8533/Sens!$K$8531,Sens!$K$8529)</f>
        <v>2.02493302342036</v>
      </c>
      <c r="L8535" s="36" t="n">
        <f aca="false">IF(Sens!$L$8531&gt;0,Sens!$L$8533/Sens!$L$8531,Sens!$L$8529)</f>
        <v>2.02617763201597</v>
      </c>
      <c r="M8535" s="36" t="n">
        <f aca="false">IF(Sens!$M$8531&gt;0,Sens!$M$8533/Sens!$M$8531,Sens!$M$8529)</f>
        <v>2.02657889273938</v>
      </c>
    </row>
    <row r="8536" customFormat="false" ht="17.15" hidden="false" customHeight="false" outlineLevel="0" collapsed="false">
      <c r="A8536" s="15" t="s">
        <v>609</v>
      </c>
      <c r="B8536" s="14" t="s">
        <v>173</v>
      </c>
      <c r="C8536" s="14"/>
      <c r="D8536" s="14"/>
      <c r="E8536" s="14"/>
      <c r="F8536" s="37" t="n">
        <f aca="false">Sens!$F$8534*k_B</f>
        <v>10.7987645808025</v>
      </c>
      <c r="G8536" s="37" t="n">
        <f aca="false">Sens!$G$8534*k_B</f>
        <v>10.7987645808025</v>
      </c>
      <c r="H8536" s="37" t="n">
        <f aca="false">Sens!$H$8534*k_B</f>
        <v>11.0201444540452</v>
      </c>
      <c r="I8536" s="37" t="n">
        <f aca="false">Sens!$I$8534*k_B</f>
        <v>11.1972483526393</v>
      </c>
      <c r="J8536" s="37" t="n">
        <f aca="false">Sens!$J$8534*k_B</f>
        <v>11.2731500234653</v>
      </c>
      <c r="K8536" s="37" t="n">
        <f aca="false">Sens!$K$8534*k_B</f>
        <v>11.3055610988807</v>
      </c>
      <c r="L8536" s="37" t="n">
        <f aca="false">Sens!$L$8534*k_B</f>
        <v>11.3204733918244</v>
      </c>
      <c r="M8536" s="37" t="n">
        <f aca="false">Sens!$M$8534*k_B</f>
        <v>11.3252811020357</v>
      </c>
      <c r="N8536" s="14"/>
      <c r="O8536" s="14"/>
      <c r="P8536" s="5" t="s">
        <v>610</v>
      </c>
    </row>
    <row r="8537" customFormat="false" ht="17.15" hidden="false" customHeight="false" outlineLevel="0" collapsed="false">
      <c r="A8537" s="5" t="s">
        <v>611</v>
      </c>
      <c r="B8537" s="0" t="s">
        <v>129</v>
      </c>
      <c r="F8537" s="32" t="n">
        <f aca="false">Sens!$F$8531/2</f>
        <v>908.575</v>
      </c>
      <c r="H8537" s="32" t="n">
        <f aca="false">(Sens!$G$8531+Sens!$H$8531)/2</f>
        <v>3634.3</v>
      </c>
      <c r="I8537" s="32" t="n">
        <f aca="false">(Sens!$H$8531+Sens!$I$8531)/2</f>
        <v>7268.6</v>
      </c>
      <c r="J8537" s="32" t="n">
        <f aca="false">(Sens!$I$8531+Sens!$J$8531)/2</f>
        <v>10902.9</v>
      </c>
      <c r="K8537" s="32" t="n">
        <f aca="false">(Sens!$J$8531+Sens!$K$8531)/2</f>
        <v>14030.1503333333</v>
      </c>
      <c r="L8537" s="32" t="n">
        <f aca="false">(Sens!$K$8531+Sens!$L$8531)/2</f>
        <v>16143.3013333333</v>
      </c>
      <c r="M8537" s="32" t="n">
        <f aca="false">(Sens!$L$8531+Sens!$M$8531)/2</f>
        <v>17242.353</v>
      </c>
    </row>
    <row r="8538" customFormat="false" ht="17.15" hidden="false" customHeight="false" outlineLevel="0" collapsed="false">
      <c r="A8538" s="1" t="s">
        <v>612</v>
      </c>
    </row>
    <row r="8539" customFormat="false" ht="17.15" hidden="false" customHeight="false" outlineLevel="0" collapsed="false">
      <c r="A8539" s="1" t="s">
        <v>613</v>
      </c>
      <c r="B8539" s="8" t="s">
        <v>86</v>
      </c>
      <c r="C8539" s="38" t="n">
        <f aca="false">Sens!$C$8522*rpm_open*Sens!$C$8523/1000</f>
        <v>2.32100535697364</v>
      </c>
      <c r="D8539" s="38" t="n">
        <f aca="false">Sens!$D$8522*rpm_open*Sens!$D$8523/1000</f>
        <v>8.70377008865116</v>
      </c>
      <c r="E8539" s="38" t="n">
        <f aca="false">Sens!$E$8522*rpm_open*Sens!$E$8523/1000</f>
        <v>8.51035297557002</v>
      </c>
      <c r="F8539" s="38" t="n">
        <f aca="false">(mw_open*rpm_open+Sens!$F$8537*Sens!$F$8536)*Sens!$F$8523/1000</f>
        <v>14.9634336447205</v>
      </c>
      <c r="G8539" s="38" t="n">
        <f aca="false">Sens!$E$8539+Sens!$F$8539</f>
        <v>23.4737866202905</v>
      </c>
      <c r="H8539" s="38" t="n">
        <f aca="false">(mw_open*rpm_open+Sens!$H$8537*Sens!$H$8536)/1000</f>
        <v>60.1658907497746</v>
      </c>
      <c r="I8539" s="38" t="n">
        <f aca="false">(mw_open*rpm_open+Sens!$I$8537*Sens!$I$8536)/1000</f>
        <v>101.503699136432</v>
      </c>
      <c r="J8539" s="38" t="n">
        <f aca="false">(mw_open*rpm_open+Sens!$J$8537*Sens!$J$8536)/1000</f>
        <v>143.025407151278</v>
      </c>
      <c r="K8539" s="38" t="n">
        <f aca="false">(mw_open*rpm_open+Sens!$K$8537*Sens!$K$8536)/1000</f>
        <v>178.73410158042</v>
      </c>
      <c r="L8539" s="38" t="n">
        <f aca="false">(mw_open*rpm_open+Sens!$L$8537*Sens!$L$8536)/1000</f>
        <v>202.865192960641</v>
      </c>
      <c r="M8539" s="38" t="n">
        <f aca="false">(mw_open*rpm_open+Sens!$M$8537*Sens!$M$8536)/1000</f>
        <v>215.389874345967</v>
      </c>
      <c r="N8539" s="38" t="n">
        <f aca="false">Sens!$N$8522*rpm_open*Sens!$N$8523/1000</f>
        <v>3.04631953102791</v>
      </c>
      <c r="O8539" s="38" t="n">
        <f aca="false">Sens!$O$8522*rpm_open*Sens!$O$8523/1000</f>
        <v>5.65745055762326</v>
      </c>
      <c r="P8539" s="5" t="s">
        <v>614</v>
      </c>
    </row>
    <row r="8540" customFormat="false" ht="17.15" hidden="false" customHeight="false" outlineLevel="0" collapsed="false">
      <c r="A8540" s="5" t="s">
        <v>615</v>
      </c>
      <c r="B8540" s="0" t="s">
        <v>173</v>
      </c>
      <c r="C8540" s="36" t="n">
        <f aca="false">Sens!$C$8539*1000/(Sens!$C$8522*Sens!$C$8523)</f>
        <v>9.67085565405685</v>
      </c>
      <c r="D8540" s="36" t="n">
        <f aca="false">Sens!$D$8539*1000/(Sens!$D$8522*Sens!$D$8523)</f>
        <v>9.67085565405685</v>
      </c>
      <c r="E8540" s="36" t="n">
        <f aca="false">Sens!$E$8539*1000/(Sens!$E$8522*Sens!$E$8523)</f>
        <v>9.67085565405685</v>
      </c>
      <c r="F8540" s="36" t="n">
        <f aca="false">Sens!$F$8539*1000/(Sens!$F$8522*Sens!$F$8523)</f>
        <v>10.0137581588017</v>
      </c>
      <c r="G8540" s="36" t="n">
        <f aca="false">Sens!$G$8539*1000/(Sens!$G$8522*Sens!$G$8523)</f>
        <v>9.88666562928478</v>
      </c>
      <c r="H8540" s="36" t="n">
        <f aca="false">Sens!$H$8539*1000/(Sens!$H$8522*Sens!$H$8523)</f>
        <v>10.5290045586992</v>
      </c>
      <c r="I8540" s="36" t="n">
        <f aca="false">Sens!$I$8539*1000/(Sens!$I$8522*Sens!$I$8523)</f>
        <v>10.8576363451674</v>
      </c>
      <c r="J8540" s="36" t="n">
        <f aca="false">Sens!$J$8539*1000/(Sens!$J$8522*Sens!$J$8523)</f>
        <v>11.0164452588619</v>
      </c>
      <c r="K8540" s="36" t="n">
        <f aca="false">Sens!$K$8539*1000/(Sens!$K$8522*Sens!$K$8523)</f>
        <v>11.0945024026625</v>
      </c>
      <c r="L8540" s="36" t="n">
        <f aca="false">Sens!$L$8539*1000/(Sens!$L$8522*Sens!$L$8523)</f>
        <v>11.1321867124904</v>
      </c>
      <c r="M8540" s="36" t="n">
        <f aca="false">Sens!$M$8539*1000/(Sens!$M$8522*Sens!$M$8523)</f>
        <v>11.1471865950263</v>
      </c>
      <c r="N8540" s="36" t="n">
        <f aca="false">Sens!$N$8539*1000/(Sens!$N$8522*Sens!$N$8523)</f>
        <v>9.67085565405685</v>
      </c>
      <c r="O8540" s="36" t="n">
        <f aca="false">Sens!$O$8539*1000/(Sens!$O$8522*Sens!$O$8523)</f>
        <v>9.67085565405685</v>
      </c>
    </row>
    <row r="8541" customFormat="false" ht="17.15" hidden="false" customHeight="false" outlineLevel="0" collapsed="false">
      <c r="A8541" s="0" t="s">
        <v>616</v>
      </c>
      <c r="B8541" s="0" t="s">
        <v>86</v>
      </c>
      <c r="C8541" s="38" t="n">
        <f aca="false">Sens!$C$8522/ext_sh*(ox_open+rent_mw)*Sens!$C$8523/1000</f>
        <v>0.642569210675032</v>
      </c>
      <c r="D8541" s="38" t="n">
        <f aca="false">Sens!$D$8522/ext_sh*(ox_open+rent_mw)*Sens!$D$8523/1000</f>
        <v>2.40963454003137</v>
      </c>
      <c r="E8541" s="38" t="n">
        <f aca="false">Sens!$E$8522/ext_sh*(ox_open+rent_mw)*Sens!$E$8523/1000</f>
        <v>2.35608710580845</v>
      </c>
      <c r="F8541" s="38" t="n">
        <f aca="false">((mw_open*ox_open+Sens!$F$8537*Sens!$F$8535)/ext_sh+Sens!$F$8522/ext_sh*rent_mw)*Sens!$F$8523/1000</f>
        <v>4.05421991106232</v>
      </c>
      <c r="G8541" s="38" t="n">
        <f aca="false">Sens!$E$8541+Sens!$F$8541</f>
        <v>6.41030701687077</v>
      </c>
      <c r="H8541" s="38" t="n">
        <f aca="false">((mw_open*ox_open+Sens!$H$8537*Sens!$H$8535)/ext_sh+Sens!$H$8522/ext_sh*rent_mw)*Sens!$H$8523/1000</f>
        <v>15.8108975546616</v>
      </c>
      <c r="I8541" s="38" t="n">
        <f aca="false">((mw_open*ox_open+Sens!$I$8537*Sens!$I$8535)/ext_sh+Sens!$I$8522/ext_sh*rent_mw)*Sens!$I$8523/1000</f>
        <v>26.1871623400817</v>
      </c>
      <c r="J8541" s="38" t="n">
        <f aca="false">((mw_open*ox_open+Sens!$J$8537*Sens!$J$8535)/ext_sh+Sens!$J$8522/ext_sh*rent_mw)*Sens!$J$8523/1000</f>
        <v>36.5826128954935</v>
      </c>
      <c r="K8541" s="38" t="n">
        <f aca="false">((mw_open*ox_open+Sens!$K$8537*Sens!$K$8535)/ext_sh+Sens!$K$8522/ext_sh*rent_mw)*Sens!$K$8523/1000</f>
        <v>45.5256266941655</v>
      </c>
      <c r="L8541" s="38" t="n">
        <f aca="false">((mw_open*ox_open+Sens!$L$8537*Sens!$L$8535)/ext_sh+Sens!$L$8522/ext_sh*rent_mw)*Sens!$L$8523/1000</f>
        <v>51.568818942134</v>
      </c>
      <c r="M8541" s="38" t="n">
        <f aca="false">((mw_open*ox_open+Sens!$M$8537*Sens!$M$8535)/ext_sh+Sens!$M$8522/ext_sh*rent_mw)*Sens!$M$8523/1000</f>
        <v>54.7091842856355</v>
      </c>
      <c r="N8541" s="38" t="n">
        <f aca="false">Sens!$N$8522/ext_sh*(ox_open+rent_mw)*Sens!$N$8523/1000</f>
        <v>0.84337208901098</v>
      </c>
      <c r="O8541" s="38" t="n">
        <f aca="false">Sens!$O$8522/ext_sh*(ox_open+rent_mw)*Sens!$O$8523/1000</f>
        <v>1.56626245102039</v>
      </c>
    </row>
    <row r="8542" customFormat="false" ht="17.15" hidden="false" customHeight="false" outlineLevel="0" collapsed="false">
      <c r="A8542" s="0" t="s">
        <v>617</v>
      </c>
      <c r="B8542" s="0" t="s">
        <v>86</v>
      </c>
      <c r="C8542" s="38" t="n">
        <f aca="false">Q!$D$7</f>
        <v>107.556</v>
      </c>
      <c r="D8542" s="38" t="n">
        <f aca="false">Q!$E$7</f>
        <v>128.725</v>
      </c>
      <c r="E8542" s="38" t="n">
        <f aca="false">Q!$P$7</f>
        <v>79.819</v>
      </c>
      <c r="N8542" s="38" t="n">
        <f aca="false">Q!$N$7</f>
        <v>60.14</v>
      </c>
      <c r="O8542" s="38" t="n">
        <f aca="false">Q!$O$7</f>
        <v>68.585</v>
      </c>
    </row>
    <row r="8543" customFormat="false" ht="17.15" hidden="false" customHeight="false" outlineLevel="0" collapsed="false">
      <c r="A8543" s="1" t="s">
        <v>618</v>
      </c>
      <c r="B8543" s="8" t="s">
        <v>86</v>
      </c>
      <c r="C8543" s="38" t="n">
        <f aca="false">Sens!$C$8542-Sens!$C$8539</f>
        <v>105.234994643026</v>
      </c>
      <c r="D8543" s="38" t="n">
        <f aca="false">Sens!$D$8542-Sens!$D$8539</f>
        <v>120.021229911349</v>
      </c>
      <c r="E8543" s="38" t="n">
        <f aca="false">Sens!$E$8542-Sens!$E$8539</f>
        <v>71.30864702443</v>
      </c>
      <c r="F8543" s="38" t="n">
        <f aca="false">Sens!$O$8543*(1+Sens!$F$8544)</f>
        <v>71.7692997942464</v>
      </c>
      <c r="G8543" s="38" t="n">
        <f aca="false">Sens!$E$8543+Sens!$F$8543</f>
        <v>143.077946818676</v>
      </c>
      <c r="H8543" s="38" t="n">
        <f aca="false">Sens!$G$8543*(1+Sens!$H$8544)</f>
        <v>161.017077079203</v>
      </c>
      <c r="I8543" s="38" t="n">
        <f aca="false">Sens!$H$8543*(1+Sens!$I$8544)</f>
        <v>178.769759521457</v>
      </c>
      <c r="J8543" s="38" t="n">
        <f aca="false">Sens!$I$8543*(1+Sens!$J$8544)</f>
        <v>195.775538045907</v>
      </c>
      <c r="K8543" s="38" t="n">
        <f aca="false">Sens!$J$8543*(1+Sens!$K$8544)</f>
        <v>211.43758108958</v>
      </c>
      <c r="L8543" s="38" t="n">
        <f aca="false">Sens!$K$8543*(1+Sens!$L$8544)</f>
        <v>228.352587576746</v>
      </c>
      <c r="M8543" s="38" t="n">
        <f aca="false">Sens!$L$8543*(1+Sens!$M$8544)</f>
        <v>246.620794582886</v>
      </c>
      <c r="N8543" s="38" t="n">
        <f aca="false">Sens!$N$8542-Sens!$N$8539</f>
        <v>57.0936804689721</v>
      </c>
      <c r="O8543" s="38" t="n">
        <f aca="false">Sens!$O$8542-Sens!$O$8539</f>
        <v>62.9275494423768</v>
      </c>
      <c r="P8543" s="5" t="s">
        <v>619</v>
      </c>
    </row>
    <row r="8544" customFormat="false" ht="17.15" hidden="false" customHeight="false" outlineLevel="0" collapsed="false">
      <c r="A8544" s="0" t="s">
        <v>620</v>
      </c>
      <c r="B8544" s="0" t="s">
        <v>52</v>
      </c>
      <c r="D8544" s="13" t="n">
        <f aca="false">Sens!$D$8543/Sens!$C$8543-1</f>
        <v>0.140506827776062</v>
      </c>
      <c r="E8544" s="13" t="n">
        <f aca="false">Sens!$E$8543/Sens!$N$8543-1</f>
        <v>0.248976181579029</v>
      </c>
      <c r="F8544" s="13" t="n">
        <f aca="false">Sens!$D$8544</f>
        <v>0.140506827776062</v>
      </c>
      <c r="G8544" s="13" t="n">
        <f aca="false">Sens!$G$8543/Sens!$D$8543-1</f>
        <v>0.19210532106993</v>
      </c>
      <c r="H8544" s="13" t="n">
        <f aca="false">Sens!$F$8544+(g_awso_lt-Sens!$F$8544)*1/4</f>
        <v>0.125380120832046</v>
      </c>
      <c r="I8544" s="13" t="n">
        <f aca="false">Sens!$F$8544+(g_awso_lt-Sens!$F$8544)*2/4</f>
        <v>0.110253413888031</v>
      </c>
      <c r="J8544" s="13" t="n">
        <f aca="false">Sens!$F$8544+(g_awso_lt-Sens!$F$8544)*3/4</f>
        <v>0.0951267069440154</v>
      </c>
      <c r="K8544" s="13" t="n">
        <f aca="false">Sens!$F$8544+(g_awso_lt-Sens!$F$8544)*4/4</f>
        <v>0.08</v>
      </c>
      <c r="L8544" s="13" t="n">
        <f aca="false">g_awso_lt</f>
        <v>0.08</v>
      </c>
      <c r="M8544" s="13" t="n">
        <f aca="false">g_awso_lt</f>
        <v>0.08</v>
      </c>
      <c r="P8544" s="5" t="s">
        <v>621</v>
      </c>
    </row>
    <row r="8545" customFormat="false" ht="17.15" hidden="false" customHeight="false" outlineLevel="0" collapsed="false">
      <c r="A8545" s="1" t="s">
        <v>622</v>
      </c>
    </row>
    <row r="8546" customFormat="false" ht="17.15" hidden="false" customHeight="false" outlineLevel="0" collapsed="false">
      <c r="A8546" s="0" t="s">
        <v>623</v>
      </c>
      <c r="B8546" s="0" t="s">
        <v>86</v>
      </c>
      <c r="F8546" s="38" t="n">
        <f aca="false">cx_rt*Sens!$F$8511+cx_awso*Sens!$F$8543</f>
        <v>34.9734495387866</v>
      </c>
    </row>
    <row r="8547" customFormat="false" ht="17.15" hidden="false" customHeight="false" outlineLevel="0" collapsed="false">
      <c r="A8547" s="0" t="s">
        <v>624</v>
      </c>
      <c r="B8547" s="0" t="s">
        <v>52</v>
      </c>
      <c r="C8547" s="13" t="n">
        <f aca="false">tk_cx_h100/(tk_cx_h100+tk_fac*(1-colo_sh))</f>
        <v>0.730756458006641</v>
      </c>
      <c r="D8547" s="13" t="n">
        <f aca="false">tk_cx_h100/(tk_cx_h100+tk_fac*(1-colo_sh))</f>
        <v>0.730756458006641</v>
      </c>
      <c r="E8547" s="13" t="n">
        <f aca="false">Sens!$F$8547</f>
        <v>0.760792334328868</v>
      </c>
      <c r="F8547" s="13" t="n">
        <f aca="false">Sens!$F$8530/(Sens!$F$8530+tk_fac*(1-colo_sh))</f>
        <v>0.760792334328868</v>
      </c>
      <c r="G8547" s="13" t="n">
        <f aca="false">Sens!$G$8530/(Sens!$G$8530+tk_fac*(1-colo_sh))</f>
        <v>0.760792334328868</v>
      </c>
      <c r="H8547" s="13" t="n">
        <f aca="false">Sens!$H$8530/(Sens!$H$8530+tk_fac*(1-colo_sh))</f>
        <v>0.768110668862996</v>
      </c>
      <c r="I8547" s="13" t="n">
        <f aca="false">Sens!$I$8530/(Sens!$I$8530+tk_fac*(1-colo_sh))</f>
        <v>0.77499450139483</v>
      </c>
      <c r="J8547" s="13" t="n">
        <f aca="false">Sens!$J$8530/(Sens!$J$8530+tk_fac*(1-colo_sh))</f>
        <v>0.77499450139483</v>
      </c>
      <c r="K8547" s="13" t="n">
        <f aca="false">Sens!$K$8530/(Sens!$K$8530+tk_fac*(1-colo_sh))</f>
        <v>0.77499450139483</v>
      </c>
      <c r="L8547" s="13" t="n">
        <f aca="false">Sens!$L$8530/(Sens!$L$8530+tk_fac*(1-colo_sh))</f>
        <v>0.77499450139483</v>
      </c>
      <c r="M8547" s="13" t="n">
        <f aca="false">Sens!$M$8530/(Sens!$M$8530+tk_fac*(1-colo_sh))</f>
        <v>0.77499450139483</v>
      </c>
    </row>
    <row r="8548" customFormat="false" ht="17.15" hidden="false" customHeight="false" outlineLevel="0" collapsed="false">
      <c r="A8548" s="1" t="s">
        <v>625</v>
      </c>
      <c r="B8548" s="8" t="s">
        <v>86</v>
      </c>
      <c r="C8548" s="38" t="n">
        <f aca="false">Q!$D$46-cx_rt*Q!$D$16-cx_awso*Sens!$C$8543</f>
        <v>25.2781053077374</v>
      </c>
      <c r="D8548" s="38" t="n">
        <f aca="false">Q!$E$46-cx_rt*Q!$E$16-cx_awso*Sens!$D$8543</f>
        <v>69.5686316310026</v>
      </c>
      <c r="E8548" s="38" t="n">
        <f aca="false">Q!$P$46-cx_rt*Q!$P$16-cx_awso*Sens!$E$8543</f>
        <v>64.1899206485108</v>
      </c>
      <c r="F8548" s="38" t="n">
        <f aca="false">MAX(Sens!$F$8525*(Sens!$F$8530+tk_fac*(1-colo_sh))/1000,capex_g26-Q!$P$46-Sens!$F$8546)</f>
        <v>96.2481299895</v>
      </c>
      <c r="G8548" s="38" t="n">
        <f aca="false">Sens!$E$8548+Sens!$F$8548</f>
        <v>160.438050638011</v>
      </c>
      <c r="H8548" s="38" t="n">
        <f aca="false">Sens!$H$8525*(Sens!$H$8530+tk_fac*(1-colo_sh))/1000+Sens!$H$8549</f>
        <v>198.57136494475</v>
      </c>
      <c r="I8548" s="38" t="n">
        <f aca="false">Sens!$I$8525*(Sens!$I$8530+tk_fac*(1-colo_sh))/1000+Sens!$I$8549</f>
        <v>204.6464699105</v>
      </c>
      <c r="J8548" s="38" t="n">
        <f aca="false">Sens!$J$8525*(Sens!$J$8530+tk_fac*(1-colo_sh))/1000+Sens!$J$8549</f>
        <v>209.8832381105</v>
      </c>
      <c r="K8548" s="38" t="n">
        <f aca="false">Sens!$K$8525*(Sens!$K$8530+tk_fac*(1-colo_sh))/1000+Sens!$K$8549</f>
        <v>158.016341586823</v>
      </c>
      <c r="L8548" s="38" t="n">
        <f aca="false">Sens!$L$8525*(Sens!$L$8530+tk_fac*(1-colo_sh))/1000+Sens!$L$8549</f>
        <v>137.570054263147</v>
      </c>
      <c r="M8548" s="38" t="n">
        <f aca="false">Sens!$M$8525*(Sens!$M$8530+tk_fac*(1-colo_sh))/1000+Sens!$M$8549</f>
        <v>140.56485059472</v>
      </c>
      <c r="P8548" s="5" t="s">
        <v>626</v>
      </c>
      <c r="R8548" s="38" t="n">
        <f aca="false">Q!$C$46-cx_rt*Q!$C$16-cx_awso*(Q!$C$7-mw_ye23/2*rpm_open/1000)</f>
        <v>1.50429979529945</v>
      </c>
      <c r="S8548" s="38" t="n">
        <f aca="false">Sens!$C$8548</f>
        <v>25.2781053077374</v>
      </c>
      <c r="T8548" s="38" t="n">
        <f aca="false">Sens!$D$8548</f>
        <v>69.5686316310026</v>
      </c>
      <c r="U8548" s="38" t="n">
        <f aca="false">Sens!$G$8548</f>
        <v>160.438050638011</v>
      </c>
      <c r="V8548" s="38" t="n">
        <f aca="false">Sens!$H$8548</f>
        <v>198.57136494475</v>
      </c>
      <c r="W8548" s="38" t="n">
        <f aca="false">Sens!$I$8548</f>
        <v>204.6464699105</v>
      </c>
      <c r="X8548" s="38" t="n">
        <f aca="false">Sens!$J$8548</f>
        <v>209.8832381105</v>
      </c>
      <c r="Y8548" s="38" t="n">
        <f aca="false">Sens!$K$8548</f>
        <v>158.016341586823</v>
      </c>
      <c r="Z8548" s="38" t="n">
        <f aca="false">Sens!$L$8548</f>
        <v>137.570054263147</v>
      </c>
      <c r="AA8548" s="38" t="n">
        <f aca="false">Sens!$M$8548</f>
        <v>140.56485059472</v>
      </c>
    </row>
    <row r="8549" customFormat="false" ht="17.15" hidden="false" customHeight="false" outlineLevel="0" collapsed="false">
      <c r="A8549" s="0" t="s">
        <v>627</v>
      </c>
      <c r="B8549" s="0" t="s">
        <v>86</v>
      </c>
      <c r="H8549" s="38" t="n">
        <f aca="false">SUMPRODUCT(--(Sens!$R$8518:$AA$8518=2027-tk_life),Sens!$R$8525:$AA$8525)*Sens!$H$8530/1000</f>
        <v>0</v>
      </c>
      <c r="I8549" s="38" t="n">
        <f aca="false">SUMPRODUCT(--(Sens!$R$8518:$AA$8518=2028-tk_life),Sens!$R$8525:$AA$8525)*Sens!$I$8530/1000</f>
        <v>0</v>
      </c>
      <c r="J8549" s="38" t="n">
        <f aca="false">SUMPRODUCT(--(Sens!$R$8518:$AA$8518=2029-tk_life),Sens!$R$8525:$AA$8525)*Sens!$J$8530/1000</f>
        <v>5.2367682</v>
      </c>
      <c r="K8549" s="38" t="n">
        <f aca="false">SUMPRODUCT(--(Sens!$R$8518:$AA$8518=2030-tk_life),Sens!$R$8525:$AA$8525)*Sens!$K$8530/1000</f>
        <v>10.4735364</v>
      </c>
      <c r="L8549" s="38" t="n">
        <f aca="false">SUMPRODUCT(--(Sens!$R$8518:$AA$8518=2031-tk_life),Sens!$R$8525:$AA$8525)*Sens!$L$8530/1000</f>
        <v>47.1309138</v>
      </c>
      <c r="M8549" s="38" t="n">
        <f aca="false">SUMPRODUCT(--(Sens!$R$8518:$AA$8518=2032-tk_life),Sens!$R$8525:$AA$8525)*Sens!$M$8530/1000</f>
        <v>107.22937485525</v>
      </c>
    </row>
    <row r="8550" customFormat="false" ht="17.15" hidden="false" customHeight="false" outlineLevel="0" collapsed="false">
      <c r="A8550" s="5" t="s">
        <v>628</v>
      </c>
      <c r="B8550" s="0" t="s">
        <v>86</v>
      </c>
      <c r="C8550" s="38" t="n">
        <f aca="false">Sens!$C$8548*Sens!$C$8547</f>
        <v>18.472138699801</v>
      </c>
      <c r="D8550" s="38" t="n">
        <f aca="false">Sens!$D$8548*Sens!$D$8547</f>
        <v>50.8377268390402</v>
      </c>
      <c r="E8550" s="38" t="n">
        <f aca="false">Sens!$E$8548*Sens!$E$8547</f>
        <v>48.8351995705653</v>
      </c>
      <c r="F8550" s="38" t="n">
        <f aca="false">Sens!$F$8548*Sens!$F$8547</f>
        <v>73.2248394895</v>
      </c>
      <c r="G8550" s="38" t="n">
        <f aca="false">Sens!$E$8550+Sens!$F$8550</f>
        <v>122.060039060065</v>
      </c>
      <c r="H8550" s="38" t="n">
        <f aca="false">(Sens!$H$8548-Sens!$H$8549)*Sens!$H$8547+Sens!$H$8549</f>
        <v>152.52478394475</v>
      </c>
      <c r="I8550" s="38" t="n">
        <f aca="false">(Sens!$I$8548-Sens!$I$8549)*Sens!$I$8547+Sens!$I$8549</f>
        <v>158.5998889105</v>
      </c>
      <c r="J8550" s="38" t="n">
        <f aca="false">(Sens!$J$8548-Sens!$J$8549)*Sens!$J$8547+Sens!$J$8549</f>
        <v>163.8366571105</v>
      </c>
      <c r="K8550" s="38" t="n">
        <f aca="false">(Sens!$K$8548-Sens!$K$8549)*Sens!$K$8547+Sens!$K$8549</f>
        <v>124.818399140157</v>
      </c>
      <c r="L8550" s="38" t="n">
        <f aca="false">(Sens!$L$8548-Sens!$L$8549)*Sens!$L$8547+Sens!$L$8549</f>
        <v>117.220750369813</v>
      </c>
      <c r="M8550" s="38" t="n">
        <f aca="false">(Sens!$M$8548-Sens!$M$8549)*Sens!$M$8547+Sens!$M$8549</f>
        <v>133.06418525472</v>
      </c>
      <c r="R8550" s="38" t="n">
        <f aca="false">Sens!$R$8548*Sens!$C$8547</f>
        <v>1.09927679019314</v>
      </c>
      <c r="S8550" s="38" t="n">
        <f aca="false">Sens!$C$8550</f>
        <v>18.472138699801</v>
      </c>
      <c r="T8550" s="38" t="n">
        <f aca="false">Sens!$D$8550</f>
        <v>50.8377268390402</v>
      </c>
      <c r="U8550" s="38" t="n">
        <f aca="false">Sens!$G$8550</f>
        <v>122.060039060065</v>
      </c>
      <c r="V8550" s="38" t="n">
        <f aca="false">Sens!$H$8550</f>
        <v>152.52478394475</v>
      </c>
      <c r="W8550" s="38" t="n">
        <f aca="false">Sens!$I$8550</f>
        <v>158.5998889105</v>
      </c>
      <c r="X8550" s="38" t="n">
        <f aca="false">Sens!$J$8550</f>
        <v>163.8366571105</v>
      </c>
      <c r="Y8550" s="38" t="n">
        <f aca="false">Sens!$K$8550</f>
        <v>124.818399140157</v>
      </c>
      <c r="Z8550" s="38" t="n">
        <f aca="false">Sens!$L$8550</f>
        <v>117.220750369813</v>
      </c>
      <c r="AA8550" s="38" t="n">
        <f aca="false">Sens!$M$8550</f>
        <v>133.06418525472</v>
      </c>
    </row>
    <row r="8551" customFormat="false" ht="15" hidden="false" customHeight="false" outlineLevel="0" collapsed="false">
      <c r="A8551" s="5" t="s">
        <v>629</v>
      </c>
      <c r="B8551" s="0" t="s">
        <v>86</v>
      </c>
      <c r="C8551" s="38" t="n">
        <f aca="false">Sens!$C$8548-Sens!$C$8550</f>
        <v>6.80596660793636</v>
      </c>
      <c r="D8551" s="38" t="n">
        <f aca="false">Sens!$D$8548-Sens!$D$8550</f>
        <v>18.7309047919624</v>
      </c>
      <c r="E8551" s="38" t="n">
        <f aca="false">Sens!$E$8548-Sens!$E$8550</f>
        <v>15.3547210779455</v>
      </c>
      <c r="F8551" s="38" t="n">
        <f aca="false">Sens!$F$8548-Sens!$F$8550</f>
        <v>23.0232905</v>
      </c>
      <c r="G8551" s="38" t="n">
        <f aca="false">Sens!$G$8548-Sens!$G$8550</f>
        <v>38.3780115779455</v>
      </c>
      <c r="H8551" s="38" t="n">
        <f aca="false">Sens!$H$8548-Sens!$H$8550</f>
        <v>46.046581</v>
      </c>
      <c r="I8551" s="38" t="n">
        <f aca="false">Sens!$I$8548-Sens!$I$8550</f>
        <v>46.046581</v>
      </c>
      <c r="J8551" s="38" t="n">
        <f aca="false">Sens!$J$8548-Sens!$J$8550</f>
        <v>46.046581</v>
      </c>
      <c r="K8551" s="38" t="n">
        <f aca="false">Sens!$K$8548-Sens!$K$8550</f>
        <v>33.1979424466667</v>
      </c>
      <c r="L8551" s="38" t="n">
        <f aca="false">Sens!$L$8548-Sens!$L$8550</f>
        <v>20.3493038933333</v>
      </c>
      <c r="M8551" s="38" t="n">
        <f aca="false">Sens!$M$8548-Sens!$M$8550</f>
        <v>7.50066534000001</v>
      </c>
      <c r="R8551" s="38" t="n">
        <f aca="false">Sens!$R$8548-Sens!$R$8550</f>
        <v>0.405023005106309</v>
      </c>
      <c r="S8551" s="38" t="n">
        <f aca="false">Sens!$S$8548-Sens!$S$8550</f>
        <v>6.80596660793636</v>
      </c>
      <c r="T8551" s="38" t="n">
        <f aca="false">Sens!$T$8548-Sens!$T$8550</f>
        <v>18.7309047919624</v>
      </c>
      <c r="U8551" s="38" t="n">
        <f aca="false">Sens!$U$8548-Sens!$U$8550</f>
        <v>38.3780115779455</v>
      </c>
      <c r="V8551" s="38" t="n">
        <f aca="false">Sens!$V$8548-Sens!$V$8550</f>
        <v>46.046581</v>
      </c>
      <c r="W8551" s="38" t="n">
        <f aca="false">Sens!$W$8548-Sens!$W$8550</f>
        <v>46.046581</v>
      </c>
      <c r="X8551" s="38" t="n">
        <f aca="false">Sens!$X$8548-Sens!$X$8550</f>
        <v>46.046581</v>
      </c>
      <c r="Y8551" s="38" t="n">
        <f aca="false">Sens!$Y$8548-Sens!$Y$8550</f>
        <v>33.1979424466667</v>
      </c>
      <c r="Z8551" s="38" t="n">
        <f aca="false">Sens!$Z$8548-Sens!$Z$8550</f>
        <v>20.3493038933333</v>
      </c>
      <c r="AA8551" s="38" t="n">
        <f aca="false">Sens!$AA$8548-Sens!$AA$8550</f>
        <v>7.50066534000001</v>
      </c>
    </row>
    <row r="8552" customFormat="false" ht="17.15" hidden="false" customHeight="false" outlineLevel="0" collapsed="false">
      <c r="A8552" s="0" t="s">
        <v>630</v>
      </c>
      <c r="B8552" s="0" t="s">
        <v>52</v>
      </c>
      <c r="C8552" s="13" t="n">
        <f aca="false">Sens!$C$8548/Sens!$C$8668</f>
        <v>0.325505489553393</v>
      </c>
      <c r="D8552" s="13" t="n">
        <f aca="false">Sens!$D$8548/Sens!$D$8668</f>
        <v>0.54214956071542</v>
      </c>
      <c r="E8552" s="13" t="n">
        <f aca="false">Sens!$E$8548/Sens!$E$8668</f>
        <v>0.666492790452817</v>
      </c>
      <c r="F8552" s="13" t="n">
        <f aca="false">Sens!$F$8548/Sens!$F$8668</f>
        <v>0.733477910687338</v>
      </c>
      <c r="G8552" s="13" t="n">
        <f aca="false">Sens!$G$8548/Sens!$G$8668</f>
        <v>0.705124321514523</v>
      </c>
      <c r="H8552" s="13" t="n">
        <f aca="false">Sens!$H$8548/Sens!$H$8668</f>
        <v>0.726376041178204</v>
      </c>
      <c r="I8552" s="13" t="n">
        <f aca="false">Sens!$I$8548/Sens!$I$8668</f>
        <v>0.713099092661699</v>
      </c>
      <c r="J8552" s="13" t="n">
        <f aca="false">Sens!$J$8548/Sens!$J$8668</f>
        <v>0.701208348786245</v>
      </c>
      <c r="K8552" s="13" t="n">
        <f aca="false">Sens!$K$8548/Sens!$K$8668</f>
        <v>0.622515721629545</v>
      </c>
      <c r="L8552" s="13" t="n">
        <f aca="false">Sens!$L$8548/Sens!$L$8668</f>
        <v>0.572606741433048</v>
      </c>
      <c r="M8552" s="13" t="n">
        <f aca="false">Sens!$M$8548/Sens!$M$8668</f>
        <v>0.560855994905929</v>
      </c>
    </row>
    <row r="8553" customFormat="false" ht="17.15" hidden="false" customHeight="false" outlineLevel="0" collapsed="false">
      <c r="A8553" s="0" t="s">
        <v>631</v>
      </c>
      <c r="B8553" s="0" t="s">
        <v>86</v>
      </c>
      <c r="C8553" s="38" t="n">
        <f aca="false">Sens!$S$8553</f>
        <v>0.183212798365523</v>
      </c>
      <c r="D8553" s="38" t="n">
        <f aca="false">Sens!$T$8553</f>
        <v>3.2619025816657</v>
      </c>
      <c r="E8553" s="38" t="n">
        <f aca="false">Sens!$G$8553/2</f>
        <v>5.86742852741953</v>
      </c>
      <c r="F8553" s="38" t="n">
        <f aca="false">Sens!$G$8553/2</f>
        <v>5.86742852741953</v>
      </c>
      <c r="G8553" s="38" t="n">
        <f aca="false">Sens!$U$8553</f>
        <v>11.7348570548391</v>
      </c>
      <c r="H8553" s="38" t="n">
        <f aca="false">Sens!$V$8553</f>
        <v>32.0781968981833</v>
      </c>
      <c r="I8553" s="38" t="n">
        <f aca="false">Sens!$W$8553</f>
        <v>57.4989942223083</v>
      </c>
      <c r="J8553" s="38" t="n">
        <f aca="false">Sens!$X$8553</f>
        <v>83.932309040725</v>
      </c>
      <c r="K8553" s="38" t="n">
        <f aca="false">Sens!$Y$8553</f>
        <v>111.055205760776</v>
      </c>
      <c r="L8553" s="38" t="n">
        <f aca="false">Sens!$Z$8553</f>
        <v>128.779582500835</v>
      </c>
      <c r="M8553" s="38" t="n">
        <f aca="false">Sens!$AA$8553</f>
        <v>139.843419755964</v>
      </c>
      <c r="N8553" s="38" t="n">
        <f aca="false">Sens!$D$8553/2</f>
        <v>1.63095129083285</v>
      </c>
      <c r="O8553" s="38" t="n">
        <f aca="false">Sens!$D$8553/2</f>
        <v>1.63095129083285</v>
      </c>
      <c r="R8553" s="38" t="n">
        <f aca="false">SUMPRODUCT(--(Sens!$R$8518:$AA$8518&lt;Sens!R$8518),--(Sens!$R$8518:$AA$8518&gt;=Sens!R$8518-tk_life),Sens!$R$8550:$AA$8550)/tk_life</f>
        <v>0</v>
      </c>
      <c r="S8553" s="38" t="n">
        <f aca="false">SUMPRODUCT(--(Sens!$R$8518:$AA$8518&lt;Sens!S$8518),--(Sens!$R$8518:$AA$8518&gt;=Sens!S$8518-tk_life),Sens!$R$8550:$AA$8550)/tk_life</f>
        <v>0.183212798365523</v>
      </c>
      <c r="T8553" s="38" t="n">
        <f aca="false">SUMPRODUCT(--(Sens!$R$8518:$AA$8518&lt;Sens!T$8518),--(Sens!$R$8518:$AA$8518&gt;=Sens!T$8518-tk_life),Sens!$R$8550:$AA$8550)/tk_life</f>
        <v>3.2619025816657</v>
      </c>
      <c r="U8553" s="38" t="n">
        <f aca="false">SUMPRODUCT(--(Sens!$R$8518:$AA$8518&lt;Sens!U$8518),--(Sens!$R$8518:$AA$8518&gt;=Sens!U$8518-tk_life),Sens!$R$8550:$AA$8550)/tk_life</f>
        <v>11.7348570548391</v>
      </c>
      <c r="V8553" s="38" t="n">
        <f aca="false">SUMPRODUCT(--(Sens!$R$8518:$AA$8518&lt;Sens!V$8518),--(Sens!$R$8518:$AA$8518&gt;=Sens!V$8518-tk_life),Sens!$R$8550:$AA$8550)/tk_life</f>
        <v>32.0781968981833</v>
      </c>
      <c r="W8553" s="38" t="n">
        <f aca="false">SUMPRODUCT(--(Sens!$R$8518:$AA$8518&lt;Sens!W$8518),--(Sens!$R$8518:$AA$8518&gt;=Sens!W$8518-tk_life),Sens!$R$8550:$AA$8550)/tk_life</f>
        <v>57.4989942223083</v>
      </c>
      <c r="X8553" s="38" t="n">
        <f aca="false">SUMPRODUCT(--(Sens!$R$8518:$AA$8518&lt;Sens!X$8518),--(Sens!$R$8518:$AA$8518&gt;=Sens!X$8518-tk_life),Sens!$R$8550:$AA$8550)/tk_life</f>
        <v>83.932309040725</v>
      </c>
      <c r="Y8553" s="38" t="n">
        <f aca="false">SUMPRODUCT(--(Sens!$R$8518:$AA$8518&lt;Sens!Y$8518),--(Sens!$R$8518:$AA$8518&gt;=Sens!Y$8518-tk_life),Sens!$R$8550:$AA$8550)/tk_life</f>
        <v>111.055205760776</v>
      </c>
      <c r="Z8553" s="38" t="n">
        <f aca="false">SUMPRODUCT(--(Sens!$R$8518:$AA$8518&lt;Sens!Z$8518),--(Sens!$R$8518:$AA$8518&gt;=Sens!Z$8518-tk_life),Sens!$R$8550:$AA$8550)/tk_life</f>
        <v>128.779582500835</v>
      </c>
      <c r="AA8553" s="38" t="n">
        <f aca="false">SUMPRODUCT(--(Sens!$R$8518:$AA$8518&lt;Sens!AA$8518),--(Sens!$R$8518:$AA$8518&gt;=Sens!AA$8518-tk_life),Sens!$R$8550:$AA$8550)/tk_life</f>
        <v>139.843419755964</v>
      </c>
    </row>
    <row r="8554" customFormat="false" ht="17.15" hidden="false" customHeight="false" outlineLevel="0" collapsed="false">
      <c r="A8554" s="0" t="s">
        <v>632</v>
      </c>
      <c r="B8554" s="0" t="s">
        <v>86</v>
      </c>
      <c r="C8554" s="38" t="n">
        <f aca="false">Sens!$S$8554</f>
        <v>0.0202511502553155</v>
      </c>
      <c r="D8554" s="38" t="n">
        <f aca="false">Sens!$T$8554</f>
        <v>0.360549480652134</v>
      </c>
      <c r="E8554" s="38" t="n">
        <f aca="false">Sens!$G$8554/2</f>
        <v>0.648547360125127</v>
      </c>
      <c r="F8554" s="38" t="n">
        <f aca="false">Sens!$G$8554/2</f>
        <v>0.648547360125127</v>
      </c>
      <c r="G8554" s="38" t="n">
        <f aca="false">Sens!$U$8554</f>
        <v>1.29709472025025</v>
      </c>
      <c r="H8554" s="38" t="n">
        <f aca="false">Sens!$V$8554</f>
        <v>3.21599529914753</v>
      </c>
      <c r="I8554" s="38" t="n">
        <f aca="false">Sens!$W$8554</f>
        <v>5.51832434914753</v>
      </c>
      <c r="J8554" s="38" t="n">
        <f aca="false">Sens!$X$8554</f>
        <v>7.82065339914753</v>
      </c>
      <c r="K8554" s="38" t="n">
        <f aca="false">Sens!$Y$8554</f>
        <v>10.1229824491475</v>
      </c>
      <c r="L8554" s="38" t="n">
        <f aca="false">Sens!$Z$8554</f>
        <v>11.7828795714809</v>
      </c>
      <c r="M8554" s="38" t="n">
        <f aca="false">Sens!$AA$8554</f>
        <v>12.8003447661475</v>
      </c>
      <c r="N8554" s="38" t="n">
        <f aca="false">Sens!$D$8554/2</f>
        <v>0.180274740326067</v>
      </c>
      <c r="O8554" s="38" t="n">
        <f aca="false">Sens!$D$8554/2</f>
        <v>0.180274740326067</v>
      </c>
      <c r="R8554" s="38" t="n">
        <f aca="false">SUMPRODUCT(--(Sens!$R$8518:$AA$8518&lt;Sens!R$8518),Sens!$R$8551:$AA$8551)/fac_life</f>
        <v>0</v>
      </c>
      <c r="S8554" s="38" t="n">
        <f aca="false">SUMPRODUCT(--(Sens!$R$8518:$AA$8518&lt;Sens!S$8518),Sens!$R$8551:$AA$8551)/fac_life</f>
        <v>0.0202511502553155</v>
      </c>
      <c r="T8554" s="38" t="n">
        <f aca="false">SUMPRODUCT(--(Sens!$R$8518:$AA$8518&lt;Sens!T$8518),Sens!$R$8551:$AA$8551)/fac_life</f>
        <v>0.360549480652134</v>
      </c>
      <c r="U8554" s="38" t="n">
        <f aca="false">SUMPRODUCT(--(Sens!$R$8518:$AA$8518&lt;Sens!U$8518),Sens!$R$8551:$AA$8551)/fac_life</f>
        <v>1.29709472025025</v>
      </c>
      <c r="V8554" s="38" t="n">
        <f aca="false">SUMPRODUCT(--(Sens!$R$8518:$AA$8518&lt;Sens!V$8518),Sens!$R$8551:$AA$8551)/fac_life</f>
        <v>3.21599529914753</v>
      </c>
      <c r="W8554" s="38" t="n">
        <f aca="false">SUMPRODUCT(--(Sens!$R$8518:$AA$8518&lt;Sens!W$8518),Sens!$R$8551:$AA$8551)/fac_life</f>
        <v>5.51832434914753</v>
      </c>
      <c r="X8554" s="38" t="n">
        <f aca="false">SUMPRODUCT(--(Sens!$R$8518:$AA$8518&lt;Sens!X$8518),Sens!$R$8551:$AA$8551)/fac_life</f>
        <v>7.82065339914753</v>
      </c>
      <c r="Y8554" s="38" t="n">
        <f aca="false">SUMPRODUCT(--(Sens!$R$8518:$AA$8518&lt;Sens!Y$8518),Sens!$R$8551:$AA$8551)/fac_life</f>
        <v>10.1229824491475</v>
      </c>
      <c r="Z8554" s="38" t="n">
        <f aca="false">SUMPRODUCT(--(Sens!$R$8518:$AA$8518&lt;Sens!Z$8518),Sens!$R$8551:$AA$8551)/fac_life</f>
        <v>11.7828795714809</v>
      </c>
      <c r="AA8554" s="38" t="n">
        <f aca="false">SUMPRODUCT(--(Sens!$R$8518:$AA$8518&lt;Sens!AA$8518),Sens!$R$8551:$AA$8551)/fac_life</f>
        <v>12.8003447661475</v>
      </c>
    </row>
    <row r="8555" customFormat="false" ht="17.15" hidden="false" customHeight="false" outlineLevel="0" collapsed="false">
      <c r="A8555" s="1" t="s">
        <v>633</v>
      </c>
      <c r="B8555" s="8" t="s">
        <v>86</v>
      </c>
      <c r="C8555" s="38" t="n">
        <f aca="false">Sens!$C$8553+Sens!$C$8554</f>
        <v>0.203463948620839</v>
      </c>
      <c r="D8555" s="38" t="n">
        <f aca="false">Sens!$D$8553+Sens!$D$8554</f>
        <v>3.62245206231783</v>
      </c>
      <c r="E8555" s="38" t="n">
        <f aca="false">Sens!$E$8553+Sens!$E$8554</f>
        <v>6.51597588754466</v>
      </c>
      <c r="F8555" s="38" t="n">
        <f aca="false">Sens!$F$8553+Sens!$F$8554</f>
        <v>6.51597588754466</v>
      </c>
      <c r="G8555" s="38" t="n">
        <f aca="false">Sens!$G$8553+Sens!$G$8554</f>
        <v>13.0319517750893</v>
      </c>
      <c r="H8555" s="38" t="n">
        <f aca="false">Sens!$H$8553+Sens!$H$8554</f>
        <v>35.2941921973308</v>
      </c>
      <c r="I8555" s="38" t="n">
        <f aca="false">Sens!$I$8553+Sens!$I$8554</f>
        <v>63.0173185714558</v>
      </c>
      <c r="J8555" s="38" t="n">
        <f aca="false">Sens!$J$8553+Sens!$J$8554</f>
        <v>91.7529624398725</v>
      </c>
      <c r="K8555" s="38" t="n">
        <f aca="false">Sens!$K$8553+Sens!$K$8554</f>
        <v>121.178188209924</v>
      </c>
      <c r="L8555" s="38" t="n">
        <f aca="false">Sens!$L$8553+Sens!$L$8554</f>
        <v>140.562462072316</v>
      </c>
      <c r="M8555" s="38" t="n">
        <f aca="false">Sens!$M$8553+Sens!$M$8554</f>
        <v>152.643764522112</v>
      </c>
      <c r="N8555" s="38" t="n">
        <f aca="false">Sens!$N$8553+Sens!$N$8554</f>
        <v>1.81122603115892</v>
      </c>
      <c r="O8555" s="38" t="n">
        <f aca="false">Sens!$O$8553+Sens!$O$8554</f>
        <v>1.81122603115892</v>
      </c>
      <c r="R8555" s="38" t="n">
        <f aca="false">Sens!$R$8553+Sens!$R$8554</f>
        <v>0</v>
      </c>
      <c r="S8555" s="38" t="n">
        <f aca="false">Sens!$S$8553+Sens!$S$8554</f>
        <v>0.203463948620839</v>
      </c>
      <c r="T8555" s="38" t="n">
        <f aca="false">Sens!$T$8553+Sens!$T$8554</f>
        <v>3.62245206231783</v>
      </c>
      <c r="U8555" s="38" t="n">
        <f aca="false">Sens!$U$8553+Sens!$U$8554</f>
        <v>13.0319517750893</v>
      </c>
      <c r="V8555" s="38" t="n">
        <f aca="false">Sens!$V$8553+Sens!$V$8554</f>
        <v>35.2941921973308</v>
      </c>
      <c r="W8555" s="38" t="n">
        <f aca="false">Sens!$W$8553+Sens!$W$8554</f>
        <v>63.0173185714558</v>
      </c>
      <c r="X8555" s="38" t="n">
        <f aca="false">Sens!$X$8553+Sens!$X$8554</f>
        <v>91.7529624398725</v>
      </c>
      <c r="Y8555" s="38" t="n">
        <f aca="false">Sens!$Y$8553+Sens!$Y$8554</f>
        <v>121.178188209924</v>
      </c>
      <c r="Z8555" s="38" t="n">
        <f aca="false">Sens!$Z$8553+Sens!$Z$8554</f>
        <v>140.562462072316</v>
      </c>
      <c r="AA8555" s="38" t="n">
        <f aca="false">Sens!$AA$8553+Sens!$AA$8554</f>
        <v>152.643764522112</v>
      </c>
    </row>
    <row r="8556" customFormat="false" ht="17.15" hidden="false" customHeight="false" outlineLevel="0" collapsed="false">
      <c r="A8556" s="0" t="s">
        <v>634</v>
      </c>
      <c r="B8556" s="0" t="s">
        <v>86</v>
      </c>
      <c r="C8556" s="38" t="n">
        <f aca="false">Sens!$S$8556</f>
        <v>26.578941154416</v>
      </c>
      <c r="D8556" s="38" t="n">
        <f aca="false">Sens!$T$8556</f>
        <v>92.5251207231008</v>
      </c>
      <c r="G8556" s="38" t="n">
        <f aca="false">Sens!$U$8556</f>
        <v>239.931219586022</v>
      </c>
      <c r="H8556" s="38" t="n">
        <f aca="false">Sens!$V$8556</f>
        <v>403.208392333442</v>
      </c>
      <c r="I8556" s="38" t="n">
        <f aca="false">Sens!$W$8556</f>
        <v>544.837543672486</v>
      </c>
      <c r="J8556" s="38" t="n">
        <f aca="false">Sens!$X$8556</f>
        <v>662.967819343113</v>
      </c>
      <c r="K8556" s="38" t="n">
        <f aca="false">Sens!$Y$8556</f>
        <v>699.805972720013</v>
      </c>
      <c r="L8556" s="38" t="n">
        <f aca="false">Sens!$Z$8556</f>
        <v>696.813564910843</v>
      </c>
      <c r="M8556" s="38" t="n">
        <f aca="false">Sens!$AA$8556</f>
        <v>684.734650983452</v>
      </c>
      <c r="R8556" s="38" t="n">
        <f aca="false">SUM(Sens!$R$8548:$R$8548)-SUM(Sens!$R$8555:$R$8555)</f>
        <v>1.50429979529945</v>
      </c>
      <c r="S8556" s="38" t="n">
        <f aca="false">SUM(Sens!$R$8548:$S$8548)-SUM(Sens!$R$8555:$S$8555)</f>
        <v>26.578941154416</v>
      </c>
      <c r="T8556" s="38" t="n">
        <f aca="false">SUM(Sens!$R$8548:$T$8548)-SUM(Sens!$R$8555:$T$8555)</f>
        <v>92.5251207231008</v>
      </c>
      <c r="U8556" s="38" t="n">
        <f aca="false">SUM(Sens!$R$8548:$U$8548)-SUM(Sens!$R$8555:$U$8555)</f>
        <v>239.931219586022</v>
      </c>
      <c r="V8556" s="38" t="n">
        <f aca="false">SUM(Sens!$R$8548:$V$8548)-SUM(Sens!$R$8555:$V$8555)</f>
        <v>403.208392333442</v>
      </c>
      <c r="W8556" s="38" t="n">
        <f aca="false">SUM(Sens!$R$8548:$W$8548)-SUM(Sens!$R$8555:$W$8555)</f>
        <v>544.837543672486</v>
      </c>
      <c r="X8556" s="38" t="n">
        <f aca="false">SUM(Sens!$R$8548:$X$8548)-SUM(Sens!$R$8555:$X$8555)</f>
        <v>662.967819343113</v>
      </c>
      <c r="Y8556" s="38" t="n">
        <f aca="false">SUM(Sens!$R$8548:$Y$8548)-SUM(Sens!$R$8555:$Y$8555)</f>
        <v>699.805972720013</v>
      </c>
      <c r="Z8556" s="38" t="n">
        <f aca="false">SUM(Sens!$R$8548:$Z$8548)-SUM(Sens!$R$8555:$Z$8555)</f>
        <v>696.813564910843</v>
      </c>
      <c r="AA8556" s="38" t="n">
        <f aca="false">SUM(Sens!$R$8548:$AA$8548)-SUM(Sens!$R$8555:$AA$8555)</f>
        <v>684.734650983452</v>
      </c>
    </row>
    <row r="8557" customFormat="false" ht="17.15" hidden="false" customHeight="false" outlineLevel="0" collapsed="false">
      <c r="A8557" s="1" t="s">
        <v>635</v>
      </c>
    </row>
    <row r="8558" customFormat="false" ht="17.15" hidden="false" customHeight="false" outlineLevel="0" collapsed="false">
      <c r="A8558" s="0" t="s">
        <v>636</v>
      </c>
      <c r="B8558" s="0" t="s">
        <v>86</v>
      </c>
      <c r="C8558" s="38" t="n">
        <f aca="false">Sens!$C$8539-ext_sh*Sens!$C$8541</f>
        <v>1.80694998843362</v>
      </c>
      <c r="D8558" s="38" t="n">
        <f aca="false">Sens!$D$8539-ext_sh*Sens!$D$8541</f>
        <v>6.77606245662607</v>
      </c>
      <c r="E8558" s="38" t="n">
        <f aca="false">Sens!$E$8539-ext_sh*Sens!$E$8541</f>
        <v>6.62548329092326</v>
      </c>
      <c r="F8558" s="38" t="n">
        <f aca="false">Sens!$F$8539-ext_sh*Sens!$F$8541</f>
        <v>11.7200577158706</v>
      </c>
      <c r="G8558" s="38" t="n">
        <f aca="false">Sens!$G$8539-ext_sh*Sens!$G$8541</f>
        <v>18.3455410067939</v>
      </c>
      <c r="H8558" s="38" t="n">
        <f aca="false">Sens!$H$8539-ext_sh*Sens!$H$8541</f>
        <v>47.5171727060453</v>
      </c>
      <c r="I8558" s="38" t="n">
        <f aca="false">Sens!$I$8539-ext_sh*Sens!$I$8541</f>
        <v>80.5539692643667</v>
      </c>
      <c r="J8558" s="38" t="n">
        <f aca="false">Sens!$J$8539-ext_sh*Sens!$J$8541</f>
        <v>113.759316834883</v>
      </c>
      <c r="K8558" s="38" t="n">
        <f aca="false">Sens!$K$8539-ext_sh*Sens!$K$8541</f>
        <v>142.313600225088</v>
      </c>
      <c r="L8558" s="38" t="n">
        <f aca="false">Sens!$L$8539-ext_sh*Sens!$L$8541</f>
        <v>161.610137806934</v>
      </c>
      <c r="M8558" s="38" t="n">
        <f aca="false">Sens!$M$8539-ext_sh*Sens!$M$8541</f>
        <v>171.622526917459</v>
      </c>
      <c r="N8558" s="38" t="n">
        <f aca="false">Sens!$N$8539-ext_sh*Sens!$N$8541</f>
        <v>2.37162185981912</v>
      </c>
      <c r="O8558" s="38" t="n">
        <f aca="false">Sens!$O$8539-ext_sh*Sens!$O$8541</f>
        <v>4.40444059680694</v>
      </c>
    </row>
    <row r="8559" customFormat="false" ht="17.15" hidden="false" customHeight="false" outlineLevel="0" collapsed="false">
      <c r="A8559" s="1" t="s">
        <v>637</v>
      </c>
      <c r="B8559" s="8" t="s">
        <v>86</v>
      </c>
      <c r="C8559" s="38" t="n">
        <f aca="false">Sens!$C$8558-ext_sh*Sens!$C$8555</f>
        <v>1.64417882953695</v>
      </c>
      <c r="D8559" s="38" t="n">
        <f aca="false">Sens!$D$8558-ext_sh*Sens!$D$8555</f>
        <v>3.8781008067718</v>
      </c>
      <c r="E8559" s="38" t="n">
        <f aca="false">Sens!$E$8558-ext_sh*Sens!$E$8555</f>
        <v>1.41270258088753</v>
      </c>
      <c r="F8559" s="38" t="n">
        <f aca="false">Sens!$F$8558-ext_sh*Sens!$F$8555</f>
        <v>6.50727700583486</v>
      </c>
      <c r="G8559" s="38" t="n">
        <f aca="false">Sens!$G$8558-ext_sh*Sens!$G$8555</f>
        <v>7.9199795867224</v>
      </c>
      <c r="H8559" s="38" t="n">
        <f aca="false">Sens!$H$8558-ext_sh*Sens!$H$8555</f>
        <v>19.2818189481807</v>
      </c>
      <c r="I8559" s="38" t="n">
        <f aca="false">Sens!$I$8558-ext_sh*Sens!$I$8555</f>
        <v>30.140114407202</v>
      </c>
      <c r="J8559" s="38" t="n">
        <f aca="false">Sens!$J$8558-ext_sh*Sens!$J$8555</f>
        <v>40.3569468829854</v>
      </c>
      <c r="K8559" s="38" t="n">
        <f aca="false">Sens!$K$8558-ext_sh*Sens!$K$8555</f>
        <v>45.3710496571487</v>
      </c>
      <c r="L8559" s="38" t="n">
        <f aca="false">Sens!$L$8558-ext_sh*Sens!$L$8555</f>
        <v>49.1601681490812</v>
      </c>
      <c r="M8559" s="38" t="n">
        <f aca="false">Sens!$M$8558-ext_sh*Sens!$M$8555</f>
        <v>49.5075152997692</v>
      </c>
      <c r="N8559" s="38" t="n">
        <f aca="false">Sens!$N$8558-ext_sh*Sens!$N$8555</f>
        <v>0.92264103489199</v>
      </c>
      <c r="O8559" s="38" t="n">
        <f aca="false">Sens!$O$8558-ext_sh*Sens!$O$8555</f>
        <v>2.95545977187981</v>
      </c>
    </row>
    <row r="8560" customFormat="false" ht="17.15" hidden="false" customHeight="false" outlineLevel="0" collapsed="false">
      <c r="A8560" s="0" t="s">
        <v>638</v>
      </c>
      <c r="B8560" s="0" t="s">
        <v>52</v>
      </c>
      <c r="C8560" s="13" t="n">
        <f aca="false">Sens!$C$8559/Sens!$C$8539</f>
        <v>0.708390794789371</v>
      </c>
      <c r="D8560" s="13" t="n">
        <f aca="false">Sens!$D$8559/Sens!$D$8539</f>
        <v>0.445565630441968</v>
      </c>
      <c r="E8560" s="13" t="n">
        <f aca="false">Sens!$E$8559/Sens!$E$8539</f>
        <v>0.165998118402711</v>
      </c>
      <c r="F8560" s="13" t="n">
        <f aca="false">Sens!$F$8559/Sens!$F$8539</f>
        <v>0.434878595403858</v>
      </c>
      <c r="G8560" s="13" t="n">
        <f aca="false">Sens!$G$8559/Sens!$G$8539</f>
        <v>0.3373967615381</v>
      </c>
      <c r="H8560" s="13" t="n">
        <f aca="false">Sens!$H$8559/Sens!$H$8539</f>
        <v>0.320477578041224</v>
      </c>
      <c r="I8560" s="13" t="n">
        <f aca="false">Sens!$I$8559/Sens!$I$8539</f>
        <v>0.296936118226494</v>
      </c>
      <c r="J8560" s="13" t="n">
        <f aca="false">Sens!$J$8559/Sens!$J$8539</f>
        <v>0.282166278613001</v>
      </c>
      <c r="K8560" s="13" t="n">
        <f aca="false">Sens!$K$8559/Sens!$K$8539</f>
        <v>0.253846631705782</v>
      </c>
      <c r="L8560" s="13" t="n">
        <f aca="false">Sens!$L$8559/Sens!$L$8539</f>
        <v>0.242329240574153</v>
      </c>
      <c r="M8560" s="13" t="n">
        <f aca="false">Sens!$M$8559/Sens!$M$8539</f>
        <v>0.229850708860382</v>
      </c>
      <c r="N8560" s="13" t="n">
        <f aca="false">Sens!$N$8559/Sens!$N$8539</f>
        <v>0.302870734830849</v>
      </c>
      <c r="O8560" s="13" t="n">
        <f aca="false">Sens!$O$8559/Sens!$O$8539</f>
        <v>0.52240134346334</v>
      </c>
    </row>
    <row r="8561" customFormat="false" ht="17.15" hidden="false" customHeight="false" outlineLevel="0" collapsed="false">
      <c r="A8561" s="5" t="s">
        <v>639</v>
      </c>
      <c r="B8561" s="0" t="s">
        <v>86</v>
      </c>
      <c r="C8561" s="39" t="n">
        <v>0</v>
      </c>
      <c r="D8561" s="39" t="n">
        <v>0</v>
      </c>
      <c r="E8561" s="39" t="n">
        <v>0</v>
      </c>
      <c r="F8561" s="38" t="n">
        <f aca="false">IF(internal_ai_reading=2,1,0)*(1-ext_sh)/ext_sh*(mw_open*he_open+Sens!$F$8537*Sens!$F$8534)*Sens!$F$8523/1000</f>
        <v>3.77122048175818</v>
      </c>
      <c r="G8561" s="38" t="n">
        <f aca="false">Sens!$E$8561+Sens!$F$8561</f>
        <v>3.77122048175818</v>
      </c>
      <c r="H8561" s="38" t="n">
        <f aca="false">IF(internal_ai_reading=2,1,0)*(1-ext_sh)/ext_sh*(mw_open*he_open+Sens!$H$8537*Sens!$H$8534)*Sens!$H$8523/1000</f>
        <v>15.1635543609893</v>
      </c>
      <c r="I8561" s="38" t="n">
        <f aca="false">IF(internal_ai_reading=2,1,0)*(1-ext_sh)/ext_sh*(mw_open*he_open+Sens!$I$8537*Sens!$I$8534)*Sens!$I$8523/1000</f>
        <v>25.5818843619889</v>
      </c>
      <c r="J8561" s="38" t="n">
        <f aca="false">IF(internal_ai_reading=2,1,0)*(1-ext_sh)/ext_sh*(mw_open*he_open+Sens!$J$8537*Sens!$J$8534)*Sens!$J$8523/1000</f>
        <v>36.0465624179122</v>
      </c>
      <c r="K8561" s="38" t="n">
        <f aca="false">IF(internal_ai_reading=2,1,0)*(1-ext_sh)/ext_sh*(mw_open*he_open+Sens!$K$8537*Sens!$K$8534)*Sens!$K$8523/1000</f>
        <v>45.0461919819152</v>
      </c>
      <c r="L8561" s="38" t="n">
        <f aca="false">IF(internal_ai_reading=2,1,0)*(1-ext_sh)/ext_sh*(mw_open*he_open+Sens!$L$8537*Sens!$L$8534)*Sens!$L$8523/1000</f>
        <v>51.1279288493339</v>
      </c>
      <c r="M8561" s="38" t="n">
        <f aca="false">IF(internal_ai_reading=2,1,0)*(1-ext_sh)/ext_sh*(mw_open*he_open+Sens!$M$8537*Sens!$M$8534)*Sens!$M$8523/1000</f>
        <v>54.2845128319481</v>
      </c>
      <c r="N8561" s="39" t="n">
        <v>0</v>
      </c>
      <c r="O8561" s="39" t="n">
        <v>0</v>
      </c>
      <c r="P8561" s="8" t="s">
        <v>640</v>
      </c>
    </row>
    <row r="8562" customFormat="false" ht="17.15" hidden="false" customHeight="false" outlineLevel="0" collapsed="false">
      <c r="A8562" s="5" t="s">
        <v>641</v>
      </c>
      <c r="B8562" s="0" t="s">
        <v>86</v>
      </c>
      <c r="C8562" s="38" t="n">
        <f aca="false">(1-ext_sh)*(Sens!$C$8541+Sens!$C$8555)</f>
        <v>0.169206631859174</v>
      </c>
      <c r="D8562" s="38" t="n">
        <f aca="false">(1-ext_sh)*(Sens!$D$8541+Sens!$D$8555)</f>
        <v>1.20641732046984</v>
      </c>
      <c r="E8562" s="38" t="n">
        <f aca="false">(1-ext_sh)*(Sens!$E$8541+Sens!$E$8555)</f>
        <v>1.77441259867062</v>
      </c>
      <c r="F8562" s="38" t="n">
        <f aca="false">(1-ext_sh)*(Sens!$F$8541+Sens!$F$8555)</f>
        <v>2.1140391597214</v>
      </c>
      <c r="G8562" s="38" t="n">
        <f aca="false">(1-ext_sh)*(Sens!$G$8541+Sens!$G$8555)</f>
        <v>3.88845175839202</v>
      </c>
      <c r="H8562" s="38" t="n">
        <f aca="false">(1-ext_sh)*(Sens!$H$8541+Sens!$H$8555)</f>
        <v>10.2210179503985</v>
      </c>
      <c r="I8562" s="38" t="n">
        <f aca="false">(1-ext_sh)*(Sens!$I$8541+Sens!$I$8555)</f>
        <v>17.8408961823075</v>
      </c>
      <c r="J8562" s="38" t="n">
        <f aca="false">(1-ext_sh)*(Sens!$J$8541+Sens!$J$8555)</f>
        <v>25.6671150670732</v>
      </c>
      <c r="K8562" s="38" t="n">
        <f aca="false">(1-ext_sh)*(Sens!$K$8541+Sens!$K$8555)</f>
        <v>33.3407629808178</v>
      </c>
      <c r="L8562" s="38" t="n">
        <f aca="false">(1-ext_sh)*(Sens!$L$8541+Sens!$L$8555)</f>
        <v>38.42625620289</v>
      </c>
      <c r="M8562" s="38" t="n">
        <f aca="false">(1-ext_sh)*(Sens!$M$8541+Sens!$M$8555)</f>
        <v>41.4705897615494</v>
      </c>
      <c r="N8562" s="38" t="n">
        <f aca="false">(1-ext_sh)*(Sens!$N$8541+Sens!$N$8555)</f>
        <v>0.530919624033979</v>
      </c>
      <c r="O8562" s="38" t="n">
        <f aca="false">(1-ext_sh)*(Sens!$O$8541+Sens!$O$8555)</f>
        <v>0.675497696435861</v>
      </c>
    </row>
    <row r="8563" customFormat="false" ht="17.15" hidden="false" customHeight="false" outlineLevel="0" collapsed="false">
      <c r="A8563" s="0" t="s">
        <v>642</v>
      </c>
      <c r="B8563" s="0" t="s">
        <v>86</v>
      </c>
      <c r="C8563" s="38" t="n">
        <f aca="false">Q!$D$24</f>
        <v>39.834</v>
      </c>
      <c r="D8563" s="38" t="n">
        <f aca="false">Q!$E$24</f>
        <v>45.606</v>
      </c>
      <c r="E8563" s="38" t="n">
        <f aca="false">Q!$P$24</f>
        <v>30.782</v>
      </c>
      <c r="N8563" s="38" t="n">
        <f aca="false">Q!$N$24</f>
        <v>21.707</v>
      </c>
      <c r="O8563" s="38" t="n">
        <f aca="false">Q!$O$24</f>
        <v>23.899</v>
      </c>
    </row>
    <row r="8564" customFormat="false" ht="17.15" hidden="false" customHeight="false" outlineLevel="0" collapsed="false">
      <c r="A8564" s="0" t="s">
        <v>643</v>
      </c>
      <c r="B8564" s="0" t="s">
        <v>86</v>
      </c>
      <c r="C8564" s="38" t="n">
        <f aca="false">Sens!$C$8563-Sens!$C$8559</f>
        <v>38.1898211704631</v>
      </c>
      <c r="D8564" s="38" t="n">
        <f aca="false">Sens!$D$8563-Sens!$D$8559</f>
        <v>41.7278991932282</v>
      </c>
      <c r="E8564" s="38" t="n">
        <f aca="false">Sens!$E$8563-Sens!$E$8559</f>
        <v>29.3692974191125</v>
      </c>
      <c r="F8564" s="38" t="n">
        <f aca="false">Sens!$F$8543*Sens!$F$8565</f>
        <v>26.8997276714137</v>
      </c>
      <c r="G8564" s="38" t="n">
        <f aca="false">Sens!$E$8564+Sens!$F$8564</f>
        <v>56.2690250905262</v>
      </c>
      <c r="H8564" s="38" t="n">
        <f aca="false">Sens!$H$8543*Sens!$H$8565</f>
        <v>60.3505333937343</v>
      </c>
      <c r="I8564" s="38" t="n">
        <f aca="false">Sens!$I$8543*Sens!$I$8565</f>
        <v>67.0043857303571</v>
      </c>
      <c r="J8564" s="38" t="n">
        <f aca="false">Sens!$J$8543*Sens!$J$8565</f>
        <v>73.3782922956925</v>
      </c>
      <c r="K8564" s="38" t="n">
        <f aca="false">Sens!$K$8543*Sens!$K$8565</f>
        <v>79.2485556793479</v>
      </c>
      <c r="L8564" s="38" t="n">
        <f aca="false">Sens!$L$8543*Sens!$L$8565</f>
        <v>85.5884401336958</v>
      </c>
      <c r="M8564" s="38" t="n">
        <f aca="false">Sens!$M$8543*Sens!$M$8565</f>
        <v>92.4355153443914</v>
      </c>
      <c r="N8564" s="38" t="n">
        <f aca="false">Sens!$N$8563-Sens!$N$8559</f>
        <v>20.784358965108</v>
      </c>
      <c r="O8564" s="38" t="n">
        <f aca="false">Sens!$O$8563-Sens!$O$8559</f>
        <v>20.9435402281202</v>
      </c>
      <c r="P8564" s="5" t="s">
        <v>644</v>
      </c>
    </row>
    <row r="8565" customFormat="false" ht="17.15" hidden="false" customHeight="false" outlineLevel="0" collapsed="false">
      <c r="A8565" s="0" t="s">
        <v>645</v>
      </c>
      <c r="B8565" s="0" t="s">
        <v>52</v>
      </c>
      <c r="C8565" s="13" t="n">
        <f aca="false">Sens!$C$8564/Sens!$C$8543</f>
        <v>0.362900395443635</v>
      </c>
      <c r="D8565" s="13" t="n">
        <f aca="false">Sens!$D$8564/Sens!$D$8543</f>
        <v>0.34767098474203</v>
      </c>
      <c r="E8565" s="13" t="n">
        <f aca="false">Sens!$E$8564/Sens!$E$8543</f>
        <v>0.411861655558416</v>
      </c>
      <c r="F8565" s="13" t="n">
        <f aca="false">(Sens!$O$8564+Sens!$E$8564)/(Sens!$O$8543+Sens!$E$8543)</f>
        <v>0.37480827803158</v>
      </c>
      <c r="G8565" s="13" t="n">
        <f aca="false">Sens!$G$8564/Sens!$G$8543</f>
        <v>0.393275318395757</v>
      </c>
      <c r="H8565" s="13" t="n">
        <f aca="false">Sens!$F$8565</f>
        <v>0.37480827803158</v>
      </c>
      <c r="I8565" s="13" t="n">
        <f aca="false">Sens!$F$8565</f>
        <v>0.37480827803158</v>
      </c>
      <c r="J8565" s="13" t="n">
        <f aca="false">Sens!$F$8565</f>
        <v>0.37480827803158</v>
      </c>
      <c r="K8565" s="13" t="n">
        <f aca="false">Sens!$F$8565</f>
        <v>0.37480827803158</v>
      </c>
      <c r="L8565" s="13" t="n">
        <f aca="false">Sens!$F$8565</f>
        <v>0.37480827803158</v>
      </c>
      <c r="M8565" s="13" t="n">
        <f aca="false">Sens!$F$8565</f>
        <v>0.37480827803158</v>
      </c>
      <c r="N8565" s="13" t="n">
        <f aca="false">Sens!$N$8564/Sens!$N$8543</f>
        <v>0.364039571356823</v>
      </c>
      <c r="O8565" s="13" t="n">
        <f aca="false">Sens!$O$8564/Sens!$O$8543</f>
        <v>0.332819892300086</v>
      </c>
      <c r="P8565" s="8" t="s">
        <v>646</v>
      </c>
    </row>
    <row r="8566" customFormat="false" ht="17.15" hidden="false" customHeight="false" outlineLevel="0" collapsed="false">
      <c r="A8566" s="0" t="s">
        <v>647</v>
      </c>
      <c r="B8566" s="0" t="s">
        <v>52</v>
      </c>
      <c r="D8566" s="13" t="n">
        <f aca="false">(Q!$E$31-ext_sh*Sens!$D$8555)/Sens!$D$8543</f>
        <v>0.154572973163571</v>
      </c>
    </row>
    <row r="8567" customFormat="false" ht="17.15" hidden="false" customHeight="false" outlineLevel="0" collapsed="false">
      <c r="A8567" s="0" t="s">
        <v>648</v>
      </c>
      <c r="B8567" s="0" t="s">
        <v>86</v>
      </c>
      <c r="C8567" s="38" t="n">
        <f aca="false">Q!$D$31</f>
        <v>13.32</v>
      </c>
      <c r="D8567" s="38" t="n">
        <f aca="false">Q!$E$31</f>
        <v>21.45</v>
      </c>
      <c r="E8567" s="38" t="n">
        <f aca="false">Q!$P$31</f>
        <v>15.353</v>
      </c>
      <c r="F8567" s="38" t="n">
        <f aca="false">ext_sh*Sens!$F$8555+Sens!$D$8566*Sens!$F$8543</f>
        <v>16.3063747611001</v>
      </c>
      <c r="G8567" s="38" t="n">
        <f aca="false">Sens!$E$8567+Sens!$F$8567</f>
        <v>31.6593747611001</v>
      </c>
      <c r="H8567" s="38" t="n">
        <f aca="false">ext_sh*Sens!$H$8555+Sens!$D$8566*Sens!$H$8543</f>
        <v>53.124242092105</v>
      </c>
      <c r="I8567" s="38" t="n">
        <f aca="false">ext_sh*Sens!$I$8555+Sens!$D$8566*Sens!$I$8543</f>
        <v>78.046828098133</v>
      </c>
      <c r="J8567" s="38" t="n">
        <f aca="false">ext_sh*Sens!$J$8555+Sens!$D$8566*Sens!$J$8543</f>
        <v>103.663976940352</v>
      </c>
      <c r="K8567" s="38" t="n">
        <f aca="false">ext_sh*Sens!$K$8555+Sens!$D$8566*Sens!$K$8543</f>
        <v>129.625086115469</v>
      </c>
      <c r="L8567" s="38" t="n">
        <f aca="false">ext_sh*Sens!$L$8555+Sens!$D$8566*Sens!$L$8543</f>
        <v>147.747108049185</v>
      </c>
      <c r="M8567" s="38" t="n">
        <f aca="false">ext_sh*Sens!$M$8555+Sens!$D$8566*Sens!$M$8543</f>
        <v>160.235921080328</v>
      </c>
      <c r="N8567" s="38" t="n">
        <f aca="false">Q!$N$31</f>
        <v>9.234</v>
      </c>
      <c r="O8567" s="38" t="n">
        <f aca="false">Q!$O$31</f>
        <v>12.216</v>
      </c>
    </row>
    <row r="8568" customFormat="false" ht="17.15" hidden="false" customHeight="false" outlineLevel="0" collapsed="false">
      <c r="A8568" s="1" t="s">
        <v>649</v>
      </c>
    </row>
    <row r="8569" customFormat="false" ht="17.15" hidden="false" customHeight="false" outlineLevel="0" collapsed="false">
      <c r="A8569" s="15" t="s">
        <v>650</v>
      </c>
      <c r="B8569" s="14" t="s">
        <v>52</v>
      </c>
      <c r="C8569" s="14"/>
      <c r="D8569" s="14"/>
      <c r="E8569" s="14"/>
      <c r="F8569" s="14"/>
      <c r="G8569" s="17" t="n">
        <f aca="false">Sens!$G$8559*(1-tax)/(ext_sh*(Sens!$D$8556+Sens!$G$8556)/2)</f>
        <v>0.0492184452944045</v>
      </c>
      <c r="H8569" s="17" t="n">
        <f aca="false">Sens!$H$8559*(1-tax)/(ext_sh*(Sens!$G$8556+Sens!$H$8556)/2)</f>
        <v>0.0619414246858107</v>
      </c>
      <c r="I8569" s="17" t="n">
        <f aca="false">Sens!$I$8559*(1-tax)/(ext_sh*(Sens!$H$8556+Sens!$I$8556)/2)</f>
        <v>0.0656831488051666</v>
      </c>
      <c r="J8569" s="17" t="n">
        <f aca="false">Sens!$J$8559*(1-tax)/(ext_sh*(Sens!$I$8556+Sens!$J$8556)/2)</f>
        <v>0.0690334849962116</v>
      </c>
      <c r="K8569" s="17" t="n">
        <f aca="false">Sens!$K$8559*(1-tax)/(ext_sh*(Sens!$J$8556+Sens!$K$8556)/2)</f>
        <v>0.068784962145751</v>
      </c>
      <c r="L8569" s="17" t="n">
        <f aca="false">Sens!$L$8559*(1-tax)/(ext_sh*(Sens!$K$8556+Sens!$L$8556)/2)</f>
        <v>0.0727233196616126</v>
      </c>
      <c r="M8569" s="17" t="n">
        <f aca="false">Sens!$M$8559*(1-tax)/(ext_sh*(Sens!$L$8556+Sens!$M$8556)/2)</f>
        <v>0.0740360999014999</v>
      </c>
      <c r="N8569" s="14"/>
      <c r="O8569" s="14"/>
      <c r="P8569" s="8" t="s">
        <v>651</v>
      </c>
    </row>
    <row r="8570" customFormat="false" ht="17.15" hidden="false" customHeight="false" outlineLevel="0" collapsed="false">
      <c r="A8570" s="5" t="s">
        <v>652</v>
      </c>
      <c r="B8570" s="0" t="s">
        <v>57</v>
      </c>
      <c r="H8570" s="36" t="n">
        <f aca="false">Sens!$H$8539*1000/(mw_open*he_open+Sens!$H$8537*Sens!$H$8534)</f>
        <v>0.991949006767191</v>
      </c>
      <c r="I8570" s="36" t="n">
        <f aca="false">Sens!$I$8539*1000/(mw_open*he_open+Sens!$I$8537*Sens!$I$8534)</f>
        <v>0.991949006767191</v>
      </c>
      <c r="J8570" s="36" t="n">
        <f aca="false">Sens!$J$8539*1000/(mw_open*he_open+Sens!$J$8537*Sens!$J$8534)</f>
        <v>0.991949006767191</v>
      </c>
      <c r="K8570" s="36" t="n">
        <f aca="false">Sens!$K$8539*1000/(mw_open*he_open+Sens!$K$8537*Sens!$K$8534)</f>
        <v>0.991949006767191</v>
      </c>
      <c r="L8570" s="36" t="n">
        <f aca="false">Sens!$L$8539*1000/(mw_open*he_open+Sens!$L$8537*Sens!$L$8534)</f>
        <v>0.991949006767191</v>
      </c>
      <c r="M8570" s="36" t="n">
        <f aca="false">Sens!$M$8539*1000/(mw_open*he_open+Sens!$M$8537*Sens!$M$8534)</f>
        <v>0.991949006767191</v>
      </c>
    </row>
    <row r="8571" customFormat="false" ht="17.15" hidden="false" customHeight="false" outlineLevel="0" collapsed="false">
      <c r="A8571" s="5" t="s">
        <v>653</v>
      </c>
      <c r="B8571" s="0" t="s">
        <v>57</v>
      </c>
      <c r="H8571" s="36" t="n">
        <f aca="false">Sens!$H$8570*(Sens!$H$8539+(wacc-0.01)*ext_sh*(Sens!$G$8556+Sens!$H$8556)/2/(1-tax)-Sens!$H$8559)/Sens!$H$8539</f>
        <v>1.20419735219982</v>
      </c>
      <c r="I8571" s="36" t="n">
        <f aca="false">Sens!$I$8570*(Sens!$I$8539+(wacc-0.01)*ext_sh*(Sens!$H$8556+Sens!$I$8556)/2/(1-tax)-Sens!$I$8559)/Sens!$I$8539</f>
        <v>1.16062415210962</v>
      </c>
      <c r="J8571" s="36" t="n">
        <f aca="false">Sens!$J$8570*(Sens!$J$8539+(wacc-0.01)*ext_sh*(Sens!$I$8556+Sens!$J$8556)/2/(1-tax)-Sens!$J$8559)/Sens!$J$8539</f>
        <v>1.13087129626685</v>
      </c>
      <c r="K8571" s="36" t="n">
        <f aca="false">Sens!$K$8570*(Sens!$K$8539+(wacc-0.01)*ext_sh*(Sens!$J$8556+Sens!$K$8556)/2/(1-tax)-Sens!$K$8559)/Sens!$K$8539</f>
        <v>1.11828967624564</v>
      </c>
      <c r="L8571" s="36" t="n">
        <f aca="false">Sens!$L$8570*(Sens!$L$8539+(wacc-0.01)*ext_sh*(Sens!$K$8556+Sens!$L$8556)/2/(1-tax)-Sens!$L$8559)/Sens!$L$8539</f>
        <v>1.09300805392712</v>
      </c>
      <c r="M8571" s="36" t="n">
        <f aca="false">Sens!$M$8570*(Sens!$M$8539+(wacc-0.01)*ext_sh*(Sens!$L$8556+Sens!$M$8556)/2/(1-tax)-Sens!$M$8559)/Sens!$M$8539</f>
        <v>1.08206162702644</v>
      </c>
    </row>
    <row r="8572" customFormat="false" ht="17.15" hidden="false" customHeight="false" outlineLevel="0" collapsed="false">
      <c r="A8572" s="5" t="s">
        <v>654</v>
      </c>
      <c r="B8572" s="0" t="s">
        <v>52</v>
      </c>
      <c r="C8572" s="13" t="n">
        <f aca="false">Sens!$C$8540/tk_pq</f>
        <v>0.195316432429398</v>
      </c>
      <c r="D8572" s="13" t="n">
        <f aca="false">Sens!$D$8540/tk_pq</f>
        <v>0.195316432429398</v>
      </c>
      <c r="E8572" s="13" t="n">
        <f aca="false">Sens!$E$8540/tk_pq</f>
        <v>0.195316432429398</v>
      </c>
      <c r="F8572" s="13" t="n">
        <f aca="false">Sens!$F$8540/tk_pq</f>
        <v>0.202241827274866</v>
      </c>
      <c r="G8572" s="13" t="n">
        <f aca="false">Sens!$G$8540/tk_pq</f>
        <v>0.199675016194063</v>
      </c>
      <c r="H8572" s="13" t="n">
        <f aca="false">Sens!$H$8540/tk_pq</f>
        <v>0.212647947710325</v>
      </c>
      <c r="I8572" s="13" t="n">
        <f aca="false">Sens!$I$8540/tk_pq</f>
        <v>0.219285125475351</v>
      </c>
      <c r="J8572" s="13" t="n">
        <f aca="false">Sens!$J$8540/tk_pq</f>
        <v>0.222492493217189</v>
      </c>
      <c r="K8572" s="13" t="n">
        <f aca="false">Sens!$K$8540/tk_pq</f>
        <v>0.224068966220005</v>
      </c>
      <c r="L8572" s="13" t="n">
        <f aca="false">Sens!$L$8540/tk_pq</f>
        <v>0.224830053471997</v>
      </c>
      <c r="M8572" s="13" t="n">
        <f aca="false">Sens!$M$8540/tk_pq</f>
        <v>0.22513299704272</v>
      </c>
      <c r="N8572" s="13" t="n">
        <f aca="false">Sens!$N$8540/tk_pq</f>
        <v>0.195316432429398</v>
      </c>
      <c r="O8572" s="13" t="n">
        <f aca="false">Sens!$O$8540/tk_pq</f>
        <v>0.195316432429398</v>
      </c>
      <c r="P8572" s="5" t="s">
        <v>655</v>
      </c>
    </row>
    <row r="8575" customFormat="false" ht="17.15" hidden="false" customHeight="false" outlineLevel="0" collapsed="false">
      <c r="A8575" s="1" t="s">
        <v>684</v>
      </c>
    </row>
    <row r="8576" customFormat="false" ht="17.15" hidden="false" customHeight="false" outlineLevel="0" collapsed="false">
      <c r="A8576" s="0" t="s">
        <v>685</v>
      </c>
      <c r="B8576" s="0" t="s">
        <v>86</v>
      </c>
      <c r="C8576" s="38" t="n">
        <f aca="false">Sens!$C$8539</f>
        <v>2.32100535697364</v>
      </c>
      <c r="D8576" s="38" t="n">
        <f aca="false">Sens!$D$8539</f>
        <v>8.70377008865116</v>
      </c>
      <c r="E8576" s="38" t="n">
        <f aca="false">Sens!$E$8539</f>
        <v>8.51035297557002</v>
      </c>
      <c r="F8576" s="38" t="n">
        <f aca="false">Sens!$F$8539</f>
        <v>14.9634336447205</v>
      </c>
      <c r="G8576" s="38" t="n">
        <f aca="false">Sens!$G$8539</f>
        <v>23.4737866202905</v>
      </c>
      <c r="H8576" s="38" t="n">
        <f aca="false">Sens!$H$8539</f>
        <v>60.1658907497746</v>
      </c>
      <c r="I8576" s="38" t="n">
        <f aca="false">Sens!$I$8539</f>
        <v>101.503699136432</v>
      </c>
      <c r="J8576" s="38" t="n">
        <f aca="false">Sens!$J$8539</f>
        <v>143.025407151278</v>
      </c>
      <c r="K8576" s="38" t="n">
        <f aca="false">Sens!$K$8539</f>
        <v>178.73410158042</v>
      </c>
      <c r="L8576" s="38" t="n">
        <f aca="false">Sens!$L$8539</f>
        <v>202.865192960641</v>
      </c>
      <c r="M8576" s="38" t="n">
        <f aca="false">Sens!$M$8539</f>
        <v>215.389874345967</v>
      </c>
      <c r="N8576" s="38" t="n">
        <f aca="false">Sens!$N$8539</f>
        <v>3.04631953102791</v>
      </c>
      <c r="O8576" s="38" t="n">
        <f aca="false">Sens!$O$8539</f>
        <v>5.65745055762326</v>
      </c>
      <c r="P8576" s="8" t="s">
        <v>686</v>
      </c>
    </row>
    <row r="8577" customFormat="false" ht="17.15" hidden="false" customHeight="false" outlineLevel="0" collapsed="false">
      <c r="A8577" s="0" t="s">
        <v>687</v>
      </c>
      <c r="B8577" s="0" t="s">
        <v>86</v>
      </c>
      <c r="C8577" s="38" t="n">
        <f aca="false">Sens!$C$8543</f>
        <v>105.234994643026</v>
      </c>
      <c r="D8577" s="38" t="n">
        <f aca="false">Sens!$D$8543</f>
        <v>120.021229911349</v>
      </c>
      <c r="E8577" s="38" t="n">
        <f aca="false">Sens!$E$8543</f>
        <v>71.30864702443</v>
      </c>
      <c r="F8577" s="38" t="n">
        <f aca="false">Sens!$F$8543</f>
        <v>71.7692997942464</v>
      </c>
      <c r="G8577" s="38" t="n">
        <f aca="false">Sens!$G$8543</f>
        <v>143.077946818676</v>
      </c>
      <c r="H8577" s="38" t="n">
        <f aca="false">Sens!$H$8543</f>
        <v>161.017077079203</v>
      </c>
      <c r="I8577" s="38" t="n">
        <f aca="false">Sens!$I$8543</f>
        <v>178.769759521457</v>
      </c>
      <c r="J8577" s="38" t="n">
        <f aca="false">Sens!$J$8543</f>
        <v>195.775538045907</v>
      </c>
      <c r="K8577" s="38" t="n">
        <f aca="false">Sens!$K$8543</f>
        <v>211.43758108958</v>
      </c>
      <c r="L8577" s="38" t="n">
        <f aca="false">Sens!$L$8543</f>
        <v>228.352587576746</v>
      </c>
      <c r="M8577" s="38" t="n">
        <f aca="false">Sens!$M$8543</f>
        <v>246.620794582886</v>
      </c>
      <c r="N8577" s="38" t="n">
        <f aca="false">Sens!$N$8543</f>
        <v>57.0936804689721</v>
      </c>
      <c r="O8577" s="38" t="n">
        <f aca="false">Sens!$O$8543</f>
        <v>62.9275494423768</v>
      </c>
      <c r="P8577" s="8" t="s">
        <v>686</v>
      </c>
    </row>
    <row r="8578" customFormat="false" ht="17.15" hidden="false" customHeight="false" outlineLevel="0" collapsed="false">
      <c r="A8578" s="1" t="s">
        <v>513</v>
      </c>
      <c r="B8578" s="8" t="s">
        <v>86</v>
      </c>
      <c r="C8578" s="38" t="n">
        <f aca="false">Q!$D$7</f>
        <v>107.556</v>
      </c>
      <c r="D8578" s="38" t="n">
        <f aca="false">Q!$E$7</f>
        <v>128.725</v>
      </c>
      <c r="E8578" s="38" t="n">
        <f aca="false">Q!$P$7</f>
        <v>79.819</v>
      </c>
      <c r="F8578" s="38" t="n">
        <f aca="false">Sens!$F$8576+Sens!$F$8577</f>
        <v>86.7327334389669</v>
      </c>
      <c r="G8578" s="38" t="n">
        <f aca="false">Sens!$G$8576+Sens!$G$8577</f>
        <v>166.551733438967</v>
      </c>
      <c r="H8578" s="38" t="n">
        <f aca="false">Sens!$H$8576+Sens!$H$8577</f>
        <v>221.182967828978</v>
      </c>
      <c r="I8578" s="38" t="n">
        <f aca="false">Sens!$I$8576+Sens!$I$8577</f>
        <v>280.27345865789</v>
      </c>
      <c r="J8578" s="38" t="n">
        <f aca="false">Sens!$J$8576+Sens!$J$8577</f>
        <v>338.800945197185</v>
      </c>
      <c r="K8578" s="38" t="n">
        <f aca="false">Sens!$K$8576+Sens!$K$8577</f>
        <v>390.17168267</v>
      </c>
      <c r="L8578" s="38" t="n">
        <f aca="false">Sens!$L$8576+Sens!$L$8577</f>
        <v>431.217780537388</v>
      </c>
      <c r="M8578" s="38" t="n">
        <f aca="false">Sens!$M$8576+Sens!$M$8577</f>
        <v>462.010668928853</v>
      </c>
      <c r="N8578" s="38" t="n">
        <f aca="false">Q!$N$7</f>
        <v>60.14</v>
      </c>
      <c r="O8578" s="38" t="n">
        <f aca="false">Q!$O$7</f>
        <v>68.585</v>
      </c>
      <c r="P8578" s="5" t="s">
        <v>688</v>
      </c>
    </row>
    <row r="8579" customFormat="false" ht="15" hidden="false" customHeight="false" outlineLevel="0" collapsed="false">
      <c r="A8579" s="3" t="s">
        <v>689</v>
      </c>
      <c r="B8579" s="8" t="s">
        <v>86</v>
      </c>
      <c r="C8579" s="38" t="n">
        <f aca="false">Q!$D$8</f>
        <v>637.959</v>
      </c>
      <c r="D8579" s="38" t="n">
        <f aca="false">Q!$E$8</f>
        <v>716.924</v>
      </c>
      <c r="E8579" s="38" t="n">
        <f aca="false">Q!$P$8</f>
        <v>382.125</v>
      </c>
      <c r="F8579" s="38" t="n">
        <f aca="false">Sens!$F$8511+Sens!$F$8578</f>
        <v>435.780975084504</v>
      </c>
      <c r="G8579" s="38" t="n">
        <f aca="false">Sens!$G$8511+Sens!$G$8578</f>
        <v>817.905975084504</v>
      </c>
      <c r="H8579" s="38" t="n">
        <f aca="false">Sens!$H$8511+Sens!$H$8578</f>
        <v>942.279857350364</v>
      </c>
      <c r="I8579" s="38" t="n">
        <f aca="false">Sens!$I$8511+Sens!$I$8578</f>
        <v>1068.80284981042</v>
      </c>
      <c r="J8579" s="38" t="n">
        <f aca="false">Sens!$J$8511+Sens!$J$8578</f>
        <v>1189.90935093863</v>
      </c>
      <c r="K8579" s="38" t="n">
        <f aca="false">Sens!$K$8511+Sens!$K$8578</f>
        <v>1296.34813810109</v>
      </c>
      <c r="L8579" s="38" t="n">
        <f aca="false">Sens!$L$8511+Sens!$L$8578</f>
        <v>1396.31088701298</v>
      </c>
      <c r="M8579" s="38" t="n">
        <f aca="false">Sens!$M$8511+Sens!$M$8578</f>
        <v>1490.15857687574</v>
      </c>
      <c r="N8579" s="38" t="n">
        <f aca="false">Q!$N$8</f>
        <v>323.369</v>
      </c>
      <c r="O8579" s="38" t="n">
        <f aca="false">Q!$O$8</f>
        <v>393.555</v>
      </c>
    </row>
    <row r="8580" customFormat="false" ht="17.15" hidden="false" customHeight="false" outlineLevel="0" collapsed="false">
      <c r="A8580" s="24" t="s">
        <v>697</v>
      </c>
      <c r="B8580" s="25" t="s">
        <v>86</v>
      </c>
      <c r="C8580" s="41" t="n">
        <f aca="false">Sens!$C$8511-(Sens!$C$8513+Sens!$C$8514)</f>
        <v>0</v>
      </c>
      <c r="D8580" s="41" t="n">
        <f aca="false">Sens!$D$8511-(Sens!$D$8513+Sens!$D$8514)</f>
        <v>0</v>
      </c>
      <c r="E8580" s="41" t="n">
        <f aca="false">Sens!$E$8511-(Sens!$E$8513+Sens!$E$8514)</f>
        <v>0</v>
      </c>
      <c r="F8580" s="41" t="n">
        <f aca="false">Sens!$F$8511-(Sens!$F$8513+Sens!$F$8514)</f>
        <v>0</v>
      </c>
      <c r="G8580" s="41" t="n">
        <f aca="false">Sens!$G$8511-(Sens!$G$8513+Sens!$G$8514)</f>
        <v>0</v>
      </c>
      <c r="H8580" s="41" t="n">
        <f aca="false">Sens!$H$8511-(Sens!$H$8513+Sens!$H$8514)</f>
        <v>0</v>
      </c>
      <c r="I8580" s="41" t="n">
        <f aca="false">Sens!$I$8511-(Sens!$I$8513+Sens!$I$8514)</f>
        <v>0</v>
      </c>
      <c r="J8580" s="41" t="n">
        <f aca="false">Sens!$J$8511-(Sens!$J$8513+Sens!$J$8514)</f>
        <v>0</v>
      </c>
      <c r="K8580" s="41" t="n">
        <f aca="false">Sens!$K$8511-(Sens!$K$8513+Sens!$K$8514)</f>
        <v>0</v>
      </c>
      <c r="L8580" s="41" t="n">
        <f aca="false">Sens!$L$8511-(Sens!$L$8513+Sens!$L$8514)</f>
        <v>0</v>
      </c>
      <c r="M8580" s="41" t="n">
        <f aca="false">Sens!$M$8511-(Sens!$M$8513+Sens!$M$8514)</f>
        <v>0</v>
      </c>
      <c r="N8580" s="41" t="n">
        <f aca="false">Sens!$N$8511-(Sens!$N$8513+Sens!$N$8514)</f>
        <v>0</v>
      </c>
      <c r="O8580" s="41" t="n">
        <f aca="false">Sens!$O$8511-(Sens!$O$8513+Sens!$O$8514)</f>
        <v>0</v>
      </c>
    </row>
    <row r="8581" customFormat="false" ht="17.15" hidden="false" customHeight="false" outlineLevel="0" collapsed="false">
      <c r="A8581" s="24" t="s">
        <v>698</v>
      </c>
      <c r="B8581" s="25" t="s">
        <v>86</v>
      </c>
      <c r="C8581" s="41" t="n">
        <f aca="false">Sens!$C$8576+Sens!$C$8577-Sens!$C$8578</f>
        <v>0</v>
      </c>
      <c r="D8581" s="41" t="n">
        <f aca="false">Sens!$D$8576+Sens!$D$8577-Sens!$D$8578</f>
        <v>0</v>
      </c>
      <c r="E8581" s="41" t="n">
        <f aca="false">Sens!$E$8576+Sens!$E$8577-Sens!$E$8578</f>
        <v>0</v>
      </c>
      <c r="F8581" s="41" t="n">
        <f aca="false">Sens!$F$8576+Sens!$F$8577-Sens!$F$8578</f>
        <v>0</v>
      </c>
      <c r="G8581" s="41" t="n">
        <f aca="false">Sens!$G$8576+Sens!$G$8577-Sens!$G$8578</f>
        <v>0</v>
      </c>
      <c r="H8581" s="41" t="n">
        <f aca="false">Sens!$H$8576+Sens!$H$8577-Sens!$H$8578</f>
        <v>0</v>
      </c>
      <c r="I8581" s="41" t="n">
        <f aca="false">Sens!$I$8576+Sens!$I$8577-Sens!$I$8578</f>
        <v>0</v>
      </c>
      <c r="J8581" s="41" t="n">
        <f aca="false">Sens!$J$8576+Sens!$J$8577-Sens!$J$8578</f>
        <v>0</v>
      </c>
      <c r="K8581" s="41" t="n">
        <f aca="false">Sens!$K$8576+Sens!$K$8577-Sens!$K$8578</f>
        <v>0</v>
      </c>
      <c r="L8581" s="41" t="n">
        <f aca="false">Sens!$L$8576+Sens!$L$8577-Sens!$L$8578</f>
        <v>0</v>
      </c>
      <c r="M8581" s="41" t="n">
        <f aca="false">Sens!$M$8576+Sens!$M$8577-Sens!$M$8578</f>
        <v>0</v>
      </c>
      <c r="N8581" s="41" t="n">
        <f aca="false">Sens!$N$8576+Sens!$N$8577-Sens!$N$8578</f>
        <v>0</v>
      </c>
      <c r="O8581" s="41" t="n">
        <f aca="false">Sens!$O$8576+Sens!$O$8577-Sens!$O$8578</f>
        <v>0</v>
      </c>
    </row>
    <row r="8582" customFormat="false" ht="17.15" hidden="false" customHeight="false" outlineLevel="0" collapsed="false">
      <c r="A8582" s="24" t="s">
        <v>699</v>
      </c>
      <c r="B8582" s="25" t="s">
        <v>86</v>
      </c>
      <c r="C8582" s="41" t="n">
        <f aca="false">Sens!$C$8513+Sens!$C$8514+Sens!$C$8578-Sens!$C$8579</f>
        <v>0</v>
      </c>
      <c r="D8582" s="41" t="n">
        <f aca="false">Sens!$D$8513+Sens!$D$8514+Sens!$D$8578-Sens!$D$8579</f>
        <v>0</v>
      </c>
      <c r="E8582" s="41" t="n">
        <f aca="false">Sens!$E$8513+Sens!$E$8514+Sens!$E$8578-Sens!$E$8579</f>
        <v>0</v>
      </c>
      <c r="F8582" s="41" t="n">
        <f aca="false">Sens!$F$8513+Sens!$F$8514+Sens!$F$8578-Sens!$F$8579</f>
        <v>0</v>
      </c>
      <c r="G8582" s="41" t="n">
        <f aca="false">Sens!$G$8513+Sens!$G$8514+Sens!$G$8578-Sens!$G$8579</f>
        <v>0</v>
      </c>
      <c r="H8582" s="41" t="n">
        <f aca="false">Sens!$H$8513+Sens!$H$8514+Sens!$H$8578-Sens!$H$8579</f>
        <v>0</v>
      </c>
      <c r="I8582" s="41" t="n">
        <f aca="false">Sens!$I$8513+Sens!$I$8514+Sens!$I$8578-Sens!$I$8579</f>
        <v>0</v>
      </c>
      <c r="J8582" s="41" t="n">
        <f aca="false">Sens!$J$8513+Sens!$J$8514+Sens!$J$8578-Sens!$J$8579</f>
        <v>0</v>
      </c>
      <c r="K8582" s="41" t="n">
        <f aca="false">Sens!$K$8513+Sens!$K$8514+Sens!$K$8578-Sens!$K$8579</f>
        <v>0</v>
      </c>
      <c r="L8582" s="41" t="n">
        <f aca="false">Sens!$L$8513+Sens!$L$8514+Sens!$L$8578-Sens!$L$8579</f>
        <v>0</v>
      </c>
      <c r="M8582" s="41" t="n">
        <f aca="false">Sens!$M$8513+Sens!$M$8514+Sens!$M$8578-Sens!$M$8579</f>
        <v>0</v>
      </c>
      <c r="N8582" s="41" t="n">
        <f aca="false">Sens!$N$8513+Sens!$N$8514+Sens!$N$8578-Sens!$N$8579</f>
        <v>0</v>
      </c>
      <c r="O8582" s="41" t="n">
        <f aca="false">Sens!$O$8513+Sens!$O$8514+Sens!$O$8578-Sens!$O$8579</f>
        <v>0</v>
      </c>
    </row>
    <row r="8583" customFormat="false" ht="15" hidden="false" customHeight="false" outlineLevel="0" collapsed="false">
      <c r="A8583" s="5" t="s">
        <v>693</v>
      </c>
      <c r="B8583" s="0" t="s">
        <v>52</v>
      </c>
      <c r="G8583" s="13" t="n">
        <f aca="false">Sens!$G$8579/Sens!$D$8579-1</f>
        <v>0.140854504918937</v>
      </c>
      <c r="H8583" s="13" t="n">
        <f aca="false">Sens!$H$8579/Sens!$G$8579-1</f>
        <v>0.152063789793209</v>
      </c>
      <c r="I8583" s="13" t="n">
        <f aca="false">Sens!$I$8579/Sens!$H$8579-1</f>
        <v>0.134273264437417</v>
      </c>
      <c r="J8583" s="13" t="n">
        <f aca="false">Sens!$J$8579/Sens!$I$8579-1</f>
        <v>0.113310421234083</v>
      </c>
      <c r="K8583" s="13" t="n">
        <f aca="false">Sens!$K$8579/Sens!$J$8579-1</f>
        <v>0.0894511729641407</v>
      </c>
      <c r="L8583" s="13" t="n">
        <f aca="false">Sens!$L$8579/Sens!$K$8579-1</f>
        <v>0.077111036745358</v>
      </c>
      <c r="M8583" s="13" t="n">
        <f aca="false">Sens!$M$8579/Sens!$L$8579-1</f>
        <v>0.067211171047677</v>
      </c>
    </row>
    <row r="8584" customFormat="false" ht="17.15" hidden="false" customHeight="false" outlineLevel="0" collapsed="false">
      <c r="A8584" s="0" t="s">
        <v>694</v>
      </c>
      <c r="B8584" s="0" t="s">
        <v>52</v>
      </c>
      <c r="C8584" s="13" t="n">
        <f aca="false">Sens!$C$8578/Sens!$C$8579</f>
        <v>0.168593906504964</v>
      </c>
      <c r="D8584" s="13" t="n">
        <f aca="false">Sens!$D$8578/Sens!$D$8579</f>
        <v>0.179551807444025</v>
      </c>
      <c r="E8584" s="13" t="n">
        <f aca="false">Sens!$E$8578/Sens!$E$8579</f>
        <v>0.208881910369643</v>
      </c>
      <c r="F8584" s="13" t="n">
        <f aca="false">Sens!$F$8578/Sens!$F$8579</f>
        <v>0.199028269699356</v>
      </c>
      <c r="G8584" s="13" t="n">
        <f aca="false">Sens!$G$8578/Sens!$G$8579</f>
        <v>0.203631882529968</v>
      </c>
      <c r="H8584" s="13" t="n">
        <f aca="false">Sens!$H$8578/Sens!$H$8579</f>
        <v>0.234731715958496</v>
      </c>
      <c r="I8584" s="13" t="n">
        <f aca="false">Sens!$I$8578/Sens!$I$8579</f>
        <v>0.262231204480418</v>
      </c>
      <c r="J8584" s="13" t="n">
        <f aca="false">Sens!$J$8578/Sens!$J$8579</f>
        <v>0.284728366013706</v>
      </c>
      <c r="K8584" s="13" t="n">
        <f aca="false">Sens!$K$8578/Sens!$K$8579</f>
        <v>0.300977547004873</v>
      </c>
      <c r="L8584" s="13" t="n">
        <f aca="false">Sens!$L$8578/Sens!$L$8579</f>
        <v>0.308826483090639</v>
      </c>
      <c r="M8584" s="13" t="n">
        <f aca="false">Sens!$M$8578/Sens!$M$8579</f>
        <v>0.310041277551482</v>
      </c>
      <c r="N8584" s="13" t="n">
        <f aca="false">Sens!$N$8578/Sens!$N$8579</f>
        <v>0.185979484737251</v>
      </c>
      <c r="O8584" s="13" t="n">
        <f aca="false">Sens!$O$8578/Sens!$O$8579</f>
        <v>0.174270432341096</v>
      </c>
    </row>
    <row r="8585" customFormat="false" ht="17.15" hidden="false" customHeight="false" outlineLevel="0" collapsed="false">
      <c r="A8585" s="0" t="s">
        <v>695</v>
      </c>
      <c r="B8585" s="0" t="s">
        <v>52</v>
      </c>
      <c r="C8585" s="13" t="n">
        <f aca="false">Sens!$C$8576/Sens!$C$8578</f>
        <v>0.0215795060896058</v>
      </c>
      <c r="D8585" s="13" t="n">
        <f aca="false">Sens!$D$8576/Sens!$D$8578</f>
        <v>0.0676152269462122</v>
      </c>
      <c r="E8585" s="13" t="n">
        <f aca="false">Sens!$E$8576/Sens!$E$8578</f>
        <v>0.106620641395783</v>
      </c>
      <c r="F8585" s="13" t="n">
        <f aca="false">Sens!$F$8576/Sens!$F$8578</f>
        <v>0.172523487401099</v>
      </c>
      <c r="G8585" s="13" t="n">
        <f aca="false">Sens!$G$8576/Sens!$G$8578</f>
        <v>0.140939911795589</v>
      </c>
      <c r="H8585" s="13" t="n">
        <f aca="false">Sens!$H$8576/Sens!$H$8578</f>
        <v>0.272018642937714</v>
      </c>
      <c r="I8585" s="13" t="n">
        <f aca="false">Sens!$I$8576/Sens!$I$8578</f>
        <v>0.362159512436497</v>
      </c>
      <c r="J8585" s="13" t="n">
        <f aca="false">Sens!$J$8576/Sens!$J$8578</f>
        <v>0.422151735934609</v>
      </c>
      <c r="K8585" s="13" t="n">
        <f aca="false">Sens!$K$8576/Sens!$K$8578</f>
        <v>0.458090911050534</v>
      </c>
      <c r="L8585" s="13" t="n">
        <f aca="false">Sens!$L$8576/Sens!$L$8578</f>
        <v>0.470447189602963</v>
      </c>
      <c r="M8585" s="13" t="n">
        <f aca="false">Sens!$M$8576/Sens!$M$8578</f>
        <v>0.466201083289563</v>
      </c>
      <c r="N8585" s="13" t="n">
        <f aca="false">Sens!$N$8576/Sens!$N$8578</f>
        <v>0.0506537999838362</v>
      </c>
      <c r="O8585" s="13" t="n">
        <f aca="false">Sens!$O$8576/Sens!$O$8578</f>
        <v>0.0824881615167056</v>
      </c>
    </row>
    <row r="8588" customFormat="false" ht="19.4" hidden="false" customHeight="false" outlineLevel="0" collapsed="false">
      <c r="A8588" s="31" t="s">
        <v>1304</v>
      </c>
    </row>
    <row r="8589" customFormat="false" ht="17.15" hidden="false" customHeight="false" outlineLevel="0" collapsed="false">
      <c r="A8589" s="6" t="s">
        <v>16</v>
      </c>
      <c r="B8589" s="6" t="s">
        <v>17</v>
      </c>
      <c r="C8589" s="20" t="s">
        <v>494</v>
      </c>
      <c r="D8589" s="20" t="s">
        <v>495</v>
      </c>
      <c r="E8589" s="20" t="s">
        <v>577</v>
      </c>
      <c r="F8589" s="20" t="s">
        <v>578</v>
      </c>
      <c r="G8589" s="20" t="s">
        <v>579</v>
      </c>
      <c r="H8589" s="20" t="s">
        <v>580</v>
      </c>
      <c r="I8589" s="20" t="s">
        <v>581</v>
      </c>
      <c r="J8589" s="20" t="s">
        <v>582</v>
      </c>
      <c r="K8589" s="20" t="s">
        <v>583</v>
      </c>
      <c r="L8589" s="20" t="s">
        <v>584</v>
      </c>
      <c r="M8589" s="20" t="s">
        <v>585</v>
      </c>
      <c r="N8589" s="20" t="s">
        <v>586</v>
      </c>
      <c r="O8589" s="20" t="s">
        <v>587</v>
      </c>
      <c r="P8589" s="6" t="s">
        <v>23</v>
      </c>
      <c r="R8589" s="20" t="n">
        <v>2023</v>
      </c>
      <c r="S8589" s="20" t="n">
        <v>2024</v>
      </c>
      <c r="T8589" s="20" t="n">
        <v>2025</v>
      </c>
      <c r="U8589" s="20" t="n">
        <v>2026</v>
      </c>
      <c r="V8589" s="20" t="n">
        <v>2027</v>
      </c>
      <c r="W8589" s="20" t="n">
        <v>2028</v>
      </c>
      <c r="X8589" s="20" t="n">
        <v>2029</v>
      </c>
      <c r="Y8589" s="20" t="n">
        <v>2030</v>
      </c>
      <c r="Z8589" s="20" t="n">
        <v>2031</v>
      </c>
      <c r="AA8589" s="20" t="n">
        <v>2032</v>
      </c>
    </row>
    <row r="8590" customFormat="false" ht="17.15" hidden="false" customHeight="false" outlineLevel="0" collapsed="false">
      <c r="A8590" s="1" t="s">
        <v>710</v>
      </c>
    </row>
    <row r="8591" customFormat="false" ht="15" hidden="false" customHeight="false" outlineLevel="0" collapsed="false">
      <c r="A8591" s="0" t="s">
        <v>516</v>
      </c>
      <c r="B8591" s="0" t="s">
        <v>86</v>
      </c>
      <c r="C8591" s="38" t="n">
        <f aca="false">Sens!$C$8498</f>
        <v>247.029</v>
      </c>
      <c r="D8591" s="38" t="n">
        <f aca="false">Sens!$D$8498</f>
        <v>269.287</v>
      </c>
      <c r="E8591" s="38" t="n">
        <f aca="false">Sens!$E$8498</f>
        <v>134.686</v>
      </c>
      <c r="F8591" s="38" t="n">
        <f aca="false">Sens!$F$8498</f>
        <v>158.293876822267</v>
      </c>
      <c r="G8591" s="38" t="n">
        <f aca="false">Sens!$G$8498</f>
        <v>292.979876822267</v>
      </c>
      <c r="H8591" s="38" t="n">
        <f aca="false">Sens!$H$8498</f>
        <v>318.184543087396</v>
      </c>
      <c r="I8591" s="38" t="n">
        <f aca="false">Sens!$I$8498</f>
        <v>341.736278761793</v>
      </c>
      <c r="J8591" s="38" t="n">
        <f aca="false">Sens!$J$8498</f>
        <v>362.927192787048</v>
      </c>
      <c r="K8591" s="38" t="n">
        <f aca="false">Sens!$K$8498</f>
        <v>381.0735524264</v>
      </c>
      <c r="L8591" s="38" t="n">
        <f aca="false">Sens!$L$8498</f>
        <v>400.12723004772</v>
      </c>
      <c r="M8591" s="38" t="n">
        <f aca="false">Sens!$M$8498</f>
        <v>420.133591550106</v>
      </c>
      <c r="N8591" s="38" t="n">
        <f aca="false">Sens!$N$8498</f>
        <v>118.892</v>
      </c>
      <c r="O8591" s="38" t="n">
        <f aca="false">Sens!$O$8498</f>
        <v>150.395</v>
      </c>
    </row>
    <row r="8592" customFormat="false" ht="15" hidden="false" customHeight="false" outlineLevel="0" collapsed="false">
      <c r="A8592" s="0" t="s">
        <v>517</v>
      </c>
      <c r="B8592" s="0" t="s">
        <v>86</v>
      </c>
      <c r="C8592" s="38" t="n">
        <f aca="false">Sens!$C$8500</f>
        <v>21.215</v>
      </c>
      <c r="D8592" s="38" t="n">
        <f aca="false">Sens!$D$8500</f>
        <v>22.561</v>
      </c>
      <c r="E8592" s="38" t="n">
        <f aca="false">Sens!$E$8500</f>
        <v>11.579</v>
      </c>
      <c r="F8592" s="38" t="n">
        <f aca="false">Sens!$F$8500</f>
        <v>11.5938724610325</v>
      </c>
      <c r="G8592" s="38" t="n">
        <f aca="false">Sens!$G$8500</f>
        <v>23.1728724610325</v>
      </c>
      <c r="H8592" s="38" t="n">
        <f aca="false">Sens!$H$8500</f>
        <v>24.353392759506</v>
      </c>
      <c r="I8592" s="38" t="n">
        <f aca="false">Sens!$I$8500</f>
        <v>25.4240338872015</v>
      </c>
      <c r="J8592" s="38" t="n">
        <f aca="false">Sens!$J$8500</f>
        <v>26.3642491017174</v>
      </c>
      <c r="K8592" s="38" t="n">
        <f aca="false">Sens!$K$8500</f>
        <v>27.155176574769</v>
      </c>
      <c r="L8592" s="38" t="n">
        <f aca="false">Sens!$L$8500</f>
        <v>27.969831872012</v>
      </c>
      <c r="M8592" s="38" t="n">
        <f aca="false">Sens!$M$8500</f>
        <v>28.8089268281724</v>
      </c>
      <c r="N8592" s="38" t="n">
        <f aca="false">Sens!$N$8500</f>
        <v>11.128</v>
      </c>
      <c r="O8592" s="38" t="n">
        <f aca="false">Sens!$O$8500</f>
        <v>11.433</v>
      </c>
    </row>
    <row r="8593" customFormat="false" ht="15" hidden="false" customHeight="false" outlineLevel="0" collapsed="false">
      <c r="A8593" s="0" t="s">
        <v>518</v>
      </c>
      <c r="B8593" s="0" t="s">
        <v>86</v>
      </c>
      <c r="C8593" s="38" t="n">
        <f aca="false">Sens!$C$8502</f>
        <v>156.146</v>
      </c>
      <c r="D8593" s="38" t="n">
        <f aca="false">Sens!$D$8502</f>
        <v>172.162</v>
      </c>
      <c r="E8593" s="38" t="n">
        <f aca="false">Sens!$E$8502</f>
        <v>88.358</v>
      </c>
      <c r="F8593" s="38" t="n">
        <f aca="false">Sens!$F$8502</f>
        <v>102.004388260171</v>
      </c>
      <c r="G8593" s="38" t="n">
        <f aca="false">Sens!$G$8502</f>
        <v>190.362388260171</v>
      </c>
      <c r="H8593" s="38" t="n">
        <f aca="false">Sens!$H$8502</f>
        <v>210.343106588311</v>
      </c>
      <c r="I8593" s="38" t="n">
        <f aca="false">Sens!$I$8502</f>
        <v>229.969728494648</v>
      </c>
      <c r="J8593" s="38" t="n">
        <f aca="false">Sens!$J$8502</f>
        <v>248.747636972598</v>
      </c>
      <c r="K8593" s="38" t="n">
        <f aca="false">Sens!$K$8502</f>
        <v>266.15997156068</v>
      </c>
      <c r="L8593" s="38" t="n">
        <f aca="false">Sens!$L$8502</f>
        <v>284.791169569927</v>
      </c>
      <c r="M8593" s="38" t="n">
        <f aca="false">Sens!$M$8502</f>
        <v>304.726551439822</v>
      </c>
      <c r="N8593" s="38" t="n">
        <f aca="false">Sens!$N$8502</f>
        <v>76.86</v>
      </c>
      <c r="O8593" s="38" t="n">
        <f aca="false">Sens!$O$8502</f>
        <v>95.302</v>
      </c>
    </row>
    <row r="8594" customFormat="false" ht="15" hidden="false" customHeight="false" outlineLevel="0" collapsed="false">
      <c r="A8594" s="0" t="s">
        <v>519</v>
      </c>
      <c r="B8594" s="0" t="s">
        <v>86</v>
      </c>
      <c r="C8594" s="38" t="n">
        <f aca="false">Sens!$C$8504</f>
        <v>56.214</v>
      </c>
      <c r="D8594" s="38" t="n">
        <f aca="false">Sens!$D$8504</f>
        <v>68.635</v>
      </c>
      <c r="E8594" s="38" t="n">
        <f aca="false">Sens!$E$8504</f>
        <v>37.052</v>
      </c>
      <c r="F8594" s="38" t="n">
        <f aca="false">Sens!$F$8504</f>
        <v>46.1572219944148</v>
      </c>
      <c r="G8594" s="38" t="n">
        <f aca="false">Sens!$G$8504</f>
        <v>83.2092219944148</v>
      </c>
      <c r="H8594" s="38" t="n">
        <f aca="false">Sens!$H$8504</f>
        <v>99.8969223878976</v>
      </c>
      <c r="I8594" s="38" t="n">
        <f aca="false">Sens!$I$8504</f>
        <v>116.583111095496</v>
      </c>
      <c r="J8594" s="38" t="n">
        <f aca="false">Sens!$J$8504</f>
        <v>132.148941941952</v>
      </c>
      <c r="K8594" s="38" t="n">
        <f aca="false">Sens!$K$8504</f>
        <v>145.363836136147</v>
      </c>
      <c r="L8594" s="38" t="n">
        <f aca="false">Sens!$L$8504</f>
        <v>159.900219749762</v>
      </c>
      <c r="M8594" s="38" t="n">
        <f aca="false">Sens!$M$8504</f>
        <v>175.890241724738</v>
      </c>
      <c r="N8594" s="38" t="n">
        <f aca="false">Sens!$N$8504</f>
        <v>29.615</v>
      </c>
      <c r="O8594" s="38" t="n">
        <f aca="false">Sens!$O$8504</f>
        <v>39.02</v>
      </c>
    </row>
    <row r="8595" customFormat="false" ht="15" hidden="false" customHeight="false" outlineLevel="0" collapsed="false">
      <c r="A8595" s="0" t="s">
        <v>520</v>
      </c>
      <c r="B8595" s="0" t="s">
        <v>86</v>
      </c>
      <c r="C8595" s="38" t="n">
        <f aca="false">Sens!$C$8506</f>
        <v>44.374</v>
      </c>
      <c r="D8595" s="38" t="n">
        <f aca="false">Sens!$D$8506</f>
        <v>49.619</v>
      </c>
      <c r="E8595" s="38" t="n">
        <f aca="false">Sens!$E$8506</f>
        <v>27.157</v>
      </c>
      <c r="F8595" s="38" t="n">
        <f aca="false">Sens!$F$8506</f>
        <v>27.7764165988154</v>
      </c>
      <c r="G8595" s="38" t="n">
        <f aca="false">Sens!$G$8506</f>
        <v>54.9334165988154</v>
      </c>
      <c r="H8595" s="38" t="n">
        <f aca="false">Sens!$H$8506</f>
        <v>61.1564112561829</v>
      </c>
      <c r="I8595" s="38" t="n">
        <f aca="false">Sens!$I$8506</f>
        <v>67.2020282103945</v>
      </c>
      <c r="J8595" s="38" t="n">
        <f aca="false">Sens!$J$8506</f>
        <v>72.8757274028885</v>
      </c>
      <c r="K8595" s="38" t="n">
        <f aca="false">Sens!$K$8506</f>
        <v>77.9770283210907</v>
      </c>
      <c r="L8595" s="38" t="n">
        <f aca="false">Sens!$L$8506</f>
        <v>83.4354203035671</v>
      </c>
      <c r="M8595" s="38" t="n">
        <f aca="false">Sens!$M$8506</f>
        <v>89.2758997248168</v>
      </c>
      <c r="N8595" s="38" t="n">
        <f aca="false">Sens!$N$8506</f>
        <v>23.923</v>
      </c>
      <c r="O8595" s="38" t="n">
        <f aca="false">Sens!$O$8506</f>
        <v>25.696</v>
      </c>
    </row>
    <row r="8596" customFormat="false" ht="15" hidden="false" customHeight="false" outlineLevel="0" collapsed="false">
      <c r="A8596" s="0" t="s">
        <v>521</v>
      </c>
      <c r="B8596" s="0" t="s">
        <v>86</v>
      </c>
      <c r="C8596" s="38" t="n">
        <f aca="false">Sens!$C$8508</f>
        <v>5.425</v>
      </c>
      <c r="D8596" s="38" t="n">
        <f aca="false">Sens!$D$8508</f>
        <v>5.935</v>
      </c>
      <c r="E8596" s="38" t="n">
        <f aca="false">Sens!$E$8508</f>
        <v>3.474</v>
      </c>
      <c r="F8596" s="38" t="n">
        <f aca="false">Sens!$F$8508</f>
        <v>3.22246550883619</v>
      </c>
      <c r="G8596" s="38" t="n">
        <f aca="false">Sens!$G$8508</f>
        <v>6.69646550883619</v>
      </c>
      <c r="H8596" s="38" t="n">
        <f aca="false">Sens!$H$8508</f>
        <v>7.16251344209196</v>
      </c>
      <c r="I8596" s="38" t="n">
        <f aca="false">Sens!$I$8508</f>
        <v>7.61421070299826</v>
      </c>
      <c r="J8596" s="38" t="n">
        <f aca="false">Sens!$J$8508</f>
        <v>8.04465753523932</v>
      </c>
      <c r="K8596" s="38" t="n">
        <f aca="false">Sens!$K$8508</f>
        <v>8.44689041200128</v>
      </c>
      <c r="L8596" s="38" t="n">
        <f aca="false">Sens!$L$8508</f>
        <v>8.86923493260135</v>
      </c>
      <c r="M8596" s="38" t="n">
        <f aca="false">Sens!$M$8508</f>
        <v>9.31269667923142</v>
      </c>
      <c r="N8596" s="38" t="n">
        <f aca="false">Sens!$N$8508</f>
        <v>2.811</v>
      </c>
      <c r="O8596" s="38" t="n">
        <f aca="false">Sens!$O$8508</f>
        <v>3.124</v>
      </c>
    </row>
    <row r="8597" customFormat="false" ht="17.15" hidden="false" customHeight="false" outlineLevel="0" collapsed="false">
      <c r="A8597" s="0" t="s">
        <v>711</v>
      </c>
      <c r="B8597" s="0" t="s">
        <v>86</v>
      </c>
      <c r="C8597" s="38" t="n">
        <f aca="false">Sens!$C$8578</f>
        <v>107.556</v>
      </c>
      <c r="D8597" s="38" t="n">
        <f aca="false">Sens!$D$8578</f>
        <v>128.725</v>
      </c>
      <c r="E8597" s="38" t="n">
        <f aca="false">Sens!$E$8578</f>
        <v>79.819</v>
      </c>
      <c r="F8597" s="38" t="n">
        <f aca="false">Sens!$F$8578</f>
        <v>86.7327334389669</v>
      </c>
      <c r="G8597" s="38" t="n">
        <f aca="false">Sens!$G$8578</f>
        <v>166.551733438967</v>
      </c>
      <c r="H8597" s="38" t="n">
        <f aca="false">Sens!$H$8578</f>
        <v>221.182967828978</v>
      </c>
      <c r="I8597" s="38" t="n">
        <f aca="false">Sens!$I$8578</f>
        <v>280.27345865789</v>
      </c>
      <c r="J8597" s="38" t="n">
        <f aca="false">Sens!$J$8578</f>
        <v>338.800945197185</v>
      </c>
      <c r="K8597" s="38" t="n">
        <f aca="false">Sens!$K$8578</f>
        <v>390.17168267</v>
      </c>
      <c r="L8597" s="38" t="n">
        <f aca="false">Sens!$L$8578</f>
        <v>431.217780537388</v>
      </c>
      <c r="M8597" s="38" t="n">
        <f aca="false">Sens!$M$8578</f>
        <v>462.010668928853</v>
      </c>
      <c r="N8597" s="38" t="n">
        <f aca="false">Sens!$N$8578</f>
        <v>60.14</v>
      </c>
      <c r="O8597" s="38" t="n">
        <f aca="false">Sens!$O$8578</f>
        <v>68.585</v>
      </c>
    </row>
    <row r="8598" customFormat="false" ht="15" hidden="false" customHeight="false" outlineLevel="0" collapsed="false">
      <c r="A8598" s="1" t="s">
        <v>509</v>
      </c>
      <c r="B8598" s="8" t="s">
        <v>86</v>
      </c>
      <c r="C8598" s="38" t="n">
        <f aca="false">Sens!$C$8513</f>
        <v>387.497</v>
      </c>
      <c r="D8598" s="38" t="n">
        <f aca="false">Sens!$D$8513</f>
        <v>426.305</v>
      </c>
      <c r="E8598" s="38" t="n">
        <f aca="false">Sens!$E$8513</f>
        <v>220.32</v>
      </c>
      <c r="F8598" s="38" t="n">
        <f aca="false">Sens!$F$8513</f>
        <v>250.639773480586</v>
      </c>
      <c r="G8598" s="38" t="n">
        <f aca="false">Sens!$G$8513</f>
        <v>470.959773480586</v>
      </c>
      <c r="H8598" s="38" t="n">
        <f aca="false">Sens!$H$8513</f>
        <v>521.386990416437</v>
      </c>
      <c r="I8598" s="38" t="n">
        <f aca="false">Sens!$I$8513</f>
        <v>570.143862887555</v>
      </c>
      <c r="J8598" s="38" t="n">
        <f aca="false">Sens!$J$8513</f>
        <v>615.391435791933</v>
      </c>
      <c r="K8598" s="38" t="n">
        <f aca="false">Sens!$K$8513</f>
        <v>655.208227561543</v>
      </c>
      <c r="L8598" s="38" t="n">
        <f aca="false">Sens!$L$8513</f>
        <v>697.807739249767</v>
      </c>
      <c r="M8598" s="38" t="n">
        <f aca="false">Sens!$M$8513</f>
        <v>743.399328463592</v>
      </c>
      <c r="N8598" s="38" t="n">
        <f aca="false">Sens!$N$8513</f>
        <v>192.955</v>
      </c>
      <c r="O8598" s="38" t="n">
        <f aca="false">Sens!$O$8513</f>
        <v>233.35</v>
      </c>
    </row>
    <row r="8599" customFormat="false" ht="15" hidden="false" customHeight="false" outlineLevel="0" collapsed="false">
      <c r="A8599" s="1" t="s">
        <v>512</v>
      </c>
      <c r="B8599" s="8" t="s">
        <v>86</v>
      </c>
      <c r="C8599" s="38" t="n">
        <f aca="false">Sens!$C$8514</f>
        <v>142.906</v>
      </c>
      <c r="D8599" s="38" t="n">
        <f aca="false">Sens!$D$8514</f>
        <v>161.894</v>
      </c>
      <c r="E8599" s="38" t="n">
        <f aca="false">Sens!$E$8514</f>
        <v>81.986</v>
      </c>
      <c r="F8599" s="38" t="n">
        <f aca="false">Sens!$F$8514</f>
        <v>98.408468164951</v>
      </c>
      <c r="G8599" s="38" t="n">
        <f aca="false">Sens!$G$8514</f>
        <v>180.394468164951</v>
      </c>
      <c r="H8599" s="38" t="n">
        <f aca="false">Sens!$H$8514</f>
        <v>199.709899104949</v>
      </c>
      <c r="I8599" s="38" t="n">
        <f aca="false">Sens!$I$8514</f>
        <v>218.385528264976</v>
      </c>
      <c r="J8599" s="38" t="n">
        <f aca="false">Sens!$J$8514</f>
        <v>235.71696994951</v>
      </c>
      <c r="K8599" s="38" t="n">
        <f aca="false">Sens!$K$8514</f>
        <v>250.968227869545</v>
      </c>
      <c r="L8599" s="38" t="n">
        <f aca="false">Sens!$L$8514</f>
        <v>267.285367225822</v>
      </c>
      <c r="M8599" s="38" t="n">
        <f aca="false">Sens!$M$8514</f>
        <v>284.748579483295</v>
      </c>
      <c r="N8599" s="38" t="n">
        <f aca="false">Sens!$N$8514</f>
        <v>70.274</v>
      </c>
      <c r="O8599" s="38" t="n">
        <f aca="false">Sens!$O$8514</f>
        <v>91.62</v>
      </c>
    </row>
    <row r="8600" customFormat="false" ht="15" hidden="false" customHeight="false" outlineLevel="0" collapsed="false">
      <c r="A8600" s="1" t="s">
        <v>513</v>
      </c>
      <c r="B8600" s="8" t="s">
        <v>86</v>
      </c>
      <c r="C8600" s="38" t="n">
        <f aca="false">Sens!$C$8578</f>
        <v>107.556</v>
      </c>
      <c r="D8600" s="38" t="n">
        <f aca="false">Sens!$D$8578</f>
        <v>128.725</v>
      </c>
      <c r="E8600" s="38" t="n">
        <f aca="false">Sens!$E$8578</f>
        <v>79.819</v>
      </c>
      <c r="F8600" s="38" t="n">
        <f aca="false">Sens!$F$8578</f>
        <v>86.7327334389669</v>
      </c>
      <c r="G8600" s="38" t="n">
        <f aca="false">Sens!$G$8578</f>
        <v>166.551733438967</v>
      </c>
      <c r="H8600" s="38" t="n">
        <f aca="false">Sens!$H$8578</f>
        <v>221.182967828978</v>
      </c>
      <c r="I8600" s="38" t="n">
        <f aca="false">Sens!$I$8578</f>
        <v>280.27345865789</v>
      </c>
      <c r="J8600" s="38" t="n">
        <f aca="false">Sens!$J$8578</f>
        <v>338.800945197185</v>
      </c>
      <c r="K8600" s="38" t="n">
        <f aca="false">Sens!$K$8578</f>
        <v>390.17168267</v>
      </c>
      <c r="L8600" s="38" t="n">
        <f aca="false">Sens!$L$8578</f>
        <v>431.217780537388</v>
      </c>
      <c r="M8600" s="38" t="n">
        <f aca="false">Sens!$M$8578</f>
        <v>462.010668928853</v>
      </c>
      <c r="N8600" s="38" t="n">
        <f aca="false">Sens!$N$8578</f>
        <v>60.14</v>
      </c>
      <c r="O8600" s="38" t="n">
        <f aca="false">Sens!$O$8578</f>
        <v>68.585</v>
      </c>
    </row>
    <row r="8601" customFormat="false" ht="17.15" hidden="false" customHeight="false" outlineLevel="0" collapsed="false">
      <c r="A8601" s="0" t="s">
        <v>685</v>
      </c>
      <c r="B8601" s="0" t="s">
        <v>86</v>
      </c>
      <c r="C8601" s="38" t="n">
        <f aca="false">Sens!$C$8576</f>
        <v>2.32100535697364</v>
      </c>
      <c r="D8601" s="38" t="n">
        <f aca="false">Sens!$D$8576</f>
        <v>8.70377008865116</v>
      </c>
      <c r="E8601" s="38" t="n">
        <f aca="false">Sens!$E$8576</f>
        <v>8.51035297557002</v>
      </c>
      <c r="F8601" s="38" t="n">
        <f aca="false">Sens!$F$8576</f>
        <v>14.9634336447205</v>
      </c>
      <c r="G8601" s="38" t="n">
        <f aca="false">Sens!$G$8576</f>
        <v>23.4737866202905</v>
      </c>
      <c r="H8601" s="38" t="n">
        <f aca="false">Sens!$H$8576</f>
        <v>60.1658907497746</v>
      </c>
      <c r="I8601" s="38" t="n">
        <f aca="false">Sens!$I$8576</f>
        <v>101.503699136432</v>
      </c>
      <c r="J8601" s="38" t="n">
        <f aca="false">Sens!$J$8576</f>
        <v>143.025407151278</v>
      </c>
      <c r="K8601" s="38" t="n">
        <f aca="false">Sens!$K$8576</f>
        <v>178.73410158042</v>
      </c>
      <c r="L8601" s="38" t="n">
        <f aca="false">Sens!$L$8576</f>
        <v>202.865192960641</v>
      </c>
      <c r="M8601" s="38" t="n">
        <f aca="false">Sens!$M$8576</f>
        <v>215.389874345967</v>
      </c>
      <c r="N8601" s="38" t="n">
        <f aca="false">Sens!$N$8576</f>
        <v>3.04631953102791</v>
      </c>
      <c r="O8601" s="38" t="n">
        <f aca="false">Sens!$O$8576</f>
        <v>5.65745055762326</v>
      </c>
    </row>
    <row r="8602" customFormat="false" ht="17.15" hidden="false" customHeight="false" outlineLevel="0" collapsed="false">
      <c r="A8602" s="0" t="s">
        <v>687</v>
      </c>
      <c r="B8602" s="0" t="s">
        <v>86</v>
      </c>
      <c r="C8602" s="38" t="n">
        <f aca="false">Sens!$C$8577</f>
        <v>105.234994643026</v>
      </c>
      <c r="D8602" s="38" t="n">
        <f aca="false">Sens!$D$8577</f>
        <v>120.021229911349</v>
      </c>
      <c r="E8602" s="38" t="n">
        <f aca="false">Sens!$E$8577</f>
        <v>71.30864702443</v>
      </c>
      <c r="F8602" s="38" t="n">
        <f aca="false">Sens!$F$8577</f>
        <v>71.7692997942464</v>
      </c>
      <c r="G8602" s="38" t="n">
        <f aca="false">Sens!$G$8577</f>
        <v>143.077946818676</v>
      </c>
      <c r="H8602" s="38" t="n">
        <f aca="false">Sens!$H$8577</f>
        <v>161.017077079203</v>
      </c>
      <c r="I8602" s="38" t="n">
        <f aca="false">Sens!$I$8577</f>
        <v>178.769759521457</v>
      </c>
      <c r="J8602" s="38" t="n">
        <f aca="false">Sens!$J$8577</f>
        <v>195.775538045907</v>
      </c>
      <c r="K8602" s="38" t="n">
        <f aca="false">Sens!$K$8577</f>
        <v>211.43758108958</v>
      </c>
      <c r="L8602" s="38" t="n">
        <f aca="false">Sens!$L$8577</f>
        <v>228.352587576746</v>
      </c>
      <c r="M8602" s="38" t="n">
        <f aca="false">Sens!$M$8577</f>
        <v>246.620794582886</v>
      </c>
      <c r="N8602" s="38" t="n">
        <f aca="false">Sens!$N$8577</f>
        <v>57.0936804689721</v>
      </c>
      <c r="O8602" s="38" t="n">
        <f aca="false">Sens!$O$8577</f>
        <v>62.9275494423768</v>
      </c>
    </row>
    <row r="8603" customFormat="false" ht="15" hidden="false" customHeight="false" outlineLevel="0" collapsed="false">
      <c r="A8603" s="3" t="s">
        <v>514</v>
      </c>
      <c r="B8603" s="8" t="s">
        <v>86</v>
      </c>
      <c r="C8603" s="38" t="n">
        <f aca="false">Sens!$C$8579</f>
        <v>637.959</v>
      </c>
      <c r="D8603" s="38" t="n">
        <f aca="false">Sens!$D$8579</f>
        <v>716.924</v>
      </c>
      <c r="E8603" s="38" t="n">
        <f aca="false">Sens!$E$8579</f>
        <v>382.125</v>
      </c>
      <c r="F8603" s="38" t="n">
        <f aca="false">Sens!$F$8579</f>
        <v>435.780975084504</v>
      </c>
      <c r="G8603" s="38" t="n">
        <f aca="false">Sens!$G$8579</f>
        <v>817.905975084504</v>
      </c>
      <c r="H8603" s="38" t="n">
        <f aca="false">Sens!$H$8579</f>
        <v>942.279857350364</v>
      </c>
      <c r="I8603" s="38" t="n">
        <f aca="false">Sens!$I$8579</f>
        <v>1068.80284981042</v>
      </c>
      <c r="J8603" s="38" t="n">
        <f aca="false">Sens!$J$8579</f>
        <v>1189.90935093863</v>
      </c>
      <c r="K8603" s="38" t="n">
        <f aca="false">Sens!$K$8579</f>
        <v>1296.34813810109</v>
      </c>
      <c r="L8603" s="38" t="n">
        <f aca="false">Sens!$L$8579</f>
        <v>1396.31088701298</v>
      </c>
      <c r="M8603" s="38" t="n">
        <f aca="false">Sens!$M$8579</f>
        <v>1490.15857687574</v>
      </c>
      <c r="N8603" s="38" t="n">
        <f aca="false">Sens!$N$8579</f>
        <v>323.369</v>
      </c>
      <c r="O8603" s="38" t="n">
        <f aca="false">Sens!$O$8579</f>
        <v>393.555</v>
      </c>
    </row>
    <row r="8604" customFormat="false" ht="17.15" hidden="false" customHeight="false" outlineLevel="0" collapsed="false">
      <c r="A8604" s="24" t="s">
        <v>697</v>
      </c>
      <c r="B8604" s="25" t="s">
        <v>86</v>
      </c>
      <c r="C8604" s="41" t="n">
        <f aca="false">Sens!$C$8591+Sens!$C$8592+Sens!$C$8593+Sens!$C$8594+Sens!$C$8595+Sens!$C$8596-(Sens!$C$8598+Sens!$C$8599)</f>
        <v>0</v>
      </c>
      <c r="D8604" s="41" t="n">
        <f aca="false">Sens!$D$8591+Sens!$D$8592+Sens!$D$8593+Sens!$D$8594+Sens!$D$8595+Sens!$D$8596-(Sens!$D$8598+Sens!$D$8599)</f>
        <v>0</v>
      </c>
      <c r="E8604" s="41" t="n">
        <f aca="false">Sens!$E$8591+Sens!$E$8592+Sens!$E$8593+Sens!$E$8594+Sens!$E$8595+Sens!$E$8596-(Sens!$E$8598+Sens!$E$8599)</f>
        <v>0</v>
      </c>
      <c r="F8604" s="41" t="n">
        <f aca="false">Sens!$F$8591+Sens!$F$8592+Sens!$F$8593+Sens!$F$8594+Sens!$F$8595+Sens!$F$8596-(Sens!$F$8598+Sens!$F$8599)</f>
        <v>0</v>
      </c>
      <c r="G8604" s="41" t="n">
        <f aca="false">Sens!$G$8591+Sens!$G$8592+Sens!$G$8593+Sens!$G$8594+Sens!$G$8595+Sens!$G$8596-(Sens!$G$8598+Sens!$G$8599)</f>
        <v>0</v>
      </c>
      <c r="H8604" s="41" t="n">
        <f aca="false">Sens!$H$8591+Sens!$H$8592+Sens!$H$8593+Sens!$H$8594+Sens!$H$8595+Sens!$H$8596-(Sens!$H$8598+Sens!$H$8599)</f>
        <v>0</v>
      </c>
      <c r="I8604" s="41" t="n">
        <f aca="false">Sens!$I$8591+Sens!$I$8592+Sens!$I$8593+Sens!$I$8594+Sens!$I$8595+Sens!$I$8596-(Sens!$I$8598+Sens!$I$8599)</f>
        <v>0</v>
      </c>
      <c r="J8604" s="41" t="n">
        <f aca="false">Sens!$J$8591+Sens!$J$8592+Sens!$J$8593+Sens!$J$8594+Sens!$J$8595+Sens!$J$8596-(Sens!$J$8598+Sens!$J$8599)</f>
        <v>0</v>
      </c>
      <c r="K8604" s="41" t="n">
        <f aca="false">Sens!$K$8591+Sens!$K$8592+Sens!$K$8593+Sens!$K$8594+Sens!$K$8595+Sens!$K$8596-(Sens!$K$8598+Sens!$K$8599)</f>
        <v>0</v>
      </c>
      <c r="L8604" s="41" t="n">
        <f aca="false">Sens!$L$8591+Sens!$L$8592+Sens!$L$8593+Sens!$L$8594+Sens!$L$8595+Sens!$L$8596-(Sens!$L$8598+Sens!$L$8599)</f>
        <v>0</v>
      </c>
      <c r="M8604" s="41" t="n">
        <f aca="false">Sens!$M$8591+Sens!$M$8592+Sens!$M$8593+Sens!$M$8594+Sens!$M$8595+Sens!$M$8596-(Sens!$M$8598+Sens!$M$8599)</f>
        <v>0</v>
      </c>
      <c r="N8604" s="41" t="n">
        <f aca="false">Sens!$N$8591+Sens!$N$8592+Sens!$N$8593+Sens!$N$8594+Sens!$N$8595+Sens!$N$8596-(Sens!$N$8598+Sens!$N$8599)</f>
        <v>0</v>
      </c>
      <c r="O8604" s="41" t="n">
        <f aca="false">Sens!$O$8591+Sens!$O$8592+Sens!$O$8593+Sens!$O$8594+Sens!$O$8595+Sens!$O$8596-(Sens!$O$8598+Sens!$O$8599)</f>
        <v>0</v>
      </c>
    </row>
    <row r="8605" customFormat="false" ht="17.15" hidden="false" customHeight="false" outlineLevel="0" collapsed="false">
      <c r="A8605" s="24" t="s">
        <v>698</v>
      </c>
      <c r="B8605" s="25" t="s">
        <v>86</v>
      </c>
      <c r="C8605" s="41" t="n">
        <f aca="false">Sens!$C$8601+Sens!$C$8602-Sens!$C$8600</f>
        <v>0</v>
      </c>
      <c r="D8605" s="41" t="n">
        <f aca="false">Sens!$D$8601+Sens!$D$8602-Sens!$D$8600</f>
        <v>0</v>
      </c>
      <c r="E8605" s="41" t="n">
        <f aca="false">Sens!$E$8601+Sens!$E$8602-Sens!$E$8600</f>
        <v>0</v>
      </c>
      <c r="F8605" s="41" t="n">
        <f aca="false">Sens!$F$8601+Sens!$F$8602-Sens!$F$8600</f>
        <v>0</v>
      </c>
      <c r="G8605" s="41" t="n">
        <f aca="false">Sens!$G$8601+Sens!$G$8602-Sens!$G$8600</f>
        <v>0</v>
      </c>
      <c r="H8605" s="41" t="n">
        <f aca="false">Sens!$H$8601+Sens!$H$8602-Sens!$H$8600</f>
        <v>0</v>
      </c>
      <c r="I8605" s="41" t="n">
        <f aca="false">Sens!$I$8601+Sens!$I$8602-Sens!$I$8600</f>
        <v>0</v>
      </c>
      <c r="J8605" s="41" t="n">
        <f aca="false">Sens!$J$8601+Sens!$J$8602-Sens!$J$8600</f>
        <v>0</v>
      </c>
      <c r="K8605" s="41" t="n">
        <f aca="false">Sens!$K$8601+Sens!$K$8602-Sens!$K$8600</f>
        <v>0</v>
      </c>
      <c r="L8605" s="41" t="n">
        <f aca="false">Sens!$L$8601+Sens!$L$8602-Sens!$L$8600</f>
        <v>0</v>
      </c>
      <c r="M8605" s="41" t="n">
        <f aca="false">Sens!$M$8601+Sens!$M$8602-Sens!$M$8600</f>
        <v>0</v>
      </c>
      <c r="N8605" s="41" t="n">
        <f aca="false">Sens!$N$8601+Sens!$N$8602-Sens!$N$8600</f>
        <v>0</v>
      </c>
      <c r="O8605" s="41" t="n">
        <f aca="false">Sens!$O$8601+Sens!$O$8602-Sens!$O$8600</f>
        <v>0</v>
      </c>
    </row>
    <row r="8606" customFormat="false" ht="17.15" hidden="false" customHeight="false" outlineLevel="0" collapsed="false">
      <c r="A8606" s="24" t="s">
        <v>757</v>
      </c>
      <c r="B8606" s="25" t="s">
        <v>86</v>
      </c>
      <c r="C8606" s="41" t="n">
        <f aca="false">Sens!$C$8591+Sens!$C$8592+Sens!$C$8593+Sens!$C$8594+Sens!$C$8595+Sens!$C$8596+Sens!$C$8597-Sens!$C$8603</f>
        <v>0</v>
      </c>
      <c r="D8606" s="41" t="n">
        <f aca="false">Sens!$D$8591+Sens!$D$8592+Sens!$D$8593+Sens!$D$8594+Sens!$D$8595+Sens!$D$8596+Sens!$D$8597-Sens!$D$8603</f>
        <v>0</v>
      </c>
      <c r="E8606" s="41" t="n">
        <f aca="false">Sens!$E$8591+Sens!$E$8592+Sens!$E$8593+Sens!$E$8594+Sens!$E$8595+Sens!$E$8596+Sens!$E$8597-Sens!$E$8603</f>
        <v>0</v>
      </c>
      <c r="F8606" s="41" t="n">
        <f aca="false">Sens!$F$8591+Sens!$F$8592+Sens!$F$8593+Sens!$F$8594+Sens!$F$8595+Sens!$F$8596+Sens!$F$8597-Sens!$F$8603</f>
        <v>0</v>
      </c>
      <c r="G8606" s="41" t="n">
        <f aca="false">Sens!$G$8591+Sens!$G$8592+Sens!$G$8593+Sens!$G$8594+Sens!$G$8595+Sens!$G$8596+Sens!$G$8597-Sens!$G$8603</f>
        <v>0</v>
      </c>
      <c r="H8606" s="41" t="n">
        <f aca="false">Sens!$H$8591+Sens!$H$8592+Sens!$H$8593+Sens!$H$8594+Sens!$H$8595+Sens!$H$8596+Sens!$H$8597-Sens!$H$8603</f>
        <v>0</v>
      </c>
      <c r="I8606" s="41" t="n">
        <f aca="false">Sens!$I$8591+Sens!$I$8592+Sens!$I$8593+Sens!$I$8594+Sens!$I$8595+Sens!$I$8596+Sens!$I$8597-Sens!$I$8603</f>
        <v>0</v>
      </c>
      <c r="J8606" s="41" t="n">
        <f aca="false">Sens!$J$8591+Sens!$J$8592+Sens!$J$8593+Sens!$J$8594+Sens!$J$8595+Sens!$J$8596+Sens!$J$8597-Sens!$J$8603</f>
        <v>0</v>
      </c>
      <c r="K8606" s="41" t="n">
        <f aca="false">Sens!$K$8591+Sens!$K$8592+Sens!$K$8593+Sens!$K$8594+Sens!$K$8595+Sens!$K$8596+Sens!$K$8597-Sens!$K$8603</f>
        <v>0</v>
      </c>
      <c r="L8606" s="41" t="n">
        <f aca="false">Sens!$L$8591+Sens!$L$8592+Sens!$L$8593+Sens!$L$8594+Sens!$L$8595+Sens!$L$8596+Sens!$L$8597-Sens!$L$8603</f>
        <v>0</v>
      </c>
      <c r="M8606" s="41" t="n">
        <f aca="false">Sens!$M$8591+Sens!$M$8592+Sens!$M$8593+Sens!$M$8594+Sens!$M$8595+Sens!$M$8596+Sens!$M$8597-Sens!$M$8603</f>
        <v>0</v>
      </c>
      <c r="N8606" s="41" t="n">
        <f aca="false">Sens!$N$8591+Sens!$N$8592+Sens!$N$8593+Sens!$N$8594+Sens!$N$8595+Sens!$N$8596+Sens!$N$8597-Sens!$N$8603</f>
        <v>0</v>
      </c>
      <c r="O8606" s="41" t="n">
        <f aca="false">Sens!$O$8591+Sens!$O$8592+Sens!$O$8593+Sens!$O$8594+Sens!$O$8595+Sens!$O$8596+Sens!$O$8597-Sens!$O$8603</f>
        <v>0</v>
      </c>
    </row>
    <row r="8607" customFormat="false" ht="17.15" hidden="false" customHeight="false" outlineLevel="0" collapsed="false">
      <c r="A8607" s="24" t="s">
        <v>699</v>
      </c>
      <c r="B8607" s="25" t="s">
        <v>86</v>
      </c>
      <c r="C8607" s="41" t="n">
        <f aca="false">Sens!$C$8598+Sens!$C$8599+Sens!$C$8600-Sens!$C$8603</f>
        <v>0</v>
      </c>
      <c r="D8607" s="41" t="n">
        <f aca="false">Sens!$D$8598+Sens!$D$8599+Sens!$D$8600-Sens!$D$8603</f>
        <v>0</v>
      </c>
      <c r="E8607" s="41" t="n">
        <f aca="false">Sens!$E$8598+Sens!$E$8599+Sens!$E$8600-Sens!$E$8603</f>
        <v>0</v>
      </c>
      <c r="F8607" s="41" t="n">
        <f aca="false">Sens!$F$8598+Sens!$F$8599+Sens!$F$8600-Sens!$F$8603</f>
        <v>0</v>
      </c>
      <c r="G8607" s="41" t="n">
        <f aca="false">Sens!$G$8598+Sens!$G$8599+Sens!$G$8600-Sens!$G$8603</f>
        <v>0</v>
      </c>
      <c r="H8607" s="41" t="n">
        <f aca="false">Sens!$H$8598+Sens!$H$8599+Sens!$H$8600-Sens!$H$8603</f>
        <v>0</v>
      </c>
      <c r="I8607" s="41" t="n">
        <f aca="false">Sens!$I$8598+Sens!$I$8599+Sens!$I$8600-Sens!$I$8603</f>
        <v>0</v>
      </c>
      <c r="J8607" s="41" t="n">
        <f aca="false">Sens!$J$8598+Sens!$J$8599+Sens!$J$8600-Sens!$J$8603</f>
        <v>0</v>
      </c>
      <c r="K8607" s="41" t="n">
        <f aca="false">Sens!$K$8598+Sens!$K$8599+Sens!$K$8600-Sens!$K$8603</f>
        <v>0</v>
      </c>
      <c r="L8607" s="41" t="n">
        <f aca="false">Sens!$L$8598+Sens!$L$8599+Sens!$L$8600-Sens!$L$8603</f>
        <v>0</v>
      </c>
      <c r="M8607" s="41" t="n">
        <f aca="false">Sens!$M$8598+Sens!$M$8599+Sens!$M$8600-Sens!$M$8603</f>
        <v>0</v>
      </c>
      <c r="N8607" s="41" t="n">
        <f aca="false">Sens!$N$8598+Sens!$N$8599+Sens!$N$8600-Sens!$N$8603</f>
        <v>0</v>
      </c>
      <c r="O8607" s="41" t="n">
        <f aca="false">Sens!$O$8598+Sens!$O$8599+Sens!$O$8600-Sens!$O$8603</f>
        <v>0</v>
      </c>
    </row>
    <row r="8608" customFormat="false" ht="17.15" hidden="false" customHeight="false" outlineLevel="0" collapsed="false">
      <c r="A8608" s="1" t="s">
        <v>713</v>
      </c>
    </row>
    <row r="8609" customFormat="false" ht="17.15" hidden="false" customHeight="false" outlineLevel="0" collapsed="false">
      <c r="A8609" s="0" t="s">
        <v>714</v>
      </c>
      <c r="B8609" s="0" t="s">
        <v>86</v>
      </c>
      <c r="C8609" s="38" t="n">
        <f aca="false">Sens!$C$8515*m_ad</f>
        <v>20.5341564414228</v>
      </c>
      <c r="D8609" s="38" t="n">
        <f aca="false">Sens!$D$8515*m_ad</f>
        <v>24.8720617299587</v>
      </c>
      <c r="E8609" s="38" t="n">
        <f aca="false">Sens!$E$8515*m_ad</f>
        <v>13.5017112462207</v>
      </c>
      <c r="F8609" s="38" t="n">
        <f aca="false">Sens!$F$8515*m_ad</f>
        <v>16.5719724165257</v>
      </c>
      <c r="G8609" s="38" t="n">
        <f aca="false">Sens!$G$8515*m_ad</f>
        <v>30.0820919220415</v>
      </c>
      <c r="H8609" s="38" t="n">
        <f aca="false">Sens!$H$8515*m_ad</f>
        <v>36.1150883276314</v>
      </c>
      <c r="I8609" s="38" t="n">
        <f aca="false">Sens!$I$8515*m_ad</f>
        <v>42.1475382231996</v>
      </c>
      <c r="J8609" s="38" t="n">
        <f aca="false">Sens!$J$8515*m_ad</f>
        <v>47.7749523864693</v>
      </c>
      <c r="K8609" s="38" t="n">
        <f aca="false">Sens!$K$8515*m_ad</f>
        <v>52.5524476251162</v>
      </c>
      <c r="L8609" s="38" t="n">
        <f aca="false">Sens!$L$8515*m_ad</f>
        <v>57.8076923876279</v>
      </c>
      <c r="M8609" s="38" t="n">
        <f aca="false">Sens!$M$8515*m_ad</f>
        <v>63.5884616263907</v>
      </c>
      <c r="N8609" s="38" t="n">
        <f aca="false">Sens!$N$8515*m_ad</f>
        <v>10.8543555706248</v>
      </c>
      <c r="O8609" s="38" t="n">
        <f aca="false">Sens!$O$8515*m_ad</f>
        <v>14.0094731821399</v>
      </c>
    </row>
    <row r="8610" customFormat="false" ht="17.15" hidden="false" customHeight="false" outlineLevel="0" collapsed="false">
      <c r="A8610" s="0" t="s">
        <v>715</v>
      </c>
      <c r="B8610" s="0" t="s">
        <v>86</v>
      </c>
      <c r="C8610" s="38" t="n">
        <f aca="false">Sens!$C$8513-Sens!$C$8515</f>
        <v>346.428687117154</v>
      </c>
      <c r="D8610" s="38" t="n">
        <f aca="false">Sens!$D$8513-Sens!$D$8515</f>
        <v>376.560876540083</v>
      </c>
      <c r="E8610" s="38" t="n">
        <f aca="false">Sens!$E$8513-Sens!$E$8515</f>
        <v>193.316577507559</v>
      </c>
      <c r="F8610" s="38" t="n">
        <f aca="false">Sens!$F$8513-Sens!$F$8515</f>
        <v>217.495828647535</v>
      </c>
      <c r="G8610" s="38" t="n">
        <f aca="false">Sens!$G$8513-Sens!$G$8515</f>
        <v>410.795589636503</v>
      </c>
      <c r="H8610" s="38" t="n">
        <f aca="false">Sens!$H$8513-Sens!$H$8515</f>
        <v>449.156813761174</v>
      </c>
      <c r="I8610" s="38" t="n">
        <f aca="false">Sens!$I$8513-Sens!$I$8515</f>
        <v>485.848786441156</v>
      </c>
      <c r="J8610" s="38" t="n">
        <f aca="false">Sens!$J$8513-Sens!$J$8515</f>
        <v>519.841531018994</v>
      </c>
      <c r="K8610" s="38" t="n">
        <f aca="false">Sens!$K$8513-Sens!$K$8515</f>
        <v>550.103332311311</v>
      </c>
      <c r="L8610" s="38" t="n">
        <f aca="false">Sens!$L$8513-Sens!$L$8515</f>
        <v>582.192354474511</v>
      </c>
      <c r="M8610" s="38" t="n">
        <f aca="false">Sens!$M$8513-Sens!$M$8515</f>
        <v>616.22240521081</v>
      </c>
      <c r="N8610" s="38" t="n">
        <f aca="false">Sens!$N$8513-Sens!$N$8515</f>
        <v>171.24628885875</v>
      </c>
      <c r="O8610" s="38" t="n">
        <f aca="false">Sens!$O$8513-Sens!$O$8515</f>
        <v>205.33105363572</v>
      </c>
    </row>
    <row r="8611" customFormat="false" ht="17.15" hidden="false" customHeight="false" outlineLevel="0" collapsed="false">
      <c r="A8611" s="0" t="s">
        <v>716</v>
      </c>
      <c r="B8611" s="0" t="s">
        <v>86</v>
      </c>
      <c r="C8611" s="38" t="n">
        <f aca="false">Sens!$C$8562*Sens!$C$8512</f>
        <v>0.123617442257179</v>
      </c>
      <c r="D8611" s="38" t="n">
        <f aca="false">Sens!$D$8562*Sens!$D$8512</f>
        <v>0.874366899302609</v>
      </c>
      <c r="E8611" s="38" t="n">
        <f aca="false">Sens!$E$8562*Sens!$E$8512</f>
        <v>1.29318830502574</v>
      </c>
      <c r="F8611" s="38" t="n">
        <f aca="false">Sens!$F$8562*Sens!$F$8512</f>
        <v>1.51802024162534</v>
      </c>
      <c r="G8611" s="38" t="n">
        <f aca="false">Sens!$G$8562*Sens!$G$8512</f>
        <v>2.81153363597665</v>
      </c>
      <c r="H8611" s="38" t="n">
        <f aca="false">Sens!$H$8562*Sens!$H$8512</f>
        <v>7.39027704264226</v>
      </c>
      <c r="I8611" s="38" t="n">
        <f aca="false">Sens!$I$8562*Sens!$I$8512</f>
        <v>12.899807643047</v>
      </c>
      <c r="J8611" s="38" t="n">
        <f aca="false">Sens!$J$8562*Sens!$J$8512</f>
        <v>18.5585322471382</v>
      </c>
      <c r="K8611" s="38" t="n">
        <f aca="false">Sens!$K$8562*Sens!$K$8512</f>
        <v>24.1069408582448</v>
      </c>
      <c r="L8611" s="38" t="n">
        <f aca="false">Sens!$L$8562*Sens!$L$8512</f>
        <v>27.7839918126586</v>
      </c>
      <c r="M8611" s="38" t="n">
        <f aca="false">Sens!$M$8562*Sens!$M$8512</f>
        <v>29.9851882607902</v>
      </c>
      <c r="N8611" s="38" t="n">
        <f aca="false">Sens!$N$8562*Sens!$N$8512</f>
        <v>0.389180508437431</v>
      </c>
      <c r="O8611" s="38" t="n">
        <f aca="false">Sens!$O$8562*Sens!$O$8512</f>
        <v>0.485052120082802</v>
      </c>
    </row>
    <row r="8612" customFormat="false" ht="17.15" hidden="false" customHeight="false" outlineLevel="0" collapsed="false">
      <c r="A8612" s="0" t="s">
        <v>717</v>
      </c>
      <c r="B8612" s="0" t="s">
        <v>52</v>
      </c>
      <c r="C8612" s="28" t="n">
        <f aca="false">(Sens!$C$8613-Sens!$C$8609+Sens!$C$8611)/Sens!$C$8610</f>
        <v>0.0131526665379575</v>
      </c>
      <c r="D8612" s="28" t="n">
        <f aca="false">(Sens!$D$8613-Sens!$D$8609+Sens!$D$8611)/Sens!$D$8610</f>
        <v>0.0149280116962589</v>
      </c>
      <c r="E8612" s="28" t="n">
        <f aca="false">(Sens!$E$8613-Sens!$E$8609+Sens!$E$8611)/Sens!$E$8610</f>
        <v>0.0268030663774938</v>
      </c>
      <c r="F8612" s="28" t="n">
        <f aca="false">Sens!$O$8612+(Sens!$E$8612-Sens!$N$8612)</f>
        <v>0.0232379346966962</v>
      </c>
      <c r="G8612" s="28" t="n">
        <f aca="false">(Sens!$G$8613-Sens!$G$8609+Sens!$G$8611)/Sens!$G$8610</f>
        <v>0.0248969268652583</v>
      </c>
      <c r="H8612" s="28" t="n">
        <f aca="false">Sens!$G$8612+step_na</f>
        <v>0.0278969268652583</v>
      </c>
      <c r="I8612" s="28" t="n">
        <f aca="false">Sens!$H$8612+step_na</f>
        <v>0.0308969268652583</v>
      </c>
      <c r="J8612" s="28" t="n">
        <f aca="false">Sens!$I$8612+step_na</f>
        <v>0.0338969268652583</v>
      </c>
      <c r="K8612" s="28" t="n">
        <f aca="false">Sens!$J$8612+step_na</f>
        <v>0.0368969268652584</v>
      </c>
      <c r="L8612" s="28" t="n">
        <f aca="false">Sens!$K$8612</f>
        <v>0.0368969268652584</v>
      </c>
      <c r="M8612" s="28" t="n">
        <f aca="false">Sens!$L$8612</f>
        <v>0.0368969268652584</v>
      </c>
      <c r="N8612" s="28" t="n">
        <f aca="false">(Sens!$N$8613-Sens!$N$8609+Sens!$N$8611)/Sens!$N$8610</f>
        <v>0.0168927744775755</v>
      </c>
      <c r="O8612" s="28" t="n">
        <f aca="false">(Sens!$O$8613-Sens!$O$8609+Sens!$O$8611)/Sens!$O$8610</f>
        <v>0.0133276427967779</v>
      </c>
      <c r="P8612" s="8" t="s">
        <v>718</v>
      </c>
    </row>
    <row r="8613" customFormat="false" ht="17.15" hidden="false" customHeight="false" outlineLevel="0" collapsed="false">
      <c r="A8613" s="1" t="s">
        <v>719</v>
      </c>
      <c r="B8613" s="8" t="s">
        <v>86</v>
      </c>
      <c r="C8613" s="38" t="n">
        <f aca="false">Q!$D$22</f>
        <v>24.967</v>
      </c>
      <c r="D8613" s="38" t="n">
        <f aca="false">Q!$E$22</f>
        <v>29.619</v>
      </c>
      <c r="E8613" s="38" t="n">
        <f aca="false">Q!$P$22</f>
        <v>17.39</v>
      </c>
      <c r="F8613" s="38" t="n">
        <f aca="false">Sens!$F$8609+Sens!$F$8610*Sens!$F$8612-Sens!$F$8611</f>
        <v>20.1081060378156</v>
      </c>
      <c r="G8613" s="38" t="n">
        <f aca="false">Sens!$E$8613+Sens!$F$8613</f>
        <v>37.4981060378156</v>
      </c>
      <c r="H8613" s="38" t="n">
        <f aca="false">Sens!$H$8609+Sens!$H$8610*Sens!$H$8612-Sens!$H$8611</f>
        <v>41.2549060695171</v>
      </c>
      <c r="I8613" s="38" t="n">
        <f aca="false">Sens!$I$8609+Sens!$I$8610*Sens!$I$8612-Sens!$I$8611</f>
        <v>44.2589650023995</v>
      </c>
      <c r="J8613" s="38" t="n">
        <f aca="false">Sens!$J$8609+Sens!$J$8610*Sens!$J$8612-Sens!$J$8611</f>
        <v>46.8374504978059</v>
      </c>
      <c r="K8613" s="38" t="n">
        <f aca="false">Sens!$K$8609+Sens!$K$8610*Sens!$K$8612-Sens!$K$8611</f>
        <v>48.7426291874968</v>
      </c>
      <c r="L8613" s="38" t="n">
        <f aca="false">Sens!$L$8609+Sens!$L$8610*Sens!$L$8612-Sens!$L$8611</f>
        <v>51.5048092995279</v>
      </c>
      <c r="M8613" s="38" t="n">
        <f aca="false">Sens!$M$8609+Sens!$M$8610*Sens!$M$8612-Sens!$M$8611</f>
        <v>56.3399863833974</v>
      </c>
      <c r="N8613" s="38" t="n">
        <f aca="false">Q!$N$22</f>
        <v>13.358</v>
      </c>
      <c r="O8613" s="38" t="n">
        <f aca="false">Q!$O$22</f>
        <v>16.261</v>
      </c>
    </row>
    <row r="8614" customFormat="false" ht="17.15" hidden="false" customHeight="false" outlineLevel="0" collapsed="false">
      <c r="A8614" s="0" t="s">
        <v>720</v>
      </c>
      <c r="B8614" s="0" t="s">
        <v>86</v>
      </c>
      <c r="C8614" s="38" t="n">
        <f aca="false">Sens!$C$8516*m_ad</f>
        <v>7.57284355857716</v>
      </c>
      <c r="D8614" s="38" t="n">
        <f aca="false">Sens!$D$8516*m_ad</f>
        <v>9.44543827004127</v>
      </c>
      <c r="E8614" s="38" t="n">
        <f aca="false">Sens!$E$8516*m_ad</f>
        <v>5.02428875377928</v>
      </c>
      <c r="F8614" s="38" t="n">
        <f aca="false">Sens!$F$8516*m_ad</f>
        <v>6.50663858068173</v>
      </c>
      <c r="G8614" s="38" t="n">
        <f aca="false">Sens!$G$8516*m_ad</f>
        <v>11.5225190751659</v>
      </c>
      <c r="H8614" s="38" t="n">
        <f aca="false">Sens!$H$8516*m_ad</f>
        <v>13.8333728663174</v>
      </c>
      <c r="I8614" s="38" t="n">
        <f aca="false">Sens!$I$8516*m_ad</f>
        <v>16.1440173245485</v>
      </c>
      <c r="J8614" s="38" t="n">
        <f aca="false">Sens!$J$8516*m_ad</f>
        <v>18.2995185845066</v>
      </c>
      <c r="K8614" s="38" t="n">
        <f aca="false">Sens!$K$8516*m_ad</f>
        <v>20.1294704429572</v>
      </c>
      <c r="L8614" s="38" t="n">
        <f aca="false">Sens!$L$8516*m_ad</f>
        <v>22.142417487253</v>
      </c>
      <c r="M8614" s="38" t="n">
        <f aca="false">Sens!$M$8516*m_ad</f>
        <v>24.3566592359783</v>
      </c>
      <c r="N8614" s="38" t="n">
        <f aca="false">Sens!$N$8516*m_ad</f>
        <v>3.95314442937518</v>
      </c>
      <c r="O8614" s="38" t="n">
        <f aca="false">Sens!$O$8516*m_ad</f>
        <v>5.50052681786011</v>
      </c>
    </row>
    <row r="8615" customFormat="false" ht="17.15" hidden="false" customHeight="false" outlineLevel="0" collapsed="false">
      <c r="A8615" s="0" t="s">
        <v>721</v>
      </c>
      <c r="B8615" s="0" t="s">
        <v>86</v>
      </c>
      <c r="C8615" s="38" t="n">
        <f aca="false">Sens!$C$8514-Sens!$C$8516</f>
        <v>127.760312882846</v>
      </c>
      <c r="D8615" s="38" t="n">
        <f aca="false">Sens!$D$8514-Sens!$D$8516</f>
        <v>143.003123459917</v>
      </c>
      <c r="E8615" s="38" t="n">
        <f aca="false">Sens!$E$8514-Sens!$E$8516</f>
        <v>71.9374224924414</v>
      </c>
      <c r="F8615" s="38" t="n">
        <f aca="false">Sens!$F$8514-Sens!$F$8516</f>
        <v>85.3951910035875</v>
      </c>
      <c r="G8615" s="38" t="n">
        <f aca="false">Sens!$G$8514-Sens!$G$8516</f>
        <v>157.349430014619</v>
      </c>
      <c r="H8615" s="38" t="n">
        <f aca="false">Sens!$H$8514-Sens!$H$8516</f>
        <v>172.043153372315</v>
      </c>
      <c r="I8615" s="38" t="n">
        <f aca="false">Sens!$I$8514-Sens!$I$8516</f>
        <v>186.097493615879</v>
      </c>
      <c r="J8615" s="38" t="n">
        <f aca="false">Sens!$J$8514-Sens!$J$8516</f>
        <v>199.117932780497</v>
      </c>
      <c r="K8615" s="38" t="n">
        <f aca="false">Sens!$K$8514-Sens!$K$8516</f>
        <v>210.70928698363</v>
      </c>
      <c r="L8615" s="38" t="n">
        <f aca="false">Sens!$L$8514-Sens!$L$8516</f>
        <v>223.000532251316</v>
      </c>
      <c r="M8615" s="38" t="n">
        <f aca="false">Sens!$M$8514-Sens!$M$8516</f>
        <v>236.035261011339</v>
      </c>
      <c r="N8615" s="38" t="n">
        <f aca="false">Sens!$N$8514-Sens!$N$8516</f>
        <v>62.3677111412496</v>
      </c>
      <c r="O8615" s="38" t="n">
        <f aca="false">Sens!$O$8514-Sens!$O$8516</f>
        <v>80.6189463642798</v>
      </c>
    </row>
    <row r="8616" customFormat="false" ht="17.15" hidden="false" customHeight="false" outlineLevel="0" collapsed="false">
      <c r="A8616" s="0" t="s">
        <v>722</v>
      </c>
      <c r="B8616" s="0" t="s">
        <v>86</v>
      </c>
      <c r="C8616" s="38" t="n">
        <f aca="false">Sens!$C$8562*(1-Sens!$C$8512)</f>
        <v>0.0455891896019953</v>
      </c>
      <c r="D8616" s="38" t="n">
        <f aca="false">Sens!$D$8562*(1-Sens!$D$8512)</f>
        <v>0.332050421167231</v>
      </c>
      <c r="E8616" s="38" t="n">
        <f aca="false">Sens!$E$8562*(1-Sens!$E$8512)</f>
        <v>0.481224293644882</v>
      </c>
      <c r="F8616" s="38" t="n">
        <f aca="false">Sens!$F$8562*(1-Sens!$F$8512)</f>
        <v>0.596018918096053</v>
      </c>
      <c r="G8616" s="38" t="n">
        <f aca="false">Sens!$G$8562*(1-Sens!$G$8512)</f>
        <v>1.07691812241537</v>
      </c>
      <c r="H8616" s="38" t="n">
        <f aca="false">Sens!$H$8562*(1-Sens!$H$8512)</f>
        <v>2.83074090775622</v>
      </c>
      <c r="I8616" s="38" t="n">
        <f aca="false">Sens!$I$8562*(1-Sens!$I$8512)</f>
        <v>4.94108853926048</v>
      </c>
      <c r="J8616" s="38" t="n">
        <f aca="false">Sens!$J$8562*(1-Sens!$J$8512)</f>
        <v>7.10858281993502</v>
      </c>
      <c r="K8616" s="38" t="n">
        <f aca="false">Sens!$K$8562*(1-Sens!$K$8512)</f>
        <v>9.233822122573</v>
      </c>
      <c r="L8616" s="38" t="n">
        <f aca="false">Sens!$L$8562*(1-Sens!$L$8512)</f>
        <v>10.6422643902314</v>
      </c>
      <c r="M8616" s="38" t="n">
        <f aca="false">Sens!$M$8562*(1-Sens!$M$8512)</f>
        <v>11.4854015007593</v>
      </c>
      <c r="N8616" s="38" t="n">
        <f aca="false">Sens!$N$8562*(1-Sens!$N$8512)</f>
        <v>0.141739115596548</v>
      </c>
      <c r="O8616" s="38" t="n">
        <f aca="false">Sens!$O$8562*(1-Sens!$O$8512)</f>
        <v>0.190445576353059</v>
      </c>
    </row>
    <row r="8617" customFormat="false" ht="17.15" hidden="false" customHeight="false" outlineLevel="0" collapsed="false">
      <c r="A8617" s="0" t="s">
        <v>723</v>
      </c>
      <c r="B8617" s="0" t="s">
        <v>52</v>
      </c>
      <c r="C8617" s="28" t="n">
        <f aca="false">(Sens!$C$8618-Sens!$C$8614+Sens!$C$8616)/Sens!$C$8615</f>
        <v>-0.0292364215826579</v>
      </c>
      <c r="D8617" s="28" t="n">
        <f aca="false">(Sens!$D$8618-Sens!$D$8614+Sens!$D$8616)/Sens!$D$8615</f>
        <v>-0.0305125352740778</v>
      </c>
      <c r="E8617" s="28" t="n">
        <f aca="false">(Sens!$E$8618-Sens!$E$8614+Sens!$E$8616)/Sens!$E$8615</f>
        <v>-0.019490056934994</v>
      </c>
      <c r="F8617" s="28" t="n">
        <f aca="false">Sens!$O$8617+(Sens!$E$8617-Sens!$N$8617)</f>
        <v>-0.0367332293992226</v>
      </c>
      <c r="G8617" s="28" t="n">
        <f aca="false">(Sens!$G$8618-Sens!$G$8614+Sens!$G$8616)/Sens!$G$8615</f>
        <v>-0.0287946542321067</v>
      </c>
      <c r="H8617" s="28" t="n">
        <f aca="false">Sens!$G$8617+step_in</f>
        <v>-0.0287946542321067</v>
      </c>
      <c r="I8617" s="28" t="n">
        <f aca="false">Sens!$H$8617+step_in</f>
        <v>-0.0287946542321067</v>
      </c>
      <c r="J8617" s="28" t="n">
        <f aca="false">Sens!$I$8617+step_in</f>
        <v>-0.0287946542321067</v>
      </c>
      <c r="K8617" s="28" t="n">
        <f aca="false">Sens!$J$8617+step_in</f>
        <v>-0.0287946542321067</v>
      </c>
      <c r="L8617" s="28" t="n">
        <f aca="false">Sens!$K$8617</f>
        <v>-0.0287946542321067</v>
      </c>
      <c r="M8617" s="28" t="n">
        <f aca="false">Sens!$L$8617</f>
        <v>-0.0287946542321067</v>
      </c>
      <c r="N8617" s="28" t="n">
        <f aca="false">(Sens!$N$8618-Sens!$N$8614+Sens!$N$8616)/Sens!$N$8615</f>
        <v>-0.02085061789158</v>
      </c>
      <c r="O8617" s="28" t="n">
        <f aca="false">(Sens!$O$8618-Sens!$O$8614+Sens!$O$8616)/Sens!$O$8615</f>
        <v>-0.0380937903558086</v>
      </c>
      <c r="P8617" s="8" t="s">
        <v>718</v>
      </c>
    </row>
    <row r="8618" customFormat="false" ht="17.15" hidden="false" customHeight="false" outlineLevel="0" collapsed="false">
      <c r="A8618" s="1" t="s">
        <v>724</v>
      </c>
      <c r="B8618" s="8" t="s">
        <v>86</v>
      </c>
      <c r="C8618" s="38" t="n">
        <f aca="false">Q!$D$23</f>
        <v>3.792</v>
      </c>
      <c r="D8618" s="38" t="n">
        <f aca="false">Q!$E$23</f>
        <v>4.75</v>
      </c>
      <c r="E8618" s="38" t="n">
        <f aca="false">Q!$P$23</f>
        <v>3.141</v>
      </c>
      <c r="F8618" s="38" t="n">
        <f aca="false">Sens!$F$8614+Sens!$F$8615*Sens!$F$8617-Sens!$F$8616</f>
        <v>2.77377852186047</v>
      </c>
      <c r="G8618" s="38" t="n">
        <f aca="false">Sens!$E$8618+Sens!$F$8618</f>
        <v>5.91477852186047</v>
      </c>
      <c r="H8618" s="38" t="n">
        <f aca="false">Sens!$H$8614+Sens!$H$8615*Sens!$H$8617-Sens!$H$8616</f>
        <v>6.04870884420403</v>
      </c>
      <c r="I8618" s="38" t="n">
        <f aca="false">Sens!$I$8614+Sens!$I$8615*Sens!$I$8617-Sens!$I$8616</f>
        <v>5.84431580315713</v>
      </c>
      <c r="J8618" s="38" t="n">
        <f aca="false">Sens!$J$8614+Sens!$J$8615*Sens!$J$8617-Sens!$J$8616</f>
        <v>5.45740373874528</v>
      </c>
      <c r="K8618" s="38" t="n">
        <f aca="false">Sens!$K$8614+Sens!$K$8615*Sens!$K$8617-Sens!$K$8616</f>
        <v>4.82834725819686</v>
      </c>
      <c r="L8618" s="38" t="n">
        <f aca="false">Sens!$L$8614+Sens!$L$8615*Sens!$L$8617-Sens!$L$8616</f>
        <v>5.0789298772691</v>
      </c>
      <c r="M8618" s="38" t="n">
        <f aca="false">Sens!$M$8614+Sens!$M$8615*Sens!$M$8617-Sens!$M$8616</f>
        <v>6.07470400781241</v>
      </c>
      <c r="N8618" s="38" t="n">
        <f aca="false">Q!$N$23</f>
        <v>2.511</v>
      </c>
      <c r="O8618" s="38" t="n">
        <f aca="false">Q!$O$23</f>
        <v>2.239</v>
      </c>
    </row>
    <row r="8619" customFormat="false" ht="17.15" hidden="false" customHeight="false" outlineLevel="0" collapsed="false">
      <c r="A8619" s="0" t="s">
        <v>725</v>
      </c>
      <c r="B8619" s="0" t="s">
        <v>86</v>
      </c>
      <c r="C8619" s="38" t="n">
        <f aca="false">Sens!$C$8559</f>
        <v>1.64417882953695</v>
      </c>
      <c r="D8619" s="38" t="n">
        <f aca="false">Sens!$D$8559</f>
        <v>3.8781008067718</v>
      </c>
      <c r="E8619" s="38" t="n">
        <f aca="false">Sens!$E$8559</f>
        <v>1.41270258088753</v>
      </c>
      <c r="F8619" s="38" t="n">
        <f aca="false">Sens!$F$8559</f>
        <v>6.50727700583486</v>
      </c>
      <c r="G8619" s="38" t="n">
        <f aca="false">Sens!$G$8559</f>
        <v>7.9199795867224</v>
      </c>
      <c r="H8619" s="38" t="n">
        <f aca="false">Sens!$H$8559</f>
        <v>19.2818189481807</v>
      </c>
      <c r="I8619" s="38" t="n">
        <f aca="false">Sens!$I$8559</f>
        <v>30.140114407202</v>
      </c>
      <c r="J8619" s="38" t="n">
        <f aca="false">Sens!$J$8559</f>
        <v>40.3569468829854</v>
      </c>
      <c r="K8619" s="38" t="n">
        <f aca="false">Sens!$K$8559</f>
        <v>45.3710496571487</v>
      </c>
      <c r="L8619" s="38" t="n">
        <f aca="false">Sens!$L$8559</f>
        <v>49.1601681490812</v>
      </c>
      <c r="M8619" s="38" t="n">
        <f aca="false">Sens!$M$8559</f>
        <v>49.5075152997692</v>
      </c>
      <c r="N8619" s="38" t="n">
        <f aca="false">Sens!$N$8559</f>
        <v>0.92264103489199</v>
      </c>
      <c r="O8619" s="38" t="n">
        <f aca="false">Sens!$O$8559</f>
        <v>2.95545977187981</v>
      </c>
    </row>
    <row r="8620" customFormat="false" ht="17.15" hidden="false" customHeight="false" outlineLevel="0" collapsed="false">
      <c r="A8620" s="0" t="s">
        <v>643</v>
      </c>
      <c r="B8620" s="0" t="s">
        <v>86</v>
      </c>
      <c r="C8620" s="38" t="n">
        <f aca="false">Sens!$C$8564</f>
        <v>38.1898211704631</v>
      </c>
      <c r="D8620" s="38" t="n">
        <f aca="false">Sens!$D$8564</f>
        <v>41.7278991932282</v>
      </c>
      <c r="E8620" s="38" t="n">
        <f aca="false">Sens!$E$8564</f>
        <v>29.3692974191125</v>
      </c>
      <c r="F8620" s="38" t="n">
        <f aca="false">Sens!$F$8564</f>
        <v>26.8997276714137</v>
      </c>
      <c r="G8620" s="38" t="n">
        <f aca="false">Sens!$G$8564</f>
        <v>56.2690250905262</v>
      </c>
      <c r="H8620" s="38" t="n">
        <f aca="false">Sens!$H$8564</f>
        <v>60.3505333937343</v>
      </c>
      <c r="I8620" s="38" t="n">
        <f aca="false">Sens!$I$8564</f>
        <v>67.0043857303571</v>
      </c>
      <c r="J8620" s="38" t="n">
        <f aca="false">Sens!$J$8564</f>
        <v>73.3782922956925</v>
      </c>
      <c r="K8620" s="38" t="n">
        <f aca="false">Sens!$K$8564</f>
        <v>79.2485556793479</v>
      </c>
      <c r="L8620" s="38" t="n">
        <f aca="false">Sens!$L$8564</f>
        <v>85.5884401336958</v>
      </c>
      <c r="M8620" s="38" t="n">
        <f aca="false">Sens!$M$8564</f>
        <v>92.4355153443914</v>
      </c>
      <c r="N8620" s="38" t="n">
        <f aca="false">Sens!$N$8564</f>
        <v>20.784358965108</v>
      </c>
      <c r="O8620" s="38" t="n">
        <f aca="false">Sens!$O$8564</f>
        <v>20.9435402281202</v>
      </c>
    </row>
    <row r="8621" customFormat="false" ht="17.15" hidden="false" customHeight="false" outlineLevel="0" collapsed="false">
      <c r="A8621" s="1" t="s">
        <v>726</v>
      </c>
      <c r="B8621" s="8" t="s">
        <v>86</v>
      </c>
      <c r="C8621" s="38" t="n">
        <f aca="false">Q!$D$24</f>
        <v>39.834</v>
      </c>
      <c r="D8621" s="38" t="n">
        <f aca="false">Q!$E$24</f>
        <v>45.606</v>
      </c>
      <c r="E8621" s="38" t="n">
        <f aca="false">Q!$P$24</f>
        <v>30.782</v>
      </c>
      <c r="F8621" s="38" t="n">
        <f aca="false">Sens!$F$8619+Sens!$F$8620</f>
        <v>33.4070046772486</v>
      </c>
      <c r="G8621" s="38" t="n">
        <f aca="false">Sens!$G$8619+Sens!$G$8620</f>
        <v>64.1890046772486</v>
      </c>
      <c r="H8621" s="38" t="n">
        <f aca="false">Sens!$H$8619+Sens!$H$8620</f>
        <v>79.6323523419149</v>
      </c>
      <c r="I8621" s="38" t="n">
        <f aca="false">Sens!$I$8619+Sens!$I$8620</f>
        <v>97.1445001375591</v>
      </c>
      <c r="J8621" s="38" t="n">
        <f aca="false">Sens!$J$8619+Sens!$J$8620</f>
        <v>113.735239178678</v>
      </c>
      <c r="K8621" s="38" t="n">
        <f aca="false">Sens!$K$8619+Sens!$K$8620</f>
        <v>124.619605336497</v>
      </c>
      <c r="L8621" s="38" t="n">
        <f aca="false">Sens!$L$8619+Sens!$L$8620</f>
        <v>134.748608282777</v>
      </c>
      <c r="M8621" s="38" t="n">
        <f aca="false">Sens!$M$8619+Sens!$M$8620</f>
        <v>141.943030644161</v>
      </c>
      <c r="N8621" s="38" t="n">
        <f aca="false">Q!$N$24</f>
        <v>21.707</v>
      </c>
      <c r="O8621" s="38" t="n">
        <f aca="false">Q!$O$24</f>
        <v>23.899</v>
      </c>
    </row>
    <row r="8622" customFormat="false" ht="17.15" hidden="false" customHeight="false" outlineLevel="0" collapsed="false">
      <c r="A8622" s="5" t="s">
        <v>727</v>
      </c>
      <c r="B8622" s="0" t="s">
        <v>86</v>
      </c>
      <c r="C8622" s="38" t="n">
        <f aca="false">Q!$D$26</f>
        <v>0</v>
      </c>
      <c r="D8622" s="38" t="n">
        <f aca="false">Q!$E$26</f>
        <v>0</v>
      </c>
      <c r="E8622" s="38" t="n">
        <f aca="false">Q!$P$26</f>
        <v>0</v>
      </c>
      <c r="F8622" s="39" t="n">
        <v>0</v>
      </c>
      <c r="G8622" s="38" t="n">
        <f aca="false">Sens!$E$8622+Sens!$F$8622</f>
        <v>0</v>
      </c>
      <c r="H8622" s="39" t="n">
        <v>0</v>
      </c>
      <c r="I8622" s="39" t="n">
        <v>0</v>
      </c>
      <c r="J8622" s="39" t="n">
        <v>0</v>
      </c>
      <c r="K8622" s="39" t="n">
        <v>0</v>
      </c>
      <c r="L8622" s="39" t="n">
        <v>0</v>
      </c>
      <c r="M8622" s="39" t="n">
        <v>0</v>
      </c>
      <c r="N8622" s="38" t="n">
        <f aca="false">Q!$N$26</f>
        <v>0</v>
      </c>
      <c r="O8622" s="38" t="n">
        <f aca="false">Q!$O$26</f>
        <v>0</v>
      </c>
    </row>
    <row r="8623" customFormat="false" ht="15" hidden="false" customHeight="false" outlineLevel="0" collapsed="false">
      <c r="A8623" s="3" t="s">
        <v>531</v>
      </c>
      <c r="B8623" s="8" t="s">
        <v>86</v>
      </c>
      <c r="C8623" s="38" t="n">
        <f aca="false">Q!$D$25</f>
        <v>68.593</v>
      </c>
      <c r="D8623" s="38" t="n">
        <f aca="false">Q!$E$25</f>
        <v>79.975</v>
      </c>
      <c r="E8623" s="38" t="n">
        <f aca="false">Q!$P$25</f>
        <v>51.313</v>
      </c>
      <c r="F8623" s="38" t="n">
        <f aca="false">Sens!$F$8613+Sens!$F$8618+Sens!$F$8621+Sens!$F$8622</f>
        <v>56.2888892369246</v>
      </c>
      <c r="G8623" s="38" t="n">
        <f aca="false">Sens!$G$8613+Sens!$G$8618+Sens!$G$8621+Sens!$G$8622</f>
        <v>107.601889236925</v>
      </c>
      <c r="H8623" s="38" t="n">
        <f aca="false">Sens!$H$8613+Sens!$H$8618+Sens!$H$8621+Sens!$H$8622</f>
        <v>126.935967255636</v>
      </c>
      <c r="I8623" s="38" t="n">
        <f aca="false">Sens!$I$8613+Sens!$I$8618+Sens!$I$8621+Sens!$I$8622</f>
        <v>147.247780943116</v>
      </c>
      <c r="J8623" s="38" t="n">
        <f aca="false">Sens!$J$8613+Sens!$J$8618+Sens!$J$8621+Sens!$J$8622</f>
        <v>166.030093415229</v>
      </c>
      <c r="K8623" s="38" t="n">
        <f aca="false">Sens!$K$8613+Sens!$K$8618+Sens!$K$8621+Sens!$K$8622</f>
        <v>178.19058178219</v>
      </c>
      <c r="L8623" s="38" t="n">
        <f aca="false">Sens!$L$8613+Sens!$L$8618+Sens!$L$8621+Sens!$L$8622</f>
        <v>191.332347459574</v>
      </c>
      <c r="M8623" s="38" t="n">
        <f aca="false">Sens!$M$8613+Sens!$M$8618+Sens!$M$8621+Sens!$M$8622</f>
        <v>204.35772103537</v>
      </c>
      <c r="N8623" s="38" t="n">
        <f aca="false">Q!$N$25</f>
        <v>37.576</v>
      </c>
      <c r="O8623" s="38" t="n">
        <f aca="false">Q!$O$25</f>
        <v>42.399</v>
      </c>
    </row>
    <row r="8624" customFormat="false" ht="17.15" hidden="false" customHeight="false" outlineLevel="0" collapsed="false">
      <c r="A8624" s="24" t="s">
        <v>758</v>
      </c>
      <c r="B8624" s="25" t="s">
        <v>86</v>
      </c>
      <c r="C8624" s="41" t="n">
        <f aca="false">Sens!$C$8613+Sens!$C$8618+Sens!$C$8621+Sens!$C$8622-Sens!$C$8623</f>
        <v>0</v>
      </c>
      <c r="D8624" s="41" t="n">
        <f aca="false">Sens!$D$8613+Sens!$D$8618+Sens!$D$8621+Sens!$D$8622-Sens!$D$8623</f>
        <v>0</v>
      </c>
      <c r="E8624" s="41" t="n">
        <f aca="false">Sens!$E$8613+Sens!$E$8618+Sens!$E$8621+Sens!$E$8622-Sens!$E$8623</f>
        <v>0</v>
      </c>
      <c r="F8624" s="41" t="n">
        <f aca="false">Sens!$F$8613+Sens!$F$8618+Sens!$F$8621+Sens!$F$8622-Sens!$F$8623</f>
        <v>0</v>
      </c>
      <c r="G8624" s="41" t="n">
        <f aca="false">Sens!$G$8613+Sens!$G$8618+Sens!$G$8621+Sens!$G$8622-Sens!$G$8623</f>
        <v>0</v>
      </c>
      <c r="H8624" s="41" t="n">
        <f aca="false">Sens!$H$8613+Sens!$H$8618+Sens!$H$8621+Sens!$H$8622-Sens!$H$8623</f>
        <v>0</v>
      </c>
      <c r="I8624" s="41" t="n">
        <f aca="false">Sens!$I$8613+Sens!$I$8618+Sens!$I$8621+Sens!$I$8622-Sens!$I$8623</f>
        <v>0</v>
      </c>
      <c r="J8624" s="41" t="n">
        <f aca="false">Sens!$J$8613+Sens!$J$8618+Sens!$J$8621+Sens!$J$8622-Sens!$J$8623</f>
        <v>0</v>
      </c>
      <c r="K8624" s="41" t="n">
        <f aca="false">Sens!$K$8613+Sens!$K$8618+Sens!$K$8621+Sens!$K$8622-Sens!$K$8623</f>
        <v>0</v>
      </c>
      <c r="L8624" s="41" t="n">
        <f aca="false">Sens!$L$8613+Sens!$L$8618+Sens!$L$8621+Sens!$L$8622-Sens!$L$8623</f>
        <v>0</v>
      </c>
      <c r="M8624" s="41" t="n">
        <f aca="false">Sens!$M$8613+Sens!$M$8618+Sens!$M$8621+Sens!$M$8622-Sens!$M$8623</f>
        <v>0</v>
      </c>
      <c r="N8624" s="41" t="n">
        <f aca="false">Sens!$N$8613+Sens!$N$8618+Sens!$N$8621+Sens!$N$8622-Sens!$N$8623</f>
        <v>0</v>
      </c>
      <c r="O8624" s="41" t="n">
        <f aca="false">Sens!$O$8613+Sens!$O$8618+Sens!$O$8621+Sens!$O$8622-Sens!$O$8623</f>
        <v>0</v>
      </c>
    </row>
    <row r="8625" customFormat="false" ht="17.15" hidden="false" customHeight="false" outlineLevel="0" collapsed="false">
      <c r="A8625" s="5" t="s">
        <v>729</v>
      </c>
      <c r="B8625" s="0" t="s">
        <v>86</v>
      </c>
      <c r="C8625" s="38" t="n">
        <f aca="false">Sens!$C$8561</f>
        <v>0</v>
      </c>
      <c r="D8625" s="38" t="n">
        <f aca="false">Sens!$D$8561</f>
        <v>0</v>
      </c>
      <c r="E8625" s="38" t="n">
        <f aca="false">Sens!$E$8561</f>
        <v>0</v>
      </c>
      <c r="F8625" s="38" t="n">
        <f aca="false">Sens!$F$8561</f>
        <v>3.77122048175818</v>
      </c>
      <c r="G8625" s="38" t="n">
        <f aca="false">Sens!$G$8561</f>
        <v>3.77122048175818</v>
      </c>
      <c r="H8625" s="38" t="n">
        <f aca="false">Sens!$H$8561</f>
        <v>15.1635543609893</v>
      </c>
      <c r="I8625" s="38" t="n">
        <f aca="false">Sens!$I$8561</f>
        <v>25.5818843619889</v>
      </c>
      <c r="J8625" s="38" t="n">
        <f aca="false">Sens!$J$8561</f>
        <v>36.0465624179122</v>
      </c>
      <c r="K8625" s="38" t="n">
        <f aca="false">Sens!$K$8561</f>
        <v>45.0461919819152</v>
      </c>
      <c r="L8625" s="38" t="n">
        <f aca="false">Sens!$L$8561</f>
        <v>51.1279288493339</v>
      </c>
      <c r="M8625" s="38" t="n">
        <f aca="false">Sens!$M$8561</f>
        <v>54.2845128319481</v>
      </c>
      <c r="N8625" s="38" t="n">
        <f aca="false">Sens!$N$8561</f>
        <v>0</v>
      </c>
      <c r="O8625" s="38" t="n">
        <f aca="false">Sens!$O$8561</f>
        <v>0</v>
      </c>
      <c r="P8625" s="5" t="s">
        <v>730</v>
      </c>
    </row>
    <row r="8626" customFormat="false" ht="17.15" hidden="false" customHeight="false" outlineLevel="0" collapsed="false">
      <c r="A8626" s="5" t="s">
        <v>731</v>
      </c>
      <c r="B8626" s="0" t="s">
        <v>86</v>
      </c>
      <c r="C8626" s="38" t="n">
        <f aca="false">Sens!$C$8623+Sens!$C$8625</f>
        <v>68.593</v>
      </c>
      <c r="D8626" s="38" t="n">
        <f aca="false">Sens!$D$8623+Sens!$D$8625</f>
        <v>79.975</v>
      </c>
      <c r="E8626" s="38" t="n">
        <f aca="false">Sens!$E$8623+Sens!$E$8625</f>
        <v>51.313</v>
      </c>
      <c r="F8626" s="38" t="n">
        <f aca="false">Sens!$F$8623+Sens!$F$8625</f>
        <v>60.0601097186828</v>
      </c>
      <c r="G8626" s="38" t="n">
        <f aca="false">Sens!$G$8623+Sens!$G$8625</f>
        <v>111.373109718683</v>
      </c>
      <c r="H8626" s="38" t="n">
        <f aca="false">Sens!$H$8623+Sens!$H$8625</f>
        <v>142.099521616625</v>
      </c>
      <c r="I8626" s="38" t="n">
        <f aca="false">Sens!$I$8623+Sens!$I$8625</f>
        <v>172.829665305105</v>
      </c>
      <c r="J8626" s="38" t="n">
        <f aca="false">Sens!$J$8623+Sens!$J$8625</f>
        <v>202.076655833141</v>
      </c>
      <c r="K8626" s="38" t="n">
        <f aca="false">Sens!$K$8623+Sens!$K$8625</f>
        <v>223.236773764105</v>
      </c>
      <c r="L8626" s="38" t="n">
        <f aca="false">Sens!$L$8623+Sens!$L$8625</f>
        <v>242.460276308908</v>
      </c>
      <c r="M8626" s="38" t="n">
        <f aca="false">Sens!$M$8623+Sens!$M$8625</f>
        <v>258.642233867319</v>
      </c>
      <c r="N8626" s="38" t="n">
        <f aca="false">Sens!$N$8623+Sens!$N$8625</f>
        <v>37.576</v>
      </c>
      <c r="O8626" s="38" t="n">
        <f aca="false">Sens!$O$8623+Sens!$O$8625</f>
        <v>42.399</v>
      </c>
    </row>
    <row r="8627" customFormat="false" ht="17.15" hidden="false" customHeight="false" outlineLevel="0" collapsed="false">
      <c r="A8627" s="0" t="s">
        <v>732</v>
      </c>
      <c r="B8627" s="0" t="s">
        <v>52</v>
      </c>
      <c r="C8627" s="13" t="n">
        <f aca="false">Sens!$C$8613/Sens!$C$8598</f>
        <v>0.0644314665661928</v>
      </c>
      <c r="D8627" s="13" t="n">
        <f aca="false">Sens!$D$8613/Sens!$D$8598</f>
        <v>0.0694784250712518</v>
      </c>
      <c r="E8627" s="13" t="n">
        <f aca="false">Sens!$E$8613/Sens!$E$8598</f>
        <v>0.0789306463326071</v>
      </c>
      <c r="F8627" s="13" t="n">
        <f aca="false">Sens!$F$8613/Sens!$F$8598</f>
        <v>0.0802271154277638</v>
      </c>
      <c r="G8627" s="13" t="n">
        <f aca="false">Sens!$G$8613/Sens!$G$8598</f>
        <v>0.0796206133714758</v>
      </c>
      <c r="H8627" s="13" t="n">
        <f aca="false">Sens!$H$8613/Sens!$H$8598</f>
        <v>0.0791253077422711</v>
      </c>
      <c r="I8627" s="13" t="n">
        <f aca="false">Sens!$I$8613/Sens!$I$8598</f>
        <v>0.0776277144828766</v>
      </c>
      <c r="J8627" s="13" t="n">
        <f aca="false">Sens!$J$8613/Sens!$J$8598</f>
        <v>0.0761100135193333</v>
      </c>
      <c r="K8627" s="13" t="n">
        <f aca="false">Sens!$K$8613/Sens!$K$8598</f>
        <v>0.0743925780188992</v>
      </c>
      <c r="L8627" s="13" t="n">
        <f aca="false">Sens!$L$8613/Sens!$L$8598</f>
        <v>0.0738094555312645</v>
      </c>
      <c r="M8627" s="13" t="n">
        <f aca="false">Sens!$M$8613/Sens!$M$8598</f>
        <v>0.0757869750835491</v>
      </c>
      <c r="N8627" s="13" t="n">
        <f aca="false">Sens!$N$8613/Sens!$N$8598</f>
        <v>0.069228576611127</v>
      </c>
      <c r="O8627" s="13" t="n">
        <f aca="false">Sens!$O$8613/Sens!$O$8598</f>
        <v>0.069685022498393</v>
      </c>
    </row>
    <row r="8628" customFormat="false" ht="17.15" hidden="false" customHeight="false" outlineLevel="0" collapsed="false">
      <c r="A8628" s="0" t="s">
        <v>733</v>
      </c>
      <c r="B8628" s="0" t="s">
        <v>52</v>
      </c>
      <c r="C8628" s="13" t="n">
        <f aca="false">Sens!$C$8618/Sens!$C$8599</f>
        <v>0.026534925055631</v>
      </c>
      <c r="D8628" s="13" t="n">
        <f aca="false">Sens!$D$8618/Sens!$D$8599</f>
        <v>0.0293401855535103</v>
      </c>
      <c r="E8628" s="13" t="n">
        <f aca="false">Sens!$E$8618/Sens!$E$8599</f>
        <v>0.03831141902276</v>
      </c>
      <c r="F8628" s="13" t="n">
        <f aca="false">Sens!$F$8618/Sens!$F$8599</f>
        <v>0.028186380436398</v>
      </c>
      <c r="G8628" s="13" t="n">
        <f aca="false">Sens!$G$8618/Sens!$G$8599</f>
        <v>0.0327880260521739</v>
      </c>
      <c r="H8628" s="13" t="n">
        <f aca="false">Sens!$H$8618/Sens!$H$8599</f>
        <v>0.0302874763409969</v>
      </c>
      <c r="I8628" s="13" t="n">
        <f aca="false">Sens!$I$8618/Sens!$I$8599</f>
        <v>0.0267614610253202</v>
      </c>
      <c r="J8628" s="13" t="n">
        <f aca="false">Sens!$J$8618/Sens!$J$8599</f>
        <v>0.0231523582706593</v>
      </c>
      <c r="K8628" s="13" t="n">
        <f aca="false">Sens!$K$8618/Sens!$K$8599</f>
        <v>0.0192388785591883</v>
      </c>
      <c r="L8628" s="13" t="n">
        <f aca="false">Sens!$L$8618/Sens!$L$8599</f>
        <v>0.0190019002161762</v>
      </c>
      <c r="M8628" s="13" t="n">
        <f aca="false">Sens!$M$8618/Sens!$M$8599</f>
        <v>0.0213335708955443</v>
      </c>
      <c r="N8628" s="13" t="n">
        <f aca="false">Sens!$N$8618/Sens!$N$8599</f>
        <v>0.0357315650169337</v>
      </c>
      <c r="O8628" s="13" t="n">
        <f aca="false">Sens!$O$8618/Sens!$O$8599</f>
        <v>0.0244378956559703</v>
      </c>
    </row>
    <row r="8629" customFormat="false" ht="17.15" hidden="false" customHeight="false" outlineLevel="0" collapsed="false">
      <c r="A8629" s="14" t="s">
        <v>734</v>
      </c>
      <c r="B8629" s="14" t="s">
        <v>52</v>
      </c>
      <c r="C8629" s="17" t="n">
        <f aca="false">Sens!$C$8621/Sens!$C$8600</f>
        <v>0.370355907620217</v>
      </c>
      <c r="D8629" s="17" t="n">
        <f aca="false">Sens!$D$8621/Sens!$D$8600</f>
        <v>0.35429015342785</v>
      </c>
      <c r="E8629" s="17" t="n">
        <f aca="false">Sens!$E$8621/Sens!$E$8600</f>
        <v>0.385647527531039</v>
      </c>
      <c r="F8629" s="17" t="n">
        <f aca="false">Sens!$F$8621/Sens!$F$8600</f>
        <v>0.385171818673936</v>
      </c>
      <c r="G8629" s="17" t="n">
        <f aca="false">Sens!$G$8621/Sens!$G$8600</f>
        <v>0.385399799520974</v>
      </c>
      <c r="H8629" s="17" t="n">
        <f aca="false">Sens!$H$8621/Sens!$H$8600</f>
        <v>0.360029314750347</v>
      </c>
      <c r="I8629" s="17" t="n">
        <f aca="false">Sens!$I$8621/Sens!$I$8600</f>
        <v>0.346606134604193</v>
      </c>
      <c r="J8629" s="17" t="n">
        <f aca="false">Sens!$J$8621/Sens!$J$8600</f>
        <v>0.335699297156574</v>
      </c>
      <c r="K8629" s="17" t="n">
        <f aca="false">Sens!$K$8621/Sens!$K$8600</f>
        <v>0.319396847264023</v>
      </c>
      <c r="L8629" s="17" t="n">
        <f aca="false">Sens!$L$8621/Sens!$L$8600</f>
        <v>0.312483887178428</v>
      </c>
      <c r="M8629" s="17" t="n">
        <f aca="false">Sens!$M$8621/Sens!$M$8600</f>
        <v>0.307228902252946</v>
      </c>
      <c r="N8629" s="17" t="n">
        <f aca="false">Sens!$N$8621/Sens!$N$8600</f>
        <v>0.360941137346192</v>
      </c>
      <c r="O8629" s="17" t="n">
        <f aca="false">Sens!$O$8621/Sens!$O$8600</f>
        <v>0.348458117664212</v>
      </c>
    </row>
    <row r="8630" customFormat="false" ht="17.15" hidden="false" customHeight="false" outlineLevel="0" collapsed="false">
      <c r="A8630" s="0" t="s">
        <v>735</v>
      </c>
      <c r="B8630" s="0" t="s">
        <v>52</v>
      </c>
      <c r="C8630" s="13" t="n">
        <f aca="false">Sens!$C$8619/Sens!$C$8601</f>
        <v>0.708390794789371</v>
      </c>
      <c r="D8630" s="13" t="n">
        <f aca="false">Sens!$D$8619/Sens!$D$8601</f>
        <v>0.445565630441968</v>
      </c>
      <c r="E8630" s="13" t="n">
        <f aca="false">Sens!$E$8619/Sens!$E$8601</f>
        <v>0.165998118402711</v>
      </c>
      <c r="F8630" s="13" t="n">
        <f aca="false">Sens!$F$8619/Sens!$F$8601</f>
        <v>0.434878595403858</v>
      </c>
      <c r="G8630" s="13" t="n">
        <f aca="false">Sens!$G$8619/Sens!$G$8601</f>
        <v>0.3373967615381</v>
      </c>
      <c r="H8630" s="13" t="n">
        <f aca="false">Sens!$H$8619/Sens!$H$8601</f>
        <v>0.320477578041224</v>
      </c>
      <c r="I8630" s="13" t="n">
        <f aca="false">Sens!$I$8619/Sens!$I$8601</f>
        <v>0.296936118226494</v>
      </c>
      <c r="J8630" s="13" t="n">
        <f aca="false">Sens!$J$8619/Sens!$J$8601</f>
        <v>0.282166278613001</v>
      </c>
      <c r="K8630" s="13" t="n">
        <f aca="false">Sens!$K$8619/Sens!$K$8601</f>
        <v>0.253846631705782</v>
      </c>
      <c r="L8630" s="13" t="n">
        <f aca="false">Sens!$L$8619/Sens!$L$8601</f>
        <v>0.242329240574153</v>
      </c>
      <c r="M8630" s="13" t="n">
        <f aca="false">Sens!$M$8619/Sens!$M$8601</f>
        <v>0.229850708860382</v>
      </c>
      <c r="N8630" s="13" t="n">
        <f aca="false">Sens!$N$8619/Sens!$N$8601</f>
        <v>0.302870734830849</v>
      </c>
      <c r="O8630" s="13" t="n">
        <f aca="false">Sens!$O$8619/Sens!$O$8601</f>
        <v>0.52240134346334</v>
      </c>
    </row>
    <row r="8631" customFormat="false" ht="15" hidden="false" customHeight="false" outlineLevel="0" collapsed="false">
      <c r="A8631" s="5" t="s">
        <v>736</v>
      </c>
      <c r="B8631" s="0" t="s">
        <v>52</v>
      </c>
      <c r="C8631" s="13" t="n">
        <f aca="false">Sens!$C$8623/Sens!$C$8603</f>
        <v>0.107519448742004</v>
      </c>
      <c r="D8631" s="13" t="n">
        <f aca="false">Sens!$D$8623/Sens!$D$8603</f>
        <v>0.111552967957552</v>
      </c>
      <c r="E8631" s="13" t="n">
        <f aca="false">Sens!$E$8623/Sens!$E$8603</f>
        <v>0.13428328426562</v>
      </c>
      <c r="F8631" s="13" t="n">
        <f aca="false">Sens!$F$8623/Sens!$F$8603</f>
        <v>0.129167844525589</v>
      </c>
      <c r="G8631" s="13" t="n">
        <f aca="false">Sens!$G$8623/Sens!$G$8603</f>
        <v>0.131557773771988</v>
      </c>
      <c r="H8631" s="13" t="n">
        <f aca="false">Sens!$H$8623/Sens!$H$8603</f>
        <v>0.134711536350329</v>
      </c>
      <c r="I8631" s="13" t="n">
        <f aca="false">Sens!$I$8623/Sens!$I$8603</f>
        <v>0.137768888779847</v>
      </c>
      <c r="J8631" s="13" t="n">
        <f aca="false">Sens!$J$8623/Sens!$J$8603</f>
        <v>0.139531715827143</v>
      </c>
      <c r="K8631" s="13" t="n">
        <f aca="false">Sens!$K$8623/Sens!$K$8603</f>
        <v>0.137455808779273</v>
      </c>
      <c r="L8631" s="13" t="n">
        <f aca="false">Sens!$L$8623/Sens!$L$8603</f>
        <v>0.137027039779713</v>
      </c>
      <c r="M8631" s="13" t="n">
        <f aca="false">Sens!$M$8623/Sens!$M$8603</f>
        <v>0.137138237638994</v>
      </c>
      <c r="N8631" s="13" t="n">
        <f aca="false">Sens!$N$8623/Sens!$N$8603</f>
        <v>0.116201614873411</v>
      </c>
      <c r="O8631" s="13" t="n">
        <f aca="false">Sens!$O$8623/Sens!$O$8603</f>
        <v>0.107733353660861</v>
      </c>
    </row>
    <row r="8632" customFormat="false" ht="17.15" hidden="false" customHeight="false" outlineLevel="0" collapsed="false">
      <c r="A8632" s="1" t="s">
        <v>737</v>
      </c>
    </row>
    <row r="8633" customFormat="false" ht="17.15" hidden="false" customHeight="false" outlineLevel="0" collapsed="false">
      <c r="A8633" s="5" t="s">
        <v>738</v>
      </c>
      <c r="B8633" s="0" t="s">
        <v>52</v>
      </c>
      <c r="D8633" s="28" t="n">
        <f aca="false">(Q!$E$29+Q!$E$30-(1-ext_sh)*Sens!$D$8555)/Sens!$D$8511</f>
        <v>0.0334674312393194</v>
      </c>
    </row>
    <row r="8634" customFormat="false" ht="17.15" hidden="false" customHeight="false" outlineLevel="0" collapsed="false">
      <c r="A8634" s="0" t="s">
        <v>535</v>
      </c>
      <c r="B8634" s="0" t="s">
        <v>86</v>
      </c>
      <c r="C8634" s="38" t="n">
        <f aca="false">Q!$D$29</f>
        <v>14.285</v>
      </c>
      <c r="D8634" s="38" t="n">
        <f aca="false">Q!$E$29</f>
        <v>15.503</v>
      </c>
      <c r="E8634" s="38" t="n">
        <f aca="false">Q!$P$29</f>
        <v>8.78</v>
      </c>
      <c r="F8634" s="38" t="n">
        <f aca="false">(Sens!$D$8633*Sens!$F$8511+(1-ext_sh)*Sens!$F$8555)*Sens!$F$8512</f>
        <v>9.32404990199157</v>
      </c>
      <c r="G8634" s="38" t="n">
        <f aca="false">Sens!$E$8634+Sens!$F$8634</f>
        <v>18.1040499019916</v>
      </c>
      <c r="H8634" s="38" t="n">
        <f aca="false">(Sens!$D$8633*Sens!$H$8511+(1-ext_sh)*Sens!$H$8555)*Sens!$H$8512</f>
        <v>22.5533556752937</v>
      </c>
      <c r="I8634" s="38" t="n">
        <f aca="false">(Sens!$D$8633*Sens!$I$8511+(1-ext_sh)*Sens!$I$8555)*Sens!$I$8512</f>
        <v>28.1941479903215</v>
      </c>
      <c r="J8634" s="38" t="n">
        <f aca="false">(Sens!$D$8633*Sens!$J$8511+(1-ext_sh)*Sens!$J$8555)*Sens!$J$8512</f>
        <v>33.8639126241465</v>
      </c>
      <c r="K8634" s="38" t="n">
        <f aca="false">(Sens!$D$8633*Sens!$K$8511+(1-ext_sh)*Sens!$K$8555)*Sens!$K$8512</f>
        <v>39.4516429979446</v>
      </c>
      <c r="L8634" s="38" t="n">
        <f aca="false">(Sens!$D$8633*Sens!$L$8511+(1-ext_sh)*Sens!$L$8555)*Sens!$L$8512</f>
        <v>43.6804876955339</v>
      </c>
      <c r="M8634" s="38" t="n">
        <f aca="false">(Sens!$D$8633*Sens!$M$8511+(1-ext_sh)*Sens!$M$8555)*Sens!$M$8512</f>
        <v>46.9533911310857</v>
      </c>
      <c r="N8634" s="38" t="n">
        <f aca="false">Q!$N$29</f>
        <v>7.272</v>
      </c>
      <c r="O8634" s="38" t="n">
        <f aca="false">Q!$O$29</f>
        <v>8.231</v>
      </c>
    </row>
    <row r="8635" customFormat="false" ht="17.15" hidden="false" customHeight="false" outlineLevel="0" collapsed="false">
      <c r="A8635" s="0" t="s">
        <v>537</v>
      </c>
      <c r="B8635" s="0" t="s">
        <v>86</v>
      </c>
      <c r="C8635" s="38" t="n">
        <f aca="false">Q!$D$30</f>
        <v>4.462</v>
      </c>
      <c r="D8635" s="38" t="n">
        <f aca="false">Q!$E$30</f>
        <v>4.907</v>
      </c>
      <c r="E8635" s="38" t="n">
        <f aca="false">Q!$P$30</f>
        <v>2.57</v>
      </c>
      <c r="F8635" s="38" t="n">
        <f aca="false">(Sens!$D$8633*Sens!$F$8511+(1-ext_sh)*Sens!$F$8555)*(1-Sens!$F$8512)</f>
        <v>3.66089330199472</v>
      </c>
      <c r="G8635" s="38" t="n">
        <f aca="false">Sens!$E$8635+Sens!$F$8635</f>
        <v>6.23089330199472</v>
      </c>
      <c r="H8635" s="38" t="n">
        <f aca="false">(Sens!$D$8633*Sens!$H$8511+(1-ext_sh)*Sens!$H$8555)*(1-Sens!$H$8512)</f>
        <v>8.63874333111657</v>
      </c>
      <c r="I8635" s="38" t="n">
        <f aca="false">(Sens!$D$8633*Sens!$I$8511+(1-ext_sh)*Sens!$I$8555)*(1-Sens!$I$8512)</f>
        <v>10.7993689025494</v>
      </c>
      <c r="J8635" s="38" t="n">
        <f aca="false">(Sens!$D$8633*Sens!$J$8511+(1-ext_sh)*Sens!$J$8555)*(1-Sens!$J$8512)</f>
        <v>12.9710919101865</v>
      </c>
      <c r="K8635" s="38" t="n">
        <f aca="false">(Sens!$D$8633*Sens!$K$8511+(1-ext_sh)*Sens!$K$8555)*(1-Sens!$K$8512)</f>
        <v>15.1113928568702</v>
      </c>
      <c r="L8635" s="38" t="n">
        <f aca="false">(Sens!$D$8633*Sens!$L$8511+(1-ext_sh)*Sens!$L$8555)*(1-Sens!$L$8512)</f>
        <v>16.7311918994422</v>
      </c>
      <c r="M8635" s="38" t="n">
        <f aca="false">(Sens!$D$8633*Sens!$M$8511+(1-ext_sh)*Sens!$M$8555)*(1-Sens!$M$8512)</f>
        <v>17.9848311863992</v>
      </c>
      <c r="N8635" s="38" t="n">
        <f aca="false">Q!$N$30</f>
        <v>2.316</v>
      </c>
      <c r="O8635" s="38" t="n">
        <f aca="false">Q!$O$30</f>
        <v>2.591</v>
      </c>
    </row>
    <row r="8636" customFormat="false" ht="17.15" hidden="false" customHeight="false" outlineLevel="0" collapsed="false">
      <c r="A8636" s="0" t="s">
        <v>538</v>
      </c>
      <c r="B8636" s="0" t="s">
        <v>86</v>
      </c>
      <c r="C8636" s="38" t="n">
        <f aca="false">Sens!$C$8567</f>
        <v>13.32</v>
      </c>
      <c r="D8636" s="38" t="n">
        <f aca="false">Sens!$D$8567</f>
        <v>21.45</v>
      </c>
      <c r="E8636" s="38" t="n">
        <f aca="false">Sens!$E$8567</f>
        <v>15.353</v>
      </c>
      <c r="F8636" s="38" t="n">
        <f aca="false">Sens!$F$8567</f>
        <v>16.3063747611001</v>
      </c>
      <c r="G8636" s="38" t="n">
        <f aca="false">Sens!$G$8567</f>
        <v>31.6593747611001</v>
      </c>
      <c r="H8636" s="38" t="n">
        <f aca="false">Sens!$H$8567</f>
        <v>53.124242092105</v>
      </c>
      <c r="I8636" s="38" t="n">
        <f aca="false">Sens!$I$8567</f>
        <v>78.046828098133</v>
      </c>
      <c r="J8636" s="38" t="n">
        <f aca="false">Sens!$J$8567</f>
        <v>103.663976940352</v>
      </c>
      <c r="K8636" s="38" t="n">
        <f aca="false">Sens!$K$8567</f>
        <v>129.625086115469</v>
      </c>
      <c r="L8636" s="38" t="n">
        <f aca="false">Sens!$L$8567</f>
        <v>147.747108049185</v>
      </c>
      <c r="M8636" s="38" t="n">
        <f aca="false">Sens!$M$8567</f>
        <v>160.235921080328</v>
      </c>
      <c r="N8636" s="38" t="n">
        <f aca="false">Sens!$N$8567</f>
        <v>9.234</v>
      </c>
      <c r="O8636" s="38" t="n">
        <f aca="false">Sens!$O$8567</f>
        <v>12.216</v>
      </c>
    </row>
    <row r="8637" customFormat="false" ht="17.15" hidden="false" customHeight="false" outlineLevel="0" collapsed="false">
      <c r="A8637" s="5" t="s">
        <v>739</v>
      </c>
      <c r="B8637" s="0" t="s">
        <v>86</v>
      </c>
      <c r="C8637" s="38" t="n">
        <f aca="false">Sens!$C$8634+Sens!$C$8635+Sens!$C$8636</f>
        <v>32.067</v>
      </c>
      <c r="D8637" s="38" t="n">
        <f aca="false">Sens!$D$8634+Sens!$D$8635+Sens!$D$8636</f>
        <v>41.86</v>
      </c>
      <c r="E8637" s="38" t="n">
        <f aca="false">Sens!$E$8634+Sens!$E$8635+Sens!$E$8636</f>
        <v>26.703</v>
      </c>
      <c r="F8637" s="38" t="n">
        <f aca="false">Sens!$F$8634+Sens!$F$8635+Sens!$F$8636</f>
        <v>29.2913179650864</v>
      </c>
      <c r="G8637" s="38" t="n">
        <f aca="false">Sens!$G$8634+Sens!$G$8635+Sens!$G$8636</f>
        <v>55.9943179650864</v>
      </c>
      <c r="H8637" s="38" t="n">
        <f aca="false">Sens!$H$8634+Sens!$H$8635+Sens!$H$8636</f>
        <v>84.3163410985152</v>
      </c>
      <c r="I8637" s="38" t="n">
        <f aca="false">Sens!$I$8634+Sens!$I$8635+Sens!$I$8636</f>
        <v>117.040344991004</v>
      </c>
      <c r="J8637" s="38" t="n">
        <f aca="false">Sens!$J$8634+Sens!$J$8635+Sens!$J$8636</f>
        <v>150.498981474685</v>
      </c>
      <c r="K8637" s="38" t="n">
        <f aca="false">Sens!$K$8634+Sens!$K$8635+Sens!$K$8636</f>
        <v>184.188121970284</v>
      </c>
      <c r="L8637" s="38" t="n">
        <f aca="false">Sens!$L$8634+Sens!$L$8635+Sens!$L$8636</f>
        <v>208.158787644162</v>
      </c>
      <c r="M8637" s="38" t="n">
        <f aca="false">Sens!$M$8634+Sens!$M$8635+Sens!$M$8636</f>
        <v>225.174143397813</v>
      </c>
      <c r="N8637" s="38" t="n">
        <f aca="false">Sens!$N$8634+Sens!$N$8635+Sens!$N$8636</f>
        <v>18.822</v>
      </c>
      <c r="O8637" s="38" t="n">
        <f aca="false">Sens!$O$8634+Sens!$O$8635+Sens!$O$8636</f>
        <v>23.038</v>
      </c>
    </row>
    <row r="8638" customFormat="false" ht="17.15" hidden="false" customHeight="false" outlineLevel="0" collapsed="false">
      <c r="A8638" s="0" t="s">
        <v>740</v>
      </c>
      <c r="B8638" s="0" t="s">
        <v>86</v>
      </c>
      <c r="C8638" s="38" t="n">
        <f aca="false">Sens!$C$8609+Sens!$C$8614</f>
        <v>28.107</v>
      </c>
      <c r="D8638" s="38" t="n">
        <f aca="false">Sens!$D$8609+Sens!$D$8614</f>
        <v>34.3175</v>
      </c>
      <c r="E8638" s="38" t="n">
        <f aca="false">Sens!$E$8609+Sens!$E$8614</f>
        <v>18.526</v>
      </c>
      <c r="F8638" s="38" t="n">
        <f aca="false">Sens!$F$8609+Sens!$F$8614</f>
        <v>23.0786109972074</v>
      </c>
      <c r="G8638" s="38" t="n">
        <f aca="false">Sens!$G$8609+Sens!$G$8614</f>
        <v>41.6046109972074</v>
      </c>
      <c r="H8638" s="38" t="n">
        <f aca="false">Sens!$H$8609+Sens!$H$8614</f>
        <v>49.9484611939488</v>
      </c>
      <c r="I8638" s="38" t="n">
        <f aca="false">Sens!$I$8609+Sens!$I$8614</f>
        <v>58.2915555477481</v>
      </c>
      <c r="J8638" s="38" t="n">
        <f aca="false">Sens!$J$8609+Sens!$J$8614</f>
        <v>66.0744709709759</v>
      </c>
      <c r="K8638" s="38" t="n">
        <f aca="false">Sens!$K$8609+Sens!$K$8614</f>
        <v>72.6819180680735</v>
      </c>
      <c r="L8638" s="38" t="n">
        <f aca="false">Sens!$L$8609+Sens!$L$8614</f>
        <v>79.9501098748808</v>
      </c>
      <c r="M8638" s="38" t="n">
        <f aca="false">Sens!$M$8609+Sens!$M$8614</f>
        <v>87.9451208623689</v>
      </c>
      <c r="N8638" s="38" t="n">
        <f aca="false">Sens!$N$8609+Sens!$N$8614</f>
        <v>14.8075</v>
      </c>
      <c r="O8638" s="38" t="n">
        <f aca="false">Sens!$O$8609+Sens!$O$8614</f>
        <v>19.51</v>
      </c>
    </row>
    <row r="8639" customFormat="false" ht="17.15" hidden="false" customHeight="false" outlineLevel="0" collapsed="false">
      <c r="A8639" s="0" t="s">
        <v>741</v>
      </c>
      <c r="B8639" s="0" t="s">
        <v>86</v>
      </c>
      <c r="C8639" s="38" t="n">
        <f aca="false">Sens!$C$8613+Sens!$C$8618+Sens!$C$8634+Sens!$C$8635-Sens!$C$8638</f>
        <v>19.399</v>
      </c>
      <c r="D8639" s="38" t="n">
        <f aca="false">Sens!$D$8613+Sens!$D$8618+Sens!$D$8634+Sens!$D$8635-Sens!$D$8638</f>
        <v>20.4615</v>
      </c>
      <c r="E8639" s="38" t="n">
        <f aca="false">Sens!$E$8613+Sens!$E$8618+Sens!$E$8634+Sens!$E$8635-Sens!$E$8638</f>
        <v>13.355</v>
      </c>
      <c r="F8639" s="38" t="n">
        <f aca="false">Sens!$F$8613+Sens!$F$8618+Sens!$F$8634+Sens!$F$8635-Sens!$F$8638</f>
        <v>12.7882167664549</v>
      </c>
      <c r="G8639" s="38" t="n">
        <f aca="false">Sens!$G$8613+Sens!$G$8618+Sens!$G$8634+Sens!$G$8635-Sens!$G$8638</f>
        <v>26.1432167664549</v>
      </c>
      <c r="H8639" s="38" t="n">
        <f aca="false">Sens!$H$8613+Sens!$H$8618+Sens!$H$8634+Sens!$H$8635-Sens!$H$8638</f>
        <v>28.5472527261826</v>
      </c>
      <c r="I8639" s="38" t="n">
        <f aca="false">Sens!$I$8613+Sens!$I$8618+Sens!$I$8634+Sens!$I$8635-Sens!$I$8638</f>
        <v>30.8052421506794</v>
      </c>
      <c r="J8639" s="38" t="n">
        <f aca="false">Sens!$J$8613+Sens!$J$8618+Sens!$J$8634+Sens!$J$8635-Sens!$J$8638</f>
        <v>33.0553877999083</v>
      </c>
      <c r="K8639" s="38" t="n">
        <f aca="false">Sens!$K$8613+Sens!$K$8618+Sens!$K$8634+Sens!$K$8635-Sens!$K$8638</f>
        <v>35.452094232435</v>
      </c>
      <c r="L8639" s="38" t="n">
        <f aca="false">Sens!$L$8613+Sens!$L$8618+Sens!$L$8634+Sens!$L$8635-Sens!$L$8638</f>
        <v>37.0453088968923</v>
      </c>
      <c r="M8639" s="38" t="n">
        <f aca="false">Sens!$M$8613+Sens!$M$8618+Sens!$M$8634+Sens!$M$8635-Sens!$M$8638</f>
        <v>39.4077918463257</v>
      </c>
      <c r="N8639" s="38" t="n">
        <f aca="false">Sens!$N$8613+Sens!$N$8618+Sens!$N$8634+Sens!$N$8635-Sens!$N$8638</f>
        <v>10.6495</v>
      </c>
      <c r="O8639" s="38" t="n">
        <f aca="false">Sens!$O$8613+Sens!$O$8618+Sens!$O$8634+Sens!$O$8635-Sens!$O$8638</f>
        <v>9.81200000000001</v>
      </c>
    </row>
    <row r="8640" customFormat="false" ht="17.15" hidden="false" customHeight="false" outlineLevel="0" collapsed="false">
      <c r="A8640" s="0" t="s">
        <v>742</v>
      </c>
      <c r="B8640" s="0" t="s">
        <v>86</v>
      </c>
      <c r="C8640" s="38" t="n">
        <f aca="false">Sens!$C$8620+Sens!$C$8636-ext_sh*Sens!$C$8555</f>
        <v>51.3470500115664</v>
      </c>
      <c r="D8640" s="38" t="n">
        <f aca="false">Sens!$D$8620+Sens!$D$8636-ext_sh*Sens!$D$8555</f>
        <v>60.2799375433739</v>
      </c>
      <c r="E8640" s="38" t="n">
        <f aca="false">Sens!$E$8620+Sens!$E$8636-ext_sh*Sens!$E$8555</f>
        <v>39.5095167090767</v>
      </c>
      <c r="F8640" s="38" t="n">
        <f aca="false">Sens!$F$8620+Sens!$F$8636-ext_sh*Sens!$F$8555</f>
        <v>37.993321722478</v>
      </c>
      <c r="G8640" s="38" t="n">
        <f aca="false">Sens!$G$8620+Sens!$G$8636-ext_sh*Sens!$G$8555</f>
        <v>77.5028384315548</v>
      </c>
      <c r="H8640" s="38" t="n">
        <f aca="false">Sens!$H$8620+Sens!$H$8636-ext_sh*Sens!$H$8555</f>
        <v>85.2394217279746</v>
      </c>
      <c r="I8640" s="38" t="n">
        <f aca="false">Sens!$I$8620+Sens!$I$8636-ext_sh*Sens!$I$8555</f>
        <v>94.6373589713254</v>
      </c>
      <c r="J8640" s="38" t="n">
        <f aca="false">Sens!$J$8620+Sens!$J$8636-ext_sh*Sens!$J$8555</f>
        <v>103.639899284146</v>
      </c>
      <c r="K8640" s="38" t="n">
        <f aca="false">Sens!$K$8620+Sens!$K$8636-ext_sh*Sens!$K$8555</f>
        <v>111.931091226878</v>
      </c>
      <c r="L8640" s="38" t="n">
        <f aca="false">Sens!$L$8620+Sens!$L$8636-ext_sh*Sens!$L$8555</f>
        <v>120.885578525028</v>
      </c>
      <c r="M8640" s="38" t="n">
        <f aca="false">Sens!$M$8620+Sens!$M$8636-ext_sh*Sens!$M$8555</f>
        <v>130.55642480703</v>
      </c>
      <c r="N8640" s="38" t="n">
        <f aca="false">Sens!$N$8620+Sens!$N$8636-ext_sh*Sens!$N$8555</f>
        <v>28.5693781401809</v>
      </c>
      <c r="O8640" s="38" t="n">
        <f aca="false">Sens!$O$8620+Sens!$O$8636-ext_sh*Sens!$O$8555</f>
        <v>31.7105594031931</v>
      </c>
    </row>
    <row r="8641" customFormat="false" ht="17.15" hidden="false" customHeight="false" outlineLevel="0" collapsed="false">
      <c r="A8641" s="0" t="s">
        <v>743</v>
      </c>
      <c r="B8641" s="0" t="s">
        <v>86</v>
      </c>
      <c r="C8641" s="38" t="n">
        <f aca="false">Sens!$C$8558</f>
        <v>1.80694998843362</v>
      </c>
      <c r="D8641" s="38" t="n">
        <f aca="false">Sens!$D$8558</f>
        <v>6.77606245662607</v>
      </c>
      <c r="E8641" s="38" t="n">
        <f aca="false">Sens!$E$8558</f>
        <v>6.62548329092326</v>
      </c>
      <c r="F8641" s="38" t="n">
        <f aca="false">Sens!$F$8558</f>
        <v>11.7200577158706</v>
      </c>
      <c r="G8641" s="38" t="n">
        <f aca="false">Sens!$G$8558</f>
        <v>18.3455410067939</v>
      </c>
      <c r="H8641" s="38" t="n">
        <f aca="false">Sens!$H$8558</f>
        <v>47.5171727060453</v>
      </c>
      <c r="I8641" s="38" t="n">
        <f aca="false">Sens!$I$8558</f>
        <v>80.5539692643667</v>
      </c>
      <c r="J8641" s="38" t="n">
        <f aca="false">Sens!$J$8558</f>
        <v>113.759316834883</v>
      </c>
      <c r="K8641" s="38" t="n">
        <f aca="false">Sens!$K$8558</f>
        <v>142.313600225088</v>
      </c>
      <c r="L8641" s="38" t="n">
        <f aca="false">Sens!$L$8558</f>
        <v>161.610137806934</v>
      </c>
      <c r="M8641" s="38" t="n">
        <f aca="false">Sens!$M$8558</f>
        <v>171.622526917459</v>
      </c>
      <c r="N8641" s="38" t="n">
        <f aca="false">Sens!$N$8558</f>
        <v>2.37162185981912</v>
      </c>
      <c r="O8641" s="38" t="n">
        <f aca="false">Sens!$O$8558</f>
        <v>4.40444059680694</v>
      </c>
    </row>
    <row r="8642" customFormat="false" ht="17.15" hidden="false" customHeight="false" outlineLevel="0" collapsed="false">
      <c r="A8642" s="0" t="s">
        <v>744</v>
      </c>
      <c r="B8642" s="0" t="s">
        <v>86</v>
      </c>
      <c r="C8642" s="38" t="n">
        <f aca="false">Sens!$C$8623+Sens!$C$8637</f>
        <v>100.66</v>
      </c>
      <c r="D8642" s="38" t="n">
        <f aca="false">Sens!$D$8623+Sens!$D$8637</f>
        <v>121.835</v>
      </c>
      <c r="E8642" s="38" t="n">
        <f aca="false">Sens!$E$8623+Sens!$E$8637</f>
        <v>78.016</v>
      </c>
      <c r="F8642" s="38" t="n">
        <f aca="false">Sens!$F$8623+Sens!$F$8637</f>
        <v>85.580207202011</v>
      </c>
      <c r="G8642" s="38" t="n">
        <f aca="false">Sens!$G$8623+Sens!$G$8637</f>
        <v>163.596207202011</v>
      </c>
      <c r="H8642" s="38" t="n">
        <f aca="false">Sens!$H$8623+Sens!$H$8637</f>
        <v>211.252308354151</v>
      </c>
      <c r="I8642" s="38" t="n">
        <f aca="false">Sens!$I$8623+Sens!$I$8637</f>
        <v>264.28812593412</v>
      </c>
      <c r="J8642" s="38" t="n">
        <f aca="false">Sens!$J$8623+Sens!$J$8637</f>
        <v>316.529074889914</v>
      </c>
      <c r="K8642" s="38" t="n">
        <f aca="false">Sens!$K$8623+Sens!$K$8637</f>
        <v>362.378703752474</v>
      </c>
      <c r="L8642" s="38" t="n">
        <f aca="false">Sens!$L$8623+Sens!$L$8637</f>
        <v>399.491135103736</v>
      </c>
      <c r="M8642" s="38" t="n">
        <f aca="false">Sens!$M$8623+Sens!$M$8637</f>
        <v>429.531864433184</v>
      </c>
      <c r="N8642" s="38" t="n">
        <f aca="false">Sens!$N$8623+Sens!$N$8637</f>
        <v>56.398</v>
      </c>
      <c r="O8642" s="38" t="n">
        <f aca="false">Sens!$O$8623+Sens!$O$8637</f>
        <v>65.437</v>
      </c>
    </row>
    <row r="8643" customFormat="false" ht="17.15" hidden="false" customHeight="false" outlineLevel="0" collapsed="false">
      <c r="A8643" s="1" t="s">
        <v>745</v>
      </c>
    </row>
    <row r="8644" customFormat="false" ht="15" hidden="false" customHeight="false" outlineLevel="0" collapsed="false">
      <c r="A8644" s="5" t="s">
        <v>541</v>
      </c>
      <c r="B8644" s="0" t="s">
        <v>86</v>
      </c>
      <c r="C8644" s="38" t="n">
        <f aca="false">Q!$D$34</f>
        <v>2.406</v>
      </c>
      <c r="D8644" s="38" t="n">
        <f aca="false">Q!$E$34</f>
        <v>2.274</v>
      </c>
      <c r="E8644" s="38" t="n">
        <f aca="false">Q!$P$34</f>
        <v>2.114</v>
      </c>
      <c r="F8644" s="38" t="n">
        <f aca="false">Sens!$F$8682</f>
        <v>3.24888962733561</v>
      </c>
      <c r="G8644" s="38" t="n">
        <f aca="false">Sens!$E$8644+Sens!$F$8644</f>
        <v>5.36288962733561</v>
      </c>
      <c r="H8644" s="38" t="n">
        <f aca="false">Sens!$H$8682</f>
        <v>7.42354172302123</v>
      </c>
      <c r="I8644" s="38" t="n">
        <f aca="false">Sens!$I$8682</f>
        <v>8.2931747618896</v>
      </c>
      <c r="J8644" s="38" t="n">
        <f aca="false">Sens!$J$8682</f>
        <v>9.27718179522602</v>
      </c>
      <c r="K8644" s="38" t="n">
        <f aca="false">Sens!$K$8682</f>
        <v>9.27718179522602</v>
      </c>
      <c r="L8644" s="38" t="n">
        <f aca="false">Sens!$L$8682</f>
        <v>9.27718179522602</v>
      </c>
      <c r="M8644" s="38" t="n">
        <f aca="false">Sens!$M$8682</f>
        <v>9.27718179522602</v>
      </c>
      <c r="N8644" s="38" t="n">
        <f aca="false">Q!$N$34</f>
        <v>1.057</v>
      </c>
      <c r="O8644" s="38" t="n">
        <f aca="false">Q!$O$34</f>
        <v>1.217</v>
      </c>
    </row>
    <row r="8645" customFormat="false" ht="15" hidden="false" customHeight="false" outlineLevel="0" collapsed="false">
      <c r="A8645" s="5" t="s">
        <v>746</v>
      </c>
      <c r="B8645" s="0" t="s">
        <v>86</v>
      </c>
      <c r="F8645" s="38" t="n">
        <f aca="false">Sens!$F$8683</f>
        <v>2.59</v>
      </c>
      <c r="H8645" s="38" t="n">
        <f aca="false">Sens!$H$8683</f>
        <v>3.80133635330174</v>
      </c>
      <c r="I8645" s="38" t="n">
        <f aca="false">Sens!$I$8683</f>
        <v>2.10589651022864</v>
      </c>
      <c r="J8645" s="38" t="n">
        <f aca="false">Sens!$J$8683</f>
        <v>2.10589651022864</v>
      </c>
      <c r="K8645" s="38" t="n">
        <f aca="false">Sens!$K$8683</f>
        <v>3.14850442073996</v>
      </c>
      <c r="L8645" s="38" t="n">
        <f aca="false">Sens!$L$8683</f>
        <v>8.1505214857867</v>
      </c>
      <c r="M8645" s="38" t="n">
        <f aca="false">Sens!$M$8683</f>
        <v>15.5210342606514</v>
      </c>
    </row>
    <row r="8646" customFormat="false" ht="17.15" hidden="false" customHeight="false" outlineLevel="0" collapsed="false">
      <c r="A8646" s="5" t="s">
        <v>747</v>
      </c>
      <c r="B8646" s="0" t="s">
        <v>86</v>
      </c>
      <c r="C8646" s="38" t="n">
        <f aca="false">Q!$D$39</f>
        <v>2.427</v>
      </c>
      <c r="D8646" s="38" t="n">
        <f aca="false">Q!$E$39</f>
        <v>19.61</v>
      </c>
      <c r="E8646" s="38" t="n">
        <f aca="false">Q!$P$39</f>
        <v>71.492</v>
      </c>
      <c r="F8646" s="39" t="n">
        <v>0</v>
      </c>
      <c r="G8646" s="38" t="n">
        <f aca="false">Sens!$E$8646+Sens!$F$8646</f>
        <v>71.492</v>
      </c>
      <c r="H8646" s="39" t="n">
        <v>0</v>
      </c>
      <c r="I8646" s="39" t="n">
        <v>0</v>
      </c>
      <c r="J8646" s="39" t="n">
        <v>0</v>
      </c>
      <c r="K8646" s="39" t="n">
        <v>0</v>
      </c>
      <c r="L8646" s="39" t="n">
        <v>0</v>
      </c>
      <c r="M8646" s="39" t="n">
        <v>0</v>
      </c>
      <c r="N8646" s="38" t="n">
        <f aca="false">Q!$N$39</f>
        <v>6.017</v>
      </c>
      <c r="O8646" s="38" t="n">
        <f aca="false">Q!$O$39</f>
        <v>13.593</v>
      </c>
      <c r="P8646" s="5" t="s">
        <v>748</v>
      </c>
    </row>
    <row r="8647" customFormat="false" ht="15" hidden="false" customHeight="false" outlineLevel="0" collapsed="false">
      <c r="A8647" s="5" t="s">
        <v>544</v>
      </c>
      <c r="B8647" s="0" t="s">
        <v>86</v>
      </c>
      <c r="C8647" s="38" t="n">
        <f aca="false">Q!$D$36</f>
        <v>68.614</v>
      </c>
      <c r="D8647" s="38" t="n">
        <f aca="false">Q!$E$36</f>
        <v>97.311</v>
      </c>
      <c r="E8647" s="38" t="n">
        <f aca="false">Q!$P$36</f>
        <v>120.691</v>
      </c>
      <c r="F8647" s="38" t="n">
        <f aca="false">Sens!$F$8623-Sens!$F$8644+Sens!$F$8645+Sens!$F$8646</f>
        <v>55.629999609589</v>
      </c>
      <c r="G8647" s="38" t="n">
        <f aca="false">Sens!$E$8647+Sens!$F$8647</f>
        <v>176.320999609589</v>
      </c>
      <c r="H8647" s="38" t="n">
        <f aca="false">Sens!$H$8623-Sens!$H$8644+Sens!$H$8645+Sens!$H$8646</f>
        <v>123.313761885917</v>
      </c>
      <c r="I8647" s="38" t="n">
        <f aca="false">Sens!$I$8623-Sens!$I$8644+Sens!$I$8645+Sens!$I$8646</f>
        <v>141.060502691455</v>
      </c>
      <c r="J8647" s="38" t="n">
        <f aca="false">Sens!$J$8623-Sens!$J$8644+Sens!$J$8645+Sens!$J$8646</f>
        <v>158.858808130232</v>
      </c>
      <c r="K8647" s="38" t="n">
        <f aca="false">Sens!$K$8623-Sens!$K$8644+Sens!$K$8645+Sens!$K$8646</f>
        <v>172.061904407704</v>
      </c>
      <c r="L8647" s="38" t="n">
        <f aca="false">Sens!$L$8623-Sens!$L$8644+Sens!$L$8645+Sens!$L$8646</f>
        <v>190.205687150135</v>
      </c>
      <c r="M8647" s="38" t="n">
        <f aca="false">Sens!$M$8623-Sens!$M$8644+Sens!$M$8645+Sens!$M$8646</f>
        <v>210.601573500796</v>
      </c>
      <c r="N8647" s="38" t="n">
        <f aca="false">Q!$N$36</f>
        <v>42.536</v>
      </c>
      <c r="O8647" s="38" t="n">
        <f aca="false">Q!$O$36</f>
        <v>54.775</v>
      </c>
    </row>
    <row r="8648" customFormat="false" ht="15" hidden="false" customHeight="false" outlineLevel="0" collapsed="false">
      <c r="A8648" s="5" t="s">
        <v>545</v>
      </c>
      <c r="B8648" s="0" t="s">
        <v>86</v>
      </c>
      <c r="C8648" s="38" t="n">
        <f aca="false">Q!$D$37</f>
        <v>9.265</v>
      </c>
      <c r="D8648" s="38" t="n">
        <f aca="false">Q!$E$37</f>
        <v>19.087</v>
      </c>
      <c r="E8648" s="38" t="n">
        <f aca="false">Q!$P$37</f>
        <v>27.759</v>
      </c>
      <c r="F8648" s="38" t="n">
        <f aca="false">Sens!$F$8647*tax</f>
        <v>9.65650714815835</v>
      </c>
      <c r="G8648" s="38" t="n">
        <f aca="false">Sens!$E$8648+Sens!$F$8648</f>
        <v>37.4155071481584</v>
      </c>
      <c r="H8648" s="38" t="n">
        <f aca="false">Sens!$H$8647*tax</f>
        <v>21.4053609828247</v>
      </c>
      <c r="I8648" s="38" t="n">
        <f aca="false">Sens!$I$8647*tax</f>
        <v>24.4859205846201</v>
      </c>
      <c r="J8648" s="38" t="n">
        <f aca="false">Sens!$J$8647*tax</f>
        <v>27.5754310088666</v>
      </c>
      <c r="K8648" s="38" t="n">
        <f aca="false">Sens!$K$8647*tax</f>
        <v>29.8672842261235</v>
      </c>
      <c r="L8648" s="38" t="n">
        <f aca="false">Sens!$L$8647*tax</f>
        <v>33.0167641645831</v>
      </c>
      <c r="M8648" s="38" t="n">
        <f aca="false">Sens!$M$8647*tax</f>
        <v>36.5571744417788</v>
      </c>
      <c r="N8648" s="38" t="n">
        <f aca="false">Q!$N$37</f>
        <v>7.231</v>
      </c>
      <c r="O8648" s="38" t="n">
        <f aca="false">Q!$O$37</f>
        <v>11.856</v>
      </c>
    </row>
    <row r="8649" customFormat="false" ht="15" hidden="false" customHeight="false" outlineLevel="0" collapsed="false">
      <c r="A8649" s="3" t="s">
        <v>546</v>
      </c>
      <c r="B8649" s="8" t="s">
        <v>86</v>
      </c>
      <c r="C8649" s="38" t="n">
        <f aca="false">Q!$D$38</f>
        <v>59.248</v>
      </c>
      <c r="D8649" s="38" t="n">
        <f aca="false">Q!$E$38</f>
        <v>77.67</v>
      </c>
      <c r="E8649" s="38" t="n">
        <f aca="false">Q!$P$38</f>
        <v>92.902</v>
      </c>
      <c r="F8649" s="38" t="n">
        <f aca="false">Sens!$F$8647-Sens!$F$8648</f>
        <v>45.9734924614306</v>
      </c>
      <c r="G8649" s="38" t="n">
        <f aca="false">Sens!$E$8649+Sens!$F$8649</f>
        <v>138.875492461431</v>
      </c>
      <c r="H8649" s="38" t="n">
        <f aca="false">Sens!$H$8647-Sens!$H$8648</f>
        <v>101.908400903092</v>
      </c>
      <c r="I8649" s="38" t="n">
        <f aca="false">Sens!$I$8647-Sens!$I$8648</f>
        <v>116.574582106835</v>
      </c>
      <c r="J8649" s="38" t="n">
        <f aca="false">Sens!$J$8647-Sens!$J$8648</f>
        <v>131.283377121365</v>
      </c>
      <c r="K8649" s="38" t="n">
        <f aca="false">Sens!$K$8647-Sens!$K$8648</f>
        <v>142.194620181581</v>
      </c>
      <c r="L8649" s="38" t="n">
        <f aca="false">Sens!$L$8647-Sens!$L$8648</f>
        <v>157.188922985552</v>
      </c>
      <c r="M8649" s="38" t="n">
        <f aca="false">Sens!$M$8647-Sens!$M$8648</f>
        <v>174.044399059017</v>
      </c>
      <c r="N8649" s="38" t="n">
        <f aca="false">Q!$N$38</f>
        <v>35.291</v>
      </c>
      <c r="O8649" s="38" t="n">
        <f aca="false">Q!$O$38</f>
        <v>42.379</v>
      </c>
    </row>
    <row r="8650" customFormat="false" ht="17.15" hidden="false" customHeight="false" outlineLevel="0" collapsed="false">
      <c r="A8650" s="5" t="s">
        <v>549</v>
      </c>
      <c r="B8650" s="5" t="s">
        <v>33</v>
      </c>
      <c r="C8650" s="22" t="n">
        <f aca="false">Q!$D$41</f>
        <v>10.721</v>
      </c>
      <c r="D8650" s="22" t="n">
        <f aca="false">Q!$E$41</f>
        <v>10.827</v>
      </c>
      <c r="E8650" s="22" t="n">
        <f aca="false">(Q!$L$41+Q!$M$41)/2</f>
        <v>10.8885</v>
      </c>
      <c r="F8650" s="22" t="n">
        <f aca="false">Sens!$G$8650</f>
        <v>10.924806</v>
      </c>
      <c r="G8650" s="22" t="n">
        <f aca="false">Q!$M$41*(1+sh_g*0.25)</f>
        <v>10.924806</v>
      </c>
      <c r="H8650" s="22" t="n">
        <f aca="false">Sens!$G$8650*(1+sh_g)</f>
        <v>11.012204448</v>
      </c>
      <c r="I8650" s="22" t="n">
        <f aca="false">Sens!$H$8650*(1+sh_g)</f>
        <v>11.100302083584</v>
      </c>
      <c r="J8650" s="22" t="n">
        <f aca="false">Sens!$I$8650*(1+sh_g)</f>
        <v>11.1891045002527</v>
      </c>
      <c r="K8650" s="22" t="n">
        <f aca="false">Sens!$J$8650*(1+sh_g)</f>
        <v>11.2786173362547</v>
      </c>
      <c r="L8650" s="22" t="n">
        <f aca="false">Sens!$K$8650*(1+sh_g)</f>
        <v>11.3688462749447</v>
      </c>
      <c r="M8650" s="22" t="n">
        <f aca="false">Sens!$L$8650*(1+sh_g)</f>
        <v>11.4597970451443</v>
      </c>
      <c r="P8650" s="5" t="s">
        <v>749</v>
      </c>
    </row>
    <row r="8651" customFormat="false" ht="17.15" hidden="false" customHeight="false" outlineLevel="0" collapsed="false">
      <c r="A8651" s="5" t="s">
        <v>750</v>
      </c>
      <c r="B8651" s="0" t="s">
        <v>86</v>
      </c>
      <c r="C8651" s="38" t="n">
        <f aca="false">Sens!$C$8649+Sens!$C$8625*(1-tax)</f>
        <v>59.248</v>
      </c>
      <c r="D8651" s="38" t="n">
        <f aca="false">Sens!$D$8649+Sens!$D$8625*(1-tax)</f>
        <v>77.67</v>
      </c>
      <c r="E8651" s="38" t="n">
        <f aca="false">Sens!$E$8649+Sens!$E$8625*(1-tax)</f>
        <v>92.902</v>
      </c>
      <c r="F8651" s="38" t="n">
        <f aca="false">Sens!$F$8649+Sens!$F$8625*(1-tax)</f>
        <v>49.0900874210793</v>
      </c>
      <c r="G8651" s="38" t="n">
        <f aca="false">Sens!$G$8649+Sens!$G$8625*(1-tax)</f>
        <v>141.992087421079</v>
      </c>
      <c r="H8651" s="38" t="n">
        <f aca="false">Sens!$H$8649+Sens!$H$8625*(1-tax)</f>
        <v>114.439796858437</v>
      </c>
      <c r="I8651" s="38" t="n">
        <f aca="false">Sens!$I$8649+Sens!$I$8625*(1-tax)</f>
        <v>137.715847181774</v>
      </c>
      <c r="J8651" s="38" t="n">
        <f aca="false">Sens!$J$8649+Sens!$J$8625*(1-tax)</f>
        <v>161.072814065649</v>
      </c>
      <c r="K8651" s="38" t="n">
        <f aca="false">Sens!$K$8649+Sens!$K$8625*(1-tax)</f>
        <v>179.421490252235</v>
      </c>
      <c r="L8651" s="38" t="n">
        <f aca="false">Sens!$L$8649+Sens!$L$8625*(1-tax)</f>
        <v>199.44183450846</v>
      </c>
      <c r="M8651" s="38" t="n">
        <f aca="false">Sens!$M$8649+Sens!$M$8625*(1-tax)</f>
        <v>218.905960428178</v>
      </c>
      <c r="N8651" s="38" t="n">
        <f aca="false">Sens!$N$8649+Sens!$N$8625*(1-tax)</f>
        <v>35.291</v>
      </c>
      <c r="O8651" s="38" t="n">
        <f aca="false">Sens!$O$8649+Sens!$O$8625*(1-tax)</f>
        <v>42.379</v>
      </c>
    </row>
    <row r="8652" customFormat="false" ht="17.15" hidden="false" customHeight="false" outlineLevel="0" collapsed="false">
      <c r="A8652" s="43" t="s">
        <v>751</v>
      </c>
      <c r="B8652" s="14" t="s">
        <v>27</v>
      </c>
      <c r="C8652" s="44" t="n">
        <f aca="false">Sens!$C$8651/Sens!$C$8650</f>
        <v>5.52635015390355</v>
      </c>
      <c r="D8652" s="44" t="n">
        <f aca="false">Sens!$D$8651/Sens!$D$8650</f>
        <v>7.1737323358271</v>
      </c>
      <c r="E8652" s="44" t="n">
        <f aca="false">Sens!$E$8651/Sens!$E$8650</f>
        <v>8.53212104513937</v>
      </c>
      <c r="F8652" s="14"/>
      <c r="G8652" s="44" t="n">
        <f aca="false">Sens!$G$8651/Sens!$G$8650</f>
        <v>12.9972182042481</v>
      </c>
      <c r="H8652" s="44" t="n">
        <f aca="false">Sens!$H$8651/Sens!$H$8650</f>
        <v>10.3920879237963</v>
      </c>
      <c r="I8652" s="44" t="n">
        <f aca="false">Sens!$I$8651/Sens!$I$8650</f>
        <v>12.4064954399249</v>
      </c>
      <c r="J8652" s="44" t="n">
        <f aca="false">Sens!$J$8651/Sens!$J$8650</f>
        <v>14.3955053831172</v>
      </c>
      <c r="K8652" s="44" t="n">
        <f aca="false">Sens!$K$8651/Sens!$K$8650</f>
        <v>15.9081104450181</v>
      </c>
      <c r="L8652" s="44" t="n">
        <f aca="false">Sens!$L$8651/Sens!$L$8650</f>
        <v>17.5428385330533</v>
      </c>
      <c r="M8652" s="44" t="n">
        <f aca="false">Sens!$M$8651/Sens!$M$8650</f>
        <v>19.1020800425896</v>
      </c>
      <c r="N8652" s="14"/>
      <c r="O8652" s="14"/>
    </row>
    <row r="8653" customFormat="false" ht="17.15" hidden="false" customHeight="false" outlineLevel="0" collapsed="false">
      <c r="A8653" s="0" t="s">
        <v>752</v>
      </c>
      <c r="B8653" s="0" t="s">
        <v>27</v>
      </c>
      <c r="C8653" s="30" t="n">
        <f aca="false">Sens!$C$8649/Sens!$C$8650</f>
        <v>5.52635015390355</v>
      </c>
      <c r="D8653" s="30" t="n">
        <f aca="false">Sens!$D$8649/Sens!$D$8650</f>
        <v>7.1737323358271</v>
      </c>
      <c r="E8653" s="30" t="n">
        <f aca="false">Sens!$E$8649/Sens!$E$8650</f>
        <v>8.53212104513937</v>
      </c>
      <c r="G8653" s="30" t="n">
        <f aca="false">Sens!$G$8649/Sens!$G$8650</f>
        <v>12.7119412886078</v>
      </c>
      <c r="H8653" s="30" t="n">
        <f aca="false">Sens!$H$8649/Sens!$H$8650</f>
        <v>9.25413266565353</v>
      </c>
      <c r="I8653" s="30" t="n">
        <f aca="false">Sens!$I$8649/Sens!$I$8650</f>
        <v>10.501928796986</v>
      </c>
      <c r="J8653" s="30" t="n">
        <f aca="false">Sens!$J$8649/Sens!$J$8650</f>
        <v>11.7331442492472</v>
      </c>
      <c r="K8653" s="30" t="n">
        <f aca="false">Sens!$K$8649/Sens!$K$8650</f>
        <v>12.6074514226581</v>
      </c>
      <c r="L8653" s="30" t="n">
        <f aca="false">Sens!$L$8649/Sens!$L$8650</f>
        <v>13.8262862549187</v>
      </c>
      <c r="M8653" s="30" t="n">
        <f aca="false">Sens!$M$8649/Sens!$M$8650</f>
        <v>15.1873893030909</v>
      </c>
    </row>
    <row r="8654" customFormat="false" ht="17.15" hidden="false" customHeight="false" outlineLevel="0" collapsed="false">
      <c r="A8654" s="0" t="s">
        <v>753</v>
      </c>
      <c r="B8654" s="0" t="s">
        <v>27</v>
      </c>
      <c r="C8654" s="30" t="n">
        <f aca="false">(Sens!$C$8649-Sens!$C$8646*(1-tax))/Sens!$C$8650</f>
        <v>5.33926775917445</v>
      </c>
      <c r="D8654" s="30" t="n">
        <f aca="false">(Sens!$D$8649-Sens!$D$8646*(1-tax))/Sens!$D$8650</f>
        <v>5.67691812755503</v>
      </c>
      <c r="E8654" s="30" t="n">
        <f aca="false">(Sens!$E$8649-Sens!$E$8646*(1-tax))/Sens!$E$8650</f>
        <v>3.10602057006846</v>
      </c>
      <c r="G8654" s="30" t="n">
        <f aca="false">(Sens!$G$8649-Sens!$G$8646*(1-tax))/Sens!$G$8650</f>
        <v>7.30387317071086</v>
      </c>
      <c r="H8654" s="30" t="n">
        <f aca="false">(Sens!$H$8649-Sens!$H$8646*(1-tax))/Sens!$H$8650</f>
        <v>9.25413266565353</v>
      </c>
      <c r="I8654" s="30" t="n">
        <f aca="false">(Sens!$I$8649-Sens!$I$8646*(1-tax))/Sens!$I$8650</f>
        <v>10.501928796986</v>
      </c>
      <c r="J8654" s="30" t="n">
        <f aca="false">(Sens!$J$8649-Sens!$J$8646*(1-tax))/Sens!$J$8650</f>
        <v>11.7331442492472</v>
      </c>
      <c r="K8654" s="30" t="n">
        <f aca="false">(Sens!$K$8649-Sens!$K$8646*(1-tax))/Sens!$K$8650</f>
        <v>12.6074514226581</v>
      </c>
      <c r="L8654" s="30" t="n">
        <f aca="false">(Sens!$L$8649-Sens!$L$8646*(1-tax))/Sens!$L$8650</f>
        <v>13.8262862549187</v>
      </c>
      <c r="M8654" s="30" t="n">
        <f aca="false">(Sens!$M$8649-Sens!$M$8646*(1-tax))/Sens!$M$8650</f>
        <v>15.1873893030909</v>
      </c>
      <c r="P8654" s="5" t="s">
        <v>754</v>
      </c>
    </row>
    <row r="8655" customFormat="false" ht="17.15" hidden="false" customHeight="false" outlineLevel="0" collapsed="false">
      <c r="A8655" s="0" t="s">
        <v>755</v>
      </c>
      <c r="B8655" s="0" t="s">
        <v>52</v>
      </c>
      <c r="H8655" s="13" t="n">
        <f aca="false">Sens!$H$8652/Sens!$G$8652-1</f>
        <v>-0.200437527439553</v>
      </c>
      <c r="I8655" s="13" t="n">
        <f aca="false">Sens!$I$8652/Sens!$H$8652-1</f>
        <v>0.193840499705158</v>
      </c>
      <c r="J8655" s="13" t="n">
        <f aca="false">Sens!$J$8652/Sens!$I$8652-1</f>
        <v>0.160320047899391</v>
      </c>
      <c r="K8655" s="13" t="n">
        <f aca="false">Sens!$K$8652/Sens!$J$8652-1</f>
        <v>0.105074814787315</v>
      </c>
      <c r="L8655" s="13" t="n">
        <f aca="false">Sens!$L$8652/Sens!$K$8652-1</f>
        <v>0.102760670017048</v>
      </c>
      <c r="M8655" s="13" t="n">
        <f aca="false">Sens!$M$8652/Sens!$L$8652-1</f>
        <v>0.0888819392938289</v>
      </c>
    </row>
    <row r="8658" customFormat="false" ht="19.4" hidden="false" customHeight="false" outlineLevel="0" collapsed="false">
      <c r="A8658" s="31" t="s">
        <v>1305</v>
      </c>
    </row>
    <row r="8659" customFormat="false" ht="17.15" hidden="false" customHeight="false" outlineLevel="0" collapsed="false">
      <c r="A8659" s="6" t="s">
        <v>16</v>
      </c>
      <c r="B8659" s="6" t="s">
        <v>17</v>
      </c>
      <c r="C8659" s="20" t="s">
        <v>494</v>
      </c>
      <c r="D8659" s="20" t="s">
        <v>495</v>
      </c>
      <c r="E8659" s="20" t="s">
        <v>577</v>
      </c>
      <c r="F8659" s="20" t="s">
        <v>578</v>
      </c>
      <c r="G8659" s="20" t="s">
        <v>579</v>
      </c>
      <c r="H8659" s="20" t="s">
        <v>580</v>
      </c>
      <c r="I8659" s="20" t="s">
        <v>581</v>
      </c>
      <c r="J8659" s="20" t="s">
        <v>582</v>
      </c>
      <c r="K8659" s="20" t="s">
        <v>583</v>
      </c>
      <c r="L8659" s="20" t="s">
        <v>584</v>
      </c>
      <c r="M8659" s="20" t="s">
        <v>585</v>
      </c>
      <c r="N8659" s="20" t="s">
        <v>586</v>
      </c>
      <c r="O8659" s="20" t="s">
        <v>587</v>
      </c>
      <c r="P8659" s="6" t="s">
        <v>23</v>
      </c>
      <c r="R8659" s="20" t="n">
        <v>2023</v>
      </c>
      <c r="S8659" s="20" t="n">
        <v>2024</v>
      </c>
      <c r="T8659" s="20" t="n">
        <v>2025</v>
      </c>
      <c r="U8659" s="20" t="n">
        <v>2026</v>
      </c>
      <c r="V8659" s="20" t="n">
        <v>2027</v>
      </c>
      <c r="W8659" s="20" t="n">
        <v>2028</v>
      </c>
      <c r="X8659" s="20" t="n">
        <v>2029</v>
      </c>
      <c r="Y8659" s="20" t="n">
        <v>2030</v>
      </c>
      <c r="Z8659" s="20" t="n">
        <v>2031</v>
      </c>
      <c r="AA8659" s="20" t="n">
        <v>2032</v>
      </c>
    </row>
    <row r="8660" customFormat="false" ht="15" hidden="false" customHeight="false" outlineLevel="0" collapsed="false">
      <c r="A8660" s="5" t="s">
        <v>546</v>
      </c>
      <c r="B8660" s="0" t="s">
        <v>86</v>
      </c>
      <c r="C8660" s="38" t="n">
        <f aca="false">Sens!$C$8649</f>
        <v>59.248</v>
      </c>
      <c r="D8660" s="38" t="n">
        <f aca="false">Sens!$D$8649</f>
        <v>77.67</v>
      </c>
      <c r="E8660" s="38" t="n">
        <f aca="false">Sens!$E$8649</f>
        <v>92.902</v>
      </c>
      <c r="F8660" s="38" t="n">
        <f aca="false">Sens!$F$8649</f>
        <v>45.9734924614306</v>
      </c>
      <c r="G8660" s="38" t="n">
        <f aca="false">Sens!$G$8649</f>
        <v>138.875492461431</v>
      </c>
      <c r="H8660" s="38" t="n">
        <f aca="false">Sens!$H$8649</f>
        <v>101.908400903092</v>
      </c>
      <c r="I8660" s="38" t="n">
        <f aca="false">Sens!$I$8649</f>
        <v>116.574582106835</v>
      </c>
      <c r="J8660" s="38" t="n">
        <f aca="false">Sens!$J$8649</f>
        <v>131.283377121365</v>
      </c>
      <c r="K8660" s="38" t="n">
        <f aca="false">Sens!$K$8649</f>
        <v>142.194620181581</v>
      </c>
      <c r="L8660" s="38" t="n">
        <f aca="false">Sens!$L$8649</f>
        <v>157.188922985552</v>
      </c>
      <c r="M8660" s="38" t="n">
        <f aca="false">Sens!$M$8649</f>
        <v>174.044399059017</v>
      </c>
    </row>
    <row r="8661" customFormat="false" ht="17.15" hidden="false" customHeight="false" outlineLevel="0" collapsed="false">
      <c r="A8661" s="5" t="s">
        <v>778</v>
      </c>
      <c r="B8661" s="0" t="s">
        <v>86</v>
      </c>
      <c r="C8661" s="38" t="n">
        <f aca="false">Sens!$C$8637</f>
        <v>32.067</v>
      </c>
      <c r="D8661" s="38" t="n">
        <f aca="false">Sens!$D$8637</f>
        <v>41.86</v>
      </c>
      <c r="E8661" s="38" t="n">
        <f aca="false">Sens!$E$8637</f>
        <v>26.703</v>
      </c>
      <c r="F8661" s="38" t="n">
        <f aca="false">Sens!$F$8637</f>
        <v>29.2913179650864</v>
      </c>
      <c r="G8661" s="38" t="n">
        <f aca="false">Sens!$G$8637</f>
        <v>55.9943179650864</v>
      </c>
      <c r="H8661" s="38" t="n">
        <f aca="false">Sens!$H$8637</f>
        <v>84.3163410985152</v>
      </c>
      <c r="I8661" s="38" t="n">
        <f aca="false">Sens!$I$8637</f>
        <v>117.040344991004</v>
      </c>
      <c r="J8661" s="38" t="n">
        <f aca="false">Sens!$J$8637</f>
        <v>150.498981474685</v>
      </c>
      <c r="K8661" s="38" t="n">
        <f aca="false">Sens!$K$8637</f>
        <v>184.188121970284</v>
      </c>
      <c r="L8661" s="38" t="n">
        <f aca="false">Sens!$L$8637</f>
        <v>208.158787644162</v>
      </c>
      <c r="M8661" s="38" t="n">
        <f aca="false">Sens!$M$8637</f>
        <v>225.174143397813</v>
      </c>
    </row>
    <row r="8662" customFormat="false" ht="15" hidden="false" customHeight="false" outlineLevel="0" collapsed="false">
      <c r="A8662" s="5" t="s">
        <v>779</v>
      </c>
      <c r="B8662" s="0" t="s">
        <v>86</v>
      </c>
      <c r="C8662" s="38" t="n">
        <f aca="false">Q!$D$48</f>
        <v>22.011</v>
      </c>
      <c r="D8662" s="38" t="n">
        <f aca="false">Q!$E$48</f>
        <v>19.467</v>
      </c>
      <c r="E8662" s="38" t="n">
        <f aca="false">Q!$P$48</f>
        <v>10.07</v>
      </c>
      <c r="F8662" s="38" t="n">
        <f aca="false">sbc_r*Sens!$F$8579</f>
        <v>10.8507035798037</v>
      </c>
      <c r="G8662" s="38" t="n">
        <f aca="false">Sens!$E$8662+Sens!$F$8662</f>
        <v>20.9207035798037</v>
      </c>
      <c r="H8662" s="38" t="n">
        <f aca="false">sbc_r*Sens!$H$8579</f>
        <v>23.46224366345</v>
      </c>
      <c r="I8662" s="38" t="n">
        <f aca="false">sbc_r*Sens!$I$8579</f>
        <v>26.6125957111676</v>
      </c>
      <c r="J8662" s="38" t="n">
        <f aca="false">sbc_r*Sens!$J$8579</f>
        <v>29.6280801413323</v>
      </c>
      <c r="K8662" s="38" t="n">
        <f aca="false">sbc_r*Sens!$K$8579</f>
        <v>32.2783466626501</v>
      </c>
      <c r="L8662" s="38" t="n">
        <f aca="false">sbc_r*Sens!$L$8579</f>
        <v>34.7673634382331</v>
      </c>
      <c r="M8662" s="38" t="n">
        <f aca="false">sbc_r*Sens!$M$8579</f>
        <v>37.1041186491569</v>
      </c>
    </row>
    <row r="8663" customFormat="false" ht="17.15" hidden="false" customHeight="false" outlineLevel="0" collapsed="false">
      <c r="A8663" s="5" t="s">
        <v>780</v>
      </c>
      <c r="B8663" s="0" t="s">
        <v>86</v>
      </c>
      <c r="C8663" s="38" t="n">
        <f aca="false">Q!$D$44-Sens!$C$8660-Sens!$C$8661-Sens!$C$8662</f>
        <v>2.551</v>
      </c>
      <c r="D8663" s="38" t="n">
        <f aca="false">Q!$E$44-Sens!$D$8660-Sens!$D$8661-Sens!$D$8662</f>
        <v>0.51700000000001</v>
      </c>
      <c r="E8663" s="38" t="n">
        <f aca="false">Q!$P$44-Sens!$E$8660-Sens!$E$8661-Sens!$E$8662</f>
        <v>-58.256</v>
      </c>
      <c r="F8663" s="38" t="n">
        <f aca="false">oth_r*Sens!$F$8579</f>
        <v>5.22265251035878</v>
      </c>
      <c r="G8663" s="38" t="n">
        <f aca="false">Sens!$E$8663+Sens!$F$8663</f>
        <v>-53.0333474896412</v>
      </c>
      <c r="H8663" s="38" t="n">
        <f aca="false">oth_r*Sens!$H$8579</f>
        <v>11.2928295263397</v>
      </c>
      <c r="I8663" s="38" t="n">
        <f aca="false">oth_r*Sens!$I$8579</f>
        <v>12.8091546115766</v>
      </c>
      <c r="J8663" s="38" t="n">
        <f aca="false">oth_r*Sens!$J$8579</f>
        <v>14.2605653162668</v>
      </c>
      <c r="K8663" s="38" t="n">
        <f aca="false">oth_r*Sens!$K$8579</f>
        <v>15.5361896109386</v>
      </c>
      <c r="L8663" s="38" t="n">
        <f aca="false">oth_r*Sens!$L$8579</f>
        <v>16.7342012989106</v>
      </c>
      <c r="M8663" s="38" t="n">
        <f aca="false">oth_r*Sens!$M$8579</f>
        <v>17.8589265647579</v>
      </c>
      <c r="P8663" s="8" t="s">
        <v>781</v>
      </c>
    </row>
    <row r="8664" customFormat="false" ht="15" hidden="false" customHeight="false" outlineLevel="0" collapsed="false">
      <c r="A8664" s="3" t="s">
        <v>552</v>
      </c>
      <c r="B8664" s="8" t="s">
        <v>86</v>
      </c>
      <c r="C8664" s="38" t="n">
        <f aca="false">Q!$D$44</f>
        <v>115.877</v>
      </c>
      <c r="D8664" s="38" t="n">
        <f aca="false">Q!$E$44</f>
        <v>139.514</v>
      </c>
      <c r="E8664" s="38" t="n">
        <f aca="false">Q!$P$44</f>
        <v>71.419</v>
      </c>
      <c r="F8664" s="38" t="n">
        <f aca="false">Sens!$F$8660+Sens!$F$8661+Sens!$F$8662+Sens!$F$8663</f>
        <v>91.3381665166794</v>
      </c>
      <c r="G8664" s="38" t="n">
        <f aca="false">Sens!$E$8664+Sens!$F$8664</f>
        <v>162.757166516679</v>
      </c>
      <c r="H8664" s="38" t="n">
        <f aca="false">Sens!$H$8660+Sens!$H$8661+Sens!$H$8662+Sens!$H$8663</f>
        <v>220.979815191397</v>
      </c>
      <c r="I8664" s="38" t="n">
        <f aca="false">Sens!$I$8660+Sens!$I$8661+Sens!$I$8662+Sens!$I$8663</f>
        <v>273.036677420583</v>
      </c>
      <c r="J8664" s="38" t="n">
        <f aca="false">Sens!$J$8660+Sens!$J$8661+Sens!$J$8662+Sens!$J$8663</f>
        <v>325.671004053649</v>
      </c>
      <c r="K8664" s="38" t="n">
        <f aca="false">Sens!$K$8660+Sens!$K$8661+Sens!$K$8662+Sens!$K$8663</f>
        <v>374.197278425453</v>
      </c>
      <c r="L8664" s="38" t="n">
        <f aca="false">Sens!$L$8660+Sens!$L$8661+Sens!$L$8662+Sens!$L$8663</f>
        <v>416.849275366857</v>
      </c>
      <c r="M8664" s="38" t="n">
        <f aca="false">Sens!$M$8660+Sens!$M$8661+Sens!$M$8662+Sens!$M$8663</f>
        <v>454.181587670745</v>
      </c>
    </row>
    <row r="8665" customFormat="false" ht="17.15" hidden="false" customHeight="false" outlineLevel="0" collapsed="false">
      <c r="A8665" s="5" t="s">
        <v>782</v>
      </c>
      <c r="B8665" s="0" t="s">
        <v>86</v>
      </c>
      <c r="C8665" s="38" t="n">
        <f aca="false">Sens!$C$8548</f>
        <v>25.2781053077374</v>
      </c>
      <c r="D8665" s="38" t="n">
        <f aca="false">Sens!$D$8548</f>
        <v>69.5686316310026</v>
      </c>
      <c r="E8665" s="38" t="n">
        <f aca="false">Sens!$E$8548</f>
        <v>64.1899206485108</v>
      </c>
      <c r="F8665" s="38" t="n">
        <f aca="false">Sens!$F$8548</f>
        <v>96.2481299895</v>
      </c>
      <c r="G8665" s="38" t="n">
        <f aca="false">Sens!$G$8548</f>
        <v>160.438050638011</v>
      </c>
      <c r="H8665" s="38" t="n">
        <f aca="false">Sens!$H$8548</f>
        <v>198.57136494475</v>
      </c>
      <c r="I8665" s="38" t="n">
        <f aca="false">Sens!$I$8548</f>
        <v>204.6464699105</v>
      </c>
      <c r="J8665" s="38" t="n">
        <f aca="false">Sens!$J$8548</f>
        <v>209.8832381105</v>
      </c>
      <c r="K8665" s="38" t="n">
        <f aca="false">Sens!$K$8548</f>
        <v>158.016341586823</v>
      </c>
      <c r="L8665" s="38" t="n">
        <f aca="false">Sens!$L$8548</f>
        <v>137.570054263147</v>
      </c>
      <c r="M8665" s="38" t="n">
        <f aca="false">Sens!$M$8548</f>
        <v>140.56485059472</v>
      </c>
    </row>
    <row r="8666" customFormat="false" ht="17.15" hidden="false" customHeight="false" outlineLevel="0" collapsed="false">
      <c r="A8666" s="5" t="s">
        <v>783</v>
      </c>
      <c r="B8666" s="0" t="s">
        <v>86</v>
      </c>
      <c r="C8666" s="38" t="n">
        <f aca="false">cx_awso*Sens!$C$8577</f>
        <v>21.0469989286053</v>
      </c>
      <c r="D8666" s="38" t="n">
        <f aca="false">cx_awso*Sens!$D$8577</f>
        <v>24.0042459822698</v>
      </c>
      <c r="E8666" s="38" t="n">
        <f aca="false">cx_awso*Sens!$E$8577</f>
        <v>14.261729404886</v>
      </c>
      <c r="F8666" s="38" t="n">
        <f aca="false">cx_awso*Sens!$F$8577</f>
        <v>14.3538599588493</v>
      </c>
      <c r="G8666" s="38" t="n">
        <f aca="false">Sens!$E$8666+Sens!$F$8666</f>
        <v>28.6155893637353</v>
      </c>
      <c r="H8666" s="38" t="n">
        <f aca="false">cx_awso*Sens!$H$8577</f>
        <v>32.2034154158406</v>
      </c>
      <c r="I8666" s="38" t="n">
        <f aca="false">cx_awso*Sens!$I$8577</f>
        <v>35.7539519042915</v>
      </c>
      <c r="J8666" s="38" t="n">
        <f aca="false">cx_awso*Sens!$J$8577</f>
        <v>39.1551076091815</v>
      </c>
      <c r="K8666" s="38" t="n">
        <f aca="false">cx_awso*Sens!$K$8577</f>
        <v>42.287516217916</v>
      </c>
      <c r="L8666" s="38" t="n">
        <f aca="false">cx_awso*Sens!$L$8577</f>
        <v>45.6705175153492</v>
      </c>
      <c r="M8666" s="38" t="n">
        <f aca="false">cx_awso*Sens!$M$8577</f>
        <v>49.3241589165772</v>
      </c>
    </row>
    <row r="8667" customFormat="false" ht="17.15" hidden="false" customHeight="false" outlineLevel="0" collapsed="false">
      <c r="A8667" s="5" t="s">
        <v>784</v>
      </c>
      <c r="B8667" s="0" t="s">
        <v>86</v>
      </c>
      <c r="C8667" s="38" t="n">
        <f aca="false">Q!$D$46-Sens!$C$8665-Sens!$C$8666</f>
        <v>31.3328957636573</v>
      </c>
      <c r="D8667" s="38" t="n">
        <f aca="false">Q!$E$46-Sens!$D$8665-Sens!$D$8666</f>
        <v>34.7471223867276</v>
      </c>
      <c r="E8667" s="38" t="n">
        <f aca="false">Q!$P$46-Sens!$E$8665-Sens!$E$8666</f>
        <v>17.8583499466032</v>
      </c>
      <c r="F8667" s="38" t="n">
        <f aca="false">cx_rt*Sens!$F$8511</f>
        <v>20.6195895799373</v>
      </c>
      <c r="G8667" s="38" t="n">
        <f aca="false">Sens!$E$8667+Sens!$F$8667</f>
        <v>38.4779395265405</v>
      </c>
      <c r="H8667" s="38" t="n">
        <f aca="false">cx_rt*Sens!$H$8511</f>
        <v>42.5978994743075</v>
      </c>
      <c r="I8667" s="38" t="n">
        <f aca="false">cx_rt*Sens!$I$8511</f>
        <v>46.5813904136335</v>
      </c>
      <c r="J8667" s="38" t="n">
        <f aca="false">cx_rt*Sens!$J$8511</f>
        <v>50.2781676586844</v>
      </c>
      <c r="K8667" s="38" t="n">
        <f aca="false">cx_rt*Sens!$K$8511</f>
        <v>53.5312440191755</v>
      </c>
      <c r="L8667" s="38" t="n">
        <f aca="false">cx_rt*Sens!$L$8511</f>
        <v>57.0116717051447</v>
      </c>
      <c r="M8667" s="38" t="n">
        <f aca="false">cx_rt*Sens!$M$8511</f>
        <v>60.7365554669226</v>
      </c>
    </row>
    <row r="8668" customFormat="false" ht="15" hidden="false" customHeight="false" outlineLevel="0" collapsed="false">
      <c r="A8668" s="3" t="s">
        <v>785</v>
      </c>
      <c r="B8668" s="8" t="s">
        <v>86</v>
      </c>
      <c r="C8668" s="38" t="n">
        <f aca="false">Q!$D$46</f>
        <v>77.658</v>
      </c>
      <c r="D8668" s="38" t="n">
        <f aca="false">Q!$E$46</f>
        <v>128.32</v>
      </c>
      <c r="E8668" s="38" t="n">
        <f aca="false">Q!$P$46</f>
        <v>96.31</v>
      </c>
      <c r="F8668" s="38" t="n">
        <f aca="false">Sens!$F$8665+Sens!$F$8666+Sens!$F$8667</f>
        <v>131.221579528287</v>
      </c>
      <c r="G8668" s="38" t="n">
        <f aca="false">Sens!$E$8668+Sens!$F$8668</f>
        <v>227.531579528287</v>
      </c>
      <c r="H8668" s="38" t="n">
        <f aca="false">Sens!$H$8665+Sens!$H$8666+Sens!$H$8667</f>
        <v>273.372679834898</v>
      </c>
      <c r="I8668" s="38" t="n">
        <f aca="false">Sens!$I$8665+Sens!$I$8666+Sens!$I$8667</f>
        <v>286.981812228425</v>
      </c>
      <c r="J8668" s="38" t="n">
        <f aca="false">Sens!$J$8665+Sens!$J$8666+Sens!$J$8667</f>
        <v>299.316513378366</v>
      </c>
      <c r="K8668" s="38" t="n">
        <f aca="false">Sens!$K$8665+Sens!$K$8666+Sens!$K$8667</f>
        <v>253.835101823915</v>
      </c>
      <c r="L8668" s="38" t="n">
        <f aca="false">Sens!$L$8665+Sens!$L$8666+Sens!$L$8667</f>
        <v>240.252243483641</v>
      </c>
      <c r="M8668" s="38" t="n">
        <f aca="false">Sens!$M$8665+Sens!$M$8666+Sens!$M$8667</f>
        <v>250.62556497822</v>
      </c>
    </row>
    <row r="8669" customFormat="false" ht="17.15" hidden="false" customHeight="false" outlineLevel="0" collapsed="false">
      <c r="A8669" s="5" t="s">
        <v>560</v>
      </c>
      <c r="B8669" s="0" t="s">
        <v>86</v>
      </c>
      <c r="C8669" s="38" t="n">
        <f aca="false">Q!$D$50</f>
        <v>2.043</v>
      </c>
      <c r="D8669" s="38" t="n">
        <f aca="false">Q!$E$50</f>
        <v>1.557</v>
      </c>
      <c r="E8669" s="38" t="n">
        <f aca="false">lease_pr/2</f>
        <v>0.8</v>
      </c>
      <c r="F8669" s="38" t="n">
        <f aca="false">lease_pr/2</f>
        <v>0.8</v>
      </c>
      <c r="G8669" s="38" t="n">
        <f aca="false">Sens!$E$8669+Sens!$F$8669</f>
        <v>1.6</v>
      </c>
      <c r="H8669" s="38" t="n">
        <f aca="false">lease_pr</f>
        <v>1.6</v>
      </c>
      <c r="I8669" s="38" t="n">
        <f aca="false">lease_pr</f>
        <v>1.6</v>
      </c>
      <c r="J8669" s="38" t="n">
        <f aca="false">lease_pr</f>
        <v>1.6</v>
      </c>
      <c r="K8669" s="38" t="n">
        <f aca="false">lease_pr</f>
        <v>1.6</v>
      </c>
      <c r="L8669" s="38" t="n">
        <f aca="false">lease_pr</f>
        <v>1.6</v>
      </c>
      <c r="M8669" s="38" t="n">
        <f aca="false">lease_pr</f>
        <v>1.6</v>
      </c>
      <c r="P8669" s="8" t="s">
        <v>786</v>
      </c>
    </row>
    <row r="8670" customFormat="false" ht="15" hidden="false" customHeight="false" outlineLevel="0" collapsed="false">
      <c r="A8670" s="47" t="s">
        <v>787</v>
      </c>
      <c r="B8670" s="14" t="s">
        <v>86</v>
      </c>
      <c r="C8670" s="48" t="n">
        <f aca="false">Sens!$C$8664-Sens!$C$8668-Sens!$C$8669</f>
        <v>36.176</v>
      </c>
      <c r="D8670" s="48" t="n">
        <f aca="false">Sens!$D$8664-Sens!$D$8668-Sens!$D$8669</f>
        <v>9.63700000000002</v>
      </c>
      <c r="E8670" s="48" t="n">
        <f aca="false">Sens!$E$8664-Sens!$E$8668-Sens!$E$8669</f>
        <v>-25.691</v>
      </c>
      <c r="F8670" s="48" t="n">
        <f aca="false">Sens!$F$8664-Sens!$F$8668-Sens!$F$8669</f>
        <v>-40.6834130116072</v>
      </c>
      <c r="G8670" s="48" t="n">
        <f aca="false">Sens!$G$8664-Sens!$G$8668-Sens!$G$8669</f>
        <v>-66.3744130116072</v>
      </c>
      <c r="H8670" s="48" t="n">
        <f aca="false">Sens!$H$8664-Sens!$H$8668-Sens!$H$8669</f>
        <v>-53.9928646435014</v>
      </c>
      <c r="I8670" s="48" t="n">
        <f aca="false">Sens!$I$8664-Sens!$I$8668-Sens!$I$8669</f>
        <v>-15.5451348078424</v>
      </c>
      <c r="J8670" s="48" t="n">
        <f aca="false">Sens!$J$8664-Sens!$J$8668-Sens!$J$8669</f>
        <v>24.754490675283</v>
      </c>
      <c r="K8670" s="48" t="n">
        <f aca="false">Sens!$K$8664-Sens!$K$8668-Sens!$K$8669</f>
        <v>118.762176601538</v>
      </c>
      <c r="L8670" s="48" t="n">
        <f aca="false">Sens!$L$8664-Sens!$L$8668-Sens!$L$8669</f>
        <v>174.997031883216</v>
      </c>
      <c r="M8670" s="48" t="n">
        <f aca="false">Sens!$M$8664-Sens!$M$8668-Sens!$M$8669</f>
        <v>201.956022692525</v>
      </c>
      <c r="N8670" s="14"/>
      <c r="O8670" s="14"/>
    </row>
    <row r="8671" customFormat="false" ht="17.15" hidden="false" customHeight="false" outlineLevel="0" collapsed="false">
      <c r="A8671" s="5" t="s">
        <v>788</v>
      </c>
      <c r="B8671" s="0" t="s">
        <v>86</v>
      </c>
      <c r="C8671" s="38" t="n">
        <f aca="false">dps*Sens!$C$8650</f>
        <v>0</v>
      </c>
      <c r="D8671" s="38" t="n">
        <f aca="false">dps*Sens!$D$8650</f>
        <v>0</v>
      </c>
      <c r="E8671" s="38" t="n">
        <f aca="false">dps*Sens!$E$8650</f>
        <v>0</v>
      </c>
      <c r="F8671" s="38" t="n">
        <f aca="false">0</f>
        <v>0</v>
      </c>
      <c r="G8671" s="38" t="n">
        <f aca="false">dps*Sens!$G$8650</f>
        <v>0</v>
      </c>
      <c r="H8671" s="38" t="n">
        <f aca="false">dps*Sens!$H$8650</f>
        <v>0</v>
      </c>
      <c r="I8671" s="38" t="n">
        <f aca="false">dps*Sens!$I$8650</f>
        <v>0</v>
      </c>
      <c r="J8671" s="38" t="n">
        <f aca="false">dps*Sens!$J$8650</f>
        <v>0</v>
      </c>
      <c r="K8671" s="38" t="n">
        <f aca="false">dps*Sens!$K$8650</f>
        <v>0</v>
      </c>
      <c r="L8671" s="38" t="n">
        <f aca="false">dps*Sens!$L$8650</f>
        <v>0</v>
      </c>
      <c r="M8671" s="38" t="n">
        <f aca="false">dps*Sens!$M$8650</f>
        <v>0</v>
      </c>
      <c r="P8671" s="8" t="s">
        <v>789</v>
      </c>
    </row>
    <row r="8672" customFormat="false" ht="17.15" hidden="false" customHeight="false" outlineLevel="0" collapsed="false">
      <c r="A8672" s="5" t="s">
        <v>790</v>
      </c>
      <c r="B8672" s="0" t="s">
        <v>86</v>
      </c>
      <c r="C8672" s="38" t="n">
        <f aca="false">0</f>
        <v>0</v>
      </c>
      <c r="D8672" s="38" t="n">
        <f aca="false">0</f>
        <v>0</v>
      </c>
      <c r="E8672" s="38" t="n">
        <f aca="false">0</f>
        <v>0</v>
      </c>
      <c r="F8672" s="38" t="n">
        <f aca="false">0</f>
        <v>0</v>
      </c>
      <c r="G8672" s="38" t="n">
        <f aca="false">0</f>
        <v>0</v>
      </c>
      <c r="H8672" s="38" t="n">
        <f aca="false">0</f>
        <v>0</v>
      </c>
      <c r="I8672" s="38" t="n">
        <f aca="false">0</f>
        <v>0</v>
      </c>
      <c r="J8672" s="38" t="n">
        <f aca="false">0</f>
        <v>0</v>
      </c>
      <c r="K8672" s="38" t="n">
        <f aca="false">0</f>
        <v>0</v>
      </c>
      <c r="L8672" s="38" t="n">
        <f aca="false">0</f>
        <v>0</v>
      </c>
      <c r="M8672" s="38" t="n">
        <f aca="false">0</f>
        <v>0</v>
      </c>
      <c r="P8672" s="8" t="s">
        <v>791</v>
      </c>
    </row>
    <row r="8673" customFormat="false" ht="15" hidden="false" customHeight="false" outlineLevel="0" collapsed="false">
      <c r="A8673" s="3" t="s">
        <v>792</v>
      </c>
      <c r="B8673" s="8" t="s">
        <v>86</v>
      </c>
      <c r="C8673" s="38" t="n">
        <f aca="false">Sens!$C$8670-Sens!$C$8671</f>
        <v>36.176</v>
      </c>
      <c r="D8673" s="38" t="n">
        <f aca="false">Sens!$D$8670-Sens!$D$8671</f>
        <v>9.63700000000002</v>
      </c>
      <c r="E8673" s="38" t="n">
        <f aca="false">Sens!$E$8670-Sens!$E$8671</f>
        <v>-25.691</v>
      </c>
      <c r="F8673" s="38" t="n">
        <f aca="false">Sens!$F$8670-Sens!$F$8671</f>
        <v>-40.6834130116072</v>
      </c>
      <c r="G8673" s="38" t="n">
        <f aca="false">Sens!$G$8670-Sens!$G$8671</f>
        <v>-66.3744130116072</v>
      </c>
      <c r="H8673" s="38" t="n">
        <f aca="false">Sens!$H$8670-Sens!$H$8671</f>
        <v>-53.9928646435014</v>
      </c>
      <c r="I8673" s="38" t="n">
        <f aca="false">Sens!$I$8670-Sens!$I$8671</f>
        <v>-15.5451348078424</v>
      </c>
      <c r="J8673" s="38" t="n">
        <f aca="false">Sens!$J$8670-Sens!$J$8671</f>
        <v>24.754490675283</v>
      </c>
      <c r="K8673" s="38" t="n">
        <f aca="false">Sens!$K$8670-Sens!$K$8671</f>
        <v>118.762176601538</v>
      </c>
      <c r="L8673" s="38" t="n">
        <f aca="false">Sens!$L$8670-Sens!$L$8671</f>
        <v>174.997031883216</v>
      </c>
      <c r="M8673" s="38" t="n">
        <f aca="false">Sens!$M$8670-Sens!$M$8671</f>
        <v>201.956022692525</v>
      </c>
    </row>
    <row r="8674" customFormat="false" ht="17.15" hidden="false" customHeight="false" outlineLevel="0" collapsed="false">
      <c r="A8674" s="5" t="s">
        <v>793</v>
      </c>
      <c r="B8674" s="0" t="s">
        <v>86</v>
      </c>
      <c r="E8674" s="38" t="n">
        <f aca="false">Q!$P$53</f>
        <v>39.767</v>
      </c>
      <c r="F8674" s="38" t="n">
        <f aca="false">inv_2h26</f>
        <v>21.3</v>
      </c>
      <c r="G8674" s="38" t="n">
        <f aca="false">Sens!$E$8674+Sens!$F$8674</f>
        <v>61.067</v>
      </c>
      <c r="H8674" s="39" t="n">
        <v>0</v>
      </c>
      <c r="I8674" s="39" t="n">
        <v>0</v>
      </c>
      <c r="J8674" s="39" t="n">
        <v>0</v>
      </c>
      <c r="K8674" s="39" t="n">
        <v>0</v>
      </c>
      <c r="L8674" s="39" t="n">
        <v>0</v>
      </c>
      <c r="M8674" s="39" t="n">
        <v>0</v>
      </c>
    </row>
    <row r="8675" customFormat="false" ht="17.15" hidden="false" customHeight="false" outlineLevel="0" collapsed="false">
      <c r="A8675" s="5" t="s">
        <v>794</v>
      </c>
      <c r="B8675" s="0" t="s">
        <v>86</v>
      </c>
      <c r="F8675" s="38" t="n">
        <f aca="false">iss_2h26</f>
        <v>29.249999</v>
      </c>
      <c r="G8675" s="38" t="n">
        <f aca="false">Sens!$F$8675</f>
        <v>29.249999</v>
      </c>
      <c r="H8675" s="39" t="n">
        <v>0</v>
      </c>
      <c r="I8675" s="39" t="n">
        <v>0</v>
      </c>
      <c r="J8675" s="39" t="n">
        <v>0</v>
      </c>
      <c r="K8675" s="39" t="n">
        <v>0</v>
      </c>
      <c r="L8675" s="39" t="n">
        <v>0</v>
      </c>
      <c r="M8675" s="39" t="n">
        <v>0</v>
      </c>
    </row>
    <row r="8676" customFormat="false" ht="17.15" hidden="false" customHeight="false" outlineLevel="0" collapsed="false">
      <c r="A8676" s="5" t="s">
        <v>795</v>
      </c>
      <c r="B8676" s="0" t="s">
        <v>86</v>
      </c>
      <c r="F8676" s="38" t="n">
        <f aca="false">cash_q2</f>
        <v>122.988</v>
      </c>
      <c r="G8676" s="38" t="n">
        <f aca="false">cash_q2</f>
        <v>122.988</v>
      </c>
      <c r="H8676" s="38" t="n">
        <f aca="false">Sens!$G$8679</f>
        <v>90.2545859883928</v>
      </c>
      <c r="I8676" s="38" t="n">
        <f aca="false">Sens!$H$8679</f>
        <v>50</v>
      </c>
      <c r="J8676" s="38" t="n">
        <f aca="false">Sens!$I$8679</f>
        <v>50</v>
      </c>
      <c r="K8676" s="38" t="n">
        <f aca="false">Sens!$J$8679</f>
        <v>74.7544906752831</v>
      </c>
      <c r="L8676" s="38" t="n">
        <f aca="false">Sens!$K$8679</f>
        <v>193.516667276821</v>
      </c>
      <c r="M8676" s="38" t="n">
        <f aca="false">Sens!$L$8679</f>
        <v>368.513699160038</v>
      </c>
    </row>
    <row r="8677" customFormat="false" ht="15" hidden="false" customHeight="false" outlineLevel="0" collapsed="false">
      <c r="A8677" s="5" t="s">
        <v>796</v>
      </c>
      <c r="B8677" s="0" t="s">
        <v>86</v>
      </c>
      <c r="F8677" s="38" t="n">
        <f aca="false">Sens!$F$8676+Sens!$F$8673-Sens!$F$8672-Sens!$F$8674+Sens!$F$8675</f>
        <v>90.2545859883928</v>
      </c>
      <c r="H8677" s="38" t="n">
        <f aca="false">Sens!$H$8676+Sens!$H$8673-Sens!$H$8672-Sens!$H$8674+Sens!$H$8675</f>
        <v>36.2617213448915</v>
      </c>
      <c r="I8677" s="38" t="n">
        <f aca="false">Sens!$I$8676+Sens!$I$8673-Sens!$I$8672-Sens!$I$8674+Sens!$I$8675</f>
        <v>34.4548651921577</v>
      </c>
      <c r="J8677" s="38" t="n">
        <f aca="false">Sens!$J$8676+Sens!$J$8673-Sens!$J$8672-Sens!$J$8674+Sens!$J$8675</f>
        <v>74.7544906752831</v>
      </c>
      <c r="K8677" s="38" t="n">
        <f aca="false">Sens!$K$8676+Sens!$K$8673-Sens!$K$8672-Sens!$K$8674+Sens!$K$8675</f>
        <v>193.516667276821</v>
      </c>
      <c r="L8677" s="38" t="n">
        <f aca="false">Sens!$L$8676+Sens!$L$8673-Sens!$L$8672-Sens!$L$8674+Sens!$L$8675</f>
        <v>368.513699160038</v>
      </c>
      <c r="M8677" s="38" t="n">
        <f aca="false">Sens!$M$8676+Sens!$M$8673-Sens!$M$8672-Sens!$M$8674+Sens!$M$8675</f>
        <v>570.469721852563</v>
      </c>
    </row>
    <row r="8678" customFormat="false" ht="17.15" hidden="false" customHeight="false" outlineLevel="0" collapsed="false">
      <c r="A8678" s="5" t="s">
        <v>797</v>
      </c>
      <c r="B8678" s="0" t="s">
        <v>86</v>
      </c>
      <c r="F8678" s="38" t="n">
        <f aca="false">MAX(0,min_cash-Sens!$F$8677)</f>
        <v>0</v>
      </c>
      <c r="G8678" s="38" t="n">
        <f aca="false">Sens!$F$8678</f>
        <v>0</v>
      </c>
      <c r="H8678" s="38" t="n">
        <f aca="false">MAX(0,min_cash-Sens!$H$8677)</f>
        <v>13.7382786551085</v>
      </c>
      <c r="I8678" s="38" t="n">
        <f aca="false">MAX(0,min_cash-Sens!$I$8677)</f>
        <v>15.5451348078424</v>
      </c>
      <c r="J8678" s="38" t="n">
        <f aca="false">MAX(0,min_cash-Sens!$J$8677)</f>
        <v>0</v>
      </c>
      <c r="K8678" s="38" t="n">
        <f aca="false">MAX(0,min_cash-Sens!$K$8677)</f>
        <v>0</v>
      </c>
      <c r="L8678" s="38" t="n">
        <f aca="false">MAX(0,min_cash-Sens!$L$8677)</f>
        <v>0</v>
      </c>
      <c r="M8678" s="38" t="n">
        <f aca="false">MAX(0,min_cash-Sens!$M$8677)</f>
        <v>0</v>
      </c>
      <c r="P8678" s="5" t="s">
        <v>798</v>
      </c>
    </row>
    <row r="8679" customFormat="false" ht="15" hidden="false" customHeight="false" outlineLevel="0" collapsed="false">
      <c r="A8679" s="5" t="s">
        <v>799</v>
      </c>
      <c r="B8679" s="0" t="s">
        <v>86</v>
      </c>
      <c r="D8679" s="38" t="n">
        <f aca="false">Q!$E$61</f>
        <v>123.029</v>
      </c>
      <c r="E8679" s="38" t="n">
        <f aca="false">Q!$M$61</f>
        <v>122.988</v>
      </c>
      <c r="F8679" s="38" t="n">
        <f aca="false">Sens!$F$8677+Sens!$F$8678</f>
        <v>90.2545859883928</v>
      </c>
      <c r="G8679" s="38" t="n">
        <f aca="false">Sens!$F$8679</f>
        <v>90.2545859883928</v>
      </c>
      <c r="H8679" s="38" t="n">
        <f aca="false">Sens!$H$8677+Sens!$H$8678</f>
        <v>50</v>
      </c>
      <c r="I8679" s="38" t="n">
        <f aca="false">Sens!$I$8677+Sens!$I$8678</f>
        <v>50</v>
      </c>
      <c r="J8679" s="38" t="n">
        <f aca="false">Sens!$J$8677+Sens!$J$8678</f>
        <v>74.7544906752831</v>
      </c>
      <c r="K8679" s="38" t="n">
        <f aca="false">Sens!$K$8677+Sens!$K$8678</f>
        <v>193.516667276821</v>
      </c>
      <c r="L8679" s="38" t="n">
        <f aca="false">Sens!$L$8677+Sens!$L$8678</f>
        <v>368.513699160038</v>
      </c>
      <c r="M8679" s="38" t="n">
        <f aca="false">Sens!$M$8677+Sens!$M$8678</f>
        <v>570.469721852563</v>
      </c>
    </row>
    <row r="8680" customFormat="false" ht="15" hidden="false" customHeight="false" outlineLevel="0" collapsed="false">
      <c r="A8680" s="5" t="s">
        <v>800</v>
      </c>
      <c r="B8680" s="0" t="s">
        <v>86</v>
      </c>
      <c r="D8680" s="38" t="n">
        <f aca="false">Q!$E$62</f>
        <v>68.836</v>
      </c>
      <c r="E8680" s="38" t="n">
        <f aca="false">Q!$M$62</f>
        <v>132.995</v>
      </c>
      <c r="F8680" s="38" t="n">
        <f aca="false">debt_q2+Sens!$F$8675+Sens!$F$8678</f>
        <v>162.244999</v>
      </c>
      <c r="G8680" s="38" t="n">
        <f aca="false">Sens!$F$8680</f>
        <v>162.244999</v>
      </c>
      <c r="H8680" s="38" t="n">
        <f aca="false">Sens!$G$8680+Sens!$H$8678</f>
        <v>175.983277655109</v>
      </c>
      <c r="I8680" s="38" t="n">
        <f aca="false">Sens!$H$8680+Sens!$I$8678</f>
        <v>191.528412462951</v>
      </c>
      <c r="J8680" s="38" t="n">
        <f aca="false">Sens!$I$8680+Sens!$J$8678</f>
        <v>191.528412462951</v>
      </c>
      <c r="K8680" s="38" t="n">
        <f aca="false">Sens!$J$8680+Sens!$K$8678</f>
        <v>191.528412462951</v>
      </c>
      <c r="L8680" s="38" t="n">
        <f aca="false">Sens!$K$8680+Sens!$L$8678</f>
        <v>191.528412462951</v>
      </c>
      <c r="M8680" s="38" t="n">
        <f aca="false">Sens!$L$8680+Sens!$M$8678</f>
        <v>191.528412462951</v>
      </c>
    </row>
    <row r="8681" customFormat="false" ht="15" hidden="false" customHeight="false" outlineLevel="0" collapsed="false">
      <c r="A8681" s="5" t="s">
        <v>801</v>
      </c>
      <c r="B8681" s="0" t="s">
        <v>86</v>
      </c>
      <c r="D8681" s="38" t="n">
        <f aca="false">Sens!$D$8680-Sens!$D$8679</f>
        <v>-54.193</v>
      </c>
      <c r="E8681" s="38" t="n">
        <f aca="false">Sens!$E$8680-Sens!$E$8679</f>
        <v>10.007</v>
      </c>
      <c r="F8681" s="38" t="n">
        <f aca="false">Sens!$F$8680-Sens!$F$8679</f>
        <v>71.9904130116072</v>
      </c>
      <c r="G8681" s="38" t="n">
        <f aca="false">Sens!$G$8680-Sens!$G$8679</f>
        <v>71.9904130116072</v>
      </c>
      <c r="H8681" s="38" t="n">
        <f aca="false">Sens!$H$8680-Sens!$H$8679</f>
        <v>125.983277655109</v>
      </c>
      <c r="I8681" s="38" t="n">
        <f aca="false">Sens!$I$8680-Sens!$I$8679</f>
        <v>141.528412462951</v>
      </c>
      <c r="J8681" s="38" t="n">
        <f aca="false">Sens!$J$8680-Sens!$J$8679</f>
        <v>116.773921787668</v>
      </c>
      <c r="K8681" s="38" t="n">
        <f aca="false">Sens!$K$8680-Sens!$K$8679</f>
        <v>-1.98825481387041</v>
      </c>
      <c r="L8681" s="38" t="n">
        <f aca="false">Sens!$L$8680-Sens!$L$8679</f>
        <v>-176.985286697087</v>
      </c>
      <c r="M8681" s="38" t="n">
        <f aca="false">Sens!$M$8680-Sens!$M$8679</f>
        <v>-378.941309389612</v>
      </c>
    </row>
    <row r="8682" customFormat="false" ht="17.15" hidden="false" customHeight="false" outlineLevel="0" collapsed="false">
      <c r="A8682" s="5" t="s">
        <v>802</v>
      </c>
      <c r="B8682" s="0" t="s">
        <v>86</v>
      </c>
      <c r="F8682" s="38" t="n">
        <f aca="false">debt_q2*kd_book*0.5+iss_2h26*kd_new*iss_t</f>
        <v>3.24888962733561</v>
      </c>
      <c r="H8682" s="38" t="n">
        <f aca="false">debt_q2*kd_book+(Sens!$G$8680-debt_q2)*kd_new</f>
        <v>7.42354172302123</v>
      </c>
      <c r="I8682" s="38" t="n">
        <f aca="false">debt_q2*kd_book+(Sens!$H$8680-debt_q2)*kd_new</f>
        <v>8.2931747618896</v>
      </c>
      <c r="J8682" s="38" t="n">
        <f aca="false">debt_q2*kd_book+(Sens!$I$8680-debt_q2)*kd_new</f>
        <v>9.27718179522602</v>
      </c>
      <c r="K8682" s="38" t="n">
        <f aca="false">debt_q2*kd_book+(Sens!$J$8680-debt_q2)*kd_new</f>
        <v>9.27718179522602</v>
      </c>
      <c r="L8682" s="38" t="n">
        <f aca="false">debt_q2*kd_book+(Sens!$K$8680-debt_q2)*kd_new</f>
        <v>9.27718179522602</v>
      </c>
      <c r="M8682" s="38" t="n">
        <f aca="false">debt_q2*kd_book+(Sens!$L$8680-debt_q2)*kd_new</f>
        <v>9.27718179522602</v>
      </c>
    </row>
    <row r="8683" customFormat="false" ht="17.15" hidden="false" customHeight="false" outlineLevel="0" collapsed="false">
      <c r="A8683" s="5" t="s">
        <v>803</v>
      </c>
      <c r="B8683" s="0" t="s">
        <v>86</v>
      </c>
      <c r="F8683" s="38" t="n">
        <f aca="false">cash_q2*y_cash*0.5</f>
        <v>2.59</v>
      </c>
      <c r="H8683" s="38" t="n">
        <f aca="false">Sens!$G$8679*y_cash</f>
        <v>3.80133635330174</v>
      </c>
      <c r="I8683" s="38" t="n">
        <f aca="false">Sens!$H$8679*y_cash</f>
        <v>2.10589651022864</v>
      </c>
      <c r="J8683" s="38" t="n">
        <f aca="false">Sens!$I$8679*y_cash</f>
        <v>2.10589651022864</v>
      </c>
      <c r="K8683" s="38" t="n">
        <f aca="false">Sens!$J$8679*y_cash</f>
        <v>3.14850442073996</v>
      </c>
      <c r="L8683" s="38" t="n">
        <f aca="false">Sens!$K$8679*y_cash</f>
        <v>8.1505214857867</v>
      </c>
      <c r="M8683" s="38" t="n">
        <f aca="false">Sens!$L$8679*y_cash</f>
        <v>15.5210342606514</v>
      </c>
    </row>
    <row r="8684" customFormat="false" ht="17.15" hidden="false" customHeight="false" outlineLevel="0" collapsed="false">
      <c r="A8684" s="47" t="s">
        <v>804</v>
      </c>
      <c r="B8684" s="14" t="s">
        <v>86</v>
      </c>
      <c r="C8684" s="14"/>
      <c r="D8684" s="14"/>
      <c r="E8684" s="14"/>
      <c r="F8684" s="14"/>
      <c r="G8684" s="48" t="n">
        <f aca="false">SUM(Sens!$G$8673:$K$8673)</f>
        <v>7.60425481387041</v>
      </c>
      <c r="H8684" s="14"/>
      <c r="I8684" s="14"/>
      <c r="J8684" s="14"/>
      <c r="K8684" s="14"/>
      <c r="L8684" s="14"/>
      <c r="M8684" s="14"/>
      <c r="N8684" s="14"/>
      <c r="O8684" s="14"/>
    </row>
    <row r="8685" customFormat="false" ht="17.15" hidden="false" customHeight="false" outlineLevel="0" collapsed="false">
      <c r="A8685" s="0" t="s">
        <v>770</v>
      </c>
      <c r="B8685" s="0" t="s">
        <v>86</v>
      </c>
      <c r="G8685" s="38" t="n">
        <f aca="false">SUM(Sens!$G$8678:$K$8678)</f>
        <v>29.2834134629509</v>
      </c>
    </row>
    <row r="8686" customFormat="false" ht="17.15" hidden="false" customHeight="false" outlineLevel="0" collapsed="false">
      <c r="A8686" s="24" t="s">
        <v>807</v>
      </c>
      <c r="B8686" s="25" t="s">
        <v>86</v>
      </c>
      <c r="C8686" s="25"/>
      <c r="D8686" s="25"/>
      <c r="E8686" s="25"/>
      <c r="F8686" s="25"/>
      <c r="G8686" s="41" t="n">
        <f aca="false">Sens!$G$8684-(Sens!$G$8673+Sens!$H$8673+Sens!$I$8673+Sens!$J$8673+Sens!$K$8673)</f>
        <v>0</v>
      </c>
      <c r="H8686" s="25"/>
      <c r="I8686" s="25"/>
      <c r="J8686" s="25"/>
      <c r="K8686" s="25"/>
      <c r="L8686" s="25"/>
      <c r="M8686" s="25"/>
      <c r="N8686" s="25"/>
      <c r="O8686" s="25"/>
    </row>
    <row r="8689" customFormat="false" ht="19.4" hidden="false" customHeight="false" outlineLevel="0" collapsed="false">
      <c r="A8689" s="31" t="s">
        <v>1306</v>
      </c>
    </row>
    <row r="8690" customFormat="false" ht="17.15" hidden="false" customHeight="false" outlineLevel="0" collapsed="false">
      <c r="A8690" s="6" t="s">
        <v>16</v>
      </c>
      <c r="B8690" s="6" t="s">
        <v>17</v>
      </c>
      <c r="C8690" s="20" t="s">
        <v>494</v>
      </c>
      <c r="D8690" s="20" t="s">
        <v>495</v>
      </c>
      <c r="E8690" s="20" t="s">
        <v>577</v>
      </c>
      <c r="F8690" s="20" t="s">
        <v>578</v>
      </c>
      <c r="G8690" s="20" t="s">
        <v>579</v>
      </c>
      <c r="H8690" s="20" t="s">
        <v>580</v>
      </c>
      <c r="I8690" s="20" t="s">
        <v>581</v>
      </c>
      <c r="J8690" s="20" t="s">
        <v>582</v>
      </c>
      <c r="K8690" s="20" t="s">
        <v>583</v>
      </c>
      <c r="L8690" s="20" t="s">
        <v>584</v>
      </c>
      <c r="M8690" s="20" t="s">
        <v>585</v>
      </c>
      <c r="N8690" s="20" t="s">
        <v>586</v>
      </c>
      <c r="O8690" s="20" t="s">
        <v>587</v>
      </c>
      <c r="P8690" s="6" t="s">
        <v>23</v>
      </c>
      <c r="R8690" s="20" t="n">
        <v>2023</v>
      </c>
      <c r="S8690" s="20" t="n">
        <v>2024</v>
      </c>
      <c r="T8690" s="20" t="n">
        <v>2025</v>
      </c>
      <c r="U8690" s="20" t="n">
        <v>2026</v>
      </c>
      <c r="V8690" s="20" t="n">
        <v>2027</v>
      </c>
      <c r="W8690" s="20" t="n">
        <v>2028</v>
      </c>
      <c r="X8690" s="20" t="n">
        <v>2029</v>
      </c>
      <c r="Y8690" s="20" t="n">
        <v>2030</v>
      </c>
      <c r="Z8690" s="20" t="n">
        <v>2031</v>
      </c>
      <c r="AA8690" s="20" t="n">
        <v>2032</v>
      </c>
    </row>
    <row r="8691" customFormat="false" ht="17.15" hidden="false" customHeight="false" outlineLevel="0" collapsed="false">
      <c r="A8691" s="1" t="s">
        <v>909</v>
      </c>
    </row>
    <row r="8692" customFormat="false" ht="17.15" hidden="false" customHeight="false" outlineLevel="0" collapsed="false">
      <c r="A8692" s="0" t="s">
        <v>910</v>
      </c>
      <c r="B8692" s="0" t="s">
        <v>86</v>
      </c>
      <c r="H8692" s="38" t="n">
        <f aca="false">Sens!$H$8626*(1-tax)</f>
        <v>117.433243423729</v>
      </c>
      <c r="I8692" s="38" t="n">
        <f aca="false">Sens!$I$8626*(1-tax)</f>
        <v>142.829109667048</v>
      </c>
      <c r="J8692" s="38" t="n">
        <f aca="false">Sens!$J$8626*(1-tax)</f>
        <v>166.999275189185</v>
      </c>
      <c r="K8692" s="38" t="n">
        <f aca="false">Sens!$K$8626*(1-tax)</f>
        <v>184.486324065858</v>
      </c>
      <c r="L8692" s="38" t="n">
        <f aca="false">Sens!$L$8626*(1-tax)</f>
        <v>200.372924021423</v>
      </c>
      <c r="M8692" s="38" t="n">
        <f aca="false">Sens!$M$8626*(1-tax)</f>
        <v>213.745944137255</v>
      </c>
    </row>
    <row r="8693" customFormat="false" ht="15" hidden="false" customHeight="false" outlineLevel="0" collapsed="false">
      <c r="A8693" s="5" t="s">
        <v>911</v>
      </c>
      <c r="B8693" s="0" t="s">
        <v>86</v>
      </c>
      <c r="H8693" s="38" t="n">
        <f aca="false">Sens!$H$8637</f>
        <v>84.3163410985152</v>
      </c>
      <c r="I8693" s="38" t="n">
        <f aca="false">Sens!$I$8637</f>
        <v>117.040344991004</v>
      </c>
      <c r="J8693" s="38" t="n">
        <f aca="false">Sens!$J$8637</f>
        <v>150.498981474685</v>
      </c>
      <c r="K8693" s="38" t="n">
        <f aca="false">Sens!$K$8637</f>
        <v>184.188121970284</v>
      </c>
      <c r="L8693" s="38" t="n">
        <f aca="false">Sens!$L$8637</f>
        <v>208.158787644162</v>
      </c>
      <c r="M8693" s="38" t="n">
        <f aca="false">Sens!$M$8637</f>
        <v>225.174143397813</v>
      </c>
    </row>
    <row r="8694" customFormat="false" ht="15" hidden="false" customHeight="false" outlineLevel="0" collapsed="false">
      <c r="A8694" s="5" t="s">
        <v>912</v>
      </c>
      <c r="B8694" s="0" t="s">
        <v>86</v>
      </c>
      <c r="H8694" s="38" t="n">
        <f aca="false">Sens!$H$8668</f>
        <v>273.372679834898</v>
      </c>
      <c r="I8694" s="38" t="n">
        <f aca="false">Sens!$I$8668</f>
        <v>286.981812228425</v>
      </c>
      <c r="J8694" s="38" t="n">
        <f aca="false">Sens!$J$8668</f>
        <v>299.316513378366</v>
      </c>
      <c r="K8694" s="38" t="n">
        <f aca="false">Sens!$K$8668</f>
        <v>253.835101823915</v>
      </c>
      <c r="L8694" s="38" t="n">
        <f aca="false">Sens!$L$8668</f>
        <v>240.252243483641</v>
      </c>
      <c r="M8694" s="38" t="n">
        <f aca="false">Sens!$M$8668</f>
        <v>250.62556497822</v>
      </c>
    </row>
    <row r="8695" customFormat="false" ht="15" hidden="false" customHeight="false" outlineLevel="0" collapsed="false">
      <c r="A8695" s="5" t="s">
        <v>913</v>
      </c>
      <c r="B8695" s="0" t="s">
        <v>86</v>
      </c>
      <c r="H8695" s="38" t="n">
        <f aca="false">Sens!$H$8669</f>
        <v>1.6</v>
      </c>
      <c r="I8695" s="38" t="n">
        <f aca="false">Sens!$I$8669</f>
        <v>1.6</v>
      </c>
      <c r="J8695" s="38" t="n">
        <f aca="false">Sens!$J$8669</f>
        <v>1.6</v>
      </c>
      <c r="K8695" s="38" t="n">
        <f aca="false">Sens!$K$8669</f>
        <v>1.6</v>
      </c>
      <c r="L8695" s="38" t="n">
        <f aca="false">Sens!$L$8669</f>
        <v>1.6</v>
      </c>
      <c r="M8695" s="38" t="n">
        <f aca="false">Sens!$M$8669</f>
        <v>1.6</v>
      </c>
    </row>
    <row r="8696" customFormat="false" ht="15" hidden="false" customHeight="false" outlineLevel="0" collapsed="false">
      <c r="A8696" s="5" t="s">
        <v>914</v>
      </c>
      <c r="B8696" s="0" t="s">
        <v>86</v>
      </c>
      <c r="H8696" s="38" t="n">
        <f aca="false">Sens!$H$8663</f>
        <v>11.2928295263397</v>
      </c>
      <c r="I8696" s="38" t="n">
        <f aca="false">Sens!$I$8663</f>
        <v>12.8091546115766</v>
      </c>
      <c r="J8696" s="38" t="n">
        <f aca="false">Sens!$J$8663</f>
        <v>14.2605653162668</v>
      </c>
      <c r="K8696" s="38" t="n">
        <f aca="false">Sens!$K$8663</f>
        <v>15.5361896109386</v>
      </c>
      <c r="L8696" s="38" t="n">
        <f aca="false">Sens!$L$8663</f>
        <v>16.7342012989106</v>
      </c>
      <c r="M8696" s="38" t="n">
        <f aca="false">Sens!$M$8663</f>
        <v>17.8589265647579</v>
      </c>
    </row>
    <row r="8697" customFormat="false" ht="17.15" hidden="false" customHeight="false" outlineLevel="0" collapsed="false">
      <c r="A8697" s="1" t="s">
        <v>915</v>
      </c>
      <c r="B8697" s="8" t="s">
        <v>86</v>
      </c>
      <c r="H8697" s="38" t="n">
        <f aca="false">Sens!$H$8692+Sens!$H$8693-Sens!$H$8694-Sens!$H$8695+Sens!$H$8696</f>
        <v>-61.930265786314</v>
      </c>
      <c r="I8697" s="38" t="n">
        <f aca="false">Sens!$I$8692+Sens!$I$8693-Sens!$I$8694-Sens!$I$8695+Sens!$I$8696</f>
        <v>-15.9032029587969</v>
      </c>
      <c r="J8697" s="38" t="n">
        <f aca="false">Sens!$J$8692+Sens!$J$8693-Sens!$J$8694-Sens!$J$8695+Sens!$J$8696</f>
        <v>30.8423086017711</v>
      </c>
      <c r="K8697" s="38" t="n">
        <f aca="false">Sens!$K$8692+Sens!$K$8693-Sens!$K$8694-Sens!$K$8695+Sens!$K$8696</f>
        <v>128.775533823166</v>
      </c>
      <c r="L8697" s="38" t="n">
        <f aca="false">Sens!$L$8692+Sens!$L$8693-Sens!$L$8694-Sens!$L$8695+Sens!$L$8696</f>
        <v>183.413669480855</v>
      </c>
      <c r="M8697" s="38" t="n">
        <f aca="false">Sens!$M$8692+Sens!$M$8693-Sens!$M$8694-Sens!$M$8695+Sens!$M$8696</f>
        <v>204.553449121607</v>
      </c>
    </row>
    <row r="8698" customFormat="false" ht="15" hidden="false" customHeight="false" outlineLevel="0" collapsed="false">
      <c r="A8698" s="5" t="s">
        <v>916</v>
      </c>
      <c r="B8698" s="0" t="s">
        <v>57</v>
      </c>
      <c r="H8698" s="40" t="n">
        <f aca="false">1/(1+(wacc-0.01))^(2027-2026-0.5)</f>
        <v>0.952036717208703</v>
      </c>
      <c r="I8698" s="40" t="n">
        <f aca="false">1/(1+(wacc-0.01))^(2028-2026-0.5)</f>
        <v>0.862901242709724</v>
      </c>
      <c r="J8698" s="40" t="n">
        <f aca="false">1/(1+(wacc-0.01))^(2029-2026-0.5)</f>
        <v>0.782111174086951</v>
      </c>
      <c r="K8698" s="40" t="n">
        <f aca="false">1/(1+(wacc-0.01))^(2030-2026-0.5)</f>
        <v>0.708885163626357</v>
      </c>
      <c r="L8698" s="40" t="n">
        <f aca="false">1/(1+(wacc-0.01))^(2031-2026-0.5)</f>
        <v>0.642515018144594</v>
      </c>
      <c r="M8698" s="40" t="n">
        <f aca="false">1/(1+(wacc-0.01))^(2032-2026-0.5)</f>
        <v>0.582358849816389</v>
      </c>
    </row>
    <row r="8699" customFormat="false" ht="15" hidden="false" customHeight="false" outlineLevel="0" collapsed="false">
      <c r="A8699" s="5" t="s">
        <v>917</v>
      </c>
      <c r="B8699" s="0" t="s">
        <v>86</v>
      </c>
      <c r="H8699" s="38" t="n">
        <f aca="false">Sens!$H$8697*Sens!$H$8698</f>
        <v>-58.9598869350648</v>
      </c>
      <c r="I8699" s="38" t="n">
        <f aca="false">Sens!$I$8697*Sens!$I$8698</f>
        <v>-13.7228935962108</v>
      </c>
      <c r="J8699" s="38" t="n">
        <f aca="false">Sens!$J$8697*Sens!$J$8698</f>
        <v>24.1221141920833</v>
      </c>
      <c r="K8699" s="38" t="n">
        <f aca="false">Sens!$K$8697*Sens!$K$8698</f>
        <v>91.2870653653064</v>
      </c>
      <c r="L8699" s="38" t="n">
        <f aca="false">Sens!$L$8697*Sens!$L$8698</f>
        <v>117.846037174458</v>
      </c>
      <c r="M8699" s="38" t="n">
        <f aca="false">Sens!$M$8697*Sens!$M$8698</f>
        <v>119.123511356434</v>
      </c>
    </row>
    <row r="8700" customFormat="false" ht="15" hidden="false" customHeight="false" outlineLevel="0" collapsed="false">
      <c r="A8700" s="5" t="s">
        <v>918</v>
      </c>
      <c r="B8700" s="0" t="s">
        <v>86</v>
      </c>
      <c r="C8700" s="38" t="n">
        <f aca="false">SUM(Sens!$H$8699:$M$8699)</f>
        <v>279.695947557006</v>
      </c>
    </row>
    <row r="8701" customFormat="false" ht="17.15" hidden="false" customHeight="false" outlineLevel="0" collapsed="false">
      <c r="A8701" s="5" t="s">
        <v>919</v>
      </c>
      <c r="B8701" s="0" t="s">
        <v>86</v>
      </c>
      <c r="C8701" s="38" t="n">
        <f aca="false">Sens!$M$8692*(1+tg_hi)*(1-tg_hi/ronic)/((wacc-0.01)-tg_hi)</f>
        <v>2272.0289874832</v>
      </c>
    </row>
    <row r="8702" customFormat="false" ht="15" hidden="false" customHeight="false" outlineLevel="0" collapsed="false">
      <c r="A8702" s="5" t="s">
        <v>920</v>
      </c>
      <c r="B8702" s="0" t="s">
        <v>86</v>
      </c>
      <c r="C8702" s="38" t="n">
        <f aca="false">Sens!$C$8701/(1+(wacc-0.01))^6</f>
        <v>1259.67423274856</v>
      </c>
    </row>
    <row r="8703" customFormat="false" ht="17.15" hidden="false" customHeight="false" outlineLevel="0" collapsed="false">
      <c r="A8703" s="5" t="s">
        <v>921</v>
      </c>
      <c r="B8703" s="0" t="s">
        <v>86</v>
      </c>
      <c r="C8703" s="38" t="n">
        <f aca="false">Sens!$C$8700+Sens!$C$8702</f>
        <v>1539.37018030556</v>
      </c>
    </row>
    <row r="8704" customFormat="false" ht="17.15" hidden="false" customHeight="false" outlineLevel="0" collapsed="false">
      <c r="A8704" s="5" t="s">
        <v>922</v>
      </c>
      <c r="B8704" s="0" t="s">
        <v>52</v>
      </c>
      <c r="C8704" s="13" t="n">
        <f aca="false">Sens!$C$8702/Sens!$C$8703</f>
        <v>0.818304946311558</v>
      </c>
    </row>
    <row r="8705" customFormat="false" ht="17.15" hidden="false" customHeight="false" outlineLevel="0" collapsed="false">
      <c r="A8705" s="5" t="s">
        <v>923</v>
      </c>
      <c r="B8705" s="0" t="s">
        <v>86</v>
      </c>
      <c r="C8705" s="38" t="n">
        <f aca="false">Sens!$G$8681+fin_debt</f>
        <v>96.5114130116072</v>
      </c>
    </row>
    <row r="8706" customFormat="false" ht="17.15" hidden="false" customHeight="false" outlineLevel="0" collapsed="false">
      <c r="A8706" s="5" t="s">
        <v>924</v>
      </c>
      <c r="B8706" s="0" t="s">
        <v>86</v>
      </c>
      <c r="C8706" s="38" t="n">
        <f aca="false">(ant_val*ant_sh+oai_val*oai_sh)*(1-liq_disc)</f>
        <v>178.944</v>
      </c>
    </row>
    <row r="8707" customFormat="false" ht="15" hidden="false" customHeight="false" outlineLevel="0" collapsed="false">
      <c r="A8707" s="5" t="s">
        <v>925</v>
      </c>
      <c r="B8707" s="0" t="s">
        <v>86</v>
      </c>
      <c r="C8707" s="38" t="n">
        <f aca="false">Sens!$C$8703-Sens!$C$8705+Sens!$C$8706</f>
        <v>1621.80276729395</v>
      </c>
    </row>
    <row r="8708" customFormat="false" ht="17.15" hidden="false" customHeight="false" outlineLevel="0" collapsed="false">
      <c r="A8708" s="5" t="s">
        <v>926</v>
      </c>
      <c r="B8708" s="0" t="s">
        <v>27</v>
      </c>
      <c r="C8708" s="30" t="n">
        <f aca="false">Sens!$C$8707/sh_out</f>
        <v>150.357459211178</v>
      </c>
    </row>
    <row r="8709" customFormat="false" ht="17.15" hidden="false" customHeight="false" outlineLevel="0" collapsed="false">
      <c r="A8709" s="1" t="s">
        <v>927</v>
      </c>
      <c r="B8709" s="8" t="s">
        <v>27</v>
      </c>
      <c r="C8709" s="30" t="n">
        <f aca="false">Sens!$C$8708*(1+ke)^tp_yf-dps*tp_yf</f>
        <v>164.696876655005</v>
      </c>
    </row>
    <row r="8710" customFormat="false" ht="17.15" hidden="false" customHeight="false" outlineLevel="0" collapsed="false">
      <c r="A8710" s="3" t="s">
        <v>928</v>
      </c>
    </row>
    <row r="8711" customFormat="false" ht="17.15" hidden="false" customHeight="false" outlineLevel="0" collapsed="false">
      <c r="A8711" s="5" t="s">
        <v>929</v>
      </c>
      <c r="B8711" s="0" t="s">
        <v>86</v>
      </c>
      <c r="C8711" s="38" t="n">
        <f aca="false">(1-tp_yf)*(Sens!$H$8638+Sens!$H$8662*Sens!$H$8504/Sens!$H$8579)+tp_yf*(Sens!$I$8638+Sens!$I$8662*Sens!$I$8504/Sens!$I$8579)</f>
        <v>59.634664536349</v>
      </c>
    </row>
    <row r="8712" customFormat="false" ht="15" hidden="false" customHeight="false" outlineLevel="0" collapsed="false">
      <c r="A8712" s="5" t="s">
        <v>930</v>
      </c>
      <c r="B8712" s="0" t="s">
        <v>57</v>
      </c>
      <c r="C8712" s="30" t="n">
        <f aca="false">m_ads*m_x</f>
        <v>9.11</v>
      </c>
    </row>
    <row r="8713" customFormat="false" ht="17.15" hidden="false" customHeight="false" outlineLevel="0" collapsed="false">
      <c r="A8713" s="5" t="s">
        <v>931</v>
      </c>
      <c r="B8713" s="0" t="s">
        <v>86</v>
      </c>
      <c r="C8713" s="38" t="n">
        <f aca="false">Sens!$C$8711*Sens!$C$8712</f>
        <v>543.271793926139</v>
      </c>
    </row>
    <row r="8714" customFormat="false" ht="17.15" hidden="false" customHeight="false" outlineLevel="0" collapsed="false">
      <c r="A8714" s="5" t="s">
        <v>932</v>
      </c>
      <c r="B8714" s="0" t="s">
        <v>86</v>
      </c>
      <c r="C8714" s="38" t="n">
        <f aca="false">(1-tp_yf)*(Sens!$H$8639+Sens!$H$8662*(Sens!$H$8511-Sens!$H$8504)/Sens!$H$8579+IF(internal_ai_reading=2,1,0)*(1-ext_sh)*Sens!$H$8541)+tp_yf*(Sens!$I$8639+Sens!$I$8662*(Sens!$I$8511-Sens!$I$8504)/Sens!$I$8579+IF(internal_ai_reading=2,1,0)*(1-ext_sh)*Sens!$I$8541)</f>
        <v>51.7770728324773</v>
      </c>
    </row>
    <row r="8715" customFormat="false" ht="17.15" hidden="false" customHeight="false" outlineLevel="0" collapsed="false">
      <c r="A8715" s="5" t="s">
        <v>933</v>
      </c>
      <c r="B8715" s="0" t="s">
        <v>57</v>
      </c>
      <c r="C8715" s="30" t="n">
        <f aca="false">m_retail*m_x</f>
        <v>17.72</v>
      </c>
    </row>
    <row r="8716" customFormat="false" ht="17.15" hidden="false" customHeight="false" outlineLevel="0" collapsed="false">
      <c r="A8716" s="5" t="s">
        <v>934</v>
      </c>
      <c r="B8716" s="0" t="s">
        <v>86</v>
      </c>
      <c r="C8716" s="38" t="n">
        <f aca="false">Sens!$C$8714*Sens!$C$8715</f>
        <v>917.489730591498</v>
      </c>
    </row>
    <row r="8717" customFormat="false" ht="17.15" hidden="false" customHeight="false" outlineLevel="0" collapsed="false">
      <c r="A8717" s="0" t="s">
        <v>935</v>
      </c>
      <c r="B8717" s="0" t="s">
        <v>86</v>
      </c>
      <c r="C8717" s="38" t="n">
        <f aca="false">(1-tp_yf)*(Sens!$H$8640+Sens!$H$8662*Sens!$H$8577/Sens!$H$8579)+tp_yf*(Sens!$I$8640+Sens!$I$8662*Sens!$I$8577/Sens!$I$8579)</f>
        <v>97.3363031479074</v>
      </c>
    </row>
    <row r="8718" customFormat="false" ht="17.15" hidden="false" customHeight="false" outlineLevel="0" collapsed="false">
      <c r="A8718" s="0" t="s">
        <v>936</v>
      </c>
      <c r="B8718" s="0" t="s">
        <v>57</v>
      </c>
      <c r="C8718" s="30" t="n">
        <f aca="false">m_cloud*m_x</f>
        <v>13.82</v>
      </c>
    </row>
    <row r="8719" customFormat="false" ht="17.15" hidden="false" customHeight="false" outlineLevel="0" collapsed="false">
      <c r="A8719" s="0" t="s">
        <v>937</v>
      </c>
      <c r="B8719" s="0" t="s">
        <v>86</v>
      </c>
      <c r="C8719" s="38" t="n">
        <f aca="false">Sens!$C$8717*Sens!$C$8718</f>
        <v>1345.18770950408</v>
      </c>
    </row>
    <row r="8720" customFormat="false" ht="17.15" hidden="false" customHeight="false" outlineLevel="0" collapsed="false">
      <c r="A8720" s="0" t="s">
        <v>938</v>
      </c>
      <c r="B8720" s="0" t="s">
        <v>86</v>
      </c>
      <c r="H8720" s="38" t="n">
        <f aca="false">Sens!$H$8558-tax*Sens!$H$8559-ext_sh*Sens!$H$8548</f>
        <v>-114.686944664267</v>
      </c>
      <c r="I8720" s="38" t="n">
        <f aca="false">Sens!$I$8558-tax*Sens!$I$8559-ext_sh*Sens!$I$8548</f>
        <v>-88.3950641557111</v>
      </c>
      <c r="J8720" s="38" t="n">
        <f aca="false">Sens!$J$8558-tax*Sens!$J$8559-ext_sh*Sens!$J$8548</f>
        <v>-61.1526151740695</v>
      </c>
      <c r="K8720" s="38" t="n">
        <f aca="false">Sens!$K$8558-tax*Sens!$K$8559-ext_sh*Sens!$K$8548</f>
        <v>8.02481477859368</v>
      </c>
      <c r="L8720" s="38" t="n">
        <f aca="false">Sens!$L$8558-tax*Sens!$L$8559-ext_sh*Sens!$L$8548</f>
        <v>43.0206498796486</v>
      </c>
      <c r="M8720" s="38" t="n">
        <f aca="false">Sens!$M$8558-tax*Sens!$M$8559-ext_sh*Sens!$M$8548</f>
        <v>50.576907834189</v>
      </c>
    </row>
    <row r="8721" customFormat="false" ht="17.15" hidden="false" customHeight="false" outlineLevel="0" collapsed="false">
      <c r="A8721" s="5" t="s">
        <v>939</v>
      </c>
      <c r="B8721" s="0" t="s">
        <v>86</v>
      </c>
      <c r="H8721" s="38" t="n">
        <f aca="false">Sens!$H$8720*Sens!$H$8698</f>
        <v>-109.186182304865</v>
      </c>
      <c r="I8721" s="38" t="n">
        <f aca="false">Sens!$I$8720*Sens!$I$8698</f>
        <v>-76.2762107093688</v>
      </c>
      <c r="J8721" s="38" t="n">
        <f aca="false">Sens!$J$8720*Sens!$J$8698</f>
        <v>-47.828143652279</v>
      </c>
      <c r="K8721" s="38" t="n">
        <f aca="false">Sens!$K$8720*Sens!$K$8698</f>
        <v>5.68867213739459</v>
      </c>
      <c r="L8721" s="38" t="n">
        <f aca="false">Sens!$L$8720*Sens!$L$8698</f>
        <v>27.6414136380147</v>
      </c>
      <c r="M8721" s="38" t="n">
        <f aca="false">Sens!$M$8720*Sens!$M$8698</f>
        <v>29.4539098735878</v>
      </c>
    </row>
    <row r="8722" customFormat="false" ht="17.15" hidden="false" customHeight="false" outlineLevel="0" collapsed="false">
      <c r="A8722" s="5" t="s">
        <v>940</v>
      </c>
      <c r="B8722" s="0" t="s">
        <v>86</v>
      </c>
      <c r="C8722" s="38" t="n">
        <f aca="false">Sens!$M$8559*(1-tax)*(1+tg_hi)*(1-tg_hi/ronic)/((wacc-0.01)-tg_hi)</f>
        <v>434.896142743054</v>
      </c>
    </row>
    <row r="8723" customFormat="false" ht="17.15" hidden="false" customHeight="false" outlineLevel="0" collapsed="false">
      <c r="A8723" s="0" t="s">
        <v>941</v>
      </c>
      <c r="B8723" s="0" t="s">
        <v>86</v>
      </c>
      <c r="C8723" s="38" t="n">
        <f aca="false">(SUM(Sens!$H$8721:$M$8721)+Sens!$C$8722/(1+(wacc-0.01))^6)*(1+(wacc-0.01))^tp_yf</f>
        <v>76.553671409616</v>
      </c>
    </row>
    <row r="8724" customFormat="false" ht="17.15" hidden="false" customHeight="false" outlineLevel="0" collapsed="false">
      <c r="A8724" s="5" t="s">
        <v>942</v>
      </c>
      <c r="B8724" s="0" t="s">
        <v>86</v>
      </c>
      <c r="C8724" s="38" t="n">
        <f aca="false">(1-tp_yf)*(Sens!$H$8641)+tp_yf*(Sens!$I$8641)</f>
        <v>74.6707041238437</v>
      </c>
    </row>
    <row r="8725" customFormat="false" ht="17.15" hidden="false" customHeight="false" outlineLevel="0" collapsed="false">
      <c r="A8725" s="5" t="s">
        <v>943</v>
      </c>
      <c r="B8725" s="0" t="s">
        <v>86</v>
      </c>
      <c r="C8725" s="38" t="n">
        <f aca="false">Sens!$C$8724*m_ai</f>
        <v>448.024224743062</v>
      </c>
    </row>
    <row r="8726" customFormat="false" ht="17.15" hidden="false" customHeight="false" outlineLevel="0" collapsed="false">
      <c r="A8726" s="0" t="s">
        <v>944</v>
      </c>
      <c r="B8726" s="0" t="s">
        <v>86</v>
      </c>
      <c r="C8726" s="38" t="n">
        <f aca="false">IF(ai_leg=1,Sens!$C$8723,Sens!$C$8725)</f>
        <v>76.553671409616</v>
      </c>
    </row>
    <row r="8727" customFormat="false" ht="17.15" hidden="false" customHeight="false" outlineLevel="0" collapsed="false">
      <c r="A8727" s="5" t="s">
        <v>945</v>
      </c>
      <c r="B8727" s="0" t="s">
        <v>86</v>
      </c>
      <c r="C8727" s="38" t="n">
        <f aca="false">Sens!$C$8713+Sens!$C$8716+Sens!$C$8719+Sens!$C$8726</f>
        <v>2882.50290543133</v>
      </c>
    </row>
    <row r="8728" customFormat="false" ht="17.15" hidden="false" customHeight="false" outlineLevel="0" collapsed="false">
      <c r="A8728" s="5" t="s">
        <v>946</v>
      </c>
      <c r="B8728" s="0" t="s">
        <v>86</v>
      </c>
      <c r="C8728" s="38" t="n">
        <f aca="false">Sens!$H$8681+fin_debt</f>
        <v>150.504277655109</v>
      </c>
    </row>
    <row r="8729" customFormat="false" ht="15" hidden="false" customHeight="false" outlineLevel="0" collapsed="false">
      <c r="A8729" s="5" t="s">
        <v>947</v>
      </c>
      <c r="B8729" s="0" t="s">
        <v>86</v>
      </c>
      <c r="C8729" s="38" t="n">
        <f aca="false">Sens!$C$8727-Sens!$C$8728+Sens!$C$8706</f>
        <v>2910.94262777623</v>
      </c>
    </row>
    <row r="8730" customFormat="false" ht="15" hidden="false" customHeight="false" outlineLevel="0" collapsed="false">
      <c r="A8730" s="3" t="s">
        <v>948</v>
      </c>
      <c r="B8730" s="8" t="s">
        <v>27</v>
      </c>
      <c r="C8730" s="30" t="n">
        <f aca="false">Sens!$C$8729/sh_val</f>
        <v>263.903876877505</v>
      </c>
    </row>
    <row r="8731" customFormat="false" ht="17.15" hidden="false" customHeight="false" outlineLevel="0" collapsed="false">
      <c r="A8731" s="47" t="s">
        <v>949</v>
      </c>
      <c r="B8731" s="14" t="s">
        <v>27</v>
      </c>
      <c r="C8731" s="44" t="n">
        <f aca="false">w_dcf*Sens!$C$8709+(1-w_dcf)*Sens!$C$8730</f>
        <v>214.300376766255</v>
      </c>
      <c r="D8731" s="14"/>
      <c r="E8731" s="14"/>
      <c r="F8731" s="14"/>
      <c r="G8731" s="14"/>
      <c r="H8731" s="14"/>
      <c r="I8731" s="14"/>
      <c r="J8731" s="14"/>
      <c r="K8731" s="14"/>
      <c r="L8731" s="14"/>
      <c r="M8731" s="14"/>
      <c r="N8731" s="14"/>
      <c r="O8731" s="14"/>
    </row>
    <row r="8732" customFormat="false" ht="17.15" hidden="false" customHeight="false" outlineLevel="0" collapsed="false">
      <c r="A8732" s="5" t="s">
        <v>950</v>
      </c>
      <c r="B8732" s="0" t="s">
        <v>27</v>
      </c>
      <c r="C8732" s="30" t="n">
        <f aca="false">v022_wdcf*Sens!$C$8709+(1-v022_wdcf)*Sens!$C$8730</f>
        <v>219.26072677738</v>
      </c>
    </row>
    <row r="8733" customFormat="false" ht="17.15" hidden="false" customHeight="false" outlineLevel="0" collapsed="false">
      <c r="A8733" s="5" t="s">
        <v>951</v>
      </c>
      <c r="B8733" s="0" t="s">
        <v>27</v>
      </c>
      <c r="C8733" s="30" t="n">
        <f aca="false">(Sens!$C$8729-Sens!$C$8726+Sens!$C$8725)/sh_val</f>
        <v>297.581118824874</v>
      </c>
    </row>
    <row r="8736" customFormat="false" ht="19.4" hidden="false" customHeight="false" outlineLevel="0" collapsed="false">
      <c r="A8736" s="31" t="s">
        <v>1307</v>
      </c>
    </row>
    <row r="8737" customFormat="false" ht="17.15" hidden="false" customHeight="false" outlineLevel="0" collapsed="false">
      <c r="A8737" s="6" t="s">
        <v>16</v>
      </c>
      <c r="B8737" s="6" t="s">
        <v>17</v>
      </c>
      <c r="C8737" s="20" t="s">
        <v>494</v>
      </c>
      <c r="D8737" s="20" t="s">
        <v>495</v>
      </c>
      <c r="E8737" s="20" t="s">
        <v>577</v>
      </c>
      <c r="F8737" s="20" t="s">
        <v>578</v>
      </c>
      <c r="G8737" s="20" t="s">
        <v>579</v>
      </c>
      <c r="H8737" s="20" t="s">
        <v>580</v>
      </c>
      <c r="I8737" s="20" t="s">
        <v>581</v>
      </c>
      <c r="J8737" s="20" t="s">
        <v>582</v>
      </c>
      <c r="K8737" s="20" t="s">
        <v>583</v>
      </c>
      <c r="L8737" s="20" t="s">
        <v>584</v>
      </c>
      <c r="M8737" s="20" t="s">
        <v>585</v>
      </c>
      <c r="N8737" s="20" t="s">
        <v>586</v>
      </c>
      <c r="O8737" s="20" t="s">
        <v>587</v>
      </c>
      <c r="P8737" s="6" t="s">
        <v>23</v>
      </c>
      <c r="R8737" s="20" t="n">
        <v>2023</v>
      </c>
      <c r="S8737" s="20" t="n">
        <v>2024</v>
      </c>
      <c r="T8737" s="20" t="n">
        <v>2025</v>
      </c>
      <c r="U8737" s="20" t="n">
        <v>2026</v>
      </c>
      <c r="V8737" s="20" t="n">
        <v>2027</v>
      </c>
      <c r="W8737" s="20" t="n">
        <v>2028</v>
      </c>
      <c r="X8737" s="20" t="n">
        <v>2029</v>
      </c>
      <c r="Y8737" s="20" t="n">
        <v>2030</v>
      </c>
      <c r="Z8737" s="20" t="n">
        <v>2031</v>
      </c>
      <c r="AA8737" s="20" t="n">
        <v>2032</v>
      </c>
    </row>
    <row r="8738" customFormat="false" ht="17.15" hidden="false" customHeight="false" outlineLevel="0" collapsed="false">
      <c r="A8738" s="1" t="s">
        <v>660</v>
      </c>
    </row>
    <row r="8739" customFormat="false" ht="17.15" hidden="false" customHeight="false" outlineLevel="0" collapsed="false">
      <c r="A8739" s="0" t="s">
        <v>516</v>
      </c>
      <c r="B8739" s="0" t="s">
        <v>86</v>
      </c>
      <c r="C8739" s="38" t="n">
        <f aca="false">Q!$D$10</f>
        <v>247.029</v>
      </c>
      <c r="D8739" s="38" t="n">
        <f aca="false">Q!$E$10</f>
        <v>269.287</v>
      </c>
      <c r="E8739" s="38" t="n">
        <f aca="false">Q!$P$10</f>
        <v>134.686</v>
      </c>
      <c r="F8739" s="38" t="n">
        <f aca="false">Sens!$O$8739*(1+Sens!$F$8740)*Sens!$F$8751</f>
        <v>158.293876822267</v>
      </c>
      <c r="G8739" s="38" t="n">
        <f aca="false">Sens!$E$8739+Sens!$F$8739</f>
        <v>292.979876822267</v>
      </c>
      <c r="H8739" s="38" t="n">
        <f aca="false">Sens!$G$8739*(1+Sens!$H$8740)</f>
        <v>318.184543087396</v>
      </c>
      <c r="I8739" s="38" t="n">
        <f aca="false">Sens!$H$8739*(1+Sens!$I$8740)</f>
        <v>341.736278761793</v>
      </c>
      <c r="J8739" s="38" t="n">
        <f aca="false">Sens!$I$8739*(1+Sens!$J$8740)</f>
        <v>362.927192787048</v>
      </c>
      <c r="K8739" s="38" t="n">
        <f aca="false">Sens!$J$8739*(1+Sens!$K$8740)</f>
        <v>381.0735524264</v>
      </c>
      <c r="L8739" s="38" t="n">
        <f aca="false">Sens!$K$8739*(1+Sens!$L$8740)</f>
        <v>400.12723004772</v>
      </c>
      <c r="M8739" s="38" t="n">
        <f aca="false">Sens!$L$8739*(1+Sens!$M$8740)</f>
        <v>420.133591550106</v>
      </c>
      <c r="N8739" s="38" t="n">
        <f aca="false">Q!$N$10</f>
        <v>118.892</v>
      </c>
      <c r="O8739" s="38" t="n">
        <f aca="false">Q!$O$10</f>
        <v>150.395</v>
      </c>
      <c r="P8739" s="8" t="s">
        <v>661</v>
      </c>
    </row>
    <row r="8740" customFormat="false" ht="17.15" hidden="false" customHeight="false" outlineLevel="0" collapsed="false">
      <c r="A8740" s="0" t="s">
        <v>662</v>
      </c>
      <c r="B8740" s="0" t="s">
        <v>52</v>
      </c>
      <c r="E8740" s="13" t="n">
        <f aca="false">Sens!$E$8739/Sens!$N$8739-1</f>
        <v>0.132843252699929</v>
      </c>
      <c r="F8740" s="13" t="n">
        <f aca="false">Sens!$O$8739/(Q!$F$10+Q!$G$10)-1</f>
        <v>0.0980382135842941</v>
      </c>
      <c r="G8740" s="13" t="n">
        <f aca="false">Sens!$G$8739/Sens!$D$8739-1</f>
        <v>0.0879837378791657</v>
      </c>
      <c r="H8740" s="13" t="n">
        <f aca="false">Sens!$F$8740+(g_os-Sens!$F$8740)*1/4</f>
        <v>0.0860286601882206</v>
      </c>
      <c r="I8740" s="13" t="n">
        <f aca="false">Sens!$F$8740+(g_os-Sens!$F$8740)*2/4</f>
        <v>0.074019106792147</v>
      </c>
      <c r="J8740" s="13" t="n">
        <f aca="false">Sens!$F$8740+(g_os-Sens!$F$8740)*3/4</f>
        <v>0.0620095533960735</v>
      </c>
      <c r="K8740" s="13" t="n">
        <f aca="false">Sens!$F$8740+(g_os-Sens!$F$8740)*4/4</f>
        <v>0.05</v>
      </c>
      <c r="L8740" s="13" t="n">
        <f aca="false">g_os</f>
        <v>0.05</v>
      </c>
      <c r="M8740" s="13" t="n">
        <f aca="false">g_os</f>
        <v>0.05</v>
      </c>
      <c r="P8740" s="8" t="s">
        <v>663</v>
      </c>
    </row>
    <row r="8741" customFormat="false" ht="17.15" hidden="false" customHeight="false" outlineLevel="0" collapsed="false">
      <c r="A8741" s="0" t="s">
        <v>517</v>
      </c>
      <c r="B8741" s="0" t="s">
        <v>86</v>
      </c>
      <c r="C8741" s="38" t="n">
        <f aca="false">Q!$D$11</f>
        <v>21.215</v>
      </c>
      <c r="D8741" s="38" t="n">
        <f aca="false">Q!$E$11</f>
        <v>22.561</v>
      </c>
      <c r="E8741" s="38" t="n">
        <f aca="false">Q!$P$11</f>
        <v>11.579</v>
      </c>
      <c r="F8741" s="38" t="n">
        <f aca="false">Sens!$O$8741*(1+Sens!$F$8742)*Sens!$F$8751</f>
        <v>11.5938724610325</v>
      </c>
      <c r="G8741" s="38" t="n">
        <f aca="false">Sens!$E$8741+Sens!$F$8741</f>
        <v>23.1728724610325</v>
      </c>
      <c r="H8741" s="38" t="n">
        <f aca="false">Sens!$G$8741*(1+Sens!$H$8742)</f>
        <v>24.353392759506</v>
      </c>
      <c r="I8741" s="38" t="n">
        <f aca="false">Sens!$H$8741*(1+Sens!$I$8742)</f>
        <v>25.4240338872015</v>
      </c>
      <c r="J8741" s="38" t="n">
        <f aca="false">Sens!$I$8741*(1+Sens!$J$8742)</f>
        <v>26.3642491017174</v>
      </c>
      <c r="K8741" s="38" t="n">
        <f aca="false">Sens!$J$8741*(1+Sens!$K$8742)</f>
        <v>27.155176574769</v>
      </c>
      <c r="L8741" s="38" t="n">
        <f aca="false">Sens!$K$8741*(1+Sens!$L$8742)</f>
        <v>27.969831872012</v>
      </c>
      <c r="M8741" s="38" t="n">
        <f aca="false">Sens!$L$8741*(1+Sens!$M$8742)</f>
        <v>28.8089268281724</v>
      </c>
      <c r="N8741" s="38" t="n">
        <f aca="false">Q!$N$11</f>
        <v>11.128</v>
      </c>
      <c r="O8741" s="38" t="n">
        <f aca="false">Q!$O$11</f>
        <v>11.433</v>
      </c>
      <c r="P8741" s="8" t="s">
        <v>661</v>
      </c>
    </row>
    <row r="8742" customFormat="false" ht="17.15" hidden="false" customHeight="false" outlineLevel="0" collapsed="false">
      <c r="A8742" s="0" t="s">
        <v>664</v>
      </c>
      <c r="B8742" s="0" t="s">
        <v>52</v>
      </c>
      <c r="E8742" s="13" t="n">
        <f aca="false">Sens!$E$8741/Sens!$N$8741-1</f>
        <v>0.0405283968368082</v>
      </c>
      <c r="F8742" s="13" t="n">
        <f aca="false">Sens!$O$8741/(Q!$F$11+Q!$G$11)-1</f>
        <v>0.0579254187100955</v>
      </c>
      <c r="G8742" s="13" t="n">
        <f aca="false">Sens!$G$8741/Sens!$D$8741-1</f>
        <v>0.0271208040881397</v>
      </c>
      <c r="H8742" s="13" t="n">
        <f aca="false">Sens!$F$8742+(g_ps-Sens!$F$8742)*1/4</f>
        <v>0.0509440640325716</v>
      </c>
      <c r="I8742" s="13" t="n">
        <f aca="false">Sens!$F$8742+(g_ps-Sens!$F$8742)*2/4</f>
        <v>0.0439627093550477</v>
      </c>
      <c r="J8742" s="13" t="n">
        <f aca="false">Sens!$F$8742+(g_ps-Sens!$F$8742)*3/4</f>
        <v>0.0369813546775239</v>
      </c>
      <c r="K8742" s="13" t="n">
        <f aca="false">Sens!$F$8742+(g_ps-Sens!$F$8742)*4/4</f>
        <v>0.03</v>
      </c>
      <c r="L8742" s="13" t="n">
        <f aca="false">g_ps</f>
        <v>0.03</v>
      </c>
      <c r="M8742" s="13" t="n">
        <f aca="false">g_ps</f>
        <v>0.03</v>
      </c>
      <c r="P8742" s="8" t="s">
        <v>665</v>
      </c>
    </row>
    <row r="8743" customFormat="false" ht="17.15" hidden="false" customHeight="false" outlineLevel="0" collapsed="false">
      <c r="A8743" s="0" t="s">
        <v>518</v>
      </c>
      <c r="B8743" s="0" t="s">
        <v>86</v>
      </c>
      <c r="C8743" s="38" t="n">
        <f aca="false">Q!$D$12</f>
        <v>156.146</v>
      </c>
      <c r="D8743" s="38" t="n">
        <f aca="false">Q!$E$12</f>
        <v>172.162</v>
      </c>
      <c r="E8743" s="38" t="n">
        <f aca="false">Q!$P$12</f>
        <v>88.358</v>
      </c>
      <c r="F8743" s="38" t="n">
        <f aca="false">Sens!$O$8743*(1+Sens!$F$8744)*Sens!$F$8751</f>
        <v>102.004388260171</v>
      </c>
      <c r="G8743" s="38" t="n">
        <f aca="false">Sens!$E$8743+Sens!$F$8743</f>
        <v>190.362388260171</v>
      </c>
      <c r="H8743" s="38" t="n">
        <f aca="false">Sens!$G$8743*(1+Sens!$H$8744)</f>
        <v>210.343106588311</v>
      </c>
      <c r="I8743" s="38" t="n">
        <f aca="false">Sens!$H$8743*(1+Sens!$I$8744)</f>
        <v>229.969728494648</v>
      </c>
      <c r="J8743" s="38" t="n">
        <f aca="false">Sens!$I$8743*(1+Sens!$J$8744)</f>
        <v>248.747636972598</v>
      </c>
      <c r="K8743" s="38" t="n">
        <f aca="false">Sens!$J$8743*(1+Sens!$K$8744)</f>
        <v>266.15997156068</v>
      </c>
      <c r="L8743" s="38" t="n">
        <f aca="false">Sens!$K$8743*(1+Sens!$L$8744)</f>
        <v>284.791169569927</v>
      </c>
      <c r="M8743" s="38" t="n">
        <f aca="false">Sens!$L$8743*(1+Sens!$M$8744)</f>
        <v>304.726551439822</v>
      </c>
      <c r="N8743" s="38" t="n">
        <f aca="false">Q!$N$12</f>
        <v>76.86</v>
      </c>
      <c r="O8743" s="38" t="n">
        <f aca="false">Q!$O$12</f>
        <v>95.302</v>
      </c>
      <c r="P8743" s="8" t="s">
        <v>661</v>
      </c>
    </row>
    <row r="8744" customFormat="false" ht="17.15" hidden="false" customHeight="false" outlineLevel="0" collapsed="false">
      <c r="A8744" s="0" t="s">
        <v>666</v>
      </c>
      <c r="B8744" s="0" t="s">
        <v>52</v>
      </c>
      <c r="E8744" s="13" t="n">
        <f aca="false">Sens!$E$8743/Sens!$N$8743-1</f>
        <v>0.1495966692688</v>
      </c>
      <c r="F8744" s="13" t="n">
        <f aca="false">Sens!$O$8743/(Q!$F$12+Q!$G$12)-1</f>
        <v>0.11661530890813</v>
      </c>
      <c r="G8744" s="13" t="n">
        <f aca="false">Sens!$G$8743/Sens!$D$8743-1</f>
        <v>0.105716640490767</v>
      </c>
      <c r="H8744" s="13" t="n">
        <f aca="false">Sens!$F$8744+(g_sp-Sens!$F$8744)*1/4</f>
        <v>0.104961481681098</v>
      </c>
      <c r="I8744" s="13" t="n">
        <f aca="false">Sens!$F$8744+(g_sp-Sens!$F$8744)*2/4</f>
        <v>0.0933076544540651</v>
      </c>
      <c r="J8744" s="13" t="n">
        <f aca="false">Sens!$F$8744+(g_sp-Sens!$F$8744)*3/4</f>
        <v>0.0816538272270325</v>
      </c>
      <c r="K8744" s="13" t="n">
        <f aca="false">Sens!$F$8744+(g_sp-Sens!$F$8744)*4/4</f>
        <v>0.07</v>
      </c>
      <c r="L8744" s="13" t="n">
        <f aca="false">g_sp</f>
        <v>0.07</v>
      </c>
      <c r="M8744" s="13" t="n">
        <f aca="false">g_sp</f>
        <v>0.07</v>
      </c>
      <c r="P8744" s="8" t="s">
        <v>667</v>
      </c>
    </row>
    <row r="8745" customFormat="false" ht="17.15" hidden="false" customHeight="false" outlineLevel="0" collapsed="false">
      <c r="A8745" s="0" t="s">
        <v>519</v>
      </c>
      <c r="B8745" s="0" t="s">
        <v>86</v>
      </c>
      <c r="C8745" s="38" t="n">
        <f aca="false">Q!$D$13</f>
        <v>56.214</v>
      </c>
      <c r="D8745" s="38" t="n">
        <f aca="false">Q!$E$13</f>
        <v>68.635</v>
      </c>
      <c r="E8745" s="38" t="n">
        <f aca="false">Q!$P$13</f>
        <v>37.052</v>
      </c>
      <c r="F8745" s="38" t="n">
        <f aca="false">Sens!$O$8745*(1+Sens!$F$8746)*Sens!$F$8751</f>
        <v>46.1572219944148</v>
      </c>
      <c r="G8745" s="38" t="n">
        <f aca="false">Sens!$E$8745+Sens!$F$8745</f>
        <v>83.2092219944148</v>
      </c>
      <c r="H8745" s="38" t="n">
        <f aca="false">Sens!$G$8745*(1+Sens!$H$8746)</f>
        <v>99.8969223878976</v>
      </c>
      <c r="I8745" s="38" t="n">
        <f aca="false">Sens!$H$8745*(1+Sens!$I$8746)</f>
        <v>116.583111095496</v>
      </c>
      <c r="J8745" s="38" t="n">
        <f aca="false">Sens!$I$8745*(1+Sens!$J$8746)</f>
        <v>132.148941941952</v>
      </c>
      <c r="K8745" s="38" t="n">
        <f aca="false">Sens!$J$8745*(1+Sens!$K$8746)</f>
        <v>145.363836136147</v>
      </c>
      <c r="L8745" s="38" t="n">
        <f aca="false">Sens!$K$8745*(1+Sens!$L$8746)</f>
        <v>159.900219749762</v>
      </c>
      <c r="M8745" s="38" t="n">
        <f aca="false">Sens!$L$8745*(1+Sens!$M$8746)</f>
        <v>175.890241724738</v>
      </c>
      <c r="N8745" s="38" t="n">
        <f aca="false">Q!$N$13</f>
        <v>29.615</v>
      </c>
      <c r="O8745" s="38" t="n">
        <f aca="false">Q!$O$13</f>
        <v>39.02</v>
      </c>
      <c r="P8745" s="8" t="s">
        <v>661</v>
      </c>
    </row>
    <row r="8746" customFormat="false" ht="17.15" hidden="false" customHeight="false" outlineLevel="0" collapsed="false">
      <c r="A8746" s="0" t="s">
        <v>668</v>
      </c>
      <c r="B8746" s="0" t="s">
        <v>52</v>
      </c>
      <c r="E8746" s="13" t="n">
        <f aca="false">Sens!$E$8745/Sens!$N$8745-1</f>
        <v>0.25112274185379</v>
      </c>
      <c r="F8746" s="13" t="n">
        <f aca="false">Sens!$O$8745/(Q!$F$13+Q!$G$13)-1</f>
        <v>0.234068123596572</v>
      </c>
      <c r="G8746" s="13" t="n">
        <f aca="false">Sens!$G$8745/Sens!$D$8745-1</f>
        <v>0.212343876949294</v>
      </c>
      <c r="H8746" s="13" t="n">
        <f aca="false">Sens!$F$8746+(g_ad-Sens!$F$8746)*1/4</f>
        <v>0.200551092697429</v>
      </c>
      <c r="I8746" s="13" t="n">
        <f aca="false">Sens!$F$8746+(g_ad-Sens!$F$8746)*2/4</f>
        <v>0.167034061798286</v>
      </c>
      <c r="J8746" s="13" t="n">
        <f aca="false">Sens!$F$8746+(g_ad-Sens!$F$8746)*3/4</f>
        <v>0.133517030899143</v>
      </c>
      <c r="K8746" s="13" t="n">
        <f aca="false">Sens!$F$8746+(g_ad-Sens!$F$8746)*4/4</f>
        <v>0.1</v>
      </c>
      <c r="L8746" s="13" t="n">
        <f aca="false">g_ad</f>
        <v>0.1</v>
      </c>
      <c r="M8746" s="13" t="n">
        <f aca="false">g_ad</f>
        <v>0.1</v>
      </c>
      <c r="P8746" s="8" t="s">
        <v>669</v>
      </c>
    </row>
    <row r="8747" customFormat="false" ht="17.15" hidden="false" customHeight="false" outlineLevel="0" collapsed="false">
      <c r="A8747" s="0" t="s">
        <v>520</v>
      </c>
      <c r="B8747" s="0" t="s">
        <v>86</v>
      </c>
      <c r="C8747" s="38" t="n">
        <f aca="false">Q!$D$14</f>
        <v>44.374</v>
      </c>
      <c r="D8747" s="38" t="n">
        <f aca="false">Q!$E$14</f>
        <v>49.619</v>
      </c>
      <c r="E8747" s="38" t="n">
        <f aca="false">Q!$P$14</f>
        <v>27.157</v>
      </c>
      <c r="F8747" s="38" t="n">
        <f aca="false">Sens!$O$8747*(1+Sens!$F$8748)*Sens!$F$8751</f>
        <v>27.7764165988154</v>
      </c>
      <c r="G8747" s="38" t="n">
        <f aca="false">Sens!$E$8747+Sens!$F$8747</f>
        <v>54.9334165988154</v>
      </c>
      <c r="H8747" s="38" t="n">
        <f aca="false">Sens!$G$8747*(1+Sens!$H$8748)</f>
        <v>61.1564112561829</v>
      </c>
      <c r="I8747" s="38" t="n">
        <f aca="false">Sens!$H$8747*(1+Sens!$I$8748)</f>
        <v>67.2020282103945</v>
      </c>
      <c r="J8747" s="38" t="n">
        <f aca="false">Sens!$I$8747*(1+Sens!$J$8748)</f>
        <v>72.8757274028885</v>
      </c>
      <c r="K8747" s="38" t="n">
        <f aca="false">Sens!$J$8747*(1+Sens!$K$8748)</f>
        <v>77.9770283210907</v>
      </c>
      <c r="L8747" s="38" t="n">
        <f aca="false">Sens!$K$8747*(1+Sens!$L$8748)</f>
        <v>83.4354203035671</v>
      </c>
      <c r="M8747" s="38" t="n">
        <f aca="false">Sens!$L$8747*(1+Sens!$M$8748)</f>
        <v>89.2758997248168</v>
      </c>
      <c r="N8747" s="38" t="n">
        <f aca="false">Q!$N$14</f>
        <v>23.923</v>
      </c>
      <c r="O8747" s="38" t="n">
        <f aca="false">Q!$O$14</f>
        <v>25.696</v>
      </c>
      <c r="P8747" s="8" t="s">
        <v>661</v>
      </c>
    </row>
    <row r="8748" customFormat="false" ht="17.15" hidden="false" customHeight="false" outlineLevel="0" collapsed="false">
      <c r="A8748" s="0" t="s">
        <v>670</v>
      </c>
      <c r="B8748" s="0" t="s">
        <v>52</v>
      </c>
      <c r="E8748" s="13" t="n">
        <f aca="false">Sens!$E$8747/Sens!$N$8747-1</f>
        <v>0.135183714417088</v>
      </c>
      <c r="F8748" s="13" t="n">
        <f aca="false">Sens!$O$8747/(Q!$F$14+Q!$G$14)-1</f>
        <v>0.127709997366804</v>
      </c>
      <c r="G8748" s="13" t="n">
        <f aca="false">Sens!$G$8747/Sens!$D$8747-1</f>
        <v>0.107104468022641</v>
      </c>
      <c r="H8748" s="13" t="n">
        <f aca="false">Sens!$F$8748+(g_sub-Sens!$F$8748)*1/4</f>
        <v>0.113282498025103</v>
      </c>
      <c r="I8748" s="13" t="n">
        <f aca="false">Sens!$F$8748+(g_sub-Sens!$F$8748)*2/4</f>
        <v>0.0988549986834021</v>
      </c>
      <c r="J8748" s="13" t="n">
        <f aca="false">Sens!$F$8748+(g_sub-Sens!$F$8748)*3/4</f>
        <v>0.084427499341701</v>
      </c>
      <c r="K8748" s="13" t="n">
        <f aca="false">Sens!$F$8748+(g_sub-Sens!$F$8748)*4/4</f>
        <v>0.07</v>
      </c>
      <c r="L8748" s="13" t="n">
        <f aca="false">g_sub</f>
        <v>0.07</v>
      </c>
      <c r="M8748" s="13" t="n">
        <f aca="false">g_sub</f>
        <v>0.07</v>
      </c>
      <c r="P8748" s="8" t="s">
        <v>671</v>
      </c>
    </row>
    <row r="8749" customFormat="false" ht="17.15" hidden="false" customHeight="false" outlineLevel="0" collapsed="false">
      <c r="A8749" s="0" t="s">
        <v>521</v>
      </c>
      <c r="B8749" s="0" t="s">
        <v>86</v>
      </c>
      <c r="C8749" s="38" t="n">
        <f aca="false">Q!$D$15</f>
        <v>5.425</v>
      </c>
      <c r="D8749" s="38" t="n">
        <f aca="false">Q!$E$15</f>
        <v>5.935</v>
      </c>
      <c r="E8749" s="38" t="n">
        <f aca="false">Q!$P$15</f>
        <v>3.474</v>
      </c>
      <c r="F8749" s="38" t="n">
        <f aca="false">Sens!$O$8749*(1+Sens!$F$8750)*Sens!$F$8751</f>
        <v>3.22246550883619</v>
      </c>
      <c r="G8749" s="38" t="n">
        <f aca="false">Sens!$E$8749+Sens!$F$8749</f>
        <v>6.69646550883619</v>
      </c>
      <c r="H8749" s="38" t="n">
        <f aca="false">Sens!$G$8749*(1+Sens!$H$8750)</f>
        <v>7.16251344209196</v>
      </c>
      <c r="I8749" s="38" t="n">
        <f aca="false">Sens!$H$8749*(1+Sens!$I$8750)</f>
        <v>7.61421070299826</v>
      </c>
      <c r="J8749" s="38" t="n">
        <f aca="false">Sens!$I$8749*(1+Sens!$J$8750)</f>
        <v>8.04465753523932</v>
      </c>
      <c r="K8749" s="38" t="n">
        <f aca="false">Sens!$J$8749*(1+Sens!$K$8750)</f>
        <v>8.44689041200128</v>
      </c>
      <c r="L8749" s="38" t="n">
        <f aca="false">Sens!$K$8749*(1+Sens!$L$8750)</f>
        <v>8.86923493260135</v>
      </c>
      <c r="M8749" s="38" t="n">
        <f aca="false">Sens!$L$8749*(1+Sens!$M$8750)</f>
        <v>9.31269667923142</v>
      </c>
      <c r="N8749" s="38" t="n">
        <f aca="false">Q!$N$15</f>
        <v>2.811</v>
      </c>
      <c r="O8749" s="38" t="n">
        <f aca="false">Q!$O$15</f>
        <v>3.124</v>
      </c>
      <c r="P8749" s="8" t="s">
        <v>661</v>
      </c>
    </row>
    <row r="8750" customFormat="false" ht="17.15" hidden="false" customHeight="false" outlineLevel="0" collapsed="false">
      <c r="A8750" s="0" t="s">
        <v>672</v>
      </c>
      <c r="B8750" s="0" t="s">
        <v>52</v>
      </c>
      <c r="E8750" s="13" t="n">
        <f aca="false">Sens!$E$8749/Sens!$N$8749-1</f>
        <v>0.235859124866596</v>
      </c>
      <c r="F8750" s="13" t="n">
        <f aca="false">Sens!$O$8749/(Q!$F$15+Q!$G$15)-1</f>
        <v>0.0761281433000345</v>
      </c>
      <c r="G8750" s="13" t="n">
        <f aca="false">Sens!$G$8749/Sens!$D$8749-1</f>
        <v>0.128300843948811</v>
      </c>
      <c r="H8750" s="13" t="n">
        <f aca="false">Sens!$F$8750+(g_ot-Sens!$F$8750)*1/4</f>
        <v>0.0695961074750259</v>
      </c>
      <c r="I8750" s="13" t="n">
        <f aca="false">Sens!$F$8750+(g_ot-Sens!$F$8750)*2/4</f>
        <v>0.0630640716500172</v>
      </c>
      <c r="J8750" s="13" t="n">
        <f aca="false">Sens!$F$8750+(g_ot-Sens!$F$8750)*3/4</f>
        <v>0.0565320358250086</v>
      </c>
      <c r="K8750" s="13" t="n">
        <f aca="false">Sens!$F$8750+(g_ot-Sens!$F$8750)*4/4</f>
        <v>0.05</v>
      </c>
      <c r="L8750" s="13" t="n">
        <f aca="false">g_ot</f>
        <v>0.05</v>
      </c>
      <c r="M8750" s="13" t="n">
        <f aca="false">g_ot</f>
        <v>0.05</v>
      </c>
      <c r="P8750" s="8" t="s">
        <v>673</v>
      </c>
    </row>
    <row r="8751" customFormat="false" ht="17.15" hidden="false" customHeight="false" outlineLevel="0" collapsed="false">
      <c r="A8751" s="0" t="s">
        <v>674</v>
      </c>
      <c r="B8751" s="0" t="s">
        <v>57</v>
      </c>
      <c r="F8751" s="40" t="n">
        <f aca="false">(g26q3_mid*Q!$O$8/Q!$J$8-Sens!$F$8780-Sens!$F$8784)/(Sens!$O$8739*(1+Sens!$F$8740)+Sens!$O$8741*(1+Sens!$F$8742)+Sens!$O$8743*(1+Sens!$F$8744)+Sens!$O$8745*(1+Sens!$F$8746)+Sens!$O$8747*(1+Sens!$F$8748)+Sens!$O$8749*(1+Sens!$F$8750))</f>
        <v>0.958546670622329</v>
      </c>
      <c r="P8751" s="8" t="s">
        <v>675</v>
      </c>
    </row>
    <row r="8752" customFormat="false" ht="17.15" hidden="false" customHeight="false" outlineLevel="0" collapsed="false">
      <c r="A8752" s="3" t="s">
        <v>676</v>
      </c>
      <c r="B8752" s="8" t="s">
        <v>86</v>
      </c>
      <c r="C8752" s="38" t="n">
        <f aca="false">Sens!$C$8739+Sens!$C$8741+Sens!$C$8743+Sens!$C$8745+Sens!$C$8747+Sens!$C$8749</f>
        <v>530.403</v>
      </c>
      <c r="D8752" s="38" t="n">
        <f aca="false">Sens!$D$8739+Sens!$D$8741+Sens!$D$8743+Sens!$D$8745+Sens!$D$8747+Sens!$D$8749</f>
        <v>588.199</v>
      </c>
      <c r="E8752" s="38" t="n">
        <f aca="false">Sens!$E$8739+Sens!$E$8741+Sens!$E$8743+Sens!$E$8745+Sens!$E$8747+Sens!$E$8749</f>
        <v>302.306</v>
      </c>
      <c r="F8752" s="38" t="n">
        <f aca="false">Sens!$F$8739+Sens!$F$8741+Sens!$F$8743+Sens!$F$8745+Sens!$F$8747+Sens!$F$8749</f>
        <v>349.048241645537</v>
      </c>
      <c r="G8752" s="38" t="n">
        <f aca="false">Sens!$G$8739+Sens!$G$8741+Sens!$G$8743+Sens!$G$8745+Sens!$G$8747+Sens!$G$8749</f>
        <v>651.354241645537</v>
      </c>
      <c r="H8752" s="38" t="n">
        <f aca="false">Sens!$H$8739+Sens!$H$8741+Sens!$H$8743+Sens!$H$8745+Sens!$H$8747+Sens!$H$8749</f>
        <v>721.096889521386</v>
      </c>
      <c r="I8752" s="38" t="n">
        <f aca="false">Sens!$I$8739+Sens!$I$8741+Sens!$I$8743+Sens!$I$8745+Sens!$I$8747+Sens!$I$8749</f>
        <v>788.529391152531</v>
      </c>
      <c r="J8752" s="38" t="n">
        <f aca="false">Sens!$J$8739+Sens!$J$8741+Sens!$J$8743+Sens!$J$8745+Sens!$J$8747+Sens!$J$8749</f>
        <v>851.108405741443</v>
      </c>
      <c r="K8752" s="38" t="n">
        <f aca="false">Sens!$K$8739+Sens!$K$8741+Sens!$K$8743+Sens!$K$8745+Sens!$K$8747+Sens!$K$8749</f>
        <v>906.176455431088</v>
      </c>
      <c r="L8752" s="38" t="n">
        <f aca="false">Sens!$L$8739+Sens!$L$8741+Sens!$L$8743+Sens!$L$8745+Sens!$L$8747+Sens!$L$8749</f>
        <v>965.093106475589</v>
      </c>
      <c r="M8752" s="38" t="n">
        <f aca="false">Sens!$M$8739+Sens!$M$8741+Sens!$M$8743+Sens!$M$8745+Sens!$M$8747+Sens!$M$8749</f>
        <v>1028.14790794689</v>
      </c>
      <c r="N8752" s="38" t="n">
        <f aca="false">Sens!$N$8739+Sens!$N$8741+Sens!$N$8743+Sens!$N$8745+Sens!$N$8747+Sens!$N$8749</f>
        <v>263.229</v>
      </c>
      <c r="O8752" s="38" t="n">
        <f aca="false">Sens!$O$8739+Sens!$O$8741+Sens!$O$8743+Sens!$O$8745+Sens!$O$8747+Sens!$O$8749</f>
        <v>324.97</v>
      </c>
    </row>
    <row r="8753" customFormat="false" ht="17.15" hidden="false" customHeight="false" outlineLevel="0" collapsed="false">
      <c r="A8753" s="5" t="s">
        <v>677</v>
      </c>
      <c r="B8753" s="0" t="s">
        <v>52</v>
      </c>
      <c r="C8753" s="13" t="n">
        <f aca="false">Q!$D$5/(Q!$D$5+Q!$D$6)</f>
        <v>0.730570905519011</v>
      </c>
      <c r="D8753" s="13" t="n">
        <f aca="false">Q!$E$5/(Q!$E$5+Q!$E$6)</f>
        <v>0.724763217890544</v>
      </c>
      <c r="E8753" s="13" t="n">
        <f aca="false">Q!$P$5/(Q!$P$5+Q!$P$6)</f>
        <v>0.728797972914861</v>
      </c>
      <c r="F8753" s="13" t="n">
        <f aca="false">Sens!$O$8753</f>
        <v>0.718066283041511</v>
      </c>
      <c r="G8753" s="13" t="n">
        <f aca="false">Sens!$G$8754/Sens!$G$8752</f>
        <v>0.723047066202847</v>
      </c>
      <c r="H8753" s="13" t="n">
        <f aca="false">Sens!$G$8753</f>
        <v>0.723047066202847</v>
      </c>
      <c r="I8753" s="13" t="n">
        <f aca="false">Sens!$G$8753</f>
        <v>0.723047066202847</v>
      </c>
      <c r="J8753" s="13" t="n">
        <f aca="false">Sens!$G$8753</f>
        <v>0.723047066202847</v>
      </c>
      <c r="K8753" s="13" t="n">
        <f aca="false">Sens!$G$8753</f>
        <v>0.723047066202847</v>
      </c>
      <c r="L8753" s="13" t="n">
        <f aca="false">Sens!$G$8753</f>
        <v>0.723047066202847</v>
      </c>
      <c r="M8753" s="13" t="n">
        <f aca="false">Sens!$G$8753</f>
        <v>0.723047066202847</v>
      </c>
      <c r="N8753" s="13" t="n">
        <f aca="false">Q!$N$5/(Q!$N$5+Q!$N$6)</f>
        <v>0.733030935041352</v>
      </c>
      <c r="O8753" s="13" t="n">
        <f aca="false">Q!$O$5/(Q!$O$5+Q!$O$6)</f>
        <v>0.718066283041511</v>
      </c>
      <c r="P8753" s="8" t="s">
        <v>678</v>
      </c>
    </row>
    <row r="8754" customFormat="false" ht="17.15" hidden="false" customHeight="false" outlineLevel="0" collapsed="false">
      <c r="A8754" s="1" t="s">
        <v>509</v>
      </c>
      <c r="B8754" s="8" t="s">
        <v>86</v>
      </c>
      <c r="C8754" s="38" t="n">
        <f aca="false">Q!$D$5</f>
        <v>387.497</v>
      </c>
      <c r="D8754" s="38" t="n">
        <f aca="false">Q!$E$5</f>
        <v>426.305</v>
      </c>
      <c r="E8754" s="38" t="n">
        <f aca="false">Q!$P$5</f>
        <v>220.32</v>
      </c>
      <c r="F8754" s="38" t="n">
        <f aca="false">Sens!$F$8752*Sens!$F$8753</f>
        <v>250.639773480586</v>
      </c>
      <c r="G8754" s="38" t="n">
        <f aca="false">Sens!$E$8754+Sens!$F$8754</f>
        <v>470.959773480586</v>
      </c>
      <c r="H8754" s="38" t="n">
        <f aca="false">Sens!$H$8752*Sens!$H$8753</f>
        <v>521.386990416437</v>
      </c>
      <c r="I8754" s="38" t="n">
        <f aca="false">Sens!$I$8752*Sens!$I$8753</f>
        <v>570.143862887555</v>
      </c>
      <c r="J8754" s="38" t="n">
        <f aca="false">Sens!$J$8752*Sens!$J$8753</f>
        <v>615.391435791933</v>
      </c>
      <c r="K8754" s="38" t="n">
        <f aca="false">Sens!$K$8752*Sens!$K$8753</f>
        <v>655.208227561543</v>
      </c>
      <c r="L8754" s="38" t="n">
        <f aca="false">Sens!$L$8752*Sens!$L$8753</f>
        <v>697.807739249767</v>
      </c>
      <c r="M8754" s="38" t="n">
        <f aca="false">Sens!$M$8752*Sens!$M$8753</f>
        <v>743.399328463592</v>
      </c>
      <c r="N8754" s="38" t="n">
        <f aca="false">Q!$N$5</f>
        <v>192.955</v>
      </c>
      <c r="O8754" s="38" t="n">
        <f aca="false">Q!$O$5</f>
        <v>233.35</v>
      </c>
      <c r="P8754" s="5" t="s">
        <v>679</v>
      </c>
    </row>
    <row r="8755" customFormat="false" ht="17.15" hidden="false" customHeight="false" outlineLevel="0" collapsed="false">
      <c r="A8755" s="1" t="s">
        <v>512</v>
      </c>
      <c r="B8755" s="8" t="s">
        <v>86</v>
      </c>
      <c r="C8755" s="38" t="n">
        <f aca="false">Q!$D$6</f>
        <v>142.906</v>
      </c>
      <c r="D8755" s="38" t="n">
        <f aca="false">Q!$E$6</f>
        <v>161.894</v>
      </c>
      <c r="E8755" s="38" t="n">
        <f aca="false">Q!$P$6</f>
        <v>81.986</v>
      </c>
      <c r="F8755" s="38" t="n">
        <f aca="false">Sens!$F$8752*(1-Sens!$F$8753)</f>
        <v>98.408468164951</v>
      </c>
      <c r="G8755" s="38" t="n">
        <f aca="false">Sens!$E$8755+Sens!$F$8755</f>
        <v>180.394468164951</v>
      </c>
      <c r="H8755" s="38" t="n">
        <f aca="false">Sens!$H$8752*(1-Sens!$H$8753)</f>
        <v>199.709899104949</v>
      </c>
      <c r="I8755" s="38" t="n">
        <f aca="false">Sens!$I$8752*(1-Sens!$I$8753)</f>
        <v>218.385528264976</v>
      </c>
      <c r="J8755" s="38" t="n">
        <f aca="false">Sens!$J$8752*(1-Sens!$J$8753)</f>
        <v>235.71696994951</v>
      </c>
      <c r="K8755" s="38" t="n">
        <f aca="false">Sens!$K$8752*(1-Sens!$K$8753)</f>
        <v>250.968227869545</v>
      </c>
      <c r="L8755" s="38" t="n">
        <f aca="false">Sens!$L$8752*(1-Sens!$L$8753)</f>
        <v>267.285367225822</v>
      </c>
      <c r="M8755" s="38" t="n">
        <f aca="false">Sens!$M$8752*(1-Sens!$M$8753)</f>
        <v>284.748579483295</v>
      </c>
      <c r="N8755" s="38" t="n">
        <f aca="false">Q!$N$6</f>
        <v>70.274</v>
      </c>
      <c r="O8755" s="38" t="n">
        <f aca="false">Q!$O$6</f>
        <v>91.62</v>
      </c>
      <c r="P8755" s="5" t="s">
        <v>680</v>
      </c>
    </row>
    <row r="8756" customFormat="false" ht="17.15" hidden="false" customHeight="false" outlineLevel="0" collapsed="false">
      <c r="A8756" s="5" t="s">
        <v>681</v>
      </c>
      <c r="B8756" s="0" t="s">
        <v>86</v>
      </c>
      <c r="C8756" s="38" t="n">
        <f aca="false">Sens!$C$8745*Sens!$C$8753</f>
        <v>41.0683128828457</v>
      </c>
      <c r="D8756" s="38" t="n">
        <f aca="false">Sens!$D$8745*Sens!$D$8753</f>
        <v>49.7441234599175</v>
      </c>
      <c r="E8756" s="38" t="n">
        <f aca="false">Sens!$E$8745*Sens!$E$8753</f>
        <v>27.0034224924414</v>
      </c>
      <c r="F8756" s="38" t="n">
        <f aca="false">Sens!$F$8745*Sens!$F$8753</f>
        <v>33.1439448330513</v>
      </c>
      <c r="G8756" s="38" t="n">
        <f aca="false">Sens!$G$8745*Sens!$G$8753</f>
        <v>60.164183844083</v>
      </c>
      <c r="H8756" s="38" t="n">
        <f aca="false">Sens!$H$8745*Sens!$H$8753</f>
        <v>72.2301766552629</v>
      </c>
      <c r="I8756" s="38" t="n">
        <f aca="false">Sens!$I$8745*Sens!$I$8753</f>
        <v>84.2950764463991</v>
      </c>
      <c r="J8756" s="38" t="n">
        <f aca="false">Sens!$J$8745*Sens!$J$8753</f>
        <v>95.5499047729386</v>
      </c>
      <c r="K8756" s="38" t="n">
        <f aca="false">Sens!$K$8745*Sens!$K$8753</f>
        <v>105.104895250232</v>
      </c>
      <c r="L8756" s="38" t="n">
        <f aca="false">Sens!$L$8745*Sens!$L$8753</f>
        <v>115.615384775256</v>
      </c>
      <c r="M8756" s="38" t="n">
        <f aca="false">Sens!$M$8745*Sens!$M$8753</f>
        <v>127.176923252781</v>
      </c>
      <c r="N8756" s="38" t="n">
        <f aca="false">Sens!$N$8745*Sens!$N$8753</f>
        <v>21.7087111412496</v>
      </c>
      <c r="O8756" s="38" t="n">
        <f aca="false">Sens!$O$8745*Sens!$O$8753</f>
        <v>28.0189463642798</v>
      </c>
      <c r="P8756" s="5" t="s">
        <v>682</v>
      </c>
    </row>
    <row r="8757" customFormat="false" ht="15" hidden="false" customHeight="false" outlineLevel="0" collapsed="false">
      <c r="A8757" s="5" t="s">
        <v>683</v>
      </c>
      <c r="B8757" s="0" t="s">
        <v>86</v>
      </c>
      <c r="C8757" s="38" t="n">
        <f aca="false">Sens!$C$8745-Sens!$C$8756</f>
        <v>15.1456871171543</v>
      </c>
      <c r="D8757" s="38" t="n">
        <f aca="false">Sens!$D$8745-Sens!$D$8756</f>
        <v>18.8908765400825</v>
      </c>
      <c r="E8757" s="38" t="n">
        <f aca="false">Sens!$E$8745-Sens!$E$8756</f>
        <v>10.0485775075586</v>
      </c>
      <c r="F8757" s="38" t="n">
        <f aca="false">Sens!$F$8745-Sens!$F$8756</f>
        <v>13.0132771613635</v>
      </c>
      <c r="G8757" s="38" t="n">
        <f aca="false">Sens!$G$8745-Sens!$G$8756</f>
        <v>23.0450381503318</v>
      </c>
      <c r="H8757" s="38" t="n">
        <f aca="false">Sens!$H$8745-Sens!$H$8756</f>
        <v>27.6667457326347</v>
      </c>
      <c r="I8757" s="38" t="n">
        <f aca="false">Sens!$I$8745-Sens!$I$8756</f>
        <v>32.2880346490971</v>
      </c>
      <c r="J8757" s="38" t="n">
        <f aca="false">Sens!$J$8745-Sens!$J$8756</f>
        <v>36.5990371690132</v>
      </c>
      <c r="K8757" s="38" t="n">
        <f aca="false">Sens!$K$8745-Sens!$K$8756</f>
        <v>40.2589408859145</v>
      </c>
      <c r="L8757" s="38" t="n">
        <f aca="false">Sens!$L$8745-Sens!$L$8756</f>
        <v>44.2848349745059</v>
      </c>
      <c r="M8757" s="38" t="n">
        <f aca="false">Sens!$M$8745-Sens!$M$8756</f>
        <v>48.7133184719565</v>
      </c>
      <c r="N8757" s="38" t="n">
        <f aca="false">Sens!$N$8745-Sens!$N$8756</f>
        <v>7.90628885875037</v>
      </c>
      <c r="O8757" s="38" t="n">
        <f aca="false">Sens!$O$8745-Sens!$O$8756</f>
        <v>11.0010536357202</v>
      </c>
    </row>
    <row r="8758" customFormat="false" ht="19.4" hidden="false" customHeight="false" outlineLevel="0" collapsed="false">
      <c r="A8758" s="31" t="s">
        <v>1308</v>
      </c>
    </row>
    <row r="8759" customFormat="false" ht="17.15" hidden="false" customHeight="false" outlineLevel="0" collapsed="false">
      <c r="A8759" s="6" t="s">
        <v>16</v>
      </c>
      <c r="B8759" s="6" t="s">
        <v>17</v>
      </c>
      <c r="C8759" s="20" t="s">
        <v>494</v>
      </c>
      <c r="D8759" s="20" t="s">
        <v>495</v>
      </c>
      <c r="E8759" s="20" t="s">
        <v>577</v>
      </c>
      <c r="F8759" s="20" t="s">
        <v>578</v>
      </c>
      <c r="G8759" s="20" t="s">
        <v>579</v>
      </c>
      <c r="H8759" s="20" t="s">
        <v>580</v>
      </c>
      <c r="I8759" s="20" t="s">
        <v>581</v>
      </c>
      <c r="J8759" s="20" t="s">
        <v>582</v>
      </c>
      <c r="K8759" s="20" t="s">
        <v>583</v>
      </c>
      <c r="L8759" s="20" t="s">
        <v>584</v>
      </c>
      <c r="M8759" s="20" t="s">
        <v>585</v>
      </c>
      <c r="N8759" s="20" t="s">
        <v>586</v>
      </c>
      <c r="O8759" s="20" t="s">
        <v>587</v>
      </c>
      <c r="P8759" s="6" t="s">
        <v>23</v>
      </c>
      <c r="R8759" s="20" t="n">
        <v>2023</v>
      </c>
      <c r="S8759" s="20" t="n">
        <v>2024</v>
      </c>
      <c r="T8759" s="20" t="n">
        <v>2025</v>
      </c>
      <c r="U8759" s="20" t="n">
        <v>2026</v>
      </c>
      <c r="V8759" s="20" t="n">
        <v>2027</v>
      </c>
      <c r="W8759" s="20" t="n">
        <v>2028</v>
      </c>
      <c r="X8759" s="20" t="n">
        <v>2029</v>
      </c>
      <c r="Y8759" s="20" t="n">
        <v>2030</v>
      </c>
      <c r="Z8759" s="20" t="n">
        <v>2031</v>
      </c>
      <c r="AA8759" s="20" t="n">
        <v>2032</v>
      </c>
    </row>
    <row r="8760" customFormat="false" ht="17.15" hidden="false" customHeight="false" outlineLevel="0" collapsed="false">
      <c r="A8760" s="1" t="s">
        <v>588</v>
      </c>
    </row>
    <row r="8761" customFormat="false" ht="17.15" hidden="false" customHeight="false" outlineLevel="0" collapsed="false">
      <c r="A8761" s="5" t="s">
        <v>589</v>
      </c>
      <c r="B8761" s="0" t="s">
        <v>144</v>
      </c>
      <c r="H8761" s="32" t="n">
        <f aca="false">pace_B</f>
        <v>3634.3</v>
      </c>
      <c r="I8761" s="32" t="n">
        <f aca="false">pace_B</f>
        <v>3634.3</v>
      </c>
      <c r="J8761" s="32" t="n">
        <f aca="false">pace_B</f>
        <v>3634.3</v>
      </c>
      <c r="K8761" s="32" t="n">
        <f aca="false">pace_B+(Sens!$J$8762*tg_lo-pace_B)*1/3</f>
        <v>2521.53366666667</v>
      </c>
      <c r="L8761" s="32" t="n">
        <f aca="false">pace_B+(Sens!$J$8762*tg_lo-pace_B)*2/3</f>
        <v>1408.76733333333</v>
      </c>
      <c r="M8761" s="32" t="n">
        <f aca="false">pace_B+(Sens!$J$8762*tg_lo-pace_B)*3/3</f>
        <v>296.001</v>
      </c>
      <c r="P8761" s="5" t="s">
        <v>590</v>
      </c>
    </row>
    <row r="8762" customFormat="false" ht="17.15" hidden="false" customHeight="false" outlineLevel="0" collapsed="false">
      <c r="A8762" s="15" t="s">
        <v>591</v>
      </c>
      <c r="B8762" s="14" t="s">
        <v>129</v>
      </c>
      <c r="C8762" s="33" t="n">
        <f aca="false">mw_ye24</f>
        <v>360</v>
      </c>
      <c r="D8762" s="33" t="n">
        <f aca="false">mw_ye25</f>
        <v>1440</v>
      </c>
      <c r="E8762" s="33" t="n">
        <f aca="false">mw_open</f>
        <v>2080</v>
      </c>
      <c r="F8762" s="33" t="n">
        <f aca="false">Sens!$E$8762+pace_B*0.5</f>
        <v>3897.15</v>
      </c>
      <c r="G8762" s="33" t="n">
        <f aca="false">Sens!$F$8762</f>
        <v>3897.15</v>
      </c>
      <c r="H8762" s="33" t="n">
        <f aca="false">Sens!$G$8762+Sens!$H$8761</f>
        <v>7531.45</v>
      </c>
      <c r="I8762" s="33" t="n">
        <f aca="false">Sens!$H$8762+Sens!$I$8761</f>
        <v>11165.75</v>
      </c>
      <c r="J8762" s="33" t="n">
        <f aca="false">Sens!$I$8762+Sens!$J$8761</f>
        <v>14800.05</v>
      </c>
      <c r="K8762" s="33" t="n">
        <f aca="false">Sens!$J$8762+Sens!$K$8761</f>
        <v>17321.5836666667</v>
      </c>
      <c r="L8762" s="33" t="n">
        <f aca="false">Sens!$K$8762+Sens!$L$8761</f>
        <v>18730.351</v>
      </c>
      <c r="M8762" s="33" t="n">
        <f aca="false">Sens!$L$8762+Sens!$M$8761</f>
        <v>19026.352</v>
      </c>
      <c r="N8762" s="33" t="n">
        <f aca="false">(mw_ye24+mw_ye25)/2</f>
        <v>900</v>
      </c>
      <c r="O8762" s="33" t="n">
        <f aca="false">mw_ye25</f>
        <v>1440</v>
      </c>
      <c r="P8762" s="5" t="s">
        <v>592</v>
      </c>
    </row>
    <row r="8763" customFormat="false" ht="17.15" hidden="false" customHeight="false" outlineLevel="0" collapsed="false">
      <c r="A8763" s="5" t="s">
        <v>593</v>
      </c>
      <c r="B8763" s="0" t="s">
        <v>129</v>
      </c>
      <c r="C8763" s="32" t="n">
        <f aca="false">(mw_ye23+mw_ye24)/2</f>
        <v>240</v>
      </c>
      <c r="D8763" s="32" t="n">
        <f aca="false">(Sens!$C$8762+Sens!$D$8762)/2</f>
        <v>900</v>
      </c>
      <c r="E8763" s="32" t="n">
        <f aca="false">(Sens!$D$8762+Sens!$E$8762)/2</f>
        <v>1760</v>
      </c>
      <c r="F8763" s="32" t="n">
        <f aca="false">(Sens!$E$8762+Sens!$F$8762)/2</f>
        <v>2988.575</v>
      </c>
      <c r="G8763" s="32" t="n">
        <f aca="false">(Sens!$E$8763+Sens!$F$8763)/2</f>
        <v>2374.2875</v>
      </c>
      <c r="H8763" s="32" t="n">
        <f aca="false">(Sens!$G$8762+Sens!$H$8762)/2</f>
        <v>5714.3</v>
      </c>
      <c r="I8763" s="32" t="n">
        <f aca="false">(Sens!$H$8762+Sens!$I$8762)/2</f>
        <v>9348.6</v>
      </c>
      <c r="J8763" s="32" t="n">
        <f aca="false">(Sens!$I$8762+Sens!$J$8762)/2</f>
        <v>12982.9</v>
      </c>
      <c r="K8763" s="32" t="n">
        <f aca="false">(Sens!$J$8762+Sens!$K$8762)/2</f>
        <v>16060.8168333333</v>
      </c>
      <c r="L8763" s="32" t="n">
        <f aca="false">(Sens!$K$8762+Sens!$L$8762)/2</f>
        <v>18025.9673333333</v>
      </c>
      <c r="M8763" s="32" t="n">
        <f aca="false">(Sens!$L$8762+Sens!$M$8762)/2</f>
        <v>18878.3515</v>
      </c>
      <c r="N8763" s="32" t="n">
        <f aca="false">(Sens!$C$8762+Sens!$N$8762)/2</f>
        <v>630</v>
      </c>
      <c r="O8763" s="32" t="n">
        <f aca="false">(Sens!$N$8762+Sens!$O$8762)/2</f>
        <v>1170</v>
      </c>
    </row>
    <row r="8764" customFormat="false" ht="15" hidden="false" customHeight="false" outlineLevel="0" collapsed="false">
      <c r="A8764" s="5" t="s">
        <v>594</v>
      </c>
      <c r="B8764" s="5" t="s">
        <v>123</v>
      </c>
      <c r="C8764" s="34" t="n">
        <v>1</v>
      </c>
      <c r="D8764" s="34" t="n">
        <v>1</v>
      </c>
      <c r="E8764" s="34" t="n">
        <v>0.5</v>
      </c>
      <c r="F8764" s="34" t="n">
        <v>0.5</v>
      </c>
      <c r="G8764" s="34" t="n">
        <v>1</v>
      </c>
      <c r="H8764" s="34" t="n">
        <v>1</v>
      </c>
      <c r="I8764" s="34" t="n">
        <v>1</v>
      </c>
      <c r="J8764" s="34" t="n">
        <v>1</v>
      </c>
      <c r="K8764" s="34" t="n">
        <v>1</v>
      </c>
      <c r="L8764" s="34" t="n">
        <v>1</v>
      </c>
      <c r="M8764" s="34" t="n">
        <v>1</v>
      </c>
      <c r="N8764" s="34" t="n">
        <v>0.5</v>
      </c>
      <c r="O8764" s="34" t="n">
        <v>0.5</v>
      </c>
    </row>
    <row r="8765" customFormat="false" ht="17.15" hidden="false" customHeight="false" outlineLevel="0" collapsed="false">
      <c r="A8765" s="5" t="s">
        <v>595</v>
      </c>
      <c r="B8765" s="0" t="s">
        <v>129</v>
      </c>
      <c r="C8765" s="32" t="n">
        <f aca="false">Sens!$C$8762-mw_ye23</f>
        <v>240</v>
      </c>
      <c r="D8765" s="32" t="n">
        <f aca="false">Sens!$D$8762-Sens!$C$8762</f>
        <v>1080</v>
      </c>
      <c r="E8765" s="32" t="n">
        <f aca="false">Sens!$E$8762-Sens!$D$8762</f>
        <v>640</v>
      </c>
      <c r="F8765" s="32" t="n">
        <f aca="false">Sens!$F$8762-Sens!$E$8762</f>
        <v>1817.15</v>
      </c>
      <c r="G8765" s="32" t="n">
        <f aca="false">Sens!$E$8765+Sens!$F$8765</f>
        <v>2457.15</v>
      </c>
      <c r="H8765" s="32" t="n">
        <f aca="false">Sens!$H$8762-Sens!$G$8762</f>
        <v>3634.3</v>
      </c>
      <c r="I8765" s="32" t="n">
        <f aca="false">Sens!$I$8762-Sens!$H$8762</f>
        <v>3634.3</v>
      </c>
      <c r="J8765" s="32" t="n">
        <f aca="false">Sens!$J$8762-Sens!$I$8762</f>
        <v>3634.3</v>
      </c>
      <c r="K8765" s="32" t="n">
        <f aca="false">Sens!$K$8762-Sens!$J$8762</f>
        <v>2521.53366666667</v>
      </c>
      <c r="L8765" s="32" t="n">
        <f aca="false">Sens!$L$8762-Sens!$K$8762</f>
        <v>1408.76733333333</v>
      </c>
      <c r="M8765" s="32" t="n">
        <f aca="false">Sens!$M$8762-Sens!$L$8762</f>
        <v>296.001</v>
      </c>
      <c r="N8765" s="32" t="n">
        <f aca="false">Sens!$N$8762-Sens!$C$8762</f>
        <v>540</v>
      </c>
      <c r="O8765" s="32" t="n">
        <f aca="false">Sens!$O$8762-Sens!$N$8762</f>
        <v>540</v>
      </c>
    </row>
    <row r="8766" customFormat="false" ht="17.15" hidden="false" customHeight="false" outlineLevel="0" collapsed="false">
      <c r="A8766" s="5" t="s">
        <v>596</v>
      </c>
      <c r="B8766" s="0" t="s">
        <v>129</v>
      </c>
      <c r="C8766" s="32" t="n">
        <f aca="false">Sens!$C$8765/ext_sh</f>
        <v>300</v>
      </c>
      <c r="D8766" s="32" t="n">
        <f aca="false">Sens!$D$8765/ext_sh</f>
        <v>1350</v>
      </c>
      <c r="E8766" s="32" t="n">
        <f aca="false">Sens!$E$8765/ext_sh</f>
        <v>800</v>
      </c>
      <c r="F8766" s="32" t="n">
        <f aca="false">Sens!$F$8765/ext_sh</f>
        <v>2271.4375</v>
      </c>
      <c r="G8766" s="32" t="n">
        <f aca="false">Sens!$G$8765/ext_sh</f>
        <v>3071.4375</v>
      </c>
      <c r="H8766" s="32" t="n">
        <f aca="false">Sens!$H$8765/ext_sh</f>
        <v>4542.875</v>
      </c>
      <c r="I8766" s="32" t="n">
        <f aca="false">Sens!$I$8765/ext_sh</f>
        <v>4542.875</v>
      </c>
      <c r="J8766" s="32" t="n">
        <f aca="false">Sens!$J$8765/ext_sh</f>
        <v>4542.875</v>
      </c>
      <c r="K8766" s="32" t="n">
        <f aca="false">Sens!$K$8765/ext_sh</f>
        <v>3151.91708333333</v>
      </c>
      <c r="L8766" s="32" t="n">
        <f aca="false">Sens!$L$8765/ext_sh</f>
        <v>1760.95916666667</v>
      </c>
      <c r="M8766" s="32" t="n">
        <f aca="false">Sens!$M$8765/ext_sh</f>
        <v>370.00125</v>
      </c>
      <c r="N8766" s="32" t="n">
        <f aca="false">Sens!$N$8765/ext_sh</f>
        <v>675</v>
      </c>
      <c r="O8766" s="32" t="n">
        <f aca="false">Sens!$O$8765/ext_sh</f>
        <v>675</v>
      </c>
      <c r="P8766" s="8" t="s">
        <v>597</v>
      </c>
      <c r="R8766" s="32" t="n">
        <f aca="false">mw_ye23/ext_sh</f>
        <v>150</v>
      </c>
      <c r="S8766" s="32" t="n">
        <f aca="false">Sens!$C$8766</f>
        <v>300</v>
      </c>
      <c r="T8766" s="32" t="n">
        <f aca="false">Sens!$D$8766</f>
        <v>1350</v>
      </c>
      <c r="U8766" s="32" t="n">
        <f aca="false">Sens!$G$8766</f>
        <v>3071.4375</v>
      </c>
      <c r="V8766" s="32" t="n">
        <f aca="false">Sens!$H$8766</f>
        <v>4542.875</v>
      </c>
      <c r="W8766" s="32" t="n">
        <f aca="false">Sens!$I$8766</f>
        <v>4542.875</v>
      </c>
      <c r="X8766" s="32" t="n">
        <f aca="false">Sens!$J$8766</f>
        <v>4542.875</v>
      </c>
      <c r="Y8766" s="32" t="n">
        <f aca="false">Sens!$K$8766</f>
        <v>3151.91708333333</v>
      </c>
      <c r="Z8766" s="32" t="n">
        <f aca="false">Sens!$L$8766</f>
        <v>1760.95916666667</v>
      </c>
      <c r="AA8766" s="32" t="n">
        <f aca="false">Sens!$M$8766</f>
        <v>370.00125</v>
      </c>
    </row>
    <row r="8767" customFormat="false" ht="17.15" hidden="false" customHeight="false" outlineLevel="0" collapsed="false">
      <c r="A8767" s="1" t="s">
        <v>598</v>
      </c>
    </row>
    <row r="8768" customFormat="false" ht="17.15" hidden="false" customHeight="false" outlineLevel="0" collapsed="false">
      <c r="A8768" s="0" t="s">
        <v>599</v>
      </c>
      <c r="B8768" s="0" t="s">
        <v>52</v>
      </c>
      <c r="F8768" s="35" t="n">
        <f aca="false">na_vr26</f>
        <v>0</v>
      </c>
      <c r="G8768" s="35" t="n">
        <f aca="false">na_vr26</f>
        <v>0</v>
      </c>
      <c r="H8768" s="35" t="n">
        <f aca="false">na_vr27</f>
        <v>0.5</v>
      </c>
      <c r="I8768" s="35" t="n">
        <f aca="false">na_vr28</f>
        <v>1</v>
      </c>
      <c r="J8768" s="35" t="n">
        <f aca="false">na_vr28</f>
        <v>1</v>
      </c>
      <c r="K8768" s="35" t="n">
        <f aca="false">na_vr28</f>
        <v>1</v>
      </c>
      <c r="L8768" s="35" t="n">
        <f aca="false">na_vr28</f>
        <v>1</v>
      </c>
      <c r="M8768" s="35" t="n">
        <f aca="false">na_vr28</f>
        <v>1</v>
      </c>
    </row>
    <row r="8769" customFormat="false" ht="17.15" hidden="false" customHeight="false" outlineLevel="0" collapsed="false">
      <c r="A8769" s="5" t="s">
        <v>600</v>
      </c>
      <c r="B8769" s="0" t="s">
        <v>173</v>
      </c>
      <c r="F8769" s="36" t="n">
        <f aca="false">cust_sh*tk_he_gb300*cf_chip+(1-cust_sh)*((1-Sens!$F$8768)*tk_he_gb300+Sens!$F$8768*tk_he_vr200)</f>
        <v>10.8864110021101</v>
      </c>
      <c r="G8769" s="36" t="n">
        <f aca="false">cust_sh*tk_he_gb300*cf_chip+(1-cust_sh)*((1-Sens!$G$8768)*tk_he_gb300+Sens!$G$8768*tk_he_vr200)</f>
        <v>10.8864110021101</v>
      </c>
      <c r="H8769" s="36" t="n">
        <f aca="false">cust_sh*tk_he_gb300*cf_chip+(1-cust_sh)*((1-Sens!$H$8768)*tk_he_gb300+Sens!$H$8768*tk_he_vr200)</f>
        <v>11.2211760027286</v>
      </c>
      <c r="I8769" s="36" t="n">
        <f aca="false">cust_sh*tk_he_gb300*cf_chip+(1-cust_sh)*((1-Sens!$I$8768)*tk_he_gb300+Sens!$I$8768*tk_he_vr200)</f>
        <v>11.5559410033471</v>
      </c>
      <c r="J8769" s="36" t="n">
        <f aca="false">cust_sh*tk_he_gb300*cf_chip+(1-cust_sh)*((1-Sens!$J$8768)*tk_he_gb300+Sens!$J$8768*tk_he_vr200)</f>
        <v>11.5559410033471</v>
      </c>
      <c r="K8769" s="36" t="n">
        <f aca="false">cust_sh*tk_he_gb300*cf_chip+(1-cust_sh)*((1-Sens!$K$8768)*tk_he_gb300+Sens!$K$8768*tk_he_vr200)</f>
        <v>11.5559410033471</v>
      </c>
      <c r="L8769" s="36" t="n">
        <f aca="false">cust_sh*tk_he_gb300*cf_chip+(1-cust_sh)*((1-Sens!$L$8768)*tk_he_gb300+Sens!$L$8768*tk_he_vr200)</f>
        <v>11.5559410033471</v>
      </c>
      <c r="M8769" s="36" t="n">
        <f aca="false">cust_sh*tk_he_gb300*cf_chip+(1-cust_sh)*((1-Sens!$M$8768)*tk_he_gb300+Sens!$M$8768*tk_he_vr200)</f>
        <v>11.5559410033471</v>
      </c>
    </row>
    <row r="8770" customFormat="false" ht="17.15" hidden="false" customHeight="false" outlineLevel="0" collapsed="false">
      <c r="A8770" s="5" t="s">
        <v>601</v>
      </c>
      <c r="B8770" s="0" t="s">
        <v>173</v>
      </c>
      <c r="F8770" s="36" t="n">
        <f aca="false">cust_sh*tk_ox_gb300+(1-cust_sh)*((1-Sens!$F$8768)*tk_ox_gb300+Sens!$F$8768*tk_ox_vr200)</f>
        <v>1.98263481314457</v>
      </c>
      <c r="G8770" s="36" t="n">
        <f aca="false">cust_sh*tk_ox_gb300+(1-cust_sh)*((1-Sens!$G$8768)*tk_ox_gb300+Sens!$G$8768*tk_ox_vr200)</f>
        <v>1.98263481314457</v>
      </c>
      <c r="H8770" s="36" t="n">
        <f aca="false">cust_sh*tk_ox_gb300+(1-cust_sh)*((1-Sens!$H$8768)*tk_ox_gb300+Sens!$H$8768*tk_ox_vr200)</f>
        <v>2.01034999693694</v>
      </c>
      <c r="I8770" s="36" t="n">
        <f aca="false">cust_sh*tk_ox_gb300+(1-cust_sh)*((1-Sens!$I$8768)*tk_ox_gb300+Sens!$I$8768*tk_ox_vr200)</f>
        <v>2.0380651807293</v>
      </c>
      <c r="J8770" s="36" t="n">
        <f aca="false">cust_sh*tk_ox_gb300+(1-cust_sh)*((1-Sens!$J$8768)*tk_ox_gb300+Sens!$J$8768*tk_ox_vr200)</f>
        <v>2.0380651807293</v>
      </c>
      <c r="K8770" s="36" t="n">
        <f aca="false">cust_sh*tk_ox_gb300+(1-cust_sh)*((1-Sens!$K$8768)*tk_ox_gb300+Sens!$K$8768*tk_ox_vr200)</f>
        <v>2.0380651807293</v>
      </c>
      <c r="L8770" s="36" t="n">
        <f aca="false">cust_sh*tk_ox_gb300+(1-cust_sh)*((1-Sens!$L$8768)*tk_ox_gb300+Sens!$L$8768*tk_ox_vr200)</f>
        <v>2.0380651807293</v>
      </c>
      <c r="M8770" s="36" t="n">
        <f aca="false">cust_sh*tk_ox_gb300+(1-cust_sh)*((1-Sens!$M$8768)*tk_ox_gb300+Sens!$M$8768*tk_ox_vr200)</f>
        <v>2.0380651807293</v>
      </c>
    </row>
    <row r="8771" customFormat="false" ht="17.15" hidden="false" customHeight="false" outlineLevel="0" collapsed="false">
      <c r="A8771" s="5" t="s">
        <v>602</v>
      </c>
      <c r="B8771" s="0" t="s">
        <v>192</v>
      </c>
      <c r="F8771" s="36" t="n">
        <f aca="false">cust_sh*tk_cx_gb300*cf_cx+(1-cust_sh)*((1-Sens!$F$8768)*tk_cx_gb300+Sens!$F$8768*tk_cx_vr200)</f>
        <v>32.237224</v>
      </c>
      <c r="G8771" s="36" t="n">
        <f aca="false">cust_sh*tk_cx_gb300*cf_cx+(1-cust_sh)*((1-Sens!$G$8768)*tk_cx_gb300+Sens!$G$8768*tk_cx_vr200)</f>
        <v>32.237224</v>
      </c>
      <c r="H8771" s="36" t="n">
        <f aca="false">cust_sh*tk_cx_gb300*cf_cx+(1-cust_sh)*((1-Sens!$H$8768)*tk_cx_gb300+Sens!$H$8768*tk_cx_vr200)</f>
        <v>33.574506</v>
      </c>
      <c r="I8771" s="36" t="n">
        <f aca="false">cust_sh*tk_cx_gb300*cf_cx+(1-cust_sh)*((1-Sens!$I$8768)*tk_cx_gb300+Sens!$I$8768*tk_cx_vr200)</f>
        <v>34.911788</v>
      </c>
      <c r="J8771" s="36" t="n">
        <f aca="false">cust_sh*tk_cx_gb300*cf_cx+(1-cust_sh)*((1-Sens!$J$8768)*tk_cx_gb300+Sens!$J$8768*tk_cx_vr200)</f>
        <v>34.911788</v>
      </c>
      <c r="K8771" s="36" t="n">
        <f aca="false">cust_sh*tk_cx_gb300*cf_cx+(1-cust_sh)*((1-Sens!$K$8768)*tk_cx_gb300+Sens!$K$8768*tk_cx_vr200)</f>
        <v>34.911788</v>
      </c>
      <c r="L8771" s="36" t="n">
        <f aca="false">cust_sh*tk_cx_gb300*cf_cx+(1-cust_sh)*((1-Sens!$L$8768)*tk_cx_gb300+Sens!$L$8768*tk_cx_vr200)</f>
        <v>34.911788</v>
      </c>
      <c r="M8771" s="36" t="n">
        <f aca="false">cust_sh*tk_cx_gb300*cf_cx+(1-cust_sh)*((1-Sens!$M$8768)*tk_cx_gb300+Sens!$M$8768*tk_cx_vr200)</f>
        <v>34.911788</v>
      </c>
    </row>
    <row r="8772" customFormat="false" ht="17.15" hidden="false" customHeight="false" outlineLevel="0" collapsed="false">
      <c r="A8772" s="5" t="s">
        <v>603</v>
      </c>
      <c r="B8772" s="0" t="s">
        <v>129</v>
      </c>
      <c r="F8772" s="32" t="n">
        <f aca="false">Sens!$F$8762-mw_open</f>
        <v>1817.15</v>
      </c>
      <c r="G8772" s="32" t="n">
        <f aca="false">Sens!$F$8772</f>
        <v>1817.15</v>
      </c>
      <c r="H8772" s="32" t="n">
        <f aca="false">Sens!$H$8762-mw_open</f>
        <v>5451.45</v>
      </c>
      <c r="I8772" s="32" t="n">
        <f aca="false">Sens!$I$8762-mw_open</f>
        <v>9085.75</v>
      </c>
      <c r="J8772" s="32" t="n">
        <f aca="false">Sens!$J$8762-mw_open</f>
        <v>12720.05</v>
      </c>
      <c r="K8772" s="32" t="n">
        <f aca="false">Sens!$K$8762-mw_open</f>
        <v>15241.5836666667</v>
      </c>
      <c r="L8772" s="32" t="n">
        <f aca="false">Sens!$L$8762-mw_open</f>
        <v>16650.351</v>
      </c>
      <c r="M8772" s="32" t="n">
        <f aca="false">Sens!$M$8762-mw_open</f>
        <v>16946.352</v>
      </c>
    </row>
    <row r="8773" customFormat="false" ht="17.15" hidden="false" customHeight="false" outlineLevel="0" collapsed="false">
      <c r="A8773" s="0" t="s">
        <v>604</v>
      </c>
      <c r="B8773" s="0" t="s">
        <v>605</v>
      </c>
      <c r="F8773" s="32" t="n">
        <f aca="false">Sens!$F$8765*Sens!$F$8769</f>
        <v>19782.2417524844</v>
      </c>
      <c r="G8773" s="32" t="n">
        <f aca="false">Sens!$F$8773</f>
        <v>19782.2417524844</v>
      </c>
      <c r="H8773" s="32" t="n">
        <f aca="false">Sens!$G$8773+Sens!$H$8765*Sens!$H$8769</f>
        <v>60563.3616992009</v>
      </c>
      <c r="I8773" s="32" t="n">
        <f aca="false">Sens!$H$8773+Sens!$I$8765*Sens!$I$8769</f>
        <v>102561.118087665</v>
      </c>
      <c r="J8773" s="32" t="n">
        <f aca="false">Sens!$I$8773+Sens!$J$8765*Sens!$J$8769</f>
        <v>144558.87447613</v>
      </c>
      <c r="K8773" s="32" t="n">
        <f aca="false">Sens!$J$8773+Sens!$K$8765*Sens!$K$8769</f>
        <v>173697.568766083</v>
      </c>
      <c r="L8773" s="32" t="n">
        <f aca="false">Sens!$K$8773+Sens!$L$8765*Sens!$L$8769</f>
        <v>189977.200957526</v>
      </c>
      <c r="M8773" s="32" t="n">
        <f aca="false">Sens!$L$8773+Sens!$M$8765*Sens!$M$8769</f>
        <v>193397.771050458</v>
      </c>
    </row>
    <row r="8774" customFormat="false" ht="17.15" hidden="false" customHeight="false" outlineLevel="0" collapsed="false">
      <c r="A8774" s="0" t="s">
        <v>606</v>
      </c>
      <c r="B8774" s="0" t="s">
        <v>605</v>
      </c>
      <c r="F8774" s="32" t="n">
        <f aca="false">Sens!$F$8765*Sens!$F$8770</f>
        <v>3602.74485070566</v>
      </c>
      <c r="G8774" s="32" t="n">
        <f aca="false">Sens!$F$8774</f>
        <v>3602.74485070566</v>
      </c>
      <c r="H8774" s="32" t="n">
        <f aca="false">Sens!$G$8774+Sens!$H$8765*Sens!$H$8770</f>
        <v>10908.9598445736</v>
      </c>
      <c r="I8774" s="32" t="n">
        <f aca="false">Sens!$H$8774+Sens!$I$8765*Sens!$I$8770</f>
        <v>18315.9001308981</v>
      </c>
      <c r="J8774" s="32" t="n">
        <f aca="false">Sens!$I$8774+Sens!$J$8765*Sens!$J$8770</f>
        <v>25722.8404172225</v>
      </c>
      <c r="K8774" s="32" t="n">
        <f aca="false">Sens!$J$8774+Sens!$K$8765*Sens!$K$8770</f>
        <v>30861.8903852926</v>
      </c>
      <c r="L8774" s="32" t="n">
        <f aca="false">Sens!$K$8774+Sens!$L$8765*Sens!$L$8770</f>
        <v>33733.0500351081</v>
      </c>
      <c r="M8774" s="32" t="n">
        <f aca="false">Sens!$L$8774+Sens!$M$8765*Sens!$M$8770</f>
        <v>34336.3193666691</v>
      </c>
    </row>
    <row r="8775" customFormat="false" ht="17.15" hidden="false" customHeight="false" outlineLevel="0" collapsed="false">
      <c r="A8775" s="5" t="s">
        <v>607</v>
      </c>
      <c r="B8775" s="0" t="s">
        <v>173</v>
      </c>
      <c r="F8775" s="36" t="n">
        <f aca="false">IF(Sens!$F$8772&gt;0,Sens!$F$8773/Sens!$F$8772,Sens!$F$8769)</f>
        <v>10.8864110021101</v>
      </c>
      <c r="G8775" s="36" t="n">
        <f aca="false">IF(Sens!$G$8772&gt;0,Sens!$G$8773/Sens!$G$8772,Sens!$G$8769)</f>
        <v>10.8864110021101</v>
      </c>
      <c r="H8775" s="36" t="n">
        <f aca="false">IF(Sens!$H$8772&gt;0,Sens!$H$8773/Sens!$H$8772,Sens!$H$8769)</f>
        <v>11.1095876691891</v>
      </c>
      <c r="I8775" s="36" t="n">
        <f aca="false">IF(Sens!$I$8772&gt;0,Sens!$I$8773/Sens!$I$8772,Sens!$I$8769)</f>
        <v>11.2881290028523</v>
      </c>
      <c r="J8775" s="36" t="n">
        <f aca="false">IF(Sens!$J$8772&gt;0,Sens!$J$8773/Sens!$J$8772,Sens!$J$8769)</f>
        <v>11.3646467172794</v>
      </c>
      <c r="K8775" s="36" t="n">
        <f aca="false">IF(Sens!$K$8772&gt;0,Sens!$K$8773/Sens!$K$8772,Sens!$K$8769)</f>
        <v>11.3962940180527</v>
      </c>
      <c r="L8775" s="36" t="n">
        <f aca="false">IF(Sens!$L$8772&gt;0,Sens!$L$8773/Sens!$L$8772,Sens!$L$8769)</f>
        <v>11.4098015685991</v>
      </c>
      <c r="M8775" s="36" t="n">
        <f aca="false">IF(Sens!$M$8772&gt;0,Sens!$M$8773/Sens!$M$8772,Sens!$M$8769)</f>
        <v>11.4123541780825</v>
      </c>
    </row>
    <row r="8776" customFormat="false" ht="17.15" hidden="false" customHeight="false" outlineLevel="0" collapsed="false">
      <c r="A8776" s="5" t="s">
        <v>608</v>
      </c>
      <c r="B8776" s="0" t="s">
        <v>173</v>
      </c>
      <c r="F8776" s="36" t="n">
        <f aca="false">IF(Sens!$F$8772&gt;0,Sens!$F$8774/Sens!$F$8772,Sens!$F$8770)</f>
        <v>1.98263481314457</v>
      </c>
      <c r="G8776" s="36" t="n">
        <f aca="false">IF(Sens!$G$8772&gt;0,Sens!$G$8774/Sens!$G$8772,Sens!$G$8770)</f>
        <v>1.98263481314457</v>
      </c>
      <c r="H8776" s="36" t="n">
        <f aca="false">IF(Sens!$H$8772&gt;0,Sens!$H$8774/Sens!$H$8772,Sens!$H$8770)</f>
        <v>2.00111160233948</v>
      </c>
      <c r="I8776" s="36" t="n">
        <f aca="false">IF(Sens!$I$8772&gt;0,Sens!$I$8774/Sens!$I$8772,Sens!$I$8770)</f>
        <v>2.01589303369541</v>
      </c>
      <c r="J8776" s="36" t="n">
        <f aca="false">IF(Sens!$J$8772&gt;0,Sens!$J$8774/Sens!$J$8772,Sens!$J$8770)</f>
        <v>2.02222793284795</v>
      </c>
      <c r="K8776" s="36" t="n">
        <f aca="false">IF(Sens!$K$8772&gt;0,Sens!$K$8774/Sens!$K$8772,Sens!$K$8770)</f>
        <v>2.02484801187606</v>
      </c>
      <c r="L8776" s="36" t="n">
        <f aca="false">IF(Sens!$L$8772&gt;0,Sens!$L$8774/Sens!$L$8772,Sens!$L$8770)</f>
        <v>2.02596630155773</v>
      </c>
      <c r="M8776" s="36" t="n">
        <f aca="false">IF(Sens!$M$8772&gt;0,Sens!$M$8774/Sens!$M$8772,Sens!$M$8770)</f>
        <v>2.02617763201597</v>
      </c>
    </row>
    <row r="8777" customFormat="false" ht="17.15" hidden="false" customHeight="false" outlineLevel="0" collapsed="false">
      <c r="A8777" s="15" t="s">
        <v>609</v>
      </c>
      <c r="B8777" s="14" t="s">
        <v>173</v>
      </c>
      <c r="C8777" s="14"/>
      <c r="D8777" s="14"/>
      <c r="E8777" s="14"/>
      <c r="F8777" s="37" t="n">
        <f aca="false">Sens!$F$8775*k_B</f>
        <v>10.7987645808025</v>
      </c>
      <c r="G8777" s="37" t="n">
        <f aca="false">Sens!$G$8775*k_B</f>
        <v>10.7987645808025</v>
      </c>
      <c r="H8777" s="37" t="n">
        <f aca="false">Sens!$H$8775*k_B</f>
        <v>11.0201444540452</v>
      </c>
      <c r="I8777" s="37" t="n">
        <f aca="false">Sens!$I$8775*k_B</f>
        <v>11.1972483526393</v>
      </c>
      <c r="J8777" s="37" t="n">
        <f aca="false">Sens!$J$8775*k_B</f>
        <v>11.2731500234653</v>
      </c>
      <c r="K8777" s="37" t="n">
        <f aca="false">Sens!$K$8775*k_B</f>
        <v>11.3045425320343</v>
      </c>
      <c r="L8777" s="37" t="n">
        <f aca="false">Sens!$L$8775*k_B</f>
        <v>11.3179413333826</v>
      </c>
      <c r="M8777" s="37" t="n">
        <f aca="false">Sens!$M$8775*k_B</f>
        <v>11.3204733918244</v>
      </c>
      <c r="N8777" s="14"/>
      <c r="O8777" s="14"/>
      <c r="P8777" s="5" t="s">
        <v>610</v>
      </c>
    </row>
    <row r="8778" customFormat="false" ht="17.15" hidden="false" customHeight="false" outlineLevel="0" collapsed="false">
      <c r="A8778" s="5" t="s">
        <v>611</v>
      </c>
      <c r="B8778" s="0" t="s">
        <v>129</v>
      </c>
      <c r="F8778" s="32" t="n">
        <f aca="false">Sens!$F$8772/2</f>
        <v>908.575</v>
      </c>
      <c r="H8778" s="32" t="n">
        <f aca="false">(Sens!$G$8772+Sens!$H$8772)/2</f>
        <v>3634.3</v>
      </c>
      <c r="I8778" s="32" t="n">
        <f aca="false">(Sens!$H$8772+Sens!$I$8772)/2</f>
        <v>7268.6</v>
      </c>
      <c r="J8778" s="32" t="n">
        <f aca="false">(Sens!$I$8772+Sens!$J$8772)/2</f>
        <v>10902.9</v>
      </c>
      <c r="K8778" s="32" t="n">
        <f aca="false">(Sens!$J$8772+Sens!$K$8772)/2</f>
        <v>13980.8168333333</v>
      </c>
      <c r="L8778" s="32" t="n">
        <f aca="false">(Sens!$K$8772+Sens!$L$8772)/2</f>
        <v>15945.9673333333</v>
      </c>
      <c r="M8778" s="32" t="n">
        <f aca="false">(Sens!$L$8772+Sens!$M$8772)/2</f>
        <v>16798.3515</v>
      </c>
    </row>
    <row r="8779" customFormat="false" ht="17.15" hidden="false" customHeight="false" outlineLevel="0" collapsed="false">
      <c r="A8779" s="1" t="s">
        <v>612</v>
      </c>
    </row>
    <row r="8780" customFormat="false" ht="17.15" hidden="false" customHeight="false" outlineLevel="0" collapsed="false">
      <c r="A8780" s="1" t="s">
        <v>613</v>
      </c>
      <c r="B8780" s="8" t="s">
        <v>86</v>
      </c>
      <c r="C8780" s="38" t="n">
        <f aca="false">Sens!$C$8763*rpm_open*Sens!$C$8764/1000</f>
        <v>2.32100535697364</v>
      </c>
      <c r="D8780" s="38" t="n">
        <f aca="false">Sens!$D$8763*rpm_open*Sens!$D$8764/1000</f>
        <v>8.70377008865116</v>
      </c>
      <c r="E8780" s="38" t="n">
        <f aca="false">Sens!$E$8763*rpm_open*Sens!$E$8764/1000</f>
        <v>8.51035297557002</v>
      </c>
      <c r="F8780" s="38" t="n">
        <f aca="false">(mw_open*rpm_open+Sens!$F$8778*Sens!$F$8777)*Sens!$F$8764/1000</f>
        <v>14.9634336447205</v>
      </c>
      <c r="G8780" s="38" t="n">
        <f aca="false">Sens!$E$8780+Sens!$F$8780</f>
        <v>23.4737866202905</v>
      </c>
      <c r="H8780" s="38" t="n">
        <f aca="false">(mw_open*rpm_open+Sens!$H$8778*Sens!$H$8777)/1000</f>
        <v>60.1658907497746</v>
      </c>
      <c r="I8780" s="38" t="n">
        <f aca="false">(mw_open*rpm_open+Sens!$I$8778*Sens!$I$8777)/1000</f>
        <v>101.503699136432</v>
      </c>
      <c r="J8780" s="38" t="n">
        <f aca="false">(mw_open*rpm_open+Sens!$J$8778*Sens!$J$8777)/1000</f>
        <v>143.025407151278</v>
      </c>
      <c r="K8780" s="38" t="n">
        <f aca="false">(mw_open*rpm_open+Sens!$K$8778*Sens!$K$8777)/1000</f>
        <v>178.162118285436</v>
      </c>
      <c r="L8780" s="38" t="n">
        <f aca="false">(mw_open*rpm_open+Sens!$L$8778*Sens!$L$8777)/1000</f>
        <v>200.590902543141</v>
      </c>
      <c r="M8780" s="38" t="n">
        <f aca="false">(mw_open*rpm_open+Sens!$M$8778*Sens!$M$8777)/1000</f>
        <v>210.280670942702</v>
      </c>
      <c r="N8780" s="38" t="n">
        <f aca="false">Sens!$N$8763*rpm_open*Sens!$N$8764/1000</f>
        <v>3.04631953102791</v>
      </c>
      <c r="O8780" s="38" t="n">
        <f aca="false">Sens!$O$8763*rpm_open*Sens!$O$8764/1000</f>
        <v>5.65745055762326</v>
      </c>
      <c r="P8780" s="5" t="s">
        <v>614</v>
      </c>
    </row>
    <row r="8781" customFormat="false" ht="17.15" hidden="false" customHeight="false" outlineLevel="0" collapsed="false">
      <c r="A8781" s="5" t="s">
        <v>615</v>
      </c>
      <c r="B8781" s="0" t="s">
        <v>173</v>
      </c>
      <c r="C8781" s="36" t="n">
        <f aca="false">Sens!$C$8780*1000/(Sens!$C$8763*Sens!$C$8764)</f>
        <v>9.67085565405685</v>
      </c>
      <c r="D8781" s="36" t="n">
        <f aca="false">Sens!$D$8780*1000/(Sens!$D$8763*Sens!$D$8764)</f>
        <v>9.67085565405685</v>
      </c>
      <c r="E8781" s="36" t="n">
        <f aca="false">Sens!$E$8780*1000/(Sens!$E$8763*Sens!$E$8764)</f>
        <v>9.67085565405685</v>
      </c>
      <c r="F8781" s="36" t="n">
        <f aca="false">Sens!$F$8780*1000/(Sens!$F$8763*Sens!$F$8764)</f>
        <v>10.0137581588017</v>
      </c>
      <c r="G8781" s="36" t="n">
        <f aca="false">Sens!$G$8780*1000/(Sens!$G$8763*Sens!$G$8764)</f>
        <v>9.88666562928478</v>
      </c>
      <c r="H8781" s="36" t="n">
        <f aca="false">Sens!$H$8780*1000/(Sens!$H$8763*Sens!$H$8764)</f>
        <v>10.5290045586992</v>
      </c>
      <c r="I8781" s="36" t="n">
        <f aca="false">Sens!$I$8780*1000/(Sens!$I$8763*Sens!$I$8764)</f>
        <v>10.8576363451674</v>
      </c>
      <c r="J8781" s="36" t="n">
        <f aca="false">Sens!$J$8780*1000/(Sens!$J$8763*Sens!$J$8764)</f>
        <v>11.0164452588619</v>
      </c>
      <c r="K8781" s="36" t="n">
        <f aca="false">Sens!$K$8780*1000/(Sens!$K$8763*Sens!$K$8764)</f>
        <v>11.0929674458194</v>
      </c>
      <c r="L8781" s="36" t="n">
        <f aca="false">Sens!$L$8780*1000/(Sens!$L$8763*Sens!$L$8764)</f>
        <v>11.1278856126745</v>
      </c>
      <c r="M8781" s="36" t="n">
        <f aca="false">Sens!$M$8780*1000/(Sens!$M$8763*Sens!$M$8764)</f>
        <v>11.1387199747129</v>
      </c>
      <c r="N8781" s="36" t="n">
        <f aca="false">Sens!$N$8780*1000/(Sens!$N$8763*Sens!$N$8764)</f>
        <v>9.67085565405685</v>
      </c>
      <c r="O8781" s="36" t="n">
        <f aca="false">Sens!$O$8780*1000/(Sens!$O$8763*Sens!$O$8764)</f>
        <v>9.67085565405685</v>
      </c>
    </row>
    <row r="8782" customFormat="false" ht="17.15" hidden="false" customHeight="false" outlineLevel="0" collapsed="false">
      <c r="A8782" s="0" t="s">
        <v>616</v>
      </c>
      <c r="B8782" s="0" t="s">
        <v>86</v>
      </c>
      <c r="C8782" s="38" t="n">
        <f aca="false">Sens!$C$8763/ext_sh*(ox_open+rent_mw)*Sens!$C$8764/1000</f>
        <v>0.642569210675032</v>
      </c>
      <c r="D8782" s="38" t="n">
        <f aca="false">Sens!$D$8763/ext_sh*(ox_open+rent_mw)*Sens!$D$8764/1000</f>
        <v>2.40963454003137</v>
      </c>
      <c r="E8782" s="38" t="n">
        <f aca="false">Sens!$E$8763/ext_sh*(ox_open+rent_mw)*Sens!$E$8764/1000</f>
        <v>2.35608710580845</v>
      </c>
      <c r="F8782" s="38" t="n">
        <f aca="false">((mw_open*ox_open+Sens!$F$8778*Sens!$F$8776)/ext_sh+Sens!$F$8763/ext_sh*rent_mw)*Sens!$F$8764/1000</f>
        <v>4.05421991106232</v>
      </c>
      <c r="G8782" s="38" t="n">
        <f aca="false">Sens!$E$8782+Sens!$F$8782</f>
        <v>6.41030701687077</v>
      </c>
      <c r="H8782" s="38" t="n">
        <f aca="false">((mw_open*ox_open+Sens!$H$8778*Sens!$H$8776)/ext_sh+Sens!$H$8763/ext_sh*rent_mw)*Sens!$H$8764/1000</f>
        <v>15.8108975546616</v>
      </c>
      <c r="I8782" s="38" t="n">
        <f aca="false">((mw_open*ox_open+Sens!$I$8778*Sens!$I$8776)/ext_sh+Sens!$I$8763/ext_sh*rent_mw)*Sens!$I$8764/1000</f>
        <v>26.1871623400817</v>
      </c>
      <c r="J8782" s="38" t="n">
        <f aca="false">((mw_open*ox_open+Sens!$J$8778*Sens!$J$8776)/ext_sh+Sens!$J$8763/ext_sh*rent_mw)*Sens!$J$8764/1000</f>
        <v>36.5826128954935</v>
      </c>
      <c r="K8782" s="38" t="n">
        <f aca="false">((mw_open*ox_open+Sens!$K$8778*Sens!$K$8776)/ext_sh+Sens!$K$8763/ext_sh*rent_mw)*Sens!$K$8764/1000</f>
        <v>45.3836433528648</v>
      </c>
      <c r="L8782" s="38" t="n">
        <f aca="false">((mw_open*ox_open+Sens!$L$8778*Sens!$L$8776)/ext_sh+Sens!$L$8763/ext_sh*rent_mw)*Sens!$L$8764/1000</f>
        <v>51.0023088908591</v>
      </c>
      <c r="M8782" s="38" t="n">
        <f aca="false">((mw_open*ox_open+Sens!$M$8778*Sens!$M$8776)/ext_sh+Sens!$M$8763/ext_sh*rent_mw)*Sens!$M$8764/1000</f>
        <v>53.4353660768611</v>
      </c>
      <c r="N8782" s="38" t="n">
        <f aca="false">Sens!$N$8763/ext_sh*(ox_open+rent_mw)*Sens!$N$8764/1000</f>
        <v>0.84337208901098</v>
      </c>
      <c r="O8782" s="38" t="n">
        <f aca="false">Sens!$O$8763/ext_sh*(ox_open+rent_mw)*Sens!$O$8764/1000</f>
        <v>1.56626245102039</v>
      </c>
    </row>
    <row r="8783" customFormat="false" ht="17.15" hidden="false" customHeight="false" outlineLevel="0" collapsed="false">
      <c r="A8783" s="0" t="s">
        <v>617</v>
      </c>
      <c r="B8783" s="0" t="s">
        <v>86</v>
      </c>
      <c r="C8783" s="38" t="n">
        <f aca="false">Q!$D$7</f>
        <v>107.556</v>
      </c>
      <c r="D8783" s="38" t="n">
        <f aca="false">Q!$E$7</f>
        <v>128.725</v>
      </c>
      <c r="E8783" s="38" t="n">
        <f aca="false">Q!$P$7</f>
        <v>79.819</v>
      </c>
      <c r="N8783" s="38" t="n">
        <f aca="false">Q!$N$7</f>
        <v>60.14</v>
      </c>
      <c r="O8783" s="38" t="n">
        <f aca="false">Q!$O$7</f>
        <v>68.585</v>
      </c>
    </row>
    <row r="8784" customFormat="false" ht="17.15" hidden="false" customHeight="false" outlineLevel="0" collapsed="false">
      <c r="A8784" s="1" t="s">
        <v>618</v>
      </c>
      <c r="B8784" s="8" t="s">
        <v>86</v>
      </c>
      <c r="C8784" s="38" t="n">
        <f aca="false">Sens!$C$8783-Sens!$C$8780</f>
        <v>105.234994643026</v>
      </c>
      <c r="D8784" s="38" t="n">
        <f aca="false">Sens!$D$8783-Sens!$D$8780</f>
        <v>120.021229911349</v>
      </c>
      <c r="E8784" s="38" t="n">
        <f aca="false">Sens!$E$8783-Sens!$E$8780</f>
        <v>71.30864702443</v>
      </c>
      <c r="F8784" s="38" t="n">
        <f aca="false">Sens!$O$8784*(1+Sens!$F$8785)</f>
        <v>71.7692997942464</v>
      </c>
      <c r="G8784" s="38" t="n">
        <f aca="false">Sens!$E$8784+Sens!$F$8784</f>
        <v>143.077946818676</v>
      </c>
      <c r="H8784" s="38" t="n">
        <f aca="false">Sens!$G$8784*(1+Sens!$H$8785)</f>
        <v>161.017077079203</v>
      </c>
      <c r="I8784" s="38" t="n">
        <f aca="false">Sens!$H$8784*(1+Sens!$I$8785)</f>
        <v>178.769759521457</v>
      </c>
      <c r="J8784" s="38" t="n">
        <f aca="false">Sens!$I$8784*(1+Sens!$J$8785)</f>
        <v>195.775538045907</v>
      </c>
      <c r="K8784" s="38" t="n">
        <f aca="false">Sens!$J$8784*(1+Sens!$K$8785)</f>
        <v>211.43758108958</v>
      </c>
      <c r="L8784" s="38" t="n">
        <f aca="false">Sens!$K$8784*(1+Sens!$L$8785)</f>
        <v>228.352587576746</v>
      </c>
      <c r="M8784" s="38" t="n">
        <f aca="false">Sens!$L$8784*(1+Sens!$M$8785)</f>
        <v>246.620794582886</v>
      </c>
      <c r="N8784" s="38" t="n">
        <f aca="false">Sens!$N$8783-Sens!$N$8780</f>
        <v>57.0936804689721</v>
      </c>
      <c r="O8784" s="38" t="n">
        <f aca="false">Sens!$O$8783-Sens!$O$8780</f>
        <v>62.9275494423768</v>
      </c>
      <c r="P8784" s="5" t="s">
        <v>619</v>
      </c>
    </row>
    <row r="8785" customFormat="false" ht="17.15" hidden="false" customHeight="false" outlineLevel="0" collapsed="false">
      <c r="A8785" s="0" t="s">
        <v>620</v>
      </c>
      <c r="B8785" s="0" t="s">
        <v>52</v>
      </c>
      <c r="D8785" s="13" t="n">
        <f aca="false">Sens!$D$8784/Sens!$C$8784-1</f>
        <v>0.140506827776062</v>
      </c>
      <c r="E8785" s="13" t="n">
        <f aca="false">Sens!$E$8784/Sens!$N$8784-1</f>
        <v>0.248976181579029</v>
      </c>
      <c r="F8785" s="13" t="n">
        <f aca="false">Sens!$D$8785</f>
        <v>0.140506827776062</v>
      </c>
      <c r="G8785" s="13" t="n">
        <f aca="false">Sens!$G$8784/Sens!$D$8784-1</f>
        <v>0.19210532106993</v>
      </c>
      <c r="H8785" s="13" t="n">
        <f aca="false">Sens!$F$8785+(g_awso_lt-Sens!$F$8785)*1/4</f>
        <v>0.125380120832046</v>
      </c>
      <c r="I8785" s="13" t="n">
        <f aca="false">Sens!$F$8785+(g_awso_lt-Sens!$F$8785)*2/4</f>
        <v>0.110253413888031</v>
      </c>
      <c r="J8785" s="13" t="n">
        <f aca="false">Sens!$F$8785+(g_awso_lt-Sens!$F$8785)*3/4</f>
        <v>0.0951267069440154</v>
      </c>
      <c r="K8785" s="13" t="n">
        <f aca="false">Sens!$F$8785+(g_awso_lt-Sens!$F$8785)*4/4</f>
        <v>0.08</v>
      </c>
      <c r="L8785" s="13" t="n">
        <f aca="false">g_awso_lt</f>
        <v>0.08</v>
      </c>
      <c r="M8785" s="13" t="n">
        <f aca="false">g_awso_lt</f>
        <v>0.08</v>
      </c>
      <c r="P8785" s="5" t="s">
        <v>621</v>
      </c>
    </row>
    <row r="8786" customFormat="false" ht="17.15" hidden="false" customHeight="false" outlineLevel="0" collapsed="false">
      <c r="A8786" s="1" t="s">
        <v>622</v>
      </c>
    </row>
    <row r="8787" customFormat="false" ht="17.15" hidden="false" customHeight="false" outlineLevel="0" collapsed="false">
      <c r="A8787" s="0" t="s">
        <v>623</v>
      </c>
      <c r="B8787" s="0" t="s">
        <v>86</v>
      </c>
      <c r="F8787" s="38" t="n">
        <f aca="false">cx_rt*Sens!$F$8752+cx_awso*Sens!$F$8784</f>
        <v>34.9734495387866</v>
      </c>
    </row>
    <row r="8788" customFormat="false" ht="17.15" hidden="false" customHeight="false" outlineLevel="0" collapsed="false">
      <c r="A8788" s="0" t="s">
        <v>624</v>
      </c>
      <c r="B8788" s="0" t="s">
        <v>52</v>
      </c>
      <c r="C8788" s="13" t="n">
        <f aca="false">tk_cx_h100/(tk_cx_h100+tk_fac*(1-colo_sh))</f>
        <v>0.730756458006641</v>
      </c>
      <c r="D8788" s="13" t="n">
        <f aca="false">tk_cx_h100/(tk_cx_h100+tk_fac*(1-colo_sh))</f>
        <v>0.730756458006641</v>
      </c>
      <c r="E8788" s="13" t="n">
        <f aca="false">Sens!$F$8788</f>
        <v>0.760792334328868</v>
      </c>
      <c r="F8788" s="13" t="n">
        <f aca="false">Sens!$F$8771/(Sens!$F$8771+tk_fac*(1-colo_sh))</f>
        <v>0.760792334328868</v>
      </c>
      <c r="G8788" s="13" t="n">
        <f aca="false">Sens!$G$8771/(Sens!$G$8771+tk_fac*(1-colo_sh))</f>
        <v>0.760792334328868</v>
      </c>
      <c r="H8788" s="13" t="n">
        <f aca="false">Sens!$H$8771/(Sens!$H$8771+tk_fac*(1-colo_sh))</f>
        <v>0.768110668862996</v>
      </c>
      <c r="I8788" s="13" t="n">
        <f aca="false">Sens!$I$8771/(Sens!$I$8771+tk_fac*(1-colo_sh))</f>
        <v>0.77499450139483</v>
      </c>
      <c r="J8788" s="13" t="n">
        <f aca="false">Sens!$J$8771/(Sens!$J$8771+tk_fac*(1-colo_sh))</f>
        <v>0.77499450139483</v>
      </c>
      <c r="K8788" s="13" t="n">
        <f aca="false">Sens!$K$8771/(Sens!$K$8771+tk_fac*(1-colo_sh))</f>
        <v>0.77499450139483</v>
      </c>
      <c r="L8788" s="13" t="n">
        <f aca="false">Sens!$L$8771/(Sens!$L$8771+tk_fac*(1-colo_sh))</f>
        <v>0.77499450139483</v>
      </c>
      <c r="M8788" s="13" t="n">
        <f aca="false">Sens!$M$8771/(Sens!$M$8771+tk_fac*(1-colo_sh))</f>
        <v>0.77499450139483</v>
      </c>
    </row>
    <row r="8789" customFormat="false" ht="17.15" hidden="false" customHeight="false" outlineLevel="0" collapsed="false">
      <c r="A8789" s="1" t="s">
        <v>625</v>
      </c>
      <c r="B8789" s="8" t="s">
        <v>86</v>
      </c>
      <c r="C8789" s="38" t="n">
        <f aca="false">Q!$D$46-cx_rt*Q!$D$16-cx_awso*Sens!$C$8784</f>
        <v>25.2781053077374</v>
      </c>
      <c r="D8789" s="38" t="n">
        <f aca="false">Q!$E$46-cx_rt*Q!$E$16-cx_awso*Sens!$D$8784</f>
        <v>69.5686316310026</v>
      </c>
      <c r="E8789" s="38" t="n">
        <f aca="false">Q!$P$46-cx_rt*Q!$P$16-cx_awso*Sens!$E$8784</f>
        <v>64.1899206485108</v>
      </c>
      <c r="F8789" s="38" t="n">
        <f aca="false">MAX(Sens!$F$8766*(Sens!$F$8771+tk_fac*(1-colo_sh))/1000,capex_g26-Q!$P$46-Sens!$F$8787)</f>
        <v>96.2481299895</v>
      </c>
      <c r="G8789" s="38" t="n">
        <f aca="false">Sens!$E$8789+Sens!$F$8789</f>
        <v>160.438050638011</v>
      </c>
      <c r="H8789" s="38" t="n">
        <f aca="false">Sens!$H$8766*(Sens!$H$8771+tk_fac*(1-colo_sh))/1000+Sens!$H$8790</f>
        <v>198.57136494475</v>
      </c>
      <c r="I8789" s="38" t="n">
        <f aca="false">Sens!$I$8766*(Sens!$I$8771+tk_fac*(1-colo_sh))/1000+Sens!$I$8790</f>
        <v>204.6464699105</v>
      </c>
      <c r="J8789" s="38" t="n">
        <f aca="false">Sens!$J$8766*(Sens!$J$8771+tk_fac*(1-colo_sh))/1000+Sens!$J$8790</f>
        <v>209.8832381105</v>
      </c>
      <c r="K8789" s="38" t="n">
        <f aca="false">Sens!$K$8766*(Sens!$K$8771+tk_fac*(1-colo_sh))/1000+Sens!$K$8790</f>
        <v>152.460428963578</v>
      </c>
      <c r="L8789" s="38" t="n">
        <f aca="false">Sens!$L$8766*(Sens!$L$8771+tk_fac*(1-colo_sh))/1000+Sens!$L$8790</f>
        <v>126.458229016657</v>
      </c>
      <c r="M8789" s="38" t="n">
        <f aca="false">Sens!$M$8766*(Sens!$M$8771+tk_fac*(1-colo_sh))/1000+Sens!$M$8790</f>
        <v>123.897112724985</v>
      </c>
      <c r="P8789" s="5" t="s">
        <v>626</v>
      </c>
      <c r="R8789" s="38" t="n">
        <f aca="false">Q!$C$46-cx_rt*Q!$C$16-cx_awso*(Q!$C$7-mw_ye23/2*rpm_open/1000)</f>
        <v>1.50429979529945</v>
      </c>
      <c r="S8789" s="38" t="n">
        <f aca="false">Sens!$C$8789</f>
        <v>25.2781053077374</v>
      </c>
      <c r="T8789" s="38" t="n">
        <f aca="false">Sens!$D$8789</f>
        <v>69.5686316310026</v>
      </c>
      <c r="U8789" s="38" t="n">
        <f aca="false">Sens!$G$8789</f>
        <v>160.438050638011</v>
      </c>
      <c r="V8789" s="38" t="n">
        <f aca="false">Sens!$H$8789</f>
        <v>198.57136494475</v>
      </c>
      <c r="W8789" s="38" t="n">
        <f aca="false">Sens!$I$8789</f>
        <v>204.6464699105</v>
      </c>
      <c r="X8789" s="38" t="n">
        <f aca="false">Sens!$J$8789</f>
        <v>209.8832381105</v>
      </c>
      <c r="Y8789" s="38" t="n">
        <f aca="false">Sens!$K$8789</f>
        <v>152.460428963578</v>
      </c>
      <c r="Z8789" s="38" t="n">
        <f aca="false">Sens!$L$8789</f>
        <v>126.458229016657</v>
      </c>
      <c r="AA8789" s="38" t="n">
        <f aca="false">Sens!$M$8789</f>
        <v>123.897112724985</v>
      </c>
    </row>
    <row r="8790" customFormat="false" ht="17.15" hidden="false" customHeight="false" outlineLevel="0" collapsed="false">
      <c r="A8790" s="0" t="s">
        <v>627</v>
      </c>
      <c r="B8790" s="0" t="s">
        <v>86</v>
      </c>
      <c r="H8790" s="38" t="n">
        <f aca="false">SUMPRODUCT(--(Sens!$R$8759:$AA$8759=2027-tk_life),Sens!$R$8766:$AA$8766)*Sens!$H$8771/1000</f>
        <v>0</v>
      </c>
      <c r="I8790" s="38" t="n">
        <f aca="false">SUMPRODUCT(--(Sens!$R$8759:$AA$8759=2028-tk_life),Sens!$R$8766:$AA$8766)*Sens!$I$8771/1000</f>
        <v>0</v>
      </c>
      <c r="J8790" s="38" t="n">
        <f aca="false">SUMPRODUCT(--(Sens!$R$8759:$AA$8759=2029-tk_life),Sens!$R$8766:$AA$8766)*Sens!$J$8771/1000</f>
        <v>5.2367682</v>
      </c>
      <c r="K8790" s="38" t="n">
        <f aca="false">SUMPRODUCT(--(Sens!$R$8759:$AA$8759=2030-tk_life),Sens!$R$8766:$AA$8766)*Sens!$K$8771/1000</f>
        <v>10.4735364</v>
      </c>
      <c r="L8790" s="38" t="n">
        <f aca="false">SUMPRODUCT(--(Sens!$R$8759:$AA$8759=2031-tk_life),Sens!$R$8766:$AA$8766)*Sens!$L$8771/1000</f>
        <v>47.1309138</v>
      </c>
      <c r="M8790" s="38" t="n">
        <f aca="false">SUMPRODUCT(--(Sens!$R$8759:$AA$8759=2032-tk_life),Sens!$R$8766:$AA$8766)*Sens!$M$8771/1000</f>
        <v>107.22937485525</v>
      </c>
    </row>
    <row r="8791" customFormat="false" ht="17.15" hidden="false" customHeight="false" outlineLevel="0" collapsed="false">
      <c r="A8791" s="5" t="s">
        <v>628</v>
      </c>
      <c r="B8791" s="0" t="s">
        <v>86</v>
      </c>
      <c r="C8791" s="38" t="n">
        <f aca="false">Sens!$C$8789*Sens!$C$8788</f>
        <v>18.472138699801</v>
      </c>
      <c r="D8791" s="38" t="n">
        <f aca="false">Sens!$D$8789*Sens!$D$8788</f>
        <v>50.8377268390402</v>
      </c>
      <c r="E8791" s="38" t="n">
        <f aca="false">Sens!$E$8789*Sens!$E$8788</f>
        <v>48.8351995705653</v>
      </c>
      <c r="F8791" s="38" t="n">
        <f aca="false">Sens!$F$8789*Sens!$F$8788</f>
        <v>73.2248394895</v>
      </c>
      <c r="G8791" s="38" t="n">
        <f aca="false">Sens!$E$8791+Sens!$F$8791</f>
        <v>122.060039060065</v>
      </c>
      <c r="H8791" s="38" t="n">
        <f aca="false">(Sens!$H$8789-Sens!$H$8790)*Sens!$H$8788+Sens!$H$8790</f>
        <v>152.52478394475</v>
      </c>
      <c r="I8791" s="38" t="n">
        <f aca="false">(Sens!$I$8789-Sens!$I$8790)*Sens!$I$8788+Sens!$I$8790</f>
        <v>158.5998889105</v>
      </c>
      <c r="J8791" s="38" t="n">
        <f aca="false">(Sens!$J$8789-Sens!$J$8790)*Sens!$J$8788+Sens!$J$8790</f>
        <v>163.8366571105</v>
      </c>
      <c r="K8791" s="38" t="n">
        <f aca="false">(Sens!$K$8789-Sens!$K$8790)*Sens!$K$8788+Sens!$K$8790</f>
        <v>120.512597406912</v>
      </c>
      <c r="L8791" s="38" t="n">
        <f aca="false">(Sens!$L$8789-Sens!$L$8790)*Sens!$L$8788+Sens!$L$8790</f>
        <v>108.609146903323</v>
      </c>
      <c r="M8791" s="38" t="n">
        <f aca="false">(Sens!$M$8789-Sens!$M$8790)*Sens!$M$8788+Sens!$M$8790</f>
        <v>120.146780054985</v>
      </c>
      <c r="R8791" s="38" t="n">
        <f aca="false">Sens!$R$8789*Sens!$C$8788</f>
        <v>1.09927679019314</v>
      </c>
      <c r="S8791" s="38" t="n">
        <f aca="false">Sens!$C$8791</f>
        <v>18.472138699801</v>
      </c>
      <c r="T8791" s="38" t="n">
        <f aca="false">Sens!$D$8791</f>
        <v>50.8377268390402</v>
      </c>
      <c r="U8791" s="38" t="n">
        <f aca="false">Sens!$G$8791</f>
        <v>122.060039060065</v>
      </c>
      <c r="V8791" s="38" t="n">
        <f aca="false">Sens!$H$8791</f>
        <v>152.52478394475</v>
      </c>
      <c r="W8791" s="38" t="n">
        <f aca="false">Sens!$I$8791</f>
        <v>158.5998889105</v>
      </c>
      <c r="X8791" s="38" t="n">
        <f aca="false">Sens!$J$8791</f>
        <v>163.8366571105</v>
      </c>
      <c r="Y8791" s="38" t="n">
        <f aca="false">Sens!$K$8791</f>
        <v>120.512597406912</v>
      </c>
      <c r="Z8791" s="38" t="n">
        <f aca="false">Sens!$L$8791</f>
        <v>108.609146903323</v>
      </c>
      <c r="AA8791" s="38" t="n">
        <f aca="false">Sens!$M$8791</f>
        <v>120.146780054985</v>
      </c>
    </row>
    <row r="8792" customFormat="false" ht="15" hidden="false" customHeight="false" outlineLevel="0" collapsed="false">
      <c r="A8792" s="5" t="s">
        <v>629</v>
      </c>
      <c r="B8792" s="0" t="s">
        <v>86</v>
      </c>
      <c r="C8792" s="38" t="n">
        <f aca="false">Sens!$C$8789-Sens!$C$8791</f>
        <v>6.80596660793636</v>
      </c>
      <c r="D8792" s="38" t="n">
        <f aca="false">Sens!$D$8789-Sens!$D$8791</f>
        <v>18.7309047919624</v>
      </c>
      <c r="E8792" s="38" t="n">
        <f aca="false">Sens!$E$8789-Sens!$E$8791</f>
        <v>15.3547210779455</v>
      </c>
      <c r="F8792" s="38" t="n">
        <f aca="false">Sens!$F$8789-Sens!$F$8791</f>
        <v>23.0232905</v>
      </c>
      <c r="G8792" s="38" t="n">
        <f aca="false">Sens!$G$8789-Sens!$G$8791</f>
        <v>38.3780115779455</v>
      </c>
      <c r="H8792" s="38" t="n">
        <f aca="false">Sens!$H$8789-Sens!$H$8791</f>
        <v>46.046581</v>
      </c>
      <c r="I8792" s="38" t="n">
        <f aca="false">Sens!$I$8789-Sens!$I$8791</f>
        <v>46.046581</v>
      </c>
      <c r="J8792" s="38" t="n">
        <f aca="false">Sens!$J$8789-Sens!$J$8791</f>
        <v>46.046581</v>
      </c>
      <c r="K8792" s="38" t="n">
        <f aca="false">Sens!$K$8789-Sens!$K$8791</f>
        <v>31.9478315566667</v>
      </c>
      <c r="L8792" s="38" t="n">
        <f aca="false">Sens!$L$8789-Sens!$L$8791</f>
        <v>17.8490821133333</v>
      </c>
      <c r="M8792" s="38" t="n">
        <f aca="false">Sens!$M$8789-Sens!$M$8791</f>
        <v>3.75033267000001</v>
      </c>
      <c r="R8792" s="38" t="n">
        <f aca="false">Sens!$R$8789-Sens!$R$8791</f>
        <v>0.405023005106309</v>
      </c>
      <c r="S8792" s="38" t="n">
        <f aca="false">Sens!$S$8789-Sens!$S$8791</f>
        <v>6.80596660793636</v>
      </c>
      <c r="T8792" s="38" t="n">
        <f aca="false">Sens!$T$8789-Sens!$T$8791</f>
        <v>18.7309047919624</v>
      </c>
      <c r="U8792" s="38" t="n">
        <f aca="false">Sens!$U$8789-Sens!$U$8791</f>
        <v>38.3780115779455</v>
      </c>
      <c r="V8792" s="38" t="n">
        <f aca="false">Sens!$V$8789-Sens!$V$8791</f>
        <v>46.046581</v>
      </c>
      <c r="W8792" s="38" t="n">
        <f aca="false">Sens!$W$8789-Sens!$W$8791</f>
        <v>46.046581</v>
      </c>
      <c r="X8792" s="38" t="n">
        <f aca="false">Sens!$X$8789-Sens!$X$8791</f>
        <v>46.046581</v>
      </c>
      <c r="Y8792" s="38" t="n">
        <f aca="false">Sens!$Y$8789-Sens!$Y$8791</f>
        <v>31.9478315566667</v>
      </c>
      <c r="Z8792" s="38" t="n">
        <f aca="false">Sens!$Z$8789-Sens!$Z$8791</f>
        <v>17.8490821133333</v>
      </c>
      <c r="AA8792" s="38" t="n">
        <f aca="false">Sens!$AA$8789-Sens!$AA$8791</f>
        <v>3.75033267000001</v>
      </c>
    </row>
    <row r="8793" customFormat="false" ht="17.15" hidden="false" customHeight="false" outlineLevel="0" collapsed="false">
      <c r="A8793" s="0" t="s">
        <v>630</v>
      </c>
      <c r="B8793" s="0" t="s">
        <v>52</v>
      </c>
      <c r="C8793" s="13" t="n">
        <f aca="false">Sens!$C$8789/Sens!$C$8909</f>
        <v>0.325505489553393</v>
      </c>
      <c r="D8793" s="13" t="n">
        <f aca="false">Sens!$D$8789/Sens!$D$8909</f>
        <v>0.54214956071542</v>
      </c>
      <c r="E8793" s="13" t="n">
        <f aca="false">Sens!$E$8789/Sens!$E$8909</f>
        <v>0.666492790452817</v>
      </c>
      <c r="F8793" s="13" t="n">
        <f aca="false">Sens!$F$8789/Sens!$F$8909</f>
        <v>0.733477910687338</v>
      </c>
      <c r="G8793" s="13" t="n">
        <f aca="false">Sens!$G$8789/Sens!$G$8909</f>
        <v>0.705124321514523</v>
      </c>
      <c r="H8793" s="13" t="n">
        <f aca="false">Sens!$H$8789/Sens!$H$8909</f>
        <v>0.726376041178204</v>
      </c>
      <c r="I8793" s="13" t="n">
        <f aca="false">Sens!$I$8789/Sens!$I$8909</f>
        <v>0.713099092661699</v>
      </c>
      <c r="J8793" s="13" t="n">
        <f aca="false">Sens!$J$8789/Sens!$J$8909</f>
        <v>0.701208348786245</v>
      </c>
      <c r="K8793" s="13" t="n">
        <f aca="false">Sens!$K$8789/Sens!$K$8909</f>
        <v>0.614068498670476</v>
      </c>
      <c r="L8793" s="13" t="n">
        <f aca="false">Sens!$L$8789/Sens!$L$8909</f>
        <v>0.551880938289018</v>
      </c>
      <c r="M8793" s="13" t="n">
        <f aca="false">Sens!$M$8789/Sens!$M$8909</f>
        <v>0.529570283055906</v>
      </c>
    </row>
    <row r="8794" customFormat="false" ht="17.15" hidden="false" customHeight="false" outlineLevel="0" collapsed="false">
      <c r="A8794" s="0" t="s">
        <v>631</v>
      </c>
      <c r="B8794" s="0" t="s">
        <v>86</v>
      </c>
      <c r="C8794" s="38" t="n">
        <f aca="false">Sens!$S$8794</f>
        <v>0.183212798365523</v>
      </c>
      <c r="D8794" s="38" t="n">
        <f aca="false">Sens!$T$8794</f>
        <v>3.2619025816657</v>
      </c>
      <c r="E8794" s="38" t="n">
        <f aca="false">Sens!$G$8794/2</f>
        <v>5.86742852741953</v>
      </c>
      <c r="F8794" s="38" t="n">
        <f aca="false">Sens!$G$8794/2</f>
        <v>5.86742852741953</v>
      </c>
      <c r="G8794" s="38" t="n">
        <f aca="false">Sens!$U$8794</f>
        <v>11.7348570548391</v>
      </c>
      <c r="H8794" s="38" t="n">
        <f aca="false">Sens!$V$8794</f>
        <v>32.0781968981833</v>
      </c>
      <c r="I8794" s="38" t="n">
        <f aca="false">Sens!$W$8794</f>
        <v>57.4989942223083</v>
      </c>
      <c r="J8794" s="38" t="n">
        <f aca="false">Sens!$X$8794</f>
        <v>83.932309040725</v>
      </c>
      <c r="K8794" s="38" t="n">
        <f aca="false">Sens!$Y$8794</f>
        <v>111.055205760776</v>
      </c>
      <c r="L8794" s="38" t="n">
        <f aca="false">Sens!$Z$8794</f>
        <v>128.061948878628</v>
      </c>
      <c r="M8794" s="38" t="n">
        <f aca="false">Sens!$AA$8794</f>
        <v>137.690518889342</v>
      </c>
      <c r="N8794" s="38" t="n">
        <f aca="false">Sens!$D$8794/2</f>
        <v>1.63095129083285</v>
      </c>
      <c r="O8794" s="38" t="n">
        <f aca="false">Sens!$D$8794/2</f>
        <v>1.63095129083285</v>
      </c>
      <c r="R8794" s="38" t="n">
        <f aca="false">SUMPRODUCT(--(Sens!$R$8759:$AA$8759&lt;Sens!R$8759),--(Sens!$R$8759:$AA$8759&gt;=Sens!R$8759-tk_life),Sens!$R$8791:$AA$8791)/tk_life</f>
        <v>0</v>
      </c>
      <c r="S8794" s="38" t="n">
        <f aca="false">SUMPRODUCT(--(Sens!$R$8759:$AA$8759&lt;Sens!S$8759),--(Sens!$R$8759:$AA$8759&gt;=Sens!S$8759-tk_life),Sens!$R$8791:$AA$8791)/tk_life</f>
        <v>0.183212798365523</v>
      </c>
      <c r="T8794" s="38" t="n">
        <f aca="false">SUMPRODUCT(--(Sens!$R$8759:$AA$8759&lt;Sens!T$8759),--(Sens!$R$8759:$AA$8759&gt;=Sens!T$8759-tk_life),Sens!$R$8791:$AA$8791)/tk_life</f>
        <v>3.2619025816657</v>
      </c>
      <c r="U8794" s="38" t="n">
        <f aca="false">SUMPRODUCT(--(Sens!$R$8759:$AA$8759&lt;Sens!U$8759),--(Sens!$R$8759:$AA$8759&gt;=Sens!U$8759-tk_life),Sens!$R$8791:$AA$8791)/tk_life</f>
        <v>11.7348570548391</v>
      </c>
      <c r="V8794" s="38" t="n">
        <f aca="false">SUMPRODUCT(--(Sens!$R$8759:$AA$8759&lt;Sens!V$8759),--(Sens!$R$8759:$AA$8759&gt;=Sens!V$8759-tk_life),Sens!$R$8791:$AA$8791)/tk_life</f>
        <v>32.0781968981833</v>
      </c>
      <c r="W8794" s="38" t="n">
        <f aca="false">SUMPRODUCT(--(Sens!$R$8759:$AA$8759&lt;Sens!W$8759),--(Sens!$R$8759:$AA$8759&gt;=Sens!W$8759-tk_life),Sens!$R$8791:$AA$8791)/tk_life</f>
        <v>57.4989942223083</v>
      </c>
      <c r="X8794" s="38" t="n">
        <f aca="false">SUMPRODUCT(--(Sens!$R$8759:$AA$8759&lt;Sens!X$8759),--(Sens!$R$8759:$AA$8759&gt;=Sens!X$8759-tk_life),Sens!$R$8791:$AA$8791)/tk_life</f>
        <v>83.932309040725</v>
      </c>
      <c r="Y8794" s="38" t="n">
        <f aca="false">SUMPRODUCT(--(Sens!$R$8759:$AA$8759&lt;Sens!Y$8759),--(Sens!$R$8759:$AA$8759&gt;=Sens!Y$8759-tk_life),Sens!$R$8791:$AA$8791)/tk_life</f>
        <v>111.055205760776</v>
      </c>
      <c r="Z8794" s="38" t="n">
        <f aca="false">SUMPRODUCT(--(Sens!$R$8759:$AA$8759&lt;Sens!Z$8759),--(Sens!$R$8759:$AA$8759&gt;=Sens!Z$8759-tk_life),Sens!$R$8791:$AA$8791)/tk_life</f>
        <v>128.061948878628</v>
      </c>
      <c r="AA8794" s="38" t="n">
        <f aca="false">SUMPRODUCT(--(Sens!$R$8759:$AA$8759&lt;Sens!AA$8759),--(Sens!$R$8759:$AA$8759&gt;=Sens!AA$8759-tk_life),Sens!$R$8791:$AA$8791)/tk_life</f>
        <v>137.690518889342</v>
      </c>
    </row>
    <row r="8795" customFormat="false" ht="17.15" hidden="false" customHeight="false" outlineLevel="0" collapsed="false">
      <c r="A8795" s="0" t="s">
        <v>632</v>
      </c>
      <c r="B8795" s="0" t="s">
        <v>86</v>
      </c>
      <c r="C8795" s="38" t="n">
        <f aca="false">Sens!$S$8795</f>
        <v>0.0202511502553155</v>
      </c>
      <c r="D8795" s="38" t="n">
        <f aca="false">Sens!$T$8795</f>
        <v>0.360549480652134</v>
      </c>
      <c r="E8795" s="38" t="n">
        <f aca="false">Sens!$G$8795/2</f>
        <v>0.648547360125127</v>
      </c>
      <c r="F8795" s="38" t="n">
        <f aca="false">Sens!$G$8795/2</f>
        <v>0.648547360125127</v>
      </c>
      <c r="G8795" s="38" t="n">
        <f aca="false">Sens!$U$8795</f>
        <v>1.29709472025025</v>
      </c>
      <c r="H8795" s="38" t="n">
        <f aca="false">Sens!$V$8795</f>
        <v>3.21599529914753</v>
      </c>
      <c r="I8795" s="38" t="n">
        <f aca="false">Sens!$W$8795</f>
        <v>5.51832434914753</v>
      </c>
      <c r="J8795" s="38" t="n">
        <f aca="false">Sens!$X$8795</f>
        <v>7.82065339914753</v>
      </c>
      <c r="K8795" s="38" t="n">
        <f aca="false">Sens!$Y$8795</f>
        <v>10.1229824491475</v>
      </c>
      <c r="L8795" s="38" t="n">
        <f aca="false">Sens!$Z$8795</f>
        <v>11.7203740269809</v>
      </c>
      <c r="M8795" s="38" t="n">
        <f aca="false">Sens!$AA$8795</f>
        <v>12.6128281326475</v>
      </c>
      <c r="N8795" s="38" t="n">
        <f aca="false">Sens!$D$8795/2</f>
        <v>0.180274740326067</v>
      </c>
      <c r="O8795" s="38" t="n">
        <f aca="false">Sens!$D$8795/2</f>
        <v>0.180274740326067</v>
      </c>
      <c r="R8795" s="38" t="n">
        <f aca="false">SUMPRODUCT(--(Sens!$R$8759:$AA$8759&lt;Sens!R$8759),Sens!$R$8792:$AA$8792)/fac_life</f>
        <v>0</v>
      </c>
      <c r="S8795" s="38" t="n">
        <f aca="false">SUMPRODUCT(--(Sens!$R$8759:$AA$8759&lt;Sens!S$8759),Sens!$R$8792:$AA$8792)/fac_life</f>
        <v>0.0202511502553155</v>
      </c>
      <c r="T8795" s="38" t="n">
        <f aca="false">SUMPRODUCT(--(Sens!$R$8759:$AA$8759&lt;Sens!T$8759),Sens!$R$8792:$AA$8792)/fac_life</f>
        <v>0.360549480652134</v>
      </c>
      <c r="U8795" s="38" t="n">
        <f aca="false">SUMPRODUCT(--(Sens!$R$8759:$AA$8759&lt;Sens!U$8759),Sens!$R$8792:$AA$8792)/fac_life</f>
        <v>1.29709472025025</v>
      </c>
      <c r="V8795" s="38" t="n">
        <f aca="false">SUMPRODUCT(--(Sens!$R$8759:$AA$8759&lt;Sens!V$8759),Sens!$R$8792:$AA$8792)/fac_life</f>
        <v>3.21599529914753</v>
      </c>
      <c r="W8795" s="38" t="n">
        <f aca="false">SUMPRODUCT(--(Sens!$R$8759:$AA$8759&lt;Sens!W$8759),Sens!$R$8792:$AA$8792)/fac_life</f>
        <v>5.51832434914753</v>
      </c>
      <c r="X8795" s="38" t="n">
        <f aca="false">SUMPRODUCT(--(Sens!$R$8759:$AA$8759&lt;Sens!X$8759),Sens!$R$8792:$AA$8792)/fac_life</f>
        <v>7.82065339914753</v>
      </c>
      <c r="Y8795" s="38" t="n">
        <f aca="false">SUMPRODUCT(--(Sens!$R$8759:$AA$8759&lt;Sens!Y$8759),Sens!$R$8792:$AA$8792)/fac_life</f>
        <v>10.1229824491475</v>
      </c>
      <c r="Z8795" s="38" t="n">
        <f aca="false">SUMPRODUCT(--(Sens!$R$8759:$AA$8759&lt;Sens!Z$8759),Sens!$R$8792:$AA$8792)/fac_life</f>
        <v>11.7203740269809</v>
      </c>
      <c r="AA8795" s="38" t="n">
        <f aca="false">SUMPRODUCT(--(Sens!$R$8759:$AA$8759&lt;Sens!AA$8759),Sens!$R$8792:$AA$8792)/fac_life</f>
        <v>12.6128281326475</v>
      </c>
    </row>
    <row r="8796" customFormat="false" ht="17.15" hidden="false" customHeight="false" outlineLevel="0" collapsed="false">
      <c r="A8796" s="1" t="s">
        <v>633</v>
      </c>
      <c r="B8796" s="8" t="s">
        <v>86</v>
      </c>
      <c r="C8796" s="38" t="n">
        <f aca="false">Sens!$C$8794+Sens!$C$8795</f>
        <v>0.203463948620839</v>
      </c>
      <c r="D8796" s="38" t="n">
        <f aca="false">Sens!$D$8794+Sens!$D$8795</f>
        <v>3.62245206231783</v>
      </c>
      <c r="E8796" s="38" t="n">
        <f aca="false">Sens!$E$8794+Sens!$E$8795</f>
        <v>6.51597588754466</v>
      </c>
      <c r="F8796" s="38" t="n">
        <f aca="false">Sens!$F$8794+Sens!$F$8795</f>
        <v>6.51597588754466</v>
      </c>
      <c r="G8796" s="38" t="n">
        <f aca="false">Sens!$G$8794+Sens!$G$8795</f>
        <v>13.0319517750893</v>
      </c>
      <c r="H8796" s="38" t="n">
        <f aca="false">Sens!$H$8794+Sens!$H$8795</f>
        <v>35.2941921973308</v>
      </c>
      <c r="I8796" s="38" t="n">
        <f aca="false">Sens!$I$8794+Sens!$I$8795</f>
        <v>63.0173185714558</v>
      </c>
      <c r="J8796" s="38" t="n">
        <f aca="false">Sens!$J$8794+Sens!$J$8795</f>
        <v>91.7529624398725</v>
      </c>
      <c r="K8796" s="38" t="n">
        <f aca="false">Sens!$K$8794+Sens!$K$8795</f>
        <v>121.178188209924</v>
      </c>
      <c r="L8796" s="38" t="n">
        <f aca="false">Sens!$L$8794+Sens!$L$8795</f>
        <v>139.782322905609</v>
      </c>
      <c r="M8796" s="38" t="n">
        <f aca="false">Sens!$M$8794+Sens!$M$8795</f>
        <v>150.303347021989</v>
      </c>
      <c r="N8796" s="38" t="n">
        <f aca="false">Sens!$N$8794+Sens!$N$8795</f>
        <v>1.81122603115892</v>
      </c>
      <c r="O8796" s="38" t="n">
        <f aca="false">Sens!$O$8794+Sens!$O$8795</f>
        <v>1.81122603115892</v>
      </c>
      <c r="R8796" s="38" t="n">
        <f aca="false">Sens!$R$8794+Sens!$R$8795</f>
        <v>0</v>
      </c>
      <c r="S8796" s="38" t="n">
        <f aca="false">Sens!$S$8794+Sens!$S$8795</f>
        <v>0.203463948620839</v>
      </c>
      <c r="T8796" s="38" t="n">
        <f aca="false">Sens!$T$8794+Sens!$T$8795</f>
        <v>3.62245206231783</v>
      </c>
      <c r="U8796" s="38" t="n">
        <f aca="false">Sens!$U$8794+Sens!$U$8795</f>
        <v>13.0319517750893</v>
      </c>
      <c r="V8796" s="38" t="n">
        <f aca="false">Sens!$V$8794+Sens!$V$8795</f>
        <v>35.2941921973308</v>
      </c>
      <c r="W8796" s="38" t="n">
        <f aca="false">Sens!$W$8794+Sens!$W$8795</f>
        <v>63.0173185714558</v>
      </c>
      <c r="X8796" s="38" t="n">
        <f aca="false">Sens!$X$8794+Sens!$X$8795</f>
        <v>91.7529624398725</v>
      </c>
      <c r="Y8796" s="38" t="n">
        <f aca="false">Sens!$Y$8794+Sens!$Y$8795</f>
        <v>121.178188209924</v>
      </c>
      <c r="Z8796" s="38" t="n">
        <f aca="false">Sens!$Z$8794+Sens!$Z$8795</f>
        <v>139.782322905609</v>
      </c>
      <c r="AA8796" s="38" t="n">
        <f aca="false">Sens!$AA$8794+Sens!$AA$8795</f>
        <v>150.303347021989</v>
      </c>
    </row>
    <row r="8797" customFormat="false" ht="17.15" hidden="false" customHeight="false" outlineLevel="0" collapsed="false">
      <c r="A8797" s="0" t="s">
        <v>634</v>
      </c>
      <c r="B8797" s="0" t="s">
        <v>86</v>
      </c>
      <c r="C8797" s="38" t="n">
        <f aca="false">Sens!$S$8797</f>
        <v>26.578941154416</v>
      </c>
      <c r="D8797" s="38" t="n">
        <f aca="false">Sens!$T$8797</f>
        <v>92.5251207231008</v>
      </c>
      <c r="G8797" s="38" t="n">
        <f aca="false">Sens!$U$8797</f>
        <v>239.931219586022</v>
      </c>
      <c r="H8797" s="38" t="n">
        <f aca="false">Sens!$V$8797</f>
        <v>403.208392333442</v>
      </c>
      <c r="I8797" s="38" t="n">
        <f aca="false">Sens!$W$8797</f>
        <v>544.837543672486</v>
      </c>
      <c r="J8797" s="38" t="n">
        <f aca="false">Sens!$X$8797</f>
        <v>662.967819343113</v>
      </c>
      <c r="K8797" s="38" t="n">
        <f aca="false">Sens!$Y$8797</f>
        <v>694.250060096768</v>
      </c>
      <c r="L8797" s="38" t="n">
        <f aca="false">Sens!$Z$8797</f>
        <v>680.925966207816</v>
      </c>
      <c r="M8797" s="38" t="n">
        <f aca="false">Sens!$AA$8797</f>
        <v>654.519731910812</v>
      </c>
      <c r="R8797" s="38" t="n">
        <f aca="false">SUM(Sens!$R$8789:$R$8789)-SUM(Sens!$R$8796:$R$8796)</f>
        <v>1.50429979529945</v>
      </c>
      <c r="S8797" s="38" t="n">
        <f aca="false">SUM(Sens!$R$8789:$S$8789)-SUM(Sens!$R$8796:$S$8796)</f>
        <v>26.578941154416</v>
      </c>
      <c r="T8797" s="38" t="n">
        <f aca="false">SUM(Sens!$R$8789:$T$8789)-SUM(Sens!$R$8796:$T$8796)</f>
        <v>92.5251207231008</v>
      </c>
      <c r="U8797" s="38" t="n">
        <f aca="false">SUM(Sens!$R$8789:$U$8789)-SUM(Sens!$R$8796:$U$8796)</f>
        <v>239.931219586022</v>
      </c>
      <c r="V8797" s="38" t="n">
        <f aca="false">SUM(Sens!$R$8789:$V$8789)-SUM(Sens!$R$8796:$V$8796)</f>
        <v>403.208392333442</v>
      </c>
      <c r="W8797" s="38" t="n">
        <f aca="false">SUM(Sens!$R$8789:$W$8789)-SUM(Sens!$R$8796:$W$8796)</f>
        <v>544.837543672486</v>
      </c>
      <c r="X8797" s="38" t="n">
        <f aca="false">SUM(Sens!$R$8789:$X$8789)-SUM(Sens!$R$8796:$X$8796)</f>
        <v>662.967819343113</v>
      </c>
      <c r="Y8797" s="38" t="n">
        <f aca="false">SUM(Sens!$R$8789:$Y$8789)-SUM(Sens!$R$8796:$Y$8796)</f>
        <v>694.250060096768</v>
      </c>
      <c r="Z8797" s="38" t="n">
        <f aca="false">SUM(Sens!$R$8789:$Z$8789)-SUM(Sens!$R$8796:$Z$8796)</f>
        <v>680.925966207816</v>
      </c>
      <c r="AA8797" s="38" t="n">
        <f aca="false">SUM(Sens!$R$8789:$AA$8789)-SUM(Sens!$R$8796:$AA$8796)</f>
        <v>654.519731910812</v>
      </c>
    </row>
    <row r="8798" customFormat="false" ht="17.15" hidden="false" customHeight="false" outlineLevel="0" collapsed="false">
      <c r="A8798" s="1" t="s">
        <v>635</v>
      </c>
    </row>
    <row r="8799" customFormat="false" ht="17.15" hidden="false" customHeight="false" outlineLevel="0" collapsed="false">
      <c r="A8799" s="0" t="s">
        <v>636</v>
      </c>
      <c r="B8799" s="0" t="s">
        <v>86</v>
      </c>
      <c r="C8799" s="38" t="n">
        <f aca="false">Sens!$C$8780-ext_sh*Sens!$C$8782</f>
        <v>1.80694998843362</v>
      </c>
      <c r="D8799" s="38" t="n">
        <f aca="false">Sens!$D$8780-ext_sh*Sens!$D$8782</f>
        <v>6.77606245662607</v>
      </c>
      <c r="E8799" s="38" t="n">
        <f aca="false">Sens!$E$8780-ext_sh*Sens!$E$8782</f>
        <v>6.62548329092326</v>
      </c>
      <c r="F8799" s="38" t="n">
        <f aca="false">Sens!$F$8780-ext_sh*Sens!$F$8782</f>
        <v>11.7200577158706</v>
      </c>
      <c r="G8799" s="38" t="n">
        <f aca="false">Sens!$G$8780-ext_sh*Sens!$G$8782</f>
        <v>18.3455410067939</v>
      </c>
      <c r="H8799" s="38" t="n">
        <f aca="false">Sens!$H$8780-ext_sh*Sens!$H$8782</f>
        <v>47.5171727060453</v>
      </c>
      <c r="I8799" s="38" t="n">
        <f aca="false">Sens!$I$8780-ext_sh*Sens!$I$8782</f>
        <v>80.5539692643667</v>
      </c>
      <c r="J8799" s="38" t="n">
        <f aca="false">Sens!$J$8780-ext_sh*Sens!$J$8782</f>
        <v>113.759316834883</v>
      </c>
      <c r="K8799" s="38" t="n">
        <f aca="false">Sens!$K$8780-ext_sh*Sens!$K$8782</f>
        <v>141.855203603144</v>
      </c>
      <c r="L8799" s="38" t="n">
        <f aca="false">Sens!$L$8780-ext_sh*Sens!$L$8782</f>
        <v>159.789055430453</v>
      </c>
      <c r="M8799" s="38" t="n">
        <f aca="false">Sens!$M$8780-ext_sh*Sens!$M$8782</f>
        <v>167.532378081213</v>
      </c>
      <c r="N8799" s="38" t="n">
        <f aca="false">Sens!$N$8780-ext_sh*Sens!$N$8782</f>
        <v>2.37162185981912</v>
      </c>
      <c r="O8799" s="38" t="n">
        <f aca="false">Sens!$O$8780-ext_sh*Sens!$O$8782</f>
        <v>4.40444059680694</v>
      </c>
    </row>
    <row r="8800" customFormat="false" ht="17.15" hidden="false" customHeight="false" outlineLevel="0" collapsed="false">
      <c r="A8800" s="1" t="s">
        <v>637</v>
      </c>
      <c r="B8800" s="8" t="s">
        <v>86</v>
      </c>
      <c r="C8800" s="38" t="n">
        <f aca="false">Sens!$C$8799-ext_sh*Sens!$C$8796</f>
        <v>1.64417882953695</v>
      </c>
      <c r="D8800" s="38" t="n">
        <f aca="false">Sens!$D$8799-ext_sh*Sens!$D$8796</f>
        <v>3.8781008067718</v>
      </c>
      <c r="E8800" s="38" t="n">
        <f aca="false">Sens!$E$8799-ext_sh*Sens!$E$8796</f>
        <v>1.41270258088753</v>
      </c>
      <c r="F8800" s="38" t="n">
        <f aca="false">Sens!$F$8799-ext_sh*Sens!$F$8796</f>
        <v>6.50727700583486</v>
      </c>
      <c r="G8800" s="38" t="n">
        <f aca="false">Sens!$G$8799-ext_sh*Sens!$G$8796</f>
        <v>7.9199795867224</v>
      </c>
      <c r="H8800" s="38" t="n">
        <f aca="false">Sens!$H$8799-ext_sh*Sens!$H$8796</f>
        <v>19.2818189481807</v>
      </c>
      <c r="I8800" s="38" t="n">
        <f aca="false">Sens!$I$8799-ext_sh*Sens!$I$8796</f>
        <v>30.140114407202</v>
      </c>
      <c r="J8800" s="38" t="n">
        <f aca="false">Sens!$J$8799-ext_sh*Sens!$J$8796</f>
        <v>40.3569468829854</v>
      </c>
      <c r="K8800" s="38" t="n">
        <f aca="false">Sens!$K$8799-ext_sh*Sens!$K$8796</f>
        <v>44.9126530352048</v>
      </c>
      <c r="L8800" s="38" t="n">
        <f aca="false">Sens!$L$8799-ext_sh*Sens!$L$8796</f>
        <v>47.9631971059665</v>
      </c>
      <c r="M8800" s="38" t="n">
        <f aca="false">Sens!$M$8799-ext_sh*Sens!$M$8796</f>
        <v>47.2897004636212</v>
      </c>
      <c r="N8800" s="38" t="n">
        <f aca="false">Sens!$N$8799-ext_sh*Sens!$N$8796</f>
        <v>0.92264103489199</v>
      </c>
      <c r="O8800" s="38" t="n">
        <f aca="false">Sens!$O$8799-ext_sh*Sens!$O$8796</f>
        <v>2.95545977187981</v>
      </c>
    </row>
    <row r="8801" customFormat="false" ht="17.15" hidden="false" customHeight="false" outlineLevel="0" collapsed="false">
      <c r="A8801" s="0" t="s">
        <v>638</v>
      </c>
      <c r="B8801" s="0" t="s">
        <v>52</v>
      </c>
      <c r="C8801" s="13" t="n">
        <f aca="false">Sens!$C$8800/Sens!$C$8780</f>
        <v>0.708390794789371</v>
      </c>
      <c r="D8801" s="13" t="n">
        <f aca="false">Sens!$D$8800/Sens!$D$8780</f>
        <v>0.445565630441968</v>
      </c>
      <c r="E8801" s="13" t="n">
        <f aca="false">Sens!$E$8800/Sens!$E$8780</f>
        <v>0.165998118402711</v>
      </c>
      <c r="F8801" s="13" t="n">
        <f aca="false">Sens!$F$8800/Sens!$F$8780</f>
        <v>0.434878595403858</v>
      </c>
      <c r="G8801" s="13" t="n">
        <f aca="false">Sens!$G$8800/Sens!$G$8780</f>
        <v>0.3373967615381</v>
      </c>
      <c r="H8801" s="13" t="n">
        <f aca="false">Sens!$H$8800/Sens!$H$8780</f>
        <v>0.320477578041224</v>
      </c>
      <c r="I8801" s="13" t="n">
        <f aca="false">Sens!$I$8800/Sens!$I$8780</f>
        <v>0.296936118226494</v>
      </c>
      <c r="J8801" s="13" t="n">
        <f aca="false">Sens!$J$8800/Sens!$J$8780</f>
        <v>0.282166278613001</v>
      </c>
      <c r="K8801" s="13" t="n">
        <f aca="false">Sens!$K$8800/Sens!$K$8780</f>
        <v>0.252088678937066</v>
      </c>
      <c r="L8801" s="13" t="n">
        <f aca="false">Sens!$L$8800/Sens!$L$8780</f>
        <v>0.239109533373036</v>
      </c>
      <c r="M8801" s="13" t="n">
        <f aca="false">Sens!$M$8800/Sens!$M$8780</f>
        <v>0.224888480009211</v>
      </c>
      <c r="N8801" s="13" t="n">
        <f aca="false">Sens!$N$8800/Sens!$N$8780</f>
        <v>0.302870734830849</v>
      </c>
      <c r="O8801" s="13" t="n">
        <f aca="false">Sens!$O$8800/Sens!$O$8780</f>
        <v>0.52240134346334</v>
      </c>
    </row>
    <row r="8802" customFormat="false" ht="17.15" hidden="false" customHeight="false" outlineLevel="0" collapsed="false">
      <c r="A8802" s="5" t="s">
        <v>639</v>
      </c>
      <c r="B8802" s="0" t="s">
        <v>86</v>
      </c>
      <c r="C8802" s="39" t="n">
        <v>0</v>
      </c>
      <c r="D8802" s="39" t="n">
        <v>0</v>
      </c>
      <c r="E8802" s="39" t="n">
        <v>0</v>
      </c>
      <c r="F8802" s="38" t="n">
        <f aca="false">IF(internal_ai_reading=2,1,0)*(1-ext_sh)/ext_sh*(mw_open*he_open+Sens!$F$8778*Sens!$F$8775)*Sens!$F$8764/1000</f>
        <v>3.77122048175818</v>
      </c>
      <c r="G8802" s="38" t="n">
        <f aca="false">Sens!$E$8802+Sens!$F$8802</f>
        <v>3.77122048175818</v>
      </c>
      <c r="H8802" s="38" t="n">
        <f aca="false">IF(internal_ai_reading=2,1,0)*(1-ext_sh)/ext_sh*(mw_open*he_open+Sens!$H$8778*Sens!$H$8775)*Sens!$H$8764/1000</f>
        <v>15.1635543609893</v>
      </c>
      <c r="I8802" s="38" t="n">
        <f aca="false">IF(internal_ai_reading=2,1,0)*(1-ext_sh)/ext_sh*(mw_open*he_open+Sens!$I$8778*Sens!$I$8775)*Sens!$I$8764/1000</f>
        <v>25.5818843619889</v>
      </c>
      <c r="J8802" s="38" t="n">
        <f aca="false">IF(internal_ai_reading=2,1,0)*(1-ext_sh)/ext_sh*(mw_open*he_open+Sens!$J$8778*Sens!$J$8775)*Sens!$J$8764/1000</f>
        <v>36.0465624179122</v>
      </c>
      <c r="K8802" s="38" t="n">
        <f aca="false">IF(internal_ai_reading=2,1,0)*(1-ext_sh)/ext_sh*(mw_open*he_open+Sens!$K$8778*Sens!$K$8775)*Sens!$K$8764/1000</f>
        <v>44.9020355557576</v>
      </c>
      <c r="L8802" s="38" t="n">
        <f aca="false">IF(internal_ai_reading=2,1,0)*(1-ext_sh)/ext_sh*(mw_open*he_open+Sens!$L$8778*Sens!$L$8775)*Sens!$L$8764/1000</f>
        <v>50.55474151763</v>
      </c>
      <c r="M8802" s="38" t="n">
        <f aca="false">IF(internal_ai_reading=2,1,0)*(1-ext_sh)/ext_sh*(mw_open*he_open+Sens!$M$8778*Sens!$M$8775)*Sens!$M$8764/1000</f>
        <v>52.9968449759368</v>
      </c>
      <c r="N8802" s="39" t="n">
        <v>0</v>
      </c>
      <c r="O8802" s="39" t="n">
        <v>0</v>
      </c>
      <c r="P8802" s="8" t="s">
        <v>640</v>
      </c>
    </row>
    <row r="8803" customFormat="false" ht="17.15" hidden="false" customHeight="false" outlineLevel="0" collapsed="false">
      <c r="A8803" s="5" t="s">
        <v>641</v>
      </c>
      <c r="B8803" s="0" t="s">
        <v>86</v>
      </c>
      <c r="C8803" s="38" t="n">
        <f aca="false">(1-ext_sh)*(Sens!$C$8782+Sens!$C$8796)</f>
        <v>0.169206631859174</v>
      </c>
      <c r="D8803" s="38" t="n">
        <f aca="false">(1-ext_sh)*(Sens!$D$8782+Sens!$D$8796)</f>
        <v>1.20641732046984</v>
      </c>
      <c r="E8803" s="38" t="n">
        <f aca="false">(1-ext_sh)*(Sens!$E$8782+Sens!$E$8796)</f>
        <v>1.77441259867062</v>
      </c>
      <c r="F8803" s="38" t="n">
        <f aca="false">(1-ext_sh)*(Sens!$F$8782+Sens!$F$8796)</f>
        <v>2.1140391597214</v>
      </c>
      <c r="G8803" s="38" t="n">
        <f aca="false">(1-ext_sh)*(Sens!$G$8782+Sens!$G$8796)</f>
        <v>3.88845175839202</v>
      </c>
      <c r="H8803" s="38" t="n">
        <f aca="false">(1-ext_sh)*(Sens!$H$8782+Sens!$H$8796)</f>
        <v>10.2210179503985</v>
      </c>
      <c r="I8803" s="38" t="n">
        <f aca="false">(1-ext_sh)*(Sens!$I$8782+Sens!$I$8796)</f>
        <v>17.8408961823075</v>
      </c>
      <c r="J8803" s="38" t="n">
        <f aca="false">(1-ext_sh)*(Sens!$J$8782+Sens!$J$8796)</f>
        <v>25.6671150670732</v>
      </c>
      <c r="K8803" s="38" t="n">
        <f aca="false">(1-ext_sh)*(Sens!$K$8782+Sens!$K$8796)</f>
        <v>33.3123663125577</v>
      </c>
      <c r="L8803" s="38" t="n">
        <f aca="false">(1-ext_sh)*(Sens!$L$8782+Sens!$L$8796)</f>
        <v>38.1569263592936</v>
      </c>
      <c r="M8803" s="38" t="n">
        <f aca="false">(1-ext_sh)*(Sens!$M$8782+Sens!$M$8796)</f>
        <v>40.7477426197701</v>
      </c>
      <c r="N8803" s="38" t="n">
        <f aca="false">(1-ext_sh)*(Sens!$N$8782+Sens!$N$8796)</f>
        <v>0.530919624033979</v>
      </c>
      <c r="O8803" s="38" t="n">
        <f aca="false">(1-ext_sh)*(Sens!$O$8782+Sens!$O$8796)</f>
        <v>0.675497696435861</v>
      </c>
    </row>
    <row r="8804" customFormat="false" ht="17.15" hidden="false" customHeight="false" outlineLevel="0" collapsed="false">
      <c r="A8804" s="0" t="s">
        <v>642</v>
      </c>
      <c r="B8804" s="0" t="s">
        <v>86</v>
      </c>
      <c r="C8804" s="38" t="n">
        <f aca="false">Q!$D$24</f>
        <v>39.834</v>
      </c>
      <c r="D8804" s="38" t="n">
        <f aca="false">Q!$E$24</f>
        <v>45.606</v>
      </c>
      <c r="E8804" s="38" t="n">
        <f aca="false">Q!$P$24</f>
        <v>30.782</v>
      </c>
      <c r="N8804" s="38" t="n">
        <f aca="false">Q!$N$24</f>
        <v>21.707</v>
      </c>
      <c r="O8804" s="38" t="n">
        <f aca="false">Q!$O$24</f>
        <v>23.899</v>
      </c>
    </row>
    <row r="8805" customFormat="false" ht="17.15" hidden="false" customHeight="false" outlineLevel="0" collapsed="false">
      <c r="A8805" s="0" t="s">
        <v>643</v>
      </c>
      <c r="B8805" s="0" t="s">
        <v>86</v>
      </c>
      <c r="C8805" s="38" t="n">
        <f aca="false">Sens!$C$8804-Sens!$C$8800</f>
        <v>38.1898211704631</v>
      </c>
      <c r="D8805" s="38" t="n">
        <f aca="false">Sens!$D$8804-Sens!$D$8800</f>
        <v>41.7278991932282</v>
      </c>
      <c r="E8805" s="38" t="n">
        <f aca="false">Sens!$E$8804-Sens!$E$8800</f>
        <v>29.3692974191125</v>
      </c>
      <c r="F8805" s="38" t="n">
        <f aca="false">Sens!$F$8784*Sens!$F$8806</f>
        <v>26.8997276714137</v>
      </c>
      <c r="G8805" s="38" t="n">
        <f aca="false">Sens!$E$8805+Sens!$F$8805</f>
        <v>56.2690250905262</v>
      </c>
      <c r="H8805" s="38" t="n">
        <f aca="false">Sens!$H$8784*Sens!$H$8806</f>
        <v>60.3505333937343</v>
      </c>
      <c r="I8805" s="38" t="n">
        <f aca="false">Sens!$I$8784*Sens!$I$8806</f>
        <v>67.0043857303571</v>
      </c>
      <c r="J8805" s="38" t="n">
        <f aca="false">Sens!$J$8784*Sens!$J$8806</f>
        <v>73.3782922956925</v>
      </c>
      <c r="K8805" s="38" t="n">
        <f aca="false">Sens!$K$8784*Sens!$K$8806</f>
        <v>79.2485556793479</v>
      </c>
      <c r="L8805" s="38" t="n">
        <f aca="false">Sens!$L$8784*Sens!$L$8806</f>
        <v>85.5884401336958</v>
      </c>
      <c r="M8805" s="38" t="n">
        <f aca="false">Sens!$M$8784*Sens!$M$8806</f>
        <v>92.4355153443914</v>
      </c>
      <c r="N8805" s="38" t="n">
        <f aca="false">Sens!$N$8804-Sens!$N$8800</f>
        <v>20.784358965108</v>
      </c>
      <c r="O8805" s="38" t="n">
        <f aca="false">Sens!$O$8804-Sens!$O$8800</f>
        <v>20.9435402281202</v>
      </c>
      <c r="P8805" s="5" t="s">
        <v>644</v>
      </c>
    </row>
    <row r="8806" customFormat="false" ht="17.15" hidden="false" customHeight="false" outlineLevel="0" collapsed="false">
      <c r="A8806" s="0" t="s">
        <v>645</v>
      </c>
      <c r="B8806" s="0" t="s">
        <v>52</v>
      </c>
      <c r="C8806" s="13" t="n">
        <f aca="false">Sens!$C$8805/Sens!$C$8784</f>
        <v>0.362900395443635</v>
      </c>
      <c r="D8806" s="13" t="n">
        <f aca="false">Sens!$D$8805/Sens!$D$8784</f>
        <v>0.34767098474203</v>
      </c>
      <c r="E8806" s="13" t="n">
        <f aca="false">Sens!$E$8805/Sens!$E$8784</f>
        <v>0.411861655558416</v>
      </c>
      <c r="F8806" s="13" t="n">
        <f aca="false">(Sens!$O$8805+Sens!$E$8805)/(Sens!$O$8784+Sens!$E$8784)</f>
        <v>0.37480827803158</v>
      </c>
      <c r="G8806" s="13" t="n">
        <f aca="false">Sens!$G$8805/Sens!$G$8784</f>
        <v>0.393275318395757</v>
      </c>
      <c r="H8806" s="13" t="n">
        <f aca="false">Sens!$F$8806</f>
        <v>0.37480827803158</v>
      </c>
      <c r="I8806" s="13" t="n">
        <f aca="false">Sens!$F$8806</f>
        <v>0.37480827803158</v>
      </c>
      <c r="J8806" s="13" t="n">
        <f aca="false">Sens!$F$8806</f>
        <v>0.37480827803158</v>
      </c>
      <c r="K8806" s="13" t="n">
        <f aca="false">Sens!$F$8806</f>
        <v>0.37480827803158</v>
      </c>
      <c r="L8806" s="13" t="n">
        <f aca="false">Sens!$F$8806</f>
        <v>0.37480827803158</v>
      </c>
      <c r="M8806" s="13" t="n">
        <f aca="false">Sens!$F$8806</f>
        <v>0.37480827803158</v>
      </c>
      <c r="N8806" s="13" t="n">
        <f aca="false">Sens!$N$8805/Sens!$N$8784</f>
        <v>0.364039571356823</v>
      </c>
      <c r="O8806" s="13" t="n">
        <f aca="false">Sens!$O$8805/Sens!$O$8784</f>
        <v>0.332819892300086</v>
      </c>
      <c r="P8806" s="8" t="s">
        <v>646</v>
      </c>
    </row>
    <row r="8807" customFormat="false" ht="17.15" hidden="false" customHeight="false" outlineLevel="0" collapsed="false">
      <c r="A8807" s="0" t="s">
        <v>647</v>
      </c>
      <c r="B8807" s="0" t="s">
        <v>52</v>
      </c>
      <c r="D8807" s="13" t="n">
        <f aca="false">(Q!$E$31-ext_sh*Sens!$D$8796)/Sens!$D$8784</f>
        <v>0.154572973163571</v>
      </c>
    </row>
    <row r="8808" customFormat="false" ht="17.15" hidden="false" customHeight="false" outlineLevel="0" collapsed="false">
      <c r="A8808" s="0" t="s">
        <v>648</v>
      </c>
      <c r="B8808" s="0" t="s">
        <v>86</v>
      </c>
      <c r="C8808" s="38" t="n">
        <f aca="false">Q!$D$31</f>
        <v>13.32</v>
      </c>
      <c r="D8808" s="38" t="n">
        <f aca="false">Q!$E$31</f>
        <v>21.45</v>
      </c>
      <c r="E8808" s="38" t="n">
        <f aca="false">Q!$P$31</f>
        <v>15.353</v>
      </c>
      <c r="F8808" s="38" t="n">
        <f aca="false">ext_sh*Sens!$F$8796+Sens!$D$8807*Sens!$F$8784</f>
        <v>16.3063747611001</v>
      </c>
      <c r="G8808" s="38" t="n">
        <f aca="false">Sens!$E$8808+Sens!$F$8808</f>
        <v>31.6593747611001</v>
      </c>
      <c r="H8808" s="38" t="n">
        <f aca="false">ext_sh*Sens!$H$8796+Sens!$D$8807*Sens!$H$8784</f>
        <v>53.124242092105</v>
      </c>
      <c r="I8808" s="38" t="n">
        <f aca="false">ext_sh*Sens!$I$8796+Sens!$D$8807*Sens!$I$8784</f>
        <v>78.046828098133</v>
      </c>
      <c r="J8808" s="38" t="n">
        <f aca="false">ext_sh*Sens!$J$8796+Sens!$D$8807*Sens!$J$8784</f>
        <v>103.663976940352</v>
      </c>
      <c r="K8808" s="38" t="n">
        <f aca="false">ext_sh*Sens!$K$8796+Sens!$D$8807*Sens!$K$8784</f>
        <v>129.625086115469</v>
      </c>
      <c r="L8808" s="38" t="n">
        <f aca="false">ext_sh*Sens!$L$8796+Sens!$D$8807*Sens!$L$8784</f>
        <v>147.122996715819</v>
      </c>
      <c r="M8808" s="38" t="n">
        <f aca="false">ext_sh*Sens!$M$8796+Sens!$D$8807*Sens!$M$8784</f>
        <v>158.36358708023</v>
      </c>
      <c r="N8808" s="38" t="n">
        <f aca="false">Q!$N$31</f>
        <v>9.234</v>
      </c>
      <c r="O8808" s="38" t="n">
        <f aca="false">Q!$O$31</f>
        <v>12.216</v>
      </c>
    </row>
    <row r="8809" customFormat="false" ht="17.15" hidden="false" customHeight="false" outlineLevel="0" collapsed="false">
      <c r="A8809" s="1" t="s">
        <v>649</v>
      </c>
    </row>
    <row r="8810" customFormat="false" ht="17.15" hidden="false" customHeight="false" outlineLevel="0" collapsed="false">
      <c r="A8810" s="15" t="s">
        <v>650</v>
      </c>
      <c r="B8810" s="14" t="s">
        <v>52</v>
      </c>
      <c r="C8810" s="14"/>
      <c r="D8810" s="14"/>
      <c r="E8810" s="14"/>
      <c r="F8810" s="14"/>
      <c r="G8810" s="17" t="n">
        <f aca="false">Sens!$G$8800*(1-tax)/(ext_sh*(Sens!$D$8797+Sens!$G$8797)/2)</f>
        <v>0.0492184452944045</v>
      </c>
      <c r="H8810" s="17" t="n">
        <f aca="false">Sens!$H$8800*(1-tax)/(ext_sh*(Sens!$G$8797+Sens!$H$8797)/2)</f>
        <v>0.0619414246858107</v>
      </c>
      <c r="I8810" s="17" t="n">
        <f aca="false">Sens!$I$8800*(1-tax)/(ext_sh*(Sens!$H$8797+Sens!$I$8797)/2)</f>
        <v>0.0656831488051666</v>
      </c>
      <c r="J8810" s="17" t="n">
        <f aca="false">Sens!$J$8800*(1-tax)/(ext_sh*(Sens!$I$8797+Sens!$J$8797)/2)</f>
        <v>0.0690334849962116</v>
      </c>
      <c r="K8810" s="17" t="n">
        <f aca="false">Sens!$K$8800*(1-tax)/(ext_sh*(Sens!$J$8797+Sens!$K$8797)/2)</f>
        <v>0.0683687416388006</v>
      </c>
      <c r="L8810" s="17" t="n">
        <f aca="false">Sens!$L$8800*(1-tax)/(ext_sh*(Sens!$K$8797+Sens!$L$8797)/2)</f>
        <v>0.0720590082340432</v>
      </c>
      <c r="M8810" s="17" t="n">
        <f aca="false">Sens!$M$8800*(1-tax)/(ext_sh*(Sens!$L$8797+Sens!$M$8797)/2)</f>
        <v>0.0731608560528717</v>
      </c>
      <c r="N8810" s="14"/>
      <c r="O8810" s="14"/>
      <c r="P8810" s="8" t="s">
        <v>651</v>
      </c>
    </row>
    <row r="8811" customFormat="false" ht="17.15" hidden="false" customHeight="false" outlineLevel="0" collapsed="false">
      <c r="A8811" s="5" t="s">
        <v>652</v>
      </c>
      <c r="B8811" s="0" t="s">
        <v>57</v>
      </c>
      <c r="H8811" s="36" t="n">
        <f aca="false">Sens!$H$8780*1000/(mw_open*he_open+Sens!$H$8778*Sens!$H$8775)</f>
        <v>0.991949006767191</v>
      </c>
      <c r="I8811" s="36" t="n">
        <f aca="false">Sens!$I$8780*1000/(mw_open*he_open+Sens!$I$8778*Sens!$I$8775)</f>
        <v>0.991949006767191</v>
      </c>
      <c r="J8811" s="36" t="n">
        <f aca="false">Sens!$J$8780*1000/(mw_open*he_open+Sens!$J$8778*Sens!$J$8775)</f>
        <v>0.991949006767191</v>
      </c>
      <c r="K8811" s="36" t="n">
        <f aca="false">Sens!$K$8780*1000/(mw_open*he_open+Sens!$K$8778*Sens!$K$8775)</f>
        <v>0.991949006767191</v>
      </c>
      <c r="L8811" s="36" t="n">
        <f aca="false">Sens!$L$8780*1000/(mw_open*he_open+Sens!$L$8778*Sens!$L$8775)</f>
        <v>0.991949006767191</v>
      </c>
      <c r="M8811" s="36" t="n">
        <f aca="false">Sens!$M$8780*1000/(mw_open*he_open+Sens!$M$8778*Sens!$M$8775)</f>
        <v>0.991949006767191</v>
      </c>
    </row>
    <row r="8812" customFormat="false" ht="17.15" hidden="false" customHeight="false" outlineLevel="0" collapsed="false">
      <c r="A8812" s="5" t="s">
        <v>653</v>
      </c>
      <c r="B8812" s="0" t="s">
        <v>57</v>
      </c>
      <c r="H8812" s="36" t="n">
        <f aca="false">Sens!$H$8811*(Sens!$H$8780+wacc*ext_sh*(Sens!$G$8797+Sens!$H$8797)/2/(1-tax)-Sens!$H$8800)/Sens!$H$8780</f>
        <v>1.25551961623259</v>
      </c>
      <c r="I8812" s="36" t="n">
        <f aca="false">Sens!$I$8811*(Sens!$I$8780+wacc*ext_sh*(Sens!$H$8797+Sens!$I$8797)/2/(1-tax)-Sens!$I$8800)/Sens!$I$8780</f>
        <v>1.2054675393263</v>
      </c>
      <c r="J8812" s="36" t="n">
        <f aca="false">Sens!$J$8811*(Sens!$J$8780+wacc*ext_sh*(Sens!$I$8797+Sens!$J$8797)/2/(1-tax)-Sens!$J$8800)/Sens!$J$8780</f>
        <v>1.17141604927023</v>
      </c>
      <c r="K8812" s="36" t="n">
        <f aca="false">Sens!$K$8811*(Sens!$K$8780+wacc*ext_sh*(Sens!$J$8797+Sens!$K$8797)/2/(1-tax)-Sens!$K$8800)/Sens!$K$8780</f>
        <v>1.15627594865456</v>
      </c>
      <c r="L8812" s="36" t="n">
        <f aca="false">Sens!$L$8811*(Sens!$L$8780+wacc*ext_sh*(Sens!$K$8797+Sens!$L$8797)/2/(1-tax)-Sens!$L$8800)/Sens!$L$8780</f>
        <v>1.12768652938057</v>
      </c>
      <c r="M8812" s="36" t="n">
        <f aca="false">Sens!$M$8811*(Sens!$M$8780+wacc*ext_sh*(Sens!$L$8797+Sens!$M$8797)/2/(1-tax)-Sens!$M$8800)/Sens!$M$8780</f>
        <v>1.11433113405438</v>
      </c>
    </row>
    <row r="8813" customFormat="false" ht="17.15" hidden="false" customHeight="false" outlineLevel="0" collapsed="false">
      <c r="A8813" s="5" t="s">
        <v>654</v>
      </c>
      <c r="B8813" s="0" t="s">
        <v>52</v>
      </c>
      <c r="C8813" s="13" t="n">
        <f aca="false">Sens!$C$8781/tk_pq</f>
        <v>0.195316432429398</v>
      </c>
      <c r="D8813" s="13" t="n">
        <f aca="false">Sens!$D$8781/tk_pq</f>
        <v>0.195316432429398</v>
      </c>
      <c r="E8813" s="13" t="n">
        <f aca="false">Sens!$E$8781/tk_pq</f>
        <v>0.195316432429398</v>
      </c>
      <c r="F8813" s="13" t="n">
        <f aca="false">Sens!$F$8781/tk_pq</f>
        <v>0.202241827274866</v>
      </c>
      <c r="G8813" s="13" t="n">
        <f aca="false">Sens!$G$8781/tk_pq</f>
        <v>0.199675016194063</v>
      </c>
      <c r="H8813" s="13" t="n">
        <f aca="false">Sens!$H$8781/tk_pq</f>
        <v>0.212647947710325</v>
      </c>
      <c r="I8813" s="13" t="n">
        <f aca="false">Sens!$I$8781/tk_pq</f>
        <v>0.219285125475351</v>
      </c>
      <c r="J8813" s="13" t="n">
        <f aca="false">Sens!$J$8781/tk_pq</f>
        <v>0.222492493217189</v>
      </c>
      <c r="K8813" s="13" t="n">
        <f aca="false">Sens!$K$8781/tk_pq</f>
        <v>0.224037965623446</v>
      </c>
      <c r="L8813" s="13" t="n">
        <f aca="false">Sens!$L$8781/tk_pq</f>
        <v>0.224743186755999</v>
      </c>
      <c r="M8813" s="13" t="n">
        <f aca="false">Sens!$M$8781/tk_pq</f>
        <v>0.224962001824354</v>
      </c>
      <c r="N8813" s="13" t="n">
        <f aca="false">Sens!$N$8781/tk_pq</f>
        <v>0.195316432429398</v>
      </c>
      <c r="O8813" s="13" t="n">
        <f aca="false">Sens!$O$8781/tk_pq</f>
        <v>0.195316432429398</v>
      </c>
      <c r="P8813" s="5" t="s">
        <v>655</v>
      </c>
    </row>
    <row r="8816" customFormat="false" ht="17.15" hidden="false" customHeight="false" outlineLevel="0" collapsed="false">
      <c r="A8816" s="1" t="s">
        <v>684</v>
      </c>
    </row>
    <row r="8817" customFormat="false" ht="17.15" hidden="false" customHeight="false" outlineLevel="0" collapsed="false">
      <c r="A8817" s="0" t="s">
        <v>685</v>
      </c>
      <c r="B8817" s="0" t="s">
        <v>86</v>
      </c>
      <c r="C8817" s="38" t="n">
        <f aca="false">Sens!$C$8780</f>
        <v>2.32100535697364</v>
      </c>
      <c r="D8817" s="38" t="n">
        <f aca="false">Sens!$D$8780</f>
        <v>8.70377008865116</v>
      </c>
      <c r="E8817" s="38" t="n">
        <f aca="false">Sens!$E$8780</f>
        <v>8.51035297557002</v>
      </c>
      <c r="F8817" s="38" t="n">
        <f aca="false">Sens!$F$8780</f>
        <v>14.9634336447205</v>
      </c>
      <c r="G8817" s="38" t="n">
        <f aca="false">Sens!$G$8780</f>
        <v>23.4737866202905</v>
      </c>
      <c r="H8817" s="38" t="n">
        <f aca="false">Sens!$H$8780</f>
        <v>60.1658907497746</v>
      </c>
      <c r="I8817" s="38" t="n">
        <f aca="false">Sens!$I$8780</f>
        <v>101.503699136432</v>
      </c>
      <c r="J8817" s="38" t="n">
        <f aca="false">Sens!$J$8780</f>
        <v>143.025407151278</v>
      </c>
      <c r="K8817" s="38" t="n">
        <f aca="false">Sens!$K$8780</f>
        <v>178.162118285436</v>
      </c>
      <c r="L8817" s="38" t="n">
        <f aca="false">Sens!$L$8780</f>
        <v>200.590902543141</v>
      </c>
      <c r="M8817" s="38" t="n">
        <f aca="false">Sens!$M$8780</f>
        <v>210.280670942702</v>
      </c>
      <c r="N8817" s="38" t="n">
        <f aca="false">Sens!$N$8780</f>
        <v>3.04631953102791</v>
      </c>
      <c r="O8817" s="38" t="n">
        <f aca="false">Sens!$O$8780</f>
        <v>5.65745055762326</v>
      </c>
      <c r="P8817" s="8" t="s">
        <v>686</v>
      </c>
    </row>
    <row r="8818" customFormat="false" ht="17.15" hidden="false" customHeight="false" outlineLevel="0" collapsed="false">
      <c r="A8818" s="0" t="s">
        <v>687</v>
      </c>
      <c r="B8818" s="0" t="s">
        <v>86</v>
      </c>
      <c r="C8818" s="38" t="n">
        <f aca="false">Sens!$C$8784</f>
        <v>105.234994643026</v>
      </c>
      <c r="D8818" s="38" t="n">
        <f aca="false">Sens!$D$8784</f>
        <v>120.021229911349</v>
      </c>
      <c r="E8818" s="38" t="n">
        <f aca="false">Sens!$E$8784</f>
        <v>71.30864702443</v>
      </c>
      <c r="F8818" s="38" t="n">
        <f aca="false">Sens!$F$8784</f>
        <v>71.7692997942464</v>
      </c>
      <c r="G8818" s="38" t="n">
        <f aca="false">Sens!$G$8784</f>
        <v>143.077946818676</v>
      </c>
      <c r="H8818" s="38" t="n">
        <f aca="false">Sens!$H$8784</f>
        <v>161.017077079203</v>
      </c>
      <c r="I8818" s="38" t="n">
        <f aca="false">Sens!$I$8784</f>
        <v>178.769759521457</v>
      </c>
      <c r="J8818" s="38" t="n">
        <f aca="false">Sens!$J$8784</f>
        <v>195.775538045907</v>
      </c>
      <c r="K8818" s="38" t="n">
        <f aca="false">Sens!$K$8784</f>
        <v>211.43758108958</v>
      </c>
      <c r="L8818" s="38" t="n">
        <f aca="false">Sens!$L$8784</f>
        <v>228.352587576746</v>
      </c>
      <c r="M8818" s="38" t="n">
        <f aca="false">Sens!$M$8784</f>
        <v>246.620794582886</v>
      </c>
      <c r="N8818" s="38" t="n">
        <f aca="false">Sens!$N$8784</f>
        <v>57.0936804689721</v>
      </c>
      <c r="O8818" s="38" t="n">
        <f aca="false">Sens!$O$8784</f>
        <v>62.9275494423768</v>
      </c>
      <c r="P8818" s="8" t="s">
        <v>686</v>
      </c>
    </row>
    <row r="8819" customFormat="false" ht="17.15" hidden="false" customHeight="false" outlineLevel="0" collapsed="false">
      <c r="A8819" s="1" t="s">
        <v>513</v>
      </c>
      <c r="B8819" s="8" t="s">
        <v>86</v>
      </c>
      <c r="C8819" s="38" t="n">
        <f aca="false">Q!$D$7</f>
        <v>107.556</v>
      </c>
      <c r="D8819" s="38" t="n">
        <f aca="false">Q!$E$7</f>
        <v>128.725</v>
      </c>
      <c r="E8819" s="38" t="n">
        <f aca="false">Q!$P$7</f>
        <v>79.819</v>
      </c>
      <c r="F8819" s="38" t="n">
        <f aca="false">Sens!$F$8817+Sens!$F$8818</f>
        <v>86.7327334389669</v>
      </c>
      <c r="G8819" s="38" t="n">
        <f aca="false">Sens!$G$8817+Sens!$G$8818</f>
        <v>166.551733438967</v>
      </c>
      <c r="H8819" s="38" t="n">
        <f aca="false">Sens!$H$8817+Sens!$H$8818</f>
        <v>221.182967828978</v>
      </c>
      <c r="I8819" s="38" t="n">
        <f aca="false">Sens!$I$8817+Sens!$I$8818</f>
        <v>280.27345865789</v>
      </c>
      <c r="J8819" s="38" t="n">
        <f aca="false">Sens!$J$8817+Sens!$J$8818</f>
        <v>338.800945197185</v>
      </c>
      <c r="K8819" s="38" t="n">
        <f aca="false">Sens!$K$8817+Sens!$K$8818</f>
        <v>389.599699375015</v>
      </c>
      <c r="L8819" s="38" t="n">
        <f aca="false">Sens!$L$8817+Sens!$L$8818</f>
        <v>428.943490119887</v>
      </c>
      <c r="M8819" s="38" t="n">
        <f aca="false">Sens!$M$8817+Sens!$M$8818</f>
        <v>456.901465525587</v>
      </c>
      <c r="N8819" s="38" t="n">
        <f aca="false">Q!$N$7</f>
        <v>60.14</v>
      </c>
      <c r="O8819" s="38" t="n">
        <f aca="false">Q!$O$7</f>
        <v>68.585</v>
      </c>
      <c r="P8819" s="5" t="s">
        <v>688</v>
      </c>
    </row>
    <row r="8820" customFormat="false" ht="15" hidden="false" customHeight="false" outlineLevel="0" collapsed="false">
      <c r="A8820" s="3" t="s">
        <v>689</v>
      </c>
      <c r="B8820" s="8" t="s">
        <v>86</v>
      </c>
      <c r="C8820" s="38" t="n">
        <f aca="false">Q!$D$8</f>
        <v>637.959</v>
      </c>
      <c r="D8820" s="38" t="n">
        <f aca="false">Q!$E$8</f>
        <v>716.924</v>
      </c>
      <c r="E8820" s="38" t="n">
        <f aca="false">Q!$P$8</f>
        <v>382.125</v>
      </c>
      <c r="F8820" s="38" t="n">
        <f aca="false">Sens!$F$8752+Sens!$F$8819</f>
        <v>435.780975084504</v>
      </c>
      <c r="G8820" s="38" t="n">
        <f aca="false">Sens!$G$8752+Sens!$G$8819</f>
        <v>817.905975084504</v>
      </c>
      <c r="H8820" s="38" t="n">
        <f aca="false">Sens!$H$8752+Sens!$H$8819</f>
        <v>942.279857350364</v>
      </c>
      <c r="I8820" s="38" t="n">
        <f aca="false">Sens!$I$8752+Sens!$I$8819</f>
        <v>1068.80284981042</v>
      </c>
      <c r="J8820" s="38" t="n">
        <f aca="false">Sens!$J$8752+Sens!$J$8819</f>
        <v>1189.90935093863</v>
      </c>
      <c r="K8820" s="38" t="n">
        <f aca="false">Sens!$K$8752+Sens!$K$8819</f>
        <v>1295.7761548061</v>
      </c>
      <c r="L8820" s="38" t="n">
        <f aca="false">Sens!$L$8752+Sens!$L$8819</f>
        <v>1394.03659659548</v>
      </c>
      <c r="M8820" s="38" t="n">
        <f aca="false">Sens!$M$8752+Sens!$M$8819</f>
        <v>1485.04937347247</v>
      </c>
      <c r="N8820" s="38" t="n">
        <f aca="false">Q!$N$8</f>
        <v>323.369</v>
      </c>
      <c r="O8820" s="38" t="n">
        <f aca="false">Q!$O$8</f>
        <v>393.555</v>
      </c>
    </row>
    <row r="8821" customFormat="false" ht="17.15" hidden="false" customHeight="false" outlineLevel="0" collapsed="false">
      <c r="A8821" s="24" t="s">
        <v>697</v>
      </c>
      <c r="B8821" s="25" t="s">
        <v>86</v>
      </c>
      <c r="C8821" s="41" t="n">
        <f aca="false">Sens!$C$8752-(Sens!$C$8754+Sens!$C$8755)</f>
        <v>0</v>
      </c>
      <c r="D8821" s="41" t="n">
        <f aca="false">Sens!$D$8752-(Sens!$D$8754+Sens!$D$8755)</f>
        <v>0</v>
      </c>
      <c r="E8821" s="41" t="n">
        <f aca="false">Sens!$E$8752-(Sens!$E$8754+Sens!$E$8755)</f>
        <v>0</v>
      </c>
      <c r="F8821" s="41" t="n">
        <f aca="false">Sens!$F$8752-(Sens!$F$8754+Sens!$F$8755)</f>
        <v>0</v>
      </c>
      <c r="G8821" s="41" t="n">
        <f aca="false">Sens!$G$8752-(Sens!$G$8754+Sens!$G$8755)</f>
        <v>0</v>
      </c>
      <c r="H8821" s="41" t="n">
        <f aca="false">Sens!$H$8752-(Sens!$H$8754+Sens!$H$8755)</f>
        <v>0</v>
      </c>
      <c r="I8821" s="41" t="n">
        <f aca="false">Sens!$I$8752-(Sens!$I$8754+Sens!$I$8755)</f>
        <v>0</v>
      </c>
      <c r="J8821" s="41" t="n">
        <f aca="false">Sens!$J$8752-(Sens!$J$8754+Sens!$J$8755)</f>
        <v>0</v>
      </c>
      <c r="K8821" s="41" t="n">
        <f aca="false">Sens!$K$8752-(Sens!$K$8754+Sens!$K$8755)</f>
        <v>0</v>
      </c>
      <c r="L8821" s="41" t="n">
        <f aca="false">Sens!$L$8752-(Sens!$L$8754+Sens!$L$8755)</f>
        <v>0</v>
      </c>
      <c r="M8821" s="41" t="n">
        <f aca="false">Sens!$M$8752-(Sens!$M$8754+Sens!$M$8755)</f>
        <v>0</v>
      </c>
      <c r="N8821" s="41" t="n">
        <f aca="false">Sens!$N$8752-(Sens!$N$8754+Sens!$N$8755)</f>
        <v>0</v>
      </c>
      <c r="O8821" s="41" t="n">
        <f aca="false">Sens!$O$8752-(Sens!$O$8754+Sens!$O$8755)</f>
        <v>0</v>
      </c>
    </row>
    <row r="8822" customFormat="false" ht="17.15" hidden="false" customHeight="false" outlineLevel="0" collapsed="false">
      <c r="A8822" s="24" t="s">
        <v>698</v>
      </c>
      <c r="B8822" s="25" t="s">
        <v>86</v>
      </c>
      <c r="C8822" s="41" t="n">
        <f aca="false">Sens!$C$8817+Sens!$C$8818-Sens!$C$8819</f>
        <v>0</v>
      </c>
      <c r="D8822" s="41" t="n">
        <f aca="false">Sens!$D$8817+Sens!$D$8818-Sens!$D$8819</f>
        <v>0</v>
      </c>
      <c r="E8822" s="41" t="n">
        <f aca="false">Sens!$E$8817+Sens!$E$8818-Sens!$E$8819</f>
        <v>0</v>
      </c>
      <c r="F8822" s="41" t="n">
        <f aca="false">Sens!$F$8817+Sens!$F$8818-Sens!$F$8819</f>
        <v>0</v>
      </c>
      <c r="G8822" s="41" t="n">
        <f aca="false">Sens!$G$8817+Sens!$G$8818-Sens!$G$8819</f>
        <v>0</v>
      </c>
      <c r="H8822" s="41" t="n">
        <f aca="false">Sens!$H$8817+Sens!$H$8818-Sens!$H$8819</f>
        <v>0</v>
      </c>
      <c r="I8822" s="41" t="n">
        <f aca="false">Sens!$I$8817+Sens!$I$8818-Sens!$I$8819</f>
        <v>0</v>
      </c>
      <c r="J8822" s="41" t="n">
        <f aca="false">Sens!$J$8817+Sens!$J$8818-Sens!$J$8819</f>
        <v>0</v>
      </c>
      <c r="K8822" s="41" t="n">
        <f aca="false">Sens!$K$8817+Sens!$K$8818-Sens!$K$8819</f>
        <v>0</v>
      </c>
      <c r="L8822" s="41" t="n">
        <f aca="false">Sens!$L$8817+Sens!$L$8818-Sens!$L$8819</f>
        <v>0</v>
      </c>
      <c r="M8822" s="41" t="n">
        <f aca="false">Sens!$M$8817+Sens!$M$8818-Sens!$M$8819</f>
        <v>0</v>
      </c>
      <c r="N8822" s="41" t="n">
        <f aca="false">Sens!$N$8817+Sens!$N$8818-Sens!$N$8819</f>
        <v>0</v>
      </c>
      <c r="O8822" s="41" t="n">
        <f aca="false">Sens!$O$8817+Sens!$O$8818-Sens!$O$8819</f>
        <v>0</v>
      </c>
    </row>
    <row r="8823" customFormat="false" ht="17.15" hidden="false" customHeight="false" outlineLevel="0" collapsed="false">
      <c r="A8823" s="24" t="s">
        <v>699</v>
      </c>
      <c r="B8823" s="25" t="s">
        <v>86</v>
      </c>
      <c r="C8823" s="41" t="n">
        <f aca="false">Sens!$C$8754+Sens!$C$8755+Sens!$C$8819-Sens!$C$8820</f>
        <v>0</v>
      </c>
      <c r="D8823" s="41" t="n">
        <f aca="false">Sens!$D$8754+Sens!$D$8755+Sens!$D$8819-Sens!$D$8820</f>
        <v>0</v>
      </c>
      <c r="E8823" s="41" t="n">
        <f aca="false">Sens!$E$8754+Sens!$E$8755+Sens!$E$8819-Sens!$E$8820</f>
        <v>0</v>
      </c>
      <c r="F8823" s="41" t="n">
        <f aca="false">Sens!$F$8754+Sens!$F$8755+Sens!$F$8819-Sens!$F$8820</f>
        <v>0</v>
      </c>
      <c r="G8823" s="41" t="n">
        <f aca="false">Sens!$G$8754+Sens!$G$8755+Sens!$G$8819-Sens!$G$8820</f>
        <v>0</v>
      </c>
      <c r="H8823" s="41" t="n">
        <f aca="false">Sens!$H$8754+Sens!$H$8755+Sens!$H$8819-Sens!$H$8820</f>
        <v>0</v>
      </c>
      <c r="I8823" s="41" t="n">
        <f aca="false">Sens!$I$8754+Sens!$I$8755+Sens!$I$8819-Sens!$I$8820</f>
        <v>0</v>
      </c>
      <c r="J8823" s="41" t="n">
        <f aca="false">Sens!$J$8754+Sens!$J$8755+Sens!$J$8819-Sens!$J$8820</f>
        <v>0</v>
      </c>
      <c r="K8823" s="41" t="n">
        <f aca="false">Sens!$K$8754+Sens!$K$8755+Sens!$K$8819-Sens!$K$8820</f>
        <v>0</v>
      </c>
      <c r="L8823" s="41" t="n">
        <f aca="false">Sens!$L$8754+Sens!$L$8755+Sens!$L$8819-Sens!$L$8820</f>
        <v>0</v>
      </c>
      <c r="M8823" s="41" t="n">
        <f aca="false">Sens!$M$8754+Sens!$M$8755+Sens!$M$8819-Sens!$M$8820</f>
        <v>0</v>
      </c>
      <c r="N8823" s="41" t="n">
        <f aca="false">Sens!$N$8754+Sens!$N$8755+Sens!$N$8819-Sens!$N$8820</f>
        <v>0</v>
      </c>
      <c r="O8823" s="41" t="n">
        <f aca="false">Sens!$O$8754+Sens!$O$8755+Sens!$O$8819-Sens!$O$8820</f>
        <v>0</v>
      </c>
    </row>
    <row r="8824" customFormat="false" ht="15" hidden="false" customHeight="false" outlineLevel="0" collapsed="false">
      <c r="A8824" s="5" t="s">
        <v>693</v>
      </c>
      <c r="B8824" s="0" t="s">
        <v>52</v>
      </c>
      <c r="G8824" s="13" t="n">
        <f aca="false">Sens!$G$8820/Sens!$D$8820-1</f>
        <v>0.140854504918937</v>
      </c>
      <c r="H8824" s="13" t="n">
        <f aca="false">Sens!$H$8820/Sens!$G$8820-1</f>
        <v>0.152063789793209</v>
      </c>
      <c r="I8824" s="13" t="n">
        <f aca="false">Sens!$I$8820/Sens!$H$8820-1</f>
        <v>0.134273264437417</v>
      </c>
      <c r="J8824" s="13" t="n">
        <f aca="false">Sens!$J$8820/Sens!$I$8820-1</f>
        <v>0.113310421234083</v>
      </c>
      <c r="K8824" s="13" t="n">
        <f aca="false">Sens!$K$8820/Sens!$J$8820-1</f>
        <v>0.0889704781158034</v>
      </c>
      <c r="L8824" s="13" t="n">
        <f aca="false">Sens!$L$8820/Sens!$K$8820-1</f>
        <v>0.0758313397147494</v>
      </c>
      <c r="M8824" s="13" t="n">
        <f aca="false">Sens!$M$8820/Sens!$L$8820-1</f>
        <v>0.0652872220853238</v>
      </c>
    </row>
    <row r="8825" customFormat="false" ht="17.15" hidden="false" customHeight="false" outlineLevel="0" collapsed="false">
      <c r="A8825" s="0" t="s">
        <v>694</v>
      </c>
      <c r="B8825" s="0" t="s">
        <v>52</v>
      </c>
      <c r="C8825" s="13" t="n">
        <f aca="false">Sens!$C$8819/Sens!$C$8820</f>
        <v>0.168593906504964</v>
      </c>
      <c r="D8825" s="13" t="n">
        <f aca="false">Sens!$D$8819/Sens!$D$8820</f>
        <v>0.179551807444025</v>
      </c>
      <c r="E8825" s="13" t="n">
        <f aca="false">Sens!$E$8819/Sens!$E$8820</f>
        <v>0.208881910369643</v>
      </c>
      <c r="F8825" s="13" t="n">
        <f aca="false">Sens!$F$8819/Sens!$F$8820</f>
        <v>0.199028269699356</v>
      </c>
      <c r="G8825" s="13" t="n">
        <f aca="false">Sens!$G$8819/Sens!$G$8820</f>
        <v>0.203631882529968</v>
      </c>
      <c r="H8825" s="13" t="n">
        <f aca="false">Sens!$H$8819/Sens!$H$8820</f>
        <v>0.234731715958496</v>
      </c>
      <c r="I8825" s="13" t="n">
        <f aca="false">Sens!$I$8819/Sens!$I$8820</f>
        <v>0.262231204480418</v>
      </c>
      <c r="J8825" s="13" t="n">
        <f aca="false">Sens!$J$8819/Sens!$J$8820</f>
        <v>0.284728366013706</v>
      </c>
      <c r="K8825" s="13" t="n">
        <f aca="false">Sens!$K$8819/Sens!$K$8820</f>
        <v>0.300668983550877</v>
      </c>
      <c r="L8825" s="13" t="n">
        <f aca="false">Sens!$L$8819/Sens!$L$8820</f>
        <v>0.307698873306092</v>
      </c>
      <c r="M8825" s="13" t="n">
        <f aca="false">Sens!$M$8819/Sens!$M$8820</f>
        <v>0.30766752519293</v>
      </c>
      <c r="N8825" s="13" t="n">
        <f aca="false">Sens!$N$8819/Sens!$N$8820</f>
        <v>0.185979484737251</v>
      </c>
      <c r="O8825" s="13" t="n">
        <f aca="false">Sens!$O$8819/Sens!$O$8820</f>
        <v>0.174270432341096</v>
      </c>
    </row>
    <row r="8826" customFormat="false" ht="17.15" hidden="false" customHeight="false" outlineLevel="0" collapsed="false">
      <c r="A8826" s="0" t="s">
        <v>695</v>
      </c>
      <c r="B8826" s="0" t="s">
        <v>52</v>
      </c>
      <c r="C8826" s="13" t="n">
        <f aca="false">Sens!$C$8817/Sens!$C$8819</f>
        <v>0.0215795060896058</v>
      </c>
      <c r="D8826" s="13" t="n">
        <f aca="false">Sens!$D$8817/Sens!$D$8819</f>
        <v>0.0676152269462122</v>
      </c>
      <c r="E8826" s="13" t="n">
        <f aca="false">Sens!$E$8817/Sens!$E$8819</f>
        <v>0.106620641395783</v>
      </c>
      <c r="F8826" s="13" t="n">
        <f aca="false">Sens!$F$8817/Sens!$F$8819</f>
        <v>0.172523487401099</v>
      </c>
      <c r="G8826" s="13" t="n">
        <f aca="false">Sens!$G$8817/Sens!$G$8819</f>
        <v>0.140939911795589</v>
      </c>
      <c r="H8826" s="13" t="n">
        <f aca="false">Sens!$H$8817/Sens!$H$8819</f>
        <v>0.272018642937714</v>
      </c>
      <c r="I8826" s="13" t="n">
        <f aca="false">Sens!$I$8817/Sens!$I$8819</f>
        <v>0.362159512436497</v>
      </c>
      <c r="J8826" s="13" t="n">
        <f aca="false">Sens!$J$8817/Sens!$J$8819</f>
        <v>0.422151735934609</v>
      </c>
      <c r="K8826" s="13" t="n">
        <f aca="false">Sens!$K$8817/Sens!$K$8819</f>
        <v>0.45729531765871</v>
      </c>
      <c r="L8826" s="13" t="n">
        <f aca="false">Sens!$L$8817/Sens!$L$8819</f>
        <v>0.467639461055993</v>
      </c>
      <c r="M8826" s="13" t="n">
        <f aca="false">Sens!$M$8817/Sens!$M$8819</f>
        <v>0.460231990503268</v>
      </c>
      <c r="N8826" s="13" t="n">
        <f aca="false">Sens!$N$8817/Sens!$N$8819</f>
        <v>0.0506537999838362</v>
      </c>
      <c r="O8826" s="13" t="n">
        <f aca="false">Sens!$O$8817/Sens!$O$8819</f>
        <v>0.0824881615167056</v>
      </c>
    </row>
    <row r="8829" customFormat="false" ht="19.4" hidden="false" customHeight="false" outlineLevel="0" collapsed="false">
      <c r="A8829" s="31" t="s">
        <v>1309</v>
      </c>
    </row>
    <row r="8830" customFormat="false" ht="17.15" hidden="false" customHeight="false" outlineLevel="0" collapsed="false">
      <c r="A8830" s="6" t="s">
        <v>16</v>
      </c>
      <c r="B8830" s="6" t="s">
        <v>17</v>
      </c>
      <c r="C8830" s="20" t="s">
        <v>494</v>
      </c>
      <c r="D8830" s="20" t="s">
        <v>495</v>
      </c>
      <c r="E8830" s="20" t="s">
        <v>577</v>
      </c>
      <c r="F8830" s="20" t="s">
        <v>578</v>
      </c>
      <c r="G8830" s="20" t="s">
        <v>579</v>
      </c>
      <c r="H8830" s="20" t="s">
        <v>580</v>
      </c>
      <c r="I8830" s="20" t="s">
        <v>581</v>
      </c>
      <c r="J8830" s="20" t="s">
        <v>582</v>
      </c>
      <c r="K8830" s="20" t="s">
        <v>583</v>
      </c>
      <c r="L8830" s="20" t="s">
        <v>584</v>
      </c>
      <c r="M8830" s="20" t="s">
        <v>585</v>
      </c>
      <c r="N8830" s="20" t="s">
        <v>586</v>
      </c>
      <c r="O8830" s="20" t="s">
        <v>587</v>
      </c>
      <c r="P8830" s="6" t="s">
        <v>23</v>
      </c>
      <c r="R8830" s="20" t="n">
        <v>2023</v>
      </c>
      <c r="S8830" s="20" t="n">
        <v>2024</v>
      </c>
      <c r="T8830" s="20" t="n">
        <v>2025</v>
      </c>
      <c r="U8830" s="20" t="n">
        <v>2026</v>
      </c>
      <c r="V8830" s="20" t="n">
        <v>2027</v>
      </c>
      <c r="W8830" s="20" t="n">
        <v>2028</v>
      </c>
      <c r="X8830" s="20" t="n">
        <v>2029</v>
      </c>
      <c r="Y8830" s="20" t="n">
        <v>2030</v>
      </c>
      <c r="Z8830" s="20" t="n">
        <v>2031</v>
      </c>
      <c r="AA8830" s="20" t="n">
        <v>2032</v>
      </c>
    </row>
    <row r="8831" customFormat="false" ht="17.15" hidden="false" customHeight="false" outlineLevel="0" collapsed="false">
      <c r="A8831" s="1" t="s">
        <v>710</v>
      </c>
    </row>
    <row r="8832" customFormat="false" ht="15" hidden="false" customHeight="false" outlineLevel="0" collapsed="false">
      <c r="A8832" s="0" t="s">
        <v>516</v>
      </c>
      <c r="B8832" s="0" t="s">
        <v>86</v>
      </c>
      <c r="C8832" s="38" t="n">
        <f aca="false">Sens!$C$8739</f>
        <v>247.029</v>
      </c>
      <c r="D8832" s="38" t="n">
        <f aca="false">Sens!$D$8739</f>
        <v>269.287</v>
      </c>
      <c r="E8832" s="38" t="n">
        <f aca="false">Sens!$E$8739</f>
        <v>134.686</v>
      </c>
      <c r="F8832" s="38" t="n">
        <f aca="false">Sens!$F$8739</f>
        <v>158.293876822267</v>
      </c>
      <c r="G8832" s="38" t="n">
        <f aca="false">Sens!$G$8739</f>
        <v>292.979876822267</v>
      </c>
      <c r="H8832" s="38" t="n">
        <f aca="false">Sens!$H$8739</f>
        <v>318.184543087396</v>
      </c>
      <c r="I8832" s="38" t="n">
        <f aca="false">Sens!$I$8739</f>
        <v>341.736278761793</v>
      </c>
      <c r="J8832" s="38" t="n">
        <f aca="false">Sens!$J$8739</f>
        <v>362.927192787048</v>
      </c>
      <c r="K8832" s="38" t="n">
        <f aca="false">Sens!$K$8739</f>
        <v>381.0735524264</v>
      </c>
      <c r="L8832" s="38" t="n">
        <f aca="false">Sens!$L$8739</f>
        <v>400.12723004772</v>
      </c>
      <c r="M8832" s="38" t="n">
        <f aca="false">Sens!$M$8739</f>
        <v>420.133591550106</v>
      </c>
      <c r="N8832" s="38" t="n">
        <f aca="false">Sens!$N$8739</f>
        <v>118.892</v>
      </c>
      <c r="O8832" s="38" t="n">
        <f aca="false">Sens!$O$8739</f>
        <v>150.395</v>
      </c>
    </row>
    <row r="8833" customFormat="false" ht="15" hidden="false" customHeight="false" outlineLevel="0" collapsed="false">
      <c r="A8833" s="0" t="s">
        <v>517</v>
      </c>
      <c r="B8833" s="0" t="s">
        <v>86</v>
      </c>
      <c r="C8833" s="38" t="n">
        <f aca="false">Sens!$C$8741</f>
        <v>21.215</v>
      </c>
      <c r="D8833" s="38" t="n">
        <f aca="false">Sens!$D$8741</f>
        <v>22.561</v>
      </c>
      <c r="E8833" s="38" t="n">
        <f aca="false">Sens!$E$8741</f>
        <v>11.579</v>
      </c>
      <c r="F8833" s="38" t="n">
        <f aca="false">Sens!$F$8741</f>
        <v>11.5938724610325</v>
      </c>
      <c r="G8833" s="38" t="n">
        <f aca="false">Sens!$G$8741</f>
        <v>23.1728724610325</v>
      </c>
      <c r="H8833" s="38" t="n">
        <f aca="false">Sens!$H$8741</f>
        <v>24.353392759506</v>
      </c>
      <c r="I8833" s="38" t="n">
        <f aca="false">Sens!$I$8741</f>
        <v>25.4240338872015</v>
      </c>
      <c r="J8833" s="38" t="n">
        <f aca="false">Sens!$J$8741</f>
        <v>26.3642491017174</v>
      </c>
      <c r="K8833" s="38" t="n">
        <f aca="false">Sens!$K$8741</f>
        <v>27.155176574769</v>
      </c>
      <c r="L8833" s="38" t="n">
        <f aca="false">Sens!$L$8741</f>
        <v>27.969831872012</v>
      </c>
      <c r="M8833" s="38" t="n">
        <f aca="false">Sens!$M$8741</f>
        <v>28.8089268281724</v>
      </c>
      <c r="N8833" s="38" t="n">
        <f aca="false">Sens!$N$8741</f>
        <v>11.128</v>
      </c>
      <c r="O8833" s="38" t="n">
        <f aca="false">Sens!$O$8741</f>
        <v>11.433</v>
      </c>
    </row>
    <row r="8834" customFormat="false" ht="15" hidden="false" customHeight="false" outlineLevel="0" collapsed="false">
      <c r="A8834" s="0" t="s">
        <v>518</v>
      </c>
      <c r="B8834" s="0" t="s">
        <v>86</v>
      </c>
      <c r="C8834" s="38" t="n">
        <f aca="false">Sens!$C$8743</f>
        <v>156.146</v>
      </c>
      <c r="D8834" s="38" t="n">
        <f aca="false">Sens!$D$8743</f>
        <v>172.162</v>
      </c>
      <c r="E8834" s="38" t="n">
        <f aca="false">Sens!$E$8743</f>
        <v>88.358</v>
      </c>
      <c r="F8834" s="38" t="n">
        <f aca="false">Sens!$F$8743</f>
        <v>102.004388260171</v>
      </c>
      <c r="G8834" s="38" t="n">
        <f aca="false">Sens!$G$8743</f>
        <v>190.362388260171</v>
      </c>
      <c r="H8834" s="38" t="n">
        <f aca="false">Sens!$H$8743</f>
        <v>210.343106588311</v>
      </c>
      <c r="I8834" s="38" t="n">
        <f aca="false">Sens!$I$8743</f>
        <v>229.969728494648</v>
      </c>
      <c r="J8834" s="38" t="n">
        <f aca="false">Sens!$J$8743</f>
        <v>248.747636972598</v>
      </c>
      <c r="K8834" s="38" t="n">
        <f aca="false">Sens!$K$8743</f>
        <v>266.15997156068</v>
      </c>
      <c r="L8834" s="38" t="n">
        <f aca="false">Sens!$L$8743</f>
        <v>284.791169569927</v>
      </c>
      <c r="M8834" s="38" t="n">
        <f aca="false">Sens!$M$8743</f>
        <v>304.726551439822</v>
      </c>
      <c r="N8834" s="38" t="n">
        <f aca="false">Sens!$N$8743</f>
        <v>76.86</v>
      </c>
      <c r="O8834" s="38" t="n">
        <f aca="false">Sens!$O$8743</f>
        <v>95.302</v>
      </c>
    </row>
    <row r="8835" customFormat="false" ht="15" hidden="false" customHeight="false" outlineLevel="0" collapsed="false">
      <c r="A8835" s="0" t="s">
        <v>519</v>
      </c>
      <c r="B8835" s="0" t="s">
        <v>86</v>
      </c>
      <c r="C8835" s="38" t="n">
        <f aca="false">Sens!$C$8745</f>
        <v>56.214</v>
      </c>
      <c r="D8835" s="38" t="n">
        <f aca="false">Sens!$D$8745</f>
        <v>68.635</v>
      </c>
      <c r="E8835" s="38" t="n">
        <f aca="false">Sens!$E$8745</f>
        <v>37.052</v>
      </c>
      <c r="F8835" s="38" t="n">
        <f aca="false">Sens!$F$8745</f>
        <v>46.1572219944148</v>
      </c>
      <c r="G8835" s="38" t="n">
        <f aca="false">Sens!$G$8745</f>
        <v>83.2092219944148</v>
      </c>
      <c r="H8835" s="38" t="n">
        <f aca="false">Sens!$H$8745</f>
        <v>99.8969223878976</v>
      </c>
      <c r="I8835" s="38" t="n">
        <f aca="false">Sens!$I$8745</f>
        <v>116.583111095496</v>
      </c>
      <c r="J8835" s="38" t="n">
        <f aca="false">Sens!$J$8745</f>
        <v>132.148941941952</v>
      </c>
      <c r="K8835" s="38" t="n">
        <f aca="false">Sens!$K$8745</f>
        <v>145.363836136147</v>
      </c>
      <c r="L8835" s="38" t="n">
        <f aca="false">Sens!$L$8745</f>
        <v>159.900219749762</v>
      </c>
      <c r="M8835" s="38" t="n">
        <f aca="false">Sens!$M$8745</f>
        <v>175.890241724738</v>
      </c>
      <c r="N8835" s="38" t="n">
        <f aca="false">Sens!$N$8745</f>
        <v>29.615</v>
      </c>
      <c r="O8835" s="38" t="n">
        <f aca="false">Sens!$O$8745</f>
        <v>39.02</v>
      </c>
    </row>
    <row r="8836" customFormat="false" ht="15" hidden="false" customHeight="false" outlineLevel="0" collapsed="false">
      <c r="A8836" s="0" t="s">
        <v>520</v>
      </c>
      <c r="B8836" s="0" t="s">
        <v>86</v>
      </c>
      <c r="C8836" s="38" t="n">
        <f aca="false">Sens!$C$8747</f>
        <v>44.374</v>
      </c>
      <c r="D8836" s="38" t="n">
        <f aca="false">Sens!$D$8747</f>
        <v>49.619</v>
      </c>
      <c r="E8836" s="38" t="n">
        <f aca="false">Sens!$E$8747</f>
        <v>27.157</v>
      </c>
      <c r="F8836" s="38" t="n">
        <f aca="false">Sens!$F$8747</f>
        <v>27.7764165988154</v>
      </c>
      <c r="G8836" s="38" t="n">
        <f aca="false">Sens!$G$8747</f>
        <v>54.9334165988154</v>
      </c>
      <c r="H8836" s="38" t="n">
        <f aca="false">Sens!$H$8747</f>
        <v>61.1564112561829</v>
      </c>
      <c r="I8836" s="38" t="n">
        <f aca="false">Sens!$I$8747</f>
        <v>67.2020282103945</v>
      </c>
      <c r="J8836" s="38" t="n">
        <f aca="false">Sens!$J$8747</f>
        <v>72.8757274028885</v>
      </c>
      <c r="K8836" s="38" t="n">
        <f aca="false">Sens!$K$8747</f>
        <v>77.9770283210907</v>
      </c>
      <c r="L8836" s="38" t="n">
        <f aca="false">Sens!$L$8747</f>
        <v>83.4354203035671</v>
      </c>
      <c r="M8836" s="38" t="n">
        <f aca="false">Sens!$M$8747</f>
        <v>89.2758997248168</v>
      </c>
      <c r="N8836" s="38" t="n">
        <f aca="false">Sens!$N$8747</f>
        <v>23.923</v>
      </c>
      <c r="O8836" s="38" t="n">
        <f aca="false">Sens!$O$8747</f>
        <v>25.696</v>
      </c>
    </row>
    <row r="8837" customFormat="false" ht="15" hidden="false" customHeight="false" outlineLevel="0" collapsed="false">
      <c r="A8837" s="0" t="s">
        <v>521</v>
      </c>
      <c r="B8837" s="0" t="s">
        <v>86</v>
      </c>
      <c r="C8837" s="38" t="n">
        <f aca="false">Sens!$C$8749</f>
        <v>5.425</v>
      </c>
      <c r="D8837" s="38" t="n">
        <f aca="false">Sens!$D$8749</f>
        <v>5.935</v>
      </c>
      <c r="E8837" s="38" t="n">
        <f aca="false">Sens!$E$8749</f>
        <v>3.474</v>
      </c>
      <c r="F8837" s="38" t="n">
        <f aca="false">Sens!$F$8749</f>
        <v>3.22246550883619</v>
      </c>
      <c r="G8837" s="38" t="n">
        <f aca="false">Sens!$G$8749</f>
        <v>6.69646550883619</v>
      </c>
      <c r="H8837" s="38" t="n">
        <f aca="false">Sens!$H$8749</f>
        <v>7.16251344209196</v>
      </c>
      <c r="I8837" s="38" t="n">
        <f aca="false">Sens!$I$8749</f>
        <v>7.61421070299826</v>
      </c>
      <c r="J8837" s="38" t="n">
        <f aca="false">Sens!$J$8749</f>
        <v>8.04465753523932</v>
      </c>
      <c r="K8837" s="38" t="n">
        <f aca="false">Sens!$K$8749</f>
        <v>8.44689041200128</v>
      </c>
      <c r="L8837" s="38" t="n">
        <f aca="false">Sens!$L$8749</f>
        <v>8.86923493260135</v>
      </c>
      <c r="M8837" s="38" t="n">
        <f aca="false">Sens!$M$8749</f>
        <v>9.31269667923142</v>
      </c>
      <c r="N8837" s="38" t="n">
        <f aca="false">Sens!$N$8749</f>
        <v>2.811</v>
      </c>
      <c r="O8837" s="38" t="n">
        <f aca="false">Sens!$O$8749</f>
        <v>3.124</v>
      </c>
    </row>
    <row r="8838" customFormat="false" ht="17.15" hidden="false" customHeight="false" outlineLevel="0" collapsed="false">
      <c r="A8838" s="0" t="s">
        <v>711</v>
      </c>
      <c r="B8838" s="0" t="s">
        <v>86</v>
      </c>
      <c r="C8838" s="38" t="n">
        <f aca="false">Sens!$C$8819</f>
        <v>107.556</v>
      </c>
      <c r="D8838" s="38" t="n">
        <f aca="false">Sens!$D$8819</f>
        <v>128.725</v>
      </c>
      <c r="E8838" s="38" t="n">
        <f aca="false">Sens!$E$8819</f>
        <v>79.819</v>
      </c>
      <c r="F8838" s="38" t="n">
        <f aca="false">Sens!$F$8819</f>
        <v>86.7327334389669</v>
      </c>
      <c r="G8838" s="38" t="n">
        <f aca="false">Sens!$G$8819</f>
        <v>166.551733438967</v>
      </c>
      <c r="H8838" s="38" t="n">
        <f aca="false">Sens!$H$8819</f>
        <v>221.182967828978</v>
      </c>
      <c r="I8838" s="38" t="n">
        <f aca="false">Sens!$I$8819</f>
        <v>280.27345865789</v>
      </c>
      <c r="J8838" s="38" t="n">
        <f aca="false">Sens!$J$8819</f>
        <v>338.800945197185</v>
      </c>
      <c r="K8838" s="38" t="n">
        <f aca="false">Sens!$K$8819</f>
        <v>389.599699375015</v>
      </c>
      <c r="L8838" s="38" t="n">
        <f aca="false">Sens!$L$8819</f>
        <v>428.943490119887</v>
      </c>
      <c r="M8838" s="38" t="n">
        <f aca="false">Sens!$M$8819</f>
        <v>456.901465525587</v>
      </c>
      <c r="N8838" s="38" t="n">
        <f aca="false">Sens!$N$8819</f>
        <v>60.14</v>
      </c>
      <c r="O8838" s="38" t="n">
        <f aca="false">Sens!$O$8819</f>
        <v>68.585</v>
      </c>
    </row>
    <row r="8839" customFormat="false" ht="15" hidden="false" customHeight="false" outlineLevel="0" collapsed="false">
      <c r="A8839" s="1" t="s">
        <v>509</v>
      </c>
      <c r="B8839" s="8" t="s">
        <v>86</v>
      </c>
      <c r="C8839" s="38" t="n">
        <f aca="false">Sens!$C$8754</f>
        <v>387.497</v>
      </c>
      <c r="D8839" s="38" t="n">
        <f aca="false">Sens!$D$8754</f>
        <v>426.305</v>
      </c>
      <c r="E8839" s="38" t="n">
        <f aca="false">Sens!$E$8754</f>
        <v>220.32</v>
      </c>
      <c r="F8839" s="38" t="n">
        <f aca="false">Sens!$F$8754</f>
        <v>250.639773480586</v>
      </c>
      <c r="G8839" s="38" t="n">
        <f aca="false">Sens!$G$8754</f>
        <v>470.959773480586</v>
      </c>
      <c r="H8839" s="38" t="n">
        <f aca="false">Sens!$H$8754</f>
        <v>521.386990416437</v>
      </c>
      <c r="I8839" s="38" t="n">
        <f aca="false">Sens!$I$8754</f>
        <v>570.143862887555</v>
      </c>
      <c r="J8839" s="38" t="n">
        <f aca="false">Sens!$J$8754</f>
        <v>615.391435791933</v>
      </c>
      <c r="K8839" s="38" t="n">
        <f aca="false">Sens!$K$8754</f>
        <v>655.208227561543</v>
      </c>
      <c r="L8839" s="38" t="n">
        <f aca="false">Sens!$L$8754</f>
        <v>697.807739249767</v>
      </c>
      <c r="M8839" s="38" t="n">
        <f aca="false">Sens!$M$8754</f>
        <v>743.399328463592</v>
      </c>
      <c r="N8839" s="38" t="n">
        <f aca="false">Sens!$N$8754</f>
        <v>192.955</v>
      </c>
      <c r="O8839" s="38" t="n">
        <f aca="false">Sens!$O$8754</f>
        <v>233.35</v>
      </c>
    </row>
    <row r="8840" customFormat="false" ht="15" hidden="false" customHeight="false" outlineLevel="0" collapsed="false">
      <c r="A8840" s="1" t="s">
        <v>512</v>
      </c>
      <c r="B8840" s="8" t="s">
        <v>86</v>
      </c>
      <c r="C8840" s="38" t="n">
        <f aca="false">Sens!$C$8755</f>
        <v>142.906</v>
      </c>
      <c r="D8840" s="38" t="n">
        <f aca="false">Sens!$D$8755</f>
        <v>161.894</v>
      </c>
      <c r="E8840" s="38" t="n">
        <f aca="false">Sens!$E$8755</f>
        <v>81.986</v>
      </c>
      <c r="F8840" s="38" t="n">
        <f aca="false">Sens!$F$8755</f>
        <v>98.408468164951</v>
      </c>
      <c r="G8840" s="38" t="n">
        <f aca="false">Sens!$G$8755</f>
        <v>180.394468164951</v>
      </c>
      <c r="H8840" s="38" t="n">
        <f aca="false">Sens!$H$8755</f>
        <v>199.709899104949</v>
      </c>
      <c r="I8840" s="38" t="n">
        <f aca="false">Sens!$I$8755</f>
        <v>218.385528264976</v>
      </c>
      <c r="J8840" s="38" t="n">
        <f aca="false">Sens!$J$8755</f>
        <v>235.71696994951</v>
      </c>
      <c r="K8840" s="38" t="n">
        <f aca="false">Sens!$K$8755</f>
        <v>250.968227869545</v>
      </c>
      <c r="L8840" s="38" t="n">
        <f aca="false">Sens!$L$8755</f>
        <v>267.285367225822</v>
      </c>
      <c r="M8840" s="38" t="n">
        <f aca="false">Sens!$M$8755</f>
        <v>284.748579483295</v>
      </c>
      <c r="N8840" s="38" t="n">
        <f aca="false">Sens!$N$8755</f>
        <v>70.274</v>
      </c>
      <c r="O8840" s="38" t="n">
        <f aca="false">Sens!$O$8755</f>
        <v>91.62</v>
      </c>
    </row>
    <row r="8841" customFormat="false" ht="15" hidden="false" customHeight="false" outlineLevel="0" collapsed="false">
      <c r="A8841" s="1" t="s">
        <v>513</v>
      </c>
      <c r="B8841" s="8" t="s">
        <v>86</v>
      </c>
      <c r="C8841" s="38" t="n">
        <f aca="false">Sens!$C$8819</f>
        <v>107.556</v>
      </c>
      <c r="D8841" s="38" t="n">
        <f aca="false">Sens!$D$8819</f>
        <v>128.725</v>
      </c>
      <c r="E8841" s="38" t="n">
        <f aca="false">Sens!$E$8819</f>
        <v>79.819</v>
      </c>
      <c r="F8841" s="38" t="n">
        <f aca="false">Sens!$F$8819</f>
        <v>86.7327334389669</v>
      </c>
      <c r="G8841" s="38" t="n">
        <f aca="false">Sens!$G$8819</f>
        <v>166.551733438967</v>
      </c>
      <c r="H8841" s="38" t="n">
        <f aca="false">Sens!$H$8819</f>
        <v>221.182967828978</v>
      </c>
      <c r="I8841" s="38" t="n">
        <f aca="false">Sens!$I$8819</f>
        <v>280.27345865789</v>
      </c>
      <c r="J8841" s="38" t="n">
        <f aca="false">Sens!$J$8819</f>
        <v>338.800945197185</v>
      </c>
      <c r="K8841" s="38" t="n">
        <f aca="false">Sens!$K$8819</f>
        <v>389.599699375015</v>
      </c>
      <c r="L8841" s="38" t="n">
        <f aca="false">Sens!$L$8819</f>
        <v>428.943490119887</v>
      </c>
      <c r="M8841" s="38" t="n">
        <f aca="false">Sens!$M$8819</f>
        <v>456.901465525587</v>
      </c>
      <c r="N8841" s="38" t="n">
        <f aca="false">Sens!$N$8819</f>
        <v>60.14</v>
      </c>
      <c r="O8841" s="38" t="n">
        <f aca="false">Sens!$O$8819</f>
        <v>68.585</v>
      </c>
    </row>
    <row r="8842" customFormat="false" ht="17.15" hidden="false" customHeight="false" outlineLevel="0" collapsed="false">
      <c r="A8842" s="0" t="s">
        <v>685</v>
      </c>
      <c r="B8842" s="0" t="s">
        <v>86</v>
      </c>
      <c r="C8842" s="38" t="n">
        <f aca="false">Sens!$C$8817</f>
        <v>2.32100535697364</v>
      </c>
      <c r="D8842" s="38" t="n">
        <f aca="false">Sens!$D$8817</f>
        <v>8.70377008865116</v>
      </c>
      <c r="E8842" s="38" t="n">
        <f aca="false">Sens!$E$8817</f>
        <v>8.51035297557002</v>
      </c>
      <c r="F8842" s="38" t="n">
        <f aca="false">Sens!$F$8817</f>
        <v>14.9634336447205</v>
      </c>
      <c r="G8842" s="38" t="n">
        <f aca="false">Sens!$G$8817</f>
        <v>23.4737866202905</v>
      </c>
      <c r="H8842" s="38" t="n">
        <f aca="false">Sens!$H$8817</f>
        <v>60.1658907497746</v>
      </c>
      <c r="I8842" s="38" t="n">
        <f aca="false">Sens!$I$8817</f>
        <v>101.503699136432</v>
      </c>
      <c r="J8842" s="38" t="n">
        <f aca="false">Sens!$J$8817</f>
        <v>143.025407151278</v>
      </c>
      <c r="K8842" s="38" t="n">
        <f aca="false">Sens!$K$8817</f>
        <v>178.162118285436</v>
      </c>
      <c r="L8842" s="38" t="n">
        <f aca="false">Sens!$L$8817</f>
        <v>200.590902543141</v>
      </c>
      <c r="M8842" s="38" t="n">
        <f aca="false">Sens!$M$8817</f>
        <v>210.280670942702</v>
      </c>
      <c r="N8842" s="38" t="n">
        <f aca="false">Sens!$N$8817</f>
        <v>3.04631953102791</v>
      </c>
      <c r="O8842" s="38" t="n">
        <f aca="false">Sens!$O$8817</f>
        <v>5.65745055762326</v>
      </c>
    </row>
    <row r="8843" customFormat="false" ht="17.15" hidden="false" customHeight="false" outlineLevel="0" collapsed="false">
      <c r="A8843" s="0" t="s">
        <v>687</v>
      </c>
      <c r="B8843" s="0" t="s">
        <v>86</v>
      </c>
      <c r="C8843" s="38" t="n">
        <f aca="false">Sens!$C$8818</f>
        <v>105.234994643026</v>
      </c>
      <c r="D8843" s="38" t="n">
        <f aca="false">Sens!$D$8818</f>
        <v>120.021229911349</v>
      </c>
      <c r="E8843" s="38" t="n">
        <f aca="false">Sens!$E$8818</f>
        <v>71.30864702443</v>
      </c>
      <c r="F8843" s="38" t="n">
        <f aca="false">Sens!$F$8818</f>
        <v>71.7692997942464</v>
      </c>
      <c r="G8843" s="38" t="n">
        <f aca="false">Sens!$G$8818</f>
        <v>143.077946818676</v>
      </c>
      <c r="H8843" s="38" t="n">
        <f aca="false">Sens!$H$8818</f>
        <v>161.017077079203</v>
      </c>
      <c r="I8843" s="38" t="n">
        <f aca="false">Sens!$I$8818</f>
        <v>178.769759521457</v>
      </c>
      <c r="J8843" s="38" t="n">
        <f aca="false">Sens!$J$8818</f>
        <v>195.775538045907</v>
      </c>
      <c r="K8843" s="38" t="n">
        <f aca="false">Sens!$K$8818</f>
        <v>211.43758108958</v>
      </c>
      <c r="L8843" s="38" t="n">
        <f aca="false">Sens!$L$8818</f>
        <v>228.352587576746</v>
      </c>
      <c r="M8843" s="38" t="n">
        <f aca="false">Sens!$M$8818</f>
        <v>246.620794582886</v>
      </c>
      <c r="N8843" s="38" t="n">
        <f aca="false">Sens!$N$8818</f>
        <v>57.0936804689721</v>
      </c>
      <c r="O8843" s="38" t="n">
        <f aca="false">Sens!$O$8818</f>
        <v>62.9275494423768</v>
      </c>
    </row>
    <row r="8844" customFormat="false" ht="15" hidden="false" customHeight="false" outlineLevel="0" collapsed="false">
      <c r="A8844" s="3" t="s">
        <v>514</v>
      </c>
      <c r="B8844" s="8" t="s">
        <v>86</v>
      </c>
      <c r="C8844" s="38" t="n">
        <f aca="false">Sens!$C$8820</f>
        <v>637.959</v>
      </c>
      <c r="D8844" s="38" t="n">
        <f aca="false">Sens!$D$8820</f>
        <v>716.924</v>
      </c>
      <c r="E8844" s="38" t="n">
        <f aca="false">Sens!$E$8820</f>
        <v>382.125</v>
      </c>
      <c r="F8844" s="38" t="n">
        <f aca="false">Sens!$F$8820</f>
        <v>435.780975084504</v>
      </c>
      <c r="G8844" s="38" t="n">
        <f aca="false">Sens!$G$8820</f>
        <v>817.905975084504</v>
      </c>
      <c r="H8844" s="38" t="n">
        <f aca="false">Sens!$H$8820</f>
        <v>942.279857350364</v>
      </c>
      <c r="I8844" s="38" t="n">
        <f aca="false">Sens!$I$8820</f>
        <v>1068.80284981042</v>
      </c>
      <c r="J8844" s="38" t="n">
        <f aca="false">Sens!$J$8820</f>
        <v>1189.90935093863</v>
      </c>
      <c r="K8844" s="38" t="n">
        <f aca="false">Sens!$K$8820</f>
        <v>1295.7761548061</v>
      </c>
      <c r="L8844" s="38" t="n">
        <f aca="false">Sens!$L$8820</f>
        <v>1394.03659659548</v>
      </c>
      <c r="M8844" s="38" t="n">
        <f aca="false">Sens!$M$8820</f>
        <v>1485.04937347247</v>
      </c>
      <c r="N8844" s="38" t="n">
        <f aca="false">Sens!$N$8820</f>
        <v>323.369</v>
      </c>
      <c r="O8844" s="38" t="n">
        <f aca="false">Sens!$O$8820</f>
        <v>393.555</v>
      </c>
    </row>
    <row r="8845" customFormat="false" ht="17.15" hidden="false" customHeight="false" outlineLevel="0" collapsed="false">
      <c r="A8845" s="24" t="s">
        <v>697</v>
      </c>
      <c r="B8845" s="25" t="s">
        <v>86</v>
      </c>
      <c r="C8845" s="41" t="n">
        <f aca="false">Sens!$C$8832+Sens!$C$8833+Sens!$C$8834+Sens!$C$8835+Sens!$C$8836+Sens!$C$8837-(Sens!$C$8839+Sens!$C$8840)</f>
        <v>0</v>
      </c>
      <c r="D8845" s="41" t="n">
        <f aca="false">Sens!$D$8832+Sens!$D$8833+Sens!$D$8834+Sens!$D$8835+Sens!$D$8836+Sens!$D$8837-(Sens!$D$8839+Sens!$D$8840)</f>
        <v>0</v>
      </c>
      <c r="E8845" s="41" t="n">
        <f aca="false">Sens!$E$8832+Sens!$E$8833+Sens!$E$8834+Sens!$E$8835+Sens!$E$8836+Sens!$E$8837-(Sens!$E$8839+Sens!$E$8840)</f>
        <v>0</v>
      </c>
      <c r="F8845" s="41" t="n">
        <f aca="false">Sens!$F$8832+Sens!$F$8833+Sens!$F$8834+Sens!$F$8835+Sens!$F$8836+Sens!$F$8837-(Sens!$F$8839+Sens!$F$8840)</f>
        <v>0</v>
      </c>
      <c r="G8845" s="41" t="n">
        <f aca="false">Sens!$G$8832+Sens!$G$8833+Sens!$G$8834+Sens!$G$8835+Sens!$G$8836+Sens!$G$8837-(Sens!$G$8839+Sens!$G$8840)</f>
        <v>0</v>
      </c>
      <c r="H8845" s="41" t="n">
        <f aca="false">Sens!$H$8832+Sens!$H$8833+Sens!$H$8834+Sens!$H$8835+Sens!$H$8836+Sens!$H$8837-(Sens!$H$8839+Sens!$H$8840)</f>
        <v>0</v>
      </c>
      <c r="I8845" s="41" t="n">
        <f aca="false">Sens!$I$8832+Sens!$I$8833+Sens!$I$8834+Sens!$I$8835+Sens!$I$8836+Sens!$I$8837-(Sens!$I$8839+Sens!$I$8840)</f>
        <v>0</v>
      </c>
      <c r="J8845" s="41" t="n">
        <f aca="false">Sens!$J$8832+Sens!$J$8833+Sens!$J$8834+Sens!$J$8835+Sens!$J$8836+Sens!$J$8837-(Sens!$J$8839+Sens!$J$8840)</f>
        <v>0</v>
      </c>
      <c r="K8845" s="41" t="n">
        <f aca="false">Sens!$K$8832+Sens!$K$8833+Sens!$K$8834+Sens!$K$8835+Sens!$K$8836+Sens!$K$8837-(Sens!$K$8839+Sens!$K$8840)</f>
        <v>0</v>
      </c>
      <c r="L8845" s="41" t="n">
        <f aca="false">Sens!$L$8832+Sens!$L$8833+Sens!$L$8834+Sens!$L$8835+Sens!$L$8836+Sens!$L$8837-(Sens!$L$8839+Sens!$L$8840)</f>
        <v>0</v>
      </c>
      <c r="M8845" s="41" t="n">
        <f aca="false">Sens!$M$8832+Sens!$M$8833+Sens!$M$8834+Sens!$M$8835+Sens!$M$8836+Sens!$M$8837-(Sens!$M$8839+Sens!$M$8840)</f>
        <v>0</v>
      </c>
      <c r="N8845" s="41" t="n">
        <f aca="false">Sens!$N$8832+Sens!$N$8833+Sens!$N$8834+Sens!$N$8835+Sens!$N$8836+Sens!$N$8837-(Sens!$N$8839+Sens!$N$8840)</f>
        <v>0</v>
      </c>
      <c r="O8845" s="41" t="n">
        <f aca="false">Sens!$O$8832+Sens!$O$8833+Sens!$O$8834+Sens!$O$8835+Sens!$O$8836+Sens!$O$8837-(Sens!$O$8839+Sens!$O$8840)</f>
        <v>0</v>
      </c>
    </row>
    <row r="8846" customFormat="false" ht="17.15" hidden="false" customHeight="false" outlineLevel="0" collapsed="false">
      <c r="A8846" s="24" t="s">
        <v>698</v>
      </c>
      <c r="B8846" s="25" t="s">
        <v>86</v>
      </c>
      <c r="C8846" s="41" t="n">
        <f aca="false">Sens!$C$8842+Sens!$C$8843-Sens!$C$8841</f>
        <v>0</v>
      </c>
      <c r="D8846" s="41" t="n">
        <f aca="false">Sens!$D$8842+Sens!$D$8843-Sens!$D$8841</f>
        <v>0</v>
      </c>
      <c r="E8846" s="41" t="n">
        <f aca="false">Sens!$E$8842+Sens!$E$8843-Sens!$E$8841</f>
        <v>0</v>
      </c>
      <c r="F8846" s="41" t="n">
        <f aca="false">Sens!$F$8842+Sens!$F$8843-Sens!$F$8841</f>
        <v>0</v>
      </c>
      <c r="G8846" s="41" t="n">
        <f aca="false">Sens!$G$8842+Sens!$G$8843-Sens!$G$8841</f>
        <v>0</v>
      </c>
      <c r="H8846" s="41" t="n">
        <f aca="false">Sens!$H$8842+Sens!$H$8843-Sens!$H$8841</f>
        <v>0</v>
      </c>
      <c r="I8846" s="41" t="n">
        <f aca="false">Sens!$I$8842+Sens!$I$8843-Sens!$I$8841</f>
        <v>0</v>
      </c>
      <c r="J8846" s="41" t="n">
        <f aca="false">Sens!$J$8842+Sens!$J$8843-Sens!$J$8841</f>
        <v>0</v>
      </c>
      <c r="K8846" s="41" t="n">
        <f aca="false">Sens!$K$8842+Sens!$K$8843-Sens!$K$8841</f>
        <v>0</v>
      </c>
      <c r="L8846" s="41" t="n">
        <f aca="false">Sens!$L$8842+Sens!$L$8843-Sens!$L$8841</f>
        <v>0</v>
      </c>
      <c r="M8846" s="41" t="n">
        <f aca="false">Sens!$M$8842+Sens!$M$8843-Sens!$M$8841</f>
        <v>0</v>
      </c>
      <c r="N8846" s="41" t="n">
        <f aca="false">Sens!$N$8842+Sens!$N$8843-Sens!$N$8841</f>
        <v>0</v>
      </c>
      <c r="O8846" s="41" t="n">
        <f aca="false">Sens!$O$8842+Sens!$O$8843-Sens!$O$8841</f>
        <v>0</v>
      </c>
    </row>
    <row r="8847" customFormat="false" ht="17.15" hidden="false" customHeight="false" outlineLevel="0" collapsed="false">
      <c r="A8847" s="24" t="s">
        <v>757</v>
      </c>
      <c r="B8847" s="25" t="s">
        <v>86</v>
      </c>
      <c r="C8847" s="41" t="n">
        <f aca="false">Sens!$C$8832+Sens!$C$8833+Sens!$C$8834+Sens!$C$8835+Sens!$C$8836+Sens!$C$8837+Sens!$C$8838-Sens!$C$8844</f>
        <v>0</v>
      </c>
      <c r="D8847" s="41" t="n">
        <f aca="false">Sens!$D$8832+Sens!$D$8833+Sens!$D$8834+Sens!$D$8835+Sens!$D$8836+Sens!$D$8837+Sens!$D$8838-Sens!$D$8844</f>
        <v>0</v>
      </c>
      <c r="E8847" s="41" t="n">
        <f aca="false">Sens!$E$8832+Sens!$E$8833+Sens!$E$8834+Sens!$E$8835+Sens!$E$8836+Sens!$E$8837+Sens!$E$8838-Sens!$E$8844</f>
        <v>0</v>
      </c>
      <c r="F8847" s="41" t="n">
        <f aca="false">Sens!$F$8832+Sens!$F$8833+Sens!$F$8834+Sens!$F$8835+Sens!$F$8836+Sens!$F$8837+Sens!$F$8838-Sens!$F$8844</f>
        <v>0</v>
      </c>
      <c r="G8847" s="41" t="n">
        <f aca="false">Sens!$G$8832+Sens!$G$8833+Sens!$G$8834+Sens!$G$8835+Sens!$G$8836+Sens!$G$8837+Sens!$G$8838-Sens!$G$8844</f>
        <v>0</v>
      </c>
      <c r="H8847" s="41" t="n">
        <f aca="false">Sens!$H$8832+Sens!$H$8833+Sens!$H$8834+Sens!$H$8835+Sens!$H$8836+Sens!$H$8837+Sens!$H$8838-Sens!$H$8844</f>
        <v>0</v>
      </c>
      <c r="I8847" s="41" t="n">
        <f aca="false">Sens!$I$8832+Sens!$I$8833+Sens!$I$8834+Sens!$I$8835+Sens!$I$8836+Sens!$I$8837+Sens!$I$8838-Sens!$I$8844</f>
        <v>0</v>
      </c>
      <c r="J8847" s="41" t="n">
        <f aca="false">Sens!$J$8832+Sens!$J$8833+Sens!$J$8834+Sens!$J$8835+Sens!$J$8836+Sens!$J$8837+Sens!$J$8838-Sens!$J$8844</f>
        <v>0</v>
      </c>
      <c r="K8847" s="41" t="n">
        <f aca="false">Sens!$K$8832+Sens!$K$8833+Sens!$K$8834+Sens!$K$8835+Sens!$K$8836+Sens!$K$8837+Sens!$K$8838-Sens!$K$8844</f>
        <v>0</v>
      </c>
      <c r="L8847" s="41" t="n">
        <f aca="false">Sens!$L$8832+Sens!$L$8833+Sens!$L$8834+Sens!$L$8835+Sens!$L$8836+Sens!$L$8837+Sens!$L$8838-Sens!$L$8844</f>
        <v>0</v>
      </c>
      <c r="M8847" s="41" t="n">
        <f aca="false">Sens!$M$8832+Sens!$M$8833+Sens!$M$8834+Sens!$M$8835+Sens!$M$8836+Sens!$M$8837+Sens!$M$8838-Sens!$M$8844</f>
        <v>0</v>
      </c>
      <c r="N8847" s="41" t="n">
        <f aca="false">Sens!$N$8832+Sens!$N$8833+Sens!$N$8834+Sens!$N$8835+Sens!$N$8836+Sens!$N$8837+Sens!$N$8838-Sens!$N$8844</f>
        <v>0</v>
      </c>
      <c r="O8847" s="41" t="n">
        <f aca="false">Sens!$O$8832+Sens!$O$8833+Sens!$O$8834+Sens!$O$8835+Sens!$O$8836+Sens!$O$8837+Sens!$O$8838-Sens!$O$8844</f>
        <v>0</v>
      </c>
    </row>
    <row r="8848" customFormat="false" ht="17.15" hidden="false" customHeight="false" outlineLevel="0" collapsed="false">
      <c r="A8848" s="24" t="s">
        <v>699</v>
      </c>
      <c r="B8848" s="25" t="s">
        <v>86</v>
      </c>
      <c r="C8848" s="41" t="n">
        <f aca="false">Sens!$C$8839+Sens!$C$8840+Sens!$C$8841-Sens!$C$8844</f>
        <v>0</v>
      </c>
      <c r="D8848" s="41" t="n">
        <f aca="false">Sens!$D$8839+Sens!$D$8840+Sens!$D$8841-Sens!$D$8844</f>
        <v>0</v>
      </c>
      <c r="E8848" s="41" t="n">
        <f aca="false">Sens!$E$8839+Sens!$E$8840+Sens!$E$8841-Sens!$E$8844</f>
        <v>0</v>
      </c>
      <c r="F8848" s="41" t="n">
        <f aca="false">Sens!$F$8839+Sens!$F$8840+Sens!$F$8841-Sens!$F$8844</f>
        <v>0</v>
      </c>
      <c r="G8848" s="41" t="n">
        <f aca="false">Sens!$G$8839+Sens!$G$8840+Sens!$G$8841-Sens!$G$8844</f>
        <v>0</v>
      </c>
      <c r="H8848" s="41" t="n">
        <f aca="false">Sens!$H$8839+Sens!$H$8840+Sens!$H$8841-Sens!$H$8844</f>
        <v>0</v>
      </c>
      <c r="I8848" s="41" t="n">
        <f aca="false">Sens!$I$8839+Sens!$I$8840+Sens!$I$8841-Sens!$I$8844</f>
        <v>0</v>
      </c>
      <c r="J8848" s="41" t="n">
        <f aca="false">Sens!$J$8839+Sens!$J$8840+Sens!$J$8841-Sens!$J$8844</f>
        <v>0</v>
      </c>
      <c r="K8848" s="41" t="n">
        <f aca="false">Sens!$K$8839+Sens!$K$8840+Sens!$K$8841-Sens!$K$8844</f>
        <v>0</v>
      </c>
      <c r="L8848" s="41" t="n">
        <f aca="false">Sens!$L$8839+Sens!$L$8840+Sens!$L$8841-Sens!$L$8844</f>
        <v>0</v>
      </c>
      <c r="M8848" s="41" t="n">
        <f aca="false">Sens!$M$8839+Sens!$M$8840+Sens!$M$8841-Sens!$M$8844</f>
        <v>0</v>
      </c>
      <c r="N8848" s="41" t="n">
        <f aca="false">Sens!$N$8839+Sens!$N$8840+Sens!$N$8841-Sens!$N$8844</f>
        <v>0</v>
      </c>
      <c r="O8848" s="41" t="n">
        <f aca="false">Sens!$O$8839+Sens!$O$8840+Sens!$O$8841-Sens!$O$8844</f>
        <v>0</v>
      </c>
    </row>
    <row r="8849" customFormat="false" ht="17.15" hidden="false" customHeight="false" outlineLevel="0" collapsed="false">
      <c r="A8849" s="1" t="s">
        <v>713</v>
      </c>
    </row>
    <row r="8850" customFormat="false" ht="17.15" hidden="false" customHeight="false" outlineLevel="0" collapsed="false">
      <c r="A8850" s="0" t="s">
        <v>714</v>
      </c>
      <c r="B8850" s="0" t="s">
        <v>86</v>
      </c>
      <c r="C8850" s="38" t="n">
        <f aca="false">Sens!$C$8756*m_ad</f>
        <v>20.5341564414228</v>
      </c>
      <c r="D8850" s="38" t="n">
        <f aca="false">Sens!$D$8756*m_ad</f>
        <v>24.8720617299587</v>
      </c>
      <c r="E8850" s="38" t="n">
        <f aca="false">Sens!$E$8756*m_ad</f>
        <v>13.5017112462207</v>
      </c>
      <c r="F8850" s="38" t="n">
        <f aca="false">Sens!$F$8756*m_ad</f>
        <v>16.5719724165257</v>
      </c>
      <c r="G8850" s="38" t="n">
        <f aca="false">Sens!$G$8756*m_ad</f>
        <v>30.0820919220415</v>
      </c>
      <c r="H8850" s="38" t="n">
        <f aca="false">Sens!$H$8756*m_ad</f>
        <v>36.1150883276314</v>
      </c>
      <c r="I8850" s="38" t="n">
        <f aca="false">Sens!$I$8756*m_ad</f>
        <v>42.1475382231996</v>
      </c>
      <c r="J8850" s="38" t="n">
        <f aca="false">Sens!$J$8756*m_ad</f>
        <v>47.7749523864693</v>
      </c>
      <c r="K8850" s="38" t="n">
        <f aca="false">Sens!$K$8756*m_ad</f>
        <v>52.5524476251162</v>
      </c>
      <c r="L8850" s="38" t="n">
        <f aca="false">Sens!$L$8756*m_ad</f>
        <v>57.8076923876279</v>
      </c>
      <c r="M8850" s="38" t="n">
        <f aca="false">Sens!$M$8756*m_ad</f>
        <v>63.5884616263907</v>
      </c>
      <c r="N8850" s="38" t="n">
        <f aca="false">Sens!$N$8756*m_ad</f>
        <v>10.8543555706248</v>
      </c>
      <c r="O8850" s="38" t="n">
        <f aca="false">Sens!$O$8756*m_ad</f>
        <v>14.0094731821399</v>
      </c>
    </row>
    <row r="8851" customFormat="false" ht="17.15" hidden="false" customHeight="false" outlineLevel="0" collapsed="false">
      <c r="A8851" s="0" t="s">
        <v>715</v>
      </c>
      <c r="B8851" s="0" t="s">
        <v>86</v>
      </c>
      <c r="C8851" s="38" t="n">
        <f aca="false">Sens!$C$8754-Sens!$C$8756</f>
        <v>346.428687117154</v>
      </c>
      <c r="D8851" s="38" t="n">
        <f aca="false">Sens!$D$8754-Sens!$D$8756</f>
        <v>376.560876540083</v>
      </c>
      <c r="E8851" s="38" t="n">
        <f aca="false">Sens!$E$8754-Sens!$E$8756</f>
        <v>193.316577507559</v>
      </c>
      <c r="F8851" s="38" t="n">
        <f aca="false">Sens!$F$8754-Sens!$F$8756</f>
        <v>217.495828647535</v>
      </c>
      <c r="G8851" s="38" t="n">
        <f aca="false">Sens!$G$8754-Sens!$G$8756</f>
        <v>410.795589636503</v>
      </c>
      <c r="H8851" s="38" t="n">
        <f aca="false">Sens!$H$8754-Sens!$H$8756</f>
        <v>449.156813761174</v>
      </c>
      <c r="I8851" s="38" t="n">
        <f aca="false">Sens!$I$8754-Sens!$I$8756</f>
        <v>485.848786441156</v>
      </c>
      <c r="J8851" s="38" t="n">
        <f aca="false">Sens!$J$8754-Sens!$J$8756</f>
        <v>519.841531018994</v>
      </c>
      <c r="K8851" s="38" t="n">
        <f aca="false">Sens!$K$8754-Sens!$K$8756</f>
        <v>550.103332311311</v>
      </c>
      <c r="L8851" s="38" t="n">
        <f aca="false">Sens!$L$8754-Sens!$L$8756</f>
        <v>582.192354474511</v>
      </c>
      <c r="M8851" s="38" t="n">
        <f aca="false">Sens!$M$8754-Sens!$M$8756</f>
        <v>616.22240521081</v>
      </c>
      <c r="N8851" s="38" t="n">
        <f aca="false">Sens!$N$8754-Sens!$N$8756</f>
        <v>171.24628885875</v>
      </c>
      <c r="O8851" s="38" t="n">
        <f aca="false">Sens!$O$8754-Sens!$O$8756</f>
        <v>205.33105363572</v>
      </c>
    </row>
    <row r="8852" customFormat="false" ht="17.15" hidden="false" customHeight="false" outlineLevel="0" collapsed="false">
      <c r="A8852" s="0" t="s">
        <v>716</v>
      </c>
      <c r="B8852" s="0" t="s">
        <v>86</v>
      </c>
      <c r="C8852" s="38" t="n">
        <f aca="false">Sens!$C$8803*Sens!$C$8753</f>
        <v>0.123617442257179</v>
      </c>
      <c r="D8852" s="38" t="n">
        <f aca="false">Sens!$D$8803*Sens!$D$8753</f>
        <v>0.874366899302609</v>
      </c>
      <c r="E8852" s="38" t="n">
        <f aca="false">Sens!$E$8803*Sens!$E$8753</f>
        <v>1.29318830502574</v>
      </c>
      <c r="F8852" s="38" t="n">
        <f aca="false">Sens!$F$8803*Sens!$F$8753</f>
        <v>1.51802024162534</v>
      </c>
      <c r="G8852" s="38" t="n">
        <f aca="false">Sens!$G$8803*Sens!$G$8753</f>
        <v>2.81153363597665</v>
      </c>
      <c r="H8852" s="38" t="n">
        <f aca="false">Sens!$H$8803*Sens!$H$8753</f>
        <v>7.39027704264226</v>
      </c>
      <c r="I8852" s="38" t="n">
        <f aca="false">Sens!$I$8803*Sens!$I$8753</f>
        <v>12.899807643047</v>
      </c>
      <c r="J8852" s="38" t="n">
        <f aca="false">Sens!$J$8803*Sens!$J$8753</f>
        <v>18.5585322471382</v>
      </c>
      <c r="K8852" s="38" t="n">
        <f aca="false">Sens!$K$8803*Sens!$K$8753</f>
        <v>24.0864087305694</v>
      </c>
      <c r="L8852" s="38" t="n">
        <f aca="false">Sens!$L$8803*Sens!$L$8753</f>
        <v>27.5892536594053</v>
      </c>
      <c r="M8852" s="38" t="n">
        <f aca="false">Sens!$M$8803*Sens!$M$8753</f>
        <v>29.4625357556135</v>
      </c>
      <c r="N8852" s="38" t="n">
        <f aca="false">Sens!$N$8803*Sens!$N$8753</f>
        <v>0.389180508437431</v>
      </c>
      <c r="O8852" s="38" t="n">
        <f aca="false">Sens!$O$8803*Sens!$O$8753</f>
        <v>0.485052120082802</v>
      </c>
    </row>
    <row r="8853" customFormat="false" ht="17.15" hidden="false" customHeight="false" outlineLevel="0" collapsed="false">
      <c r="A8853" s="0" t="s">
        <v>717</v>
      </c>
      <c r="B8853" s="0" t="s">
        <v>52</v>
      </c>
      <c r="C8853" s="28" t="n">
        <f aca="false">(Sens!$C$8854-Sens!$C$8850+Sens!$C$8852)/Sens!$C$8851</f>
        <v>0.0131526665379575</v>
      </c>
      <c r="D8853" s="28" t="n">
        <f aca="false">(Sens!$D$8854-Sens!$D$8850+Sens!$D$8852)/Sens!$D$8851</f>
        <v>0.0149280116962589</v>
      </c>
      <c r="E8853" s="28" t="n">
        <f aca="false">(Sens!$E$8854-Sens!$E$8850+Sens!$E$8852)/Sens!$E$8851</f>
        <v>0.0268030663774938</v>
      </c>
      <c r="F8853" s="28" t="n">
        <f aca="false">Sens!$O$8853+(Sens!$E$8853-Sens!$N$8853)</f>
        <v>0.0232379346966962</v>
      </c>
      <c r="G8853" s="28" t="n">
        <f aca="false">(Sens!$G$8854-Sens!$G$8850+Sens!$G$8852)/Sens!$G$8851</f>
        <v>0.0248969268652583</v>
      </c>
      <c r="H8853" s="28" t="n">
        <f aca="false">Sens!$G$8853+step_na</f>
        <v>0.0278969268652583</v>
      </c>
      <c r="I8853" s="28" t="n">
        <f aca="false">Sens!$H$8853+step_na</f>
        <v>0.0308969268652583</v>
      </c>
      <c r="J8853" s="28" t="n">
        <f aca="false">Sens!$I$8853+step_na</f>
        <v>0.0338969268652583</v>
      </c>
      <c r="K8853" s="28" t="n">
        <f aca="false">Sens!$J$8853+step_na</f>
        <v>0.0368969268652584</v>
      </c>
      <c r="L8853" s="28" t="n">
        <f aca="false">Sens!$K$8853</f>
        <v>0.0368969268652584</v>
      </c>
      <c r="M8853" s="28" t="n">
        <f aca="false">Sens!$L$8853</f>
        <v>0.0368969268652584</v>
      </c>
      <c r="N8853" s="28" t="n">
        <f aca="false">(Sens!$N$8854-Sens!$N$8850+Sens!$N$8852)/Sens!$N$8851</f>
        <v>0.0168927744775755</v>
      </c>
      <c r="O8853" s="28" t="n">
        <f aca="false">(Sens!$O$8854-Sens!$O$8850+Sens!$O$8852)/Sens!$O$8851</f>
        <v>0.0133276427967779</v>
      </c>
      <c r="P8853" s="8" t="s">
        <v>718</v>
      </c>
    </row>
    <row r="8854" customFormat="false" ht="17.15" hidden="false" customHeight="false" outlineLevel="0" collapsed="false">
      <c r="A8854" s="1" t="s">
        <v>719</v>
      </c>
      <c r="B8854" s="8" t="s">
        <v>86</v>
      </c>
      <c r="C8854" s="38" t="n">
        <f aca="false">Q!$D$22</f>
        <v>24.967</v>
      </c>
      <c r="D8854" s="38" t="n">
        <f aca="false">Q!$E$22</f>
        <v>29.619</v>
      </c>
      <c r="E8854" s="38" t="n">
        <f aca="false">Q!$P$22</f>
        <v>17.39</v>
      </c>
      <c r="F8854" s="38" t="n">
        <f aca="false">Sens!$F$8850+Sens!$F$8851*Sens!$F$8853-Sens!$F$8852</f>
        <v>20.1081060378156</v>
      </c>
      <c r="G8854" s="38" t="n">
        <f aca="false">Sens!$E$8854+Sens!$F$8854</f>
        <v>37.4981060378156</v>
      </c>
      <c r="H8854" s="38" t="n">
        <f aca="false">Sens!$H$8850+Sens!$H$8851*Sens!$H$8853-Sens!$H$8852</f>
        <v>41.2549060695171</v>
      </c>
      <c r="I8854" s="38" t="n">
        <f aca="false">Sens!$I$8850+Sens!$I$8851*Sens!$I$8853-Sens!$I$8852</f>
        <v>44.2589650023995</v>
      </c>
      <c r="J8854" s="38" t="n">
        <f aca="false">Sens!$J$8850+Sens!$J$8851*Sens!$J$8853-Sens!$J$8852</f>
        <v>46.8374504978059</v>
      </c>
      <c r="K8854" s="38" t="n">
        <f aca="false">Sens!$K$8850+Sens!$K$8851*Sens!$K$8853-Sens!$K$8852</f>
        <v>48.7631613151722</v>
      </c>
      <c r="L8854" s="38" t="n">
        <f aca="false">Sens!$L$8850+Sens!$L$8851*Sens!$L$8853-Sens!$L$8852</f>
        <v>51.6995474527812</v>
      </c>
      <c r="M8854" s="38" t="n">
        <f aca="false">Sens!$M$8850+Sens!$M$8851*Sens!$M$8853-Sens!$M$8852</f>
        <v>56.8626388885741</v>
      </c>
      <c r="N8854" s="38" t="n">
        <f aca="false">Q!$N$22</f>
        <v>13.358</v>
      </c>
      <c r="O8854" s="38" t="n">
        <f aca="false">Q!$O$22</f>
        <v>16.261</v>
      </c>
    </row>
    <row r="8855" customFormat="false" ht="17.15" hidden="false" customHeight="false" outlineLevel="0" collapsed="false">
      <c r="A8855" s="0" t="s">
        <v>720</v>
      </c>
      <c r="B8855" s="0" t="s">
        <v>86</v>
      </c>
      <c r="C8855" s="38" t="n">
        <f aca="false">Sens!$C$8757*m_ad</f>
        <v>7.57284355857716</v>
      </c>
      <c r="D8855" s="38" t="n">
        <f aca="false">Sens!$D$8757*m_ad</f>
        <v>9.44543827004127</v>
      </c>
      <c r="E8855" s="38" t="n">
        <f aca="false">Sens!$E$8757*m_ad</f>
        <v>5.02428875377928</v>
      </c>
      <c r="F8855" s="38" t="n">
        <f aca="false">Sens!$F$8757*m_ad</f>
        <v>6.50663858068173</v>
      </c>
      <c r="G8855" s="38" t="n">
        <f aca="false">Sens!$G$8757*m_ad</f>
        <v>11.5225190751659</v>
      </c>
      <c r="H8855" s="38" t="n">
        <f aca="false">Sens!$H$8757*m_ad</f>
        <v>13.8333728663174</v>
      </c>
      <c r="I8855" s="38" t="n">
        <f aca="false">Sens!$I$8757*m_ad</f>
        <v>16.1440173245485</v>
      </c>
      <c r="J8855" s="38" t="n">
        <f aca="false">Sens!$J$8757*m_ad</f>
        <v>18.2995185845066</v>
      </c>
      <c r="K8855" s="38" t="n">
        <f aca="false">Sens!$K$8757*m_ad</f>
        <v>20.1294704429572</v>
      </c>
      <c r="L8855" s="38" t="n">
        <f aca="false">Sens!$L$8757*m_ad</f>
        <v>22.142417487253</v>
      </c>
      <c r="M8855" s="38" t="n">
        <f aca="false">Sens!$M$8757*m_ad</f>
        <v>24.3566592359783</v>
      </c>
      <c r="N8855" s="38" t="n">
        <f aca="false">Sens!$N$8757*m_ad</f>
        <v>3.95314442937518</v>
      </c>
      <c r="O8855" s="38" t="n">
        <f aca="false">Sens!$O$8757*m_ad</f>
        <v>5.50052681786011</v>
      </c>
    </row>
    <row r="8856" customFormat="false" ht="17.15" hidden="false" customHeight="false" outlineLevel="0" collapsed="false">
      <c r="A8856" s="0" t="s">
        <v>721</v>
      </c>
      <c r="B8856" s="0" t="s">
        <v>86</v>
      </c>
      <c r="C8856" s="38" t="n">
        <f aca="false">Sens!$C$8755-Sens!$C$8757</f>
        <v>127.760312882846</v>
      </c>
      <c r="D8856" s="38" t="n">
        <f aca="false">Sens!$D$8755-Sens!$D$8757</f>
        <v>143.003123459917</v>
      </c>
      <c r="E8856" s="38" t="n">
        <f aca="false">Sens!$E$8755-Sens!$E$8757</f>
        <v>71.9374224924414</v>
      </c>
      <c r="F8856" s="38" t="n">
        <f aca="false">Sens!$F$8755-Sens!$F$8757</f>
        <v>85.3951910035875</v>
      </c>
      <c r="G8856" s="38" t="n">
        <f aca="false">Sens!$G$8755-Sens!$G$8757</f>
        <v>157.349430014619</v>
      </c>
      <c r="H8856" s="38" t="n">
        <f aca="false">Sens!$H$8755-Sens!$H$8757</f>
        <v>172.043153372315</v>
      </c>
      <c r="I8856" s="38" t="n">
        <f aca="false">Sens!$I$8755-Sens!$I$8757</f>
        <v>186.097493615879</v>
      </c>
      <c r="J8856" s="38" t="n">
        <f aca="false">Sens!$J$8755-Sens!$J$8757</f>
        <v>199.117932780497</v>
      </c>
      <c r="K8856" s="38" t="n">
        <f aca="false">Sens!$K$8755-Sens!$K$8757</f>
        <v>210.70928698363</v>
      </c>
      <c r="L8856" s="38" t="n">
        <f aca="false">Sens!$L$8755-Sens!$L$8757</f>
        <v>223.000532251316</v>
      </c>
      <c r="M8856" s="38" t="n">
        <f aca="false">Sens!$M$8755-Sens!$M$8757</f>
        <v>236.035261011339</v>
      </c>
      <c r="N8856" s="38" t="n">
        <f aca="false">Sens!$N$8755-Sens!$N$8757</f>
        <v>62.3677111412496</v>
      </c>
      <c r="O8856" s="38" t="n">
        <f aca="false">Sens!$O$8755-Sens!$O$8757</f>
        <v>80.6189463642798</v>
      </c>
    </row>
    <row r="8857" customFormat="false" ht="17.15" hidden="false" customHeight="false" outlineLevel="0" collapsed="false">
      <c r="A8857" s="0" t="s">
        <v>722</v>
      </c>
      <c r="B8857" s="0" t="s">
        <v>86</v>
      </c>
      <c r="C8857" s="38" t="n">
        <f aca="false">Sens!$C$8803*(1-Sens!$C$8753)</f>
        <v>0.0455891896019953</v>
      </c>
      <c r="D8857" s="38" t="n">
        <f aca="false">Sens!$D$8803*(1-Sens!$D$8753)</f>
        <v>0.332050421167231</v>
      </c>
      <c r="E8857" s="38" t="n">
        <f aca="false">Sens!$E$8803*(1-Sens!$E$8753)</f>
        <v>0.481224293644882</v>
      </c>
      <c r="F8857" s="38" t="n">
        <f aca="false">Sens!$F$8803*(1-Sens!$F$8753)</f>
        <v>0.596018918096053</v>
      </c>
      <c r="G8857" s="38" t="n">
        <f aca="false">Sens!$G$8803*(1-Sens!$G$8753)</f>
        <v>1.07691812241537</v>
      </c>
      <c r="H8857" s="38" t="n">
        <f aca="false">Sens!$H$8803*(1-Sens!$H$8753)</f>
        <v>2.83074090775622</v>
      </c>
      <c r="I8857" s="38" t="n">
        <f aca="false">Sens!$I$8803*(1-Sens!$I$8753)</f>
        <v>4.94108853926048</v>
      </c>
      <c r="J8857" s="38" t="n">
        <f aca="false">Sens!$J$8803*(1-Sens!$J$8753)</f>
        <v>7.10858281993502</v>
      </c>
      <c r="K8857" s="38" t="n">
        <f aca="false">Sens!$K$8803*(1-Sens!$K$8753)</f>
        <v>9.22595758198829</v>
      </c>
      <c r="L8857" s="38" t="n">
        <f aca="false">Sens!$L$8803*(1-Sens!$L$8753)</f>
        <v>10.5676726998883</v>
      </c>
      <c r="M8857" s="38" t="n">
        <f aca="false">Sens!$M$8803*(1-Sens!$M$8753)</f>
        <v>11.2852068641566</v>
      </c>
      <c r="N8857" s="38" t="n">
        <f aca="false">Sens!$N$8803*(1-Sens!$N$8753)</f>
        <v>0.141739115596548</v>
      </c>
      <c r="O8857" s="38" t="n">
        <f aca="false">Sens!$O$8803*(1-Sens!$O$8753)</f>
        <v>0.190445576353059</v>
      </c>
    </row>
    <row r="8858" customFormat="false" ht="17.15" hidden="false" customHeight="false" outlineLevel="0" collapsed="false">
      <c r="A8858" s="0" t="s">
        <v>723</v>
      </c>
      <c r="B8858" s="0" t="s">
        <v>52</v>
      </c>
      <c r="C8858" s="28" t="n">
        <f aca="false">(Sens!$C$8859-Sens!$C$8855+Sens!$C$8857)/Sens!$C$8856</f>
        <v>-0.0292364215826579</v>
      </c>
      <c r="D8858" s="28" t="n">
        <f aca="false">(Sens!$D$8859-Sens!$D$8855+Sens!$D$8857)/Sens!$D$8856</f>
        <v>-0.0305125352740778</v>
      </c>
      <c r="E8858" s="28" t="n">
        <f aca="false">(Sens!$E$8859-Sens!$E$8855+Sens!$E$8857)/Sens!$E$8856</f>
        <v>-0.019490056934994</v>
      </c>
      <c r="F8858" s="28" t="n">
        <f aca="false">Sens!$O$8858+(Sens!$E$8858-Sens!$N$8858)</f>
        <v>-0.0367332293992226</v>
      </c>
      <c r="G8858" s="28" t="n">
        <f aca="false">(Sens!$G$8859-Sens!$G$8855+Sens!$G$8857)/Sens!$G$8856</f>
        <v>-0.0287946542321067</v>
      </c>
      <c r="H8858" s="28" t="n">
        <f aca="false">Sens!$G$8858+step_in</f>
        <v>-0.0287946542321067</v>
      </c>
      <c r="I8858" s="28" t="n">
        <f aca="false">Sens!$H$8858+step_in</f>
        <v>-0.0287946542321067</v>
      </c>
      <c r="J8858" s="28" t="n">
        <f aca="false">Sens!$I$8858+step_in</f>
        <v>-0.0287946542321067</v>
      </c>
      <c r="K8858" s="28" t="n">
        <f aca="false">Sens!$J$8858+step_in</f>
        <v>-0.0287946542321067</v>
      </c>
      <c r="L8858" s="28" t="n">
        <f aca="false">Sens!$K$8858</f>
        <v>-0.0287946542321067</v>
      </c>
      <c r="M8858" s="28" t="n">
        <f aca="false">Sens!$L$8858</f>
        <v>-0.0287946542321067</v>
      </c>
      <c r="N8858" s="28" t="n">
        <f aca="false">(Sens!$N$8859-Sens!$N$8855+Sens!$N$8857)/Sens!$N$8856</f>
        <v>-0.02085061789158</v>
      </c>
      <c r="O8858" s="28" t="n">
        <f aca="false">(Sens!$O$8859-Sens!$O$8855+Sens!$O$8857)/Sens!$O$8856</f>
        <v>-0.0380937903558086</v>
      </c>
      <c r="P8858" s="8" t="s">
        <v>718</v>
      </c>
    </row>
    <row r="8859" customFormat="false" ht="17.15" hidden="false" customHeight="false" outlineLevel="0" collapsed="false">
      <c r="A8859" s="1" t="s">
        <v>724</v>
      </c>
      <c r="B8859" s="8" t="s">
        <v>86</v>
      </c>
      <c r="C8859" s="38" t="n">
        <f aca="false">Q!$D$23</f>
        <v>3.792</v>
      </c>
      <c r="D8859" s="38" t="n">
        <f aca="false">Q!$E$23</f>
        <v>4.75</v>
      </c>
      <c r="E8859" s="38" t="n">
        <f aca="false">Q!$P$23</f>
        <v>3.141</v>
      </c>
      <c r="F8859" s="38" t="n">
        <f aca="false">Sens!$F$8855+Sens!$F$8856*Sens!$F$8858-Sens!$F$8857</f>
        <v>2.77377852186047</v>
      </c>
      <c r="G8859" s="38" t="n">
        <f aca="false">Sens!$E$8859+Sens!$F$8859</f>
        <v>5.91477852186047</v>
      </c>
      <c r="H8859" s="38" t="n">
        <f aca="false">Sens!$H$8855+Sens!$H$8856*Sens!$H$8858-Sens!$H$8857</f>
        <v>6.04870884420403</v>
      </c>
      <c r="I8859" s="38" t="n">
        <f aca="false">Sens!$I$8855+Sens!$I$8856*Sens!$I$8858-Sens!$I$8857</f>
        <v>5.84431580315713</v>
      </c>
      <c r="J8859" s="38" t="n">
        <f aca="false">Sens!$J$8855+Sens!$J$8856*Sens!$J$8858-Sens!$J$8857</f>
        <v>5.45740373874528</v>
      </c>
      <c r="K8859" s="38" t="n">
        <f aca="false">Sens!$K$8855+Sens!$K$8856*Sens!$K$8858-Sens!$K$8857</f>
        <v>4.83621179878157</v>
      </c>
      <c r="L8859" s="38" t="n">
        <f aca="false">Sens!$L$8855+Sens!$L$8856*Sens!$L$8858-Sens!$L$8857</f>
        <v>5.15352156761228</v>
      </c>
      <c r="M8859" s="38" t="n">
        <f aca="false">Sens!$M$8855+Sens!$M$8856*Sens!$M$8858-Sens!$M$8857</f>
        <v>6.2748986444151</v>
      </c>
      <c r="N8859" s="38" t="n">
        <f aca="false">Q!$N$23</f>
        <v>2.511</v>
      </c>
      <c r="O8859" s="38" t="n">
        <f aca="false">Q!$O$23</f>
        <v>2.239</v>
      </c>
    </row>
    <row r="8860" customFormat="false" ht="17.15" hidden="false" customHeight="false" outlineLevel="0" collapsed="false">
      <c r="A8860" s="0" t="s">
        <v>725</v>
      </c>
      <c r="B8860" s="0" t="s">
        <v>86</v>
      </c>
      <c r="C8860" s="38" t="n">
        <f aca="false">Sens!$C$8800</f>
        <v>1.64417882953695</v>
      </c>
      <c r="D8860" s="38" t="n">
        <f aca="false">Sens!$D$8800</f>
        <v>3.8781008067718</v>
      </c>
      <c r="E8860" s="38" t="n">
        <f aca="false">Sens!$E$8800</f>
        <v>1.41270258088753</v>
      </c>
      <c r="F8860" s="38" t="n">
        <f aca="false">Sens!$F$8800</f>
        <v>6.50727700583486</v>
      </c>
      <c r="G8860" s="38" t="n">
        <f aca="false">Sens!$G$8800</f>
        <v>7.9199795867224</v>
      </c>
      <c r="H8860" s="38" t="n">
        <f aca="false">Sens!$H$8800</f>
        <v>19.2818189481807</v>
      </c>
      <c r="I8860" s="38" t="n">
        <f aca="false">Sens!$I$8800</f>
        <v>30.140114407202</v>
      </c>
      <c r="J8860" s="38" t="n">
        <f aca="false">Sens!$J$8800</f>
        <v>40.3569468829854</v>
      </c>
      <c r="K8860" s="38" t="n">
        <f aca="false">Sens!$K$8800</f>
        <v>44.9126530352048</v>
      </c>
      <c r="L8860" s="38" t="n">
        <f aca="false">Sens!$L$8800</f>
        <v>47.9631971059665</v>
      </c>
      <c r="M8860" s="38" t="n">
        <f aca="false">Sens!$M$8800</f>
        <v>47.2897004636212</v>
      </c>
      <c r="N8860" s="38" t="n">
        <f aca="false">Sens!$N$8800</f>
        <v>0.92264103489199</v>
      </c>
      <c r="O8860" s="38" t="n">
        <f aca="false">Sens!$O$8800</f>
        <v>2.95545977187981</v>
      </c>
    </row>
    <row r="8861" customFormat="false" ht="17.15" hidden="false" customHeight="false" outlineLevel="0" collapsed="false">
      <c r="A8861" s="0" t="s">
        <v>643</v>
      </c>
      <c r="B8861" s="0" t="s">
        <v>86</v>
      </c>
      <c r="C8861" s="38" t="n">
        <f aca="false">Sens!$C$8805</f>
        <v>38.1898211704631</v>
      </c>
      <c r="D8861" s="38" t="n">
        <f aca="false">Sens!$D$8805</f>
        <v>41.7278991932282</v>
      </c>
      <c r="E8861" s="38" t="n">
        <f aca="false">Sens!$E$8805</f>
        <v>29.3692974191125</v>
      </c>
      <c r="F8861" s="38" t="n">
        <f aca="false">Sens!$F$8805</f>
        <v>26.8997276714137</v>
      </c>
      <c r="G8861" s="38" t="n">
        <f aca="false">Sens!$G$8805</f>
        <v>56.2690250905262</v>
      </c>
      <c r="H8861" s="38" t="n">
        <f aca="false">Sens!$H$8805</f>
        <v>60.3505333937343</v>
      </c>
      <c r="I8861" s="38" t="n">
        <f aca="false">Sens!$I$8805</f>
        <v>67.0043857303571</v>
      </c>
      <c r="J8861" s="38" t="n">
        <f aca="false">Sens!$J$8805</f>
        <v>73.3782922956925</v>
      </c>
      <c r="K8861" s="38" t="n">
        <f aca="false">Sens!$K$8805</f>
        <v>79.2485556793479</v>
      </c>
      <c r="L8861" s="38" t="n">
        <f aca="false">Sens!$L$8805</f>
        <v>85.5884401336958</v>
      </c>
      <c r="M8861" s="38" t="n">
        <f aca="false">Sens!$M$8805</f>
        <v>92.4355153443914</v>
      </c>
      <c r="N8861" s="38" t="n">
        <f aca="false">Sens!$N$8805</f>
        <v>20.784358965108</v>
      </c>
      <c r="O8861" s="38" t="n">
        <f aca="false">Sens!$O$8805</f>
        <v>20.9435402281202</v>
      </c>
    </row>
    <row r="8862" customFormat="false" ht="17.15" hidden="false" customHeight="false" outlineLevel="0" collapsed="false">
      <c r="A8862" s="1" t="s">
        <v>726</v>
      </c>
      <c r="B8862" s="8" t="s">
        <v>86</v>
      </c>
      <c r="C8862" s="38" t="n">
        <f aca="false">Q!$D$24</f>
        <v>39.834</v>
      </c>
      <c r="D8862" s="38" t="n">
        <f aca="false">Q!$E$24</f>
        <v>45.606</v>
      </c>
      <c r="E8862" s="38" t="n">
        <f aca="false">Q!$P$24</f>
        <v>30.782</v>
      </c>
      <c r="F8862" s="38" t="n">
        <f aca="false">Sens!$F$8860+Sens!$F$8861</f>
        <v>33.4070046772486</v>
      </c>
      <c r="G8862" s="38" t="n">
        <f aca="false">Sens!$G$8860+Sens!$G$8861</f>
        <v>64.1890046772486</v>
      </c>
      <c r="H8862" s="38" t="n">
        <f aca="false">Sens!$H$8860+Sens!$H$8861</f>
        <v>79.6323523419149</v>
      </c>
      <c r="I8862" s="38" t="n">
        <f aca="false">Sens!$I$8860+Sens!$I$8861</f>
        <v>97.1445001375591</v>
      </c>
      <c r="J8862" s="38" t="n">
        <f aca="false">Sens!$J$8860+Sens!$J$8861</f>
        <v>113.735239178678</v>
      </c>
      <c r="K8862" s="38" t="n">
        <f aca="false">Sens!$K$8860+Sens!$K$8861</f>
        <v>124.161208714553</v>
      </c>
      <c r="L8862" s="38" t="n">
        <f aca="false">Sens!$L$8860+Sens!$L$8861</f>
        <v>133.551637239662</v>
      </c>
      <c r="M8862" s="38" t="n">
        <f aca="false">Sens!$M$8860+Sens!$M$8861</f>
        <v>139.725215808013</v>
      </c>
      <c r="N8862" s="38" t="n">
        <f aca="false">Q!$N$24</f>
        <v>21.707</v>
      </c>
      <c r="O8862" s="38" t="n">
        <f aca="false">Q!$O$24</f>
        <v>23.899</v>
      </c>
    </row>
    <row r="8863" customFormat="false" ht="17.15" hidden="false" customHeight="false" outlineLevel="0" collapsed="false">
      <c r="A8863" s="5" t="s">
        <v>727</v>
      </c>
      <c r="B8863" s="0" t="s">
        <v>86</v>
      </c>
      <c r="C8863" s="38" t="n">
        <f aca="false">Q!$D$26</f>
        <v>0</v>
      </c>
      <c r="D8863" s="38" t="n">
        <f aca="false">Q!$E$26</f>
        <v>0</v>
      </c>
      <c r="E8863" s="38" t="n">
        <f aca="false">Q!$P$26</f>
        <v>0</v>
      </c>
      <c r="F8863" s="39" t="n">
        <v>0</v>
      </c>
      <c r="G8863" s="38" t="n">
        <f aca="false">Sens!$E$8863+Sens!$F$8863</f>
        <v>0</v>
      </c>
      <c r="H8863" s="39" t="n">
        <v>0</v>
      </c>
      <c r="I8863" s="39" t="n">
        <v>0</v>
      </c>
      <c r="J8863" s="39" t="n">
        <v>0</v>
      </c>
      <c r="K8863" s="39" t="n">
        <v>0</v>
      </c>
      <c r="L8863" s="39" t="n">
        <v>0</v>
      </c>
      <c r="M8863" s="39" t="n">
        <v>0</v>
      </c>
      <c r="N8863" s="38" t="n">
        <f aca="false">Q!$N$26</f>
        <v>0</v>
      </c>
      <c r="O8863" s="38" t="n">
        <f aca="false">Q!$O$26</f>
        <v>0</v>
      </c>
    </row>
    <row r="8864" customFormat="false" ht="15" hidden="false" customHeight="false" outlineLevel="0" collapsed="false">
      <c r="A8864" s="3" t="s">
        <v>531</v>
      </c>
      <c r="B8864" s="8" t="s">
        <v>86</v>
      </c>
      <c r="C8864" s="38" t="n">
        <f aca="false">Q!$D$25</f>
        <v>68.593</v>
      </c>
      <c r="D8864" s="38" t="n">
        <f aca="false">Q!$E$25</f>
        <v>79.975</v>
      </c>
      <c r="E8864" s="38" t="n">
        <f aca="false">Q!$P$25</f>
        <v>51.313</v>
      </c>
      <c r="F8864" s="38" t="n">
        <f aca="false">Sens!$F$8854+Sens!$F$8859+Sens!$F$8862+Sens!$F$8863</f>
        <v>56.2888892369246</v>
      </c>
      <c r="G8864" s="38" t="n">
        <f aca="false">Sens!$G$8854+Sens!$G$8859+Sens!$G$8862+Sens!$G$8863</f>
        <v>107.601889236925</v>
      </c>
      <c r="H8864" s="38" t="n">
        <f aca="false">Sens!$H$8854+Sens!$H$8859+Sens!$H$8862+Sens!$H$8863</f>
        <v>126.935967255636</v>
      </c>
      <c r="I8864" s="38" t="n">
        <f aca="false">Sens!$I$8854+Sens!$I$8859+Sens!$I$8862+Sens!$I$8863</f>
        <v>147.247780943116</v>
      </c>
      <c r="J8864" s="38" t="n">
        <f aca="false">Sens!$J$8854+Sens!$J$8859+Sens!$J$8862+Sens!$J$8863</f>
        <v>166.030093415229</v>
      </c>
      <c r="K8864" s="38" t="n">
        <f aca="false">Sens!$K$8854+Sens!$K$8859+Sens!$K$8862+Sens!$K$8863</f>
        <v>177.760581828506</v>
      </c>
      <c r="L8864" s="38" t="n">
        <f aca="false">Sens!$L$8854+Sens!$L$8859+Sens!$L$8862+Sens!$L$8863</f>
        <v>190.404706260056</v>
      </c>
      <c r="M8864" s="38" t="n">
        <f aca="false">Sens!$M$8854+Sens!$M$8859+Sens!$M$8862+Sens!$M$8863</f>
        <v>202.862753341002</v>
      </c>
      <c r="N8864" s="38" t="n">
        <f aca="false">Q!$N$25</f>
        <v>37.576</v>
      </c>
      <c r="O8864" s="38" t="n">
        <f aca="false">Q!$O$25</f>
        <v>42.399</v>
      </c>
    </row>
    <row r="8865" customFormat="false" ht="17.15" hidden="false" customHeight="false" outlineLevel="0" collapsed="false">
      <c r="A8865" s="24" t="s">
        <v>758</v>
      </c>
      <c r="B8865" s="25" t="s">
        <v>86</v>
      </c>
      <c r="C8865" s="41" t="n">
        <f aca="false">Sens!$C$8854+Sens!$C$8859+Sens!$C$8862+Sens!$C$8863-Sens!$C$8864</f>
        <v>0</v>
      </c>
      <c r="D8865" s="41" t="n">
        <f aca="false">Sens!$D$8854+Sens!$D$8859+Sens!$D$8862+Sens!$D$8863-Sens!$D$8864</f>
        <v>0</v>
      </c>
      <c r="E8865" s="41" t="n">
        <f aca="false">Sens!$E$8854+Sens!$E$8859+Sens!$E$8862+Sens!$E$8863-Sens!$E$8864</f>
        <v>0</v>
      </c>
      <c r="F8865" s="41" t="n">
        <f aca="false">Sens!$F$8854+Sens!$F$8859+Sens!$F$8862+Sens!$F$8863-Sens!$F$8864</f>
        <v>0</v>
      </c>
      <c r="G8865" s="41" t="n">
        <f aca="false">Sens!$G$8854+Sens!$G$8859+Sens!$G$8862+Sens!$G$8863-Sens!$G$8864</f>
        <v>0</v>
      </c>
      <c r="H8865" s="41" t="n">
        <f aca="false">Sens!$H$8854+Sens!$H$8859+Sens!$H$8862+Sens!$H$8863-Sens!$H$8864</f>
        <v>0</v>
      </c>
      <c r="I8865" s="41" t="n">
        <f aca="false">Sens!$I$8854+Sens!$I$8859+Sens!$I$8862+Sens!$I$8863-Sens!$I$8864</f>
        <v>0</v>
      </c>
      <c r="J8865" s="41" t="n">
        <f aca="false">Sens!$J$8854+Sens!$J$8859+Sens!$J$8862+Sens!$J$8863-Sens!$J$8864</f>
        <v>0</v>
      </c>
      <c r="K8865" s="41" t="n">
        <f aca="false">Sens!$K$8854+Sens!$K$8859+Sens!$K$8862+Sens!$K$8863-Sens!$K$8864</f>
        <v>0</v>
      </c>
      <c r="L8865" s="41" t="n">
        <f aca="false">Sens!$L$8854+Sens!$L$8859+Sens!$L$8862+Sens!$L$8863-Sens!$L$8864</f>
        <v>0</v>
      </c>
      <c r="M8865" s="41" t="n">
        <f aca="false">Sens!$M$8854+Sens!$M$8859+Sens!$M$8862+Sens!$M$8863-Sens!$M$8864</f>
        <v>0</v>
      </c>
      <c r="N8865" s="41" t="n">
        <f aca="false">Sens!$N$8854+Sens!$N$8859+Sens!$N$8862+Sens!$N$8863-Sens!$N$8864</f>
        <v>0</v>
      </c>
      <c r="O8865" s="41" t="n">
        <f aca="false">Sens!$O$8854+Sens!$O$8859+Sens!$O$8862+Sens!$O$8863-Sens!$O$8864</f>
        <v>0</v>
      </c>
    </row>
    <row r="8866" customFormat="false" ht="17.15" hidden="false" customHeight="false" outlineLevel="0" collapsed="false">
      <c r="A8866" s="5" t="s">
        <v>729</v>
      </c>
      <c r="B8866" s="0" t="s">
        <v>86</v>
      </c>
      <c r="C8866" s="38" t="n">
        <f aca="false">Sens!$C$8802</f>
        <v>0</v>
      </c>
      <c r="D8866" s="38" t="n">
        <f aca="false">Sens!$D$8802</f>
        <v>0</v>
      </c>
      <c r="E8866" s="38" t="n">
        <f aca="false">Sens!$E$8802</f>
        <v>0</v>
      </c>
      <c r="F8866" s="38" t="n">
        <f aca="false">Sens!$F$8802</f>
        <v>3.77122048175818</v>
      </c>
      <c r="G8866" s="38" t="n">
        <f aca="false">Sens!$G$8802</f>
        <v>3.77122048175818</v>
      </c>
      <c r="H8866" s="38" t="n">
        <f aca="false">Sens!$H$8802</f>
        <v>15.1635543609893</v>
      </c>
      <c r="I8866" s="38" t="n">
        <f aca="false">Sens!$I$8802</f>
        <v>25.5818843619889</v>
      </c>
      <c r="J8866" s="38" t="n">
        <f aca="false">Sens!$J$8802</f>
        <v>36.0465624179122</v>
      </c>
      <c r="K8866" s="38" t="n">
        <f aca="false">Sens!$K$8802</f>
        <v>44.9020355557576</v>
      </c>
      <c r="L8866" s="38" t="n">
        <f aca="false">Sens!$L$8802</f>
        <v>50.55474151763</v>
      </c>
      <c r="M8866" s="38" t="n">
        <f aca="false">Sens!$M$8802</f>
        <v>52.9968449759368</v>
      </c>
      <c r="N8866" s="38" t="n">
        <f aca="false">Sens!$N$8802</f>
        <v>0</v>
      </c>
      <c r="O8866" s="38" t="n">
        <f aca="false">Sens!$O$8802</f>
        <v>0</v>
      </c>
      <c r="P8866" s="5" t="s">
        <v>730</v>
      </c>
    </row>
    <row r="8867" customFormat="false" ht="17.15" hidden="false" customHeight="false" outlineLevel="0" collapsed="false">
      <c r="A8867" s="5" t="s">
        <v>731</v>
      </c>
      <c r="B8867" s="0" t="s">
        <v>86</v>
      </c>
      <c r="C8867" s="38" t="n">
        <f aca="false">Sens!$C$8864+Sens!$C$8866</f>
        <v>68.593</v>
      </c>
      <c r="D8867" s="38" t="n">
        <f aca="false">Sens!$D$8864+Sens!$D$8866</f>
        <v>79.975</v>
      </c>
      <c r="E8867" s="38" t="n">
        <f aca="false">Sens!$E$8864+Sens!$E$8866</f>
        <v>51.313</v>
      </c>
      <c r="F8867" s="38" t="n">
        <f aca="false">Sens!$F$8864+Sens!$F$8866</f>
        <v>60.0601097186828</v>
      </c>
      <c r="G8867" s="38" t="n">
        <f aca="false">Sens!$G$8864+Sens!$G$8866</f>
        <v>111.373109718683</v>
      </c>
      <c r="H8867" s="38" t="n">
        <f aca="false">Sens!$H$8864+Sens!$H$8866</f>
        <v>142.099521616625</v>
      </c>
      <c r="I8867" s="38" t="n">
        <f aca="false">Sens!$I$8864+Sens!$I$8866</f>
        <v>172.829665305105</v>
      </c>
      <c r="J8867" s="38" t="n">
        <f aca="false">Sens!$J$8864+Sens!$J$8866</f>
        <v>202.076655833141</v>
      </c>
      <c r="K8867" s="38" t="n">
        <f aca="false">Sens!$K$8864+Sens!$K$8866</f>
        <v>222.662617384264</v>
      </c>
      <c r="L8867" s="38" t="n">
        <f aca="false">Sens!$L$8864+Sens!$L$8866</f>
        <v>240.959447777686</v>
      </c>
      <c r="M8867" s="38" t="n">
        <f aca="false">Sens!$M$8864+Sens!$M$8866</f>
        <v>255.859598316939</v>
      </c>
      <c r="N8867" s="38" t="n">
        <f aca="false">Sens!$N$8864+Sens!$N$8866</f>
        <v>37.576</v>
      </c>
      <c r="O8867" s="38" t="n">
        <f aca="false">Sens!$O$8864+Sens!$O$8866</f>
        <v>42.399</v>
      </c>
    </row>
    <row r="8868" customFormat="false" ht="17.15" hidden="false" customHeight="false" outlineLevel="0" collapsed="false">
      <c r="A8868" s="0" t="s">
        <v>732</v>
      </c>
      <c r="B8868" s="0" t="s">
        <v>52</v>
      </c>
      <c r="C8868" s="13" t="n">
        <f aca="false">Sens!$C$8854/Sens!$C$8839</f>
        <v>0.0644314665661928</v>
      </c>
      <c r="D8868" s="13" t="n">
        <f aca="false">Sens!$D$8854/Sens!$D$8839</f>
        <v>0.0694784250712518</v>
      </c>
      <c r="E8868" s="13" t="n">
        <f aca="false">Sens!$E$8854/Sens!$E$8839</f>
        <v>0.0789306463326071</v>
      </c>
      <c r="F8868" s="13" t="n">
        <f aca="false">Sens!$F$8854/Sens!$F$8839</f>
        <v>0.0802271154277638</v>
      </c>
      <c r="G8868" s="13" t="n">
        <f aca="false">Sens!$G$8854/Sens!$G$8839</f>
        <v>0.0796206133714758</v>
      </c>
      <c r="H8868" s="13" t="n">
        <f aca="false">Sens!$H$8854/Sens!$H$8839</f>
        <v>0.0791253077422711</v>
      </c>
      <c r="I8868" s="13" t="n">
        <f aca="false">Sens!$I$8854/Sens!$I$8839</f>
        <v>0.0776277144828766</v>
      </c>
      <c r="J8868" s="13" t="n">
        <f aca="false">Sens!$J$8854/Sens!$J$8839</f>
        <v>0.0761100135193333</v>
      </c>
      <c r="K8868" s="13" t="n">
        <f aca="false">Sens!$K$8854/Sens!$K$8839</f>
        <v>0.0744239148165946</v>
      </c>
      <c r="L8868" s="13" t="n">
        <f aca="false">Sens!$L$8854/Sens!$L$8839</f>
        <v>0.0740885268890323</v>
      </c>
      <c r="M8868" s="13" t="n">
        <f aca="false">Sens!$M$8854/Sens!$M$8839</f>
        <v>0.0764900326263329</v>
      </c>
      <c r="N8868" s="13" t="n">
        <f aca="false">Sens!$N$8854/Sens!$N$8839</f>
        <v>0.069228576611127</v>
      </c>
      <c r="O8868" s="13" t="n">
        <f aca="false">Sens!$O$8854/Sens!$O$8839</f>
        <v>0.069685022498393</v>
      </c>
    </row>
    <row r="8869" customFormat="false" ht="17.15" hidden="false" customHeight="false" outlineLevel="0" collapsed="false">
      <c r="A8869" s="0" t="s">
        <v>733</v>
      </c>
      <c r="B8869" s="0" t="s">
        <v>52</v>
      </c>
      <c r="C8869" s="13" t="n">
        <f aca="false">Sens!$C$8859/Sens!$C$8840</f>
        <v>0.026534925055631</v>
      </c>
      <c r="D8869" s="13" t="n">
        <f aca="false">Sens!$D$8859/Sens!$D$8840</f>
        <v>0.0293401855535103</v>
      </c>
      <c r="E8869" s="13" t="n">
        <f aca="false">Sens!$E$8859/Sens!$E$8840</f>
        <v>0.03831141902276</v>
      </c>
      <c r="F8869" s="13" t="n">
        <f aca="false">Sens!$F$8859/Sens!$F$8840</f>
        <v>0.028186380436398</v>
      </c>
      <c r="G8869" s="13" t="n">
        <f aca="false">Sens!$G$8859/Sens!$G$8840</f>
        <v>0.0327880260521739</v>
      </c>
      <c r="H8869" s="13" t="n">
        <f aca="false">Sens!$H$8859/Sens!$H$8840</f>
        <v>0.0302874763409969</v>
      </c>
      <c r="I8869" s="13" t="n">
        <f aca="false">Sens!$I$8859/Sens!$I$8840</f>
        <v>0.0267614610253202</v>
      </c>
      <c r="J8869" s="13" t="n">
        <f aca="false">Sens!$J$8859/Sens!$J$8840</f>
        <v>0.0231523582706593</v>
      </c>
      <c r="K8869" s="13" t="n">
        <f aca="false">Sens!$K$8859/Sens!$K$8840</f>
        <v>0.0192702153568836</v>
      </c>
      <c r="L8869" s="13" t="n">
        <f aca="false">Sens!$L$8859/Sens!$L$8840</f>
        <v>0.019280971573944</v>
      </c>
      <c r="M8869" s="13" t="n">
        <f aca="false">Sens!$M$8859/Sens!$M$8840</f>
        <v>0.022036628438328</v>
      </c>
      <c r="N8869" s="13" t="n">
        <f aca="false">Sens!$N$8859/Sens!$N$8840</f>
        <v>0.0357315650169337</v>
      </c>
      <c r="O8869" s="13" t="n">
        <f aca="false">Sens!$O$8859/Sens!$O$8840</f>
        <v>0.0244378956559703</v>
      </c>
    </row>
    <row r="8870" customFormat="false" ht="17.15" hidden="false" customHeight="false" outlineLevel="0" collapsed="false">
      <c r="A8870" s="14" t="s">
        <v>734</v>
      </c>
      <c r="B8870" s="14" t="s">
        <v>52</v>
      </c>
      <c r="C8870" s="17" t="n">
        <f aca="false">Sens!$C$8862/Sens!$C$8841</f>
        <v>0.370355907620217</v>
      </c>
      <c r="D8870" s="17" t="n">
        <f aca="false">Sens!$D$8862/Sens!$D$8841</f>
        <v>0.35429015342785</v>
      </c>
      <c r="E8870" s="17" t="n">
        <f aca="false">Sens!$E$8862/Sens!$E$8841</f>
        <v>0.385647527531039</v>
      </c>
      <c r="F8870" s="17" t="n">
        <f aca="false">Sens!$F$8862/Sens!$F$8841</f>
        <v>0.385171818673936</v>
      </c>
      <c r="G8870" s="17" t="n">
        <f aca="false">Sens!$G$8862/Sens!$G$8841</f>
        <v>0.385399799520974</v>
      </c>
      <c r="H8870" s="17" t="n">
        <f aca="false">Sens!$H$8862/Sens!$H$8841</f>
        <v>0.360029314750347</v>
      </c>
      <c r="I8870" s="17" t="n">
        <f aca="false">Sens!$I$8862/Sens!$I$8841</f>
        <v>0.346606134604193</v>
      </c>
      <c r="J8870" s="17" t="n">
        <f aca="false">Sens!$J$8862/Sens!$J$8841</f>
        <v>0.335699297156574</v>
      </c>
      <c r="K8870" s="17" t="n">
        <f aca="false">Sens!$K$8862/Sens!$K$8841</f>
        <v>0.318689179980705</v>
      </c>
      <c r="L8870" s="17" t="n">
        <f aca="false">Sens!$L$8862/Sens!$L$8841</f>
        <v>0.311350190213483</v>
      </c>
      <c r="M8870" s="17" t="n">
        <f aca="false">Sens!$M$8862/Sens!$M$8841</f>
        <v>0.305810390971897</v>
      </c>
      <c r="N8870" s="17" t="n">
        <f aca="false">Sens!$N$8862/Sens!$N$8841</f>
        <v>0.360941137346192</v>
      </c>
      <c r="O8870" s="17" t="n">
        <f aca="false">Sens!$O$8862/Sens!$O$8841</f>
        <v>0.348458117664212</v>
      </c>
    </row>
    <row r="8871" customFormat="false" ht="17.15" hidden="false" customHeight="false" outlineLevel="0" collapsed="false">
      <c r="A8871" s="0" t="s">
        <v>735</v>
      </c>
      <c r="B8871" s="0" t="s">
        <v>52</v>
      </c>
      <c r="C8871" s="13" t="n">
        <f aca="false">Sens!$C$8860/Sens!$C$8842</f>
        <v>0.708390794789371</v>
      </c>
      <c r="D8871" s="13" t="n">
        <f aca="false">Sens!$D$8860/Sens!$D$8842</f>
        <v>0.445565630441968</v>
      </c>
      <c r="E8871" s="13" t="n">
        <f aca="false">Sens!$E$8860/Sens!$E$8842</f>
        <v>0.165998118402711</v>
      </c>
      <c r="F8871" s="13" t="n">
        <f aca="false">Sens!$F$8860/Sens!$F$8842</f>
        <v>0.434878595403858</v>
      </c>
      <c r="G8871" s="13" t="n">
        <f aca="false">Sens!$G$8860/Sens!$G$8842</f>
        <v>0.3373967615381</v>
      </c>
      <c r="H8871" s="13" t="n">
        <f aca="false">Sens!$H$8860/Sens!$H$8842</f>
        <v>0.320477578041224</v>
      </c>
      <c r="I8871" s="13" t="n">
        <f aca="false">Sens!$I$8860/Sens!$I$8842</f>
        <v>0.296936118226494</v>
      </c>
      <c r="J8871" s="13" t="n">
        <f aca="false">Sens!$J$8860/Sens!$J$8842</f>
        <v>0.282166278613001</v>
      </c>
      <c r="K8871" s="13" t="n">
        <f aca="false">Sens!$K$8860/Sens!$K$8842</f>
        <v>0.252088678937066</v>
      </c>
      <c r="L8871" s="13" t="n">
        <f aca="false">Sens!$L$8860/Sens!$L$8842</f>
        <v>0.239109533373036</v>
      </c>
      <c r="M8871" s="13" t="n">
        <f aca="false">Sens!$M$8860/Sens!$M$8842</f>
        <v>0.224888480009211</v>
      </c>
      <c r="N8871" s="13" t="n">
        <f aca="false">Sens!$N$8860/Sens!$N$8842</f>
        <v>0.302870734830849</v>
      </c>
      <c r="O8871" s="13" t="n">
        <f aca="false">Sens!$O$8860/Sens!$O$8842</f>
        <v>0.52240134346334</v>
      </c>
    </row>
    <row r="8872" customFormat="false" ht="15" hidden="false" customHeight="false" outlineLevel="0" collapsed="false">
      <c r="A8872" s="5" t="s">
        <v>736</v>
      </c>
      <c r="B8872" s="0" t="s">
        <v>52</v>
      </c>
      <c r="C8872" s="13" t="n">
        <f aca="false">Sens!$C$8864/Sens!$C$8844</f>
        <v>0.107519448742004</v>
      </c>
      <c r="D8872" s="13" t="n">
        <f aca="false">Sens!$D$8864/Sens!$D$8844</f>
        <v>0.111552967957552</v>
      </c>
      <c r="E8872" s="13" t="n">
        <f aca="false">Sens!$E$8864/Sens!$E$8844</f>
        <v>0.13428328426562</v>
      </c>
      <c r="F8872" s="13" t="n">
        <f aca="false">Sens!$F$8864/Sens!$F$8844</f>
        <v>0.129167844525589</v>
      </c>
      <c r="G8872" s="13" t="n">
        <f aca="false">Sens!$G$8864/Sens!$G$8844</f>
        <v>0.131557773771988</v>
      </c>
      <c r="H8872" s="13" t="n">
        <f aca="false">Sens!$H$8864/Sens!$H$8844</f>
        <v>0.134711536350329</v>
      </c>
      <c r="I8872" s="13" t="n">
        <f aca="false">Sens!$I$8864/Sens!$I$8844</f>
        <v>0.137768888779847</v>
      </c>
      <c r="J8872" s="13" t="n">
        <f aca="false">Sens!$J$8864/Sens!$J$8844</f>
        <v>0.139531715827143</v>
      </c>
      <c r="K8872" s="13" t="n">
        <f aca="false">Sens!$K$8864/Sens!$K$8844</f>
        <v>0.137184637307287</v>
      </c>
      <c r="L8872" s="13" t="n">
        <f aca="false">Sens!$L$8864/Sens!$L$8844</f>
        <v>0.136585156175285</v>
      </c>
      <c r="M8872" s="13" t="n">
        <f aca="false">Sens!$M$8864/Sens!$M$8844</f>
        <v>0.136603372901098</v>
      </c>
      <c r="N8872" s="13" t="n">
        <f aca="false">Sens!$N$8864/Sens!$N$8844</f>
        <v>0.116201614873411</v>
      </c>
      <c r="O8872" s="13" t="n">
        <f aca="false">Sens!$O$8864/Sens!$O$8844</f>
        <v>0.107733353660861</v>
      </c>
    </row>
    <row r="8873" customFormat="false" ht="17.15" hidden="false" customHeight="false" outlineLevel="0" collapsed="false">
      <c r="A8873" s="1" t="s">
        <v>737</v>
      </c>
    </row>
    <row r="8874" customFormat="false" ht="17.15" hidden="false" customHeight="false" outlineLevel="0" collapsed="false">
      <c r="A8874" s="5" t="s">
        <v>738</v>
      </c>
      <c r="B8874" s="0" t="s">
        <v>52</v>
      </c>
      <c r="D8874" s="28" t="n">
        <f aca="false">(Q!$E$29+Q!$E$30-(1-ext_sh)*Sens!$D$8796)/Sens!$D$8752</f>
        <v>0.0334674312393194</v>
      </c>
    </row>
    <row r="8875" customFormat="false" ht="17.15" hidden="false" customHeight="false" outlineLevel="0" collapsed="false">
      <c r="A8875" s="0" t="s">
        <v>535</v>
      </c>
      <c r="B8875" s="0" t="s">
        <v>86</v>
      </c>
      <c r="C8875" s="38" t="n">
        <f aca="false">Q!$D$29</f>
        <v>14.285</v>
      </c>
      <c r="D8875" s="38" t="n">
        <f aca="false">Q!$E$29</f>
        <v>15.503</v>
      </c>
      <c r="E8875" s="38" t="n">
        <f aca="false">Q!$P$29</f>
        <v>8.78</v>
      </c>
      <c r="F8875" s="38" t="n">
        <f aca="false">(Sens!$D$8874*Sens!$F$8752+(1-ext_sh)*Sens!$F$8796)*Sens!$F$8753</f>
        <v>9.32404990199157</v>
      </c>
      <c r="G8875" s="38" t="n">
        <f aca="false">Sens!$E$8875+Sens!$F$8875</f>
        <v>18.1040499019916</v>
      </c>
      <c r="H8875" s="38" t="n">
        <f aca="false">(Sens!$D$8874*Sens!$H$8752+(1-ext_sh)*Sens!$H$8796)*Sens!$H$8753</f>
        <v>22.5533556752937</v>
      </c>
      <c r="I8875" s="38" t="n">
        <f aca="false">(Sens!$D$8874*Sens!$I$8752+(1-ext_sh)*Sens!$I$8796)*Sens!$I$8753</f>
        <v>28.1941479903215</v>
      </c>
      <c r="J8875" s="38" t="n">
        <f aca="false">(Sens!$D$8874*Sens!$J$8752+(1-ext_sh)*Sens!$J$8796)*Sens!$J$8753</f>
        <v>33.8639126241465</v>
      </c>
      <c r="K8875" s="38" t="n">
        <f aca="false">(Sens!$D$8874*Sens!$K$8752+(1-ext_sh)*Sens!$K$8796)*Sens!$K$8753</f>
        <v>39.4516429979446</v>
      </c>
      <c r="L8875" s="38" t="n">
        <f aca="false">(Sens!$D$8874*Sens!$L$8752+(1-ext_sh)*Sens!$L$8796)*Sens!$L$8753</f>
        <v>43.5676722283904</v>
      </c>
      <c r="M8875" s="38" t="n">
        <f aca="false">(Sens!$D$8874*Sens!$M$8752+(1-ext_sh)*Sens!$M$8796)*Sens!$M$8753</f>
        <v>46.614944729655</v>
      </c>
      <c r="N8875" s="38" t="n">
        <f aca="false">Q!$N$29</f>
        <v>7.272</v>
      </c>
      <c r="O8875" s="38" t="n">
        <f aca="false">Q!$O$29</f>
        <v>8.231</v>
      </c>
    </row>
    <row r="8876" customFormat="false" ht="17.15" hidden="false" customHeight="false" outlineLevel="0" collapsed="false">
      <c r="A8876" s="0" t="s">
        <v>537</v>
      </c>
      <c r="B8876" s="0" t="s">
        <v>86</v>
      </c>
      <c r="C8876" s="38" t="n">
        <f aca="false">Q!$D$30</f>
        <v>4.462</v>
      </c>
      <c r="D8876" s="38" t="n">
        <f aca="false">Q!$E$30</f>
        <v>4.907</v>
      </c>
      <c r="E8876" s="38" t="n">
        <f aca="false">Q!$P$30</f>
        <v>2.57</v>
      </c>
      <c r="F8876" s="38" t="n">
        <f aca="false">(Sens!$D$8874*Sens!$F$8752+(1-ext_sh)*Sens!$F$8796)*(1-Sens!$F$8753)</f>
        <v>3.66089330199472</v>
      </c>
      <c r="G8876" s="38" t="n">
        <f aca="false">Sens!$E$8876+Sens!$F$8876</f>
        <v>6.23089330199472</v>
      </c>
      <c r="H8876" s="38" t="n">
        <f aca="false">(Sens!$D$8874*Sens!$H$8752+(1-ext_sh)*Sens!$H$8796)*(1-Sens!$H$8753)</f>
        <v>8.63874333111657</v>
      </c>
      <c r="I8876" s="38" t="n">
        <f aca="false">(Sens!$D$8874*Sens!$I$8752+(1-ext_sh)*Sens!$I$8796)*(1-Sens!$I$8753)</f>
        <v>10.7993689025494</v>
      </c>
      <c r="J8876" s="38" t="n">
        <f aca="false">(Sens!$D$8874*Sens!$J$8752+(1-ext_sh)*Sens!$J$8796)*(1-Sens!$J$8753)</f>
        <v>12.9710919101865</v>
      </c>
      <c r="K8876" s="38" t="n">
        <f aca="false">(Sens!$D$8874*Sens!$K$8752+(1-ext_sh)*Sens!$K$8796)*(1-Sens!$K$8753)</f>
        <v>15.1113928568702</v>
      </c>
      <c r="L8876" s="38" t="n">
        <f aca="false">(Sens!$D$8874*Sens!$L$8752+(1-ext_sh)*Sens!$L$8796)*(1-Sens!$L$8753)</f>
        <v>16.6879795332443</v>
      </c>
      <c r="M8876" s="38" t="n">
        <f aca="false">(Sens!$D$8874*Sens!$M$8752+(1-ext_sh)*Sens!$M$8796)*(1-Sens!$M$8753)</f>
        <v>17.8551940878054</v>
      </c>
      <c r="N8876" s="38" t="n">
        <f aca="false">Q!$N$30</f>
        <v>2.316</v>
      </c>
      <c r="O8876" s="38" t="n">
        <f aca="false">Q!$O$30</f>
        <v>2.591</v>
      </c>
    </row>
    <row r="8877" customFormat="false" ht="17.15" hidden="false" customHeight="false" outlineLevel="0" collapsed="false">
      <c r="A8877" s="0" t="s">
        <v>538</v>
      </c>
      <c r="B8877" s="0" t="s">
        <v>86</v>
      </c>
      <c r="C8877" s="38" t="n">
        <f aca="false">Sens!$C$8808</f>
        <v>13.32</v>
      </c>
      <c r="D8877" s="38" t="n">
        <f aca="false">Sens!$D$8808</f>
        <v>21.45</v>
      </c>
      <c r="E8877" s="38" t="n">
        <f aca="false">Sens!$E$8808</f>
        <v>15.353</v>
      </c>
      <c r="F8877" s="38" t="n">
        <f aca="false">Sens!$F$8808</f>
        <v>16.3063747611001</v>
      </c>
      <c r="G8877" s="38" t="n">
        <f aca="false">Sens!$G$8808</f>
        <v>31.6593747611001</v>
      </c>
      <c r="H8877" s="38" t="n">
        <f aca="false">Sens!$H$8808</f>
        <v>53.124242092105</v>
      </c>
      <c r="I8877" s="38" t="n">
        <f aca="false">Sens!$I$8808</f>
        <v>78.046828098133</v>
      </c>
      <c r="J8877" s="38" t="n">
        <f aca="false">Sens!$J$8808</f>
        <v>103.663976940352</v>
      </c>
      <c r="K8877" s="38" t="n">
        <f aca="false">Sens!$K$8808</f>
        <v>129.625086115469</v>
      </c>
      <c r="L8877" s="38" t="n">
        <f aca="false">Sens!$L$8808</f>
        <v>147.122996715819</v>
      </c>
      <c r="M8877" s="38" t="n">
        <f aca="false">Sens!$M$8808</f>
        <v>158.36358708023</v>
      </c>
      <c r="N8877" s="38" t="n">
        <f aca="false">Sens!$N$8808</f>
        <v>9.234</v>
      </c>
      <c r="O8877" s="38" t="n">
        <f aca="false">Sens!$O$8808</f>
        <v>12.216</v>
      </c>
    </row>
    <row r="8878" customFormat="false" ht="17.15" hidden="false" customHeight="false" outlineLevel="0" collapsed="false">
      <c r="A8878" s="5" t="s">
        <v>739</v>
      </c>
      <c r="B8878" s="0" t="s">
        <v>86</v>
      </c>
      <c r="C8878" s="38" t="n">
        <f aca="false">Sens!$C$8875+Sens!$C$8876+Sens!$C$8877</f>
        <v>32.067</v>
      </c>
      <c r="D8878" s="38" t="n">
        <f aca="false">Sens!$D$8875+Sens!$D$8876+Sens!$D$8877</f>
        <v>41.86</v>
      </c>
      <c r="E8878" s="38" t="n">
        <f aca="false">Sens!$E$8875+Sens!$E$8876+Sens!$E$8877</f>
        <v>26.703</v>
      </c>
      <c r="F8878" s="38" t="n">
        <f aca="false">Sens!$F$8875+Sens!$F$8876+Sens!$F$8877</f>
        <v>29.2913179650864</v>
      </c>
      <c r="G8878" s="38" t="n">
        <f aca="false">Sens!$G$8875+Sens!$G$8876+Sens!$G$8877</f>
        <v>55.9943179650864</v>
      </c>
      <c r="H8878" s="38" t="n">
        <f aca="false">Sens!$H$8875+Sens!$H$8876+Sens!$H$8877</f>
        <v>84.3163410985152</v>
      </c>
      <c r="I8878" s="38" t="n">
        <f aca="false">Sens!$I$8875+Sens!$I$8876+Sens!$I$8877</f>
        <v>117.040344991004</v>
      </c>
      <c r="J8878" s="38" t="n">
        <f aca="false">Sens!$J$8875+Sens!$J$8876+Sens!$J$8877</f>
        <v>150.498981474685</v>
      </c>
      <c r="K8878" s="38" t="n">
        <f aca="false">Sens!$K$8875+Sens!$K$8876+Sens!$K$8877</f>
        <v>184.188121970284</v>
      </c>
      <c r="L8878" s="38" t="n">
        <f aca="false">Sens!$L$8875+Sens!$L$8876+Sens!$L$8877</f>
        <v>207.378648477454</v>
      </c>
      <c r="M8878" s="38" t="n">
        <f aca="false">Sens!$M$8875+Sens!$M$8876+Sens!$M$8877</f>
        <v>222.833725897691</v>
      </c>
      <c r="N8878" s="38" t="n">
        <f aca="false">Sens!$N$8875+Sens!$N$8876+Sens!$N$8877</f>
        <v>18.822</v>
      </c>
      <c r="O8878" s="38" t="n">
        <f aca="false">Sens!$O$8875+Sens!$O$8876+Sens!$O$8877</f>
        <v>23.038</v>
      </c>
    </row>
    <row r="8879" customFormat="false" ht="17.15" hidden="false" customHeight="false" outlineLevel="0" collapsed="false">
      <c r="A8879" s="0" t="s">
        <v>740</v>
      </c>
      <c r="B8879" s="0" t="s">
        <v>86</v>
      </c>
      <c r="C8879" s="38" t="n">
        <f aca="false">Sens!$C$8850+Sens!$C$8855</f>
        <v>28.107</v>
      </c>
      <c r="D8879" s="38" t="n">
        <f aca="false">Sens!$D$8850+Sens!$D$8855</f>
        <v>34.3175</v>
      </c>
      <c r="E8879" s="38" t="n">
        <f aca="false">Sens!$E$8850+Sens!$E$8855</f>
        <v>18.526</v>
      </c>
      <c r="F8879" s="38" t="n">
        <f aca="false">Sens!$F$8850+Sens!$F$8855</f>
        <v>23.0786109972074</v>
      </c>
      <c r="G8879" s="38" t="n">
        <f aca="false">Sens!$G$8850+Sens!$G$8855</f>
        <v>41.6046109972074</v>
      </c>
      <c r="H8879" s="38" t="n">
        <f aca="false">Sens!$H$8850+Sens!$H$8855</f>
        <v>49.9484611939488</v>
      </c>
      <c r="I8879" s="38" t="n">
        <f aca="false">Sens!$I$8850+Sens!$I$8855</f>
        <v>58.2915555477481</v>
      </c>
      <c r="J8879" s="38" t="n">
        <f aca="false">Sens!$J$8850+Sens!$J$8855</f>
        <v>66.0744709709759</v>
      </c>
      <c r="K8879" s="38" t="n">
        <f aca="false">Sens!$K$8850+Sens!$K$8855</f>
        <v>72.6819180680735</v>
      </c>
      <c r="L8879" s="38" t="n">
        <f aca="false">Sens!$L$8850+Sens!$L$8855</f>
        <v>79.9501098748808</v>
      </c>
      <c r="M8879" s="38" t="n">
        <f aca="false">Sens!$M$8850+Sens!$M$8855</f>
        <v>87.9451208623689</v>
      </c>
      <c r="N8879" s="38" t="n">
        <f aca="false">Sens!$N$8850+Sens!$N$8855</f>
        <v>14.8075</v>
      </c>
      <c r="O8879" s="38" t="n">
        <f aca="false">Sens!$O$8850+Sens!$O$8855</f>
        <v>19.51</v>
      </c>
    </row>
    <row r="8880" customFormat="false" ht="17.15" hidden="false" customHeight="false" outlineLevel="0" collapsed="false">
      <c r="A8880" s="0" t="s">
        <v>741</v>
      </c>
      <c r="B8880" s="0" t="s">
        <v>86</v>
      </c>
      <c r="C8880" s="38" t="n">
        <f aca="false">Sens!$C$8854+Sens!$C$8859+Sens!$C$8875+Sens!$C$8876-Sens!$C$8879</f>
        <v>19.399</v>
      </c>
      <c r="D8880" s="38" t="n">
        <f aca="false">Sens!$D$8854+Sens!$D$8859+Sens!$D$8875+Sens!$D$8876-Sens!$D$8879</f>
        <v>20.4615</v>
      </c>
      <c r="E8880" s="38" t="n">
        <f aca="false">Sens!$E$8854+Sens!$E$8859+Sens!$E$8875+Sens!$E$8876-Sens!$E$8879</f>
        <v>13.355</v>
      </c>
      <c r="F8880" s="38" t="n">
        <f aca="false">Sens!$F$8854+Sens!$F$8859+Sens!$F$8875+Sens!$F$8876-Sens!$F$8879</f>
        <v>12.7882167664549</v>
      </c>
      <c r="G8880" s="38" t="n">
        <f aca="false">Sens!$G$8854+Sens!$G$8859+Sens!$G$8875+Sens!$G$8876-Sens!$G$8879</f>
        <v>26.1432167664549</v>
      </c>
      <c r="H8880" s="38" t="n">
        <f aca="false">Sens!$H$8854+Sens!$H$8859+Sens!$H$8875+Sens!$H$8876-Sens!$H$8879</f>
        <v>28.5472527261826</v>
      </c>
      <c r="I8880" s="38" t="n">
        <f aca="false">Sens!$I$8854+Sens!$I$8859+Sens!$I$8875+Sens!$I$8876-Sens!$I$8879</f>
        <v>30.8052421506794</v>
      </c>
      <c r="J8880" s="38" t="n">
        <f aca="false">Sens!$J$8854+Sens!$J$8859+Sens!$J$8875+Sens!$J$8876-Sens!$J$8879</f>
        <v>33.0553877999083</v>
      </c>
      <c r="K8880" s="38" t="n">
        <f aca="false">Sens!$K$8854+Sens!$K$8859+Sens!$K$8875+Sens!$K$8876-Sens!$K$8879</f>
        <v>35.4804909006951</v>
      </c>
      <c r="L8880" s="38" t="n">
        <f aca="false">Sens!$L$8854+Sens!$L$8859+Sens!$L$8875+Sens!$L$8876-Sens!$L$8879</f>
        <v>37.1586109071473</v>
      </c>
      <c r="M8880" s="38" t="n">
        <f aca="false">Sens!$M$8854+Sens!$M$8859+Sens!$M$8875+Sens!$M$8876-Sens!$M$8879</f>
        <v>39.6625554880806</v>
      </c>
      <c r="N8880" s="38" t="n">
        <f aca="false">Sens!$N$8854+Sens!$N$8859+Sens!$N$8875+Sens!$N$8876-Sens!$N$8879</f>
        <v>10.6495</v>
      </c>
      <c r="O8880" s="38" t="n">
        <f aca="false">Sens!$O$8854+Sens!$O$8859+Sens!$O$8875+Sens!$O$8876-Sens!$O$8879</f>
        <v>9.81200000000001</v>
      </c>
    </row>
    <row r="8881" customFormat="false" ht="17.15" hidden="false" customHeight="false" outlineLevel="0" collapsed="false">
      <c r="A8881" s="0" t="s">
        <v>742</v>
      </c>
      <c r="B8881" s="0" t="s">
        <v>86</v>
      </c>
      <c r="C8881" s="38" t="n">
        <f aca="false">Sens!$C$8861+Sens!$C$8877-ext_sh*Sens!$C$8796</f>
        <v>51.3470500115664</v>
      </c>
      <c r="D8881" s="38" t="n">
        <f aca="false">Sens!$D$8861+Sens!$D$8877-ext_sh*Sens!$D$8796</f>
        <v>60.2799375433739</v>
      </c>
      <c r="E8881" s="38" t="n">
        <f aca="false">Sens!$E$8861+Sens!$E$8877-ext_sh*Sens!$E$8796</f>
        <v>39.5095167090767</v>
      </c>
      <c r="F8881" s="38" t="n">
        <f aca="false">Sens!$F$8861+Sens!$F$8877-ext_sh*Sens!$F$8796</f>
        <v>37.993321722478</v>
      </c>
      <c r="G8881" s="38" t="n">
        <f aca="false">Sens!$G$8861+Sens!$G$8877-ext_sh*Sens!$G$8796</f>
        <v>77.5028384315548</v>
      </c>
      <c r="H8881" s="38" t="n">
        <f aca="false">Sens!$H$8861+Sens!$H$8877-ext_sh*Sens!$H$8796</f>
        <v>85.2394217279746</v>
      </c>
      <c r="I8881" s="38" t="n">
        <f aca="false">Sens!$I$8861+Sens!$I$8877-ext_sh*Sens!$I$8796</f>
        <v>94.6373589713254</v>
      </c>
      <c r="J8881" s="38" t="n">
        <f aca="false">Sens!$J$8861+Sens!$J$8877-ext_sh*Sens!$J$8796</f>
        <v>103.639899284146</v>
      </c>
      <c r="K8881" s="38" t="n">
        <f aca="false">Sens!$K$8861+Sens!$K$8877-ext_sh*Sens!$K$8796</f>
        <v>111.931091226878</v>
      </c>
      <c r="L8881" s="38" t="n">
        <f aca="false">Sens!$L$8861+Sens!$L$8877-ext_sh*Sens!$L$8796</f>
        <v>120.885578525028</v>
      </c>
      <c r="M8881" s="38" t="n">
        <f aca="false">Sens!$M$8861+Sens!$M$8877-ext_sh*Sens!$M$8796</f>
        <v>130.55642480703</v>
      </c>
      <c r="N8881" s="38" t="n">
        <f aca="false">Sens!$N$8861+Sens!$N$8877-ext_sh*Sens!$N$8796</f>
        <v>28.5693781401809</v>
      </c>
      <c r="O8881" s="38" t="n">
        <f aca="false">Sens!$O$8861+Sens!$O$8877-ext_sh*Sens!$O$8796</f>
        <v>31.7105594031931</v>
      </c>
    </row>
    <row r="8882" customFormat="false" ht="17.15" hidden="false" customHeight="false" outlineLevel="0" collapsed="false">
      <c r="A8882" s="0" t="s">
        <v>743</v>
      </c>
      <c r="B8882" s="0" t="s">
        <v>86</v>
      </c>
      <c r="C8882" s="38" t="n">
        <f aca="false">Sens!$C$8799</f>
        <v>1.80694998843362</v>
      </c>
      <c r="D8882" s="38" t="n">
        <f aca="false">Sens!$D$8799</f>
        <v>6.77606245662607</v>
      </c>
      <c r="E8882" s="38" t="n">
        <f aca="false">Sens!$E$8799</f>
        <v>6.62548329092326</v>
      </c>
      <c r="F8882" s="38" t="n">
        <f aca="false">Sens!$F$8799</f>
        <v>11.7200577158706</v>
      </c>
      <c r="G8882" s="38" t="n">
        <f aca="false">Sens!$G$8799</f>
        <v>18.3455410067939</v>
      </c>
      <c r="H8882" s="38" t="n">
        <f aca="false">Sens!$H$8799</f>
        <v>47.5171727060453</v>
      </c>
      <c r="I8882" s="38" t="n">
        <f aca="false">Sens!$I$8799</f>
        <v>80.5539692643667</v>
      </c>
      <c r="J8882" s="38" t="n">
        <f aca="false">Sens!$J$8799</f>
        <v>113.759316834883</v>
      </c>
      <c r="K8882" s="38" t="n">
        <f aca="false">Sens!$K$8799</f>
        <v>141.855203603144</v>
      </c>
      <c r="L8882" s="38" t="n">
        <f aca="false">Sens!$L$8799</f>
        <v>159.789055430453</v>
      </c>
      <c r="M8882" s="38" t="n">
        <f aca="false">Sens!$M$8799</f>
        <v>167.532378081213</v>
      </c>
      <c r="N8882" s="38" t="n">
        <f aca="false">Sens!$N$8799</f>
        <v>2.37162185981912</v>
      </c>
      <c r="O8882" s="38" t="n">
        <f aca="false">Sens!$O$8799</f>
        <v>4.40444059680694</v>
      </c>
    </row>
    <row r="8883" customFormat="false" ht="17.15" hidden="false" customHeight="false" outlineLevel="0" collapsed="false">
      <c r="A8883" s="0" t="s">
        <v>744</v>
      </c>
      <c r="B8883" s="0" t="s">
        <v>86</v>
      </c>
      <c r="C8883" s="38" t="n">
        <f aca="false">Sens!$C$8864+Sens!$C$8878</f>
        <v>100.66</v>
      </c>
      <c r="D8883" s="38" t="n">
        <f aca="false">Sens!$D$8864+Sens!$D$8878</f>
        <v>121.835</v>
      </c>
      <c r="E8883" s="38" t="n">
        <f aca="false">Sens!$E$8864+Sens!$E$8878</f>
        <v>78.016</v>
      </c>
      <c r="F8883" s="38" t="n">
        <f aca="false">Sens!$F$8864+Sens!$F$8878</f>
        <v>85.580207202011</v>
      </c>
      <c r="G8883" s="38" t="n">
        <f aca="false">Sens!$G$8864+Sens!$G$8878</f>
        <v>163.596207202011</v>
      </c>
      <c r="H8883" s="38" t="n">
        <f aca="false">Sens!$H$8864+Sens!$H$8878</f>
        <v>211.252308354151</v>
      </c>
      <c r="I8883" s="38" t="n">
        <f aca="false">Sens!$I$8864+Sens!$I$8878</f>
        <v>264.28812593412</v>
      </c>
      <c r="J8883" s="38" t="n">
        <f aca="false">Sens!$J$8864+Sens!$J$8878</f>
        <v>316.529074889914</v>
      </c>
      <c r="K8883" s="38" t="n">
        <f aca="false">Sens!$K$8864+Sens!$K$8878</f>
        <v>361.94870379879</v>
      </c>
      <c r="L8883" s="38" t="n">
        <f aca="false">Sens!$L$8864+Sens!$L$8878</f>
        <v>397.78335473751</v>
      </c>
      <c r="M8883" s="38" t="n">
        <f aca="false">Sens!$M$8864+Sens!$M$8878</f>
        <v>425.696479238693</v>
      </c>
      <c r="N8883" s="38" t="n">
        <f aca="false">Sens!$N$8864+Sens!$N$8878</f>
        <v>56.398</v>
      </c>
      <c r="O8883" s="38" t="n">
        <f aca="false">Sens!$O$8864+Sens!$O$8878</f>
        <v>65.437</v>
      </c>
    </row>
    <row r="8884" customFormat="false" ht="17.15" hidden="false" customHeight="false" outlineLevel="0" collapsed="false">
      <c r="A8884" s="1" t="s">
        <v>745</v>
      </c>
    </row>
    <row r="8885" customFormat="false" ht="15" hidden="false" customHeight="false" outlineLevel="0" collapsed="false">
      <c r="A8885" s="5" t="s">
        <v>541</v>
      </c>
      <c r="B8885" s="0" t="s">
        <v>86</v>
      </c>
      <c r="C8885" s="38" t="n">
        <f aca="false">Q!$D$34</f>
        <v>2.406</v>
      </c>
      <c r="D8885" s="38" t="n">
        <f aca="false">Q!$E$34</f>
        <v>2.274</v>
      </c>
      <c r="E8885" s="38" t="n">
        <f aca="false">Q!$P$34</f>
        <v>2.114</v>
      </c>
      <c r="F8885" s="38" t="n">
        <f aca="false">Sens!$F$8923</f>
        <v>3.24888962733561</v>
      </c>
      <c r="G8885" s="38" t="n">
        <f aca="false">Sens!$E$8885+Sens!$F$8885</f>
        <v>5.36288962733561</v>
      </c>
      <c r="H8885" s="38" t="n">
        <f aca="false">Sens!$H$8923</f>
        <v>7.42354172302123</v>
      </c>
      <c r="I8885" s="38" t="n">
        <f aca="false">Sens!$I$8923</f>
        <v>8.2931747618896</v>
      </c>
      <c r="J8885" s="38" t="n">
        <f aca="false">Sens!$J$8923</f>
        <v>9.27718179522602</v>
      </c>
      <c r="K8885" s="38" t="n">
        <f aca="false">Sens!$K$8923</f>
        <v>9.27718179522602</v>
      </c>
      <c r="L8885" s="38" t="n">
        <f aca="false">Sens!$L$8923</f>
        <v>9.27718179522602</v>
      </c>
      <c r="M8885" s="38" t="n">
        <f aca="false">Sens!$M$8923</f>
        <v>9.27718179522602</v>
      </c>
      <c r="N8885" s="38" t="n">
        <f aca="false">Q!$N$34</f>
        <v>1.057</v>
      </c>
      <c r="O8885" s="38" t="n">
        <f aca="false">Q!$O$34</f>
        <v>1.217</v>
      </c>
    </row>
    <row r="8886" customFormat="false" ht="15" hidden="false" customHeight="false" outlineLevel="0" collapsed="false">
      <c r="A8886" s="5" t="s">
        <v>746</v>
      </c>
      <c r="B8886" s="0" t="s">
        <v>86</v>
      </c>
      <c r="F8886" s="38" t="n">
        <f aca="false">Sens!$F$8924</f>
        <v>2.59</v>
      </c>
      <c r="H8886" s="38" t="n">
        <f aca="false">Sens!$H$8924</f>
        <v>3.80133635330174</v>
      </c>
      <c r="I8886" s="38" t="n">
        <f aca="false">Sens!$I$8924</f>
        <v>2.10589651022864</v>
      </c>
      <c r="J8886" s="38" t="n">
        <f aca="false">Sens!$J$8924</f>
        <v>2.10589651022864</v>
      </c>
      <c r="K8886" s="38" t="n">
        <f aca="false">Sens!$K$8924</f>
        <v>3.14850442073996</v>
      </c>
      <c r="L8886" s="38" t="n">
        <f aca="false">Sens!$L$8924</f>
        <v>8.36866949261808</v>
      </c>
      <c r="M8886" s="38" t="n">
        <f aca="false">Sens!$M$8924</f>
        <v>16.1461031736674</v>
      </c>
    </row>
    <row r="8887" customFormat="false" ht="17.15" hidden="false" customHeight="false" outlineLevel="0" collapsed="false">
      <c r="A8887" s="5" t="s">
        <v>747</v>
      </c>
      <c r="B8887" s="0" t="s">
        <v>86</v>
      </c>
      <c r="C8887" s="38" t="n">
        <f aca="false">Q!$D$39</f>
        <v>2.427</v>
      </c>
      <c r="D8887" s="38" t="n">
        <f aca="false">Q!$E$39</f>
        <v>19.61</v>
      </c>
      <c r="E8887" s="38" t="n">
        <f aca="false">Q!$P$39</f>
        <v>71.492</v>
      </c>
      <c r="F8887" s="39" t="n">
        <v>0</v>
      </c>
      <c r="G8887" s="38" t="n">
        <f aca="false">Sens!$E$8887+Sens!$F$8887</f>
        <v>71.492</v>
      </c>
      <c r="H8887" s="39" t="n">
        <v>0</v>
      </c>
      <c r="I8887" s="39" t="n">
        <v>0</v>
      </c>
      <c r="J8887" s="39" t="n">
        <v>0</v>
      </c>
      <c r="K8887" s="39" t="n">
        <v>0</v>
      </c>
      <c r="L8887" s="39" t="n">
        <v>0</v>
      </c>
      <c r="M8887" s="39" t="n">
        <v>0</v>
      </c>
      <c r="N8887" s="38" t="n">
        <f aca="false">Q!$N$39</f>
        <v>6.017</v>
      </c>
      <c r="O8887" s="38" t="n">
        <f aca="false">Q!$O$39</f>
        <v>13.593</v>
      </c>
      <c r="P8887" s="5" t="s">
        <v>748</v>
      </c>
    </row>
    <row r="8888" customFormat="false" ht="15" hidden="false" customHeight="false" outlineLevel="0" collapsed="false">
      <c r="A8888" s="5" t="s">
        <v>544</v>
      </c>
      <c r="B8888" s="0" t="s">
        <v>86</v>
      </c>
      <c r="C8888" s="38" t="n">
        <f aca="false">Q!$D$36</f>
        <v>68.614</v>
      </c>
      <c r="D8888" s="38" t="n">
        <f aca="false">Q!$E$36</f>
        <v>97.311</v>
      </c>
      <c r="E8888" s="38" t="n">
        <f aca="false">Q!$P$36</f>
        <v>120.691</v>
      </c>
      <c r="F8888" s="38" t="n">
        <f aca="false">Sens!$F$8864-Sens!$F$8885+Sens!$F$8886+Sens!$F$8887</f>
        <v>55.629999609589</v>
      </c>
      <c r="G8888" s="38" t="n">
        <f aca="false">Sens!$E$8888+Sens!$F$8888</f>
        <v>176.320999609589</v>
      </c>
      <c r="H8888" s="38" t="n">
        <f aca="false">Sens!$H$8864-Sens!$H$8885+Sens!$H$8886+Sens!$H$8887</f>
        <v>123.313761885917</v>
      </c>
      <c r="I8888" s="38" t="n">
        <f aca="false">Sens!$I$8864-Sens!$I$8885+Sens!$I$8886+Sens!$I$8887</f>
        <v>141.060502691455</v>
      </c>
      <c r="J8888" s="38" t="n">
        <f aca="false">Sens!$J$8864-Sens!$J$8885+Sens!$J$8886+Sens!$J$8887</f>
        <v>158.858808130232</v>
      </c>
      <c r="K8888" s="38" t="n">
        <f aca="false">Sens!$K$8864-Sens!$K$8885+Sens!$K$8886+Sens!$K$8887</f>
        <v>171.63190445402</v>
      </c>
      <c r="L8888" s="38" t="n">
        <f aca="false">Sens!$L$8864-Sens!$L$8885+Sens!$L$8886+Sens!$L$8887</f>
        <v>189.496193957448</v>
      </c>
      <c r="M8888" s="38" t="n">
        <f aca="false">Sens!$M$8864-Sens!$M$8885+Sens!$M$8886+Sens!$M$8887</f>
        <v>209.731674719443</v>
      </c>
      <c r="N8888" s="38" t="n">
        <f aca="false">Q!$N$36</f>
        <v>42.536</v>
      </c>
      <c r="O8888" s="38" t="n">
        <f aca="false">Q!$O$36</f>
        <v>54.775</v>
      </c>
    </row>
    <row r="8889" customFormat="false" ht="15" hidden="false" customHeight="false" outlineLevel="0" collapsed="false">
      <c r="A8889" s="5" t="s">
        <v>545</v>
      </c>
      <c r="B8889" s="0" t="s">
        <v>86</v>
      </c>
      <c r="C8889" s="38" t="n">
        <f aca="false">Q!$D$37</f>
        <v>9.265</v>
      </c>
      <c r="D8889" s="38" t="n">
        <f aca="false">Q!$E$37</f>
        <v>19.087</v>
      </c>
      <c r="E8889" s="38" t="n">
        <f aca="false">Q!$P$37</f>
        <v>27.759</v>
      </c>
      <c r="F8889" s="38" t="n">
        <f aca="false">Sens!$F$8888*tax</f>
        <v>9.65650714815835</v>
      </c>
      <c r="G8889" s="38" t="n">
        <f aca="false">Sens!$E$8889+Sens!$F$8889</f>
        <v>37.4155071481584</v>
      </c>
      <c r="H8889" s="38" t="n">
        <f aca="false">Sens!$H$8888*tax</f>
        <v>21.4053609828247</v>
      </c>
      <c r="I8889" s="38" t="n">
        <f aca="false">Sens!$I$8888*tax</f>
        <v>24.4859205846201</v>
      </c>
      <c r="J8889" s="38" t="n">
        <f aca="false">Sens!$J$8888*tax</f>
        <v>27.5754310088666</v>
      </c>
      <c r="K8889" s="38" t="n">
        <f aca="false">Sens!$K$8888*tax</f>
        <v>29.7926428877163</v>
      </c>
      <c r="L8889" s="38" t="n">
        <f aca="false">Sens!$L$8888*tax</f>
        <v>32.8936071245897</v>
      </c>
      <c r="M8889" s="38" t="n">
        <f aca="false">Sens!$M$8888*tax</f>
        <v>36.4061734736095</v>
      </c>
      <c r="N8889" s="38" t="n">
        <f aca="false">Q!$N$37</f>
        <v>7.231</v>
      </c>
      <c r="O8889" s="38" t="n">
        <f aca="false">Q!$O$37</f>
        <v>11.856</v>
      </c>
    </row>
    <row r="8890" customFormat="false" ht="15" hidden="false" customHeight="false" outlineLevel="0" collapsed="false">
      <c r="A8890" s="3" t="s">
        <v>546</v>
      </c>
      <c r="B8890" s="8" t="s">
        <v>86</v>
      </c>
      <c r="C8890" s="38" t="n">
        <f aca="false">Q!$D$38</f>
        <v>59.248</v>
      </c>
      <c r="D8890" s="38" t="n">
        <f aca="false">Q!$E$38</f>
        <v>77.67</v>
      </c>
      <c r="E8890" s="38" t="n">
        <f aca="false">Q!$P$38</f>
        <v>92.902</v>
      </c>
      <c r="F8890" s="38" t="n">
        <f aca="false">Sens!$F$8888-Sens!$F$8889</f>
        <v>45.9734924614306</v>
      </c>
      <c r="G8890" s="38" t="n">
        <f aca="false">Sens!$E$8890+Sens!$F$8890</f>
        <v>138.875492461431</v>
      </c>
      <c r="H8890" s="38" t="n">
        <f aca="false">Sens!$H$8888-Sens!$H$8889</f>
        <v>101.908400903092</v>
      </c>
      <c r="I8890" s="38" t="n">
        <f aca="false">Sens!$I$8888-Sens!$I$8889</f>
        <v>116.574582106835</v>
      </c>
      <c r="J8890" s="38" t="n">
        <f aca="false">Sens!$J$8888-Sens!$J$8889</f>
        <v>131.283377121365</v>
      </c>
      <c r="K8890" s="38" t="n">
        <f aca="false">Sens!$K$8888-Sens!$K$8889</f>
        <v>141.839261566304</v>
      </c>
      <c r="L8890" s="38" t="n">
        <f aca="false">Sens!$L$8888-Sens!$L$8889</f>
        <v>156.602586832858</v>
      </c>
      <c r="M8890" s="38" t="n">
        <f aca="false">Sens!$M$8888-Sens!$M$8889</f>
        <v>173.325501245834</v>
      </c>
      <c r="N8890" s="38" t="n">
        <f aca="false">Q!$N$38</f>
        <v>35.291</v>
      </c>
      <c r="O8890" s="38" t="n">
        <f aca="false">Q!$O$38</f>
        <v>42.379</v>
      </c>
    </row>
    <row r="8891" customFormat="false" ht="17.15" hidden="false" customHeight="false" outlineLevel="0" collapsed="false">
      <c r="A8891" s="5" t="s">
        <v>549</v>
      </c>
      <c r="B8891" s="5" t="s">
        <v>33</v>
      </c>
      <c r="C8891" s="22" t="n">
        <f aca="false">Q!$D$41</f>
        <v>10.721</v>
      </c>
      <c r="D8891" s="22" t="n">
        <f aca="false">Q!$E$41</f>
        <v>10.827</v>
      </c>
      <c r="E8891" s="22" t="n">
        <f aca="false">(Q!$L$41+Q!$M$41)/2</f>
        <v>10.8885</v>
      </c>
      <c r="F8891" s="22" t="n">
        <f aca="false">Sens!$G$8891</f>
        <v>10.924806</v>
      </c>
      <c r="G8891" s="22" t="n">
        <f aca="false">Q!$M$41*(1+sh_g*0.25)</f>
        <v>10.924806</v>
      </c>
      <c r="H8891" s="22" t="n">
        <f aca="false">Sens!$G$8891*(1+sh_g)</f>
        <v>11.012204448</v>
      </c>
      <c r="I8891" s="22" t="n">
        <f aca="false">Sens!$H$8891*(1+sh_g)</f>
        <v>11.100302083584</v>
      </c>
      <c r="J8891" s="22" t="n">
        <f aca="false">Sens!$I$8891*(1+sh_g)</f>
        <v>11.1891045002527</v>
      </c>
      <c r="K8891" s="22" t="n">
        <f aca="false">Sens!$J$8891*(1+sh_g)</f>
        <v>11.2786173362547</v>
      </c>
      <c r="L8891" s="22" t="n">
        <f aca="false">Sens!$K$8891*(1+sh_g)</f>
        <v>11.3688462749447</v>
      </c>
      <c r="M8891" s="22" t="n">
        <f aca="false">Sens!$L$8891*(1+sh_g)</f>
        <v>11.4597970451443</v>
      </c>
      <c r="P8891" s="5" t="s">
        <v>749</v>
      </c>
    </row>
    <row r="8892" customFormat="false" ht="17.15" hidden="false" customHeight="false" outlineLevel="0" collapsed="false">
      <c r="A8892" s="5" t="s">
        <v>750</v>
      </c>
      <c r="B8892" s="0" t="s">
        <v>86</v>
      </c>
      <c r="C8892" s="38" t="n">
        <f aca="false">Sens!$C$8890+Sens!$C$8866*(1-tax)</f>
        <v>59.248</v>
      </c>
      <c r="D8892" s="38" t="n">
        <f aca="false">Sens!$D$8890+Sens!$D$8866*(1-tax)</f>
        <v>77.67</v>
      </c>
      <c r="E8892" s="38" t="n">
        <f aca="false">Sens!$E$8890+Sens!$E$8866*(1-tax)</f>
        <v>92.902</v>
      </c>
      <c r="F8892" s="38" t="n">
        <f aca="false">Sens!$F$8890+Sens!$F$8866*(1-tax)</f>
        <v>49.0900874210793</v>
      </c>
      <c r="G8892" s="38" t="n">
        <f aca="false">Sens!$G$8890+Sens!$G$8866*(1-tax)</f>
        <v>141.992087421079</v>
      </c>
      <c r="H8892" s="38" t="n">
        <f aca="false">Sens!$H$8890+Sens!$H$8866*(1-tax)</f>
        <v>114.439796858437</v>
      </c>
      <c r="I8892" s="38" t="n">
        <f aca="false">Sens!$I$8890+Sens!$I$8866*(1-tax)</f>
        <v>137.715847181774</v>
      </c>
      <c r="J8892" s="38" t="n">
        <f aca="false">Sens!$J$8890+Sens!$J$8866*(1-tax)</f>
        <v>161.072814065649</v>
      </c>
      <c r="K8892" s="38" t="n">
        <f aca="false">Sens!$K$8890+Sens!$K$8866*(1-tax)</f>
        <v>178.946998535795</v>
      </c>
      <c r="L8892" s="38" t="n">
        <f aca="false">Sens!$L$8890+Sens!$L$8866*(1-tax)</f>
        <v>198.381807475702</v>
      </c>
      <c r="M8892" s="38" t="n">
        <f aca="false">Sens!$M$8890+Sens!$M$8866*(1-tax)</f>
        <v>217.122913974215</v>
      </c>
      <c r="N8892" s="38" t="n">
        <f aca="false">Sens!$N$8890+Sens!$N$8866*(1-tax)</f>
        <v>35.291</v>
      </c>
      <c r="O8892" s="38" t="n">
        <f aca="false">Sens!$O$8890+Sens!$O$8866*(1-tax)</f>
        <v>42.379</v>
      </c>
    </row>
    <row r="8893" customFormat="false" ht="17.15" hidden="false" customHeight="false" outlineLevel="0" collapsed="false">
      <c r="A8893" s="43" t="s">
        <v>751</v>
      </c>
      <c r="B8893" s="14" t="s">
        <v>27</v>
      </c>
      <c r="C8893" s="44" t="n">
        <f aca="false">Sens!$C$8892/Sens!$C$8891</f>
        <v>5.52635015390355</v>
      </c>
      <c r="D8893" s="44" t="n">
        <f aca="false">Sens!$D$8892/Sens!$D$8891</f>
        <v>7.1737323358271</v>
      </c>
      <c r="E8893" s="44" t="n">
        <f aca="false">Sens!$E$8892/Sens!$E$8891</f>
        <v>8.53212104513937</v>
      </c>
      <c r="F8893" s="14"/>
      <c r="G8893" s="44" t="n">
        <f aca="false">Sens!$G$8892/Sens!$G$8891</f>
        <v>12.9972182042481</v>
      </c>
      <c r="H8893" s="44" t="n">
        <f aca="false">Sens!$H$8892/Sens!$H$8891</f>
        <v>10.3920879237963</v>
      </c>
      <c r="I8893" s="44" t="n">
        <f aca="false">Sens!$I$8892/Sens!$I$8891</f>
        <v>12.4064954399249</v>
      </c>
      <c r="J8893" s="44" t="n">
        <f aca="false">Sens!$J$8892/Sens!$J$8891</f>
        <v>14.3955053831172</v>
      </c>
      <c r="K8893" s="44" t="n">
        <f aca="false">Sens!$K$8892/Sens!$K$8891</f>
        <v>15.8660404197398</v>
      </c>
      <c r="L8893" s="44" t="n">
        <f aca="false">Sens!$L$8892/Sens!$L$8891</f>
        <v>17.4495989019489</v>
      </c>
      <c r="M8893" s="44" t="n">
        <f aca="false">Sens!$M$8892/Sens!$M$8891</f>
        <v>18.9464885912804</v>
      </c>
      <c r="N8893" s="14"/>
      <c r="O8893" s="14"/>
    </row>
    <row r="8894" customFormat="false" ht="17.15" hidden="false" customHeight="false" outlineLevel="0" collapsed="false">
      <c r="A8894" s="0" t="s">
        <v>752</v>
      </c>
      <c r="B8894" s="0" t="s">
        <v>27</v>
      </c>
      <c r="C8894" s="30" t="n">
        <f aca="false">Sens!$C$8890/Sens!$C$8891</f>
        <v>5.52635015390355</v>
      </c>
      <c r="D8894" s="30" t="n">
        <f aca="false">Sens!$D$8890/Sens!$D$8891</f>
        <v>7.1737323358271</v>
      </c>
      <c r="E8894" s="30" t="n">
        <f aca="false">Sens!$E$8890/Sens!$E$8891</f>
        <v>8.53212104513937</v>
      </c>
      <c r="G8894" s="30" t="n">
        <f aca="false">Sens!$G$8890/Sens!$G$8891</f>
        <v>12.7119412886078</v>
      </c>
      <c r="H8894" s="30" t="n">
        <f aca="false">Sens!$H$8890/Sens!$H$8891</f>
        <v>9.25413266565353</v>
      </c>
      <c r="I8894" s="30" t="n">
        <f aca="false">Sens!$I$8890/Sens!$I$8891</f>
        <v>10.501928796986</v>
      </c>
      <c r="J8894" s="30" t="n">
        <f aca="false">Sens!$J$8890/Sens!$J$8891</f>
        <v>11.7331442492472</v>
      </c>
      <c r="K8894" s="30" t="n">
        <f aca="false">Sens!$K$8890/Sens!$K$8891</f>
        <v>12.5759441372629</v>
      </c>
      <c r="L8894" s="30" t="n">
        <f aca="false">Sens!$L$8890/Sens!$L$8891</f>
        <v>13.7747123186974</v>
      </c>
      <c r="M8894" s="30" t="n">
        <f aca="false">Sens!$M$8890/Sens!$M$8891</f>
        <v>15.1246571438431</v>
      </c>
    </row>
    <row r="8895" customFormat="false" ht="17.15" hidden="false" customHeight="false" outlineLevel="0" collapsed="false">
      <c r="A8895" s="0" t="s">
        <v>753</v>
      </c>
      <c r="B8895" s="0" t="s">
        <v>27</v>
      </c>
      <c r="C8895" s="30" t="n">
        <f aca="false">(Sens!$C$8890-Sens!$C$8887*(1-tax))/Sens!$C$8891</f>
        <v>5.33926775917445</v>
      </c>
      <c r="D8895" s="30" t="n">
        <f aca="false">(Sens!$D$8890-Sens!$D$8887*(1-tax))/Sens!$D$8891</f>
        <v>5.67691812755503</v>
      </c>
      <c r="E8895" s="30" t="n">
        <f aca="false">(Sens!$E$8890-Sens!$E$8887*(1-tax))/Sens!$E$8891</f>
        <v>3.10602057006846</v>
      </c>
      <c r="G8895" s="30" t="n">
        <f aca="false">(Sens!$G$8890-Sens!$G$8887*(1-tax))/Sens!$G$8891</f>
        <v>7.30387317071086</v>
      </c>
      <c r="H8895" s="30" t="n">
        <f aca="false">(Sens!$H$8890-Sens!$H$8887*(1-tax))/Sens!$H$8891</f>
        <v>9.25413266565353</v>
      </c>
      <c r="I8895" s="30" t="n">
        <f aca="false">(Sens!$I$8890-Sens!$I$8887*(1-tax))/Sens!$I$8891</f>
        <v>10.501928796986</v>
      </c>
      <c r="J8895" s="30" t="n">
        <f aca="false">(Sens!$J$8890-Sens!$J$8887*(1-tax))/Sens!$J$8891</f>
        <v>11.7331442492472</v>
      </c>
      <c r="K8895" s="30" t="n">
        <f aca="false">(Sens!$K$8890-Sens!$K$8887*(1-tax))/Sens!$K$8891</f>
        <v>12.5759441372629</v>
      </c>
      <c r="L8895" s="30" t="n">
        <f aca="false">(Sens!$L$8890-Sens!$L$8887*(1-tax))/Sens!$L$8891</f>
        <v>13.7747123186974</v>
      </c>
      <c r="M8895" s="30" t="n">
        <f aca="false">(Sens!$M$8890-Sens!$M$8887*(1-tax))/Sens!$M$8891</f>
        <v>15.1246571438431</v>
      </c>
      <c r="P8895" s="5" t="s">
        <v>754</v>
      </c>
    </row>
    <row r="8896" customFormat="false" ht="17.15" hidden="false" customHeight="false" outlineLevel="0" collapsed="false">
      <c r="A8896" s="0" t="s">
        <v>755</v>
      </c>
      <c r="B8896" s="0" t="s">
        <v>52</v>
      </c>
      <c r="H8896" s="13" t="n">
        <f aca="false">Sens!$H$8893/Sens!$G$8893-1</f>
        <v>-0.200437527439553</v>
      </c>
      <c r="I8896" s="13" t="n">
        <f aca="false">Sens!$I$8893/Sens!$H$8893-1</f>
        <v>0.193840499705158</v>
      </c>
      <c r="J8896" s="13" t="n">
        <f aca="false">Sens!$J$8893/Sens!$I$8893-1</f>
        <v>0.160320047899391</v>
      </c>
      <c r="K8896" s="13" t="n">
        <f aca="false">Sens!$K$8893/Sens!$J$8893-1</f>
        <v>0.102152373083559</v>
      </c>
      <c r="L8896" s="13" t="n">
        <f aca="false">Sens!$L$8893/Sens!$K$8893-1</f>
        <v>0.0998080453796744</v>
      </c>
      <c r="M8896" s="13" t="n">
        <f aca="false">Sens!$M$8893/Sens!$L$8893-1</f>
        <v>0.0857836158723522</v>
      </c>
    </row>
    <row r="8899" customFormat="false" ht="19.4" hidden="false" customHeight="false" outlineLevel="0" collapsed="false">
      <c r="A8899" s="31" t="s">
        <v>1310</v>
      </c>
    </row>
    <row r="8900" customFormat="false" ht="17.15" hidden="false" customHeight="false" outlineLevel="0" collapsed="false">
      <c r="A8900" s="6" t="s">
        <v>16</v>
      </c>
      <c r="B8900" s="6" t="s">
        <v>17</v>
      </c>
      <c r="C8900" s="20" t="s">
        <v>494</v>
      </c>
      <c r="D8900" s="20" t="s">
        <v>495</v>
      </c>
      <c r="E8900" s="20" t="s">
        <v>577</v>
      </c>
      <c r="F8900" s="20" t="s">
        <v>578</v>
      </c>
      <c r="G8900" s="20" t="s">
        <v>579</v>
      </c>
      <c r="H8900" s="20" t="s">
        <v>580</v>
      </c>
      <c r="I8900" s="20" t="s">
        <v>581</v>
      </c>
      <c r="J8900" s="20" t="s">
        <v>582</v>
      </c>
      <c r="K8900" s="20" t="s">
        <v>583</v>
      </c>
      <c r="L8900" s="20" t="s">
        <v>584</v>
      </c>
      <c r="M8900" s="20" t="s">
        <v>585</v>
      </c>
      <c r="N8900" s="20" t="s">
        <v>586</v>
      </c>
      <c r="O8900" s="20" t="s">
        <v>587</v>
      </c>
      <c r="P8900" s="6" t="s">
        <v>23</v>
      </c>
      <c r="R8900" s="20" t="n">
        <v>2023</v>
      </c>
      <c r="S8900" s="20" t="n">
        <v>2024</v>
      </c>
      <c r="T8900" s="20" t="n">
        <v>2025</v>
      </c>
      <c r="U8900" s="20" t="n">
        <v>2026</v>
      </c>
      <c r="V8900" s="20" t="n">
        <v>2027</v>
      </c>
      <c r="W8900" s="20" t="n">
        <v>2028</v>
      </c>
      <c r="X8900" s="20" t="n">
        <v>2029</v>
      </c>
      <c r="Y8900" s="20" t="n">
        <v>2030</v>
      </c>
      <c r="Z8900" s="20" t="n">
        <v>2031</v>
      </c>
      <c r="AA8900" s="20" t="n">
        <v>2032</v>
      </c>
    </row>
    <row r="8901" customFormat="false" ht="15" hidden="false" customHeight="false" outlineLevel="0" collapsed="false">
      <c r="A8901" s="5" t="s">
        <v>546</v>
      </c>
      <c r="B8901" s="0" t="s">
        <v>86</v>
      </c>
      <c r="C8901" s="38" t="n">
        <f aca="false">Sens!$C$8890</f>
        <v>59.248</v>
      </c>
      <c r="D8901" s="38" t="n">
        <f aca="false">Sens!$D$8890</f>
        <v>77.67</v>
      </c>
      <c r="E8901" s="38" t="n">
        <f aca="false">Sens!$E$8890</f>
        <v>92.902</v>
      </c>
      <c r="F8901" s="38" t="n">
        <f aca="false">Sens!$F$8890</f>
        <v>45.9734924614306</v>
      </c>
      <c r="G8901" s="38" t="n">
        <f aca="false">Sens!$G$8890</f>
        <v>138.875492461431</v>
      </c>
      <c r="H8901" s="38" t="n">
        <f aca="false">Sens!$H$8890</f>
        <v>101.908400903092</v>
      </c>
      <c r="I8901" s="38" t="n">
        <f aca="false">Sens!$I$8890</f>
        <v>116.574582106835</v>
      </c>
      <c r="J8901" s="38" t="n">
        <f aca="false">Sens!$J$8890</f>
        <v>131.283377121365</v>
      </c>
      <c r="K8901" s="38" t="n">
        <f aca="false">Sens!$K$8890</f>
        <v>141.839261566304</v>
      </c>
      <c r="L8901" s="38" t="n">
        <f aca="false">Sens!$L$8890</f>
        <v>156.602586832858</v>
      </c>
      <c r="M8901" s="38" t="n">
        <f aca="false">Sens!$M$8890</f>
        <v>173.325501245834</v>
      </c>
    </row>
    <row r="8902" customFormat="false" ht="17.15" hidden="false" customHeight="false" outlineLevel="0" collapsed="false">
      <c r="A8902" s="5" t="s">
        <v>778</v>
      </c>
      <c r="B8902" s="0" t="s">
        <v>86</v>
      </c>
      <c r="C8902" s="38" t="n">
        <f aca="false">Sens!$C$8878</f>
        <v>32.067</v>
      </c>
      <c r="D8902" s="38" t="n">
        <f aca="false">Sens!$D$8878</f>
        <v>41.86</v>
      </c>
      <c r="E8902" s="38" t="n">
        <f aca="false">Sens!$E$8878</f>
        <v>26.703</v>
      </c>
      <c r="F8902" s="38" t="n">
        <f aca="false">Sens!$F$8878</f>
        <v>29.2913179650864</v>
      </c>
      <c r="G8902" s="38" t="n">
        <f aca="false">Sens!$G$8878</f>
        <v>55.9943179650864</v>
      </c>
      <c r="H8902" s="38" t="n">
        <f aca="false">Sens!$H$8878</f>
        <v>84.3163410985152</v>
      </c>
      <c r="I8902" s="38" t="n">
        <f aca="false">Sens!$I$8878</f>
        <v>117.040344991004</v>
      </c>
      <c r="J8902" s="38" t="n">
        <f aca="false">Sens!$J$8878</f>
        <v>150.498981474685</v>
      </c>
      <c r="K8902" s="38" t="n">
        <f aca="false">Sens!$K$8878</f>
        <v>184.188121970284</v>
      </c>
      <c r="L8902" s="38" t="n">
        <f aca="false">Sens!$L$8878</f>
        <v>207.378648477454</v>
      </c>
      <c r="M8902" s="38" t="n">
        <f aca="false">Sens!$M$8878</f>
        <v>222.833725897691</v>
      </c>
    </row>
    <row r="8903" customFormat="false" ht="15" hidden="false" customHeight="false" outlineLevel="0" collapsed="false">
      <c r="A8903" s="5" t="s">
        <v>779</v>
      </c>
      <c r="B8903" s="0" t="s">
        <v>86</v>
      </c>
      <c r="C8903" s="38" t="n">
        <f aca="false">Q!$D$48</f>
        <v>22.011</v>
      </c>
      <c r="D8903" s="38" t="n">
        <f aca="false">Q!$E$48</f>
        <v>19.467</v>
      </c>
      <c r="E8903" s="38" t="n">
        <f aca="false">Q!$P$48</f>
        <v>10.07</v>
      </c>
      <c r="F8903" s="38" t="n">
        <f aca="false">sbc_r*Sens!$F$8820</f>
        <v>10.8507035798037</v>
      </c>
      <c r="G8903" s="38" t="n">
        <f aca="false">Sens!$E$8903+Sens!$F$8903</f>
        <v>20.9207035798037</v>
      </c>
      <c r="H8903" s="38" t="n">
        <f aca="false">sbc_r*Sens!$H$8820</f>
        <v>23.46224366345</v>
      </c>
      <c r="I8903" s="38" t="n">
        <f aca="false">sbc_r*Sens!$I$8820</f>
        <v>26.6125957111676</v>
      </c>
      <c r="J8903" s="38" t="n">
        <f aca="false">sbc_r*Sens!$J$8820</f>
        <v>29.6280801413323</v>
      </c>
      <c r="K8903" s="38" t="n">
        <f aca="false">sbc_r*Sens!$K$8820</f>
        <v>32.26410459716</v>
      </c>
      <c r="L8903" s="38" t="n">
        <f aca="false">sbc_r*Sens!$L$8820</f>
        <v>34.7107348734595</v>
      </c>
      <c r="M8903" s="38" t="n">
        <f aca="false">sbc_r*Sens!$M$8820</f>
        <v>36.9769023298878</v>
      </c>
    </row>
    <row r="8904" customFormat="false" ht="17.15" hidden="false" customHeight="false" outlineLevel="0" collapsed="false">
      <c r="A8904" s="5" t="s">
        <v>780</v>
      </c>
      <c r="B8904" s="0" t="s">
        <v>86</v>
      </c>
      <c r="C8904" s="38" t="n">
        <f aca="false">Q!$D$44-Sens!$C$8901-Sens!$C$8902-Sens!$C$8903</f>
        <v>2.551</v>
      </c>
      <c r="D8904" s="38" t="n">
        <f aca="false">Q!$E$44-Sens!$D$8901-Sens!$D$8902-Sens!$D$8903</f>
        <v>0.51700000000001</v>
      </c>
      <c r="E8904" s="38" t="n">
        <f aca="false">Q!$P$44-Sens!$E$8901-Sens!$E$8902-Sens!$E$8903</f>
        <v>-58.256</v>
      </c>
      <c r="F8904" s="38" t="n">
        <f aca="false">oth_r*Sens!$F$8820</f>
        <v>5.22265251035878</v>
      </c>
      <c r="G8904" s="38" t="n">
        <f aca="false">Sens!$E$8904+Sens!$F$8904</f>
        <v>-53.0333474896412</v>
      </c>
      <c r="H8904" s="38" t="n">
        <f aca="false">oth_r*Sens!$H$8820</f>
        <v>11.2928295263397</v>
      </c>
      <c r="I8904" s="38" t="n">
        <f aca="false">oth_r*Sens!$I$8820</f>
        <v>12.8091546115766</v>
      </c>
      <c r="J8904" s="38" t="n">
        <f aca="false">oth_r*Sens!$J$8820</f>
        <v>14.2605653162668</v>
      </c>
      <c r="K8904" s="38" t="n">
        <f aca="false">oth_r*Sens!$K$8820</f>
        <v>15.5293346306567</v>
      </c>
      <c r="L8904" s="38" t="n">
        <f aca="false">oth_r*Sens!$L$8820</f>
        <v>16.7069448805781</v>
      </c>
      <c r="M8904" s="38" t="n">
        <f aca="false">oth_r*Sens!$M$8820</f>
        <v>17.7976949013636</v>
      </c>
      <c r="P8904" s="8" t="s">
        <v>781</v>
      </c>
    </row>
    <row r="8905" customFormat="false" ht="15" hidden="false" customHeight="false" outlineLevel="0" collapsed="false">
      <c r="A8905" s="3" t="s">
        <v>552</v>
      </c>
      <c r="B8905" s="8" t="s">
        <v>86</v>
      </c>
      <c r="C8905" s="38" t="n">
        <f aca="false">Q!$D$44</f>
        <v>115.877</v>
      </c>
      <c r="D8905" s="38" t="n">
        <f aca="false">Q!$E$44</f>
        <v>139.514</v>
      </c>
      <c r="E8905" s="38" t="n">
        <f aca="false">Q!$P$44</f>
        <v>71.419</v>
      </c>
      <c r="F8905" s="38" t="n">
        <f aca="false">Sens!$F$8901+Sens!$F$8902+Sens!$F$8903+Sens!$F$8904</f>
        <v>91.3381665166794</v>
      </c>
      <c r="G8905" s="38" t="n">
        <f aca="false">Sens!$E$8905+Sens!$F$8905</f>
        <v>162.757166516679</v>
      </c>
      <c r="H8905" s="38" t="n">
        <f aca="false">Sens!$H$8901+Sens!$H$8902+Sens!$H$8903+Sens!$H$8904</f>
        <v>220.979815191397</v>
      </c>
      <c r="I8905" s="38" t="n">
        <f aca="false">Sens!$I$8901+Sens!$I$8902+Sens!$I$8903+Sens!$I$8904</f>
        <v>273.036677420583</v>
      </c>
      <c r="J8905" s="38" t="n">
        <f aca="false">Sens!$J$8901+Sens!$J$8902+Sens!$J$8903+Sens!$J$8904</f>
        <v>325.671004053649</v>
      </c>
      <c r="K8905" s="38" t="n">
        <f aca="false">Sens!$K$8901+Sens!$K$8902+Sens!$K$8903+Sens!$K$8904</f>
        <v>373.820822764405</v>
      </c>
      <c r="L8905" s="38" t="n">
        <f aca="false">Sens!$L$8901+Sens!$L$8902+Sens!$L$8903+Sens!$L$8904</f>
        <v>415.39891506435</v>
      </c>
      <c r="M8905" s="38" t="n">
        <f aca="false">Sens!$M$8901+Sens!$M$8902+Sens!$M$8903+Sens!$M$8904</f>
        <v>450.933824374776</v>
      </c>
    </row>
    <row r="8906" customFormat="false" ht="17.15" hidden="false" customHeight="false" outlineLevel="0" collapsed="false">
      <c r="A8906" s="5" t="s">
        <v>782</v>
      </c>
      <c r="B8906" s="0" t="s">
        <v>86</v>
      </c>
      <c r="C8906" s="38" t="n">
        <f aca="false">Sens!$C$8789</f>
        <v>25.2781053077374</v>
      </c>
      <c r="D8906" s="38" t="n">
        <f aca="false">Sens!$D$8789</f>
        <v>69.5686316310026</v>
      </c>
      <c r="E8906" s="38" t="n">
        <f aca="false">Sens!$E$8789</f>
        <v>64.1899206485108</v>
      </c>
      <c r="F8906" s="38" t="n">
        <f aca="false">Sens!$F$8789</f>
        <v>96.2481299895</v>
      </c>
      <c r="G8906" s="38" t="n">
        <f aca="false">Sens!$G$8789</f>
        <v>160.438050638011</v>
      </c>
      <c r="H8906" s="38" t="n">
        <f aca="false">Sens!$H$8789</f>
        <v>198.57136494475</v>
      </c>
      <c r="I8906" s="38" t="n">
        <f aca="false">Sens!$I$8789</f>
        <v>204.6464699105</v>
      </c>
      <c r="J8906" s="38" t="n">
        <f aca="false">Sens!$J$8789</f>
        <v>209.8832381105</v>
      </c>
      <c r="K8906" s="38" t="n">
        <f aca="false">Sens!$K$8789</f>
        <v>152.460428963578</v>
      </c>
      <c r="L8906" s="38" t="n">
        <f aca="false">Sens!$L$8789</f>
        <v>126.458229016657</v>
      </c>
      <c r="M8906" s="38" t="n">
        <f aca="false">Sens!$M$8789</f>
        <v>123.897112724985</v>
      </c>
    </row>
    <row r="8907" customFormat="false" ht="17.15" hidden="false" customHeight="false" outlineLevel="0" collapsed="false">
      <c r="A8907" s="5" t="s">
        <v>783</v>
      </c>
      <c r="B8907" s="0" t="s">
        <v>86</v>
      </c>
      <c r="C8907" s="38" t="n">
        <f aca="false">cx_awso*Sens!$C$8818</f>
        <v>21.0469989286053</v>
      </c>
      <c r="D8907" s="38" t="n">
        <f aca="false">cx_awso*Sens!$D$8818</f>
        <v>24.0042459822698</v>
      </c>
      <c r="E8907" s="38" t="n">
        <f aca="false">cx_awso*Sens!$E$8818</f>
        <v>14.261729404886</v>
      </c>
      <c r="F8907" s="38" t="n">
        <f aca="false">cx_awso*Sens!$F$8818</f>
        <v>14.3538599588493</v>
      </c>
      <c r="G8907" s="38" t="n">
        <f aca="false">Sens!$E$8907+Sens!$F$8907</f>
        <v>28.6155893637353</v>
      </c>
      <c r="H8907" s="38" t="n">
        <f aca="false">cx_awso*Sens!$H$8818</f>
        <v>32.2034154158406</v>
      </c>
      <c r="I8907" s="38" t="n">
        <f aca="false">cx_awso*Sens!$I$8818</f>
        <v>35.7539519042915</v>
      </c>
      <c r="J8907" s="38" t="n">
        <f aca="false">cx_awso*Sens!$J$8818</f>
        <v>39.1551076091815</v>
      </c>
      <c r="K8907" s="38" t="n">
        <f aca="false">cx_awso*Sens!$K$8818</f>
        <v>42.287516217916</v>
      </c>
      <c r="L8907" s="38" t="n">
        <f aca="false">cx_awso*Sens!$L$8818</f>
        <v>45.6705175153492</v>
      </c>
      <c r="M8907" s="38" t="n">
        <f aca="false">cx_awso*Sens!$M$8818</f>
        <v>49.3241589165772</v>
      </c>
    </row>
    <row r="8908" customFormat="false" ht="17.15" hidden="false" customHeight="false" outlineLevel="0" collapsed="false">
      <c r="A8908" s="5" t="s">
        <v>784</v>
      </c>
      <c r="B8908" s="0" t="s">
        <v>86</v>
      </c>
      <c r="C8908" s="38" t="n">
        <f aca="false">Q!$D$46-Sens!$C$8906-Sens!$C$8907</f>
        <v>31.3328957636573</v>
      </c>
      <c r="D8908" s="38" t="n">
        <f aca="false">Q!$E$46-Sens!$D$8906-Sens!$D$8907</f>
        <v>34.7471223867276</v>
      </c>
      <c r="E8908" s="38" t="n">
        <f aca="false">Q!$P$46-Sens!$E$8906-Sens!$E$8907</f>
        <v>17.8583499466032</v>
      </c>
      <c r="F8908" s="38" t="n">
        <f aca="false">cx_rt*Sens!$F$8752</f>
        <v>20.6195895799373</v>
      </c>
      <c r="G8908" s="38" t="n">
        <f aca="false">Sens!$E$8908+Sens!$F$8908</f>
        <v>38.4779395265405</v>
      </c>
      <c r="H8908" s="38" t="n">
        <f aca="false">cx_rt*Sens!$H$8752</f>
        <v>42.5978994743075</v>
      </c>
      <c r="I8908" s="38" t="n">
        <f aca="false">cx_rt*Sens!$I$8752</f>
        <v>46.5813904136335</v>
      </c>
      <c r="J8908" s="38" t="n">
        <f aca="false">cx_rt*Sens!$J$8752</f>
        <v>50.2781676586844</v>
      </c>
      <c r="K8908" s="38" t="n">
        <f aca="false">cx_rt*Sens!$K$8752</f>
        <v>53.5312440191755</v>
      </c>
      <c r="L8908" s="38" t="n">
        <f aca="false">cx_rt*Sens!$L$8752</f>
        <v>57.0116717051447</v>
      </c>
      <c r="M8908" s="38" t="n">
        <f aca="false">cx_rt*Sens!$M$8752</f>
        <v>60.7365554669226</v>
      </c>
    </row>
    <row r="8909" customFormat="false" ht="15" hidden="false" customHeight="false" outlineLevel="0" collapsed="false">
      <c r="A8909" s="3" t="s">
        <v>785</v>
      </c>
      <c r="B8909" s="8" t="s">
        <v>86</v>
      </c>
      <c r="C8909" s="38" t="n">
        <f aca="false">Q!$D$46</f>
        <v>77.658</v>
      </c>
      <c r="D8909" s="38" t="n">
        <f aca="false">Q!$E$46</f>
        <v>128.32</v>
      </c>
      <c r="E8909" s="38" t="n">
        <f aca="false">Q!$P$46</f>
        <v>96.31</v>
      </c>
      <c r="F8909" s="38" t="n">
        <f aca="false">Sens!$F$8906+Sens!$F$8907+Sens!$F$8908</f>
        <v>131.221579528287</v>
      </c>
      <c r="G8909" s="38" t="n">
        <f aca="false">Sens!$E$8909+Sens!$F$8909</f>
        <v>227.531579528287</v>
      </c>
      <c r="H8909" s="38" t="n">
        <f aca="false">Sens!$H$8906+Sens!$H$8907+Sens!$H$8908</f>
        <v>273.372679834898</v>
      </c>
      <c r="I8909" s="38" t="n">
        <f aca="false">Sens!$I$8906+Sens!$I$8907+Sens!$I$8908</f>
        <v>286.981812228425</v>
      </c>
      <c r="J8909" s="38" t="n">
        <f aca="false">Sens!$J$8906+Sens!$J$8907+Sens!$J$8908</f>
        <v>299.316513378366</v>
      </c>
      <c r="K8909" s="38" t="n">
        <f aca="false">Sens!$K$8906+Sens!$K$8907+Sens!$K$8908</f>
        <v>248.27918920067</v>
      </c>
      <c r="L8909" s="38" t="n">
        <f aca="false">Sens!$L$8906+Sens!$L$8907+Sens!$L$8908</f>
        <v>229.140418237151</v>
      </c>
      <c r="M8909" s="38" t="n">
        <f aca="false">Sens!$M$8906+Sens!$M$8907+Sens!$M$8908</f>
        <v>233.957827108485</v>
      </c>
    </row>
    <row r="8910" customFormat="false" ht="17.15" hidden="false" customHeight="false" outlineLevel="0" collapsed="false">
      <c r="A8910" s="5" t="s">
        <v>560</v>
      </c>
      <c r="B8910" s="0" t="s">
        <v>86</v>
      </c>
      <c r="C8910" s="38" t="n">
        <f aca="false">Q!$D$50</f>
        <v>2.043</v>
      </c>
      <c r="D8910" s="38" t="n">
        <f aca="false">Q!$E$50</f>
        <v>1.557</v>
      </c>
      <c r="E8910" s="38" t="n">
        <f aca="false">lease_pr/2</f>
        <v>0.8</v>
      </c>
      <c r="F8910" s="38" t="n">
        <f aca="false">lease_pr/2</f>
        <v>0.8</v>
      </c>
      <c r="G8910" s="38" t="n">
        <f aca="false">Sens!$E$8910+Sens!$F$8910</f>
        <v>1.6</v>
      </c>
      <c r="H8910" s="38" t="n">
        <f aca="false">lease_pr</f>
        <v>1.6</v>
      </c>
      <c r="I8910" s="38" t="n">
        <f aca="false">lease_pr</f>
        <v>1.6</v>
      </c>
      <c r="J8910" s="38" t="n">
        <f aca="false">lease_pr</f>
        <v>1.6</v>
      </c>
      <c r="K8910" s="38" t="n">
        <f aca="false">lease_pr</f>
        <v>1.6</v>
      </c>
      <c r="L8910" s="38" t="n">
        <f aca="false">lease_pr</f>
        <v>1.6</v>
      </c>
      <c r="M8910" s="38" t="n">
        <f aca="false">lease_pr</f>
        <v>1.6</v>
      </c>
      <c r="P8910" s="8" t="s">
        <v>786</v>
      </c>
    </row>
    <row r="8911" customFormat="false" ht="15" hidden="false" customHeight="false" outlineLevel="0" collapsed="false">
      <c r="A8911" s="47" t="s">
        <v>787</v>
      </c>
      <c r="B8911" s="14" t="s">
        <v>86</v>
      </c>
      <c r="C8911" s="48" t="n">
        <f aca="false">Sens!$C$8905-Sens!$C$8909-Sens!$C$8910</f>
        <v>36.176</v>
      </c>
      <c r="D8911" s="48" t="n">
        <f aca="false">Sens!$D$8905-Sens!$D$8909-Sens!$D$8910</f>
        <v>9.63700000000002</v>
      </c>
      <c r="E8911" s="48" t="n">
        <f aca="false">Sens!$E$8905-Sens!$E$8909-Sens!$E$8910</f>
        <v>-25.691</v>
      </c>
      <c r="F8911" s="48" t="n">
        <f aca="false">Sens!$F$8905-Sens!$F$8909-Sens!$F$8910</f>
        <v>-40.6834130116072</v>
      </c>
      <c r="G8911" s="48" t="n">
        <f aca="false">Sens!$G$8905-Sens!$G$8909-Sens!$G$8910</f>
        <v>-66.3744130116072</v>
      </c>
      <c r="H8911" s="48" t="n">
        <f aca="false">Sens!$H$8905-Sens!$H$8909-Sens!$H$8910</f>
        <v>-53.9928646435014</v>
      </c>
      <c r="I8911" s="48" t="n">
        <f aca="false">Sens!$I$8905-Sens!$I$8909-Sens!$I$8910</f>
        <v>-15.5451348078424</v>
      </c>
      <c r="J8911" s="48" t="n">
        <f aca="false">Sens!$J$8905-Sens!$J$8909-Sens!$J$8910</f>
        <v>24.754490675283</v>
      </c>
      <c r="K8911" s="48" t="n">
        <f aca="false">Sens!$K$8905-Sens!$K$8909-Sens!$K$8910</f>
        <v>123.941633563735</v>
      </c>
      <c r="L8911" s="48" t="n">
        <f aca="false">Sens!$L$8905-Sens!$L$8909-Sens!$L$8910</f>
        <v>184.658496827199</v>
      </c>
      <c r="M8911" s="48" t="n">
        <f aca="false">Sens!$M$8905-Sens!$M$8909-Sens!$M$8910</f>
        <v>215.375997266291</v>
      </c>
      <c r="N8911" s="14"/>
      <c r="O8911" s="14"/>
    </row>
    <row r="8912" customFormat="false" ht="17.15" hidden="false" customHeight="false" outlineLevel="0" collapsed="false">
      <c r="A8912" s="5" t="s">
        <v>788</v>
      </c>
      <c r="B8912" s="0" t="s">
        <v>86</v>
      </c>
      <c r="C8912" s="38" t="n">
        <f aca="false">dps*Sens!$C$8891</f>
        <v>0</v>
      </c>
      <c r="D8912" s="38" t="n">
        <f aca="false">dps*Sens!$D$8891</f>
        <v>0</v>
      </c>
      <c r="E8912" s="38" t="n">
        <f aca="false">dps*Sens!$E$8891</f>
        <v>0</v>
      </c>
      <c r="F8912" s="38" t="n">
        <f aca="false">0</f>
        <v>0</v>
      </c>
      <c r="G8912" s="38" t="n">
        <f aca="false">dps*Sens!$G$8891</f>
        <v>0</v>
      </c>
      <c r="H8912" s="38" t="n">
        <f aca="false">dps*Sens!$H$8891</f>
        <v>0</v>
      </c>
      <c r="I8912" s="38" t="n">
        <f aca="false">dps*Sens!$I$8891</f>
        <v>0</v>
      </c>
      <c r="J8912" s="38" t="n">
        <f aca="false">dps*Sens!$J$8891</f>
        <v>0</v>
      </c>
      <c r="K8912" s="38" t="n">
        <f aca="false">dps*Sens!$K$8891</f>
        <v>0</v>
      </c>
      <c r="L8912" s="38" t="n">
        <f aca="false">dps*Sens!$L$8891</f>
        <v>0</v>
      </c>
      <c r="M8912" s="38" t="n">
        <f aca="false">dps*Sens!$M$8891</f>
        <v>0</v>
      </c>
      <c r="P8912" s="8" t="s">
        <v>789</v>
      </c>
    </row>
    <row r="8913" customFormat="false" ht="17.15" hidden="false" customHeight="false" outlineLevel="0" collapsed="false">
      <c r="A8913" s="5" t="s">
        <v>790</v>
      </c>
      <c r="B8913" s="0" t="s">
        <v>86</v>
      </c>
      <c r="C8913" s="38" t="n">
        <f aca="false">0</f>
        <v>0</v>
      </c>
      <c r="D8913" s="38" t="n">
        <f aca="false">0</f>
        <v>0</v>
      </c>
      <c r="E8913" s="38" t="n">
        <f aca="false">0</f>
        <v>0</v>
      </c>
      <c r="F8913" s="38" t="n">
        <f aca="false">0</f>
        <v>0</v>
      </c>
      <c r="G8913" s="38" t="n">
        <f aca="false">0</f>
        <v>0</v>
      </c>
      <c r="H8913" s="38" t="n">
        <f aca="false">0</f>
        <v>0</v>
      </c>
      <c r="I8913" s="38" t="n">
        <f aca="false">0</f>
        <v>0</v>
      </c>
      <c r="J8913" s="38" t="n">
        <f aca="false">0</f>
        <v>0</v>
      </c>
      <c r="K8913" s="38" t="n">
        <f aca="false">0</f>
        <v>0</v>
      </c>
      <c r="L8913" s="38" t="n">
        <f aca="false">0</f>
        <v>0</v>
      </c>
      <c r="M8913" s="38" t="n">
        <f aca="false">0</f>
        <v>0</v>
      </c>
      <c r="P8913" s="8" t="s">
        <v>791</v>
      </c>
    </row>
    <row r="8914" customFormat="false" ht="15" hidden="false" customHeight="false" outlineLevel="0" collapsed="false">
      <c r="A8914" s="3" t="s">
        <v>792</v>
      </c>
      <c r="B8914" s="8" t="s">
        <v>86</v>
      </c>
      <c r="C8914" s="38" t="n">
        <f aca="false">Sens!$C$8911-Sens!$C$8912</f>
        <v>36.176</v>
      </c>
      <c r="D8914" s="38" t="n">
        <f aca="false">Sens!$D$8911-Sens!$D$8912</f>
        <v>9.63700000000002</v>
      </c>
      <c r="E8914" s="38" t="n">
        <f aca="false">Sens!$E$8911-Sens!$E$8912</f>
        <v>-25.691</v>
      </c>
      <c r="F8914" s="38" t="n">
        <f aca="false">Sens!$F$8911-Sens!$F$8912</f>
        <v>-40.6834130116072</v>
      </c>
      <c r="G8914" s="38" t="n">
        <f aca="false">Sens!$G$8911-Sens!$G$8912</f>
        <v>-66.3744130116072</v>
      </c>
      <c r="H8914" s="38" t="n">
        <f aca="false">Sens!$H$8911-Sens!$H$8912</f>
        <v>-53.9928646435014</v>
      </c>
      <c r="I8914" s="38" t="n">
        <f aca="false">Sens!$I$8911-Sens!$I$8912</f>
        <v>-15.5451348078424</v>
      </c>
      <c r="J8914" s="38" t="n">
        <f aca="false">Sens!$J$8911-Sens!$J$8912</f>
        <v>24.754490675283</v>
      </c>
      <c r="K8914" s="38" t="n">
        <f aca="false">Sens!$K$8911-Sens!$K$8912</f>
        <v>123.941633563735</v>
      </c>
      <c r="L8914" s="38" t="n">
        <f aca="false">Sens!$L$8911-Sens!$L$8912</f>
        <v>184.658496827199</v>
      </c>
      <c r="M8914" s="38" t="n">
        <f aca="false">Sens!$M$8911-Sens!$M$8912</f>
        <v>215.375997266291</v>
      </c>
    </row>
    <row r="8915" customFormat="false" ht="17.15" hidden="false" customHeight="false" outlineLevel="0" collapsed="false">
      <c r="A8915" s="5" t="s">
        <v>793</v>
      </c>
      <c r="B8915" s="0" t="s">
        <v>86</v>
      </c>
      <c r="E8915" s="38" t="n">
        <f aca="false">Q!$P$53</f>
        <v>39.767</v>
      </c>
      <c r="F8915" s="38" t="n">
        <f aca="false">inv_2h26</f>
        <v>21.3</v>
      </c>
      <c r="G8915" s="38" t="n">
        <f aca="false">Sens!$E$8915+Sens!$F$8915</f>
        <v>61.067</v>
      </c>
      <c r="H8915" s="39" t="n">
        <v>0</v>
      </c>
      <c r="I8915" s="39" t="n">
        <v>0</v>
      </c>
      <c r="J8915" s="39" t="n">
        <v>0</v>
      </c>
      <c r="K8915" s="39" t="n">
        <v>0</v>
      </c>
      <c r="L8915" s="39" t="n">
        <v>0</v>
      </c>
      <c r="M8915" s="39" t="n">
        <v>0</v>
      </c>
    </row>
    <row r="8916" customFormat="false" ht="17.15" hidden="false" customHeight="false" outlineLevel="0" collapsed="false">
      <c r="A8916" s="5" t="s">
        <v>794</v>
      </c>
      <c r="B8916" s="0" t="s">
        <v>86</v>
      </c>
      <c r="F8916" s="38" t="n">
        <f aca="false">iss_2h26</f>
        <v>29.249999</v>
      </c>
      <c r="G8916" s="38" t="n">
        <f aca="false">Sens!$F$8916</f>
        <v>29.249999</v>
      </c>
      <c r="H8916" s="39" t="n">
        <v>0</v>
      </c>
      <c r="I8916" s="39" t="n">
        <v>0</v>
      </c>
      <c r="J8916" s="39" t="n">
        <v>0</v>
      </c>
      <c r="K8916" s="39" t="n">
        <v>0</v>
      </c>
      <c r="L8916" s="39" t="n">
        <v>0</v>
      </c>
      <c r="M8916" s="39" t="n">
        <v>0</v>
      </c>
    </row>
    <row r="8917" customFormat="false" ht="17.15" hidden="false" customHeight="false" outlineLevel="0" collapsed="false">
      <c r="A8917" s="5" t="s">
        <v>795</v>
      </c>
      <c r="B8917" s="0" t="s">
        <v>86</v>
      </c>
      <c r="F8917" s="38" t="n">
        <f aca="false">cash_q2</f>
        <v>122.988</v>
      </c>
      <c r="G8917" s="38" t="n">
        <f aca="false">cash_q2</f>
        <v>122.988</v>
      </c>
      <c r="H8917" s="38" t="n">
        <f aca="false">Sens!$G$8920</f>
        <v>90.2545859883928</v>
      </c>
      <c r="I8917" s="38" t="n">
        <f aca="false">Sens!$H$8920</f>
        <v>50</v>
      </c>
      <c r="J8917" s="38" t="n">
        <f aca="false">Sens!$I$8920</f>
        <v>50</v>
      </c>
      <c r="K8917" s="38" t="n">
        <f aca="false">Sens!$J$8920</f>
        <v>74.7544906752831</v>
      </c>
      <c r="L8917" s="38" t="n">
        <f aca="false">Sens!$K$8920</f>
        <v>198.696124239018</v>
      </c>
      <c r="M8917" s="38" t="n">
        <f aca="false">Sens!$L$8920</f>
        <v>383.354621066217</v>
      </c>
    </row>
    <row r="8918" customFormat="false" ht="15" hidden="false" customHeight="false" outlineLevel="0" collapsed="false">
      <c r="A8918" s="5" t="s">
        <v>796</v>
      </c>
      <c r="B8918" s="0" t="s">
        <v>86</v>
      </c>
      <c r="F8918" s="38" t="n">
        <f aca="false">Sens!$F$8917+Sens!$F$8914-Sens!$F$8913-Sens!$F$8915+Sens!$F$8916</f>
        <v>90.2545859883928</v>
      </c>
      <c r="H8918" s="38" t="n">
        <f aca="false">Sens!$H$8917+Sens!$H$8914-Sens!$H$8913-Sens!$H$8915+Sens!$H$8916</f>
        <v>36.2617213448915</v>
      </c>
      <c r="I8918" s="38" t="n">
        <f aca="false">Sens!$I$8917+Sens!$I$8914-Sens!$I$8913-Sens!$I$8915+Sens!$I$8916</f>
        <v>34.4548651921577</v>
      </c>
      <c r="J8918" s="38" t="n">
        <f aca="false">Sens!$J$8917+Sens!$J$8914-Sens!$J$8913-Sens!$J$8915+Sens!$J$8916</f>
        <v>74.7544906752831</v>
      </c>
      <c r="K8918" s="38" t="n">
        <f aca="false">Sens!$K$8917+Sens!$K$8914-Sens!$K$8913-Sens!$K$8915+Sens!$K$8916</f>
        <v>198.696124239018</v>
      </c>
      <c r="L8918" s="38" t="n">
        <f aca="false">Sens!$L$8917+Sens!$L$8914-Sens!$L$8913-Sens!$L$8915+Sens!$L$8916</f>
        <v>383.354621066217</v>
      </c>
      <c r="M8918" s="38" t="n">
        <f aca="false">Sens!$M$8917+Sens!$M$8914-Sens!$M$8913-Sens!$M$8915+Sens!$M$8916</f>
        <v>598.730618332508</v>
      </c>
    </row>
    <row r="8919" customFormat="false" ht="17.15" hidden="false" customHeight="false" outlineLevel="0" collapsed="false">
      <c r="A8919" s="5" t="s">
        <v>797</v>
      </c>
      <c r="B8919" s="0" t="s">
        <v>86</v>
      </c>
      <c r="F8919" s="38" t="n">
        <f aca="false">MAX(0,min_cash-Sens!$F$8918)</f>
        <v>0</v>
      </c>
      <c r="G8919" s="38" t="n">
        <f aca="false">Sens!$F$8919</f>
        <v>0</v>
      </c>
      <c r="H8919" s="38" t="n">
        <f aca="false">MAX(0,min_cash-Sens!$H$8918)</f>
        <v>13.7382786551085</v>
      </c>
      <c r="I8919" s="38" t="n">
        <f aca="false">MAX(0,min_cash-Sens!$I$8918)</f>
        <v>15.5451348078424</v>
      </c>
      <c r="J8919" s="38" t="n">
        <f aca="false">MAX(0,min_cash-Sens!$J$8918)</f>
        <v>0</v>
      </c>
      <c r="K8919" s="38" t="n">
        <f aca="false">MAX(0,min_cash-Sens!$K$8918)</f>
        <v>0</v>
      </c>
      <c r="L8919" s="38" t="n">
        <f aca="false">MAX(0,min_cash-Sens!$L$8918)</f>
        <v>0</v>
      </c>
      <c r="M8919" s="38" t="n">
        <f aca="false">MAX(0,min_cash-Sens!$M$8918)</f>
        <v>0</v>
      </c>
      <c r="P8919" s="5" t="s">
        <v>798</v>
      </c>
    </row>
    <row r="8920" customFormat="false" ht="15" hidden="false" customHeight="false" outlineLevel="0" collapsed="false">
      <c r="A8920" s="5" t="s">
        <v>799</v>
      </c>
      <c r="B8920" s="0" t="s">
        <v>86</v>
      </c>
      <c r="D8920" s="38" t="n">
        <f aca="false">Q!$E$61</f>
        <v>123.029</v>
      </c>
      <c r="E8920" s="38" t="n">
        <f aca="false">Q!$M$61</f>
        <v>122.988</v>
      </c>
      <c r="F8920" s="38" t="n">
        <f aca="false">Sens!$F$8918+Sens!$F$8919</f>
        <v>90.2545859883928</v>
      </c>
      <c r="G8920" s="38" t="n">
        <f aca="false">Sens!$F$8920</f>
        <v>90.2545859883928</v>
      </c>
      <c r="H8920" s="38" t="n">
        <f aca="false">Sens!$H$8918+Sens!$H$8919</f>
        <v>50</v>
      </c>
      <c r="I8920" s="38" t="n">
        <f aca="false">Sens!$I$8918+Sens!$I$8919</f>
        <v>50</v>
      </c>
      <c r="J8920" s="38" t="n">
        <f aca="false">Sens!$J$8918+Sens!$J$8919</f>
        <v>74.7544906752831</v>
      </c>
      <c r="K8920" s="38" t="n">
        <f aca="false">Sens!$K$8918+Sens!$K$8919</f>
        <v>198.696124239018</v>
      </c>
      <c r="L8920" s="38" t="n">
        <f aca="false">Sens!$L$8918+Sens!$L$8919</f>
        <v>383.354621066217</v>
      </c>
      <c r="M8920" s="38" t="n">
        <f aca="false">Sens!$M$8918+Sens!$M$8919</f>
        <v>598.730618332508</v>
      </c>
    </row>
    <row r="8921" customFormat="false" ht="15" hidden="false" customHeight="false" outlineLevel="0" collapsed="false">
      <c r="A8921" s="5" t="s">
        <v>800</v>
      </c>
      <c r="B8921" s="0" t="s">
        <v>86</v>
      </c>
      <c r="D8921" s="38" t="n">
        <f aca="false">Q!$E$62</f>
        <v>68.836</v>
      </c>
      <c r="E8921" s="38" t="n">
        <f aca="false">Q!$M$62</f>
        <v>132.995</v>
      </c>
      <c r="F8921" s="38" t="n">
        <f aca="false">debt_q2+Sens!$F$8916+Sens!$F$8919</f>
        <v>162.244999</v>
      </c>
      <c r="G8921" s="38" t="n">
        <f aca="false">Sens!$F$8921</f>
        <v>162.244999</v>
      </c>
      <c r="H8921" s="38" t="n">
        <f aca="false">Sens!$G$8921+Sens!$H$8919</f>
        <v>175.983277655109</v>
      </c>
      <c r="I8921" s="38" t="n">
        <f aca="false">Sens!$H$8921+Sens!$I$8919</f>
        <v>191.528412462951</v>
      </c>
      <c r="J8921" s="38" t="n">
        <f aca="false">Sens!$I$8921+Sens!$J$8919</f>
        <v>191.528412462951</v>
      </c>
      <c r="K8921" s="38" t="n">
        <f aca="false">Sens!$J$8921+Sens!$K$8919</f>
        <v>191.528412462951</v>
      </c>
      <c r="L8921" s="38" t="n">
        <f aca="false">Sens!$K$8921+Sens!$L$8919</f>
        <v>191.528412462951</v>
      </c>
      <c r="M8921" s="38" t="n">
        <f aca="false">Sens!$L$8921+Sens!$M$8919</f>
        <v>191.528412462951</v>
      </c>
    </row>
    <row r="8922" customFormat="false" ht="15" hidden="false" customHeight="false" outlineLevel="0" collapsed="false">
      <c r="A8922" s="5" t="s">
        <v>801</v>
      </c>
      <c r="B8922" s="0" t="s">
        <v>86</v>
      </c>
      <c r="D8922" s="38" t="n">
        <f aca="false">Sens!$D$8921-Sens!$D$8920</f>
        <v>-54.193</v>
      </c>
      <c r="E8922" s="38" t="n">
        <f aca="false">Sens!$E$8921-Sens!$E$8920</f>
        <v>10.007</v>
      </c>
      <c r="F8922" s="38" t="n">
        <f aca="false">Sens!$F$8921-Sens!$F$8920</f>
        <v>71.9904130116072</v>
      </c>
      <c r="G8922" s="38" t="n">
        <f aca="false">Sens!$G$8921-Sens!$G$8920</f>
        <v>71.9904130116072</v>
      </c>
      <c r="H8922" s="38" t="n">
        <f aca="false">Sens!$H$8921-Sens!$H$8920</f>
        <v>125.983277655109</v>
      </c>
      <c r="I8922" s="38" t="n">
        <f aca="false">Sens!$I$8921-Sens!$I$8920</f>
        <v>141.528412462951</v>
      </c>
      <c r="J8922" s="38" t="n">
        <f aca="false">Sens!$J$8921-Sens!$J$8920</f>
        <v>116.773921787668</v>
      </c>
      <c r="K8922" s="38" t="n">
        <f aca="false">Sens!$K$8921-Sens!$K$8920</f>
        <v>-7.16771177606697</v>
      </c>
      <c r="L8922" s="38" t="n">
        <f aca="false">Sens!$L$8921-Sens!$L$8920</f>
        <v>-191.826208603266</v>
      </c>
      <c r="M8922" s="38" t="n">
        <f aca="false">Sens!$M$8921-Sens!$M$8920</f>
        <v>-407.202205869557</v>
      </c>
    </row>
    <row r="8923" customFormat="false" ht="17.15" hidden="false" customHeight="false" outlineLevel="0" collapsed="false">
      <c r="A8923" s="5" t="s">
        <v>802</v>
      </c>
      <c r="B8923" s="0" t="s">
        <v>86</v>
      </c>
      <c r="F8923" s="38" t="n">
        <f aca="false">debt_q2*kd_book*0.5+iss_2h26*kd_new*iss_t</f>
        <v>3.24888962733561</v>
      </c>
      <c r="H8923" s="38" t="n">
        <f aca="false">debt_q2*kd_book+(Sens!$G$8921-debt_q2)*kd_new</f>
        <v>7.42354172302123</v>
      </c>
      <c r="I8923" s="38" t="n">
        <f aca="false">debt_q2*kd_book+(Sens!$H$8921-debt_q2)*kd_new</f>
        <v>8.2931747618896</v>
      </c>
      <c r="J8923" s="38" t="n">
        <f aca="false">debt_q2*kd_book+(Sens!$I$8921-debt_q2)*kd_new</f>
        <v>9.27718179522602</v>
      </c>
      <c r="K8923" s="38" t="n">
        <f aca="false">debt_q2*kd_book+(Sens!$J$8921-debt_q2)*kd_new</f>
        <v>9.27718179522602</v>
      </c>
      <c r="L8923" s="38" t="n">
        <f aca="false">debt_q2*kd_book+(Sens!$K$8921-debt_q2)*kd_new</f>
        <v>9.27718179522602</v>
      </c>
      <c r="M8923" s="38" t="n">
        <f aca="false">debt_q2*kd_book+(Sens!$L$8921-debt_q2)*kd_new</f>
        <v>9.27718179522602</v>
      </c>
    </row>
    <row r="8924" customFormat="false" ht="17.15" hidden="false" customHeight="false" outlineLevel="0" collapsed="false">
      <c r="A8924" s="5" t="s">
        <v>803</v>
      </c>
      <c r="B8924" s="0" t="s">
        <v>86</v>
      </c>
      <c r="F8924" s="38" t="n">
        <f aca="false">cash_q2*y_cash*0.5</f>
        <v>2.59</v>
      </c>
      <c r="H8924" s="38" t="n">
        <f aca="false">Sens!$G$8920*y_cash</f>
        <v>3.80133635330174</v>
      </c>
      <c r="I8924" s="38" t="n">
        <f aca="false">Sens!$H$8920*y_cash</f>
        <v>2.10589651022864</v>
      </c>
      <c r="J8924" s="38" t="n">
        <f aca="false">Sens!$I$8920*y_cash</f>
        <v>2.10589651022864</v>
      </c>
      <c r="K8924" s="38" t="n">
        <f aca="false">Sens!$J$8920*y_cash</f>
        <v>3.14850442073996</v>
      </c>
      <c r="L8924" s="38" t="n">
        <f aca="false">Sens!$K$8920*y_cash</f>
        <v>8.36866949261808</v>
      </c>
      <c r="M8924" s="38" t="n">
        <f aca="false">Sens!$L$8920*y_cash</f>
        <v>16.1461031736674</v>
      </c>
    </row>
    <row r="8925" customFormat="false" ht="17.15" hidden="false" customHeight="false" outlineLevel="0" collapsed="false">
      <c r="A8925" s="47" t="s">
        <v>804</v>
      </c>
      <c r="B8925" s="14" t="s">
        <v>86</v>
      </c>
      <c r="C8925" s="14"/>
      <c r="D8925" s="14"/>
      <c r="E8925" s="14"/>
      <c r="F8925" s="14"/>
      <c r="G8925" s="48" t="n">
        <f aca="false">SUM(Sens!$G$8914:$K$8914)</f>
        <v>12.783711776067</v>
      </c>
      <c r="H8925" s="14"/>
      <c r="I8925" s="14"/>
      <c r="J8925" s="14"/>
      <c r="K8925" s="14"/>
      <c r="L8925" s="14"/>
      <c r="M8925" s="14"/>
      <c r="N8925" s="14"/>
      <c r="O8925" s="14"/>
    </row>
    <row r="8926" customFormat="false" ht="17.15" hidden="false" customHeight="false" outlineLevel="0" collapsed="false">
      <c r="A8926" s="0" t="s">
        <v>770</v>
      </c>
      <c r="B8926" s="0" t="s">
        <v>86</v>
      </c>
      <c r="G8926" s="38" t="n">
        <f aca="false">SUM(Sens!$G$8919:$K$8919)</f>
        <v>29.2834134629509</v>
      </c>
    </row>
    <row r="8927" customFormat="false" ht="17.15" hidden="false" customHeight="false" outlineLevel="0" collapsed="false">
      <c r="A8927" s="24" t="s">
        <v>807</v>
      </c>
      <c r="B8927" s="25" t="s">
        <v>86</v>
      </c>
      <c r="C8927" s="25"/>
      <c r="D8927" s="25"/>
      <c r="E8927" s="25"/>
      <c r="F8927" s="25"/>
      <c r="G8927" s="41" t="n">
        <f aca="false">Sens!$G$8925-(Sens!$G$8914+Sens!$H$8914+Sens!$I$8914+Sens!$J$8914+Sens!$K$8914)</f>
        <v>0</v>
      </c>
      <c r="H8927" s="25"/>
      <c r="I8927" s="25"/>
      <c r="J8927" s="25"/>
      <c r="K8927" s="25"/>
      <c r="L8927" s="25"/>
      <c r="M8927" s="25"/>
      <c r="N8927" s="25"/>
      <c r="O8927" s="25"/>
    </row>
    <row r="8930" customFormat="false" ht="19.4" hidden="false" customHeight="false" outlineLevel="0" collapsed="false">
      <c r="A8930" s="31" t="s">
        <v>1311</v>
      </c>
    </row>
    <row r="8931" customFormat="false" ht="17.15" hidden="false" customHeight="false" outlineLevel="0" collapsed="false">
      <c r="A8931" s="6" t="s">
        <v>16</v>
      </c>
      <c r="B8931" s="6" t="s">
        <v>17</v>
      </c>
      <c r="C8931" s="20" t="s">
        <v>494</v>
      </c>
      <c r="D8931" s="20" t="s">
        <v>495</v>
      </c>
      <c r="E8931" s="20" t="s">
        <v>577</v>
      </c>
      <c r="F8931" s="20" t="s">
        <v>578</v>
      </c>
      <c r="G8931" s="20" t="s">
        <v>579</v>
      </c>
      <c r="H8931" s="20" t="s">
        <v>580</v>
      </c>
      <c r="I8931" s="20" t="s">
        <v>581</v>
      </c>
      <c r="J8931" s="20" t="s">
        <v>582</v>
      </c>
      <c r="K8931" s="20" t="s">
        <v>583</v>
      </c>
      <c r="L8931" s="20" t="s">
        <v>584</v>
      </c>
      <c r="M8931" s="20" t="s">
        <v>585</v>
      </c>
      <c r="N8931" s="20" t="s">
        <v>586</v>
      </c>
      <c r="O8931" s="20" t="s">
        <v>587</v>
      </c>
      <c r="P8931" s="6" t="s">
        <v>23</v>
      </c>
      <c r="R8931" s="20" t="n">
        <v>2023</v>
      </c>
      <c r="S8931" s="20" t="n">
        <v>2024</v>
      </c>
      <c r="T8931" s="20" t="n">
        <v>2025</v>
      </c>
      <c r="U8931" s="20" t="n">
        <v>2026</v>
      </c>
      <c r="V8931" s="20" t="n">
        <v>2027</v>
      </c>
      <c r="W8931" s="20" t="n">
        <v>2028</v>
      </c>
      <c r="X8931" s="20" t="n">
        <v>2029</v>
      </c>
      <c r="Y8931" s="20" t="n">
        <v>2030</v>
      </c>
      <c r="Z8931" s="20" t="n">
        <v>2031</v>
      </c>
      <c r="AA8931" s="20" t="n">
        <v>2032</v>
      </c>
    </row>
    <row r="8932" customFormat="false" ht="17.15" hidden="false" customHeight="false" outlineLevel="0" collapsed="false">
      <c r="A8932" s="1" t="s">
        <v>909</v>
      </c>
    </row>
    <row r="8933" customFormat="false" ht="17.15" hidden="false" customHeight="false" outlineLevel="0" collapsed="false">
      <c r="A8933" s="0" t="s">
        <v>910</v>
      </c>
      <c r="B8933" s="0" t="s">
        <v>86</v>
      </c>
      <c r="H8933" s="38" t="n">
        <f aca="false">Sens!$H$8867*(1-tax)</f>
        <v>117.433243423729</v>
      </c>
      <c r="I8933" s="38" t="n">
        <f aca="false">Sens!$I$8867*(1-tax)</f>
        <v>142.829109667048</v>
      </c>
      <c r="J8933" s="38" t="n">
        <f aca="false">Sens!$J$8867*(1-tax)</f>
        <v>166.999275189185</v>
      </c>
      <c r="K8933" s="38" t="n">
        <f aca="false">Sens!$K$8867*(1-tax)</f>
        <v>184.011832349418</v>
      </c>
      <c r="L8933" s="38" t="n">
        <f aca="false">Sens!$L$8867*(1-tax)</f>
        <v>199.132616100332</v>
      </c>
      <c r="M8933" s="38" t="n">
        <f aca="false">Sens!$M$8867*(1-tax)</f>
        <v>211.446331061647</v>
      </c>
    </row>
    <row r="8934" customFormat="false" ht="15" hidden="false" customHeight="false" outlineLevel="0" collapsed="false">
      <c r="A8934" s="5" t="s">
        <v>911</v>
      </c>
      <c r="B8934" s="0" t="s">
        <v>86</v>
      </c>
      <c r="H8934" s="38" t="n">
        <f aca="false">Sens!$H$8878</f>
        <v>84.3163410985152</v>
      </c>
      <c r="I8934" s="38" t="n">
        <f aca="false">Sens!$I$8878</f>
        <v>117.040344991004</v>
      </c>
      <c r="J8934" s="38" t="n">
        <f aca="false">Sens!$J$8878</f>
        <v>150.498981474685</v>
      </c>
      <c r="K8934" s="38" t="n">
        <f aca="false">Sens!$K$8878</f>
        <v>184.188121970284</v>
      </c>
      <c r="L8934" s="38" t="n">
        <f aca="false">Sens!$L$8878</f>
        <v>207.378648477454</v>
      </c>
      <c r="M8934" s="38" t="n">
        <f aca="false">Sens!$M$8878</f>
        <v>222.833725897691</v>
      </c>
    </row>
    <row r="8935" customFormat="false" ht="15" hidden="false" customHeight="false" outlineLevel="0" collapsed="false">
      <c r="A8935" s="5" t="s">
        <v>912</v>
      </c>
      <c r="B8935" s="0" t="s">
        <v>86</v>
      </c>
      <c r="H8935" s="38" t="n">
        <f aca="false">Sens!$H$8909</f>
        <v>273.372679834898</v>
      </c>
      <c r="I8935" s="38" t="n">
        <f aca="false">Sens!$I$8909</f>
        <v>286.981812228425</v>
      </c>
      <c r="J8935" s="38" t="n">
        <f aca="false">Sens!$J$8909</f>
        <v>299.316513378366</v>
      </c>
      <c r="K8935" s="38" t="n">
        <f aca="false">Sens!$K$8909</f>
        <v>248.27918920067</v>
      </c>
      <c r="L8935" s="38" t="n">
        <f aca="false">Sens!$L$8909</f>
        <v>229.140418237151</v>
      </c>
      <c r="M8935" s="38" t="n">
        <f aca="false">Sens!$M$8909</f>
        <v>233.957827108485</v>
      </c>
    </row>
    <row r="8936" customFormat="false" ht="15" hidden="false" customHeight="false" outlineLevel="0" collapsed="false">
      <c r="A8936" s="5" t="s">
        <v>913</v>
      </c>
      <c r="B8936" s="0" t="s">
        <v>86</v>
      </c>
      <c r="H8936" s="38" t="n">
        <f aca="false">Sens!$H$8910</f>
        <v>1.6</v>
      </c>
      <c r="I8936" s="38" t="n">
        <f aca="false">Sens!$I$8910</f>
        <v>1.6</v>
      </c>
      <c r="J8936" s="38" t="n">
        <f aca="false">Sens!$J$8910</f>
        <v>1.6</v>
      </c>
      <c r="K8936" s="38" t="n">
        <f aca="false">Sens!$K$8910</f>
        <v>1.6</v>
      </c>
      <c r="L8936" s="38" t="n">
        <f aca="false">Sens!$L$8910</f>
        <v>1.6</v>
      </c>
      <c r="M8936" s="38" t="n">
        <f aca="false">Sens!$M$8910</f>
        <v>1.6</v>
      </c>
    </row>
    <row r="8937" customFormat="false" ht="15" hidden="false" customHeight="false" outlineLevel="0" collapsed="false">
      <c r="A8937" s="5" t="s">
        <v>914</v>
      </c>
      <c r="B8937" s="0" t="s">
        <v>86</v>
      </c>
      <c r="H8937" s="38" t="n">
        <f aca="false">Sens!$H$8904</f>
        <v>11.2928295263397</v>
      </c>
      <c r="I8937" s="38" t="n">
        <f aca="false">Sens!$I$8904</f>
        <v>12.8091546115766</v>
      </c>
      <c r="J8937" s="38" t="n">
        <f aca="false">Sens!$J$8904</f>
        <v>14.2605653162668</v>
      </c>
      <c r="K8937" s="38" t="n">
        <f aca="false">Sens!$K$8904</f>
        <v>15.5293346306567</v>
      </c>
      <c r="L8937" s="38" t="n">
        <f aca="false">Sens!$L$8904</f>
        <v>16.7069448805781</v>
      </c>
      <c r="M8937" s="38" t="n">
        <f aca="false">Sens!$M$8904</f>
        <v>17.7976949013636</v>
      </c>
    </row>
    <row r="8938" customFormat="false" ht="17.15" hidden="false" customHeight="false" outlineLevel="0" collapsed="false">
      <c r="A8938" s="1" t="s">
        <v>915</v>
      </c>
      <c r="B8938" s="8" t="s">
        <v>86</v>
      </c>
      <c r="H8938" s="38" t="n">
        <f aca="false">Sens!$H$8933+Sens!$H$8934-Sens!$H$8935-Sens!$H$8936+Sens!$H$8937</f>
        <v>-61.930265786314</v>
      </c>
      <c r="I8938" s="38" t="n">
        <f aca="false">Sens!$I$8933+Sens!$I$8934-Sens!$I$8935-Sens!$I$8936+Sens!$I$8937</f>
        <v>-15.9032029587969</v>
      </c>
      <c r="J8938" s="38" t="n">
        <f aca="false">Sens!$J$8933+Sens!$J$8934-Sens!$J$8935-Sens!$J$8936+Sens!$J$8937</f>
        <v>30.8423086017711</v>
      </c>
      <c r="K8938" s="38" t="n">
        <f aca="false">Sens!$K$8933+Sens!$K$8934-Sens!$K$8935-Sens!$K$8936+Sens!$K$8937</f>
        <v>133.850099749689</v>
      </c>
      <c r="L8938" s="38" t="n">
        <f aca="false">Sens!$L$8933+Sens!$L$8934-Sens!$L$8935-Sens!$L$8936+Sens!$L$8937</f>
        <v>192.477791221214</v>
      </c>
      <c r="M8938" s="38" t="n">
        <f aca="false">Sens!$M$8933+Sens!$M$8934-Sens!$M$8935-Sens!$M$8936+Sens!$M$8937</f>
        <v>216.519924752217</v>
      </c>
    </row>
    <row r="8939" customFormat="false" ht="15" hidden="false" customHeight="false" outlineLevel="0" collapsed="false">
      <c r="A8939" s="5" t="s">
        <v>916</v>
      </c>
      <c r="B8939" s="0" t="s">
        <v>57</v>
      </c>
      <c r="H8939" s="40" t="n">
        <f aca="false">1/(1+wacc)^(2027-2026-0.5)</f>
        <v>0.947751320380232</v>
      </c>
      <c r="I8939" s="40" t="n">
        <f aca="false">1/(1+wacc)^(2028-2026-0.5)</f>
        <v>0.851301099754987</v>
      </c>
      <c r="J8939" s="40" t="n">
        <f aca="false">1/(1+wacc)^(2029-2026-0.5)</f>
        <v>0.764666370660713</v>
      </c>
      <c r="K8939" s="40" t="n">
        <f aca="false">1/(1+wacc)^(2030-2026-0.5)</f>
        <v>0.686848235703811</v>
      </c>
      <c r="L8939" s="40" t="n">
        <f aca="false">1/(1+wacc)^(2031-2026-0.5)</f>
        <v>0.616949452715975</v>
      </c>
      <c r="M8939" s="40" t="n">
        <f aca="false">1/(1+wacc)^(2032-2026-0.5)</f>
        <v>0.554164089562688</v>
      </c>
    </row>
    <row r="8940" customFormat="false" ht="15" hidden="false" customHeight="false" outlineLevel="0" collapsed="false">
      <c r="A8940" s="5" t="s">
        <v>917</v>
      </c>
      <c r="B8940" s="0" t="s">
        <v>86</v>
      </c>
      <c r="H8940" s="38" t="n">
        <f aca="false">Sens!$H$8938*Sens!$H$8939</f>
        <v>-58.6944911704778</v>
      </c>
      <c r="I8940" s="38" t="n">
        <f aca="false">Sens!$I$8938*Sens!$I$8939</f>
        <v>-13.5384141684505</v>
      </c>
      <c r="J8940" s="38" t="n">
        <f aca="false">Sens!$J$8938*Sens!$J$8939</f>
        <v>23.584076181314</v>
      </c>
      <c r="K8940" s="38" t="n">
        <f aca="false">Sens!$K$8938*Sens!$K$8939</f>
        <v>91.9347048618528</v>
      </c>
      <c r="L8940" s="38" t="n">
        <f aca="false">Sens!$L$8938*Sens!$L$8939</f>
        <v>118.749067953908</v>
      </c>
      <c r="M8940" s="38" t="n">
        <f aca="false">Sens!$M$8938*Sens!$M$8939</f>
        <v>119.987566972494</v>
      </c>
    </row>
    <row r="8941" customFormat="false" ht="15" hidden="false" customHeight="false" outlineLevel="0" collapsed="false">
      <c r="A8941" s="5" t="s">
        <v>918</v>
      </c>
      <c r="B8941" s="0" t="s">
        <v>86</v>
      </c>
      <c r="C8941" s="38" t="n">
        <f aca="false">SUM(Sens!$H$8940:$M$8940)</f>
        <v>282.02251063064</v>
      </c>
    </row>
    <row r="8942" customFormat="false" ht="17.15" hidden="false" customHeight="false" outlineLevel="0" collapsed="false">
      <c r="A8942" s="5" t="s">
        <v>919</v>
      </c>
      <c r="B8942" s="0" t="s">
        <v>86</v>
      </c>
      <c r="C8942" s="38" t="n">
        <f aca="false">Sens!$M$8933*(1+tg_lo)*(1-tg_lo/ronic)/(wacc-tg_lo)</f>
        <v>1903.62015623341</v>
      </c>
    </row>
    <row r="8943" customFormat="false" ht="15" hidden="false" customHeight="false" outlineLevel="0" collapsed="false">
      <c r="A8943" s="5" t="s">
        <v>920</v>
      </c>
      <c r="B8943" s="0" t="s">
        <v>86</v>
      </c>
      <c r="C8943" s="38" t="n">
        <f aca="false">Sens!$C$8942/(1+wacc)^6</f>
        <v>999.799861763248</v>
      </c>
    </row>
    <row r="8944" customFormat="false" ht="17.15" hidden="false" customHeight="false" outlineLevel="0" collapsed="false">
      <c r="A8944" s="5" t="s">
        <v>921</v>
      </c>
      <c r="B8944" s="0" t="s">
        <v>86</v>
      </c>
      <c r="C8944" s="38" t="n">
        <f aca="false">Sens!$C$8941+Sens!$C$8943</f>
        <v>1281.82237239389</v>
      </c>
    </row>
    <row r="8945" customFormat="false" ht="17.15" hidden="false" customHeight="false" outlineLevel="0" collapsed="false">
      <c r="A8945" s="5" t="s">
        <v>922</v>
      </c>
      <c r="B8945" s="0" t="s">
        <v>52</v>
      </c>
      <c r="C8945" s="13" t="n">
        <f aca="false">Sens!$C$8943/Sens!$C$8944</f>
        <v>0.779983157803726</v>
      </c>
    </row>
    <row r="8946" customFormat="false" ht="17.15" hidden="false" customHeight="false" outlineLevel="0" collapsed="false">
      <c r="A8946" s="5" t="s">
        <v>923</v>
      </c>
      <c r="B8946" s="0" t="s">
        <v>86</v>
      </c>
      <c r="C8946" s="38" t="n">
        <f aca="false">Sens!$G$8922+fin_debt</f>
        <v>96.5114130116072</v>
      </c>
    </row>
    <row r="8947" customFormat="false" ht="17.15" hidden="false" customHeight="false" outlineLevel="0" collapsed="false">
      <c r="A8947" s="5" t="s">
        <v>924</v>
      </c>
      <c r="B8947" s="0" t="s">
        <v>86</v>
      </c>
      <c r="C8947" s="38" t="n">
        <f aca="false">(ant_val*ant_sh+oai_val*oai_sh)*(1-liq_disc)</f>
        <v>178.944</v>
      </c>
    </row>
    <row r="8948" customFormat="false" ht="15" hidden="false" customHeight="false" outlineLevel="0" collapsed="false">
      <c r="A8948" s="5" t="s">
        <v>925</v>
      </c>
      <c r="B8948" s="0" t="s">
        <v>86</v>
      </c>
      <c r="C8948" s="38" t="n">
        <f aca="false">Sens!$C$8944-Sens!$C$8946+Sens!$C$8947</f>
        <v>1364.25495938228</v>
      </c>
    </row>
    <row r="8949" customFormat="false" ht="17.15" hidden="false" customHeight="false" outlineLevel="0" collapsed="false">
      <c r="A8949" s="5" t="s">
        <v>926</v>
      </c>
      <c r="B8949" s="0" t="s">
        <v>27</v>
      </c>
      <c r="C8949" s="30" t="n">
        <f aca="false">Sens!$C$8948/sh_out</f>
        <v>126.480182143991</v>
      </c>
    </row>
    <row r="8950" customFormat="false" ht="17.15" hidden="false" customHeight="false" outlineLevel="0" collapsed="false">
      <c r="A8950" s="1" t="s">
        <v>927</v>
      </c>
      <c r="B8950" s="8" t="s">
        <v>27</v>
      </c>
      <c r="C8950" s="30" t="n">
        <f aca="false">Sens!$C$8949*(1+ke)^tp_yf-dps*tp_yf</f>
        <v>138.542451216965</v>
      </c>
    </row>
    <row r="8951" customFormat="false" ht="17.15" hidden="false" customHeight="false" outlineLevel="0" collapsed="false">
      <c r="A8951" s="3" t="s">
        <v>928</v>
      </c>
    </row>
    <row r="8952" customFormat="false" ht="17.15" hidden="false" customHeight="false" outlineLevel="0" collapsed="false">
      <c r="A8952" s="5" t="s">
        <v>929</v>
      </c>
      <c r="B8952" s="0" t="s">
        <v>86</v>
      </c>
      <c r="C8952" s="38" t="n">
        <f aca="false">(1-tp_yf)*(Sens!$H$8879+Sens!$H$8903*Sens!$H$8745/Sens!$H$8820)+tp_yf*(Sens!$I$8879+Sens!$I$8903*Sens!$I$8745/Sens!$I$8820)</f>
        <v>59.634664536349</v>
      </c>
    </row>
    <row r="8953" customFormat="false" ht="15" hidden="false" customHeight="false" outlineLevel="0" collapsed="false">
      <c r="A8953" s="5" t="s">
        <v>930</v>
      </c>
      <c r="B8953" s="0" t="s">
        <v>57</v>
      </c>
      <c r="C8953" s="30" t="n">
        <f aca="false">m_ads*m_x</f>
        <v>9.11</v>
      </c>
    </row>
    <row r="8954" customFormat="false" ht="17.15" hidden="false" customHeight="false" outlineLevel="0" collapsed="false">
      <c r="A8954" s="5" t="s">
        <v>931</v>
      </c>
      <c r="B8954" s="0" t="s">
        <v>86</v>
      </c>
      <c r="C8954" s="38" t="n">
        <f aca="false">Sens!$C$8952*Sens!$C$8953</f>
        <v>543.271793926139</v>
      </c>
    </row>
    <row r="8955" customFormat="false" ht="17.15" hidden="false" customHeight="false" outlineLevel="0" collapsed="false">
      <c r="A8955" s="5" t="s">
        <v>932</v>
      </c>
      <c r="B8955" s="0" t="s">
        <v>86</v>
      </c>
      <c r="C8955" s="38" t="n">
        <f aca="false">(1-tp_yf)*(Sens!$H$8880+Sens!$H$8903*(Sens!$H$8752-Sens!$H$8745)/Sens!$H$8820+IF(internal_ai_reading=2,1,0)*(1-ext_sh)*Sens!$H$8782)+tp_yf*(Sens!$I$8880+Sens!$I$8903*(Sens!$I$8752-Sens!$I$8745)/Sens!$I$8820+IF(internal_ai_reading=2,1,0)*(1-ext_sh)*Sens!$I$8782)</f>
        <v>51.7770728324773</v>
      </c>
    </row>
    <row r="8956" customFormat="false" ht="17.15" hidden="false" customHeight="false" outlineLevel="0" collapsed="false">
      <c r="A8956" s="5" t="s">
        <v>933</v>
      </c>
      <c r="B8956" s="0" t="s">
        <v>57</v>
      </c>
      <c r="C8956" s="30" t="n">
        <f aca="false">m_retail*m_x</f>
        <v>17.72</v>
      </c>
    </row>
    <row r="8957" customFormat="false" ht="17.15" hidden="false" customHeight="false" outlineLevel="0" collapsed="false">
      <c r="A8957" s="5" t="s">
        <v>934</v>
      </c>
      <c r="B8957" s="0" t="s">
        <v>86</v>
      </c>
      <c r="C8957" s="38" t="n">
        <f aca="false">Sens!$C$8955*Sens!$C$8956</f>
        <v>917.489730591498</v>
      </c>
    </row>
    <row r="8958" customFormat="false" ht="17.15" hidden="false" customHeight="false" outlineLevel="0" collapsed="false">
      <c r="A8958" s="0" t="s">
        <v>935</v>
      </c>
      <c r="B8958" s="0" t="s">
        <v>86</v>
      </c>
      <c r="C8958" s="38" t="n">
        <f aca="false">(1-tp_yf)*(Sens!$H$8881+Sens!$H$8903*Sens!$H$8818/Sens!$H$8820)+tp_yf*(Sens!$I$8881+Sens!$I$8903*Sens!$I$8818/Sens!$I$8820)</f>
        <v>97.3363031479074</v>
      </c>
    </row>
    <row r="8959" customFormat="false" ht="17.15" hidden="false" customHeight="false" outlineLevel="0" collapsed="false">
      <c r="A8959" s="0" t="s">
        <v>936</v>
      </c>
      <c r="B8959" s="0" t="s">
        <v>57</v>
      </c>
      <c r="C8959" s="30" t="n">
        <f aca="false">m_cloud*m_x</f>
        <v>13.82</v>
      </c>
    </row>
    <row r="8960" customFormat="false" ht="17.15" hidden="false" customHeight="false" outlineLevel="0" collapsed="false">
      <c r="A8960" s="0" t="s">
        <v>937</v>
      </c>
      <c r="B8960" s="0" t="s">
        <v>86</v>
      </c>
      <c r="C8960" s="38" t="n">
        <f aca="false">Sens!$C$8958*Sens!$C$8959</f>
        <v>1345.18770950408</v>
      </c>
    </row>
    <row r="8961" customFormat="false" ht="17.15" hidden="false" customHeight="false" outlineLevel="0" collapsed="false">
      <c r="A8961" s="0" t="s">
        <v>938</v>
      </c>
      <c r="B8961" s="0" t="s">
        <v>86</v>
      </c>
      <c r="H8961" s="38" t="n">
        <f aca="false">Sens!$H$8799-tax*Sens!$H$8800-ext_sh*Sens!$H$8789</f>
        <v>-114.686944664267</v>
      </c>
      <c r="I8961" s="38" t="n">
        <f aca="false">Sens!$I$8799-tax*Sens!$I$8800-ext_sh*Sens!$I$8789</f>
        <v>-88.3950641557111</v>
      </c>
      <c r="J8961" s="38" t="n">
        <f aca="false">Sens!$J$8799-tax*Sens!$J$8800-ext_sh*Sens!$J$8789</f>
        <v>-61.1526151740695</v>
      </c>
      <c r="K8961" s="38" t="n">
        <f aca="false">Sens!$K$8799-tax*Sens!$K$8800-ext_sh*Sens!$K$8789</f>
        <v>12.0907188158706</v>
      </c>
      <c r="L8961" s="38" t="n">
        <f aca="false">Sens!$L$8799-tax*Sens!$L$8800-ext_sh*Sens!$L$8789</f>
        <v>50.296803352258</v>
      </c>
      <c r="M8961" s="38" t="n">
        <f aca="false">Sens!$M$8799-tax*Sens!$M$8800-ext_sh*Sens!$M$8789</f>
        <v>60.2059276321968</v>
      </c>
    </row>
    <row r="8962" customFormat="false" ht="17.15" hidden="false" customHeight="false" outlineLevel="0" collapsed="false">
      <c r="A8962" s="5" t="s">
        <v>939</v>
      </c>
      <c r="B8962" s="0" t="s">
        <v>86</v>
      </c>
      <c r="H8962" s="38" t="n">
        <f aca="false">Sens!$H$8961*Sens!$H$8939</f>
        <v>-108.694703235934</v>
      </c>
      <c r="I8962" s="38" t="n">
        <f aca="false">Sens!$I$8961*Sens!$I$8939</f>
        <v>-75.2508153286695</v>
      </c>
      <c r="J8962" s="38" t="n">
        <f aca="false">Sens!$J$8961*Sens!$J$8939</f>
        <v>-46.761348301567</v>
      </c>
      <c r="K8962" s="38" t="n">
        <f aca="false">Sens!$K$8961*Sens!$K$8939</f>
        <v>8.30448888707161</v>
      </c>
      <c r="L8962" s="38" t="n">
        <f aca="false">Sens!$L$8961*Sens!$L$8939</f>
        <v>31.0305853015386</v>
      </c>
      <c r="M8962" s="38" t="n">
        <f aca="false">Sens!$M$8961*Sens!$M$8939</f>
        <v>33.3639630725735</v>
      </c>
    </row>
    <row r="8963" customFormat="false" ht="17.15" hidden="false" customHeight="false" outlineLevel="0" collapsed="false">
      <c r="A8963" s="5" t="s">
        <v>940</v>
      </c>
      <c r="B8963" s="0" t="s">
        <v>86</v>
      </c>
      <c r="C8963" s="38" t="n">
        <f aca="false">Sens!$M$8800*(1-tax)*(1+tg_lo)*(1-tg_lo/ronic)/(wacc-tg_lo)</f>
        <v>351.839944942297</v>
      </c>
    </row>
    <row r="8964" customFormat="false" ht="17.15" hidden="false" customHeight="false" outlineLevel="0" collapsed="false">
      <c r="A8964" s="0" t="s">
        <v>941</v>
      </c>
      <c r="B8964" s="0" t="s">
        <v>86</v>
      </c>
      <c r="C8964" s="38" t="n">
        <f aca="false">(SUM(Sens!$H$8962:$M$8962)+Sens!$C$8963/(1+wacc)^6)*(1+wacc)^tp_yf</f>
        <v>29.2518000441473</v>
      </c>
    </row>
    <row r="8965" customFormat="false" ht="17.15" hidden="false" customHeight="false" outlineLevel="0" collapsed="false">
      <c r="A8965" s="5" t="s">
        <v>942</v>
      </c>
      <c r="B8965" s="0" t="s">
        <v>86</v>
      </c>
      <c r="C8965" s="38" t="n">
        <f aca="false">(1-tp_yf)*(Sens!$H$8882)+tp_yf*(Sens!$I$8882)</f>
        <v>74.6707041238437</v>
      </c>
    </row>
    <row r="8966" customFormat="false" ht="17.15" hidden="false" customHeight="false" outlineLevel="0" collapsed="false">
      <c r="A8966" s="5" t="s">
        <v>943</v>
      </c>
      <c r="B8966" s="0" t="s">
        <v>86</v>
      </c>
      <c r="C8966" s="38" t="n">
        <f aca="false">Sens!$C$8965*m_ai</f>
        <v>448.024224743062</v>
      </c>
    </row>
    <row r="8967" customFormat="false" ht="17.15" hidden="false" customHeight="false" outlineLevel="0" collapsed="false">
      <c r="A8967" s="0" t="s">
        <v>944</v>
      </c>
      <c r="B8967" s="0" t="s">
        <v>86</v>
      </c>
      <c r="C8967" s="38" t="n">
        <f aca="false">IF(ai_leg=1,Sens!$C$8964,Sens!$C$8966)</f>
        <v>29.2518000441473</v>
      </c>
    </row>
    <row r="8968" customFormat="false" ht="17.15" hidden="false" customHeight="false" outlineLevel="0" collapsed="false">
      <c r="A8968" s="5" t="s">
        <v>945</v>
      </c>
      <c r="B8968" s="0" t="s">
        <v>86</v>
      </c>
      <c r="C8968" s="38" t="n">
        <f aca="false">Sens!$C$8954+Sens!$C$8957+Sens!$C$8960+Sens!$C$8967</f>
        <v>2835.20103406587</v>
      </c>
    </row>
    <row r="8969" customFormat="false" ht="17.15" hidden="false" customHeight="false" outlineLevel="0" collapsed="false">
      <c r="A8969" s="5" t="s">
        <v>946</v>
      </c>
      <c r="B8969" s="0" t="s">
        <v>86</v>
      </c>
      <c r="C8969" s="38" t="n">
        <f aca="false">Sens!$H$8922+fin_debt</f>
        <v>150.504277655109</v>
      </c>
    </row>
    <row r="8970" customFormat="false" ht="15" hidden="false" customHeight="false" outlineLevel="0" collapsed="false">
      <c r="A8970" s="5" t="s">
        <v>947</v>
      </c>
      <c r="B8970" s="0" t="s">
        <v>86</v>
      </c>
      <c r="C8970" s="38" t="n">
        <f aca="false">Sens!$C$8968-Sens!$C$8969+Sens!$C$8947</f>
        <v>2863.64075641076</v>
      </c>
    </row>
    <row r="8971" customFormat="false" ht="15" hidden="false" customHeight="false" outlineLevel="0" collapsed="false">
      <c r="A8971" s="3" t="s">
        <v>948</v>
      </c>
      <c r="B8971" s="8" t="s">
        <v>27</v>
      </c>
      <c r="C8971" s="30" t="n">
        <f aca="false">Sens!$C$8970/sh_val</f>
        <v>259.615524672349</v>
      </c>
    </row>
    <row r="8972" customFormat="false" ht="17.15" hidden="false" customHeight="false" outlineLevel="0" collapsed="false">
      <c r="A8972" s="47" t="s">
        <v>949</v>
      </c>
      <c r="B8972" s="14" t="s">
        <v>27</v>
      </c>
      <c r="C8972" s="44" t="n">
        <f aca="false">w_dcf*Sens!$C$8950+(1-w_dcf)*Sens!$C$8971</f>
        <v>199.078987944657</v>
      </c>
      <c r="D8972" s="14"/>
      <c r="E8972" s="14"/>
      <c r="F8972" s="14"/>
      <c r="G8972" s="14"/>
      <c r="H8972" s="14"/>
      <c r="I8972" s="14"/>
      <c r="J8972" s="14"/>
      <c r="K8972" s="14"/>
      <c r="L8972" s="14"/>
      <c r="M8972" s="14"/>
      <c r="N8972" s="14"/>
      <c r="O8972" s="14"/>
    </row>
    <row r="8973" customFormat="false" ht="17.15" hidden="false" customHeight="false" outlineLevel="0" collapsed="false">
      <c r="A8973" s="5" t="s">
        <v>950</v>
      </c>
      <c r="B8973" s="0" t="s">
        <v>27</v>
      </c>
      <c r="C8973" s="30" t="n">
        <f aca="false">v022_wdcf*Sens!$C$8950+(1-v022_wdcf)*Sens!$C$8971</f>
        <v>205.132641617426</v>
      </c>
    </row>
    <row r="8974" customFormat="false" ht="17.15" hidden="false" customHeight="false" outlineLevel="0" collapsed="false">
      <c r="A8974" s="5" t="s">
        <v>951</v>
      </c>
      <c r="B8974" s="0" t="s">
        <v>27</v>
      </c>
      <c r="C8974" s="30" t="n">
        <f aca="false">(Sens!$C$8970-Sens!$C$8967+Sens!$C$8966)/sh_val</f>
        <v>297.581118824874</v>
      </c>
    </row>
    <row r="8977" customFormat="false" ht="19.4" hidden="false" customHeight="false" outlineLevel="0" collapsed="false">
      <c r="A8977" s="31" t="s">
        <v>1312</v>
      </c>
    </row>
    <row r="8978" customFormat="false" ht="17.15" hidden="false" customHeight="false" outlineLevel="0" collapsed="false">
      <c r="A8978" s="6" t="s">
        <v>16</v>
      </c>
      <c r="B8978" s="6" t="s">
        <v>17</v>
      </c>
      <c r="C8978" s="20" t="s">
        <v>494</v>
      </c>
      <c r="D8978" s="20" t="s">
        <v>495</v>
      </c>
      <c r="E8978" s="20" t="s">
        <v>577</v>
      </c>
      <c r="F8978" s="20" t="s">
        <v>578</v>
      </c>
      <c r="G8978" s="20" t="s">
        <v>579</v>
      </c>
      <c r="H8978" s="20" t="s">
        <v>580</v>
      </c>
      <c r="I8978" s="20" t="s">
        <v>581</v>
      </c>
      <c r="J8978" s="20" t="s">
        <v>582</v>
      </c>
      <c r="K8978" s="20" t="s">
        <v>583</v>
      </c>
      <c r="L8978" s="20" t="s">
        <v>584</v>
      </c>
      <c r="M8978" s="20" t="s">
        <v>585</v>
      </c>
      <c r="N8978" s="20" t="s">
        <v>586</v>
      </c>
      <c r="O8978" s="20" t="s">
        <v>587</v>
      </c>
      <c r="P8978" s="6" t="s">
        <v>23</v>
      </c>
      <c r="R8978" s="20" t="n">
        <v>2023</v>
      </c>
      <c r="S8978" s="20" t="n">
        <v>2024</v>
      </c>
      <c r="T8978" s="20" t="n">
        <v>2025</v>
      </c>
      <c r="U8978" s="20" t="n">
        <v>2026</v>
      </c>
      <c r="V8978" s="20" t="n">
        <v>2027</v>
      </c>
      <c r="W8978" s="20" t="n">
        <v>2028</v>
      </c>
      <c r="X8978" s="20" t="n">
        <v>2029</v>
      </c>
      <c r="Y8978" s="20" t="n">
        <v>2030</v>
      </c>
      <c r="Z8978" s="20" t="n">
        <v>2031</v>
      </c>
      <c r="AA8978" s="20" t="n">
        <v>2032</v>
      </c>
    </row>
    <row r="8979" customFormat="false" ht="17.15" hidden="false" customHeight="false" outlineLevel="0" collapsed="false">
      <c r="A8979" s="1" t="s">
        <v>660</v>
      </c>
    </row>
    <row r="8980" customFormat="false" ht="17.15" hidden="false" customHeight="false" outlineLevel="0" collapsed="false">
      <c r="A8980" s="0" t="s">
        <v>516</v>
      </c>
      <c r="B8980" s="0" t="s">
        <v>86</v>
      </c>
      <c r="C8980" s="38" t="n">
        <f aca="false">Q!$D$10</f>
        <v>247.029</v>
      </c>
      <c r="D8980" s="38" t="n">
        <f aca="false">Q!$E$10</f>
        <v>269.287</v>
      </c>
      <c r="E8980" s="38" t="n">
        <f aca="false">Q!$P$10</f>
        <v>134.686</v>
      </c>
      <c r="F8980" s="38" t="n">
        <f aca="false">Sens!$O$8980*(1+Sens!$F$8981)*Sens!$F$8992</f>
        <v>158.293876822267</v>
      </c>
      <c r="G8980" s="38" t="n">
        <f aca="false">Sens!$E$8980+Sens!$F$8980</f>
        <v>292.979876822267</v>
      </c>
      <c r="H8980" s="38" t="n">
        <f aca="false">Sens!$G$8980*(1+Sens!$H$8981)</f>
        <v>318.184543087396</v>
      </c>
      <c r="I8980" s="38" t="n">
        <f aca="false">Sens!$H$8980*(1+Sens!$I$8981)</f>
        <v>341.736278761793</v>
      </c>
      <c r="J8980" s="38" t="n">
        <f aca="false">Sens!$I$8980*(1+Sens!$J$8981)</f>
        <v>362.927192787048</v>
      </c>
      <c r="K8980" s="38" t="n">
        <f aca="false">Sens!$J$8980*(1+Sens!$K$8981)</f>
        <v>381.0735524264</v>
      </c>
      <c r="L8980" s="38" t="n">
        <f aca="false">Sens!$K$8980*(1+Sens!$L$8981)</f>
        <v>400.12723004772</v>
      </c>
      <c r="M8980" s="38" t="n">
        <f aca="false">Sens!$L$8980*(1+Sens!$M$8981)</f>
        <v>420.133591550106</v>
      </c>
      <c r="N8980" s="38" t="n">
        <f aca="false">Q!$N$10</f>
        <v>118.892</v>
      </c>
      <c r="O8980" s="38" t="n">
        <f aca="false">Q!$O$10</f>
        <v>150.395</v>
      </c>
      <c r="P8980" s="8" t="s">
        <v>661</v>
      </c>
    </row>
    <row r="8981" customFormat="false" ht="17.15" hidden="false" customHeight="false" outlineLevel="0" collapsed="false">
      <c r="A8981" s="0" t="s">
        <v>662</v>
      </c>
      <c r="B8981" s="0" t="s">
        <v>52</v>
      </c>
      <c r="E8981" s="13" t="n">
        <f aca="false">Sens!$E$8980/Sens!$N$8980-1</f>
        <v>0.132843252699929</v>
      </c>
      <c r="F8981" s="13" t="n">
        <f aca="false">Sens!$O$8980/(Q!$F$10+Q!$G$10)-1</f>
        <v>0.0980382135842941</v>
      </c>
      <c r="G8981" s="13" t="n">
        <f aca="false">Sens!$G$8980/Sens!$D$8980-1</f>
        <v>0.0879837378791657</v>
      </c>
      <c r="H8981" s="13" t="n">
        <f aca="false">Sens!$F$8981+(g_os-Sens!$F$8981)*1/4</f>
        <v>0.0860286601882206</v>
      </c>
      <c r="I8981" s="13" t="n">
        <f aca="false">Sens!$F$8981+(g_os-Sens!$F$8981)*2/4</f>
        <v>0.074019106792147</v>
      </c>
      <c r="J8981" s="13" t="n">
        <f aca="false">Sens!$F$8981+(g_os-Sens!$F$8981)*3/4</f>
        <v>0.0620095533960735</v>
      </c>
      <c r="K8981" s="13" t="n">
        <f aca="false">Sens!$F$8981+(g_os-Sens!$F$8981)*4/4</f>
        <v>0.05</v>
      </c>
      <c r="L8981" s="13" t="n">
        <f aca="false">g_os</f>
        <v>0.05</v>
      </c>
      <c r="M8981" s="13" t="n">
        <f aca="false">g_os</f>
        <v>0.05</v>
      </c>
      <c r="P8981" s="8" t="s">
        <v>663</v>
      </c>
    </row>
    <row r="8982" customFormat="false" ht="17.15" hidden="false" customHeight="false" outlineLevel="0" collapsed="false">
      <c r="A8982" s="0" t="s">
        <v>517</v>
      </c>
      <c r="B8982" s="0" t="s">
        <v>86</v>
      </c>
      <c r="C8982" s="38" t="n">
        <f aca="false">Q!$D$11</f>
        <v>21.215</v>
      </c>
      <c r="D8982" s="38" t="n">
        <f aca="false">Q!$E$11</f>
        <v>22.561</v>
      </c>
      <c r="E8982" s="38" t="n">
        <f aca="false">Q!$P$11</f>
        <v>11.579</v>
      </c>
      <c r="F8982" s="38" t="n">
        <f aca="false">Sens!$O$8982*(1+Sens!$F$8983)*Sens!$F$8992</f>
        <v>11.5938724610325</v>
      </c>
      <c r="G8982" s="38" t="n">
        <f aca="false">Sens!$E$8982+Sens!$F$8982</f>
        <v>23.1728724610325</v>
      </c>
      <c r="H8982" s="38" t="n">
        <f aca="false">Sens!$G$8982*(1+Sens!$H$8983)</f>
        <v>24.353392759506</v>
      </c>
      <c r="I8982" s="38" t="n">
        <f aca="false">Sens!$H$8982*(1+Sens!$I$8983)</f>
        <v>25.4240338872015</v>
      </c>
      <c r="J8982" s="38" t="n">
        <f aca="false">Sens!$I$8982*(1+Sens!$J$8983)</f>
        <v>26.3642491017174</v>
      </c>
      <c r="K8982" s="38" t="n">
        <f aca="false">Sens!$J$8982*(1+Sens!$K$8983)</f>
        <v>27.155176574769</v>
      </c>
      <c r="L8982" s="38" t="n">
        <f aca="false">Sens!$K$8982*(1+Sens!$L$8983)</f>
        <v>27.969831872012</v>
      </c>
      <c r="M8982" s="38" t="n">
        <f aca="false">Sens!$L$8982*(1+Sens!$M$8983)</f>
        <v>28.8089268281724</v>
      </c>
      <c r="N8982" s="38" t="n">
        <f aca="false">Q!$N$11</f>
        <v>11.128</v>
      </c>
      <c r="O8982" s="38" t="n">
        <f aca="false">Q!$O$11</f>
        <v>11.433</v>
      </c>
      <c r="P8982" s="8" t="s">
        <v>661</v>
      </c>
    </row>
    <row r="8983" customFormat="false" ht="17.15" hidden="false" customHeight="false" outlineLevel="0" collapsed="false">
      <c r="A8983" s="0" t="s">
        <v>664</v>
      </c>
      <c r="B8983" s="0" t="s">
        <v>52</v>
      </c>
      <c r="E8983" s="13" t="n">
        <f aca="false">Sens!$E$8982/Sens!$N$8982-1</f>
        <v>0.0405283968368082</v>
      </c>
      <c r="F8983" s="13" t="n">
        <f aca="false">Sens!$O$8982/(Q!$F$11+Q!$G$11)-1</f>
        <v>0.0579254187100955</v>
      </c>
      <c r="G8983" s="13" t="n">
        <f aca="false">Sens!$G$8982/Sens!$D$8982-1</f>
        <v>0.0271208040881397</v>
      </c>
      <c r="H8983" s="13" t="n">
        <f aca="false">Sens!$F$8983+(g_ps-Sens!$F$8983)*1/4</f>
        <v>0.0509440640325716</v>
      </c>
      <c r="I8983" s="13" t="n">
        <f aca="false">Sens!$F$8983+(g_ps-Sens!$F$8983)*2/4</f>
        <v>0.0439627093550477</v>
      </c>
      <c r="J8983" s="13" t="n">
        <f aca="false">Sens!$F$8983+(g_ps-Sens!$F$8983)*3/4</f>
        <v>0.0369813546775239</v>
      </c>
      <c r="K8983" s="13" t="n">
        <f aca="false">Sens!$F$8983+(g_ps-Sens!$F$8983)*4/4</f>
        <v>0.03</v>
      </c>
      <c r="L8983" s="13" t="n">
        <f aca="false">g_ps</f>
        <v>0.03</v>
      </c>
      <c r="M8983" s="13" t="n">
        <f aca="false">g_ps</f>
        <v>0.03</v>
      </c>
      <c r="P8983" s="8" t="s">
        <v>665</v>
      </c>
    </row>
    <row r="8984" customFormat="false" ht="17.15" hidden="false" customHeight="false" outlineLevel="0" collapsed="false">
      <c r="A8984" s="0" t="s">
        <v>518</v>
      </c>
      <c r="B8984" s="0" t="s">
        <v>86</v>
      </c>
      <c r="C8984" s="38" t="n">
        <f aca="false">Q!$D$12</f>
        <v>156.146</v>
      </c>
      <c r="D8984" s="38" t="n">
        <f aca="false">Q!$E$12</f>
        <v>172.162</v>
      </c>
      <c r="E8984" s="38" t="n">
        <f aca="false">Q!$P$12</f>
        <v>88.358</v>
      </c>
      <c r="F8984" s="38" t="n">
        <f aca="false">Sens!$O$8984*(1+Sens!$F$8985)*Sens!$F$8992</f>
        <v>102.004388260171</v>
      </c>
      <c r="G8984" s="38" t="n">
        <f aca="false">Sens!$E$8984+Sens!$F$8984</f>
        <v>190.362388260171</v>
      </c>
      <c r="H8984" s="38" t="n">
        <f aca="false">Sens!$G$8984*(1+Sens!$H$8985)</f>
        <v>210.343106588311</v>
      </c>
      <c r="I8984" s="38" t="n">
        <f aca="false">Sens!$H$8984*(1+Sens!$I$8985)</f>
        <v>229.969728494648</v>
      </c>
      <c r="J8984" s="38" t="n">
        <f aca="false">Sens!$I$8984*(1+Sens!$J$8985)</f>
        <v>248.747636972598</v>
      </c>
      <c r="K8984" s="38" t="n">
        <f aca="false">Sens!$J$8984*(1+Sens!$K$8985)</f>
        <v>266.15997156068</v>
      </c>
      <c r="L8984" s="38" t="n">
        <f aca="false">Sens!$K$8984*(1+Sens!$L$8985)</f>
        <v>284.791169569927</v>
      </c>
      <c r="M8984" s="38" t="n">
        <f aca="false">Sens!$L$8984*(1+Sens!$M$8985)</f>
        <v>304.726551439822</v>
      </c>
      <c r="N8984" s="38" t="n">
        <f aca="false">Q!$N$12</f>
        <v>76.86</v>
      </c>
      <c r="O8984" s="38" t="n">
        <f aca="false">Q!$O$12</f>
        <v>95.302</v>
      </c>
      <c r="P8984" s="8" t="s">
        <v>661</v>
      </c>
    </row>
    <row r="8985" customFormat="false" ht="17.15" hidden="false" customHeight="false" outlineLevel="0" collapsed="false">
      <c r="A8985" s="0" t="s">
        <v>666</v>
      </c>
      <c r="B8985" s="0" t="s">
        <v>52</v>
      </c>
      <c r="E8985" s="13" t="n">
        <f aca="false">Sens!$E$8984/Sens!$N$8984-1</f>
        <v>0.1495966692688</v>
      </c>
      <c r="F8985" s="13" t="n">
        <f aca="false">Sens!$O$8984/(Q!$F$12+Q!$G$12)-1</f>
        <v>0.11661530890813</v>
      </c>
      <c r="G8985" s="13" t="n">
        <f aca="false">Sens!$G$8984/Sens!$D$8984-1</f>
        <v>0.105716640490767</v>
      </c>
      <c r="H8985" s="13" t="n">
        <f aca="false">Sens!$F$8985+(g_sp-Sens!$F$8985)*1/4</f>
        <v>0.104961481681098</v>
      </c>
      <c r="I8985" s="13" t="n">
        <f aca="false">Sens!$F$8985+(g_sp-Sens!$F$8985)*2/4</f>
        <v>0.0933076544540651</v>
      </c>
      <c r="J8985" s="13" t="n">
        <f aca="false">Sens!$F$8985+(g_sp-Sens!$F$8985)*3/4</f>
        <v>0.0816538272270325</v>
      </c>
      <c r="K8985" s="13" t="n">
        <f aca="false">Sens!$F$8985+(g_sp-Sens!$F$8985)*4/4</f>
        <v>0.07</v>
      </c>
      <c r="L8985" s="13" t="n">
        <f aca="false">g_sp</f>
        <v>0.07</v>
      </c>
      <c r="M8985" s="13" t="n">
        <f aca="false">g_sp</f>
        <v>0.07</v>
      </c>
      <c r="P8985" s="8" t="s">
        <v>667</v>
      </c>
    </row>
    <row r="8986" customFormat="false" ht="17.15" hidden="false" customHeight="false" outlineLevel="0" collapsed="false">
      <c r="A8986" s="0" t="s">
        <v>519</v>
      </c>
      <c r="B8986" s="0" t="s">
        <v>86</v>
      </c>
      <c r="C8986" s="38" t="n">
        <f aca="false">Q!$D$13</f>
        <v>56.214</v>
      </c>
      <c r="D8986" s="38" t="n">
        <f aca="false">Q!$E$13</f>
        <v>68.635</v>
      </c>
      <c r="E8986" s="38" t="n">
        <f aca="false">Q!$P$13</f>
        <v>37.052</v>
      </c>
      <c r="F8986" s="38" t="n">
        <f aca="false">Sens!$O$8986*(1+Sens!$F$8987)*Sens!$F$8992</f>
        <v>46.1572219944148</v>
      </c>
      <c r="G8986" s="38" t="n">
        <f aca="false">Sens!$E$8986+Sens!$F$8986</f>
        <v>83.2092219944148</v>
      </c>
      <c r="H8986" s="38" t="n">
        <f aca="false">Sens!$G$8986*(1+Sens!$H$8987)</f>
        <v>99.8969223878976</v>
      </c>
      <c r="I8986" s="38" t="n">
        <f aca="false">Sens!$H$8986*(1+Sens!$I$8987)</f>
        <v>116.583111095496</v>
      </c>
      <c r="J8986" s="38" t="n">
        <f aca="false">Sens!$I$8986*(1+Sens!$J$8987)</f>
        <v>132.148941941952</v>
      </c>
      <c r="K8986" s="38" t="n">
        <f aca="false">Sens!$J$8986*(1+Sens!$K$8987)</f>
        <v>145.363836136147</v>
      </c>
      <c r="L8986" s="38" t="n">
        <f aca="false">Sens!$K$8986*(1+Sens!$L$8987)</f>
        <v>159.900219749762</v>
      </c>
      <c r="M8986" s="38" t="n">
        <f aca="false">Sens!$L$8986*(1+Sens!$M$8987)</f>
        <v>175.890241724738</v>
      </c>
      <c r="N8986" s="38" t="n">
        <f aca="false">Q!$N$13</f>
        <v>29.615</v>
      </c>
      <c r="O8986" s="38" t="n">
        <f aca="false">Q!$O$13</f>
        <v>39.02</v>
      </c>
      <c r="P8986" s="8" t="s">
        <v>661</v>
      </c>
    </row>
    <row r="8987" customFormat="false" ht="17.15" hidden="false" customHeight="false" outlineLevel="0" collapsed="false">
      <c r="A8987" s="0" t="s">
        <v>668</v>
      </c>
      <c r="B8987" s="0" t="s">
        <v>52</v>
      </c>
      <c r="E8987" s="13" t="n">
        <f aca="false">Sens!$E$8986/Sens!$N$8986-1</f>
        <v>0.25112274185379</v>
      </c>
      <c r="F8987" s="13" t="n">
        <f aca="false">Sens!$O$8986/(Q!$F$13+Q!$G$13)-1</f>
        <v>0.234068123596572</v>
      </c>
      <c r="G8987" s="13" t="n">
        <f aca="false">Sens!$G$8986/Sens!$D$8986-1</f>
        <v>0.212343876949294</v>
      </c>
      <c r="H8987" s="13" t="n">
        <f aca="false">Sens!$F$8987+(g_ad-Sens!$F$8987)*1/4</f>
        <v>0.200551092697429</v>
      </c>
      <c r="I8987" s="13" t="n">
        <f aca="false">Sens!$F$8987+(g_ad-Sens!$F$8987)*2/4</f>
        <v>0.167034061798286</v>
      </c>
      <c r="J8987" s="13" t="n">
        <f aca="false">Sens!$F$8987+(g_ad-Sens!$F$8987)*3/4</f>
        <v>0.133517030899143</v>
      </c>
      <c r="K8987" s="13" t="n">
        <f aca="false">Sens!$F$8987+(g_ad-Sens!$F$8987)*4/4</f>
        <v>0.1</v>
      </c>
      <c r="L8987" s="13" t="n">
        <f aca="false">g_ad</f>
        <v>0.1</v>
      </c>
      <c r="M8987" s="13" t="n">
        <f aca="false">g_ad</f>
        <v>0.1</v>
      </c>
      <c r="P8987" s="8" t="s">
        <v>669</v>
      </c>
    </row>
    <row r="8988" customFormat="false" ht="17.15" hidden="false" customHeight="false" outlineLevel="0" collapsed="false">
      <c r="A8988" s="0" t="s">
        <v>520</v>
      </c>
      <c r="B8988" s="0" t="s">
        <v>86</v>
      </c>
      <c r="C8988" s="38" t="n">
        <f aca="false">Q!$D$14</f>
        <v>44.374</v>
      </c>
      <c r="D8988" s="38" t="n">
        <f aca="false">Q!$E$14</f>
        <v>49.619</v>
      </c>
      <c r="E8988" s="38" t="n">
        <f aca="false">Q!$P$14</f>
        <v>27.157</v>
      </c>
      <c r="F8988" s="38" t="n">
        <f aca="false">Sens!$O$8988*(1+Sens!$F$8989)*Sens!$F$8992</f>
        <v>27.7764165988154</v>
      </c>
      <c r="G8988" s="38" t="n">
        <f aca="false">Sens!$E$8988+Sens!$F$8988</f>
        <v>54.9334165988154</v>
      </c>
      <c r="H8988" s="38" t="n">
        <f aca="false">Sens!$G$8988*(1+Sens!$H$8989)</f>
        <v>61.1564112561829</v>
      </c>
      <c r="I8988" s="38" t="n">
        <f aca="false">Sens!$H$8988*(1+Sens!$I$8989)</f>
        <v>67.2020282103945</v>
      </c>
      <c r="J8988" s="38" t="n">
        <f aca="false">Sens!$I$8988*(1+Sens!$J$8989)</f>
        <v>72.8757274028885</v>
      </c>
      <c r="K8988" s="38" t="n">
        <f aca="false">Sens!$J$8988*(1+Sens!$K$8989)</f>
        <v>77.9770283210907</v>
      </c>
      <c r="L8988" s="38" t="n">
        <f aca="false">Sens!$K$8988*(1+Sens!$L$8989)</f>
        <v>83.4354203035671</v>
      </c>
      <c r="M8988" s="38" t="n">
        <f aca="false">Sens!$L$8988*(1+Sens!$M$8989)</f>
        <v>89.2758997248168</v>
      </c>
      <c r="N8988" s="38" t="n">
        <f aca="false">Q!$N$14</f>
        <v>23.923</v>
      </c>
      <c r="O8988" s="38" t="n">
        <f aca="false">Q!$O$14</f>
        <v>25.696</v>
      </c>
      <c r="P8988" s="8" t="s">
        <v>661</v>
      </c>
    </row>
    <row r="8989" customFormat="false" ht="17.15" hidden="false" customHeight="false" outlineLevel="0" collapsed="false">
      <c r="A8989" s="0" t="s">
        <v>670</v>
      </c>
      <c r="B8989" s="0" t="s">
        <v>52</v>
      </c>
      <c r="E8989" s="13" t="n">
        <f aca="false">Sens!$E$8988/Sens!$N$8988-1</f>
        <v>0.135183714417088</v>
      </c>
      <c r="F8989" s="13" t="n">
        <f aca="false">Sens!$O$8988/(Q!$F$14+Q!$G$14)-1</f>
        <v>0.127709997366804</v>
      </c>
      <c r="G8989" s="13" t="n">
        <f aca="false">Sens!$G$8988/Sens!$D$8988-1</f>
        <v>0.107104468022641</v>
      </c>
      <c r="H8989" s="13" t="n">
        <f aca="false">Sens!$F$8989+(g_sub-Sens!$F$8989)*1/4</f>
        <v>0.113282498025103</v>
      </c>
      <c r="I8989" s="13" t="n">
        <f aca="false">Sens!$F$8989+(g_sub-Sens!$F$8989)*2/4</f>
        <v>0.0988549986834021</v>
      </c>
      <c r="J8989" s="13" t="n">
        <f aca="false">Sens!$F$8989+(g_sub-Sens!$F$8989)*3/4</f>
        <v>0.084427499341701</v>
      </c>
      <c r="K8989" s="13" t="n">
        <f aca="false">Sens!$F$8989+(g_sub-Sens!$F$8989)*4/4</f>
        <v>0.07</v>
      </c>
      <c r="L8989" s="13" t="n">
        <f aca="false">g_sub</f>
        <v>0.07</v>
      </c>
      <c r="M8989" s="13" t="n">
        <f aca="false">g_sub</f>
        <v>0.07</v>
      </c>
      <c r="P8989" s="8" t="s">
        <v>671</v>
      </c>
    </row>
    <row r="8990" customFormat="false" ht="17.15" hidden="false" customHeight="false" outlineLevel="0" collapsed="false">
      <c r="A8990" s="0" t="s">
        <v>521</v>
      </c>
      <c r="B8990" s="0" t="s">
        <v>86</v>
      </c>
      <c r="C8990" s="38" t="n">
        <f aca="false">Q!$D$15</f>
        <v>5.425</v>
      </c>
      <c r="D8990" s="38" t="n">
        <f aca="false">Q!$E$15</f>
        <v>5.935</v>
      </c>
      <c r="E8990" s="38" t="n">
        <f aca="false">Q!$P$15</f>
        <v>3.474</v>
      </c>
      <c r="F8990" s="38" t="n">
        <f aca="false">Sens!$O$8990*(1+Sens!$F$8991)*Sens!$F$8992</f>
        <v>3.22246550883619</v>
      </c>
      <c r="G8990" s="38" t="n">
        <f aca="false">Sens!$E$8990+Sens!$F$8990</f>
        <v>6.69646550883619</v>
      </c>
      <c r="H8990" s="38" t="n">
        <f aca="false">Sens!$G$8990*(1+Sens!$H$8991)</f>
        <v>7.16251344209196</v>
      </c>
      <c r="I8990" s="38" t="n">
        <f aca="false">Sens!$H$8990*(1+Sens!$I$8991)</f>
        <v>7.61421070299826</v>
      </c>
      <c r="J8990" s="38" t="n">
        <f aca="false">Sens!$I$8990*(1+Sens!$J$8991)</f>
        <v>8.04465753523932</v>
      </c>
      <c r="K8990" s="38" t="n">
        <f aca="false">Sens!$J$8990*(1+Sens!$K$8991)</f>
        <v>8.44689041200128</v>
      </c>
      <c r="L8990" s="38" t="n">
        <f aca="false">Sens!$K$8990*(1+Sens!$L$8991)</f>
        <v>8.86923493260135</v>
      </c>
      <c r="M8990" s="38" t="n">
        <f aca="false">Sens!$L$8990*(1+Sens!$M$8991)</f>
        <v>9.31269667923142</v>
      </c>
      <c r="N8990" s="38" t="n">
        <f aca="false">Q!$N$15</f>
        <v>2.811</v>
      </c>
      <c r="O8990" s="38" t="n">
        <f aca="false">Q!$O$15</f>
        <v>3.124</v>
      </c>
      <c r="P8990" s="8" t="s">
        <v>661</v>
      </c>
    </row>
    <row r="8991" customFormat="false" ht="17.15" hidden="false" customHeight="false" outlineLevel="0" collapsed="false">
      <c r="A8991" s="0" t="s">
        <v>672</v>
      </c>
      <c r="B8991" s="0" t="s">
        <v>52</v>
      </c>
      <c r="E8991" s="13" t="n">
        <f aca="false">Sens!$E$8990/Sens!$N$8990-1</f>
        <v>0.235859124866596</v>
      </c>
      <c r="F8991" s="13" t="n">
        <f aca="false">Sens!$O$8990/(Q!$F$15+Q!$G$15)-1</f>
        <v>0.0761281433000345</v>
      </c>
      <c r="G8991" s="13" t="n">
        <f aca="false">Sens!$G$8990/Sens!$D$8990-1</f>
        <v>0.128300843948811</v>
      </c>
      <c r="H8991" s="13" t="n">
        <f aca="false">Sens!$F$8991+(g_ot-Sens!$F$8991)*1/4</f>
        <v>0.0695961074750259</v>
      </c>
      <c r="I8991" s="13" t="n">
        <f aca="false">Sens!$F$8991+(g_ot-Sens!$F$8991)*2/4</f>
        <v>0.0630640716500172</v>
      </c>
      <c r="J8991" s="13" t="n">
        <f aca="false">Sens!$F$8991+(g_ot-Sens!$F$8991)*3/4</f>
        <v>0.0565320358250086</v>
      </c>
      <c r="K8991" s="13" t="n">
        <f aca="false">Sens!$F$8991+(g_ot-Sens!$F$8991)*4/4</f>
        <v>0.05</v>
      </c>
      <c r="L8991" s="13" t="n">
        <f aca="false">g_ot</f>
        <v>0.05</v>
      </c>
      <c r="M8991" s="13" t="n">
        <f aca="false">g_ot</f>
        <v>0.05</v>
      </c>
      <c r="P8991" s="8" t="s">
        <v>673</v>
      </c>
    </row>
    <row r="8992" customFormat="false" ht="17.15" hidden="false" customHeight="false" outlineLevel="0" collapsed="false">
      <c r="A8992" s="0" t="s">
        <v>674</v>
      </c>
      <c r="B8992" s="0" t="s">
        <v>57</v>
      </c>
      <c r="F8992" s="40" t="n">
        <f aca="false">(g26q3_mid*Q!$O$8/Q!$J$8-Sens!$F$9021-Sens!$F$9025)/(Sens!$O$8980*(1+Sens!$F$8981)+Sens!$O$8982*(1+Sens!$F$8983)+Sens!$O$8984*(1+Sens!$F$8985)+Sens!$O$8986*(1+Sens!$F$8987)+Sens!$O$8988*(1+Sens!$F$8989)+Sens!$O$8990*(1+Sens!$F$8991))</f>
        <v>0.958546670622329</v>
      </c>
      <c r="P8992" s="8" t="s">
        <v>675</v>
      </c>
    </row>
    <row r="8993" customFormat="false" ht="17.15" hidden="false" customHeight="false" outlineLevel="0" collapsed="false">
      <c r="A8993" s="3" t="s">
        <v>676</v>
      </c>
      <c r="B8993" s="8" t="s">
        <v>86</v>
      </c>
      <c r="C8993" s="38" t="n">
        <f aca="false">Sens!$C$8980+Sens!$C$8982+Sens!$C$8984+Sens!$C$8986+Sens!$C$8988+Sens!$C$8990</f>
        <v>530.403</v>
      </c>
      <c r="D8993" s="38" t="n">
        <f aca="false">Sens!$D$8980+Sens!$D$8982+Sens!$D$8984+Sens!$D$8986+Sens!$D$8988+Sens!$D$8990</f>
        <v>588.199</v>
      </c>
      <c r="E8993" s="38" t="n">
        <f aca="false">Sens!$E$8980+Sens!$E$8982+Sens!$E$8984+Sens!$E$8986+Sens!$E$8988+Sens!$E$8990</f>
        <v>302.306</v>
      </c>
      <c r="F8993" s="38" t="n">
        <f aca="false">Sens!$F$8980+Sens!$F$8982+Sens!$F$8984+Sens!$F$8986+Sens!$F$8988+Sens!$F$8990</f>
        <v>349.048241645537</v>
      </c>
      <c r="G8993" s="38" t="n">
        <f aca="false">Sens!$G$8980+Sens!$G$8982+Sens!$G$8984+Sens!$G$8986+Sens!$G$8988+Sens!$G$8990</f>
        <v>651.354241645537</v>
      </c>
      <c r="H8993" s="38" t="n">
        <f aca="false">Sens!$H$8980+Sens!$H$8982+Sens!$H$8984+Sens!$H$8986+Sens!$H$8988+Sens!$H$8990</f>
        <v>721.096889521386</v>
      </c>
      <c r="I8993" s="38" t="n">
        <f aca="false">Sens!$I$8980+Sens!$I$8982+Sens!$I$8984+Sens!$I$8986+Sens!$I$8988+Sens!$I$8990</f>
        <v>788.529391152531</v>
      </c>
      <c r="J8993" s="38" t="n">
        <f aca="false">Sens!$J$8980+Sens!$J$8982+Sens!$J$8984+Sens!$J$8986+Sens!$J$8988+Sens!$J$8990</f>
        <v>851.108405741443</v>
      </c>
      <c r="K8993" s="38" t="n">
        <f aca="false">Sens!$K$8980+Sens!$K$8982+Sens!$K$8984+Sens!$K$8986+Sens!$K$8988+Sens!$K$8990</f>
        <v>906.176455431088</v>
      </c>
      <c r="L8993" s="38" t="n">
        <f aca="false">Sens!$L$8980+Sens!$L$8982+Sens!$L$8984+Sens!$L$8986+Sens!$L$8988+Sens!$L$8990</f>
        <v>965.093106475589</v>
      </c>
      <c r="M8993" s="38" t="n">
        <f aca="false">Sens!$M$8980+Sens!$M$8982+Sens!$M$8984+Sens!$M$8986+Sens!$M$8988+Sens!$M$8990</f>
        <v>1028.14790794689</v>
      </c>
      <c r="N8993" s="38" t="n">
        <f aca="false">Sens!$N$8980+Sens!$N$8982+Sens!$N$8984+Sens!$N$8986+Sens!$N$8988+Sens!$N$8990</f>
        <v>263.229</v>
      </c>
      <c r="O8993" s="38" t="n">
        <f aca="false">Sens!$O$8980+Sens!$O$8982+Sens!$O$8984+Sens!$O$8986+Sens!$O$8988+Sens!$O$8990</f>
        <v>324.97</v>
      </c>
    </row>
    <row r="8994" customFormat="false" ht="17.15" hidden="false" customHeight="false" outlineLevel="0" collapsed="false">
      <c r="A8994" s="5" t="s">
        <v>677</v>
      </c>
      <c r="B8994" s="0" t="s">
        <v>52</v>
      </c>
      <c r="C8994" s="13" t="n">
        <f aca="false">Q!$D$5/(Q!$D$5+Q!$D$6)</f>
        <v>0.730570905519011</v>
      </c>
      <c r="D8994" s="13" t="n">
        <f aca="false">Q!$E$5/(Q!$E$5+Q!$E$6)</f>
        <v>0.724763217890544</v>
      </c>
      <c r="E8994" s="13" t="n">
        <f aca="false">Q!$P$5/(Q!$P$5+Q!$P$6)</f>
        <v>0.728797972914861</v>
      </c>
      <c r="F8994" s="13" t="n">
        <f aca="false">Sens!$O$8994</f>
        <v>0.718066283041511</v>
      </c>
      <c r="G8994" s="13" t="n">
        <f aca="false">Sens!$G$8995/Sens!$G$8993</f>
        <v>0.723047066202847</v>
      </c>
      <c r="H8994" s="13" t="n">
        <f aca="false">Sens!$G$8994</f>
        <v>0.723047066202847</v>
      </c>
      <c r="I8994" s="13" t="n">
        <f aca="false">Sens!$G$8994</f>
        <v>0.723047066202847</v>
      </c>
      <c r="J8994" s="13" t="n">
        <f aca="false">Sens!$G$8994</f>
        <v>0.723047066202847</v>
      </c>
      <c r="K8994" s="13" t="n">
        <f aca="false">Sens!$G$8994</f>
        <v>0.723047066202847</v>
      </c>
      <c r="L8994" s="13" t="n">
        <f aca="false">Sens!$G$8994</f>
        <v>0.723047066202847</v>
      </c>
      <c r="M8994" s="13" t="n">
        <f aca="false">Sens!$G$8994</f>
        <v>0.723047066202847</v>
      </c>
      <c r="N8994" s="13" t="n">
        <f aca="false">Q!$N$5/(Q!$N$5+Q!$N$6)</f>
        <v>0.733030935041352</v>
      </c>
      <c r="O8994" s="13" t="n">
        <f aca="false">Q!$O$5/(Q!$O$5+Q!$O$6)</f>
        <v>0.718066283041511</v>
      </c>
      <c r="P8994" s="8" t="s">
        <v>678</v>
      </c>
    </row>
    <row r="8995" customFormat="false" ht="17.15" hidden="false" customHeight="false" outlineLevel="0" collapsed="false">
      <c r="A8995" s="1" t="s">
        <v>509</v>
      </c>
      <c r="B8995" s="8" t="s">
        <v>86</v>
      </c>
      <c r="C8995" s="38" t="n">
        <f aca="false">Q!$D$5</f>
        <v>387.497</v>
      </c>
      <c r="D8995" s="38" t="n">
        <f aca="false">Q!$E$5</f>
        <v>426.305</v>
      </c>
      <c r="E8995" s="38" t="n">
        <f aca="false">Q!$P$5</f>
        <v>220.32</v>
      </c>
      <c r="F8995" s="38" t="n">
        <f aca="false">Sens!$F$8993*Sens!$F$8994</f>
        <v>250.639773480586</v>
      </c>
      <c r="G8995" s="38" t="n">
        <f aca="false">Sens!$E$8995+Sens!$F$8995</f>
        <v>470.959773480586</v>
      </c>
      <c r="H8995" s="38" t="n">
        <f aca="false">Sens!$H$8993*Sens!$H$8994</f>
        <v>521.386990416437</v>
      </c>
      <c r="I8995" s="38" t="n">
        <f aca="false">Sens!$I$8993*Sens!$I$8994</f>
        <v>570.143862887555</v>
      </c>
      <c r="J8995" s="38" t="n">
        <f aca="false">Sens!$J$8993*Sens!$J$8994</f>
        <v>615.391435791933</v>
      </c>
      <c r="K8995" s="38" t="n">
        <f aca="false">Sens!$K$8993*Sens!$K$8994</f>
        <v>655.208227561543</v>
      </c>
      <c r="L8995" s="38" t="n">
        <f aca="false">Sens!$L$8993*Sens!$L$8994</f>
        <v>697.807739249767</v>
      </c>
      <c r="M8995" s="38" t="n">
        <f aca="false">Sens!$M$8993*Sens!$M$8994</f>
        <v>743.399328463592</v>
      </c>
      <c r="N8995" s="38" t="n">
        <f aca="false">Q!$N$5</f>
        <v>192.955</v>
      </c>
      <c r="O8995" s="38" t="n">
        <f aca="false">Q!$O$5</f>
        <v>233.35</v>
      </c>
      <c r="P8995" s="5" t="s">
        <v>679</v>
      </c>
    </row>
    <row r="8996" customFormat="false" ht="17.15" hidden="false" customHeight="false" outlineLevel="0" collapsed="false">
      <c r="A8996" s="1" t="s">
        <v>512</v>
      </c>
      <c r="B8996" s="8" t="s">
        <v>86</v>
      </c>
      <c r="C8996" s="38" t="n">
        <f aca="false">Q!$D$6</f>
        <v>142.906</v>
      </c>
      <c r="D8996" s="38" t="n">
        <f aca="false">Q!$E$6</f>
        <v>161.894</v>
      </c>
      <c r="E8996" s="38" t="n">
        <f aca="false">Q!$P$6</f>
        <v>81.986</v>
      </c>
      <c r="F8996" s="38" t="n">
        <f aca="false">Sens!$F$8993*(1-Sens!$F$8994)</f>
        <v>98.408468164951</v>
      </c>
      <c r="G8996" s="38" t="n">
        <f aca="false">Sens!$E$8996+Sens!$F$8996</f>
        <v>180.394468164951</v>
      </c>
      <c r="H8996" s="38" t="n">
        <f aca="false">Sens!$H$8993*(1-Sens!$H$8994)</f>
        <v>199.709899104949</v>
      </c>
      <c r="I8996" s="38" t="n">
        <f aca="false">Sens!$I$8993*(1-Sens!$I$8994)</f>
        <v>218.385528264976</v>
      </c>
      <c r="J8996" s="38" t="n">
        <f aca="false">Sens!$J$8993*(1-Sens!$J$8994)</f>
        <v>235.71696994951</v>
      </c>
      <c r="K8996" s="38" t="n">
        <f aca="false">Sens!$K$8993*(1-Sens!$K$8994)</f>
        <v>250.968227869545</v>
      </c>
      <c r="L8996" s="38" t="n">
        <f aca="false">Sens!$L$8993*(1-Sens!$L$8994)</f>
        <v>267.285367225822</v>
      </c>
      <c r="M8996" s="38" t="n">
        <f aca="false">Sens!$M$8993*(1-Sens!$M$8994)</f>
        <v>284.748579483295</v>
      </c>
      <c r="N8996" s="38" t="n">
        <f aca="false">Q!$N$6</f>
        <v>70.274</v>
      </c>
      <c r="O8996" s="38" t="n">
        <f aca="false">Q!$O$6</f>
        <v>91.62</v>
      </c>
      <c r="P8996" s="5" t="s">
        <v>680</v>
      </c>
    </row>
    <row r="8997" customFormat="false" ht="17.15" hidden="false" customHeight="false" outlineLevel="0" collapsed="false">
      <c r="A8997" s="5" t="s">
        <v>681</v>
      </c>
      <c r="B8997" s="0" t="s">
        <v>86</v>
      </c>
      <c r="C8997" s="38" t="n">
        <f aca="false">Sens!$C$8986*Sens!$C$8994</f>
        <v>41.0683128828457</v>
      </c>
      <c r="D8997" s="38" t="n">
        <f aca="false">Sens!$D$8986*Sens!$D$8994</f>
        <v>49.7441234599175</v>
      </c>
      <c r="E8997" s="38" t="n">
        <f aca="false">Sens!$E$8986*Sens!$E$8994</f>
        <v>27.0034224924414</v>
      </c>
      <c r="F8997" s="38" t="n">
        <f aca="false">Sens!$F$8986*Sens!$F$8994</f>
        <v>33.1439448330513</v>
      </c>
      <c r="G8997" s="38" t="n">
        <f aca="false">Sens!$G$8986*Sens!$G$8994</f>
        <v>60.164183844083</v>
      </c>
      <c r="H8997" s="38" t="n">
        <f aca="false">Sens!$H$8986*Sens!$H$8994</f>
        <v>72.2301766552629</v>
      </c>
      <c r="I8997" s="38" t="n">
        <f aca="false">Sens!$I$8986*Sens!$I$8994</f>
        <v>84.2950764463991</v>
      </c>
      <c r="J8997" s="38" t="n">
        <f aca="false">Sens!$J$8986*Sens!$J$8994</f>
        <v>95.5499047729386</v>
      </c>
      <c r="K8997" s="38" t="n">
        <f aca="false">Sens!$K$8986*Sens!$K$8994</f>
        <v>105.104895250232</v>
      </c>
      <c r="L8997" s="38" t="n">
        <f aca="false">Sens!$L$8986*Sens!$L$8994</f>
        <v>115.615384775256</v>
      </c>
      <c r="M8997" s="38" t="n">
        <f aca="false">Sens!$M$8986*Sens!$M$8994</f>
        <v>127.176923252781</v>
      </c>
      <c r="N8997" s="38" t="n">
        <f aca="false">Sens!$N$8986*Sens!$N$8994</f>
        <v>21.7087111412496</v>
      </c>
      <c r="O8997" s="38" t="n">
        <f aca="false">Sens!$O$8986*Sens!$O$8994</f>
        <v>28.0189463642798</v>
      </c>
      <c r="P8997" s="5" t="s">
        <v>682</v>
      </c>
    </row>
    <row r="8998" customFormat="false" ht="15" hidden="false" customHeight="false" outlineLevel="0" collapsed="false">
      <c r="A8998" s="5" t="s">
        <v>683</v>
      </c>
      <c r="B8998" s="0" t="s">
        <v>86</v>
      </c>
      <c r="C8998" s="38" t="n">
        <f aca="false">Sens!$C$8986-Sens!$C$8997</f>
        <v>15.1456871171543</v>
      </c>
      <c r="D8998" s="38" t="n">
        <f aca="false">Sens!$D$8986-Sens!$D$8997</f>
        <v>18.8908765400825</v>
      </c>
      <c r="E8998" s="38" t="n">
        <f aca="false">Sens!$E$8986-Sens!$E$8997</f>
        <v>10.0485775075586</v>
      </c>
      <c r="F8998" s="38" t="n">
        <f aca="false">Sens!$F$8986-Sens!$F$8997</f>
        <v>13.0132771613635</v>
      </c>
      <c r="G8998" s="38" t="n">
        <f aca="false">Sens!$G$8986-Sens!$G$8997</f>
        <v>23.0450381503318</v>
      </c>
      <c r="H8998" s="38" t="n">
        <f aca="false">Sens!$H$8986-Sens!$H$8997</f>
        <v>27.6667457326347</v>
      </c>
      <c r="I8998" s="38" t="n">
        <f aca="false">Sens!$I$8986-Sens!$I$8997</f>
        <v>32.2880346490971</v>
      </c>
      <c r="J8998" s="38" t="n">
        <f aca="false">Sens!$J$8986-Sens!$J$8997</f>
        <v>36.5990371690132</v>
      </c>
      <c r="K8998" s="38" t="n">
        <f aca="false">Sens!$K$8986-Sens!$K$8997</f>
        <v>40.2589408859145</v>
      </c>
      <c r="L8998" s="38" t="n">
        <f aca="false">Sens!$L$8986-Sens!$L$8997</f>
        <v>44.2848349745059</v>
      </c>
      <c r="M8998" s="38" t="n">
        <f aca="false">Sens!$M$8986-Sens!$M$8997</f>
        <v>48.7133184719565</v>
      </c>
      <c r="N8998" s="38" t="n">
        <f aca="false">Sens!$N$8986-Sens!$N$8997</f>
        <v>7.90628885875037</v>
      </c>
      <c r="O8998" s="38" t="n">
        <f aca="false">Sens!$O$8986-Sens!$O$8997</f>
        <v>11.0010536357202</v>
      </c>
    </row>
    <row r="8999" customFormat="false" ht="19.4" hidden="false" customHeight="false" outlineLevel="0" collapsed="false">
      <c r="A8999" s="31" t="s">
        <v>1313</v>
      </c>
    </row>
    <row r="9000" customFormat="false" ht="17.15" hidden="false" customHeight="false" outlineLevel="0" collapsed="false">
      <c r="A9000" s="6" t="s">
        <v>16</v>
      </c>
      <c r="B9000" s="6" t="s">
        <v>17</v>
      </c>
      <c r="C9000" s="20" t="s">
        <v>494</v>
      </c>
      <c r="D9000" s="20" t="s">
        <v>495</v>
      </c>
      <c r="E9000" s="20" t="s">
        <v>577</v>
      </c>
      <c r="F9000" s="20" t="s">
        <v>578</v>
      </c>
      <c r="G9000" s="20" t="s">
        <v>579</v>
      </c>
      <c r="H9000" s="20" t="s">
        <v>580</v>
      </c>
      <c r="I9000" s="20" t="s">
        <v>581</v>
      </c>
      <c r="J9000" s="20" t="s">
        <v>582</v>
      </c>
      <c r="K9000" s="20" t="s">
        <v>583</v>
      </c>
      <c r="L9000" s="20" t="s">
        <v>584</v>
      </c>
      <c r="M9000" s="20" t="s">
        <v>585</v>
      </c>
      <c r="N9000" s="20" t="s">
        <v>586</v>
      </c>
      <c r="O9000" s="20" t="s">
        <v>587</v>
      </c>
      <c r="P9000" s="6" t="s">
        <v>23</v>
      </c>
      <c r="R9000" s="20" t="n">
        <v>2023</v>
      </c>
      <c r="S9000" s="20" t="n">
        <v>2024</v>
      </c>
      <c r="T9000" s="20" t="n">
        <v>2025</v>
      </c>
      <c r="U9000" s="20" t="n">
        <v>2026</v>
      </c>
      <c r="V9000" s="20" t="n">
        <v>2027</v>
      </c>
      <c r="W9000" s="20" t="n">
        <v>2028</v>
      </c>
      <c r="X9000" s="20" t="n">
        <v>2029</v>
      </c>
      <c r="Y9000" s="20" t="n">
        <v>2030</v>
      </c>
      <c r="Z9000" s="20" t="n">
        <v>2031</v>
      </c>
      <c r="AA9000" s="20" t="n">
        <v>2032</v>
      </c>
    </row>
    <row r="9001" customFormat="false" ht="17.15" hidden="false" customHeight="false" outlineLevel="0" collapsed="false">
      <c r="A9001" s="1" t="s">
        <v>588</v>
      </c>
    </row>
    <row r="9002" customFormat="false" ht="17.15" hidden="false" customHeight="false" outlineLevel="0" collapsed="false">
      <c r="A9002" s="5" t="s">
        <v>589</v>
      </c>
      <c r="B9002" s="0" t="s">
        <v>144</v>
      </c>
      <c r="H9002" s="32" t="n">
        <f aca="false">pace_B</f>
        <v>3634.3</v>
      </c>
      <c r="I9002" s="32" t="n">
        <f aca="false">pace_B</f>
        <v>3634.3</v>
      </c>
      <c r="J9002" s="32" t="n">
        <f aca="false">pace_B</f>
        <v>3634.3</v>
      </c>
      <c r="K9002" s="32" t="n">
        <f aca="false">pace_B+(Sens!$J$9003*tg-pace_B)*1/3</f>
        <v>2570.86716666667</v>
      </c>
      <c r="L9002" s="32" t="n">
        <f aca="false">pace_B+(Sens!$J$9003*tg-pace_B)*2/3</f>
        <v>1507.43433333333</v>
      </c>
      <c r="M9002" s="32" t="n">
        <f aca="false">pace_B+(Sens!$J$9003*tg-pace_B)*3/3</f>
        <v>444.0015</v>
      </c>
      <c r="P9002" s="5" t="s">
        <v>590</v>
      </c>
    </row>
    <row r="9003" customFormat="false" ht="17.15" hidden="false" customHeight="false" outlineLevel="0" collapsed="false">
      <c r="A9003" s="15" t="s">
        <v>591</v>
      </c>
      <c r="B9003" s="14" t="s">
        <v>129</v>
      </c>
      <c r="C9003" s="33" t="n">
        <f aca="false">mw_ye24</f>
        <v>360</v>
      </c>
      <c r="D9003" s="33" t="n">
        <f aca="false">mw_ye25</f>
        <v>1440</v>
      </c>
      <c r="E9003" s="33" t="n">
        <f aca="false">mw_open</f>
        <v>2080</v>
      </c>
      <c r="F9003" s="33" t="n">
        <f aca="false">Sens!$E$9003+pace_B*0.5</f>
        <v>3897.15</v>
      </c>
      <c r="G9003" s="33" t="n">
        <f aca="false">Sens!$F$9003</f>
        <v>3897.15</v>
      </c>
      <c r="H9003" s="33" t="n">
        <f aca="false">Sens!$G$9003+Sens!$H$9002</f>
        <v>7531.45</v>
      </c>
      <c r="I9003" s="33" t="n">
        <f aca="false">Sens!$H$9003+Sens!$I$9002</f>
        <v>11165.75</v>
      </c>
      <c r="J9003" s="33" t="n">
        <f aca="false">Sens!$I$9003+Sens!$J$9002</f>
        <v>14800.05</v>
      </c>
      <c r="K9003" s="33" t="n">
        <f aca="false">Sens!$J$9003+Sens!$K$9002</f>
        <v>17370.9171666667</v>
      </c>
      <c r="L9003" s="33" t="n">
        <f aca="false">Sens!$K$9003+Sens!$L$9002</f>
        <v>18878.3515</v>
      </c>
      <c r="M9003" s="33" t="n">
        <f aca="false">Sens!$L$9003+Sens!$M$9002</f>
        <v>19322.353</v>
      </c>
      <c r="N9003" s="33" t="n">
        <f aca="false">(mw_ye24+mw_ye25)/2</f>
        <v>900</v>
      </c>
      <c r="O9003" s="33" t="n">
        <f aca="false">mw_ye25</f>
        <v>1440</v>
      </c>
      <c r="P9003" s="5" t="s">
        <v>592</v>
      </c>
    </row>
    <row r="9004" customFormat="false" ht="17.15" hidden="false" customHeight="false" outlineLevel="0" collapsed="false">
      <c r="A9004" s="5" t="s">
        <v>593</v>
      </c>
      <c r="B9004" s="0" t="s">
        <v>129</v>
      </c>
      <c r="C9004" s="32" t="n">
        <f aca="false">(mw_ye23+mw_ye24)/2</f>
        <v>240</v>
      </c>
      <c r="D9004" s="32" t="n">
        <f aca="false">(Sens!$C$9003+Sens!$D$9003)/2</f>
        <v>900</v>
      </c>
      <c r="E9004" s="32" t="n">
        <f aca="false">(Sens!$D$9003+Sens!$E$9003)/2</f>
        <v>1760</v>
      </c>
      <c r="F9004" s="32" t="n">
        <f aca="false">(Sens!$E$9003+Sens!$F$9003)/2</f>
        <v>2988.575</v>
      </c>
      <c r="G9004" s="32" t="n">
        <f aca="false">(Sens!$E$9004+Sens!$F$9004)/2</f>
        <v>2374.2875</v>
      </c>
      <c r="H9004" s="32" t="n">
        <f aca="false">(Sens!$G$9003+Sens!$H$9003)/2</f>
        <v>5714.3</v>
      </c>
      <c r="I9004" s="32" t="n">
        <f aca="false">(Sens!$H$9003+Sens!$I$9003)/2</f>
        <v>9348.6</v>
      </c>
      <c r="J9004" s="32" t="n">
        <f aca="false">(Sens!$I$9003+Sens!$J$9003)/2</f>
        <v>12982.9</v>
      </c>
      <c r="K9004" s="32" t="n">
        <f aca="false">(Sens!$J$9003+Sens!$K$9003)/2</f>
        <v>16085.4835833333</v>
      </c>
      <c r="L9004" s="32" t="n">
        <f aca="false">(Sens!$K$9003+Sens!$L$9003)/2</f>
        <v>18124.6343333333</v>
      </c>
      <c r="M9004" s="32" t="n">
        <f aca="false">(Sens!$L$9003+Sens!$M$9003)/2</f>
        <v>19100.35225</v>
      </c>
      <c r="N9004" s="32" t="n">
        <f aca="false">(Sens!$C$9003+Sens!$N$9003)/2</f>
        <v>630</v>
      </c>
      <c r="O9004" s="32" t="n">
        <f aca="false">(Sens!$N$9003+Sens!$O$9003)/2</f>
        <v>1170</v>
      </c>
    </row>
    <row r="9005" customFormat="false" ht="15" hidden="false" customHeight="false" outlineLevel="0" collapsed="false">
      <c r="A9005" s="5" t="s">
        <v>594</v>
      </c>
      <c r="B9005" s="5" t="s">
        <v>123</v>
      </c>
      <c r="C9005" s="34" t="n">
        <v>1</v>
      </c>
      <c r="D9005" s="34" t="n">
        <v>1</v>
      </c>
      <c r="E9005" s="34" t="n">
        <v>0.5</v>
      </c>
      <c r="F9005" s="34" t="n">
        <v>0.5</v>
      </c>
      <c r="G9005" s="34" t="n">
        <v>1</v>
      </c>
      <c r="H9005" s="34" t="n">
        <v>1</v>
      </c>
      <c r="I9005" s="34" t="n">
        <v>1</v>
      </c>
      <c r="J9005" s="34" t="n">
        <v>1</v>
      </c>
      <c r="K9005" s="34" t="n">
        <v>1</v>
      </c>
      <c r="L9005" s="34" t="n">
        <v>1</v>
      </c>
      <c r="M9005" s="34" t="n">
        <v>1</v>
      </c>
      <c r="N9005" s="34" t="n">
        <v>0.5</v>
      </c>
      <c r="O9005" s="34" t="n">
        <v>0.5</v>
      </c>
    </row>
    <row r="9006" customFormat="false" ht="17.15" hidden="false" customHeight="false" outlineLevel="0" collapsed="false">
      <c r="A9006" s="5" t="s">
        <v>595</v>
      </c>
      <c r="B9006" s="0" t="s">
        <v>129</v>
      </c>
      <c r="C9006" s="32" t="n">
        <f aca="false">Sens!$C$9003-mw_ye23</f>
        <v>240</v>
      </c>
      <c r="D9006" s="32" t="n">
        <f aca="false">Sens!$D$9003-Sens!$C$9003</f>
        <v>1080</v>
      </c>
      <c r="E9006" s="32" t="n">
        <f aca="false">Sens!$E$9003-Sens!$D$9003</f>
        <v>640</v>
      </c>
      <c r="F9006" s="32" t="n">
        <f aca="false">Sens!$F$9003-Sens!$E$9003</f>
        <v>1817.15</v>
      </c>
      <c r="G9006" s="32" t="n">
        <f aca="false">Sens!$E$9006+Sens!$F$9006</f>
        <v>2457.15</v>
      </c>
      <c r="H9006" s="32" t="n">
        <f aca="false">Sens!$H$9003-Sens!$G$9003</f>
        <v>3634.3</v>
      </c>
      <c r="I9006" s="32" t="n">
        <f aca="false">Sens!$I$9003-Sens!$H$9003</f>
        <v>3634.3</v>
      </c>
      <c r="J9006" s="32" t="n">
        <f aca="false">Sens!$J$9003-Sens!$I$9003</f>
        <v>3634.3</v>
      </c>
      <c r="K9006" s="32" t="n">
        <f aca="false">Sens!$K$9003-Sens!$J$9003</f>
        <v>2570.86716666667</v>
      </c>
      <c r="L9006" s="32" t="n">
        <f aca="false">Sens!$L$9003-Sens!$K$9003</f>
        <v>1507.43433333333</v>
      </c>
      <c r="M9006" s="32" t="n">
        <f aca="false">Sens!$M$9003-Sens!$L$9003</f>
        <v>444.001499999999</v>
      </c>
      <c r="N9006" s="32" t="n">
        <f aca="false">Sens!$N$9003-Sens!$C$9003</f>
        <v>540</v>
      </c>
      <c r="O9006" s="32" t="n">
        <f aca="false">Sens!$O$9003-Sens!$N$9003</f>
        <v>540</v>
      </c>
    </row>
    <row r="9007" customFormat="false" ht="17.15" hidden="false" customHeight="false" outlineLevel="0" collapsed="false">
      <c r="A9007" s="5" t="s">
        <v>596</v>
      </c>
      <c r="B9007" s="0" t="s">
        <v>129</v>
      </c>
      <c r="C9007" s="32" t="n">
        <f aca="false">Sens!$C$9006/ext_sh</f>
        <v>300</v>
      </c>
      <c r="D9007" s="32" t="n">
        <f aca="false">Sens!$D$9006/ext_sh</f>
        <v>1350</v>
      </c>
      <c r="E9007" s="32" t="n">
        <f aca="false">Sens!$E$9006/ext_sh</f>
        <v>800</v>
      </c>
      <c r="F9007" s="32" t="n">
        <f aca="false">Sens!$F$9006/ext_sh</f>
        <v>2271.4375</v>
      </c>
      <c r="G9007" s="32" t="n">
        <f aca="false">Sens!$G$9006/ext_sh</f>
        <v>3071.4375</v>
      </c>
      <c r="H9007" s="32" t="n">
        <f aca="false">Sens!$H$9006/ext_sh</f>
        <v>4542.875</v>
      </c>
      <c r="I9007" s="32" t="n">
        <f aca="false">Sens!$I$9006/ext_sh</f>
        <v>4542.875</v>
      </c>
      <c r="J9007" s="32" t="n">
        <f aca="false">Sens!$J$9006/ext_sh</f>
        <v>4542.875</v>
      </c>
      <c r="K9007" s="32" t="n">
        <f aca="false">Sens!$K$9006/ext_sh</f>
        <v>3213.58395833333</v>
      </c>
      <c r="L9007" s="32" t="n">
        <f aca="false">Sens!$L$9006/ext_sh</f>
        <v>1884.29291666667</v>
      </c>
      <c r="M9007" s="32" t="n">
        <f aca="false">Sens!$M$9006/ext_sh</f>
        <v>555.001874999998</v>
      </c>
      <c r="N9007" s="32" t="n">
        <f aca="false">Sens!$N$9006/ext_sh</f>
        <v>675</v>
      </c>
      <c r="O9007" s="32" t="n">
        <f aca="false">Sens!$O$9006/ext_sh</f>
        <v>675</v>
      </c>
      <c r="P9007" s="8" t="s">
        <v>597</v>
      </c>
      <c r="R9007" s="32" t="n">
        <f aca="false">mw_ye23/ext_sh</f>
        <v>150</v>
      </c>
      <c r="S9007" s="32" t="n">
        <f aca="false">Sens!$C$9007</f>
        <v>300</v>
      </c>
      <c r="T9007" s="32" t="n">
        <f aca="false">Sens!$D$9007</f>
        <v>1350</v>
      </c>
      <c r="U9007" s="32" t="n">
        <f aca="false">Sens!$G$9007</f>
        <v>3071.4375</v>
      </c>
      <c r="V9007" s="32" t="n">
        <f aca="false">Sens!$H$9007</f>
        <v>4542.875</v>
      </c>
      <c r="W9007" s="32" t="n">
        <f aca="false">Sens!$I$9007</f>
        <v>4542.875</v>
      </c>
      <c r="X9007" s="32" t="n">
        <f aca="false">Sens!$J$9007</f>
        <v>4542.875</v>
      </c>
      <c r="Y9007" s="32" t="n">
        <f aca="false">Sens!$K$9007</f>
        <v>3213.58395833333</v>
      </c>
      <c r="Z9007" s="32" t="n">
        <f aca="false">Sens!$L$9007</f>
        <v>1884.29291666667</v>
      </c>
      <c r="AA9007" s="32" t="n">
        <f aca="false">Sens!$M$9007</f>
        <v>555.001874999998</v>
      </c>
    </row>
    <row r="9008" customFormat="false" ht="17.15" hidden="false" customHeight="false" outlineLevel="0" collapsed="false">
      <c r="A9008" s="1" t="s">
        <v>598</v>
      </c>
    </row>
    <row r="9009" customFormat="false" ht="17.15" hidden="false" customHeight="false" outlineLevel="0" collapsed="false">
      <c r="A9009" s="0" t="s">
        <v>599</v>
      </c>
      <c r="B9009" s="0" t="s">
        <v>52</v>
      </c>
      <c r="F9009" s="35" t="n">
        <f aca="false">na_vr26</f>
        <v>0</v>
      </c>
      <c r="G9009" s="35" t="n">
        <f aca="false">na_vr26</f>
        <v>0</v>
      </c>
      <c r="H9009" s="35" t="n">
        <f aca="false">na_vr27</f>
        <v>0.5</v>
      </c>
      <c r="I9009" s="35" t="n">
        <f aca="false">na_vr28</f>
        <v>1</v>
      </c>
      <c r="J9009" s="35" t="n">
        <f aca="false">na_vr28</f>
        <v>1</v>
      </c>
      <c r="K9009" s="35" t="n">
        <f aca="false">na_vr28</f>
        <v>1</v>
      </c>
      <c r="L9009" s="35" t="n">
        <f aca="false">na_vr28</f>
        <v>1</v>
      </c>
      <c r="M9009" s="35" t="n">
        <f aca="false">na_vr28</f>
        <v>1</v>
      </c>
    </row>
    <row r="9010" customFormat="false" ht="17.15" hidden="false" customHeight="false" outlineLevel="0" collapsed="false">
      <c r="A9010" s="5" t="s">
        <v>600</v>
      </c>
      <c r="B9010" s="0" t="s">
        <v>173</v>
      </c>
      <c r="F9010" s="36" t="n">
        <f aca="false">cust_sh*tk_he_gb300*cf_chip+(1-cust_sh)*((1-Sens!$F$9009)*tk_he_gb300+Sens!$F$9009*tk_he_vr200)</f>
        <v>10.8864110021101</v>
      </c>
      <c r="G9010" s="36" t="n">
        <f aca="false">cust_sh*tk_he_gb300*cf_chip+(1-cust_sh)*((1-Sens!$G$9009)*tk_he_gb300+Sens!$G$9009*tk_he_vr200)</f>
        <v>10.8864110021101</v>
      </c>
      <c r="H9010" s="36" t="n">
        <f aca="false">cust_sh*tk_he_gb300*cf_chip+(1-cust_sh)*((1-Sens!$H$9009)*tk_he_gb300+Sens!$H$9009*tk_he_vr200)</f>
        <v>11.2211760027286</v>
      </c>
      <c r="I9010" s="36" t="n">
        <f aca="false">cust_sh*tk_he_gb300*cf_chip+(1-cust_sh)*((1-Sens!$I$9009)*tk_he_gb300+Sens!$I$9009*tk_he_vr200)</f>
        <v>11.5559410033471</v>
      </c>
      <c r="J9010" s="36" t="n">
        <f aca="false">cust_sh*tk_he_gb300*cf_chip+(1-cust_sh)*((1-Sens!$J$9009)*tk_he_gb300+Sens!$J$9009*tk_he_vr200)</f>
        <v>11.5559410033471</v>
      </c>
      <c r="K9010" s="36" t="n">
        <f aca="false">cust_sh*tk_he_gb300*cf_chip+(1-cust_sh)*((1-Sens!$K$9009)*tk_he_gb300+Sens!$K$9009*tk_he_vr200)</f>
        <v>11.5559410033471</v>
      </c>
      <c r="L9010" s="36" t="n">
        <f aca="false">cust_sh*tk_he_gb300*cf_chip+(1-cust_sh)*((1-Sens!$L$9009)*tk_he_gb300+Sens!$L$9009*tk_he_vr200)</f>
        <v>11.5559410033471</v>
      </c>
      <c r="M9010" s="36" t="n">
        <f aca="false">cust_sh*tk_he_gb300*cf_chip+(1-cust_sh)*((1-Sens!$M$9009)*tk_he_gb300+Sens!$M$9009*tk_he_vr200)</f>
        <v>11.5559410033471</v>
      </c>
    </row>
    <row r="9011" customFormat="false" ht="17.15" hidden="false" customHeight="false" outlineLevel="0" collapsed="false">
      <c r="A9011" s="5" t="s">
        <v>601</v>
      </c>
      <c r="B9011" s="0" t="s">
        <v>173</v>
      </c>
      <c r="F9011" s="36" t="n">
        <f aca="false">cust_sh*tk_ox_gb300+(1-cust_sh)*((1-Sens!$F$9009)*tk_ox_gb300+Sens!$F$9009*tk_ox_vr200)</f>
        <v>1.98263481314457</v>
      </c>
      <c r="G9011" s="36" t="n">
        <f aca="false">cust_sh*tk_ox_gb300+(1-cust_sh)*((1-Sens!$G$9009)*tk_ox_gb300+Sens!$G$9009*tk_ox_vr200)</f>
        <v>1.98263481314457</v>
      </c>
      <c r="H9011" s="36" t="n">
        <f aca="false">cust_sh*tk_ox_gb300+(1-cust_sh)*((1-Sens!$H$9009)*tk_ox_gb300+Sens!$H$9009*tk_ox_vr200)</f>
        <v>2.01034999693694</v>
      </c>
      <c r="I9011" s="36" t="n">
        <f aca="false">cust_sh*tk_ox_gb300+(1-cust_sh)*((1-Sens!$I$9009)*tk_ox_gb300+Sens!$I$9009*tk_ox_vr200)</f>
        <v>2.0380651807293</v>
      </c>
      <c r="J9011" s="36" t="n">
        <f aca="false">cust_sh*tk_ox_gb300+(1-cust_sh)*((1-Sens!$J$9009)*tk_ox_gb300+Sens!$J$9009*tk_ox_vr200)</f>
        <v>2.0380651807293</v>
      </c>
      <c r="K9011" s="36" t="n">
        <f aca="false">cust_sh*tk_ox_gb300+(1-cust_sh)*((1-Sens!$K$9009)*tk_ox_gb300+Sens!$K$9009*tk_ox_vr200)</f>
        <v>2.0380651807293</v>
      </c>
      <c r="L9011" s="36" t="n">
        <f aca="false">cust_sh*tk_ox_gb300+(1-cust_sh)*((1-Sens!$L$9009)*tk_ox_gb300+Sens!$L$9009*tk_ox_vr200)</f>
        <v>2.0380651807293</v>
      </c>
      <c r="M9011" s="36" t="n">
        <f aca="false">cust_sh*tk_ox_gb300+(1-cust_sh)*((1-Sens!$M$9009)*tk_ox_gb300+Sens!$M$9009*tk_ox_vr200)</f>
        <v>2.0380651807293</v>
      </c>
    </row>
    <row r="9012" customFormat="false" ht="17.15" hidden="false" customHeight="false" outlineLevel="0" collapsed="false">
      <c r="A9012" s="5" t="s">
        <v>602</v>
      </c>
      <c r="B9012" s="0" t="s">
        <v>192</v>
      </c>
      <c r="F9012" s="36" t="n">
        <f aca="false">cust_sh*tk_cx_gb300*cf_cx+(1-cust_sh)*((1-Sens!$F$9009)*tk_cx_gb300+Sens!$F$9009*tk_cx_vr200)</f>
        <v>32.237224</v>
      </c>
      <c r="G9012" s="36" t="n">
        <f aca="false">cust_sh*tk_cx_gb300*cf_cx+(1-cust_sh)*((1-Sens!$G$9009)*tk_cx_gb300+Sens!$G$9009*tk_cx_vr200)</f>
        <v>32.237224</v>
      </c>
      <c r="H9012" s="36" t="n">
        <f aca="false">cust_sh*tk_cx_gb300*cf_cx+(1-cust_sh)*((1-Sens!$H$9009)*tk_cx_gb300+Sens!$H$9009*tk_cx_vr200)</f>
        <v>33.574506</v>
      </c>
      <c r="I9012" s="36" t="n">
        <f aca="false">cust_sh*tk_cx_gb300*cf_cx+(1-cust_sh)*((1-Sens!$I$9009)*tk_cx_gb300+Sens!$I$9009*tk_cx_vr200)</f>
        <v>34.911788</v>
      </c>
      <c r="J9012" s="36" t="n">
        <f aca="false">cust_sh*tk_cx_gb300*cf_cx+(1-cust_sh)*((1-Sens!$J$9009)*tk_cx_gb300+Sens!$J$9009*tk_cx_vr200)</f>
        <v>34.911788</v>
      </c>
      <c r="K9012" s="36" t="n">
        <f aca="false">cust_sh*tk_cx_gb300*cf_cx+(1-cust_sh)*((1-Sens!$K$9009)*tk_cx_gb300+Sens!$K$9009*tk_cx_vr200)</f>
        <v>34.911788</v>
      </c>
      <c r="L9012" s="36" t="n">
        <f aca="false">cust_sh*tk_cx_gb300*cf_cx+(1-cust_sh)*((1-Sens!$L$9009)*tk_cx_gb300+Sens!$L$9009*tk_cx_vr200)</f>
        <v>34.911788</v>
      </c>
      <c r="M9012" s="36" t="n">
        <f aca="false">cust_sh*tk_cx_gb300*cf_cx+(1-cust_sh)*((1-Sens!$M$9009)*tk_cx_gb300+Sens!$M$9009*tk_cx_vr200)</f>
        <v>34.911788</v>
      </c>
    </row>
    <row r="9013" customFormat="false" ht="17.15" hidden="false" customHeight="false" outlineLevel="0" collapsed="false">
      <c r="A9013" s="5" t="s">
        <v>603</v>
      </c>
      <c r="B9013" s="0" t="s">
        <v>129</v>
      </c>
      <c r="F9013" s="32" t="n">
        <f aca="false">Sens!$F$9003-mw_open</f>
        <v>1817.15</v>
      </c>
      <c r="G9013" s="32" t="n">
        <f aca="false">Sens!$F$9013</f>
        <v>1817.15</v>
      </c>
      <c r="H9013" s="32" t="n">
        <f aca="false">Sens!$H$9003-mw_open</f>
        <v>5451.45</v>
      </c>
      <c r="I9013" s="32" t="n">
        <f aca="false">Sens!$I$9003-mw_open</f>
        <v>9085.75</v>
      </c>
      <c r="J9013" s="32" t="n">
        <f aca="false">Sens!$J$9003-mw_open</f>
        <v>12720.05</v>
      </c>
      <c r="K9013" s="32" t="n">
        <f aca="false">Sens!$K$9003-mw_open</f>
        <v>15290.9171666667</v>
      </c>
      <c r="L9013" s="32" t="n">
        <f aca="false">Sens!$L$9003-mw_open</f>
        <v>16798.3515</v>
      </c>
      <c r="M9013" s="32" t="n">
        <f aca="false">Sens!$M$9003-mw_open</f>
        <v>17242.353</v>
      </c>
    </row>
    <row r="9014" customFormat="false" ht="17.15" hidden="false" customHeight="false" outlineLevel="0" collapsed="false">
      <c r="A9014" s="0" t="s">
        <v>604</v>
      </c>
      <c r="B9014" s="0" t="s">
        <v>605</v>
      </c>
      <c r="F9014" s="32" t="n">
        <f aca="false">Sens!$F$9006*Sens!$F$9010</f>
        <v>19782.2417524844</v>
      </c>
      <c r="G9014" s="32" t="n">
        <f aca="false">Sens!$F$9014</f>
        <v>19782.2417524844</v>
      </c>
      <c r="H9014" s="32" t="n">
        <f aca="false">Sens!$G$9014+Sens!$H$9006*Sens!$H$9010</f>
        <v>60563.3616992009</v>
      </c>
      <c r="I9014" s="32" t="n">
        <f aca="false">Sens!$H$9014+Sens!$I$9006*Sens!$I$9010</f>
        <v>102561.118087665</v>
      </c>
      <c r="J9014" s="32" t="n">
        <f aca="false">Sens!$I$9014+Sens!$J$9006*Sens!$J$9010</f>
        <v>144558.87447613</v>
      </c>
      <c r="K9014" s="32" t="n">
        <f aca="false">Sens!$J$9014+Sens!$K$9006*Sens!$K$9010</f>
        <v>174267.663781572</v>
      </c>
      <c r="L9014" s="32" t="n">
        <f aca="false">Sens!$K$9014+Sens!$L$9006*Sens!$L$9010</f>
        <v>191687.486003992</v>
      </c>
      <c r="M9014" s="32" t="n">
        <f aca="false">Sens!$L$9014+Sens!$M$9006*Sens!$M$9010</f>
        <v>196818.341143389</v>
      </c>
    </row>
    <row r="9015" customFormat="false" ht="17.15" hidden="false" customHeight="false" outlineLevel="0" collapsed="false">
      <c r="A9015" s="0" t="s">
        <v>606</v>
      </c>
      <c r="B9015" s="0" t="s">
        <v>605</v>
      </c>
      <c r="F9015" s="32" t="n">
        <f aca="false">Sens!$F$9006*Sens!$F$9011</f>
        <v>3602.74485070566</v>
      </c>
      <c r="G9015" s="32" t="n">
        <f aca="false">Sens!$F$9015</f>
        <v>3602.74485070566</v>
      </c>
      <c r="H9015" s="32" t="n">
        <f aca="false">Sens!$G$9015+Sens!$H$9006*Sens!$H$9011</f>
        <v>10908.9598445736</v>
      </c>
      <c r="I9015" s="32" t="n">
        <f aca="false">Sens!$H$9015+Sens!$I$9006*Sens!$I$9011</f>
        <v>18315.9001308981</v>
      </c>
      <c r="J9015" s="32" t="n">
        <f aca="false">Sens!$I$9015+Sens!$J$9006*Sens!$J$9011</f>
        <v>25722.8404172225</v>
      </c>
      <c r="K9015" s="32" t="n">
        <f aca="false">Sens!$J$9015+Sens!$K$9006*Sens!$K$9011</f>
        <v>30962.4352738861</v>
      </c>
      <c r="L9015" s="32" t="n">
        <f aca="false">Sens!$K$9015+Sens!$L$9006*Sens!$L$9011</f>
        <v>34034.6847008886</v>
      </c>
      <c r="M9015" s="32" t="n">
        <f aca="false">Sens!$L$9015+Sens!$M$9006*Sens!$M$9011</f>
        <v>34939.5886982302</v>
      </c>
    </row>
    <row r="9016" customFormat="false" ht="17.15" hidden="false" customHeight="false" outlineLevel="0" collapsed="false">
      <c r="A9016" s="5" t="s">
        <v>607</v>
      </c>
      <c r="B9016" s="0" t="s">
        <v>173</v>
      </c>
      <c r="F9016" s="36" t="n">
        <f aca="false">IF(Sens!$F$9013&gt;0,Sens!$F$9014/Sens!$F$9013,Sens!$F$9010)</f>
        <v>10.8864110021101</v>
      </c>
      <c r="G9016" s="36" t="n">
        <f aca="false">IF(Sens!$G$9013&gt;0,Sens!$G$9014/Sens!$G$9013,Sens!$G$9010)</f>
        <v>10.8864110021101</v>
      </c>
      <c r="H9016" s="36" t="n">
        <f aca="false">IF(Sens!$H$9013&gt;0,Sens!$H$9014/Sens!$H$9013,Sens!$H$9010)</f>
        <v>11.1095876691891</v>
      </c>
      <c r="I9016" s="36" t="n">
        <f aca="false">IF(Sens!$I$9013&gt;0,Sens!$I$9014/Sens!$I$9013,Sens!$I$9010)</f>
        <v>11.2881290028523</v>
      </c>
      <c r="J9016" s="36" t="n">
        <f aca="false">IF(Sens!$J$9013&gt;0,Sens!$J$9014/Sens!$J$9013,Sens!$J$9010)</f>
        <v>11.3646467172794</v>
      </c>
      <c r="K9016" s="36" t="n">
        <f aca="false">IF(Sens!$K$9013&gt;0,Sens!$K$9014/Sens!$K$9013,Sens!$K$9010)</f>
        <v>11.3968090914432</v>
      </c>
      <c r="L9016" s="36" t="n">
        <f aca="false">IF(Sens!$L$9013&gt;0,Sens!$L$9014/Sens!$L$9013,Sens!$L$9010)</f>
        <v>11.4110891181192</v>
      </c>
      <c r="M9016" s="36" t="n">
        <f aca="false">IF(Sens!$M$9013&gt;0,Sens!$M$9014/Sens!$M$9013,Sens!$M$9010)</f>
        <v>11.4148191458201</v>
      </c>
    </row>
    <row r="9017" customFormat="false" ht="17.15" hidden="false" customHeight="false" outlineLevel="0" collapsed="false">
      <c r="A9017" s="5" t="s">
        <v>608</v>
      </c>
      <c r="B9017" s="0" t="s">
        <v>173</v>
      </c>
      <c r="F9017" s="36" t="n">
        <f aca="false">IF(Sens!$F$9013&gt;0,Sens!$F$9015/Sens!$F$9013,Sens!$F$9011)</f>
        <v>1.98263481314457</v>
      </c>
      <c r="G9017" s="36" t="n">
        <f aca="false">IF(Sens!$G$9013&gt;0,Sens!$G$9015/Sens!$G$9013,Sens!$G$9011)</f>
        <v>1.98263481314457</v>
      </c>
      <c r="H9017" s="36" t="n">
        <f aca="false">IF(Sens!$H$9013&gt;0,Sens!$H$9015/Sens!$H$9013,Sens!$H$9011)</f>
        <v>2.00111160233948</v>
      </c>
      <c r="I9017" s="36" t="n">
        <f aca="false">IF(Sens!$I$9013&gt;0,Sens!$I$9015/Sens!$I$9013,Sens!$I$9011)</f>
        <v>2.01589303369541</v>
      </c>
      <c r="J9017" s="36" t="n">
        <f aca="false">IF(Sens!$J$9013&gt;0,Sens!$J$9015/Sens!$J$9013,Sens!$J$9011)</f>
        <v>2.02222793284795</v>
      </c>
      <c r="K9017" s="36" t="n">
        <f aca="false">IF(Sens!$K$9013&gt;0,Sens!$K$9015/Sens!$K$9013,Sens!$K$9011)</f>
        <v>2.02489065478573</v>
      </c>
      <c r="L9017" s="36" t="n">
        <f aca="false">IF(Sens!$L$9013&gt;0,Sens!$L$9015/Sens!$L$9013,Sens!$L$9011)</f>
        <v>2.0260728977417</v>
      </c>
      <c r="M9017" s="36" t="n">
        <f aca="false">IF(Sens!$M$9013&gt;0,Sens!$M$9015/Sens!$M$9013,Sens!$M$9011)</f>
        <v>2.02638170661685</v>
      </c>
    </row>
    <row r="9018" customFormat="false" ht="17.15" hidden="false" customHeight="false" outlineLevel="0" collapsed="false">
      <c r="A9018" s="15" t="s">
        <v>609</v>
      </c>
      <c r="B9018" s="14" t="s">
        <v>173</v>
      </c>
      <c r="C9018" s="14"/>
      <c r="D9018" s="14"/>
      <c r="E9018" s="14"/>
      <c r="F9018" s="37" t="n">
        <f aca="false">Sens!$F$9016*k_B</f>
        <v>10.7987645808025</v>
      </c>
      <c r="G9018" s="37" t="n">
        <f aca="false">Sens!$G$9016*k_B</f>
        <v>10.7987645808025</v>
      </c>
      <c r="H9018" s="37" t="n">
        <f aca="false">Sens!$H$9016*k_B</f>
        <v>11.0201444540452</v>
      </c>
      <c r="I9018" s="37" t="n">
        <f aca="false">Sens!$I$9016*k_B</f>
        <v>11.1972483526393</v>
      </c>
      <c r="J9018" s="37" t="n">
        <f aca="false">Sens!$J$9016*k_B</f>
        <v>11.2731500234653</v>
      </c>
      <c r="K9018" s="37" t="n">
        <f aca="false">Sens!$K$9016*k_B</f>
        <v>11.3050534585724</v>
      </c>
      <c r="L9018" s="37" t="n">
        <f aca="false">Sens!$L$9016*k_B</f>
        <v>11.3192185168503</v>
      </c>
      <c r="M9018" s="37" t="n">
        <f aca="false">Sens!$M$9016*k_B</f>
        <v>11.3229185141234</v>
      </c>
      <c r="N9018" s="14"/>
      <c r="O9018" s="14"/>
      <c r="P9018" s="5" t="s">
        <v>610</v>
      </c>
    </row>
    <row r="9019" customFormat="false" ht="17.15" hidden="false" customHeight="false" outlineLevel="0" collapsed="false">
      <c r="A9019" s="5" t="s">
        <v>611</v>
      </c>
      <c r="B9019" s="0" t="s">
        <v>129</v>
      </c>
      <c r="F9019" s="32" t="n">
        <f aca="false">Sens!$F$9013/2</f>
        <v>908.575</v>
      </c>
      <c r="H9019" s="32" t="n">
        <f aca="false">(Sens!$G$9013+Sens!$H$9013)/2</f>
        <v>3634.3</v>
      </c>
      <c r="I9019" s="32" t="n">
        <f aca="false">(Sens!$H$9013+Sens!$I$9013)/2</f>
        <v>7268.6</v>
      </c>
      <c r="J9019" s="32" t="n">
        <f aca="false">(Sens!$I$9013+Sens!$J$9013)/2</f>
        <v>10902.9</v>
      </c>
      <c r="K9019" s="32" t="n">
        <f aca="false">(Sens!$J$9013+Sens!$K$9013)/2</f>
        <v>14005.4835833333</v>
      </c>
      <c r="L9019" s="32" t="n">
        <f aca="false">(Sens!$K$9013+Sens!$L$9013)/2</f>
        <v>16044.6343333333</v>
      </c>
      <c r="M9019" s="32" t="n">
        <f aca="false">(Sens!$L$9013+Sens!$M$9013)/2</f>
        <v>17020.35225</v>
      </c>
    </row>
    <row r="9020" customFormat="false" ht="17.15" hidden="false" customHeight="false" outlineLevel="0" collapsed="false">
      <c r="A9020" s="1" t="s">
        <v>612</v>
      </c>
    </row>
    <row r="9021" customFormat="false" ht="17.15" hidden="false" customHeight="false" outlineLevel="0" collapsed="false">
      <c r="A9021" s="1" t="s">
        <v>613</v>
      </c>
      <c r="B9021" s="8" t="s">
        <v>86</v>
      </c>
      <c r="C9021" s="38" t="n">
        <f aca="false">Sens!$C$9004*rpm_open*Sens!$C$9005/1000</f>
        <v>2.32100535697364</v>
      </c>
      <c r="D9021" s="38" t="n">
        <f aca="false">Sens!$D$9004*rpm_open*Sens!$D$9005/1000</f>
        <v>8.70377008865116</v>
      </c>
      <c r="E9021" s="38" t="n">
        <f aca="false">Sens!$E$9004*rpm_open*Sens!$E$9005/1000</f>
        <v>8.51035297557002</v>
      </c>
      <c r="F9021" s="38" t="n">
        <f aca="false">(mw_open*rpm_open+Sens!$F$9019*Sens!$F$9018)*Sens!$F$9005/1000</f>
        <v>14.9634336447205</v>
      </c>
      <c r="G9021" s="38" t="n">
        <f aca="false">Sens!$E$9021+Sens!$F$9021</f>
        <v>23.4737866202905</v>
      </c>
      <c r="H9021" s="38" t="n">
        <f aca="false">(mw_open*rpm_open+Sens!$H$9019*Sens!$H$9018)/1000</f>
        <v>60.1658907497746</v>
      </c>
      <c r="I9021" s="38" t="n">
        <f aca="false">(mw_open*rpm_open+Sens!$I$9019*Sens!$I$9018)/1000</f>
        <v>101.503699136432</v>
      </c>
      <c r="J9021" s="38" t="n">
        <f aca="false">(mw_open*rpm_open+Sens!$J$9019*Sens!$J$9018)/1000</f>
        <v>143.025407151278</v>
      </c>
      <c r="K9021" s="38" t="n">
        <f aca="false">(mw_open*rpm_open+Sens!$K$9019*Sens!$K$9018)/1000</f>
        <v>178.44812038318</v>
      </c>
      <c r="L9021" s="38" t="n">
        <f aca="false">(mw_open*rpm_open+Sens!$L$9019*Sens!$L$9018)/1000</f>
        <v>201.728101802396</v>
      </c>
      <c r="M9021" s="38" t="n">
        <f aca="false">(mw_open*rpm_open+Sens!$M$9019*Sens!$M$9018)/1000</f>
        <v>212.835441368865</v>
      </c>
      <c r="N9021" s="38" t="n">
        <f aca="false">Sens!$N$9004*rpm_open*Sens!$N$9005/1000</f>
        <v>3.04631953102791</v>
      </c>
      <c r="O9021" s="38" t="n">
        <f aca="false">Sens!$O$9004*rpm_open*Sens!$O$9005/1000</f>
        <v>5.65745055762326</v>
      </c>
      <c r="P9021" s="5" t="s">
        <v>614</v>
      </c>
    </row>
    <row r="9022" customFormat="false" ht="17.15" hidden="false" customHeight="false" outlineLevel="0" collapsed="false">
      <c r="A9022" s="5" t="s">
        <v>615</v>
      </c>
      <c r="B9022" s="0" t="s">
        <v>173</v>
      </c>
      <c r="C9022" s="36" t="n">
        <f aca="false">Sens!$C$9021*1000/(Sens!$C$9004*Sens!$C$9005)</f>
        <v>9.67085565405685</v>
      </c>
      <c r="D9022" s="36" t="n">
        <f aca="false">Sens!$D$9021*1000/(Sens!$D$9004*Sens!$D$9005)</f>
        <v>9.67085565405685</v>
      </c>
      <c r="E9022" s="36" t="n">
        <f aca="false">Sens!$E$9021*1000/(Sens!$E$9004*Sens!$E$9005)</f>
        <v>9.67085565405685</v>
      </c>
      <c r="F9022" s="36" t="n">
        <f aca="false">Sens!$F$9021*1000/(Sens!$F$9004*Sens!$F$9005)</f>
        <v>10.0137581588017</v>
      </c>
      <c r="G9022" s="36" t="n">
        <f aca="false">Sens!$G$9021*1000/(Sens!$G$9004*Sens!$G$9005)</f>
        <v>9.88666562928478</v>
      </c>
      <c r="H9022" s="36" t="n">
        <f aca="false">Sens!$H$9021*1000/(Sens!$H$9004*Sens!$H$9005)</f>
        <v>10.5290045586992</v>
      </c>
      <c r="I9022" s="36" t="n">
        <f aca="false">Sens!$I$9021*1000/(Sens!$I$9004*Sens!$I$9005)</f>
        <v>10.8576363451674</v>
      </c>
      <c r="J9022" s="36" t="n">
        <f aca="false">Sens!$J$9021*1000/(Sens!$J$9004*Sens!$J$9005)</f>
        <v>11.0164452588619</v>
      </c>
      <c r="K9022" s="36" t="n">
        <f aca="false">Sens!$K$9021*1000/(Sens!$K$9004*Sens!$K$9005)</f>
        <v>11.0937367508227</v>
      </c>
      <c r="L9022" s="36" t="n">
        <f aca="false">Sens!$L$9021*1000/(Sens!$L$9004*Sens!$L$9005)</f>
        <v>11.1300508519168</v>
      </c>
      <c r="M9022" s="36" t="n">
        <f aca="false">Sens!$M$9021*1000/(Sens!$M$9004*Sens!$M$9005)</f>
        <v>11.1430113216297</v>
      </c>
      <c r="N9022" s="36" t="n">
        <f aca="false">Sens!$N$9021*1000/(Sens!$N$9004*Sens!$N$9005)</f>
        <v>9.67085565405685</v>
      </c>
      <c r="O9022" s="36" t="n">
        <f aca="false">Sens!$O$9021*1000/(Sens!$O$9004*Sens!$O$9005)</f>
        <v>9.67085565405685</v>
      </c>
    </row>
    <row r="9023" customFormat="false" ht="17.15" hidden="false" customHeight="false" outlineLevel="0" collapsed="false">
      <c r="A9023" s="0" t="s">
        <v>616</v>
      </c>
      <c r="B9023" s="0" t="s">
        <v>86</v>
      </c>
      <c r="C9023" s="38" t="n">
        <f aca="false">Sens!$C$9004/ext_sh*(ox_open+rent_mw)*Sens!$C$9005/1000</f>
        <v>0.642569210675032</v>
      </c>
      <c r="D9023" s="38" t="n">
        <f aca="false">Sens!$D$9004/ext_sh*(ox_open+rent_mw)*Sens!$D$9005/1000</f>
        <v>2.40963454003137</v>
      </c>
      <c r="E9023" s="38" t="n">
        <f aca="false">Sens!$E$9004/ext_sh*(ox_open+rent_mw)*Sens!$E$9005/1000</f>
        <v>2.35608710580845</v>
      </c>
      <c r="F9023" s="38" t="n">
        <f aca="false">((mw_open*ox_open+Sens!$F$9019*Sens!$F$9017)/ext_sh+Sens!$F$9004/ext_sh*rent_mw)*Sens!$F$9005/1000</f>
        <v>4.05421991106232</v>
      </c>
      <c r="G9023" s="38" t="n">
        <f aca="false">Sens!$E$9023+Sens!$F$9023</f>
        <v>6.41030701687077</v>
      </c>
      <c r="H9023" s="38" t="n">
        <f aca="false">((mw_open*ox_open+Sens!$H$9019*Sens!$H$9017)/ext_sh+Sens!$H$9004/ext_sh*rent_mw)*Sens!$H$9005/1000</f>
        <v>15.8108975546616</v>
      </c>
      <c r="I9023" s="38" t="n">
        <f aca="false">((mw_open*ox_open+Sens!$I$9019*Sens!$I$9017)/ext_sh+Sens!$I$9004/ext_sh*rent_mw)*Sens!$I$9005/1000</f>
        <v>26.1871623400817</v>
      </c>
      <c r="J9023" s="38" t="n">
        <f aca="false">((mw_open*ox_open+Sens!$J$9019*Sens!$J$9017)/ext_sh+Sens!$J$9004/ext_sh*rent_mw)*Sens!$J$9005/1000</f>
        <v>36.5826128954935</v>
      </c>
      <c r="K9023" s="38" t="n">
        <f aca="false">((mw_open*ox_open+Sens!$K$9019*Sens!$K$9017)/ext_sh+Sens!$K$9004/ext_sh*rent_mw)*Sens!$K$9005/1000</f>
        <v>45.4546361137628</v>
      </c>
      <c r="L9023" s="38" t="n">
        <f aca="false">((mw_open*ox_open+Sens!$L$9019*Sens!$L$9017)/ext_sh+Sens!$L$9004/ext_sh*rent_mw)*Sens!$L$9005/1000</f>
        <v>51.2855695554452</v>
      </c>
      <c r="M9023" s="38" t="n">
        <f aca="false">((mw_open*ox_open+Sens!$M$9019*Sens!$M$9017)/ext_sh+Sens!$M$9004/ext_sh*rent_mw)*Sens!$M$9005/1000</f>
        <v>54.0722927838398</v>
      </c>
      <c r="N9023" s="38" t="n">
        <f aca="false">Sens!$N$9004/ext_sh*(ox_open+rent_mw)*Sens!$N$9005/1000</f>
        <v>0.84337208901098</v>
      </c>
      <c r="O9023" s="38" t="n">
        <f aca="false">Sens!$O$9004/ext_sh*(ox_open+rent_mw)*Sens!$O$9005/1000</f>
        <v>1.56626245102039</v>
      </c>
    </row>
    <row r="9024" customFormat="false" ht="17.15" hidden="false" customHeight="false" outlineLevel="0" collapsed="false">
      <c r="A9024" s="0" t="s">
        <v>617</v>
      </c>
      <c r="B9024" s="0" t="s">
        <v>86</v>
      </c>
      <c r="C9024" s="38" t="n">
        <f aca="false">Q!$D$7</f>
        <v>107.556</v>
      </c>
      <c r="D9024" s="38" t="n">
        <f aca="false">Q!$E$7</f>
        <v>128.725</v>
      </c>
      <c r="E9024" s="38" t="n">
        <f aca="false">Q!$P$7</f>
        <v>79.819</v>
      </c>
      <c r="N9024" s="38" t="n">
        <f aca="false">Q!$N$7</f>
        <v>60.14</v>
      </c>
      <c r="O9024" s="38" t="n">
        <f aca="false">Q!$O$7</f>
        <v>68.585</v>
      </c>
    </row>
    <row r="9025" customFormat="false" ht="17.15" hidden="false" customHeight="false" outlineLevel="0" collapsed="false">
      <c r="A9025" s="1" t="s">
        <v>618</v>
      </c>
      <c r="B9025" s="8" t="s">
        <v>86</v>
      </c>
      <c r="C9025" s="38" t="n">
        <f aca="false">Sens!$C$9024-Sens!$C$9021</f>
        <v>105.234994643026</v>
      </c>
      <c r="D9025" s="38" t="n">
        <f aca="false">Sens!$D$9024-Sens!$D$9021</f>
        <v>120.021229911349</v>
      </c>
      <c r="E9025" s="38" t="n">
        <f aca="false">Sens!$E$9024-Sens!$E$9021</f>
        <v>71.30864702443</v>
      </c>
      <c r="F9025" s="38" t="n">
        <f aca="false">Sens!$O$9025*(1+Sens!$F$9026)</f>
        <v>71.7692997942464</v>
      </c>
      <c r="G9025" s="38" t="n">
        <f aca="false">Sens!$E$9025+Sens!$F$9025</f>
        <v>143.077946818676</v>
      </c>
      <c r="H9025" s="38" t="n">
        <f aca="false">Sens!$G$9025*(1+Sens!$H$9026)</f>
        <v>161.017077079203</v>
      </c>
      <c r="I9025" s="38" t="n">
        <f aca="false">Sens!$H$9025*(1+Sens!$I$9026)</f>
        <v>178.769759521457</v>
      </c>
      <c r="J9025" s="38" t="n">
        <f aca="false">Sens!$I$9025*(1+Sens!$J$9026)</f>
        <v>195.775538045907</v>
      </c>
      <c r="K9025" s="38" t="n">
        <f aca="false">Sens!$J$9025*(1+Sens!$K$9026)</f>
        <v>211.43758108958</v>
      </c>
      <c r="L9025" s="38" t="n">
        <f aca="false">Sens!$K$9025*(1+Sens!$L$9026)</f>
        <v>228.352587576746</v>
      </c>
      <c r="M9025" s="38" t="n">
        <f aca="false">Sens!$L$9025*(1+Sens!$M$9026)</f>
        <v>246.620794582886</v>
      </c>
      <c r="N9025" s="38" t="n">
        <f aca="false">Sens!$N$9024-Sens!$N$9021</f>
        <v>57.0936804689721</v>
      </c>
      <c r="O9025" s="38" t="n">
        <f aca="false">Sens!$O$9024-Sens!$O$9021</f>
        <v>62.9275494423768</v>
      </c>
      <c r="P9025" s="5" t="s">
        <v>619</v>
      </c>
    </row>
    <row r="9026" customFormat="false" ht="17.15" hidden="false" customHeight="false" outlineLevel="0" collapsed="false">
      <c r="A9026" s="0" t="s">
        <v>620</v>
      </c>
      <c r="B9026" s="0" t="s">
        <v>52</v>
      </c>
      <c r="D9026" s="13" t="n">
        <f aca="false">Sens!$D$9025/Sens!$C$9025-1</f>
        <v>0.140506827776062</v>
      </c>
      <c r="E9026" s="13" t="n">
        <f aca="false">Sens!$E$9025/Sens!$N$9025-1</f>
        <v>0.248976181579029</v>
      </c>
      <c r="F9026" s="13" t="n">
        <f aca="false">Sens!$D$9026</f>
        <v>0.140506827776062</v>
      </c>
      <c r="G9026" s="13" t="n">
        <f aca="false">Sens!$G$9025/Sens!$D$9025-1</f>
        <v>0.19210532106993</v>
      </c>
      <c r="H9026" s="13" t="n">
        <f aca="false">Sens!$F$9026+(g_awso_lt-Sens!$F$9026)*1/4</f>
        <v>0.125380120832046</v>
      </c>
      <c r="I9026" s="13" t="n">
        <f aca="false">Sens!$F$9026+(g_awso_lt-Sens!$F$9026)*2/4</f>
        <v>0.110253413888031</v>
      </c>
      <c r="J9026" s="13" t="n">
        <f aca="false">Sens!$F$9026+(g_awso_lt-Sens!$F$9026)*3/4</f>
        <v>0.0951267069440154</v>
      </c>
      <c r="K9026" s="13" t="n">
        <f aca="false">Sens!$F$9026+(g_awso_lt-Sens!$F$9026)*4/4</f>
        <v>0.08</v>
      </c>
      <c r="L9026" s="13" t="n">
        <f aca="false">g_awso_lt</f>
        <v>0.08</v>
      </c>
      <c r="M9026" s="13" t="n">
        <f aca="false">g_awso_lt</f>
        <v>0.08</v>
      </c>
      <c r="P9026" s="5" t="s">
        <v>621</v>
      </c>
    </row>
    <row r="9027" customFormat="false" ht="17.15" hidden="false" customHeight="false" outlineLevel="0" collapsed="false">
      <c r="A9027" s="1" t="s">
        <v>622</v>
      </c>
    </row>
    <row r="9028" customFormat="false" ht="17.15" hidden="false" customHeight="false" outlineLevel="0" collapsed="false">
      <c r="A9028" s="0" t="s">
        <v>623</v>
      </c>
      <c r="B9028" s="0" t="s">
        <v>86</v>
      </c>
      <c r="F9028" s="38" t="n">
        <f aca="false">cx_rt*Sens!$F$8993+cx_awso*Sens!$F$9025</f>
        <v>34.9734495387866</v>
      </c>
    </row>
    <row r="9029" customFormat="false" ht="17.15" hidden="false" customHeight="false" outlineLevel="0" collapsed="false">
      <c r="A9029" s="0" t="s">
        <v>624</v>
      </c>
      <c r="B9029" s="0" t="s">
        <v>52</v>
      </c>
      <c r="C9029" s="13" t="n">
        <f aca="false">tk_cx_h100/(tk_cx_h100+tk_fac*(1-colo_sh))</f>
        <v>0.730756458006641</v>
      </c>
      <c r="D9029" s="13" t="n">
        <f aca="false">tk_cx_h100/(tk_cx_h100+tk_fac*(1-colo_sh))</f>
        <v>0.730756458006641</v>
      </c>
      <c r="E9029" s="13" t="n">
        <f aca="false">Sens!$F$9029</f>
        <v>0.760792334328868</v>
      </c>
      <c r="F9029" s="13" t="n">
        <f aca="false">Sens!$F$9012/(Sens!$F$9012+tk_fac*(1-colo_sh))</f>
        <v>0.760792334328868</v>
      </c>
      <c r="G9029" s="13" t="n">
        <f aca="false">Sens!$G$9012/(Sens!$G$9012+tk_fac*(1-colo_sh))</f>
        <v>0.760792334328868</v>
      </c>
      <c r="H9029" s="13" t="n">
        <f aca="false">Sens!$H$9012/(Sens!$H$9012+tk_fac*(1-colo_sh))</f>
        <v>0.768110668862996</v>
      </c>
      <c r="I9029" s="13" t="n">
        <f aca="false">Sens!$I$9012/(Sens!$I$9012+tk_fac*(1-colo_sh))</f>
        <v>0.77499450139483</v>
      </c>
      <c r="J9029" s="13" t="n">
        <f aca="false">Sens!$J$9012/(Sens!$J$9012+tk_fac*(1-colo_sh))</f>
        <v>0.77499450139483</v>
      </c>
      <c r="K9029" s="13" t="n">
        <f aca="false">Sens!$K$9012/(Sens!$K$9012+tk_fac*(1-colo_sh))</f>
        <v>0.77499450139483</v>
      </c>
      <c r="L9029" s="13" t="n">
        <f aca="false">Sens!$L$9012/(Sens!$L$9012+tk_fac*(1-colo_sh))</f>
        <v>0.77499450139483</v>
      </c>
      <c r="M9029" s="13" t="n">
        <f aca="false">Sens!$M$9012/(Sens!$M$9012+tk_fac*(1-colo_sh))</f>
        <v>0.77499450139483</v>
      </c>
    </row>
    <row r="9030" customFormat="false" ht="17.15" hidden="false" customHeight="false" outlineLevel="0" collapsed="false">
      <c r="A9030" s="1" t="s">
        <v>625</v>
      </c>
      <c r="B9030" s="8" t="s">
        <v>86</v>
      </c>
      <c r="C9030" s="38" t="n">
        <f aca="false">Q!$D$46-cx_rt*Q!$D$16-cx_awso*Sens!$C$9025</f>
        <v>25.2781053077374</v>
      </c>
      <c r="D9030" s="38" t="n">
        <f aca="false">Q!$E$46-cx_rt*Q!$E$16-cx_awso*Sens!$D$9025</f>
        <v>69.5686316310026</v>
      </c>
      <c r="E9030" s="38" t="n">
        <f aca="false">Q!$P$46-cx_rt*Q!$P$16-cx_awso*Sens!$E$9025</f>
        <v>64.1899206485108</v>
      </c>
      <c r="F9030" s="38" t="n">
        <f aca="false">MAX(Sens!$F$9007*(Sens!$F$9012+tk_fac*(1-colo_sh))/1000,capex_g26-Q!$P$46-Sens!$F$9028)</f>
        <v>96.2481299895</v>
      </c>
      <c r="G9030" s="38" t="n">
        <f aca="false">Sens!$E$9030+Sens!$F$9030</f>
        <v>160.438050638011</v>
      </c>
      <c r="H9030" s="38" t="n">
        <f aca="false">Sens!$H$9007*(Sens!$H$9012+tk_fac*(1-colo_sh))/1000+Sens!$H$9031</f>
        <v>198.57136494475</v>
      </c>
      <c r="I9030" s="38" t="n">
        <f aca="false">Sens!$I$9007*(Sens!$I$9012+tk_fac*(1-colo_sh))/1000+Sens!$I$9031</f>
        <v>204.6464699105</v>
      </c>
      <c r="J9030" s="38" t="n">
        <f aca="false">Sens!$J$9007*(Sens!$J$9012+tk_fac*(1-colo_sh))/1000+Sens!$J$9031</f>
        <v>209.8832381105</v>
      </c>
      <c r="K9030" s="38" t="n">
        <f aca="false">Sens!$K$9007*(Sens!$K$9012+tk_fac*(1-colo_sh))/1000+Sens!$K$9031</f>
        <v>155.238385275201</v>
      </c>
      <c r="L9030" s="38" t="n">
        <f aca="false">Sens!$L$9007*(Sens!$L$9012+tk_fac*(1-colo_sh))/1000+Sens!$L$9031</f>
        <v>132.014141639902</v>
      </c>
      <c r="M9030" s="38" t="n">
        <f aca="false">Sens!$M$9007*(Sens!$M$9012+tk_fac*(1-colo_sh))/1000+Sens!$M$9031</f>
        <v>132.230981659852</v>
      </c>
      <c r="P9030" s="5" t="s">
        <v>626</v>
      </c>
      <c r="R9030" s="38" t="n">
        <f aca="false">Q!$C$46-cx_rt*Q!$C$16-cx_awso*(Q!$C$7-mw_ye23/2*rpm_open/1000)</f>
        <v>1.50429979529945</v>
      </c>
      <c r="S9030" s="38" t="n">
        <f aca="false">Sens!$C$9030</f>
        <v>25.2781053077374</v>
      </c>
      <c r="T9030" s="38" t="n">
        <f aca="false">Sens!$D$9030</f>
        <v>69.5686316310026</v>
      </c>
      <c r="U9030" s="38" t="n">
        <f aca="false">Sens!$G$9030</f>
        <v>160.438050638011</v>
      </c>
      <c r="V9030" s="38" t="n">
        <f aca="false">Sens!$H$9030</f>
        <v>198.57136494475</v>
      </c>
      <c r="W9030" s="38" t="n">
        <f aca="false">Sens!$I$9030</f>
        <v>204.6464699105</v>
      </c>
      <c r="X9030" s="38" t="n">
        <f aca="false">Sens!$J$9030</f>
        <v>209.8832381105</v>
      </c>
      <c r="Y9030" s="38" t="n">
        <f aca="false">Sens!$K$9030</f>
        <v>155.238385275201</v>
      </c>
      <c r="Z9030" s="38" t="n">
        <f aca="false">Sens!$L$9030</f>
        <v>132.014141639902</v>
      </c>
      <c r="AA9030" s="38" t="n">
        <f aca="false">Sens!$M$9030</f>
        <v>132.230981659852</v>
      </c>
    </row>
    <row r="9031" customFormat="false" ht="17.15" hidden="false" customHeight="false" outlineLevel="0" collapsed="false">
      <c r="A9031" s="0" t="s">
        <v>627</v>
      </c>
      <c r="B9031" s="0" t="s">
        <v>86</v>
      </c>
      <c r="H9031" s="38" t="n">
        <f aca="false">SUMPRODUCT(--(Sens!$R$9000:$AA$9000=2027-tk_life),Sens!$R$9007:$AA$9007)*Sens!$H$9012/1000</f>
        <v>0</v>
      </c>
      <c r="I9031" s="38" t="n">
        <f aca="false">SUMPRODUCT(--(Sens!$R$9000:$AA$9000=2028-tk_life),Sens!$R$9007:$AA$9007)*Sens!$I$9012/1000</f>
        <v>0</v>
      </c>
      <c r="J9031" s="38" t="n">
        <f aca="false">SUMPRODUCT(--(Sens!$R$9000:$AA$9000=2029-tk_life),Sens!$R$9007:$AA$9007)*Sens!$J$9012/1000</f>
        <v>5.2367682</v>
      </c>
      <c r="K9031" s="38" t="n">
        <f aca="false">SUMPRODUCT(--(Sens!$R$9000:$AA$9000=2030-tk_life),Sens!$R$9007:$AA$9007)*Sens!$K$9012/1000</f>
        <v>10.4735364</v>
      </c>
      <c r="L9031" s="38" t="n">
        <f aca="false">SUMPRODUCT(--(Sens!$R$9000:$AA$9000=2031-tk_life),Sens!$R$9007:$AA$9007)*Sens!$L$9012/1000</f>
        <v>47.1309138</v>
      </c>
      <c r="M9031" s="38" t="n">
        <f aca="false">SUMPRODUCT(--(Sens!$R$9000:$AA$9000=2032-tk_life),Sens!$R$9007:$AA$9007)*Sens!$M$9012/1000</f>
        <v>107.22937485525</v>
      </c>
    </row>
    <row r="9032" customFormat="false" ht="17.15" hidden="false" customHeight="false" outlineLevel="0" collapsed="false">
      <c r="A9032" s="5" t="s">
        <v>628</v>
      </c>
      <c r="B9032" s="0" t="s">
        <v>86</v>
      </c>
      <c r="C9032" s="38" t="n">
        <f aca="false">Sens!$C$9030*Sens!$C$9029</f>
        <v>18.472138699801</v>
      </c>
      <c r="D9032" s="38" t="n">
        <f aca="false">Sens!$D$9030*Sens!$D$9029</f>
        <v>50.8377268390402</v>
      </c>
      <c r="E9032" s="38" t="n">
        <f aca="false">Sens!$E$9030*Sens!$E$9029</f>
        <v>48.8351995705653</v>
      </c>
      <c r="F9032" s="38" t="n">
        <f aca="false">Sens!$F$9030*Sens!$F$9029</f>
        <v>73.2248394895</v>
      </c>
      <c r="G9032" s="38" t="n">
        <f aca="false">Sens!$E$9032+Sens!$F$9032</f>
        <v>122.060039060065</v>
      </c>
      <c r="H9032" s="38" t="n">
        <f aca="false">(Sens!$H$9030-Sens!$H$9031)*Sens!$H$9029+Sens!$H$9031</f>
        <v>152.52478394475</v>
      </c>
      <c r="I9032" s="38" t="n">
        <f aca="false">(Sens!$I$9030-Sens!$I$9031)*Sens!$I$9029+Sens!$I$9031</f>
        <v>158.5998889105</v>
      </c>
      <c r="J9032" s="38" t="n">
        <f aca="false">(Sens!$J$9030-Sens!$J$9031)*Sens!$J$9029+Sens!$J$9031</f>
        <v>163.8366571105</v>
      </c>
      <c r="K9032" s="38" t="n">
        <f aca="false">(Sens!$K$9030-Sens!$K$9031)*Sens!$K$9029+Sens!$K$9031</f>
        <v>122.665498273534</v>
      </c>
      <c r="L9032" s="38" t="n">
        <f aca="false">(Sens!$L$9030-Sens!$L$9031)*Sens!$L$9029+Sens!$L$9031</f>
        <v>112.914948636568</v>
      </c>
      <c r="M9032" s="38" t="n">
        <f aca="false">(Sens!$M$9030-Sens!$M$9031)*Sens!$M$9029+Sens!$M$9031</f>
        <v>126.605482654852</v>
      </c>
      <c r="R9032" s="38" t="n">
        <f aca="false">Sens!$R$9030*Sens!$C$9029</f>
        <v>1.09927679019314</v>
      </c>
      <c r="S9032" s="38" t="n">
        <f aca="false">Sens!$C$9032</f>
        <v>18.472138699801</v>
      </c>
      <c r="T9032" s="38" t="n">
        <f aca="false">Sens!$D$9032</f>
        <v>50.8377268390402</v>
      </c>
      <c r="U9032" s="38" t="n">
        <f aca="false">Sens!$G$9032</f>
        <v>122.060039060065</v>
      </c>
      <c r="V9032" s="38" t="n">
        <f aca="false">Sens!$H$9032</f>
        <v>152.52478394475</v>
      </c>
      <c r="W9032" s="38" t="n">
        <f aca="false">Sens!$I$9032</f>
        <v>158.5998889105</v>
      </c>
      <c r="X9032" s="38" t="n">
        <f aca="false">Sens!$J$9032</f>
        <v>163.8366571105</v>
      </c>
      <c r="Y9032" s="38" t="n">
        <f aca="false">Sens!$K$9032</f>
        <v>122.665498273534</v>
      </c>
      <c r="Z9032" s="38" t="n">
        <f aca="false">Sens!$L$9032</f>
        <v>112.914948636568</v>
      </c>
      <c r="AA9032" s="38" t="n">
        <f aca="false">Sens!$M$9032</f>
        <v>126.605482654852</v>
      </c>
    </row>
    <row r="9033" customFormat="false" ht="15" hidden="false" customHeight="false" outlineLevel="0" collapsed="false">
      <c r="A9033" s="5" t="s">
        <v>629</v>
      </c>
      <c r="B9033" s="0" t="s">
        <v>86</v>
      </c>
      <c r="C9033" s="38" t="n">
        <f aca="false">Sens!$C$9030-Sens!$C$9032</f>
        <v>6.80596660793636</v>
      </c>
      <c r="D9033" s="38" t="n">
        <f aca="false">Sens!$D$9030-Sens!$D$9032</f>
        <v>18.7309047919624</v>
      </c>
      <c r="E9033" s="38" t="n">
        <f aca="false">Sens!$E$9030-Sens!$E$9032</f>
        <v>15.3547210779455</v>
      </c>
      <c r="F9033" s="38" t="n">
        <f aca="false">Sens!$F$9030-Sens!$F$9032</f>
        <v>23.0232905</v>
      </c>
      <c r="G9033" s="38" t="n">
        <f aca="false">Sens!$G$9030-Sens!$G$9032</f>
        <v>38.3780115779455</v>
      </c>
      <c r="H9033" s="38" t="n">
        <f aca="false">Sens!$H$9030-Sens!$H$9032</f>
        <v>46.046581</v>
      </c>
      <c r="I9033" s="38" t="n">
        <f aca="false">Sens!$I$9030-Sens!$I$9032</f>
        <v>46.046581</v>
      </c>
      <c r="J9033" s="38" t="n">
        <f aca="false">Sens!$J$9030-Sens!$J$9032</f>
        <v>46.046581</v>
      </c>
      <c r="K9033" s="38" t="n">
        <f aca="false">Sens!$K$9030-Sens!$K$9032</f>
        <v>32.5728870016667</v>
      </c>
      <c r="L9033" s="38" t="n">
        <f aca="false">Sens!$L$9030-Sens!$L$9032</f>
        <v>19.0991930033334</v>
      </c>
      <c r="M9033" s="38" t="n">
        <f aca="false">Sens!$M$9030-Sens!$M$9032</f>
        <v>5.62549900499998</v>
      </c>
      <c r="R9033" s="38" t="n">
        <f aca="false">Sens!$R$9030-Sens!$R$9032</f>
        <v>0.405023005106309</v>
      </c>
      <c r="S9033" s="38" t="n">
        <f aca="false">Sens!$S$9030-Sens!$S$9032</f>
        <v>6.80596660793636</v>
      </c>
      <c r="T9033" s="38" t="n">
        <f aca="false">Sens!$T$9030-Sens!$T$9032</f>
        <v>18.7309047919624</v>
      </c>
      <c r="U9033" s="38" t="n">
        <f aca="false">Sens!$U$9030-Sens!$U$9032</f>
        <v>38.3780115779455</v>
      </c>
      <c r="V9033" s="38" t="n">
        <f aca="false">Sens!$V$9030-Sens!$V$9032</f>
        <v>46.046581</v>
      </c>
      <c r="W9033" s="38" t="n">
        <f aca="false">Sens!$W$9030-Sens!$W$9032</f>
        <v>46.046581</v>
      </c>
      <c r="X9033" s="38" t="n">
        <f aca="false">Sens!$X$9030-Sens!$X$9032</f>
        <v>46.046581</v>
      </c>
      <c r="Y9033" s="38" t="n">
        <f aca="false">Sens!$Y$9030-Sens!$Y$9032</f>
        <v>32.5728870016667</v>
      </c>
      <c r="Z9033" s="38" t="n">
        <f aca="false">Sens!$Z$9030-Sens!$Z$9032</f>
        <v>19.0991930033334</v>
      </c>
      <c r="AA9033" s="38" t="n">
        <f aca="false">Sens!$AA$9030-Sens!$AA$9032</f>
        <v>5.62549900499998</v>
      </c>
    </row>
    <row r="9034" customFormat="false" ht="17.15" hidden="false" customHeight="false" outlineLevel="0" collapsed="false">
      <c r="A9034" s="0" t="s">
        <v>630</v>
      </c>
      <c r="B9034" s="0" t="s">
        <v>52</v>
      </c>
      <c r="C9034" s="13" t="n">
        <f aca="false">Sens!$C$9030/Sens!$C$9150</f>
        <v>0.325505489553393</v>
      </c>
      <c r="D9034" s="13" t="n">
        <f aca="false">Sens!$D$9030/Sens!$D$9150</f>
        <v>0.54214956071542</v>
      </c>
      <c r="E9034" s="13" t="n">
        <f aca="false">Sens!$E$9030/Sens!$E$9150</f>
        <v>0.666492790452817</v>
      </c>
      <c r="F9034" s="13" t="n">
        <f aca="false">Sens!$F$9030/Sens!$F$9150</f>
        <v>0.733477910687338</v>
      </c>
      <c r="G9034" s="13" t="n">
        <f aca="false">Sens!$G$9030/Sens!$G$9150</f>
        <v>0.705124321514523</v>
      </c>
      <c r="H9034" s="13" t="n">
        <f aca="false">Sens!$H$9030/Sens!$H$9150</f>
        <v>0.726376041178204</v>
      </c>
      <c r="I9034" s="13" t="n">
        <f aca="false">Sens!$I$9030/Sens!$I$9150</f>
        <v>0.713099092661699</v>
      </c>
      <c r="J9034" s="13" t="n">
        <f aca="false">Sens!$J$9030/Sens!$J$9150</f>
        <v>0.701208348786245</v>
      </c>
      <c r="K9034" s="13" t="n">
        <f aca="false">Sens!$K$9030/Sens!$K$9150</f>
        <v>0.618338844562383</v>
      </c>
      <c r="L9034" s="13" t="n">
        <f aca="false">Sens!$L$9030/Sens!$L$9150</f>
        <v>0.562489158462506</v>
      </c>
      <c r="M9034" s="13" t="n">
        <f aca="false">Sens!$M$9030/Sens!$M$9150</f>
        <v>0.545751190895923</v>
      </c>
    </row>
    <row r="9035" customFormat="false" ht="17.15" hidden="false" customHeight="false" outlineLevel="0" collapsed="false">
      <c r="A9035" s="0" t="s">
        <v>631</v>
      </c>
      <c r="B9035" s="0" t="s">
        <v>86</v>
      </c>
      <c r="C9035" s="38" t="n">
        <f aca="false">Sens!$S$9035</f>
        <v>0.183212798365523</v>
      </c>
      <c r="D9035" s="38" t="n">
        <f aca="false">Sens!$T$9035</f>
        <v>3.2619025816657</v>
      </c>
      <c r="E9035" s="38" t="n">
        <f aca="false">Sens!$G$9035/2</f>
        <v>5.86742852741953</v>
      </c>
      <c r="F9035" s="38" t="n">
        <f aca="false">Sens!$G$9035/2</f>
        <v>5.86742852741953</v>
      </c>
      <c r="G9035" s="38" t="n">
        <f aca="false">Sens!$U$9035</f>
        <v>11.7348570548391</v>
      </c>
      <c r="H9035" s="38" t="n">
        <f aca="false">Sens!$V$9035</f>
        <v>32.0781968981833</v>
      </c>
      <c r="I9035" s="38" t="n">
        <f aca="false">Sens!$W$9035</f>
        <v>57.4989942223083</v>
      </c>
      <c r="J9035" s="38" t="n">
        <f aca="false">Sens!$X$9035</f>
        <v>83.932309040725</v>
      </c>
      <c r="K9035" s="38" t="n">
        <f aca="false">Sens!$Y$9035</f>
        <v>111.055205760776</v>
      </c>
      <c r="L9035" s="38" t="n">
        <f aca="false">Sens!$Z$9035</f>
        <v>128.420765689732</v>
      </c>
      <c r="M9035" s="38" t="n">
        <f aca="false">Sens!$AA$9035</f>
        <v>138.766969322653</v>
      </c>
      <c r="N9035" s="38" t="n">
        <f aca="false">Sens!$D$9035/2</f>
        <v>1.63095129083285</v>
      </c>
      <c r="O9035" s="38" t="n">
        <f aca="false">Sens!$D$9035/2</f>
        <v>1.63095129083285</v>
      </c>
      <c r="R9035" s="38" t="n">
        <f aca="false">SUMPRODUCT(--(Sens!$R$9000:$AA$9000&lt;Sens!R$9000),--(Sens!$R$9000:$AA$9000&gt;=Sens!R$9000-tk_life),Sens!$R$9032:$AA$9032)/tk_life</f>
        <v>0</v>
      </c>
      <c r="S9035" s="38" t="n">
        <f aca="false">SUMPRODUCT(--(Sens!$R$9000:$AA$9000&lt;Sens!S$9000),--(Sens!$R$9000:$AA$9000&gt;=Sens!S$9000-tk_life),Sens!$R$9032:$AA$9032)/tk_life</f>
        <v>0.183212798365523</v>
      </c>
      <c r="T9035" s="38" t="n">
        <f aca="false">SUMPRODUCT(--(Sens!$R$9000:$AA$9000&lt;Sens!T$9000),--(Sens!$R$9000:$AA$9000&gt;=Sens!T$9000-tk_life),Sens!$R$9032:$AA$9032)/tk_life</f>
        <v>3.2619025816657</v>
      </c>
      <c r="U9035" s="38" t="n">
        <f aca="false">SUMPRODUCT(--(Sens!$R$9000:$AA$9000&lt;Sens!U$9000),--(Sens!$R$9000:$AA$9000&gt;=Sens!U$9000-tk_life),Sens!$R$9032:$AA$9032)/tk_life</f>
        <v>11.7348570548391</v>
      </c>
      <c r="V9035" s="38" t="n">
        <f aca="false">SUMPRODUCT(--(Sens!$R$9000:$AA$9000&lt;Sens!V$9000),--(Sens!$R$9000:$AA$9000&gt;=Sens!V$9000-tk_life),Sens!$R$9032:$AA$9032)/tk_life</f>
        <v>32.0781968981833</v>
      </c>
      <c r="W9035" s="38" t="n">
        <f aca="false">SUMPRODUCT(--(Sens!$R$9000:$AA$9000&lt;Sens!W$9000),--(Sens!$R$9000:$AA$9000&gt;=Sens!W$9000-tk_life),Sens!$R$9032:$AA$9032)/tk_life</f>
        <v>57.4989942223083</v>
      </c>
      <c r="X9035" s="38" t="n">
        <f aca="false">SUMPRODUCT(--(Sens!$R$9000:$AA$9000&lt;Sens!X$9000),--(Sens!$R$9000:$AA$9000&gt;=Sens!X$9000-tk_life),Sens!$R$9032:$AA$9032)/tk_life</f>
        <v>83.932309040725</v>
      </c>
      <c r="Y9035" s="38" t="n">
        <f aca="false">SUMPRODUCT(--(Sens!$R$9000:$AA$9000&lt;Sens!Y$9000),--(Sens!$R$9000:$AA$9000&gt;=Sens!Y$9000-tk_life),Sens!$R$9032:$AA$9032)/tk_life</f>
        <v>111.055205760776</v>
      </c>
      <c r="Z9035" s="38" t="n">
        <f aca="false">SUMPRODUCT(--(Sens!$R$9000:$AA$9000&lt;Sens!Z$9000),--(Sens!$R$9000:$AA$9000&gt;=Sens!Z$9000-tk_life),Sens!$R$9032:$AA$9032)/tk_life</f>
        <v>128.420765689732</v>
      </c>
      <c r="AA9035" s="38" t="n">
        <f aca="false">SUMPRODUCT(--(Sens!$R$9000:$AA$9000&lt;Sens!AA$9000),--(Sens!$R$9000:$AA$9000&gt;=Sens!AA$9000-tk_life),Sens!$R$9032:$AA$9032)/tk_life</f>
        <v>138.766969322653</v>
      </c>
    </row>
    <row r="9036" customFormat="false" ht="17.15" hidden="false" customHeight="false" outlineLevel="0" collapsed="false">
      <c r="A9036" s="0" t="s">
        <v>632</v>
      </c>
      <c r="B9036" s="0" t="s">
        <v>86</v>
      </c>
      <c r="C9036" s="38" t="n">
        <f aca="false">Sens!$S$9036</f>
        <v>0.0202511502553155</v>
      </c>
      <c r="D9036" s="38" t="n">
        <f aca="false">Sens!$T$9036</f>
        <v>0.360549480652134</v>
      </c>
      <c r="E9036" s="38" t="n">
        <f aca="false">Sens!$G$9036/2</f>
        <v>0.648547360125127</v>
      </c>
      <c r="F9036" s="38" t="n">
        <f aca="false">Sens!$G$9036/2</f>
        <v>0.648547360125127</v>
      </c>
      <c r="G9036" s="38" t="n">
        <f aca="false">Sens!$U$9036</f>
        <v>1.29709472025025</v>
      </c>
      <c r="H9036" s="38" t="n">
        <f aca="false">Sens!$V$9036</f>
        <v>3.21599529914753</v>
      </c>
      <c r="I9036" s="38" t="n">
        <f aca="false">Sens!$W$9036</f>
        <v>5.51832434914753</v>
      </c>
      <c r="J9036" s="38" t="n">
        <f aca="false">Sens!$X$9036</f>
        <v>7.82065339914753</v>
      </c>
      <c r="K9036" s="38" t="n">
        <f aca="false">Sens!$Y$9036</f>
        <v>10.1229824491475</v>
      </c>
      <c r="L9036" s="38" t="n">
        <f aca="false">Sens!$Z$9036</f>
        <v>11.7516267992309</v>
      </c>
      <c r="M9036" s="38" t="n">
        <f aca="false">Sens!$AA$9036</f>
        <v>12.7065864493975</v>
      </c>
      <c r="N9036" s="38" t="n">
        <f aca="false">Sens!$D$9036/2</f>
        <v>0.180274740326067</v>
      </c>
      <c r="O9036" s="38" t="n">
        <f aca="false">Sens!$D$9036/2</f>
        <v>0.180274740326067</v>
      </c>
      <c r="R9036" s="38" t="n">
        <f aca="false">SUMPRODUCT(--(Sens!$R$9000:$AA$9000&lt;Sens!R$9000),Sens!$R$9033:$AA$9033)/fac_life</f>
        <v>0</v>
      </c>
      <c r="S9036" s="38" t="n">
        <f aca="false">SUMPRODUCT(--(Sens!$R$9000:$AA$9000&lt;Sens!S$9000),Sens!$R$9033:$AA$9033)/fac_life</f>
        <v>0.0202511502553155</v>
      </c>
      <c r="T9036" s="38" t="n">
        <f aca="false">SUMPRODUCT(--(Sens!$R$9000:$AA$9000&lt;Sens!T$9000),Sens!$R$9033:$AA$9033)/fac_life</f>
        <v>0.360549480652134</v>
      </c>
      <c r="U9036" s="38" t="n">
        <f aca="false">SUMPRODUCT(--(Sens!$R$9000:$AA$9000&lt;Sens!U$9000),Sens!$R$9033:$AA$9033)/fac_life</f>
        <v>1.29709472025025</v>
      </c>
      <c r="V9036" s="38" t="n">
        <f aca="false">SUMPRODUCT(--(Sens!$R$9000:$AA$9000&lt;Sens!V$9000),Sens!$R$9033:$AA$9033)/fac_life</f>
        <v>3.21599529914753</v>
      </c>
      <c r="W9036" s="38" t="n">
        <f aca="false">SUMPRODUCT(--(Sens!$R$9000:$AA$9000&lt;Sens!W$9000),Sens!$R$9033:$AA$9033)/fac_life</f>
        <v>5.51832434914753</v>
      </c>
      <c r="X9036" s="38" t="n">
        <f aca="false">SUMPRODUCT(--(Sens!$R$9000:$AA$9000&lt;Sens!X$9000),Sens!$R$9033:$AA$9033)/fac_life</f>
        <v>7.82065339914753</v>
      </c>
      <c r="Y9036" s="38" t="n">
        <f aca="false">SUMPRODUCT(--(Sens!$R$9000:$AA$9000&lt;Sens!Y$9000),Sens!$R$9033:$AA$9033)/fac_life</f>
        <v>10.1229824491475</v>
      </c>
      <c r="Z9036" s="38" t="n">
        <f aca="false">SUMPRODUCT(--(Sens!$R$9000:$AA$9000&lt;Sens!Z$9000),Sens!$R$9033:$AA$9033)/fac_life</f>
        <v>11.7516267992309</v>
      </c>
      <c r="AA9036" s="38" t="n">
        <f aca="false">SUMPRODUCT(--(Sens!$R$9000:$AA$9000&lt;Sens!AA$9000),Sens!$R$9033:$AA$9033)/fac_life</f>
        <v>12.7065864493975</v>
      </c>
    </row>
    <row r="9037" customFormat="false" ht="17.15" hidden="false" customHeight="false" outlineLevel="0" collapsed="false">
      <c r="A9037" s="1" t="s">
        <v>633</v>
      </c>
      <c r="B9037" s="8" t="s">
        <v>86</v>
      </c>
      <c r="C9037" s="38" t="n">
        <f aca="false">Sens!$C$9035+Sens!$C$9036</f>
        <v>0.203463948620839</v>
      </c>
      <c r="D9037" s="38" t="n">
        <f aca="false">Sens!$D$9035+Sens!$D$9036</f>
        <v>3.62245206231783</v>
      </c>
      <c r="E9037" s="38" t="n">
        <f aca="false">Sens!$E$9035+Sens!$E$9036</f>
        <v>6.51597588754466</v>
      </c>
      <c r="F9037" s="38" t="n">
        <f aca="false">Sens!$F$9035+Sens!$F$9036</f>
        <v>6.51597588754466</v>
      </c>
      <c r="G9037" s="38" t="n">
        <f aca="false">Sens!$G$9035+Sens!$G$9036</f>
        <v>13.0319517750893</v>
      </c>
      <c r="H9037" s="38" t="n">
        <f aca="false">Sens!$H$9035+Sens!$H$9036</f>
        <v>35.2941921973308</v>
      </c>
      <c r="I9037" s="38" t="n">
        <f aca="false">Sens!$I$9035+Sens!$I$9036</f>
        <v>63.0173185714558</v>
      </c>
      <c r="J9037" s="38" t="n">
        <f aca="false">Sens!$J$9035+Sens!$J$9036</f>
        <v>91.7529624398725</v>
      </c>
      <c r="K9037" s="38" t="n">
        <f aca="false">Sens!$K$9035+Sens!$K$9036</f>
        <v>121.178188209924</v>
      </c>
      <c r="L9037" s="38" t="n">
        <f aca="false">Sens!$L$9035+Sens!$L$9036</f>
        <v>140.172392488963</v>
      </c>
      <c r="M9037" s="38" t="n">
        <f aca="false">Sens!$M$9035+Sens!$M$9036</f>
        <v>151.473555772051</v>
      </c>
      <c r="N9037" s="38" t="n">
        <f aca="false">Sens!$N$9035+Sens!$N$9036</f>
        <v>1.81122603115892</v>
      </c>
      <c r="O9037" s="38" t="n">
        <f aca="false">Sens!$O$9035+Sens!$O$9036</f>
        <v>1.81122603115892</v>
      </c>
      <c r="R9037" s="38" t="n">
        <f aca="false">Sens!$R$9035+Sens!$R$9036</f>
        <v>0</v>
      </c>
      <c r="S9037" s="38" t="n">
        <f aca="false">Sens!$S$9035+Sens!$S$9036</f>
        <v>0.203463948620839</v>
      </c>
      <c r="T9037" s="38" t="n">
        <f aca="false">Sens!$T$9035+Sens!$T$9036</f>
        <v>3.62245206231783</v>
      </c>
      <c r="U9037" s="38" t="n">
        <f aca="false">Sens!$U$9035+Sens!$U$9036</f>
        <v>13.0319517750893</v>
      </c>
      <c r="V9037" s="38" t="n">
        <f aca="false">Sens!$V$9035+Sens!$V$9036</f>
        <v>35.2941921973308</v>
      </c>
      <c r="W9037" s="38" t="n">
        <f aca="false">Sens!$W$9035+Sens!$W$9036</f>
        <v>63.0173185714558</v>
      </c>
      <c r="X9037" s="38" t="n">
        <f aca="false">Sens!$X$9035+Sens!$X$9036</f>
        <v>91.7529624398725</v>
      </c>
      <c r="Y9037" s="38" t="n">
        <f aca="false">Sens!$Y$9035+Sens!$Y$9036</f>
        <v>121.178188209924</v>
      </c>
      <c r="Z9037" s="38" t="n">
        <f aca="false">Sens!$Z$9035+Sens!$Z$9036</f>
        <v>140.172392488963</v>
      </c>
      <c r="AA9037" s="38" t="n">
        <f aca="false">Sens!$AA$9035+Sens!$AA$9036</f>
        <v>151.473555772051</v>
      </c>
    </row>
    <row r="9038" customFormat="false" ht="17.15" hidden="false" customHeight="false" outlineLevel="0" collapsed="false">
      <c r="A9038" s="0" t="s">
        <v>634</v>
      </c>
      <c r="B9038" s="0" t="s">
        <v>86</v>
      </c>
      <c r="C9038" s="38" t="n">
        <f aca="false">Sens!$S$9038</f>
        <v>26.578941154416</v>
      </c>
      <c r="D9038" s="38" t="n">
        <f aca="false">Sens!$T$9038</f>
        <v>92.5251207231008</v>
      </c>
      <c r="G9038" s="38" t="n">
        <f aca="false">Sens!$U$9038</f>
        <v>239.931219586022</v>
      </c>
      <c r="H9038" s="38" t="n">
        <f aca="false">Sens!$V$9038</f>
        <v>403.208392333442</v>
      </c>
      <c r="I9038" s="38" t="n">
        <f aca="false">Sens!$W$9038</f>
        <v>544.837543672486</v>
      </c>
      <c r="J9038" s="38" t="n">
        <f aca="false">Sens!$X$9038</f>
        <v>662.967819343113</v>
      </c>
      <c r="K9038" s="38" t="n">
        <f aca="false">Sens!$Y$9038</f>
        <v>697.028016408391</v>
      </c>
      <c r="L9038" s="38" t="n">
        <f aca="false">Sens!$Z$9038</f>
        <v>688.86976555933</v>
      </c>
      <c r="M9038" s="38" t="n">
        <f aca="false">Sens!$AA$9038</f>
        <v>669.627191447132</v>
      </c>
      <c r="R9038" s="38" t="n">
        <f aca="false">SUM(Sens!$R$9030:$R$9030)-SUM(Sens!$R$9037:$R$9037)</f>
        <v>1.50429979529945</v>
      </c>
      <c r="S9038" s="38" t="n">
        <f aca="false">SUM(Sens!$R$9030:$S$9030)-SUM(Sens!$R$9037:$S$9037)</f>
        <v>26.578941154416</v>
      </c>
      <c r="T9038" s="38" t="n">
        <f aca="false">SUM(Sens!$R$9030:$T$9030)-SUM(Sens!$R$9037:$T$9037)</f>
        <v>92.5251207231008</v>
      </c>
      <c r="U9038" s="38" t="n">
        <f aca="false">SUM(Sens!$R$9030:$U$9030)-SUM(Sens!$R$9037:$U$9037)</f>
        <v>239.931219586022</v>
      </c>
      <c r="V9038" s="38" t="n">
        <f aca="false">SUM(Sens!$R$9030:$V$9030)-SUM(Sens!$R$9037:$V$9037)</f>
        <v>403.208392333442</v>
      </c>
      <c r="W9038" s="38" t="n">
        <f aca="false">SUM(Sens!$R$9030:$W$9030)-SUM(Sens!$R$9037:$W$9037)</f>
        <v>544.837543672486</v>
      </c>
      <c r="X9038" s="38" t="n">
        <f aca="false">SUM(Sens!$R$9030:$X$9030)-SUM(Sens!$R$9037:$X$9037)</f>
        <v>662.967819343113</v>
      </c>
      <c r="Y9038" s="38" t="n">
        <f aca="false">SUM(Sens!$R$9030:$Y$9030)-SUM(Sens!$R$9037:$Y$9037)</f>
        <v>697.028016408391</v>
      </c>
      <c r="Z9038" s="38" t="n">
        <f aca="false">SUM(Sens!$R$9030:$Z$9030)-SUM(Sens!$R$9037:$Z$9037)</f>
        <v>688.86976555933</v>
      </c>
      <c r="AA9038" s="38" t="n">
        <f aca="false">SUM(Sens!$R$9030:$AA$9030)-SUM(Sens!$R$9037:$AA$9037)</f>
        <v>669.627191447132</v>
      </c>
    </row>
    <row r="9039" customFormat="false" ht="17.15" hidden="false" customHeight="false" outlineLevel="0" collapsed="false">
      <c r="A9039" s="1" t="s">
        <v>635</v>
      </c>
    </row>
    <row r="9040" customFormat="false" ht="17.15" hidden="false" customHeight="false" outlineLevel="0" collapsed="false">
      <c r="A9040" s="0" t="s">
        <v>636</v>
      </c>
      <c r="B9040" s="0" t="s">
        <v>86</v>
      </c>
      <c r="C9040" s="38" t="n">
        <f aca="false">Sens!$C$9021-ext_sh*Sens!$C$9023</f>
        <v>1.80694998843362</v>
      </c>
      <c r="D9040" s="38" t="n">
        <f aca="false">Sens!$D$9021-ext_sh*Sens!$D$9023</f>
        <v>6.77606245662607</v>
      </c>
      <c r="E9040" s="38" t="n">
        <f aca="false">Sens!$E$9021-ext_sh*Sens!$E$9023</f>
        <v>6.62548329092326</v>
      </c>
      <c r="F9040" s="38" t="n">
        <f aca="false">Sens!$F$9021-ext_sh*Sens!$F$9023</f>
        <v>11.7200577158706</v>
      </c>
      <c r="G9040" s="38" t="n">
        <f aca="false">Sens!$G$9021-ext_sh*Sens!$G$9023</f>
        <v>18.3455410067939</v>
      </c>
      <c r="H9040" s="38" t="n">
        <f aca="false">Sens!$H$9021-ext_sh*Sens!$H$9023</f>
        <v>47.5171727060453</v>
      </c>
      <c r="I9040" s="38" t="n">
        <f aca="false">Sens!$I$9021-ext_sh*Sens!$I$9023</f>
        <v>80.5539692643667</v>
      </c>
      <c r="J9040" s="38" t="n">
        <f aca="false">Sens!$J$9021-ext_sh*Sens!$J$9023</f>
        <v>113.759316834883</v>
      </c>
      <c r="K9040" s="38" t="n">
        <f aca="false">Sens!$K$9021-ext_sh*Sens!$K$9023</f>
        <v>142.084411492169</v>
      </c>
      <c r="L9040" s="38" t="n">
        <f aca="false">Sens!$L$9021-ext_sh*Sens!$L$9023</f>
        <v>160.69964615804</v>
      </c>
      <c r="M9040" s="38" t="n">
        <f aca="false">Sens!$M$9021-ext_sh*Sens!$M$9023</f>
        <v>169.577607141793</v>
      </c>
      <c r="N9040" s="38" t="n">
        <f aca="false">Sens!$N$9021-ext_sh*Sens!$N$9023</f>
        <v>2.37162185981912</v>
      </c>
      <c r="O9040" s="38" t="n">
        <f aca="false">Sens!$O$9021-ext_sh*Sens!$O$9023</f>
        <v>4.40444059680694</v>
      </c>
    </row>
    <row r="9041" customFormat="false" ht="17.15" hidden="false" customHeight="false" outlineLevel="0" collapsed="false">
      <c r="A9041" s="1" t="s">
        <v>637</v>
      </c>
      <c r="B9041" s="8" t="s">
        <v>86</v>
      </c>
      <c r="C9041" s="38" t="n">
        <f aca="false">Sens!$C$9040-ext_sh*Sens!$C$9037</f>
        <v>1.64417882953695</v>
      </c>
      <c r="D9041" s="38" t="n">
        <f aca="false">Sens!$D$9040-ext_sh*Sens!$D$9037</f>
        <v>3.8781008067718</v>
      </c>
      <c r="E9041" s="38" t="n">
        <f aca="false">Sens!$E$9040-ext_sh*Sens!$E$9037</f>
        <v>1.41270258088753</v>
      </c>
      <c r="F9041" s="38" t="n">
        <f aca="false">Sens!$F$9040-ext_sh*Sens!$F$9037</f>
        <v>6.50727700583486</v>
      </c>
      <c r="G9041" s="38" t="n">
        <f aca="false">Sens!$G$9040-ext_sh*Sens!$G$9037</f>
        <v>7.9199795867224</v>
      </c>
      <c r="H9041" s="38" t="n">
        <f aca="false">Sens!$H$9040-ext_sh*Sens!$H$9037</f>
        <v>19.2818189481807</v>
      </c>
      <c r="I9041" s="38" t="n">
        <f aca="false">Sens!$I$9040-ext_sh*Sens!$I$9037</f>
        <v>30.140114407202</v>
      </c>
      <c r="J9041" s="38" t="n">
        <f aca="false">Sens!$J$9040-ext_sh*Sens!$J$9037</f>
        <v>40.3569468829854</v>
      </c>
      <c r="K9041" s="38" t="n">
        <f aca="false">Sens!$K$9040-ext_sh*Sens!$K$9037</f>
        <v>45.1418609242305</v>
      </c>
      <c r="L9041" s="38" t="n">
        <f aca="false">Sens!$L$9040-ext_sh*Sens!$L$9037</f>
        <v>48.5617321668703</v>
      </c>
      <c r="M9041" s="38" t="n">
        <f aca="false">Sens!$M$9040-ext_sh*Sens!$M$9037</f>
        <v>48.3987625241529</v>
      </c>
      <c r="N9041" s="38" t="n">
        <f aca="false">Sens!$N$9040-ext_sh*Sens!$N$9037</f>
        <v>0.92264103489199</v>
      </c>
      <c r="O9041" s="38" t="n">
        <f aca="false">Sens!$O$9040-ext_sh*Sens!$O$9037</f>
        <v>2.95545977187981</v>
      </c>
    </row>
    <row r="9042" customFormat="false" ht="17.15" hidden="false" customHeight="false" outlineLevel="0" collapsed="false">
      <c r="A9042" s="0" t="s">
        <v>638</v>
      </c>
      <c r="B9042" s="0" t="s">
        <v>52</v>
      </c>
      <c r="C9042" s="13" t="n">
        <f aca="false">Sens!$C$9041/Sens!$C$9021</f>
        <v>0.708390794789371</v>
      </c>
      <c r="D9042" s="13" t="n">
        <f aca="false">Sens!$D$9041/Sens!$D$9021</f>
        <v>0.445565630441968</v>
      </c>
      <c r="E9042" s="13" t="n">
        <f aca="false">Sens!$E$9041/Sens!$E$9021</f>
        <v>0.165998118402711</v>
      </c>
      <c r="F9042" s="13" t="n">
        <f aca="false">Sens!$F$9041/Sens!$F$9021</f>
        <v>0.434878595403858</v>
      </c>
      <c r="G9042" s="13" t="n">
        <f aca="false">Sens!$G$9041/Sens!$G$9021</f>
        <v>0.3373967615381</v>
      </c>
      <c r="H9042" s="13" t="n">
        <f aca="false">Sens!$H$9041/Sens!$H$9021</f>
        <v>0.320477578041224</v>
      </c>
      <c r="I9042" s="13" t="n">
        <f aca="false">Sens!$I$9041/Sens!$I$9021</f>
        <v>0.296936118226494</v>
      </c>
      <c r="J9042" s="13" t="n">
        <f aca="false">Sens!$J$9041/Sens!$J$9021</f>
        <v>0.282166278613001</v>
      </c>
      <c r="K9042" s="13" t="n">
        <f aca="false">Sens!$K$9041/Sens!$K$9021</f>
        <v>0.252969102881543</v>
      </c>
      <c r="L9042" s="13" t="n">
        <f aca="false">Sens!$L$9041/Sens!$L$9021</f>
        <v>0.240728642826566</v>
      </c>
      <c r="M9042" s="13" t="n">
        <f aca="false">Sens!$M$9041/Sens!$M$9021</f>
        <v>0.227399920863147</v>
      </c>
      <c r="N9042" s="13" t="n">
        <f aca="false">Sens!$N$9041/Sens!$N$9021</f>
        <v>0.302870734830849</v>
      </c>
      <c r="O9042" s="13" t="n">
        <f aca="false">Sens!$O$9041/Sens!$O$9021</f>
        <v>0.52240134346334</v>
      </c>
    </row>
    <row r="9043" customFormat="false" ht="17.15" hidden="false" customHeight="false" outlineLevel="0" collapsed="false">
      <c r="A9043" s="5" t="s">
        <v>639</v>
      </c>
      <c r="B9043" s="0" t="s">
        <v>86</v>
      </c>
      <c r="C9043" s="39" t="n">
        <v>0</v>
      </c>
      <c r="D9043" s="39" t="n">
        <v>0</v>
      </c>
      <c r="E9043" s="39" t="n">
        <v>0</v>
      </c>
      <c r="F9043" s="38" t="n">
        <f aca="false">IF(internal_ai_reading=2,1,0)*(1-ext_sh)/ext_sh*(mw_open*he_open+Sens!$F$9019*Sens!$F$9016)*Sens!$F$9005/1000</f>
        <v>3.77122048175818</v>
      </c>
      <c r="G9043" s="38" t="n">
        <f aca="false">Sens!$E$9043+Sens!$F$9043</f>
        <v>3.77122048175818</v>
      </c>
      <c r="H9043" s="38" t="n">
        <f aca="false">IF(internal_ai_reading=2,1,0)*(1-ext_sh)/ext_sh*(mw_open*he_open+Sens!$H$9019*Sens!$H$9016)*Sens!$H$9005/1000</f>
        <v>15.1635543609893</v>
      </c>
      <c r="I9043" s="38" t="n">
        <f aca="false">IF(internal_ai_reading=2,1,0)*(1-ext_sh)/ext_sh*(mw_open*he_open+Sens!$I$9019*Sens!$I$9016)*Sens!$I$9005/1000</f>
        <v>25.5818843619889</v>
      </c>
      <c r="J9043" s="38" t="n">
        <f aca="false">IF(internal_ai_reading=2,1,0)*(1-ext_sh)/ext_sh*(mw_open*he_open+Sens!$J$9019*Sens!$J$9016)*Sens!$J$9005/1000</f>
        <v>36.0465624179122</v>
      </c>
      <c r="K9043" s="38" t="n">
        <f aca="false">IF(internal_ai_reading=2,1,0)*(1-ext_sh)/ext_sh*(mw_open*he_open+Sens!$K$9019*Sens!$K$9016)*Sens!$K$9005/1000</f>
        <v>44.9741164026038</v>
      </c>
      <c r="L9043" s="38" t="n">
        <f aca="false">IF(internal_ai_reading=2,1,0)*(1-ext_sh)/ext_sh*(mw_open*he_open+Sens!$L$9019*Sens!$L$9016)*Sens!$L$9005/1000</f>
        <v>50.8413488057813</v>
      </c>
      <c r="M9043" s="38" t="n">
        <f aca="false">IF(internal_ai_reading=2,1,0)*(1-ext_sh)/ext_sh*(mw_open*he_open+Sens!$M$9019*Sens!$M$9016)*Sens!$M$9005/1000</f>
        <v>53.6407214274315</v>
      </c>
      <c r="N9043" s="39" t="n">
        <v>0</v>
      </c>
      <c r="O9043" s="39" t="n">
        <v>0</v>
      </c>
      <c r="P9043" s="8" t="s">
        <v>640</v>
      </c>
    </row>
    <row r="9044" customFormat="false" ht="17.15" hidden="false" customHeight="false" outlineLevel="0" collapsed="false">
      <c r="A9044" s="5" t="s">
        <v>641</v>
      </c>
      <c r="B9044" s="0" t="s">
        <v>86</v>
      </c>
      <c r="C9044" s="38" t="n">
        <f aca="false">(1-ext_sh)*(Sens!$C$9023+Sens!$C$9037)</f>
        <v>0.169206631859174</v>
      </c>
      <c r="D9044" s="38" t="n">
        <f aca="false">(1-ext_sh)*(Sens!$D$9023+Sens!$D$9037)</f>
        <v>1.20641732046984</v>
      </c>
      <c r="E9044" s="38" t="n">
        <f aca="false">(1-ext_sh)*(Sens!$E$9023+Sens!$E$9037)</f>
        <v>1.77441259867062</v>
      </c>
      <c r="F9044" s="38" t="n">
        <f aca="false">(1-ext_sh)*(Sens!$F$9023+Sens!$F$9037)</f>
        <v>2.1140391597214</v>
      </c>
      <c r="G9044" s="38" t="n">
        <f aca="false">(1-ext_sh)*(Sens!$G$9023+Sens!$G$9037)</f>
        <v>3.88845175839202</v>
      </c>
      <c r="H9044" s="38" t="n">
        <f aca="false">(1-ext_sh)*(Sens!$H$9023+Sens!$H$9037)</f>
        <v>10.2210179503985</v>
      </c>
      <c r="I9044" s="38" t="n">
        <f aca="false">(1-ext_sh)*(Sens!$I$9023+Sens!$I$9037)</f>
        <v>17.8408961823075</v>
      </c>
      <c r="J9044" s="38" t="n">
        <f aca="false">(1-ext_sh)*(Sens!$J$9023+Sens!$J$9037)</f>
        <v>25.6671150670732</v>
      </c>
      <c r="K9044" s="38" t="n">
        <f aca="false">(1-ext_sh)*(Sens!$K$9023+Sens!$K$9037)</f>
        <v>33.3265648647373</v>
      </c>
      <c r="L9044" s="38" t="n">
        <f aca="false">(1-ext_sh)*(Sens!$L$9023+Sens!$L$9037)</f>
        <v>38.2915924088815</v>
      </c>
      <c r="M9044" s="38" t="n">
        <f aca="false">(1-ext_sh)*(Sens!$M$9023+Sens!$M$9037)</f>
        <v>41.1091697111781</v>
      </c>
      <c r="N9044" s="38" t="n">
        <f aca="false">(1-ext_sh)*(Sens!$N$9023+Sens!$N$9037)</f>
        <v>0.530919624033979</v>
      </c>
      <c r="O9044" s="38" t="n">
        <f aca="false">(1-ext_sh)*(Sens!$O$9023+Sens!$O$9037)</f>
        <v>0.675497696435861</v>
      </c>
    </row>
    <row r="9045" customFormat="false" ht="17.15" hidden="false" customHeight="false" outlineLevel="0" collapsed="false">
      <c r="A9045" s="0" t="s">
        <v>642</v>
      </c>
      <c r="B9045" s="0" t="s">
        <v>86</v>
      </c>
      <c r="C9045" s="38" t="n">
        <f aca="false">Q!$D$24</f>
        <v>39.834</v>
      </c>
      <c r="D9045" s="38" t="n">
        <f aca="false">Q!$E$24</f>
        <v>45.606</v>
      </c>
      <c r="E9045" s="38" t="n">
        <f aca="false">Q!$P$24</f>
        <v>30.782</v>
      </c>
      <c r="N9045" s="38" t="n">
        <f aca="false">Q!$N$24</f>
        <v>21.707</v>
      </c>
      <c r="O9045" s="38" t="n">
        <f aca="false">Q!$O$24</f>
        <v>23.899</v>
      </c>
    </row>
    <row r="9046" customFormat="false" ht="17.15" hidden="false" customHeight="false" outlineLevel="0" collapsed="false">
      <c r="A9046" s="0" t="s">
        <v>643</v>
      </c>
      <c r="B9046" s="0" t="s">
        <v>86</v>
      </c>
      <c r="C9046" s="38" t="n">
        <f aca="false">Sens!$C$9045-Sens!$C$9041</f>
        <v>38.1898211704631</v>
      </c>
      <c r="D9046" s="38" t="n">
        <f aca="false">Sens!$D$9045-Sens!$D$9041</f>
        <v>41.7278991932282</v>
      </c>
      <c r="E9046" s="38" t="n">
        <f aca="false">Sens!$E$9045-Sens!$E$9041</f>
        <v>29.3692974191125</v>
      </c>
      <c r="F9046" s="38" t="n">
        <f aca="false">Sens!$F$9025*Sens!$F$9047</f>
        <v>26.8997276714137</v>
      </c>
      <c r="G9046" s="38" t="n">
        <f aca="false">Sens!$E$9046+Sens!$F$9046</f>
        <v>56.2690250905262</v>
      </c>
      <c r="H9046" s="38" t="n">
        <f aca="false">Sens!$H$9025*Sens!$H$9047</f>
        <v>60.3505333937343</v>
      </c>
      <c r="I9046" s="38" t="n">
        <f aca="false">Sens!$I$9025*Sens!$I$9047</f>
        <v>67.0043857303571</v>
      </c>
      <c r="J9046" s="38" t="n">
        <f aca="false">Sens!$J$9025*Sens!$J$9047</f>
        <v>73.3782922956925</v>
      </c>
      <c r="K9046" s="38" t="n">
        <f aca="false">Sens!$K$9025*Sens!$K$9047</f>
        <v>79.2485556793479</v>
      </c>
      <c r="L9046" s="38" t="n">
        <f aca="false">Sens!$L$9025*Sens!$L$9047</f>
        <v>85.5884401336958</v>
      </c>
      <c r="M9046" s="38" t="n">
        <f aca="false">Sens!$M$9025*Sens!$M$9047</f>
        <v>92.4355153443914</v>
      </c>
      <c r="N9046" s="38" t="n">
        <f aca="false">Sens!$N$9045-Sens!$N$9041</f>
        <v>20.784358965108</v>
      </c>
      <c r="O9046" s="38" t="n">
        <f aca="false">Sens!$O$9045-Sens!$O$9041</f>
        <v>20.9435402281202</v>
      </c>
      <c r="P9046" s="5" t="s">
        <v>644</v>
      </c>
    </row>
    <row r="9047" customFormat="false" ht="17.15" hidden="false" customHeight="false" outlineLevel="0" collapsed="false">
      <c r="A9047" s="0" t="s">
        <v>645</v>
      </c>
      <c r="B9047" s="0" t="s">
        <v>52</v>
      </c>
      <c r="C9047" s="13" t="n">
        <f aca="false">Sens!$C$9046/Sens!$C$9025</f>
        <v>0.362900395443635</v>
      </c>
      <c r="D9047" s="13" t="n">
        <f aca="false">Sens!$D$9046/Sens!$D$9025</f>
        <v>0.34767098474203</v>
      </c>
      <c r="E9047" s="13" t="n">
        <f aca="false">Sens!$E$9046/Sens!$E$9025</f>
        <v>0.411861655558416</v>
      </c>
      <c r="F9047" s="13" t="n">
        <f aca="false">(Sens!$O$9046+Sens!$E$9046)/(Sens!$O$9025+Sens!$E$9025)</f>
        <v>0.37480827803158</v>
      </c>
      <c r="G9047" s="13" t="n">
        <f aca="false">Sens!$G$9046/Sens!$G$9025</f>
        <v>0.393275318395757</v>
      </c>
      <c r="H9047" s="13" t="n">
        <f aca="false">Sens!$F$9047</f>
        <v>0.37480827803158</v>
      </c>
      <c r="I9047" s="13" t="n">
        <f aca="false">Sens!$F$9047</f>
        <v>0.37480827803158</v>
      </c>
      <c r="J9047" s="13" t="n">
        <f aca="false">Sens!$F$9047</f>
        <v>0.37480827803158</v>
      </c>
      <c r="K9047" s="13" t="n">
        <f aca="false">Sens!$F$9047</f>
        <v>0.37480827803158</v>
      </c>
      <c r="L9047" s="13" t="n">
        <f aca="false">Sens!$F$9047</f>
        <v>0.37480827803158</v>
      </c>
      <c r="M9047" s="13" t="n">
        <f aca="false">Sens!$F$9047</f>
        <v>0.37480827803158</v>
      </c>
      <c r="N9047" s="13" t="n">
        <f aca="false">Sens!$N$9046/Sens!$N$9025</f>
        <v>0.364039571356823</v>
      </c>
      <c r="O9047" s="13" t="n">
        <f aca="false">Sens!$O$9046/Sens!$O$9025</f>
        <v>0.332819892300086</v>
      </c>
      <c r="P9047" s="8" t="s">
        <v>646</v>
      </c>
    </row>
    <row r="9048" customFormat="false" ht="17.15" hidden="false" customHeight="false" outlineLevel="0" collapsed="false">
      <c r="A9048" s="0" t="s">
        <v>647</v>
      </c>
      <c r="B9048" s="0" t="s">
        <v>52</v>
      </c>
      <c r="D9048" s="13" t="n">
        <f aca="false">(Q!$E$31-ext_sh*Sens!$D$9037)/Sens!$D$9025</f>
        <v>0.154572973163571</v>
      </c>
    </row>
    <row r="9049" customFormat="false" ht="17.15" hidden="false" customHeight="false" outlineLevel="0" collapsed="false">
      <c r="A9049" s="0" t="s">
        <v>648</v>
      </c>
      <c r="B9049" s="0" t="s">
        <v>86</v>
      </c>
      <c r="C9049" s="38" t="n">
        <f aca="false">Q!$D$31</f>
        <v>13.32</v>
      </c>
      <c r="D9049" s="38" t="n">
        <f aca="false">Q!$E$31</f>
        <v>21.45</v>
      </c>
      <c r="E9049" s="38" t="n">
        <f aca="false">Q!$P$31</f>
        <v>15.353</v>
      </c>
      <c r="F9049" s="38" t="n">
        <f aca="false">ext_sh*Sens!$F$9037+Sens!$D$9048*Sens!$F$9025</f>
        <v>16.3063747611001</v>
      </c>
      <c r="G9049" s="38" t="n">
        <f aca="false">Sens!$E$9049+Sens!$F$9049</f>
        <v>31.6593747611001</v>
      </c>
      <c r="H9049" s="38" t="n">
        <f aca="false">ext_sh*Sens!$H$9037+Sens!$D$9048*Sens!$H$9025</f>
        <v>53.124242092105</v>
      </c>
      <c r="I9049" s="38" t="n">
        <f aca="false">ext_sh*Sens!$I$9037+Sens!$D$9048*Sens!$I$9025</f>
        <v>78.046828098133</v>
      </c>
      <c r="J9049" s="38" t="n">
        <f aca="false">ext_sh*Sens!$J$9037+Sens!$D$9048*Sens!$J$9025</f>
        <v>103.663976940352</v>
      </c>
      <c r="K9049" s="38" t="n">
        <f aca="false">ext_sh*Sens!$K$9037+Sens!$D$9048*Sens!$K$9025</f>
        <v>129.625086115469</v>
      </c>
      <c r="L9049" s="38" t="n">
        <f aca="false">ext_sh*Sens!$L$9037+Sens!$D$9048*Sens!$L$9025</f>
        <v>147.435052382502</v>
      </c>
      <c r="M9049" s="38" t="n">
        <f aca="false">ext_sh*Sens!$M$9037+Sens!$D$9048*Sens!$M$9025</f>
        <v>159.299754080279</v>
      </c>
      <c r="N9049" s="38" t="n">
        <f aca="false">Q!$N$31</f>
        <v>9.234</v>
      </c>
      <c r="O9049" s="38" t="n">
        <f aca="false">Q!$O$31</f>
        <v>12.216</v>
      </c>
    </row>
    <row r="9050" customFormat="false" ht="17.15" hidden="false" customHeight="false" outlineLevel="0" collapsed="false">
      <c r="A9050" s="1" t="s">
        <v>649</v>
      </c>
    </row>
    <row r="9051" customFormat="false" ht="17.15" hidden="false" customHeight="false" outlineLevel="0" collapsed="false">
      <c r="A9051" s="15" t="s">
        <v>650</v>
      </c>
      <c r="B9051" s="14" t="s">
        <v>52</v>
      </c>
      <c r="C9051" s="14"/>
      <c r="D9051" s="14"/>
      <c r="E9051" s="14"/>
      <c r="F9051" s="14"/>
      <c r="G9051" s="17" t="n">
        <f aca="false">Sens!$G$9041*(1-tax)/(ext_sh*(Sens!$D$9038+Sens!$G$9038)/2)</f>
        <v>0.0492184452944045</v>
      </c>
      <c r="H9051" s="17" t="n">
        <f aca="false">Sens!$H$9041*(1-tax)/(ext_sh*(Sens!$G$9038+Sens!$H$9038)/2)</f>
        <v>0.0619414246858107</v>
      </c>
      <c r="I9051" s="17" t="n">
        <f aca="false">Sens!$I$9041*(1-tax)/(ext_sh*(Sens!$H$9038+Sens!$I$9038)/2)</f>
        <v>0.0656831488051666</v>
      </c>
      <c r="J9051" s="17" t="n">
        <f aca="false">Sens!$J$9041*(1-tax)/(ext_sh*(Sens!$I$9038+Sens!$J$9038)/2)</f>
        <v>0.0690334849962116</v>
      </c>
      <c r="K9051" s="17" t="n">
        <f aca="false">Sens!$K$9041*(1-tax)/(ext_sh*(Sens!$J$9038+Sens!$K$9038)/2)</f>
        <v>0.0685772915331967</v>
      </c>
      <c r="L9051" s="17" t="n">
        <f aca="false">Sens!$L$9041*(1-tax)/(ext_sh*(Sens!$K$9038+Sens!$L$9038)/2)</f>
        <v>0.0723938074635756</v>
      </c>
      <c r="M9051" s="17" t="n">
        <f aca="false">Sens!$M$9041*(1-tax)/(ext_sh*(Sens!$L$9038+Sens!$M$9038)/2)</f>
        <v>0.0736061388214139</v>
      </c>
      <c r="N9051" s="14"/>
      <c r="O9051" s="14"/>
      <c r="P9051" s="8" t="s">
        <v>651</v>
      </c>
    </row>
    <row r="9052" customFormat="false" ht="17.15" hidden="false" customHeight="false" outlineLevel="0" collapsed="false">
      <c r="A9052" s="5" t="s">
        <v>652</v>
      </c>
      <c r="B9052" s="0" t="s">
        <v>57</v>
      </c>
      <c r="H9052" s="36" t="n">
        <f aca="false">Sens!$H$9021*1000/(mw_open*he_open+Sens!$H$9019*Sens!$H$9016)</f>
        <v>0.991949006767191</v>
      </c>
      <c r="I9052" s="36" t="n">
        <f aca="false">Sens!$I$9021*1000/(mw_open*he_open+Sens!$I$9019*Sens!$I$9016)</f>
        <v>0.991949006767191</v>
      </c>
      <c r="J9052" s="36" t="n">
        <f aca="false">Sens!$J$9021*1000/(mw_open*he_open+Sens!$J$9019*Sens!$J$9016)</f>
        <v>0.991949006767191</v>
      </c>
      <c r="K9052" s="36" t="n">
        <f aca="false">Sens!$K$9021*1000/(mw_open*he_open+Sens!$K$9019*Sens!$K$9016)</f>
        <v>0.991949006767191</v>
      </c>
      <c r="L9052" s="36" t="n">
        <f aca="false">Sens!$L$9021*1000/(mw_open*he_open+Sens!$L$9019*Sens!$L$9016)</f>
        <v>0.991949006767191</v>
      </c>
      <c r="M9052" s="36" t="n">
        <f aca="false">Sens!$M$9021*1000/(mw_open*he_open+Sens!$M$9019*Sens!$M$9016)</f>
        <v>0.991949006767191</v>
      </c>
    </row>
    <row r="9053" customFormat="false" ht="17.15" hidden="false" customHeight="false" outlineLevel="0" collapsed="false">
      <c r="A9053" s="5" t="s">
        <v>653</v>
      </c>
      <c r="B9053" s="0" t="s">
        <v>57</v>
      </c>
      <c r="H9053" s="36" t="n">
        <f aca="false">Sens!$H$9052*(Sens!$H$9021+wacc*ext_sh*(Sens!$G$9038+Sens!$H$9038)/2/(1-tax)-Sens!$H$9041)/Sens!$H$9021</f>
        <v>1.25551961623259</v>
      </c>
      <c r="I9053" s="36" t="n">
        <f aca="false">Sens!$I$9052*(Sens!$I$9021+wacc*ext_sh*(Sens!$H$9038+Sens!$I$9038)/2/(1-tax)-Sens!$I$9041)/Sens!$I$9021</f>
        <v>1.2054675393263</v>
      </c>
      <c r="J9053" s="36" t="n">
        <f aca="false">Sens!$J$9052*(Sens!$J$9021+wacc*ext_sh*(Sens!$I$9038+Sens!$J$9038)/2/(1-tax)-Sens!$J$9041)/Sens!$J$9021</f>
        <v>1.17141604927023</v>
      </c>
      <c r="K9053" s="36" t="n">
        <f aca="false">Sens!$K$9052*(Sens!$K$9021+wacc*ext_sh*(Sens!$J$9038+Sens!$K$9038)/2/(1-tax)-Sens!$K$9041)/Sens!$K$9021</f>
        <v>1.15558527566281</v>
      </c>
      <c r="L9053" s="36" t="n">
        <f aca="false">Sens!$L$9052*(Sens!$L$9021+wacc*ext_sh*(Sens!$K$9038+Sens!$L$9038)/2/(1-tax)-Sens!$L$9041)/Sens!$L$9021</f>
        <v>1.12686933572495</v>
      </c>
      <c r="M9053" s="36" t="n">
        <f aca="false">Sens!$M$9052*(Sens!$M$9021+wacc*ext_sh*(Sens!$L$9038+Sens!$M$9038)/2/(1-tax)-Sens!$M$9041)/Sens!$M$9021</f>
        <v>1.11358462527531</v>
      </c>
    </row>
    <row r="9054" customFormat="false" ht="17.15" hidden="false" customHeight="false" outlineLevel="0" collapsed="false">
      <c r="A9054" s="5" t="s">
        <v>654</v>
      </c>
      <c r="B9054" s="0" t="s">
        <v>52</v>
      </c>
      <c r="C9054" s="13" t="n">
        <f aca="false">Sens!$C$9022/tk_pq</f>
        <v>0.195316432429398</v>
      </c>
      <c r="D9054" s="13" t="n">
        <f aca="false">Sens!$D$9022/tk_pq</f>
        <v>0.195316432429398</v>
      </c>
      <c r="E9054" s="13" t="n">
        <f aca="false">Sens!$E$9022/tk_pq</f>
        <v>0.195316432429398</v>
      </c>
      <c r="F9054" s="13" t="n">
        <f aca="false">Sens!$F$9022/tk_pq</f>
        <v>0.202241827274866</v>
      </c>
      <c r="G9054" s="13" t="n">
        <f aca="false">Sens!$G$9022/tk_pq</f>
        <v>0.199675016194063</v>
      </c>
      <c r="H9054" s="13" t="n">
        <f aca="false">Sens!$H$9022/tk_pq</f>
        <v>0.212647947710325</v>
      </c>
      <c r="I9054" s="13" t="n">
        <f aca="false">Sens!$I$9022/tk_pq</f>
        <v>0.219285125475351</v>
      </c>
      <c r="J9054" s="13" t="n">
        <f aca="false">Sens!$J$9022/tk_pq</f>
        <v>0.222492493217189</v>
      </c>
      <c r="K9054" s="13" t="n">
        <f aca="false">Sens!$K$9022/tk_pq</f>
        <v>0.224053502812094</v>
      </c>
      <c r="L9054" s="13" t="n">
        <f aca="false">Sens!$L$9022/tk_pq</f>
        <v>0.224786916785614</v>
      </c>
      <c r="M9054" s="13" t="n">
        <f aca="false">Sens!$M$9022/tk_pq</f>
        <v>0.225048671566937</v>
      </c>
      <c r="N9054" s="13" t="n">
        <f aca="false">Sens!$N$9022/tk_pq</f>
        <v>0.195316432429398</v>
      </c>
      <c r="O9054" s="13" t="n">
        <f aca="false">Sens!$O$9022/tk_pq</f>
        <v>0.195316432429398</v>
      </c>
      <c r="P9054" s="5" t="s">
        <v>655</v>
      </c>
    </row>
    <row r="9057" customFormat="false" ht="17.15" hidden="false" customHeight="false" outlineLevel="0" collapsed="false">
      <c r="A9057" s="1" t="s">
        <v>684</v>
      </c>
    </row>
    <row r="9058" customFormat="false" ht="17.15" hidden="false" customHeight="false" outlineLevel="0" collapsed="false">
      <c r="A9058" s="0" t="s">
        <v>685</v>
      </c>
      <c r="B9058" s="0" t="s">
        <v>86</v>
      </c>
      <c r="C9058" s="38" t="n">
        <f aca="false">Sens!$C$9021</f>
        <v>2.32100535697364</v>
      </c>
      <c r="D9058" s="38" t="n">
        <f aca="false">Sens!$D$9021</f>
        <v>8.70377008865116</v>
      </c>
      <c r="E9058" s="38" t="n">
        <f aca="false">Sens!$E$9021</f>
        <v>8.51035297557002</v>
      </c>
      <c r="F9058" s="38" t="n">
        <f aca="false">Sens!$F$9021</f>
        <v>14.9634336447205</v>
      </c>
      <c r="G9058" s="38" t="n">
        <f aca="false">Sens!$G$9021</f>
        <v>23.4737866202905</v>
      </c>
      <c r="H9058" s="38" t="n">
        <f aca="false">Sens!$H$9021</f>
        <v>60.1658907497746</v>
      </c>
      <c r="I9058" s="38" t="n">
        <f aca="false">Sens!$I$9021</f>
        <v>101.503699136432</v>
      </c>
      <c r="J9058" s="38" t="n">
        <f aca="false">Sens!$J$9021</f>
        <v>143.025407151278</v>
      </c>
      <c r="K9058" s="38" t="n">
        <f aca="false">Sens!$K$9021</f>
        <v>178.44812038318</v>
      </c>
      <c r="L9058" s="38" t="n">
        <f aca="false">Sens!$L$9021</f>
        <v>201.728101802396</v>
      </c>
      <c r="M9058" s="38" t="n">
        <f aca="false">Sens!$M$9021</f>
        <v>212.835441368865</v>
      </c>
      <c r="N9058" s="38" t="n">
        <f aca="false">Sens!$N$9021</f>
        <v>3.04631953102791</v>
      </c>
      <c r="O9058" s="38" t="n">
        <f aca="false">Sens!$O$9021</f>
        <v>5.65745055762326</v>
      </c>
      <c r="P9058" s="8" t="s">
        <v>686</v>
      </c>
    </row>
    <row r="9059" customFormat="false" ht="17.15" hidden="false" customHeight="false" outlineLevel="0" collapsed="false">
      <c r="A9059" s="0" t="s">
        <v>687</v>
      </c>
      <c r="B9059" s="0" t="s">
        <v>86</v>
      </c>
      <c r="C9059" s="38" t="n">
        <f aca="false">Sens!$C$9025</f>
        <v>105.234994643026</v>
      </c>
      <c r="D9059" s="38" t="n">
        <f aca="false">Sens!$D$9025</f>
        <v>120.021229911349</v>
      </c>
      <c r="E9059" s="38" t="n">
        <f aca="false">Sens!$E$9025</f>
        <v>71.30864702443</v>
      </c>
      <c r="F9059" s="38" t="n">
        <f aca="false">Sens!$F$9025</f>
        <v>71.7692997942464</v>
      </c>
      <c r="G9059" s="38" t="n">
        <f aca="false">Sens!$G$9025</f>
        <v>143.077946818676</v>
      </c>
      <c r="H9059" s="38" t="n">
        <f aca="false">Sens!$H$9025</f>
        <v>161.017077079203</v>
      </c>
      <c r="I9059" s="38" t="n">
        <f aca="false">Sens!$I$9025</f>
        <v>178.769759521457</v>
      </c>
      <c r="J9059" s="38" t="n">
        <f aca="false">Sens!$J$9025</f>
        <v>195.775538045907</v>
      </c>
      <c r="K9059" s="38" t="n">
        <f aca="false">Sens!$K$9025</f>
        <v>211.43758108958</v>
      </c>
      <c r="L9059" s="38" t="n">
        <f aca="false">Sens!$L$9025</f>
        <v>228.352587576746</v>
      </c>
      <c r="M9059" s="38" t="n">
        <f aca="false">Sens!$M$9025</f>
        <v>246.620794582886</v>
      </c>
      <c r="N9059" s="38" t="n">
        <f aca="false">Sens!$N$9025</f>
        <v>57.0936804689721</v>
      </c>
      <c r="O9059" s="38" t="n">
        <f aca="false">Sens!$O$9025</f>
        <v>62.9275494423768</v>
      </c>
      <c r="P9059" s="8" t="s">
        <v>686</v>
      </c>
    </row>
    <row r="9060" customFormat="false" ht="17.15" hidden="false" customHeight="false" outlineLevel="0" collapsed="false">
      <c r="A9060" s="1" t="s">
        <v>513</v>
      </c>
      <c r="B9060" s="8" t="s">
        <v>86</v>
      </c>
      <c r="C9060" s="38" t="n">
        <f aca="false">Q!$D$7</f>
        <v>107.556</v>
      </c>
      <c r="D9060" s="38" t="n">
        <f aca="false">Q!$E$7</f>
        <v>128.725</v>
      </c>
      <c r="E9060" s="38" t="n">
        <f aca="false">Q!$P$7</f>
        <v>79.819</v>
      </c>
      <c r="F9060" s="38" t="n">
        <f aca="false">Sens!$F$9058+Sens!$F$9059</f>
        <v>86.7327334389669</v>
      </c>
      <c r="G9060" s="38" t="n">
        <f aca="false">Sens!$G$9058+Sens!$G$9059</f>
        <v>166.551733438967</v>
      </c>
      <c r="H9060" s="38" t="n">
        <f aca="false">Sens!$H$9058+Sens!$H$9059</f>
        <v>221.182967828978</v>
      </c>
      <c r="I9060" s="38" t="n">
        <f aca="false">Sens!$I$9058+Sens!$I$9059</f>
        <v>280.27345865789</v>
      </c>
      <c r="J9060" s="38" t="n">
        <f aca="false">Sens!$J$9058+Sens!$J$9059</f>
        <v>338.800945197185</v>
      </c>
      <c r="K9060" s="38" t="n">
        <f aca="false">Sens!$K$9058+Sens!$K$9059</f>
        <v>389.88570147276</v>
      </c>
      <c r="L9060" s="38" t="n">
        <f aca="false">Sens!$L$9058+Sens!$L$9059</f>
        <v>430.080689379143</v>
      </c>
      <c r="M9060" s="38" t="n">
        <f aca="false">Sens!$M$9058+Sens!$M$9059</f>
        <v>459.456235951751</v>
      </c>
      <c r="N9060" s="38" t="n">
        <f aca="false">Q!$N$7</f>
        <v>60.14</v>
      </c>
      <c r="O9060" s="38" t="n">
        <f aca="false">Q!$O$7</f>
        <v>68.585</v>
      </c>
      <c r="P9060" s="5" t="s">
        <v>688</v>
      </c>
    </row>
    <row r="9061" customFormat="false" ht="15" hidden="false" customHeight="false" outlineLevel="0" collapsed="false">
      <c r="A9061" s="3" t="s">
        <v>689</v>
      </c>
      <c r="B9061" s="8" t="s">
        <v>86</v>
      </c>
      <c r="C9061" s="38" t="n">
        <f aca="false">Q!$D$8</f>
        <v>637.959</v>
      </c>
      <c r="D9061" s="38" t="n">
        <f aca="false">Q!$E$8</f>
        <v>716.924</v>
      </c>
      <c r="E9061" s="38" t="n">
        <f aca="false">Q!$P$8</f>
        <v>382.125</v>
      </c>
      <c r="F9061" s="38" t="n">
        <f aca="false">Sens!$F$8993+Sens!$F$9060</f>
        <v>435.780975084504</v>
      </c>
      <c r="G9061" s="38" t="n">
        <f aca="false">Sens!$G$8993+Sens!$G$9060</f>
        <v>817.905975084504</v>
      </c>
      <c r="H9061" s="38" t="n">
        <f aca="false">Sens!$H$8993+Sens!$H$9060</f>
        <v>942.279857350364</v>
      </c>
      <c r="I9061" s="38" t="n">
        <f aca="false">Sens!$I$8993+Sens!$I$9060</f>
        <v>1068.80284981042</v>
      </c>
      <c r="J9061" s="38" t="n">
        <f aca="false">Sens!$J$8993+Sens!$J$9060</f>
        <v>1189.90935093863</v>
      </c>
      <c r="K9061" s="38" t="n">
        <f aca="false">Sens!$K$8993+Sens!$K$9060</f>
        <v>1296.06215690385</v>
      </c>
      <c r="L9061" s="38" t="n">
        <f aca="false">Sens!$L$8993+Sens!$L$9060</f>
        <v>1395.17379585473</v>
      </c>
      <c r="M9061" s="38" t="n">
        <f aca="false">Sens!$M$8993+Sens!$M$9060</f>
        <v>1487.60414389864</v>
      </c>
      <c r="N9061" s="38" t="n">
        <f aca="false">Q!$N$8</f>
        <v>323.369</v>
      </c>
      <c r="O9061" s="38" t="n">
        <f aca="false">Q!$O$8</f>
        <v>393.555</v>
      </c>
    </row>
    <row r="9062" customFormat="false" ht="17.15" hidden="false" customHeight="false" outlineLevel="0" collapsed="false">
      <c r="A9062" s="24" t="s">
        <v>697</v>
      </c>
      <c r="B9062" s="25" t="s">
        <v>86</v>
      </c>
      <c r="C9062" s="41" t="n">
        <f aca="false">Sens!$C$8993-(Sens!$C$8995+Sens!$C$8996)</f>
        <v>0</v>
      </c>
      <c r="D9062" s="41" t="n">
        <f aca="false">Sens!$D$8993-(Sens!$D$8995+Sens!$D$8996)</f>
        <v>0</v>
      </c>
      <c r="E9062" s="41" t="n">
        <f aca="false">Sens!$E$8993-(Sens!$E$8995+Sens!$E$8996)</f>
        <v>0</v>
      </c>
      <c r="F9062" s="41" t="n">
        <f aca="false">Sens!$F$8993-(Sens!$F$8995+Sens!$F$8996)</f>
        <v>0</v>
      </c>
      <c r="G9062" s="41" t="n">
        <f aca="false">Sens!$G$8993-(Sens!$G$8995+Sens!$G$8996)</f>
        <v>0</v>
      </c>
      <c r="H9062" s="41" t="n">
        <f aca="false">Sens!$H$8993-(Sens!$H$8995+Sens!$H$8996)</f>
        <v>0</v>
      </c>
      <c r="I9062" s="41" t="n">
        <f aca="false">Sens!$I$8993-(Sens!$I$8995+Sens!$I$8996)</f>
        <v>0</v>
      </c>
      <c r="J9062" s="41" t="n">
        <f aca="false">Sens!$J$8993-(Sens!$J$8995+Sens!$J$8996)</f>
        <v>0</v>
      </c>
      <c r="K9062" s="41" t="n">
        <f aca="false">Sens!$K$8993-(Sens!$K$8995+Sens!$K$8996)</f>
        <v>0</v>
      </c>
      <c r="L9062" s="41" t="n">
        <f aca="false">Sens!$L$8993-(Sens!$L$8995+Sens!$L$8996)</f>
        <v>0</v>
      </c>
      <c r="M9062" s="41" t="n">
        <f aca="false">Sens!$M$8993-(Sens!$M$8995+Sens!$M$8996)</f>
        <v>0</v>
      </c>
      <c r="N9062" s="41" t="n">
        <f aca="false">Sens!$N$8993-(Sens!$N$8995+Sens!$N$8996)</f>
        <v>0</v>
      </c>
      <c r="O9062" s="41" t="n">
        <f aca="false">Sens!$O$8993-(Sens!$O$8995+Sens!$O$8996)</f>
        <v>0</v>
      </c>
    </row>
    <row r="9063" customFormat="false" ht="17.15" hidden="false" customHeight="false" outlineLevel="0" collapsed="false">
      <c r="A9063" s="24" t="s">
        <v>698</v>
      </c>
      <c r="B9063" s="25" t="s">
        <v>86</v>
      </c>
      <c r="C9063" s="41" t="n">
        <f aca="false">Sens!$C$9058+Sens!$C$9059-Sens!$C$9060</f>
        <v>0</v>
      </c>
      <c r="D9063" s="41" t="n">
        <f aca="false">Sens!$D$9058+Sens!$D$9059-Sens!$D$9060</f>
        <v>0</v>
      </c>
      <c r="E9063" s="41" t="n">
        <f aca="false">Sens!$E$9058+Sens!$E$9059-Sens!$E$9060</f>
        <v>0</v>
      </c>
      <c r="F9063" s="41" t="n">
        <f aca="false">Sens!$F$9058+Sens!$F$9059-Sens!$F$9060</f>
        <v>0</v>
      </c>
      <c r="G9063" s="41" t="n">
        <f aca="false">Sens!$G$9058+Sens!$G$9059-Sens!$G$9060</f>
        <v>0</v>
      </c>
      <c r="H9063" s="41" t="n">
        <f aca="false">Sens!$H$9058+Sens!$H$9059-Sens!$H$9060</f>
        <v>0</v>
      </c>
      <c r="I9063" s="41" t="n">
        <f aca="false">Sens!$I$9058+Sens!$I$9059-Sens!$I$9060</f>
        <v>0</v>
      </c>
      <c r="J9063" s="41" t="n">
        <f aca="false">Sens!$J$9058+Sens!$J$9059-Sens!$J$9060</f>
        <v>0</v>
      </c>
      <c r="K9063" s="41" t="n">
        <f aca="false">Sens!$K$9058+Sens!$K$9059-Sens!$K$9060</f>
        <v>0</v>
      </c>
      <c r="L9063" s="41" t="n">
        <f aca="false">Sens!$L$9058+Sens!$L$9059-Sens!$L$9060</f>
        <v>0</v>
      </c>
      <c r="M9063" s="41" t="n">
        <f aca="false">Sens!$M$9058+Sens!$M$9059-Sens!$M$9060</f>
        <v>0</v>
      </c>
      <c r="N9063" s="41" t="n">
        <f aca="false">Sens!$N$9058+Sens!$N$9059-Sens!$N$9060</f>
        <v>0</v>
      </c>
      <c r="O9063" s="41" t="n">
        <f aca="false">Sens!$O$9058+Sens!$O$9059-Sens!$O$9060</f>
        <v>0</v>
      </c>
    </row>
    <row r="9064" customFormat="false" ht="17.15" hidden="false" customHeight="false" outlineLevel="0" collapsed="false">
      <c r="A9064" s="24" t="s">
        <v>699</v>
      </c>
      <c r="B9064" s="25" t="s">
        <v>86</v>
      </c>
      <c r="C9064" s="41" t="n">
        <f aca="false">Sens!$C$8995+Sens!$C$8996+Sens!$C$9060-Sens!$C$9061</f>
        <v>0</v>
      </c>
      <c r="D9064" s="41" t="n">
        <f aca="false">Sens!$D$8995+Sens!$D$8996+Sens!$D$9060-Sens!$D$9061</f>
        <v>0</v>
      </c>
      <c r="E9064" s="41" t="n">
        <f aca="false">Sens!$E$8995+Sens!$E$8996+Sens!$E$9060-Sens!$E$9061</f>
        <v>0</v>
      </c>
      <c r="F9064" s="41" t="n">
        <f aca="false">Sens!$F$8995+Sens!$F$8996+Sens!$F$9060-Sens!$F$9061</f>
        <v>0</v>
      </c>
      <c r="G9064" s="41" t="n">
        <f aca="false">Sens!$G$8995+Sens!$G$8996+Sens!$G$9060-Sens!$G$9061</f>
        <v>0</v>
      </c>
      <c r="H9064" s="41" t="n">
        <f aca="false">Sens!$H$8995+Sens!$H$8996+Sens!$H$9060-Sens!$H$9061</f>
        <v>0</v>
      </c>
      <c r="I9064" s="41" t="n">
        <f aca="false">Sens!$I$8995+Sens!$I$8996+Sens!$I$9060-Sens!$I$9061</f>
        <v>0</v>
      </c>
      <c r="J9064" s="41" t="n">
        <f aca="false">Sens!$J$8995+Sens!$J$8996+Sens!$J$9060-Sens!$J$9061</f>
        <v>0</v>
      </c>
      <c r="K9064" s="41" t="n">
        <f aca="false">Sens!$K$8995+Sens!$K$8996+Sens!$K$9060-Sens!$K$9061</f>
        <v>0</v>
      </c>
      <c r="L9064" s="41" t="n">
        <f aca="false">Sens!$L$8995+Sens!$L$8996+Sens!$L$9060-Sens!$L$9061</f>
        <v>0</v>
      </c>
      <c r="M9064" s="41" t="n">
        <f aca="false">Sens!$M$8995+Sens!$M$8996+Sens!$M$9060-Sens!$M$9061</f>
        <v>0</v>
      </c>
      <c r="N9064" s="41" t="n">
        <f aca="false">Sens!$N$8995+Sens!$N$8996+Sens!$N$9060-Sens!$N$9061</f>
        <v>0</v>
      </c>
      <c r="O9064" s="41" t="n">
        <f aca="false">Sens!$O$8995+Sens!$O$8996+Sens!$O$9060-Sens!$O$9061</f>
        <v>0</v>
      </c>
    </row>
    <row r="9065" customFormat="false" ht="15" hidden="false" customHeight="false" outlineLevel="0" collapsed="false">
      <c r="A9065" s="5" t="s">
        <v>693</v>
      </c>
      <c r="B9065" s="0" t="s">
        <v>52</v>
      </c>
      <c r="G9065" s="13" t="n">
        <f aca="false">Sens!$G$9061/Sens!$D$9061-1</f>
        <v>0.140854504918937</v>
      </c>
      <c r="H9065" s="13" t="n">
        <f aca="false">Sens!$H$9061/Sens!$G$9061-1</f>
        <v>0.152063789793209</v>
      </c>
      <c r="I9065" s="13" t="n">
        <f aca="false">Sens!$I$9061/Sens!$H$9061-1</f>
        <v>0.134273264437417</v>
      </c>
      <c r="J9065" s="13" t="n">
        <f aca="false">Sens!$J$9061/Sens!$I$9061-1</f>
        <v>0.113310421234083</v>
      </c>
      <c r="K9065" s="13" t="n">
        <f aca="false">Sens!$K$9061/Sens!$J$9061-1</f>
        <v>0.0892108343223652</v>
      </c>
      <c r="L9065" s="13" t="n">
        <f aca="false">Sens!$L$9061/Sens!$K$9061-1</f>
        <v>0.076471362444261</v>
      </c>
      <c r="M9065" s="13" t="n">
        <f aca="false">Sens!$M$9061/Sens!$L$9061-1</f>
        <v>0.066250060256672</v>
      </c>
    </row>
    <row r="9066" customFormat="false" ht="17.15" hidden="false" customHeight="false" outlineLevel="0" collapsed="false">
      <c r="A9066" s="0" t="s">
        <v>694</v>
      </c>
      <c r="B9066" s="0" t="s">
        <v>52</v>
      </c>
      <c r="C9066" s="13" t="n">
        <f aca="false">Sens!$C$9060/Sens!$C$9061</f>
        <v>0.168593906504964</v>
      </c>
      <c r="D9066" s="13" t="n">
        <f aca="false">Sens!$D$9060/Sens!$D$9061</f>
        <v>0.179551807444025</v>
      </c>
      <c r="E9066" s="13" t="n">
        <f aca="false">Sens!$E$9060/Sens!$E$9061</f>
        <v>0.208881910369643</v>
      </c>
      <c r="F9066" s="13" t="n">
        <f aca="false">Sens!$F$9060/Sens!$F$9061</f>
        <v>0.199028269699356</v>
      </c>
      <c r="G9066" s="13" t="n">
        <f aca="false">Sens!$G$9060/Sens!$G$9061</f>
        <v>0.203631882529968</v>
      </c>
      <c r="H9066" s="13" t="n">
        <f aca="false">Sens!$H$9060/Sens!$H$9061</f>
        <v>0.234731715958496</v>
      </c>
      <c r="I9066" s="13" t="n">
        <f aca="false">Sens!$I$9060/Sens!$I$9061</f>
        <v>0.262231204480418</v>
      </c>
      <c r="J9066" s="13" t="n">
        <f aca="false">Sens!$J$9060/Sens!$J$9061</f>
        <v>0.284728366013706</v>
      </c>
      <c r="K9066" s="13" t="n">
        <f aca="false">Sens!$K$9060/Sens!$K$9061</f>
        <v>0.300823304959505</v>
      </c>
      <c r="L9066" s="13" t="n">
        <f aca="false">Sens!$L$9060/Sens!$L$9061</f>
        <v>0.308263164529735</v>
      </c>
      <c r="M9066" s="13" t="n">
        <f aca="false">Sens!$M$9060/Sens!$M$9061</f>
        <v>0.308856517936036</v>
      </c>
      <c r="N9066" s="13" t="n">
        <f aca="false">Sens!$N$9060/Sens!$N$9061</f>
        <v>0.185979484737251</v>
      </c>
      <c r="O9066" s="13" t="n">
        <f aca="false">Sens!$O$9060/Sens!$O$9061</f>
        <v>0.174270432341096</v>
      </c>
    </row>
    <row r="9067" customFormat="false" ht="17.15" hidden="false" customHeight="false" outlineLevel="0" collapsed="false">
      <c r="A9067" s="0" t="s">
        <v>695</v>
      </c>
      <c r="B9067" s="0" t="s">
        <v>52</v>
      </c>
      <c r="C9067" s="13" t="n">
        <f aca="false">Sens!$C$9058/Sens!$C$9060</f>
        <v>0.0215795060896058</v>
      </c>
      <c r="D9067" s="13" t="n">
        <f aca="false">Sens!$D$9058/Sens!$D$9060</f>
        <v>0.0676152269462122</v>
      </c>
      <c r="E9067" s="13" t="n">
        <f aca="false">Sens!$E$9058/Sens!$E$9060</f>
        <v>0.106620641395783</v>
      </c>
      <c r="F9067" s="13" t="n">
        <f aca="false">Sens!$F$9058/Sens!$F$9060</f>
        <v>0.172523487401099</v>
      </c>
      <c r="G9067" s="13" t="n">
        <f aca="false">Sens!$G$9058/Sens!$G$9060</f>
        <v>0.140939911795589</v>
      </c>
      <c r="H9067" s="13" t="n">
        <f aca="false">Sens!$H$9058/Sens!$H$9060</f>
        <v>0.272018642937714</v>
      </c>
      <c r="I9067" s="13" t="n">
        <f aca="false">Sens!$I$9058/Sens!$I$9060</f>
        <v>0.362159512436497</v>
      </c>
      <c r="J9067" s="13" t="n">
        <f aca="false">Sens!$J$9058/Sens!$J$9060</f>
        <v>0.422151735934609</v>
      </c>
      <c r="K9067" s="13" t="n">
        <f aca="false">Sens!$K$9058/Sens!$K$9060</f>
        <v>0.45769342068485</v>
      </c>
      <c r="L9067" s="13" t="n">
        <f aca="false">Sens!$L$9058/Sens!$L$9060</f>
        <v>0.469047103913472</v>
      </c>
      <c r="M9067" s="13" t="n">
        <f aca="false">Sens!$M$9058/Sens!$M$9060</f>
        <v>0.463233328258093</v>
      </c>
      <c r="N9067" s="13" t="n">
        <f aca="false">Sens!$N$9058/Sens!$N$9060</f>
        <v>0.0506537999838362</v>
      </c>
      <c r="O9067" s="13" t="n">
        <f aca="false">Sens!$O$9058/Sens!$O$9060</f>
        <v>0.0824881615167056</v>
      </c>
    </row>
    <row r="9070" customFormat="false" ht="19.4" hidden="false" customHeight="false" outlineLevel="0" collapsed="false">
      <c r="A9070" s="31" t="s">
        <v>1314</v>
      </c>
    </row>
    <row r="9071" customFormat="false" ht="17.15" hidden="false" customHeight="false" outlineLevel="0" collapsed="false">
      <c r="A9071" s="6" t="s">
        <v>16</v>
      </c>
      <c r="B9071" s="6" t="s">
        <v>17</v>
      </c>
      <c r="C9071" s="20" t="s">
        <v>494</v>
      </c>
      <c r="D9071" s="20" t="s">
        <v>495</v>
      </c>
      <c r="E9071" s="20" t="s">
        <v>577</v>
      </c>
      <c r="F9071" s="20" t="s">
        <v>578</v>
      </c>
      <c r="G9071" s="20" t="s">
        <v>579</v>
      </c>
      <c r="H9071" s="20" t="s">
        <v>580</v>
      </c>
      <c r="I9071" s="20" t="s">
        <v>581</v>
      </c>
      <c r="J9071" s="20" t="s">
        <v>582</v>
      </c>
      <c r="K9071" s="20" t="s">
        <v>583</v>
      </c>
      <c r="L9071" s="20" t="s">
        <v>584</v>
      </c>
      <c r="M9071" s="20" t="s">
        <v>585</v>
      </c>
      <c r="N9071" s="20" t="s">
        <v>586</v>
      </c>
      <c r="O9071" s="20" t="s">
        <v>587</v>
      </c>
      <c r="P9071" s="6" t="s">
        <v>23</v>
      </c>
      <c r="R9071" s="20" t="n">
        <v>2023</v>
      </c>
      <c r="S9071" s="20" t="n">
        <v>2024</v>
      </c>
      <c r="T9071" s="20" t="n">
        <v>2025</v>
      </c>
      <c r="U9071" s="20" t="n">
        <v>2026</v>
      </c>
      <c r="V9071" s="20" t="n">
        <v>2027</v>
      </c>
      <c r="W9071" s="20" t="n">
        <v>2028</v>
      </c>
      <c r="X9071" s="20" t="n">
        <v>2029</v>
      </c>
      <c r="Y9071" s="20" t="n">
        <v>2030</v>
      </c>
      <c r="Z9071" s="20" t="n">
        <v>2031</v>
      </c>
      <c r="AA9071" s="20" t="n">
        <v>2032</v>
      </c>
    </row>
    <row r="9072" customFormat="false" ht="17.15" hidden="false" customHeight="false" outlineLevel="0" collapsed="false">
      <c r="A9072" s="1" t="s">
        <v>710</v>
      </c>
    </row>
    <row r="9073" customFormat="false" ht="15" hidden="false" customHeight="false" outlineLevel="0" collapsed="false">
      <c r="A9073" s="0" t="s">
        <v>516</v>
      </c>
      <c r="B9073" s="0" t="s">
        <v>86</v>
      </c>
      <c r="C9073" s="38" t="n">
        <f aca="false">Sens!$C$8980</f>
        <v>247.029</v>
      </c>
      <c r="D9073" s="38" t="n">
        <f aca="false">Sens!$D$8980</f>
        <v>269.287</v>
      </c>
      <c r="E9073" s="38" t="n">
        <f aca="false">Sens!$E$8980</f>
        <v>134.686</v>
      </c>
      <c r="F9073" s="38" t="n">
        <f aca="false">Sens!$F$8980</f>
        <v>158.293876822267</v>
      </c>
      <c r="G9073" s="38" t="n">
        <f aca="false">Sens!$G$8980</f>
        <v>292.979876822267</v>
      </c>
      <c r="H9073" s="38" t="n">
        <f aca="false">Sens!$H$8980</f>
        <v>318.184543087396</v>
      </c>
      <c r="I9073" s="38" t="n">
        <f aca="false">Sens!$I$8980</f>
        <v>341.736278761793</v>
      </c>
      <c r="J9073" s="38" t="n">
        <f aca="false">Sens!$J$8980</f>
        <v>362.927192787048</v>
      </c>
      <c r="K9073" s="38" t="n">
        <f aca="false">Sens!$K$8980</f>
        <v>381.0735524264</v>
      </c>
      <c r="L9073" s="38" t="n">
        <f aca="false">Sens!$L$8980</f>
        <v>400.12723004772</v>
      </c>
      <c r="M9073" s="38" t="n">
        <f aca="false">Sens!$M$8980</f>
        <v>420.133591550106</v>
      </c>
      <c r="N9073" s="38" t="n">
        <f aca="false">Sens!$N$8980</f>
        <v>118.892</v>
      </c>
      <c r="O9073" s="38" t="n">
        <f aca="false">Sens!$O$8980</f>
        <v>150.395</v>
      </c>
    </row>
    <row r="9074" customFormat="false" ht="15" hidden="false" customHeight="false" outlineLevel="0" collapsed="false">
      <c r="A9074" s="0" t="s">
        <v>517</v>
      </c>
      <c r="B9074" s="0" t="s">
        <v>86</v>
      </c>
      <c r="C9074" s="38" t="n">
        <f aca="false">Sens!$C$8982</f>
        <v>21.215</v>
      </c>
      <c r="D9074" s="38" t="n">
        <f aca="false">Sens!$D$8982</f>
        <v>22.561</v>
      </c>
      <c r="E9074" s="38" t="n">
        <f aca="false">Sens!$E$8982</f>
        <v>11.579</v>
      </c>
      <c r="F9074" s="38" t="n">
        <f aca="false">Sens!$F$8982</f>
        <v>11.5938724610325</v>
      </c>
      <c r="G9074" s="38" t="n">
        <f aca="false">Sens!$G$8982</f>
        <v>23.1728724610325</v>
      </c>
      <c r="H9074" s="38" t="n">
        <f aca="false">Sens!$H$8982</f>
        <v>24.353392759506</v>
      </c>
      <c r="I9074" s="38" t="n">
        <f aca="false">Sens!$I$8982</f>
        <v>25.4240338872015</v>
      </c>
      <c r="J9074" s="38" t="n">
        <f aca="false">Sens!$J$8982</f>
        <v>26.3642491017174</v>
      </c>
      <c r="K9074" s="38" t="n">
        <f aca="false">Sens!$K$8982</f>
        <v>27.155176574769</v>
      </c>
      <c r="L9074" s="38" t="n">
        <f aca="false">Sens!$L$8982</f>
        <v>27.969831872012</v>
      </c>
      <c r="M9074" s="38" t="n">
        <f aca="false">Sens!$M$8982</f>
        <v>28.8089268281724</v>
      </c>
      <c r="N9074" s="38" t="n">
        <f aca="false">Sens!$N$8982</f>
        <v>11.128</v>
      </c>
      <c r="O9074" s="38" t="n">
        <f aca="false">Sens!$O$8982</f>
        <v>11.433</v>
      </c>
    </row>
    <row r="9075" customFormat="false" ht="15" hidden="false" customHeight="false" outlineLevel="0" collapsed="false">
      <c r="A9075" s="0" t="s">
        <v>518</v>
      </c>
      <c r="B9075" s="0" t="s">
        <v>86</v>
      </c>
      <c r="C9075" s="38" t="n">
        <f aca="false">Sens!$C$8984</f>
        <v>156.146</v>
      </c>
      <c r="D9075" s="38" t="n">
        <f aca="false">Sens!$D$8984</f>
        <v>172.162</v>
      </c>
      <c r="E9075" s="38" t="n">
        <f aca="false">Sens!$E$8984</f>
        <v>88.358</v>
      </c>
      <c r="F9075" s="38" t="n">
        <f aca="false">Sens!$F$8984</f>
        <v>102.004388260171</v>
      </c>
      <c r="G9075" s="38" t="n">
        <f aca="false">Sens!$G$8984</f>
        <v>190.362388260171</v>
      </c>
      <c r="H9075" s="38" t="n">
        <f aca="false">Sens!$H$8984</f>
        <v>210.343106588311</v>
      </c>
      <c r="I9075" s="38" t="n">
        <f aca="false">Sens!$I$8984</f>
        <v>229.969728494648</v>
      </c>
      <c r="J9075" s="38" t="n">
        <f aca="false">Sens!$J$8984</f>
        <v>248.747636972598</v>
      </c>
      <c r="K9075" s="38" t="n">
        <f aca="false">Sens!$K$8984</f>
        <v>266.15997156068</v>
      </c>
      <c r="L9075" s="38" t="n">
        <f aca="false">Sens!$L$8984</f>
        <v>284.791169569927</v>
      </c>
      <c r="M9075" s="38" t="n">
        <f aca="false">Sens!$M$8984</f>
        <v>304.726551439822</v>
      </c>
      <c r="N9075" s="38" t="n">
        <f aca="false">Sens!$N$8984</f>
        <v>76.86</v>
      </c>
      <c r="O9075" s="38" t="n">
        <f aca="false">Sens!$O$8984</f>
        <v>95.302</v>
      </c>
    </row>
    <row r="9076" customFormat="false" ht="15" hidden="false" customHeight="false" outlineLevel="0" collapsed="false">
      <c r="A9076" s="0" t="s">
        <v>519</v>
      </c>
      <c r="B9076" s="0" t="s">
        <v>86</v>
      </c>
      <c r="C9076" s="38" t="n">
        <f aca="false">Sens!$C$8986</f>
        <v>56.214</v>
      </c>
      <c r="D9076" s="38" t="n">
        <f aca="false">Sens!$D$8986</f>
        <v>68.635</v>
      </c>
      <c r="E9076" s="38" t="n">
        <f aca="false">Sens!$E$8986</f>
        <v>37.052</v>
      </c>
      <c r="F9076" s="38" t="n">
        <f aca="false">Sens!$F$8986</f>
        <v>46.1572219944148</v>
      </c>
      <c r="G9076" s="38" t="n">
        <f aca="false">Sens!$G$8986</f>
        <v>83.2092219944148</v>
      </c>
      <c r="H9076" s="38" t="n">
        <f aca="false">Sens!$H$8986</f>
        <v>99.8969223878976</v>
      </c>
      <c r="I9076" s="38" t="n">
        <f aca="false">Sens!$I$8986</f>
        <v>116.583111095496</v>
      </c>
      <c r="J9076" s="38" t="n">
        <f aca="false">Sens!$J$8986</f>
        <v>132.148941941952</v>
      </c>
      <c r="K9076" s="38" t="n">
        <f aca="false">Sens!$K$8986</f>
        <v>145.363836136147</v>
      </c>
      <c r="L9076" s="38" t="n">
        <f aca="false">Sens!$L$8986</f>
        <v>159.900219749762</v>
      </c>
      <c r="M9076" s="38" t="n">
        <f aca="false">Sens!$M$8986</f>
        <v>175.890241724738</v>
      </c>
      <c r="N9076" s="38" t="n">
        <f aca="false">Sens!$N$8986</f>
        <v>29.615</v>
      </c>
      <c r="O9076" s="38" t="n">
        <f aca="false">Sens!$O$8986</f>
        <v>39.02</v>
      </c>
    </row>
    <row r="9077" customFormat="false" ht="15" hidden="false" customHeight="false" outlineLevel="0" collapsed="false">
      <c r="A9077" s="0" t="s">
        <v>520</v>
      </c>
      <c r="B9077" s="0" t="s">
        <v>86</v>
      </c>
      <c r="C9077" s="38" t="n">
        <f aca="false">Sens!$C$8988</f>
        <v>44.374</v>
      </c>
      <c r="D9077" s="38" t="n">
        <f aca="false">Sens!$D$8988</f>
        <v>49.619</v>
      </c>
      <c r="E9077" s="38" t="n">
        <f aca="false">Sens!$E$8988</f>
        <v>27.157</v>
      </c>
      <c r="F9077" s="38" t="n">
        <f aca="false">Sens!$F$8988</f>
        <v>27.7764165988154</v>
      </c>
      <c r="G9077" s="38" t="n">
        <f aca="false">Sens!$G$8988</f>
        <v>54.9334165988154</v>
      </c>
      <c r="H9077" s="38" t="n">
        <f aca="false">Sens!$H$8988</f>
        <v>61.1564112561829</v>
      </c>
      <c r="I9077" s="38" t="n">
        <f aca="false">Sens!$I$8988</f>
        <v>67.2020282103945</v>
      </c>
      <c r="J9077" s="38" t="n">
        <f aca="false">Sens!$J$8988</f>
        <v>72.8757274028885</v>
      </c>
      <c r="K9077" s="38" t="n">
        <f aca="false">Sens!$K$8988</f>
        <v>77.9770283210907</v>
      </c>
      <c r="L9077" s="38" t="n">
        <f aca="false">Sens!$L$8988</f>
        <v>83.4354203035671</v>
      </c>
      <c r="M9077" s="38" t="n">
        <f aca="false">Sens!$M$8988</f>
        <v>89.2758997248168</v>
      </c>
      <c r="N9077" s="38" t="n">
        <f aca="false">Sens!$N$8988</f>
        <v>23.923</v>
      </c>
      <c r="O9077" s="38" t="n">
        <f aca="false">Sens!$O$8988</f>
        <v>25.696</v>
      </c>
    </row>
    <row r="9078" customFormat="false" ht="15" hidden="false" customHeight="false" outlineLevel="0" collapsed="false">
      <c r="A9078" s="0" t="s">
        <v>521</v>
      </c>
      <c r="B9078" s="0" t="s">
        <v>86</v>
      </c>
      <c r="C9078" s="38" t="n">
        <f aca="false">Sens!$C$8990</f>
        <v>5.425</v>
      </c>
      <c r="D9078" s="38" t="n">
        <f aca="false">Sens!$D$8990</f>
        <v>5.935</v>
      </c>
      <c r="E9078" s="38" t="n">
        <f aca="false">Sens!$E$8990</f>
        <v>3.474</v>
      </c>
      <c r="F9078" s="38" t="n">
        <f aca="false">Sens!$F$8990</f>
        <v>3.22246550883619</v>
      </c>
      <c r="G9078" s="38" t="n">
        <f aca="false">Sens!$G$8990</f>
        <v>6.69646550883619</v>
      </c>
      <c r="H9078" s="38" t="n">
        <f aca="false">Sens!$H$8990</f>
        <v>7.16251344209196</v>
      </c>
      <c r="I9078" s="38" t="n">
        <f aca="false">Sens!$I$8990</f>
        <v>7.61421070299826</v>
      </c>
      <c r="J9078" s="38" t="n">
        <f aca="false">Sens!$J$8990</f>
        <v>8.04465753523932</v>
      </c>
      <c r="K9078" s="38" t="n">
        <f aca="false">Sens!$K$8990</f>
        <v>8.44689041200128</v>
      </c>
      <c r="L9078" s="38" t="n">
        <f aca="false">Sens!$L$8990</f>
        <v>8.86923493260135</v>
      </c>
      <c r="M9078" s="38" t="n">
        <f aca="false">Sens!$M$8990</f>
        <v>9.31269667923142</v>
      </c>
      <c r="N9078" s="38" t="n">
        <f aca="false">Sens!$N$8990</f>
        <v>2.811</v>
      </c>
      <c r="O9078" s="38" t="n">
        <f aca="false">Sens!$O$8990</f>
        <v>3.124</v>
      </c>
    </row>
    <row r="9079" customFormat="false" ht="17.15" hidden="false" customHeight="false" outlineLevel="0" collapsed="false">
      <c r="A9079" s="0" t="s">
        <v>711</v>
      </c>
      <c r="B9079" s="0" t="s">
        <v>86</v>
      </c>
      <c r="C9079" s="38" t="n">
        <f aca="false">Sens!$C$9060</f>
        <v>107.556</v>
      </c>
      <c r="D9079" s="38" t="n">
        <f aca="false">Sens!$D$9060</f>
        <v>128.725</v>
      </c>
      <c r="E9079" s="38" t="n">
        <f aca="false">Sens!$E$9060</f>
        <v>79.819</v>
      </c>
      <c r="F9079" s="38" t="n">
        <f aca="false">Sens!$F$9060</f>
        <v>86.7327334389669</v>
      </c>
      <c r="G9079" s="38" t="n">
        <f aca="false">Sens!$G$9060</f>
        <v>166.551733438967</v>
      </c>
      <c r="H9079" s="38" t="n">
        <f aca="false">Sens!$H$9060</f>
        <v>221.182967828978</v>
      </c>
      <c r="I9079" s="38" t="n">
        <f aca="false">Sens!$I$9060</f>
        <v>280.27345865789</v>
      </c>
      <c r="J9079" s="38" t="n">
        <f aca="false">Sens!$J$9060</f>
        <v>338.800945197185</v>
      </c>
      <c r="K9079" s="38" t="n">
        <f aca="false">Sens!$K$9060</f>
        <v>389.88570147276</v>
      </c>
      <c r="L9079" s="38" t="n">
        <f aca="false">Sens!$L$9060</f>
        <v>430.080689379143</v>
      </c>
      <c r="M9079" s="38" t="n">
        <f aca="false">Sens!$M$9060</f>
        <v>459.456235951751</v>
      </c>
      <c r="N9079" s="38" t="n">
        <f aca="false">Sens!$N$9060</f>
        <v>60.14</v>
      </c>
      <c r="O9079" s="38" t="n">
        <f aca="false">Sens!$O$9060</f>
        <v>68.585</v>
      </c>
    </row>
    <row r="9080" customFormat="false" ht="15" hidden="false" customHeight="false" outlineLevel="0" collapsed="false">
      <c r="A9080" s="1" t="s">
        <v>509</v>
      </c>
      <c r="B9080" s="8" t="s">
        <v>86</v>
      </c>
      <c r="C9080" s="38" t="n">
        <f aca="false">Sens!$C$8995</f>
        <v>387.497</v>
      </c>
      <c r="D9080" s="38" t="n">
        <f aca="false">Sens!$D$8995</f>
        <v>426.305</v>
      </c>
      <c r="E9080" s="38" t="n">
        <f aca="false">Sens!$E$8995</f>
        <v>220.32</v>
      </c>
      <c r="F9080" s="38" t="n">
        <f aca="false">Sens!$F$8995</f>
        <v>250.639773480586</v>
      </c>
      <c r="G9080" s="38" t="n">
        <f aca="false">Sens!$G$8995</f>
        <v>470.959773480586</v>
      </c>
      <c r="H9080" s="38" t="n">
        <f aca="false">Sens!$H$8995</f>
        <v>521.386990416437</v>
      </c>
      <c r="I9080" s="38" t="n">
        <f aca="false">Sens!$I$8995</f>
        <v>570.143862887555</v>
      </c>
      <c r="J9080" s="38" t="n">
        <f aca="false">Sens!$J$8995</f>
        <v>615.391435791933</v>
      </c>
      <c r="K9080" s="38" t="n">
        <f aca="false">Sens!$K$8995</f>
        <v>655.208227561543</v>
      </c>
      <c r="L9080" s="38" t="n">
        <f aca="false">Sens!$L$8995</f>
        <v>697.807739249767</v>
      </c>
      <c r="M9080" s="38" t="n">
        <f aca="false">Sens!$M$8995</f>
        <v>743.399328463592</v>
      </c>
      <c r="N9080" s="38" t="n">
        <f aca="false">Sens!$N$8995</f>
        <v>192.955</v>
      </c>
      <c r="O9080" s="38" t="n">
        <f aca="false">Sens!$O$8995</f>
        <v>233.35</v>
      </c>
    </row>
    <row r="9081" customFormat="false" ht="15" hidden="false" customHeight="false" outlineLevel="0" collapsed="false">
      <c r="A9081" s="1" t="s">
        <v>512</v>
      </c>
      <c r="B9081" s="8" t="s">
        <v>86</v>
      </c>
      <c r="C9081" s="38" t="n">
        <f aca="false">Sens!$C$8996</f>
        <v>142.906</v>
      </c>
      <c r="D9081" s="38" t="n">
        <f aca="false">Sens!$D$8996</f>
        <v>161.894</v>
      </c>
      <c r="E9081" s="38" t="n">
        <f aca="false">Sens!$E$8996</f>
        <v>81.986</v>
      </c>
      <c r="F9081" s="38" t="n">
        <f aca="false">Sens!$F$8996</f>
        <v>98.408468164951</v>
      </c>
      <c r="G9081" s="38" t="n">
        <f aca="false">Sens!$G$8996</f>
        <v>180.394468164951</v>
      </c>
      <c r="H9081" s="38" t="n">
        <f aca="false">Sens!$H$8996</f>
        <v>199.709899104949</v>
      </c>
      <c r="I9081" s="38" t="n">
        <f aca="false">Sens!$I$8996</f>
        <v>218.385528264976</v>
      </c>
      <c r="J9081" s="38" t="n">
        <f aca="false">Sens!$J$8996</f>
        <v>235.71696994951</v>
      </c>
      <c r="K9081" s="38" t="n">
        <f aca="false">Sens!$K$8996</f>
        <v>250.968227869545</v>
      </c>
      <c r="L9081" s="38" t="n">
        <f aca="false">Sens!$L$8996</f>
        <v>267.285367225822</v>
      </c>
      <c r="M9081" s="38" t="n">
        <f aca="false">Sens!$M$8996</f>
        <v>284.748579483295</v>
      </c>
      <c r="N9081" s="38" t="n">
        <f aca="false">Sens!$N$8996</f>
        <v>70.274</v>
      </c>
      <c r="O9081" s="38" t="n">
        <f aca="false">Sens!$O$8996</f>
        <v>91.62</v>
      </c>
    </row>
    <row r="9082" customFormat="false" ht="15" hidden="false" customHeight="false" outlineLevel="0" collapsed="false">
      <c r="A9082" s="1" t="s">
        <v>513</v>
      </c>
      <c r="B9082" s="8" t="s">
        <v>86</v>
      </c>
      <c r="C9082" s="38" t="n">
        <f aca="false">Sens!$C$9060</f>
        <v>107.556</v>
      </c>
      <c r="D9082" s="38" t="n">
        <f aca="false">Sens!$D$9060</f>
        <v>128.725</v>
      </c>
      <c r="E9082" s="38" t="n">
        <f aca="false">Sens!$E$9060</f>
        <v>79.819</v>
      </c>
      <c r="F9082" s="38" t="n">
        <f aca="false">Sens!$F$9060</f>
        <v>86.7327334389669</v>
      </c>
      <c r="G9082" s="38" t="n">
        <f aca="false">Sens!$G$9060</f>
        <v>166.551733438967</v>
      </c>
      <c r="H9082" s="38" t="n">
        <f aca="false">Sens!$H$9060</f>
        <v>221.182967828978</v>
      </c>
      <c r="I9082" s="38" t="n">
        <f aca="false">Sens!$I$9060</f>
        <v>280.27345865789</v>
      </c>
      <c r="J9082" s="38" t="n">
        <f aca="false">Sens!$J$9060</f>
        <v>338.800945197185</v>
      </c>
      <c r="K9082" s="38" t="n">
        <f aca="false">Sens!$K$9060</f>
        <v>389.88570147276</v>
      </c>
      <c r="L9082" s="38" t="n">
        <f aca="false">Sens!$L$9060</f>
        <v>430.080689379143</v>
      </c>
      <c r="M9082" s="38" t="n">
        <f aca="false">Sens!$M$9060</f>
        <v>459.456235951751</v>
      </c>
      <c r="N9082" s="38" t="n">
        <f aca="false">Sens!$N$9060</f>
        <v>60.14</v>
      </c>
      <c r="O9082" s="38" t="n">
        <f aca="false">Sens!$O$9060</f>
        <v>68.585</v>
      </c>
    </row>
    <row r="9083" customFormat="false" ht="17.15" hidden="false" customHeight="false" outlineLevel="0" collapsed="false">
      <c r="A9083" s="0" t="s">
        <v>685</v>
      </c>
      <c r="B9083" s="0" t="s">
        <v>86</v>
      </c>
      <c r="C9083" s="38" t="n">
        <f aca="false">Sens!$C$9058</f>
        <v>2.32100535697364</v>
      </c>
      <c r="D9083" s="38" t="n">
        <f aca="false">Sens!$D$9058</f>
        <v>8.70377008865116</v>
      </c>
      <c r="E9083" s="38" t="n">
        <f aca="false">Sens!$E$9058</f>
        <v>8.51035297557002</v>
      </c>
      <c r="F9083" s="38" t="n">
        <f aca="false">Sens!$F$9058</f>
        <v>14.9634336447205</v>
      </c>
      <c r="G9083" s="38" t="n">
        <f aca="false">Sens!$G$9058</f>
        <v>23.4737866202905</v>
      </c>
      <c r="H9083" s="38" t="n">
        <f aca="false">Sens!$H$9058</f>
        <v>60.1658907497746</v>
      </c>
      <c r="I9083" s="38" t="n">
        <f aca="false">Sens!$I$9058</f>
        <v>101.503699136432</v>
      </c>
      <c r="J9083" s="38" t="n">
        <f aca="false">Sens!$J$9058</f>
        <v>143.025407151278</v>
      </c>
      <c r="K9083" s="38" t="n">
        <f aca="false">Sens!$K$9058</f>
        <v>178.44812038318</v>
      </c>
      <c r="L9083" s="38" t="n">
        <f aca="false">Sens!$L$9058</f>
        <v>201.728101802396</v>
      </c>
      <c r="M9083" s="38" t="n">
        <f aca="false">Sens!$M$9058</f>
        <v>212.835441368865</v>
      </c>
      <c r="N9083" s="38" t="n">
        <f aca="false">Sens!$N$9058</f>
        <v>3.04631953102791</v>
      </c>
      <c r="O9083" s="38" t="n">
        <f aca="false">Sens!$O$9058</f>
        <v>5.65745055762326</v>
      </c>
    </row>
    <row r="9084" customFormat="false" ht="17.15" hidden="false" customHeight="false" outlineLevel="0" collapsed="false">
      <c r="A9084" s="0" t="s">
        <v>687</v>
      </c>
      <c r="B9084" s="0" t="s">
        <v>86</v>
      </c>
      <c r="C9084" s="38" t="n">
        <f aca="false">Sens!$C$9059</f>
        <v>105.234994643026</v>
      </c>
      <c r="D9084" s="38" t="n">
        <f aca="false">Sens!$D$9059</f>
        <v>120.021229911349</v>
      </c>
      <c r="E9084" s="38" t="n">
        <f aca="false">Sens!$E$9059</f>
        <v>71.30864702443</v>
      </c>
      <c r="F9084" s="38" t="n">
        <f aca="false">Sens!$F$9059</f>
        <v>71.7692997942464</v>
      </c>
      <c r="G9084" s="38" t="n">
        <f aca="false">Sens!$G$9059</f>
        <v>143.077946818676</v>
      </c>
      <c r="H9084" s="38" t="n">
        <f aca="false">Sens!$H$9059</f>
        <v>161.017077079203</v>
      </c>
      <c r="I9084" s="38" t="n">
        <f aca="false">Sens!$I$9059</f>
        <v>178.769759521457</v>
      </c>
      <c r="J9084" s="38" t="n">
        <f aca="false">Sens!$J$9059</f>
        <v>195.775538045907</v>
      </c>
      <c r="K9084" s="38" t="n">
        <f aca="false">Sens!$K$9059</f>
        <v>211.43758108958</v>
      </c>
      <c r="L9084" s="38" t="n">
        <f aca="false">Sens!$L$9059</f>
        <v>228.352587576746</v>
      </c>
      <c r="M9084" s="38" t="n">
        <f aca="false">Sens!$M$9059</f>
        <v>246.620794582886</v>
      </c>
      <c r="N9084" s="38" t="n">
        <f aca="false">Sens!$N$9059</f>
        <v>57.0936804689721</v>
      </c>
      <c r="O9084" s="38" t="n">
        <f aca="false">Sens!$O$9059</f>
        <v>62.9275494423768</v>
      </c>
    </row>
    <row r="9085" customFormat="false" ht="15" hidden="false" customHeight="false" outlineLevel="0" collapsed="false">
      <c r="A9085" s="3" t="s">
        <v>514</v>
      </c>
      <c r="B9085" s="8" t="s">
        <v>86</v>
      </c>
      <c r="C9085" s="38" t="n">
        <f aca="false">Sens!$C$9061</f>
        <v>637.959</v>
      </c>
      <c r="D9085" s="38" t="n">
        <f aca="false">Sens!$D$9061</f>
        <v>716.924</v>
      </c>
      <c r="E9085" s="38" t="n">
        <f aca="false">Sens!$E$9061</f>
        <v>382.125</v>
      </c>
      <c r="F9085" s="38" t="n">
        <f aca="false">Sens!$F$9061</f>
        <v>435.780975084504</v>
      </c>
      <c r="G9085" s="38" t="n">
        <f aca="false">Sens!$G$9061</f>
        <v>817.905975084504</v>
      </c>
      <c r="H9085" s="38" t="n">
        <f aca="false">Sens!$H$9061</f>
        <v>942.279857350364</v>
      </c>
      <c r="I9085" s="38" t="n">
        <f aca="false">Sens!$I$9061</f>
        <v>1068.80284981042</v>
      </c>
      <c r="J9085" s="38" t="n">
        <f aca="false">Sens!$J$9061</f>
        <v>1189.90935093863</v>
      </c>
      <c r="K9085" s="38" t="n">
        <f aca="false">Sens!$K$9061</f>
        <v>1296.06215690385</v>
      </c>
      <c r="L9085" s="38" t="n">
        <f aca="false">Sens!$L$9061</f>
        <v>1395.17379585473</v>
      </c>
      <c r="M9085" s="38" t="n">
        <f aca="false">Sens!$M$9061</f>
        <v>1487.60414389864</v>
      </c>
      <c r="N9085" s="38" t="n">
        <f aca="false">Sens!$N$9061</f>
        <v>323.369</v>
      </c>
      <c r="O9085" s="38" t="n">
        <f aca="false">Sens!$O$9061</f>
        <v>393.555</v>
      </c>
    </row>
    <row r="9086" customFormat="false" ht="17.15" hidden="false" customHeight="false" outlineLevel="0" collapsed="false">
      <c r="A9086" s="24" t="s">
        <v>697</v>
      </c>
      <c r="B9086" s="25" t="s">
        <v>86</v>
      </c>
      <c r="C9086" s="41" t="n">
        <f aca="false">Sens!$C$9073+Sens!$C$9074+Sens!$C$9075+Sens!$C$9076+Sens!$C$9077+Sens!$C$9078-(Sens!$C$9080+Sens!$C$9081)</f>
        <v>0</v>
      </c>
      <c r="D9086" s="41" t="n">
        <f aca="false">Sens!$D$9073+Sens!$D$9074+Sens!$D$9075+Sens!$D$9076+Sens!$D$9077+Sens!$D$9078-(Sens!$D$9080+Sens!$D$9081)</f>
        <v>0</v>
      </c>
      <c r="E9086" s="41" t="n">
        <f aca="false">Sens!$E$9073+Sens!$E$9074+Sens!$E$9075+Sens!$E$9076+Sens!$E$9077+Sens!$E$9078-(Sens!$E$9080+Sens!$E$9081)</f>
        <v>0</v>
      </c>
      <c r="F9086" s="41" t="n">
        <f aca="false">Sens!$F$9073+Sens!$F$9074+Sens!$F$9075+Sens!$F$9076+Sens!$F$9077+Sens!$F$9078-(Sens!$F$9080+Sens!$F$9081)</f>
        <v>0</v>
      </c>
      <c r="G9086" s="41" t="n">
        <f aca="false">Sens!$G$9073+Sens!$G$9074+Sens!$G$9075+Sens!$G$9076+Sens!$G$9077+Sens!$G$9078-(Sens!$G$9080+Sens!$G$9081)</f>
        <v>0</v>
      </c>
      <c r="H9086" s="41" t="n">
        <f aca="false">Sens!$H$9073+Sens!$H$9074+Sens!$H$9075+Sens!$H$9076+Sens!$H$9077+Sens!$H$9078-(Sens!$H$9080+Sens!$H$9081)</f>
        <v>0</v>
      </c>
      <c r="I9086" s="41" t="n">
        <f aca="false">Sens!$I$9073+Sens!$I$9074+Sens!$I$9075+Sens!$I$9076+Sens!$I$9077+Sens!$I$9078-(Sens!$I$9080+Sens!$I$9081)</f>
        <v>0</v>
      </c>
      <c r="J9086" s="41" t="n">
        <f aca="false">Sens!$J$9073+Sens!$J$9074+Sens!$J$9075+Sens!$J$9076+Sens!$J$9077+Sens!$J$9078-(Sens!$J$9080+Sens!$J$9081)</f>
        <v>0</v>
      </c>
      <c r="K9086" s="41" t="n">
        <f aca="false">Sens!$K$9073+Sens!$K$9074+Sens!$K$9075+Sens!$K$9076+Sens!$K$9077+Sens!$K$9078-(Sens!$K$9080+Sens!$K$9081)</f>
        <v>0</v>
      </c>
      <c r="L9086" s="41" t="n">
        <f aca="false">Sens!$L$9073+Sens!$L$9074+Sens!$L$9075+Sens!$L$9076+Sens!$L$9077+Sens!$L$9078-(Sens!$L$9080+Sens!$L$9081)</f>
        <v>0</v>
      </c>
      <c r="M9086" s="41" t="n">
        <f aca="false">Sens!$M$9073+Sens!$M$9074+Sens!$M$9075+Sens!$M$9076+Sens!$M$9077+Sens!$M$9078-(Sens!$M$9080+Sens!$M$9081)</f>
        <v>0</v>
      </c>
      <c r="N9086" s="41" t="n">
        <f aca="false">Sens!$N$9073+Sens!$N$9074+Sens!$N$9075+Sens!$N$9076+Sens!$N$9077+Sens!$N$9078-(Sens!$N$9080+Sens!$N$9081)</f>
        <v>0</v>
      </c>
      <c r="O9086" s="41" t="n">
        <f aca="false">Sens!$O$9073+Sens!$O$9074+Sens!$O$9075+Sens!$O$9076+Sens!$O$9077+Sens!$O$9078-(Sens!$O$9080+Sens!$O$9081)</f>
        <v>0</v>
      </c>
    </row>
    <row r="9087" customFormat="false" ht="17.15" hidden="false" customHeight="false" outlineLevel="0" collapsed="false">
      <c r="A9087" s="24" t="s">
        <v>698</v>
      </c>
      <c r="B9087" s="25" t="s">
        <v>86</v>
      </c>
      <c r="C9087" s="41" t="n">
        <f aca="false">Sens!$C$9083+Sens!$C$9084-Sens!$C$9082</f>
        <v>0</v>
      </c>
      <c r="D9087" s="41" t="n">
        <f aca="false">Sens!$D$9083+Sens!$D$9084-Sens!$D$9082</f>
        <v>0</v>
      </c>
      <c r="E9087" s="41" t="n">
        <f aca="false">Sens!$E$9083+Sens!$E$9084-Sens!$E$9082</f>
        <v>0</v>
      </c>
      <c r="F9087" s="41" t="n">
        <f aca="false">Sens!$F$9083+Sens!$F$9084-Sens!$F$9082</f>
        <v>0</v>
      </c>
      <c r="G9087" s="41" t="n">
        <f aca="false">Sens!$G$9083+Sens!$G$9084-Sens!$G$9082</f>
        <v>0</v>
      </c>
      <c r="H9087" s="41" t="n">
        <f aca="false">Sens!$H$9083+Sens!$H$9084-Sens!$H$9082</f>
        <v>0</v>
      </c>
      <c r="I9087" s="41" t="n">
        <f aca="false">Sens!$I$9083+Sens!$I$9084-Sens!$I$9082</f>
        <v>0</v>
      </c>
      <c r="J9087" s="41" t="n">
        <f aca="false">Sens!$J$9083+Sens!$J$9084-Sens!$J$9082</f>
        <v>0</v>
      </c>
      <c r="K9087" s="41" t="n">
        <f aca="false">Sens!$K$9083+Sens!$K$9084-Sens!$K$9082</f>
        <v>0</v>
      </c>
      <c r="L9087" s="41" t="n">
        <f aca="false">Sens!$L$9083+Sens!$L$9084-Sens!$L$9082</f>
        <v>0</v>
      </c>
      <c r="M9087" s="41" t="n">
        <f aca="false">Sens!$M$9083+Sens!$M$9084-Sens!$M$9082</f>
        <v>0</v>
      </c>
      <c r="N9087" s="41" t="n">
        <f aca="false">Sens!$N$9083+Sens!$N$9084-Sens!$N$9082</f>
        <v>0</v>
      </c>
      <c r="O9087" s="41" t="n">
        <f aca="false">Sens!$O$9083+Sens!$O$9084-Sens!$O$9082</f>
        <v>0</v>
      </c>
    </row>
    <row r="9088" customFormat="false" ht="17.15" hidden="false" customHeight="false" outlineLevel="0" collapsed="false">
      <c r="A9088" s="24" t="s">
        <v>757</v>
      </c>
      <c r="B9088" s="25" t="s">
        <v>86</v>
      </c>
      <c r="C9088" s="41" t="n">
        <f aca="false">Sens!$C$9073+Sens!$C$9074+Sens!$C$9075+Sens!$C$9076+Sens!$C$9077+Sens!$C$9078+Sens!$C$9079-Sens!$C$9085</f>
        <v>0</v>
      </c>
      <c r="D9088" s="41" t="n">
        <f aca="false">Sens!$D$9073+Sens!$D$9074+Sens!$D$9075+Sens!$D$9076+Sens!$D$9077+Sens!$D$9078+Sens!$D$9079-Sens!$D$9085</f>
        <v>0</v>
      </c>
      <c r="E9088" s="41" t="n">
        <f aca="false">Sens!$E$9073+Sens!$E$9074+Sens!$E$9075+Sens!$E$9076+Sens!$E$9077+Sens!$E$9078+Sens!$E$9079-Sens!$E$9085</f>
        <v>0</v>
      </c>
      <c r="F9088" s="41" t="n">
        <f aca="false">Sens!$F$9073+Sens!$F$9074+Sens!$F$9075+Sens!$F$9076+Sens!$F$9077+Sens!$F$9078+Sens!$F$9079-Sens!$F$9085</f>
        <v>0</v>
      </c>
      <c r="G9088" s="41" t="n">
        <f aca="false">Sens!$G$9073+Sens!$G$9074+Sens!$G$9075+Sens!$G$9076+Sens!$G$9077+Sens!$G$9078+Sens!$G$9079-Sens!$G$9085</f>
        <v>0</v>
      </c>
      <c r="H9088" s="41" t="n">
        <f aca="false">Sens!$H$9073+Sens!$H$9074+Sens!$H$9075+Sens!$H$9076+Sens!$H$9077+Sens!$H$9078+Sens!$H$9079-Sens!$H$9085</f>
        <v>0</v>
      </c>
      <c r="I9088" s="41" t="n">
        <f aca="false">Sens!$I$9073+Sens!$I$9074+Sens!$I$9075+Sens!$I$9076+Sens!$I$9077+Sens!$I$9078+Sens!$I$9079-Sens!$I$9085</f>
        <v>0</v>
      </c>
      <c r="J9088" s="41" t="n">
        <f aca="false">Sens!$J$9073+Sens!$J$9074+Sens!$J$9075+Sens!$J$9076+Sens!$J$9077+Sens!$J$9078+Sens!$J$9079-Sens!$J$9085</f>
        <v>0</v>
      </c>
      <c r="K9088" s="41" t="n">
        <f aca="false">Sens!$K$9073+Sens!$K$9074+Sens!$K$9075+Sens!$K$9076+Sens!$K$9077+Sens!$K$9078+Sens!$K$9079-Sens!$K$9085</f>
        <v>0</v>
      </c>
      <c r="L9088" s="41" t="n">
        <f aca="false">Sens!$L$9073+Sens!$L$9074+Sens!$L$9075+Sens!$L$9076+Sens!$L$9077+Sens!$L$9078+Sens!$L$9079-Sens!$L$9085</f>
        <v>0</v>
      </c>
      <c r="M9088" s="41" t="n">
        <f aca="false">Sens!$M$9073+Sens!$M$9074+Sens!$M$9075+Sens!$M$9076+Sens!$M$9077+Sens!$M$9078+Sens!$M$9079-Sens!$M$9085</f>
        <v>0</v>
      </c>
      <c r="N9088" s="41" t="n">
        <f aca="false">Sens!$N$9073+Sens!$N$9074+Sens!$N$9075+Sens!$N$9076+Sens!$N$9077+Sens!$N$9078+Sens!$N$9079-Sens!$N$9085</f>
        <v>0</v>
      </c>
      <c r="O9088" s="41" t="n">
        <f aca="false">Sens!$O$9073+Sens!$O$9074+Sens!$O$9075+Sens!$O$9076+Sens!$O$9077+Sens!$O$9078+Sens!$O$9079-Sens!$O$9085</f>
        <v>0</v>
      </c>
    </row>
    <row r="9089" customFormat="false" ht="17.15" hidden="false" customHeight="false" outlineLevel="0" collapsed="false">
      <c r="A9089" s="24" t="s">
        <v>699</v>
      </c>
      <c r="B9089" s="25" t="s">
        <v>86</v>
      </c>
      <c r="C9089" s="41" t="n">
        <f aca="false">Sens!$C$9080+Sens!$C$9081+Sens!$C$9082-Sens!$C$9085</f>
        <v>0</v>
      </c>
      <c r="D9089" s="41" t="n">
        <f aca="false">Sens!$D$9080+Sens!$D$9081+Sens!$D$9082-Sens!$D$9085</f>
        <v>0</v>
      </c>
      <c r="E9089" s="41" t="n">
        <f aca="false">Sens!$E$9080+Sens!$E$9081+Sens!$E$9082-Sens!$E$9085</f>
        <v>0</v>
      </c>
      <c r="F9089" s="41" t="n">
        <f aca="false">Sens!$F$9080+Sens!$F$9081+Sens!$F$9082-Sens!$F$9085</f>
        <v>0</v>
      </c>
      <c r="G9089" s="41" t="n">
        <f aca="false">Sens!$G$9080+Sens!$G$9081+Sens!$G$9082-Sens!$G$9085</f>
        <v>0</v>
      </c>
      <c r="H9089" s="41" t="n">
        <f aca="false">Sens!$H$9080+Sens!$H$9081+Sens!$H$9082-Sens!$H$9085</f>
        <v>0</v>
      </c>
      <c r="I9089" s="41" t="n">
        <f aca="false">Sens!$I$9080+Sens!$I$9081+Sens!$I$9082-Sens!$I$9085</f>
        <v>0</v>
      </c>
      <c r="J9089" s="41" t="n">
        <f aca="false">Sens!$J$9080+Sens!$J$9081+Sens!$J$9082-Sens!$J$9085</f>
        <v>0</v>
      </c>
      <c r="K9089" s="41" t="n">
        <f aca="false">Sens!$K$9080+Sens!$K$9081+Sens!$K$9082-Sens!$K$9085</f>
        <v>0</v>
      </c>
      <c r="L9089" s="41" t="n">
        <f aca="false">Sens!$L$9080+Sens!$L$9081+Sens!$L$9082-Sens!$L$9085</f>
        <v>0</v>
      </c>
      <c r="M9089" s="41" t="n">
        <f aca="false">Sens!$M$9080+Sens!$M$9081+Sens!$M$9082-Sens!$M$9085</f>
        <v>0</v>
      </c>
      <c r="N9089" s="41" t="n">
        <f aca="false">Sens!$N$9080+Sens!$N$9081+Sens!$N$9082-Sens!$N$9085</f>
        <v>0</v>
      </c>
      <c r="O9089" s="41" t="n">
        <f aca="false">Sens!$O$9080+Sens!$O$9081+Sens!$O$9082-Sens!$O$9085</f>
        <v>0</v>
      </c>
    </row>
    <row r="9090" customFormat="false" ht="17.15" hidden="false" customHeight="false" outlineLevel="0" collapsed="false">
      <c r="A9090" s="1" t="s">
        <v>713</v>
      </c>
    </row>
    <row r="9091" customFormat="false" ht="17.15" hidden="false" customHeight="false" outlineLevel="0" collapsed="false">
      <c r="A9091" s="0" t="s">
        <v>714</v>
      </c>
      <c r="B9091" s="0" t="s">
        <v>86</v>
      </c>
      <c r="C9091" s="38" t="n">
        <f aca="false">Sens!$C$8997*m_ad</f>
        <v>20.5341564414228</v>
      </c>
      <c r="D9091" s="38" t="n">
        <f aca="false">Sens!$D$8997*m_ad</f>
        <v>24.8720617299587</v>
      </c>
      <c r="E9091" s="38" t="n">
        <f aca="false">Sens!$E$8997*m_ad</f>
        <v>13.5017112462207</v>
      </c>
      <c r="F9091" s="38" t="n">
        <f aca="false">Sens!$F$8997*m_ad</f>
        <v>16.5719724165257</v>
      </c>
      <c r="G9091" s="38" t="n">
        <f aca="false">Sens!$G$8997*m_ad</f>
        <v>30.0820919220415</v>
      </c>
      <c r="H9091" s="38" t="n">
        <f aca="false">Sens!$H$8997*m_ad</f>
        <v>36.1150883276314</v>
      </c>
      <c r="I9091" s="38" t="n">
        <f aca="false">Sens!$I$8997*m_ad</f>
        <v>42.1475382231996</v>
      </c>
      <c r="J9091" s="38" t="n">
        <f aca="false">Sens!$J$8997*m_ad</f>
        <v>47.7749523864693</v>
      </c>
      <c r="K9091" s="38" t="n">
        <f aca="false">Sens!$K$8997*m_ad</f>
        <v>52.5524476251162</v>
      </c>
      <c r="L9091" s="38" t="n">
        <f aca="false">Sens!$L$8997*m_ad</f>
        <v>57.8076923876279</v>
      </c>
      <c r="M9091" s="38" t="n">
        <f aca="false">Sens!$M$8997*m_ad</f>
        <v>63.5884616263907</v>
      </c>
      <c r="N9091" s="38" t="n">
        <f aca="false">Sens!$N$8997*m_ad</f>
        <v>10.8543555706248</v>
      </c>
      <c r="O9091" s="38" t="n">
        <f aca="false">Sens!$O$8997*m_ad</f>
        <v>14.0094731821399</v>
      </c>
    </row>
    <row r="9092" customFormat="false" ht="17.15" hidden="false" customHeight="false" outlineLevel="0" collapsed="false">
      <c r="A9092" s="0" t="s">
        <v>715</v>
      </c>
      <c r="B9092" s="0" t="s">
        <v>86</v>
      </c>
      <c r="C9092" s="38" t="n">
        <f aca="false">Sens!$C$8995-Sens!$C$8997</f>
        <v>346.428687117154</v>
      </c>
      <c r="D9092" s="38" t="n">
        <f aca="false">Sens!$D$8995-Sens!$D$8997</f>
        <v>376.560876540083</v>
      </c>
      <c r="E9092" s="38" t="n">
        <f aca="false">Sens!$E$8995-Sens!$E$8997</f>
        <v>193.316577507559</v>
      </c>
      <c r="F9092" s="38" t="n">
        <f aca="false">Sens!$F$8995-Sens!$F$8997</f>
        <v>217.495828647535</v>
      </c>
      <c r="G9092" s="38" t="n">
        <f aca="false">Sens!$G$8995-Sens!$G$8997</f>
        <v>410.795589636503</v>
      </c>
      <c r="H9092" s="38" t="n">
        <f aca="false">Sens!$H$8995-Sens!$H$8997</f>
        <v>449.156813761174</v>
      </c>
      <c r="I9092" s="38" t="n">
        <f aca="false">Sens!$I$8995-Sens!$I$8997</f>
        <v>485.848786441156</v>
      </c>
      <c r="J9092" s="38" t="n">
        <f aca="false">Sens!$J$8995-Sens!$J$8997</f>
        <v>519.841531018994</v>
      </c>
      <c r="K9092" s="38" t="n">
        <f aca="false">Sens!$K$8995-Sens!$K$8997</f>
        <v>550.103332311311</v>
      </c>
      <c r="L9092" s="38" t="n">
        <f aca="false">Sens!$L$8995-Sens!$L$8997</f>
        <v>582.192354474511</v>
      </c>
      <c r="M9092" s="38" t="n">
        <f aca="false">Sens!$M$8995-Sens!$M$8997</f>
        <v>616.22240521081</v>
      </c>
      <c r="N9092" s="38" t="n">
        <f aca="false">Sens!$N$8995-Sens!$N$8997</f>
        <v>171.24628885875</v>
      </c>
      <c r="O9092" s="38" t="n">
        <f aca="false">Sens!$O$8995-Sens!$O$8997</f>
        <v>205.33105363572</v>
      </c>
    </row>
    <row r="9093" customFormat="false" ht="17.15" hidden="false" customHeight="false" outlineLevel="0" collapsed="false">
      <c r="A9093" s="0" t="s">
        <v>716</v>
      </c>
      <c r="B9093" s="0" t="s">
        <v>86</v>
      </c>
      <c r="C9093" s="38" t="n">
        <f aca="false">Sens!$C$9044*Sens!$C$8994</f>
        <v>0.123617442257179</v>
      </c>
      <c r="D9093" s="38" t="n">
        <f aca="false">Sens!$D$9044*Sens!$D$8994</f>
        <v>0.874366899302609</v>
      </c>
      <c r="E9093" s="38" t="n">
        <f aca="false">Sens!$E$9044*Sens!$E$8994</f>
        <v>1.29318830502574</v>
      </c>
      <c r="F9093" s="38" t="n">
        <f aca="false">Sens!$F$9044*Sens!$F$8994</f>
        <v>1.51802024162534</v>
      </c>
      <c r="G9093" s="38" t="n">
        <f aca="false">Sens!$G$9044*Sens!$G$8994</f>
        <v>2.81153363597665</v>
      </c>
      <c r="H9093" s="38" t="n">
        <f aca="false">Sens!$H$9044*Sens!$H$8994</f>
        <v>7.39027704264226</v>
      </c>
      <c r="I9093" s="38" t="n">
        <f aca="false">Sens!$I$9044*Sens!$I$8994</f>
        <v>12.899807643047</v>
      </c>
      <c r="J9093" s="38" t="n">
        <f aca="false">Sens!$J$9044*Sens!$J$8994</f>
        <v>18.5585322471382</v>
      </c>
      <c r="K9093" s="38" t="n">
        <f aca="false">Sens!$K$9044*Sens!$K$8994</f>
        <v>24.0966749520672</v>
      </c>
      <c r="L9093" s="38" t="n">
        <f aca="false">Sens!$L$9044*Sens!$L$8994</f>
        <v>27.686623551477</v>
      </c>
      <c r="M9093" s="38" t="n">
        <f aca="false">Sens!$M$9044*Sens!$M$8994</f>
        <v>29.7238645537022</v>
      </c>
      <c r="N9093" s="38" t="n">
        <f aca="false">Sens!$N$9044*Sens!$N$8994</f>
        <v>0.389180508437431</v>
      </c>
      <c r="O9093" s="38" t="n">
        <f aca="false">Sens!$O$9044*Sens!$O$8994</f>
        <v>0.485052120082802</v>
      </c>
    </row>
    <row r="9094" customFormat="false" ht="17.15" hidden="false" customHeight="false" outlineLevel="0" collapsed="false">
      <c r="A9094" s="0" t="s">
        <v>717</v>
      </c>
      <c r="B9094" s="0" t="s">
        <v>52</v>
      </c>
      <c r="C9094" s="28" t="n">
        <f aca="false">(Sens!$C$9095-Sens!$C$9091+Sens!$C$9093)/Sens!$C$9092</f>
        <v>0.0131526665379575</v>
      </c>
      <c r="D9094" s="28" t="n">
        <f aca="false">(Sens!$D$9095-Sens!$D$9091+Sens!$D$9093)/Sens!$D$9092</f>
        <v>0.0149280116962589</v>
      </c>
      <c r="E9094" s="28" t="n">
        <f aca="false">(Sens!$E$9095-Sens!$E$9091+Sens!$E$9093)/Sens!$E$9092</f>
        <v>0.0268030663774938</v>
      </c>
      <c r="F9094" s="28" t="n">
        <f aca="false">Sens!$O$9094+(Sens!$E$9094-Sens!$N$9094)</f>
        <v>0.0232379346966962</v>
      </c>
      <c r="G9094" s="28" t="n">
        <f aca="false">(Sens!$G$9095-Sens!$G$9091+Sens!$G$9093)/Sens!$G$9092</f>
        <v>0.0248969268652583</v>
      </c>
      <c r="H9094" s="28" t="n">
        <f aca="false">Sens!$G$9094+step_na</f>
        <v>0.0278969268652583</v>
      </c>
      <c r="I9094" s="28" t="n">
        <f aca="false">Sens!$H$9094+step_na</f>
        <v>0.0308969268652583</v>
      </c>
      <c r="J9094" s="28" t="n">
        <f aca="false">Sens!$I$9094+step_na</f>
        <v>0.0338969268652583</v>
      </c>
      <c r="K9094" s="28" t="n">
        <f aca="false">Sens!$J$9094+step_na</f>
        <v>0.0368969268652584</v>
      </c>
      <c r="L9094" s="28" t="n">
        <f aca="false">Sens!$K$9094</f>
        <v>0.0368969268652584</v>
      </c>
      <c r="M9094" s="28" t="n">
        <f aca="false">Sens!$L$9094</f>
        <v>0.0368969268652584</v>
      </c>
      <c r="N9094" s="28" t="n">
        <f aca="false">(Sens!$N$9095-Sens!$N$9091+Sens!$N$9093)/Sens!$N$9092</f>
        <v>0.0168927744775755</v>
      </c>
      <c r="O9094" s="28" t="n">
        <f aca="false">(Sens!$O$9095-Sens!$O$9091+Sens!$O$9093)/Sens!$O$9092</f>
        <v>0.0133276427967779</v>
      </c>
      <c r="P9094" s="8" t="s">
        <v>718</v>
      </c>
    </row>
    <row r="9095" customFormat="false" ht="17.15" hidden="false" customHeight="false" outlineLevel="0" collapsed="false">
      <c r="A9095" s="1" t="s">
        <v>719</v>
      </c>
      <c r="B9095" s="8" t="s">
        <v>86</v>
      </c>
      <c r="C9095" s="38" t="n">
        <f aca="false">Q!$D$22</f>
        <v>24.967</v>
      </c>
      <c r="D9095" s="38" t="n">
        <f aca="false">Q!$E$22</f>
        <v>29.619</v>
      </c>
      <c r="E9095" s="38" t="n">
        <f aca="false">Q!$P$22</f>
        <v>17.39</v>
      </c>
      <c r="F9095" s="38" t="n">
        <f aca="false">Sens!$F$9091+Sens!$F$9092*Sens!$F$9094-Sens!$F$9093</f>
        <v>20.1081060378156</v>
      </c>
      <c r="G9095" s="38" t="n">
        <f aca="false">Sens!$E$9095+Sens!$F$9095</f>
        <v>37.4981060378156</v>
      </c>
      <c r="H9095" s="38" t="n">
        <f aca="false">Sens!$H$9091+Sens!$H$9092*Sens!$H$9094-Sens!$H$9093</f>
        <v>41.2549060695171</v>
      </c>
      <c r="I9095" s="38" t="n">
        <f aca="false">Sens!$I$9091+Sens!$I$9092*Sens!$I$9094-Sens!$I$9093</f>
        <v>44.2589650023995</v>
      </c>
      <c r="J9095" s="38" t="n">
        <f aca="false">Sens!$J$9091+Sens!$J$9092*Sens!$J$9094-Sens!$J$9093</f>
        <v>46.8374504978059</v>
      </c>
      <c r="K9095" s="38" t="n">
        <f aca="false">Sens!$K$9091+Sens!$K$9092*Sens!$K$9094-Sens!$K$9093</f>
        <v>48.7528950936744</v>
      </c>
      <c r="L9095" s="38" t="n">
        <f aca="false">Sens!$L$9091+Sens!$L$9092*Sens!$L$9094-Sens!$L$9093</f>
        <v>51.6021775607095</v>
      </c>
      <c r="M9095" s="38" t="n">
        <f aca="false">Sens!$M$9091+Sens!$M$9092*Sens!$M$9094-Sens!$M$9093</f>
        <v>56.6013100904853</v>
      </c>
      <c r="N9095" s="38" t="n">
        <f aca="false">Q!$N$22</f>
        <v>13.358</v>
      </c>
      <c r="O9095" s="38" t="n">
        <f aca="false">Q!$O$22</f>
        <v>16.261</v>
      </c>
    </row>
    <row r="9096" customFormat="false" ht="17.15" hidden="false" customHeight="false" outlineLevel="0" collapsed="false">
      <c r="A9096" s="0" t="s">
        <v>720</v>
      </c>
      <c r="B9096" s="0" t="s">
        <v>86</v>
      </c>
      <c r="C9096" s="38" t="n">
        <f aca="false">Sens!$C$8998*m_ad</f>
        <v>7.57284355857716</v>
      </c>
      <c r="D9096" s="38" t="n">
        <f aca="false">Sens!$D$8998*m_ad</f>
        <v>9.44543827004127</v>
      </c>
      <c r="E9096" s="38" t="n">
        <f aca="false">Sens!$E$8998*m_ad</f>
        <v>5.02428875377928</v>
      </c>
      <c r="F9096" s="38" t="n">
        <f aca="false">Sens!$F$8998*m_ad</f>
        <v>6.50663858068173</v>
      </c>
      <c r="G9096" s="38" t="n">
        <f aca="false">Sens!$G$8998*m_ad</f>
        <v>11.5225190751659</v>
      </c>
      <c r="H9096" s="38" t="n">
        <f aca="false">Sens!$H$8998*m_ad</f>
        <v>13.8333728663174</v>
      </c>
      <c r="I9096" s="38" t="n">
        <f aca="false">Sens!$I$8998*m_ad</f>
        <v>16.1440173245485</v>
      </c>
      <c r="J9096" s="38" t="n">
        <f aca="false">Sens!$J$8998*m_ad</f>
        <v>18.2995185845066</v>
      </c>
      <c r="K9096" s="38" t="n">
        <f aca="false">Sens!$K$8998*m_ad</f>
        <v>20.1294704429572</v>
      </c>
      <c r="L9096" s="38" t="n">
        <f aca="false">Sens!$L$8998*m_ad</f>
        <v>22.142417487253</v>
      </c>
      <c r="M9096" s="38" t="n">
        <f aca="false">Sens!$M$8998*m_ad</f>
        <v>24.3566592359783</v>
      </c>
      <c r="N9096" s="38" t="n">
        <f aca="false">Sens!$N$8998*m_ad</f>
        <v>3.95314442937518</v>
      </c>
      <c r="O9096" s="38" t="n">
        <f aca="false">Sens!$O$8998*m_ad</f>
        <v>5.50052681786011</v>
      </c>
    </row>
    <row r="9097" customFormat="false" ht="17.15" hidden="false" customHeight="false" outlineLevel="0" collapsed="false">
      <c r="A9097" s="0" t="s">
        <v>721</v>
      </c>
      <c r="B9097" s="0" t="s">
        <v>86</v>
      </c>
      <c r="C9097" s="38" t="n">
        <f aca="false">Sens!$C$8996-Sens!$C$8998</f>
        <v>127.760312882846</v>
      </c>
      <c r="D9097" s="38" t="n">
        <f aca="false">Sens!$D$8996-Sens!$D$8998</f>
        <v>143.003123459917</v>
      </c>
      <c r="E9097" s="38" t="n">
        <f aca="false">Sens!$E$8996-Sens!$E$8998</f>
        <v>71.9374224924414</v>
      </c>
      <c r="F9097" s="38" t="n">
        <f aca="false">Sens!$F$8996-Sens!$F$8998</f>
        <v>85.3951910035875</v>
      </c>
      <c r="G9097" s="38" t="n">
        <f aca="false">Sens!$G$8996-Sens!$G$8998</f>
        <v>157.349430014619</v>
      </c>
      <c r="H9097" s="38" t="n">
        <f aca="false">Sens!$H$8996-Sens!$H$8998</f>
        <v>172.043153372315</v>
      </c>
      <c r="I9097" s="38" t="n">
        <f aca="false">Sens!$I$8996-Sens!$I$8998</f>
        <v>186.097493615879</v>
      </c>
      <c r="J9097" s="38" t="n">
        <f aca="false">Sens!$J$8996-Sens!$J$8998</f>
        <v>199.117932780497</v>
      </c>
      <c r="K9097" s="38" t="n">
        <f aca="false">Sens!$K$8996-Sens!$K$8998</f>
        <v>210.70928698363</v>
      </c>
      <c r="L9097" s="38" t="n">
        <f aca="false">Sens!$L$8996-Sens!$L$8998</f>
        <v>223.000532251316</v>
      </c>
      <c r="M9097" s="38" t="n">
        <f aca="false">Sens!$M$8996-Sens!$M$8998</f>
        <v>236.035261011339</v>
      </c>
      <c r="N9097" s="38" t="n">
        <f aca="false">Sens!$N$8996-Sens!$N$8998</f>
        <v>62.3677111412496</v>
      </c>
      <c r="O9097" s="38" t="n">
        <f aca="false">Sens!$O$8996-Sens!$O$8998</f>
        <v>80.6189463642798</v>
      </c>
    </row>
    <row r="9098" customFormat="false" ht="17.15" hidden="false" customHeight="false" outlineLevel="0" collapsed="false">
      <c r="A9098" s="0" t="s">
        <v>722</v>
      </c>
      <c r="B9098" s="0" t="s">
        <v>86</v>
      </c>
      <c r="C9098" s="38" t="n">
        <f aca="false">Sens!$C$9044*(1-Sens!$C$8994)</f>
        <v>0.0455891896019953</v>
      </c>
      <c r="D9098" s="38" t="n">
        <f aca="false">Sens!$D$9044*(1-Sens!$D$8994)</f>
        <v>0.332050421167231</v>
      </c>
      <c r="E9098" s="38" t="n">
        <f aca="false">Sens!$E$9044*(1-Sens!$E$8994)</f>
        <v>0.481224293644882</v>
      </c>
      <c r="F9098" s="38" t="n">
        <f aca="false">Sens!$F$9044*(1-Sens!$F$8994)</f>
        <v>0.596018918096053</v>
      </c>
      <c r="G9098" s="38" t="n">
        <f aca="false">Sens!$G$9044*(1-Sens!$G$8994)</f>
        <v>1.07691812241537</v>
      </c>
      <c r="H9098" s="38" t="n">
        <f aca="false">Sens!$H$9044*(1-Sens!$H$8994)</f>
        <v>2.83074090775622</v>
      </c>
      <c r="I9098" s="38" t="n">
        <f aca="false">Sens!$I$9044*(1-Sens!$I$8994)</f>
        <v>4.94108853926048</v>
      </c>
      <c r="J9098" s="38" t="n">
        <f aca="false">Sens!$J$9044*(1-Sens!$J$8994)</f>
        <v>7.10858281993502</v>
      </c>
      <c r="K9098" s="38" t="n">
        <f aca="false">Sens!$K$9044*(1-Sens!$K$8994)</f>
        <v>9.2298899126701</v>
      </c>
      <c r="L9098" s="38" t="n">
        <f aca="false">Sens!$L$9044*(1-Sens!$L$8994)</f>
        <v>10.6049688574045</v>
      </c>
      <c r="M9098" s="38" t="n">
        <f aca="false">Sens!$M$9044*(1-Sens!$M$8994)</f>
        <v>11.3853051574758</v>
      </c>
      <c r="N9098" s="38" t="n">
        <f aca="false">Sens!$N$9044*(1-Sens!$N$8994)</f>
        <v>0.141739115596548</v>
      </c>
      <c r="O9098" s="38" t="n">
        <f aca="false">Sens!$O$9044*(1-Sens!$O$8994)</f>
        <v>0.190445576353059</v>
      </c>
    </row>
    <row r="9099" customFormat="false" ht="17.15" hidden="false" customHeight="false" outlineLevel="0" collapsed="false">
      <c r="A9099" s="0" t="s">
        <v>723</v>
      </c>
      <c r="B9099" s="0" t="s">
        <v>52</v>
      </c>
      <c r="C9099" s="28" t="n">
        <f aca="false">(Sens!$C$9100-Sens!$C$9096+Sens!$C$9098)/Sens!$C$9097</f>
        <v>-0.0292364215826579</v>
      </c>
      <c r="D9099" s="28" t="n">
        <f aca="false">(Sens!$D$9100-Sens!$D$9096+Sens!$D$9098)/Sens!$D$9097</f>
        <v>-0.0305125352740778</v>
      </c>
      <c r="E9099" s="28" t="n">
        <f aca="false">(Sens!$E$9100-Sens!$E$9096+Sens!$E$9098)/Sens!$E$9097</f>
        <v>-0.019490056934994</v>
      </c>
      <c r="F9099" s="28" t="n">
        <f aca="false">Sens!$O$9099+(Sens!$E$9099-Sens!$N$9099)</f>
        <v>-0.0367332293992226</v>
      </c>
      <c r="G9099" s="28" t="n">
        <f aca="false">(Sens!$G$9100-Sens!$G$9096+Sens!$G$9098)/Sens!$G$9097</f>
        <v>-0.0287946542321067</v>
      </c>
      <c r="H9099" s="28" t="n">
        <f aca="false">Sens!$G$9099+step_in</f>
        <v>-0.0287946542321067</v>
      </c>
      <c r="I9099" s="28" t="n">
        <f aca="false">Sens!$H$9099+step_in</f>
        <v>-0.0287946542321067</v>
      </c>
      <c r="J9099" s="28" t="n">
        <f aca="false">Sens!$I$9099+step_in</f>
        <v>-0.0287946542321067</v>
      </c>
      <c r="K9099" s="28" t="n">
        <f aca="false">Sens!$J$9099+step_in</f>
        <v>-0.0287946542321067</v>
      </c>
      <c r="L9099" s="28" t="n">
        <f aca="false">Sens!$K$9099</f>
        <v>-0.0287946542321067</v>
      </c>
      <c r="M9099" s="28" t="n">
        <f aca="false">Sens!$L$9099</f>
        <v>-0.0287946542321067</v>
      </c>
      <c r="N9099" s="28" t="n">
        <f aca="false">(Sens!$N$9100-Sens!$N$9096+Sens!$N$9098)/Sens!$N$9097</f>
        <v>-0.02085061789158</v>
      </c>
      <c r="O9099" s="28" t="n">
        <f aca="false">(Sens!$O$9100-Sens!$O$9096+Sens!$O$9098)/Sens!$O$9097</f>
        <v>-0.0380937903558086</v>
      </c>
      <c r="P9099" s="8" t="s">
        <v>718</v>
      </c>
    </row>
    <row r="9100" customFormat="false" ht="17.15" hidden="false" customHeight="false" outlineLevel="0" collapsed="false">
      <c r="A9100" s="1" t="s">
        <v>724</v>
      </c>
      <c r="B9100" s="8" t="s">
        <v>86</v>
      </c>
      <c r="C9100" s="38" t="n">
        <f aca="false">Q!$D$23</f>
        <v>3.792</v>
      </c>
      <c r="D9100" s="38" t="n">
        <f aca="false">Q!$E$23</f>
        <v>4.75</v>
      </c>
      <c r="E9100" s="38" t="n">
        <f aca="false">Q!$P$23</f>
        <v>3.141</v>
      </c>
      <c r="F9100" s="38" t="n">
        <f aca="false">Sens!$F$9096+Sens!$F$9097*Sens!$F$9099-Sens!$F$9098</f>
        <v>2.77377852186047</v>
      </c>
      <c r="G9100" s="38" t="n">
        <f aca="false">Sens!$E$9100+Sens!$F$9100</f>
        <v>5.91477852186047</v>
      </c>
      <c r="H9100" s="38" t="n">
        <f aca="false">Sens!$H$9096+Sens!$H$9097*Sens!$H$9099-Sens!$H$9098</f>
        <v>6.04870884420403</v>
      </c>
      <c r="I9100" s="38" t="n">
        <f aca="false">Sens!$I$9096+Sens!$I$9097*Sens!$I$9099-Sens!$I$9098</f>
        <v>5.84431580315713</v>
      </c>
      <c r="J9100" s="38" t="n">
        <f aca="false">Sens!$J$9096+Sens!$J$9097*Sens!$J$9099-Sens!$J$9098</f>
        <v>5.45740373874528</v>
      </c>
      <c r="K9100" s="38" t="n">
        <f aca="false">Sens!$K$9096+Sens!$K$9097*Sens!$K$9099-Sens!$K$9098</f>
        <v>4.83227946809976</v>
      </c>
      <c r="L9100" s="38" t="n">
        <f aca="false">Sens!$L$9096+Sens!$L$9097*Sens!$L$9099-Sens!$L$9098</f>
        <v>5.11622541009601</v>
      </c>
      <c r="M9100" s="38" t="n">
        <f aca="false">Sens!$M$9096+Sens!$M$9097*Sens!$M$9099-Sens!$M$9098</f>
        <v>6.17480035109588</v>
      </c>
      <c r="N9100" s="38" t="n">
        <f aca="false">Q!$N$23</f>
        <v>2.511</v>
      </c>
      <c r="O9100" s="38" t="n">
        <f aca="false">Q!$O$23</f>
        <v>2.239</v>
      </c>
    </row>
    <row r="9101" customFormat="false" ht="17.15" hidden="false" customHeight="false" outlineLevel="0" collapsed="false">
      <c r="A9101" s="0" t="s">
        <v>725</v>
      </c>
      <c r="B9101" s="0" t="s">
        <v>86</v>
      </c>
      <c r="C9101" s="38" t="n">
        <f aca="false">Sens!$C$9041</f>
        <v>1.64417882953695</v>
      </c>
      <c r="D9101" s="38" t="n">
        <f aca="false">Sens!$D$9041</f>
        <v>3.8781008067718</v>
      </c>
      <c r="E9101" s="38" t="n">
        <f aca="false">Sens!$E$9041</f>
        <v>1.41270258088753</v>
      </c>
      <c r="F9101" s="38" t="n">
        <f aca="false">Sens!$F$9041</f>
        <v>6.50727700583486</v>
      </c>
      <c r="G9101" s="38" t="n">
        <f aca="false">Sens!$G$9041</f>
        <v>7.9199795867224</v>
      </c>
      <c r="H9101" s="38" t="n">
        <f aca="false">Sens!$H$9041</f>
        <v>19.2818189481807</v>
      </c>
      <c r="I9101" s="38" t="n">
        <f aca="false">Sens!$I$9041</f>
        <v>30.140114407202</v>
      </c>
      <c r="J9101" s="38" t="n">
        <f aca="false">Sens!$J$9041</f>
        <v>40.3569468829854</v>
      </c>
      <c r="K9101" s="38" t="n">
        <f aca="false">Sens!$K$9041</f>
        <v>45.1418609242305</v>
      </c>
      <c r="L9101" s="38" t="n">
        <f aca="false">Sens!$L$9041</f>
        <v>48.5617321668703</v>
      </c>
      <c r="M9101" s="38" t="n">
        <f aca="false">Sens!$M$9041</f>
        <v>48.3987625241529</v>
      </c>
      <c r="N9101" s="38" t="n">
        <f aca="false">Sens!$N$9041</f>
        <v>0.92264103489199</v>
      </c>
      <c r="O9101" s="38" t="n">
        <f aca="false">Sens!$O$9041</f>
        <v>2.95545977187981</v>
      </c>
    </row>
    <row r="9102" customFormat="false" ht="17.15" hidden="false" customHeight="false" outlineLevel="0" collapsed="false">
      <c r="A9102" s="0" t="s">
        <v>643</v>
      </c>
      <c r="B9102" s="0" t="s">
        <v>86</v>
      </c>
      <c r="C9102" s="38" t="n">
        <f aca="false">Sens!$C$9046</f>
        <v>38.1898211704631</v>
      </c>
      <c r="D9102" s="38" t="n">
        <f aca="false">Sens!$D$9046</f>
        <v>41.7278991932282</v>
      </c>
      <c r="E9102" s="38" t="n">
        <f aca="false">Sens!$E$9046</f>
        <v>29.3692974191125</v>
      </c>
      <c r="F9102" s="38" t="n">
        <f aca="false">Sens!$F$9046</f>
        <v>26.8997276714137</v>
      </c>
      <c r="G9102" s="38" t="n">
        <f aca="false">Sens!$G$9046</f>
        <v>56.2690250905262</v>
      </c>
      <c r="H9102" s="38" t="n">
        <f aca="false">Sens!$H$9046</f>
        <v>60.3505333937343</v>
      </c>
      <c r="I9102" s="38" t="n">
        <f aca="false">Sens!$I$9046</f>
        <v>67.0043857303571</v>
      </c>
      <c r="J9102" s="38" t="n">
        <f aca="false">Sens!$J$9046</f>
        <v>73.3782922956925</v>
      </c>
      <c r="K9102" s="38" t="n">
        <f aca="false">Sens!$K$9046</f>
        <v>79.2485556793479</v>
      </c>
      <c r="L9102" s="38" t="n">
        <f aca="false">Sens!$L$9046</f>
        <v>85.5884401336958</v>
      </c>
      <c r="M9102" s="38" t="n">
        <f aca="false">Sens!$M$9046</f>
        <v>92.4355153443914</v>
      </c>
      <c r="N9102" s="38" t="n">
        <f aca="false">Sens!$N$9046</f>
        <v>20.784358965108</v>
      </c>
      <c r="O9102" s="38" t="n">
        <f aca="false">Sens!$O$9046</f>
        <v>20.9435402281202</v>
      </c>
    </row>
    <row r="9103" customFormat="false" ht="17.15" hidden="false" customHeight="false" outlineLevel="0" collapsed="false">
      <c r="A9103" s="1" t="s">
        <v>726</v>
      </c>
      <c r="B9103" s="8" t="s">
        <v>86</v>
      </c>
      <c r="C9103" s="38" t="n">
        <f aca="false">Q!$D$24</f>
        <v>39.834</v>
      </c>
      <c r="D9103" s="38" t="n">
        <f aca="false">Q!$E$24</f>
        <v>45.606</v>
      </c>
      <c r="E9103" s="38" t="n">
        <f aca="false">Q!$P$24</f>
        <v>30.782</v>
      </c>
      <c r="F9103" s="38" t="n">
        <f aca="false">Sens!$F$9101+Sens!$F$9102</f>
        <v>33.4070046772486</v>
      </c>
      <c r="G9103" s="38" t="n">
        <f aca="false">Sens!$G$9101+Sens!$G$9102</f>
        <v>64.1890046772486</v>
      </c>
      <c r="H9103" s="38" t="n">
        <f aca="false">Sens!$H$9101+Sens!$H$9102</f>
        <v>79.6323523419149</v>
      </c>
      <c r="I9103" s="38" t="n">
        <f aca="false">Sens!$I$9101+Sens!$I$9102</f>
        <v>97.1445001375591</v>
      </c>
      <c r="J9103" s="38" t="n">
        <f aca="false">Sens!$J$9101+Sens!$J$9102</f>
        <v>113.735239178678</v>
      </c>
      <c r="K9103" s="38" t="n">
        <f aca="false">Sens!$K$9101+Sens!$K$9102</f>
        <v>124.390416603578</v>
      </c>
      <c r="L9103" s="38" t="n">
        <f aca="false">Sens!$L$9101+Sens!$L$9102</f>
        <v>134.150172300566</v>
      </c>
      <c r="M9103" s="38" t="n">
        <f aca="false">Sens!$M$9101+Sens!$M$9102</f>
        <v>140.834277868544</v>
      </c>
      <c r="N9103" s="38" t="n">
        <f aca="false">Q!$N$24</f>
        <v>21.707</v>
      </c>
      <c r="O9103" s="38" t="n">
        <f aca="false">Q!$O$24</f>
        <v>23.899</v>
      </c>
    </row>
    <row r="9104" customFormat="false" ht="17.15" hidden="false" customHeight="false" outlineLevel="0" collapsed="false">
      <c r="A9104" s="5" t="s">
        <v>727</v>
      </c>
      <c r="B9104" s="0" t="s">
        <v>86</v>
      </c>
      <c r="C9104" s="38" t="n">
        <f aca="false">Q!$D$26</f>
        <v>0</v>
      </c>
      <c r="D9104" s="38" t="n">
        <f aca="false">Q!$E$26</f>
        <v>0</v>
      </c>
      <c r="E9104" s="38" t="n">
        <f aca="false">Q!$P$26</f>
        <v>0</v>
      </c>
      <c r="F9104" s="39" t="n">
        <v>0</v>
      </c>
      <c r="G9104" s="38" t="n">
        <f aca="false">Sens!$E$9104+Sens!$F$9104</f>
        <v>0</v>
      </c>
      <c r="H9104" s="39" t="n">
        <v>0</v>
      </c>
      <c r="I9104" s="39" t="n">
        <v>0</v>
      </c>
      <c r="J9104" s="39" t="n">
        <v>0</v>
      </c>
      <c r="K9104" s="39" t="n">
        <v>0</v>
      </c>
      <c r="L9104" s="39" t="n">
        <v>0</v>
      </c>
      <c r="M9104" s="39" t="n">
        <v>0</v>
      </c>
      <c r="N9104" s="38" t="n">
        <f aca="false">Q!$N$26</f>
        <v>0</v>
      </c>
      <c r="O9104" s="38" t="n">
        <f aca="false">Q!$O$26</f>
        <v>0</v>
      </c>
    </row>
    <row r="9105" customFormat="false" ht="15" hidden="false" customHeight="false" outlineLevel="0" collapsed="false">
      <c r="A9105" s="3" t="s">
        <v>531</v>
      </c>
      <c r="B9105" s="8" t="s">
        <v>86</v>
      </c>
      <c r="C9105" s="38" t="n">
        <f aca="false">Q!$D$25</f>
        <v>68.593</v>
      </c>
      <c r="D9105" s="38" t="n">
        <f aca="false">Q!$E$25</f>
        <v>79.975</v>
      </c>
      <c r="E9105" s="38" t="n">
        <f aca="false">Q!$P$25</f>
        <v>51.313</v>
      </c>
      <c r="F9105" s="38" t="n">
        <f aca="false">Sens!$F$9095+Sens!$F$9100+Sens!$F$9103+Sens!$F$9104</f>
        <v>56.2888892369246</v>
      </c>
      <c r="G9105" s="38" t="n">
        <f aca="false">Sens!$G$9095+Sens!$G$9100+Sens!$G$9103+Sens!$G$9104</f>
        <v>107.601889236925</v>
      </c>
      <c r="H9105" s="38" t="n">
        <f aca="false">Sens!$H$9095+Sens!$H$9100+Sens!$H$9103+Sens!$H$9104</f>
        <v>126.935967255636</v>
      </c>
      <c r="I9105" s="38" t="n">
        <f aca="false">Sens!$I$9095+Sens!$I$9100+Sens!$I$9103+Sens!$I$9104</f>
        <v>147.247780943116</v>
      </c>
      <c r="J9105" s="38" t="n">
        <f aca="false">Sens!$J$9095+Sens!$J$9100+Sens!$J$9103+Sens!$J$9104</f>
        <v>166.030093415229</v>
      </c>
      <c r="K9105" s="38" t="n">
        <f aca="false">Sens!$K$9095+Sens!$K$9100+Sens!$K$9103+Sens!$K$9104</f>
        <v>177.975591165353</v>
      </c>
      <c r="L9105" s="38" t="n">
        <f aca="false">Sens!$L$9095+Sens!$L$9100+Sens!$L$9103+Sens!$L$9104</f>
        <v>190.868575271371</v>
      </c>
      <c r="M9105" s="38" t="n">
        <f aca="false">Sens!$M$9095+Sens!$M$9100+Sens!$M$9103+Sens!$M$9104</f>
        <v>203.610388310126</v>
      </c>
      <c r="N9105" s="38" t="n">
        <f aca="false">Q!$N$25</f>
        <v>37.576</v>
      </c>
      <c r="O9105" s="38" t="n">
        <f aca="false">Q!$O$25</f>
        <v>42.399</v>
      </c>
    </row>
    <row r="9106" customFormat="false" ht="17.15" hidden="false" customHeight="false" outlineLevel="0" collapsed="false">
      <c r="A9106" s="24" t="s">
        <v>758</v>
      </c>
      <c r="B9106" s="25" t="s">
        <v>86</v>
      </c>
      <c r="C9106" s="41" t="n">
        <f aca="false">Sens!$C$9095+Sens!$C$9100+Sens!$C$9103+Sens!$C$9104-Sens!$C$9105</f>
        <v>0</v>
      </c>
      <c r="D9106" s="41" t="n">
        <f aca="false">Sens!$D$9095+Sens!$D$9100+Sens!$D$9103+Sens!$D$9104-Sens!$D$9105</f>
        <v>0</v>
      </c>
      <c r="E9106" s="41" t="n">
        <f aca="false">Sens!$E$9095+Sens!$E$9100+Sens!$E$9103+Sens!$E$9104-Sens!$E$9105</f>
        <v>0</v>
      </c>
      <c r="F9106" s="41" t="n">
        <f aca="false">Sens!$F$9095+Sens!$F$9100+Sens!$F$9103+Sens!$F$9104-Sens!$F$9105</f>
        <v>0</v>
      </c>
      <c r="G9106" s="41" t="n">
        <f aca="false">Sens!$G$9095+Sens!$G$9100+Sens!$G$9103+Sens!$G$9104-Sens!$G$9105</f>
        <v>0</v>
      </c>
      <c r="H9106" s="41" t="n">
        <f aca="false">Sens!$H$9095+Sens!$H$9100+Sens!$H$9103+Sens!$H$9104-Sens!$H$9105</f>
        <v>0</v>
      </c>
      <c r="I9106" s="41" t="n">
        <f aca="false">Sens!$I$9095+Sens!$I$9100+Sens!$I$9103+Sens!$I$9104-Sens!$I$9105</f>
        <v>0</v>
      </c>
      <c r="J9106" s="41" t="n">
        <f aca="false">Sens!$J$9095+Sens!$J$9100+Sens!$J$9103+Sens!$J$9104-Sens!$J$9105</f>
        <v>0</v>
      </c>
      <c r="K9106" s="41" t="n">
        <f aca="false">Sens!$K$9095+Sens!$K$9100+Sens!$K$9103+Sens!$K$9104-Sens!$K$9105</f>
        <v>0</v>
      </c>
      <c r="L9106" s="41" t="n">
        <f aca="false">Sens!$L$9095+Sens!$L$9100+Sens!$L$9103+Sens!$L$9104-Sens!$L$9105</f>
        <v>0</v>
      </c>
      <c r="M9106" s="41" t="n">
        <f aca="false">Sens!$M$9095+Sens!$M$9100+Sens!$M$9103+Sens!$M$9104-Sens!$M$9105</f>
        <v>0</v>
      </c>
      <c r="N9106" s="41" t="n">
        <f aca="false">Sens!$N$9095+Sens!$N$9100+Sens!$N$9103+Sens!$N$9104-Sens!$N$9105</f>
        <v>0</v>
      </c>
      <c r="O9106" s="41" t="n">
        <f aca="false">Sens!$O$9095+Sens!$O$9100+Sens!$O$9103+Sens!$O$9104-Sens!$O$9105</f>
        <v>0</v>
      </c>
    </row>
    <row r="9107" customFormat="false" ht="17.15" hidden="false" customHeight="false" outlineLevel="0" collapsed="false">
      <c r="A9107" s="5" t="s">
        <v>729</v>
      </c>
      <c r="B9107" s="0" t="s">
        <v>86</v>
      </c>
      <c r="C9107" s="38" t="n">
        <f aca="false">Sens!$C$9043</f>
        <v>0</v>
      </c>
      <c r="D9107" s="38" t="n">
        <f aca="false">Sens!$D$9043</f>
        <v>0</v>
      </c>
      <c r="E9107" s="38" t="n">
        <f aca="false">Sens!$E$9043</f>
        <v>0</v>
      </c>
      <c r="F9107" s="38" t="n">
        <f aca="false">Sens!$F$9043</f>
        <v>3.77122048175818</v>
      </c>
      <c r="G9107" s="38" t="n">
        <f aca="false">Sens!$G$9043</f>
        <v>3.77122048175818</v>
      </c>
      <c r="H9107" s="38" t="n">
        <f aca="false">Sens!$H$9043</f>
        <v>15.1635543609893</v>
      </c>
      <c r="I9107" s="38" t="n">
        <f aca="false">Sens!$I$9043</f>
        <v>25.5818843619889</v>
      </c>
      <c r="J9107" s="38" t="n">
        <f aca="false">Sens!$J$9043</f>
        <v>36.0465624179122</v>
      </c>
      <c r="K9107" s="38" t="n">
        <f aca="false">Sens!$K$9043</f>
        <v>44.9741164026038</v>
      </c>
      <c r="L9107" s="38" t="n">
        <f aca="false">Sens!$L$9043</f>
        <v>50.8413488057813</v>
      </c>
      <c r="M9107" s="38" t="n">
        <f aca="false">Sens!$M$9043</f>
        <v>53.6407214274315</v>
      </c>
      <c r="N9107" s="38" t="n">
        <f aca="false">Sens!$N$9043</f>
        <v>0</v>
      </c>
      <c r="O9107" s="38" t="n">
        <f aca="false">Sens!$O$9043</f>
        <v>0</v>
      </c>
      <c r="P9107" s="5" t="s">
        <v>730</v>
      </c>
    </row>
    <row r="9108" customFormat="false" ht="17.15" hidden="false" customHeight="false" outlineLevel="0" collapsed="false">
      <c r="A9108" s="5" t="s">
        <v>731</v>
      </c>
      <c r="B9108" s="0" t="s">
        <v>86</v>
      </c>
      <c r="C9108" s="38" t="n">
        <f aca="false">Sens!$C$9105+Sens!$C$9107</f>
        <v>68.593</v>
      </c>
      <c r="D9108" s="38" t="n">
        <f aca="false">Sens!$D$9105+Sens!$D$9107</f>
        <v>79.975</v>
      </c>
      <c r="E9108" s="38" t="n">
        <f aca="false">Sens!$E$9105+Sens!$E$9107</f>
        <v>51.313</v>
      </c>
      <c r="F9108" s="38" t="n">
        <f aca="false">Sens!$F$9105+Sens!$F$9107</f>
        <v>60.0601097186828</v>
      </c>
      <c r="G9108" s="38" t="n">
        <f aca="false">Sens!$G$9105+Sens!$G$9107</f>
        <v>111.373109718683</v>
      </c>
      <c r="H9108" s="38" t="n">
        <f aca="false">Sens!$H$9105+Sens!$H$9107</f>
        <v>142.099521616625</v>
      </c>
      <c r="I9108" s="38" t="n">
        <f aca="false">Sens!$I$9105+Sens!$I$9107</f>
        <v>172.829665305105</v>
      </c>
      <c r="J9108" s="38" t="n">
        <f aca="false">Sens!$J$9105+Sens!$J$9107</f>
        <v>202.076655833141</v>
      </c>
      <c r="K9108" s="38" t="n">
        <f aca="false">Sens!$K$9105+Sens!$K$9107</f>
        <v>222.949707567956</v>
      </c>
      <c r="L9108" s="38" t="n">
        <f aca="false">Sens!$L$9105+Sens!$L$9107</f>
        <v>241.709924077153</v>
      </c>
      <c r="M9108" s="38" t="n">
        <f aca="false">Sens!$M$9105+Sens!$M$9107</f>
        <v>257.251109737557</v>
      </c>
      <c r="N9108" s="38" t="n">
        <f aca="false">Sens!$N$9105+Sens!$N$9107</f>
        <v>37.576</v>
      </c>
      <c r="O9108" s="38" t="n">
        <f aca="false">Sens!$O$9105+Sens!$O$9107</f>
        <v>42.399</v>
      </c>
    </row>
    <row r="9109" customFormat="false" ht="17.15" hidden="false" customHeight="false" outlineLevel="0" collapsed="false">
      <c r="A9109" s="0" t="s">
        <v>732</v>
      </c>
      <c r="B9109" s="0" t="s">
        <v>52</v>
      </c>
      <c r="C9109" s="13" t="n">
        <f aca="false">Sens!$C$9095/Sens!$C$9080</f>
        <v>0.0644314665661928</v>
      </c>
      <c r="D9109" s="13" t="n">
        <f aca="false">Sens!$D$9095/Sens!$D$9080</f>
        <v>0.0694784250712518</v>
      </c>
      <c r="E9109" s="13" t="n">
        <f aca="false">Sens!$E$9095/Sens!$E$9080</f>
        <v>0.0789306463326071</v>
      </c>
      <c r="F9109" s="13" t="n">
        <f aca="false">Sens!$F$9095/Sens!$F$9080</f>
        <v>0.0802271154277638</v>
      </c>
      <c r="G9109" s="13" t="n">
        <f aca="false">Sens!$G$9095/Sens!$G$9080</f>
        <v>0.0796206133714758</v>
      </c>
      <c r="H9109" s="13" t="n">
        <f aca="false">Sens!$H$9095/Sens!$H$9080</f>
        <v>0.0791253077422711</v>
      </c>
      <c r="I9109" s="13" t="n">
        <f aca="false">Sens!$I$9095/Sens!$I$9080</f>
        <v>0.0776277144828766</v>
      </c>
      <c r="J9109" s="13" t="n">
        <f aca="false">Sens!$J$9095/Sens!$J$9080</f>
        <v>0.0761100135193333</v>
      </c>
      <c r="K9109" s="13" t="n">
        <f aca="false">Sens!$K$9095/Sens!$K$9080</f>
        <v>0.074408246177121</v>
      </c>
      <c r="L9109" s="13" t="n">
        <f aca="false">Sens!$L$9095/Sens!$L$9080</f>
        <v>0.0739489900415671</v>
      </c>
      <c r="M9109" s="13" t="n">
        <f aca="false">Sens!$M$9095/Sens!$M$9080</f>
        <v>0.076138500430805</v>
      </c>
      <c r="N9109" s="13" t="n">
        <f aca="false">Sens!$N$9095/Sens!$N$9080</f>
        <v>0.069228576611127</v>
      </c>
      <c r="O9109" s="13" t="n">
        <f aca="false">Sens!$O$9095/Sens!$O$9080</f>
        <v>0.069685022498393</v>
      </c>
    </row>
    <row r="9110" customFormat="false" ht="17.15" hidden="false" customHeight="false" outlineLevel="0" collapsed="false">
      <c r="A9110" s="0" t="s">
        <v>733</v>
      </c>
      <c r="B9110" s="0" t="s">
        <v>52</v>
      </c>
      <c r="C9110" s="13" t="n">
        <f aca="false">Sens!$C$9100/Sens!$C$9081</f>
        <v>0.026534925055631</v>
      </c>
      <c r="D9110" s="13" t="n">
        <f aca="false">Sens!$D$9100/Sens!$D$9081</f>
        <v>0.0293401855535103</v>
      </c>
      <c r="E9110" s="13" t="n">
        <f aca="false">Sens!$E$9100/Sens!$E$9081</f>
        <v>0.03831141902276</v>
      </c>
      <c r="F9110" s="13" t="n">
        <f aca="false">Sens!$F$9100/Sens!$F$9081</f>
        <v>0.028186380436398</v>
      </c>
      <c r="G9110" s="13" t="n">
        <f aca="false">Sens!$G$9100/Sens!$G$9081</f>
        <v>0.0327880260521739</v>
      </c>
      <c r="H9110" s="13" t="n">
        <f aca="false">Sens!$H$9100/Sens!$H$9081</f>
        <v>0.0302874763409969</v>
      </c>
      <c r="I9110" s="13" t="n">
        <f aca="false">Sens!$I$9100/Sens!$I$9081</f>
        <v>0.0267614610253202</v>
      </c>
      <c r="J9110" s="13" t="n">
        <f aca="false">Sens!$J$9100/Sens!$J$9081</f>
        <v>0.0231523582706593</v>
      </c>
      <c r="K9110" s="13" t="n">
        <f aca="false">Sens!$K$9100/Sens!$K$9081</f>
        <v>0.0192545467174101</v>
      </c>
      <c r="L9110" s="13" t="n">
        <f aca="false">Sens!$L$9100/Sens!$L$9081</f>
        <v>0.0191414347264789</v>
      </c>
      <c r="M9110" s="13" t="n">
        <f aca="false">Sens!$M$9100/Sens!$M$9081</f>
        <v>0.0216850962428001</v>
      </c>
      <c r="N9110" s="13" t="n">
        <f aca="false">Sens!$N$9100/Sens!$N$9081</f>
        <v>0.0357315650169337</v>
      </c>
      <c r="O9110" s="13" t="n">
        <f aca="false">Sens!$O$9100/Sens!$O$9081</f>
        <v>0.0244378956559703</v>
      </c>
    </row>
    <row r="9111" customFormat="false" ht="17.15" hidden="false" customHeight="false" outlineLevel="0" collapsed="false">
      <c r="A9111" s="14" t="s">
        <v>734</v>
      </c>
      <c r="B9111" s="14" t="s">
        <v>52</v>
      </c>
      <c r="C9111" s="17" t="n">
        <f aca="false">Sens!$C$9103/Sens!$C$9082</f>
        <v>0.370355907620217</v>
      </c>
      <c r="D9111" s="17" t="n">
        <f aca="false">Sens!$D$9103/Sens!$D$9082</f>
        <v>0.35429015342785</v>
      </c>
      <c r="E9111" s="17" t="n">
        <f aca="false">Sens!$E$9103/Sens!$E$9082</f>
        <v>0.385647527531039</v>
      </c>
      <c r="F9111" s="17" t="n">
        <f aca="false">Sens!$F$9103/Sens!$F$9082</f>
        <v>0.385171818673936</v>
      </c>
      <c r="G9111" s="17" t="n">
        <f aca="false">Sens!$G$9103/Sens!$G$9082</f>
        <v>0.385399799520974</v>
      </c>
      <c r="H9111" s="17" t="n">
        <f aca="false">Sens!$H$9103/Sens!$H$9082</f>
        <v>0.360029314750347</v>
      </c>
      <c r="I9111" s="17" t="n">
        <f aca="false">Sens!$I$9103/Sens!$I$9082</f>
        <v>0.346606134604193</v>
      </c>
      <c r="J9111" s="17" t="n">
        <f aca="false">Sens!$J$9103/Sens!$J$9082</f>
        <v>0.335699297156574</v>
      </c>
      <c r="K9111" s="17" t="n">
        <f aca="false">Sens!$K$9103/Sens!$K$9082</f>
        <v>0.319043289183739</v>
      </c>
      <c r="L9111" s="17" t="n">
        <f aca="false">Sens!$L$9103/Sens!$L$9082</f>
        <v>0.311918613444893</v>
      </c>
      <c r="M9111" s="17" t="n">
        <f aca="false">Sens!$M$9103/Sens!$M$9082</f>
        <v>0.306523814127389</v>
      </c>
      <c r="N9111" s="17" t="n">
        <f aca="false">Sens!$N$9103/Sens!$N$9082</f>
        <v>0.360941137346192</v>
      </c>
      <c r="O9111" s="17" t="n">
        <f aca="false">Sens!$O$9103/Sens!$O$9082</f>
        <v>0.348458117664212</v>
      </c>
    </row>
    <row r="9112" customFormat="false" ht="17.15" hidden="false" customHeight="false" outlineLevel="0" collapsed="false">
      <c r="A9112" s="0" t="s">
        <v>735</v>
      </c>
      <c r="B9112" s="0" t="s">
        <v>52</v>
      </c>
      <c r="C9112" s="13" t="n">
        <f aca="false">Sens!$C$9101/Sens!$C$9083</f>
        <v>0.708390794789371</v>
      </c>
      <c r="D9112" s="13" t="n">
        <f aca="false">Sens!$D$9101/Sens!$D$9083</f>
        <v>0.445565630441968</v>
      </c>
      <c r="E9112" s="13" t="n">
        <f aca="false">Sens!$E$9101/Sens!$E$9083</f>
        <v>0.165998118402711</v>
      </c>
      <c r="F9112" s="13" t="n">
        <f aca="false">Sens!$F$9101/Sens!$F$9083</f>
        <v>0.434878595403858</v>
      </c>
      <c r="G9112" s="13" t="n">
        <f aca="false">Sens!$G$9101/Sens!$G$9083</f>
        <v>0.3373967615381</v>
      </c>
      <c r="H9112" s="13" t="n">
        <f aca="false">Sens!$H$9101/Sens!$H$9083</f>
        <v>0.320477578041224</v>
      </c>
      <c r="I9112" s="13" t="n">
        <f aca="false">Sens!$I$9101/Sens!$I$9083</f>
        <v>0.296936118226494</v>
      </c>
      <c r="J9112" s="13" t="n">
        <f aca="false">Sens!$J$9101/Sens!$J$9083</f>
        <v>0.282166278613001</v>
      </c>
      <c r="K9112" s="13" t="n">
        <f aca="false">Sens!$K$9101/Sens!$K$9083</f>
        <v>0.252969102881543</v>
      </c>
      <c r="L9112" s="13" t="n">
        <f aca="false">Sens!$L$9101/Sens!$L$9083</f>
        <v>0.240728642826566</v>
      </c>
      <c r="M9112" s="13" t="n">
        <f aca="false">Sens!$M$9101/Sens!$M$9083</f>
        <v>0.227399920863147</v>
      </c>
      <c r="N9112" s="13" t="n">
        <f aca="false">Sens!$N$9101/Sens!$N$9083</f>
        <v>0.302870734830849</v>
      </c>
      <c r="O9112" s="13" t="n">
        <f aca="false">Sens!$O$9101/Sens!$O$9083</f>
        <v>0.52240134346334</v>
      </c>
    </row>
    <row r="9113" customFormat="false" ht="15" hidden="false" customHeight="false" outlineLevel="0" collapsed="false">
      <c r="A9113" s="5" t="s">
        <v>736</v>
      </c>
      <c r="B9113" s="0" t="s">
        <v>52</v>
      </c>
      <c r="C9113" s="13" t="n">
        <f aca="false">Sens!$C$9105/Sens!$C$9085</f>
        <v>0.107519448742004</v>
      </c>
      <c r="D9113" s="13" t="n">
        <f aca="false">Sens!$D$9105/Sens!$D$9085</f>
        <v>0.111552967957552</v>
      </c>
      <c r="E9113" s="13" t="n">
        <f aca="false">Sens!$E$9105/Sens!$E$9085</f>
        <v>0.13428328426562</v>
      </c>
      <c r="F9113" s="13" t="n">
        <f aca="false">Sens!$F$9105/Sens!$F$9085</f>
        <v>0.129167844525589</v>
      </c>
      <c r="G9113" s="13" t="n">
        <f aca="false">Sens!$G$9105/Sens!$G$9085</f>
        <v>0.131557773771988</v>
      </c>
      <c r="H9113" s="13" t="n">
        <f aca="false">Sens!$H$9105/Sens!$H$9085</f>
        <v>0.134711536350329</v>
      </c>
      <c r="I9113" s="13" t="n">
        <f aca="false">Sens!$I$9105/Sens!$I$9085</f>
        <v>0.137768888779847</v>
      </c>
      <c r="J9113" s="13" t="n">
        <f aca="false">Sens!$J$9105/Sens!$J$9085</f>
        <v>0.139531715827143</v>
      </c>
      <c r="K9113" s="13" t="n">
        <f aca="false">Sens!$K$9105/Sens!$K$9085</f>
        <v>0.137320259076553</v>
      </c>
      <c r="L9113" s="13" t="n">
        <f aca="false">Sens!$L$9105/Sens!$L$9085</f>
        <v>0.136806307456799</v>
      </c>
      <c r="M9113" s="13" t="n">
        <f aca="false">Sens!$M$9105/Sens!$M$9085</f>
        <v>0.136871350584245</v>
      </c>
      <c r="N9113" s="13" t="n">
        <f aca="false">Sens!$N$9105/Sens!$N$9085</f>
        <v>0.116201614873411</v>
      </c>
      <c r="O9113" s="13" t="n">
        <f aca="false">Sens!$O$9105/Sens!$O$9085</f>
        <v>0.107733353660861</v>
      </c>
    </row>
    <row r="9114" customFormat="false" ht="17.15" hidden="false" customHeight="false" outlineLevel="0" collapsed="false">
      <c r="A9114" s="1" t="s">
        <v>737</v>
      </c>
    </row>
    <row r="9115" customFormat="false" ht="17.15" hidden="false" customHeight="false" outlineLevel="0" collapsed="false">
      <c r="A9115" s="5" t="s">
        <v>738</v>
      </c>
      <c r="B9115" s="0" t="s">
        <v>52</v>
      </c>
      <c r="D9115" s="28" t="n">
        <f aca="false">(Q!$E$29+Q!$E$30-(1-ext_sh)*Sens!$D$9037)/Sens!$D$8993</f>
        <v>0.0334674312393194</v>
      </c>
    </row>
    <row r="9116" customFormat="false" ht="17.15" hidden="false" customHeight="false" outlineLevel="0" collapsed="false">
      <c r="A9116" s="0" t="s">
        <v>535</v>
      </c>
      <c r="B9116" s="0" t="s">
        <v>86</v>
      </c>
      <c r="C9116" s="38" t="n">
        <f aca="false">Q!$D$29</f>
        <v>14.285</v>
      </c>
      <c r="D9116" s="38" t="n">
        <f aca="false">Q!$E$29</f>
        <v>15.503</v>
      </c>
      <c r="E9116" s="38" t="n">
        <f aca="false">Q!$P$29</f>
        <v>8.78</v>
      </c>
      <c r="F9116" s="38" t="n">
        <f aca="false">(Sens!$D$9115*Sens!$F$8993+(1-ext_sh)*Sens!$F$9037)*Sens!$F$8994</f>
        <v>9.32404990199157</v>
      </c>
      <c r="G9116" s="38" t="n">
        <f aca="false">Sens!$E$9116+Sens!$F$9116</f>
        <v>18.1040499019916</v>
      </c>
      <c r="H9116" s="38" t="n">
        <f aca="false">(Sens!$D$9115*Sens!$H$8993+(1-ext_sh)*Sens!$H$9037)*Sens!$H$8994</f>
        <v>22.5533556752937</v>
      </c>
      <c r="I9116" s="38" t="n">
        <f aca="false">(Sens!$D$9115*Sens!$I$8993+(1-ext_sh)*Sens!$I$9037)*Sens!$I$8994</f>
        <v>28.1941479903215</v>
      </c>
      <c r="J9116" s="38" t="n">
        <f aca="false">(Sens!$D$9115*Sens!$J$8993+(1-ext_sh)*Sens!$J$9037)*Sens!$J$8994</f>
        <v>33.8639126241465</v>
      </c>
      <c r="K9116" s="38" t="n">
        <f aca="false">(Sens!$D$9115*Sens!$K$8993+(1-ext_sh)*Sens!$K$9037)*Sens!$K$8994</f>
        <v>39.4516429979446</v>
      </c>
      <c r="L9116" s="38" t="n">
        <f aca="false">(Sens!$D$9115*Sens!$L$8993+(1-ext_sh)*Sens!$L$9037)*Sens!$L$8994</f>
        <v>43.6240799619622</v>
      </c>
      <c r="M9116" s="38" t="n">
        <f aca="false">(Sens!$D$9115*Sens!$M$8993+(1-ext_sh)*Sens!$M$9037)*Sens!$M$8994</f>
        <v>46.7841679303704</v>
      </c>
      <c r="N9116" s="38" t="n">
        <f aca="false">Q!$N$29</f>
        <v>7.272</v>
      </c>
      <c r="O9116" s="38" t="n">
        <f aca="false">Q!$O$29</f>
        <v>8.231</v>
      </c>
    </row>
    <row r="9117" customFormat="false" ht="17.15" hidden="false" customHeight="false" outlineLevel="0" collapsed="false">
      <c r="A9117" s="0" t="s">
        <v>537</v>
      </c>
      <c r="B9117" s="0" t="s">
        <v>86</v>
      </c>
      <c r="C9117" s="38" t="n">
        <f aca="false">Q!$D$30</f>
        <v>4.462</v>
      </c>
      <c r="D9117" s="38" t="n">
        <f aca="false">Q!$E$30</f>
        <v>4.907</v>
      </c>
      <c r="E9117" s="38" t="n">
        <f aca="false">Q!$P$30</f>
        <v>2.57</v>
      </c>
      <c r="F9117" s="38" t="n">
        <f aca="false">(Sens!$D$9115*Sens!$F$8993+(1-ext_sh)*Sens!$F$9037)*(1-Sens!$F$8994)</f>
        <v>3.66089330199472</v>
      </c>
      <c r="G9117" s="38" t="n">
        <f aca="false">Sens!$E$9117+Sens!$F$9117</f>
        <v>6.23089330199472</v>
      </c>
      <c r="H9117" s="38" t="n">
        <f aca="false">(Sens!$D$9115*Sens!$H$8993+(1-ext_sh)*Sens!$H$9037)*(1-Sens!$H$8994)</f>
        <v>8.63874333111657</v>
      </c>
      <c r="I9117" s="38" t="n">
        <f aca="false">(Sens!$D$9115*Sens!$I$8993+(1-ext_sh)*Sens!$I$9037)*(1-Sens!$I$8994)</f>
        <v>10.7993689025494</v>
      </c>
      <c r="J9117" s="38" t="n">
        <f aca="false">(Sens!$D$9115*Sens!$J$8993+(1-ext_sh)*Sens!$J$9037)*(1-Sens!$J$8994)</f>
        <v>12.9710919101865</v>
      </c>
      <c r="K9117" s="38" t="n">
        <f aca="false">(Sens!$D$9115*Sens!$K$8993+(1-ext_sh)*Sens!$K$9037)*(1-Sens!$K$8994)</f>
        <v>15.1113928568702</v>
      </c>
      <c r="L9117" s="38" t="n">
        <f aca="false">(Sens!$D$9115*Sens!$L$8993+(1-ext_sh)*Sens!$L$9037)*(1-Sens!$L$8994)</f>
        <v>16.7095857163433</v>
      </c>
      <c r="M9117" s="38" t="n">
        <f aca="false">(Sens!$D$9115*Sens!$M$8993+(1-ext_sh)*Sens!$M$9037)*(1-Sens!$M$8994)</f>
        <v>17.9200126371023</v>
      </c>
      <c r="N9117" s="38" t="n">
        <f aca="false">Q!$N$30</f>
        <v>2.316</v>
      </c>
      <c r="O9117" s="38" t="n">
        <f aca="false">Q!$O$30</f>
        <v>2.591</v>
      </c>
    </row>
    <row r="9118" customFormat="false" ht="17.15" hidden="false" customHeight="false" outlineLevel="0" collapsed="false">
      <c r="A9118" s="0" t="s">
        <v>538</v>
      </c>
      <c r="B9118" s="0" t="s">
        <v>86</v>
      </c>
      <c r="C9118" s="38" t="n">
        <f aca="false">Sens!$C$9049</f>
        <v>13.32</v>
      </c>
      <c r="D9118" s="38" t="n">
        <f aca="false">Sens!$D$9049</f>
        <v>21.45</v>
      </c>
      <c r="E9118" s="38" t="n">
        <f aca="false">Sens!$E$9049</f>
        <v>15.353</v>
      </c>
      <c r="F9118" s="38" t="n">
        <f aca="false">Sens!$F$9049</f>
        <v>16.3063747611001</v>
      </c>
      <c r="G9118" s="38" t="n">
        <f aca="false">Sens!$G$9049</f>
        <v>31.6593747611001</v>
      </c>
      <c r="H9118" s="38" t="n">
        <f aca="false">Sens!$H$9049</f>
        <v>53.124242092105</v>
      </c>
      <c r="I9118" s="38" t="n">
        <f aca="false">Sens!$I$9049</f>
        <v>78.046828098133</v>
      </c>
      <c r="J9118" s="38" t="n">
        <f aca="false">Sens!$J$9049</f>
        <v>103.663976940352</v>
      </c>
      <c r="K9118" s="38" t="n">
        <f aca="false">Sens!$K$9049</f>
        <v>129.625086115469</v>
      </c>
      <c r="L9118" s="38" t="n">
        <f aca="false">Sens!$L$9049</f>
        <v>147.435052382502</v>
      </c>
      <c r="M9118" s="38" t="n">
        <f aca="false">Sens!$M$9049</f>
        <v>159.299754080279</v>
      </c>
      <c r="N9118" s="38" t="n">
        <f aca="false">Sens!$N$9049</f>
        <v>9.234</v>
      </c>
      <c r="O9118" s="38" t="n">
        <f aca="false">Sens!$O$9049</f>
        <v>12.216</v>
      </c>
    </row>
    <row r="9119" customFormat="false" ht="17.15" hidden="false" customHeight="false" outlineLevel="0" collapsed="false">
      <c r="A9119" s="5" t="s">
        <v>739</v>
      </c>
      <c r="B9119" s="0" t="s">
        <v>86</v>
      </c>
      <c r="C9119" s="38" t="n">
        <f aca="false">Sens!$C$9116+Sens!$C$9117+Sens!$C$9118</f>
        <v>32.067</v>
      </c>
      <c r="D9119" s="38" t="n">
        <f aca="false">Sens!$D$9116+Sens!$D$9117+Sens!$D$9118</f>
        <v>41.86</v>
      </c>
      <c r="E9119" s="38" t="n">
        <f aca="false">Sens!$E$9116+Sens!$E$9117+Sens!$E$9118</f>
        <v>26.703</v>
      </c>
      <c r="F9119" s="38" t="n">
        <f aca="false">Sens!$F$9116+Sens!$F$9117+Sens!$F$9118</f>
        <v>29.2913179650864</v>
      </c>
      <c r="G9119" s="38" t="n">
        <f aca="false">Sens!$G$9116+Sens!$G$9117+Sens!$G$9118</f>
        <v>55.9943179650864</v>
      </c>
      <c r="H9119" s="38" t="n">
        <f aca="false">Sens!$H$9116+Sens!$H$9117+Sens!$H$9118</f>
        <v>84.3163410985152</v>
      </c>
      <c r="I9119" s="38" t="n">
        <f aca="false">Sens!$I$9116+Sens!$I$9117+Sens!$I$9118</f>
        <v>117.040344991004</v>
      </c>
      <c r="J9119" s="38" t="n">
        <f aca="false">Sens!$J$9116+Sens!$J$9117+Sens!$J$9118</f>
        <v>150.498981474685</v>
      </c>
      <c r="K9119" s="38" t="n">
        <f aca="false">Sens!$K$9116+Sens!$K$9117+Sens!$K$9118</f>
        <v>184.188121970284</v>
      </c>
      <c r="L9119" s="38" t="n">
        <f aca="false">Sens!$L$9116+Sens!$L$9117+Sens!$L$9118</f>
        <v>207.768718060808</v>
      </c>
      <c r="M9119" s="38" t="n">
        <f aca="false">Sens!$M$9116+Sens!$M$9117+Sens!$M$9118</f>
        <v>224.003934647752</v>
      </c>
      <c r="N9119" s="38" t="n">
        <f aca="false">Sens!$N$9116+Sens!$N$9117+Sens!$N$9118</f>
        <v>18.822</v>
      </c>
      <c r="O9119" s="38" t="n">
        <f aca="false">Sens!$O$9116+Sens!$O$9117+Sens!$O$9118</f>
        <v>23.038</v>
      </c>
    </row>
    <row r="9120" customFormat="false" ht="17.15" hidden="false" customHeight="false" outlineLevel="0" collapsed="false">
      <c r="A9120" s="0" t="s">
        <v>740</v>
      </c>
      <c r="B9120" s="0" t="s">
        <v>86</v>
      </c>
      <c r="C9120" s="38" t="n">
        <f aca="false">Sens!$C$9091+Sens!$C$9096</f>
        <v>28.107</v>
      </c>
      <c r="D9120" s="38" t="n">
        <f aca="false">Sens!$D$9091+Sens!$D$9096</f>
        <v>34.3175</v>
      </c>
      <c r="E9120" s="38" t="n">
        <f aca="false">Sens!$E$9091+Sens!$E$9096</f>
        <v>18.526</v>
      </c>
      <c r="F9120" s="38" t="n">
        <f aca="false">Sens!$F$9091+Sens!$F$9096</f>
        <v>23.0786109972074</v>
      </c>
      <c r="G9120" s="38" t="n">
        <f aca="false">Sens!$G$9091+Sens!$G$9096</f>
        <v>41.6046109972074</v>
      </c>
      <c r="H9120" s="38" t="n">
        <f aca="false">Sens!$H$9091+Sens!$H$9096</f>
        <v>49.9484611939488</v>
      </c>
      <c r="I9120" s="38" t="n">
        <f aca="false">Sens!$I$9091+Sens!$I$9096</f>
        <v>58.2915555477481</v>
      </c>
      <c r="J9120" s="38" t="n">
        <f aca="false">Sens!$J$9091+Sens!$J$9096</f>
        <v>66.0744709709759</v>
      </c>
      <c r="K9120" s="38" t="n">
        <f aca="false">Sens!$K$9091+Sens!$K$9096</f>
        <v>72.6819180680735</v>
      </c>
      <c r="L9120" s="38" t="n">
        <f aca="false">Sens!$L$9091+Sens!$L$9096</f>
        <v>79.9501098748808</v>
      </c>
      <c r="M9120" s="38" t="n">
        <f aca="false">Sens!$M$9091+Sens!$M$9096</f>
        <v>87.9451208623689</v>
      </c>
      <c r="N9120" s="38" t="n">
        <f aca="false">Sens!$N$9091+Sens!$N$9096</f>
        <v>14.8075</v>
      </c>
      <c r="O9120" s="38" t="n">
        <f aca="false">Sens!$O$9091+Sens!$O$9096</f>
        <v>19.51</v>
      </c>
    </row>
    <row r="9121" customFormat="false" ht="17.15" hidden="false" customHeight="false" outlineLevel="0" collapsed="false">
      <c r="A9121" s="0" t="s">
        <v>741</v>
      </c>
      <c r="B9121" s="0" t="s">
        <v>86</v>
      </c>
      <c r="C9121" s="38" t="n">
        <f aca="false">Sens!$C$9095+Sens!$C$9100+Sens!$C$9116+Sens!$C$9117-Sens!$C$9120</f>
        <v>19.399</v>
      </c>
      <c r="D9121" s="38" t="n">
        <f aca="false">Sens!$D$9095+Sens!$D$9100+Sens!$D$9116+Sens!$D$9117-Sens!$D$9120</f>
        <v>20.4615</v>
      </c>
      <c r="E9121" s="38" t="n">
        <f aca="false">Sens!$E$9095+Sens!$E$9100+Sens!$E$9116+Sens!$E$9117-Sens!$E$9120</f>
        <v>13.355</v>
      </c>
      <c r="F9121" s="38" t="n">
        <f aca="false">Sens!$F$9095+Sens!$F$9100+Sens!$F$9116+Sens!$F$9117-Sens!$F$9120</f>
        <v>12.7882167664549</v>
      </c>
      <c r="G9121" s="38" t="n">
        <f aca="false">Sens!$G$9095+Sens!$G$9100+Sens!$G$9116+Sens!$G$9117-Sens!$G$9120</f>
        <v>26.1432167664549</v>
      </c>
      <c r="H9121" s="38" t="n">
        <f aca="false">Sens!$H$9095+Sens!$H$9100+Sens!$H$9116+Sens!$H$9117-Sens!$H$9120</f>
        <v>28.5472527261826</v>
      </c>
      <c r="I9121" s="38" t="n">
        <f aca="false">Sens!$I$9095+Sens!$I$9100+Sens!$I$9116+Sens!$I$9117-Sens!$I$9120</f>
        <v>30.8052421506794</v>
      </c>
      <c r="J9121" s="38" t="n">
        <f aca="false">Sens!$J$9095+Sens!$J$9100+Sens!$J$9116+Sens!$J$9117-Sens!$J$9120</f>
        <v>33.0553877999083</v>
      </c>
      <c r="K9121" s="38" t="n">
        <f aca="false">Sens!$K$9095+Sens!$K$9100+Sens!$K$9116+Sens!$K$9117-Sens!$K$9120</f>
        <v>35.4662923485155</v>
      </c>
      <c r="L9121" s="38" t="n">
        <f aca="false">Sens!$L$9095+Sens!$L$9100+Sens!$L$9116+Sens!$L$9117-Sens!$L$9120</f>
        <v>37.1019587742301</v>
      </c>
      <c r="M9121" s="38" t="n">
        <f aca="false">Sens!$M$9095+Sens!$M$9100+Sens!$M$9116+Sens!$M$9117-Sens!$M$9120</f>
        <v>39.5351701466849</v>
      </c>
      <c r="N9121" s="38" t="n">
        <f aca="false">Sens!$N$9095+Sens!$N$9100+Sens!$N$9116+Sens!$N$9117-Sens!$N$9120</f>
        <v>10.6495</v>
      </c>
      <c r="O9121" s="38" t="n">
        <f aca="false">Sens!$O$9095+Sens!$O$9100+Sens!$O$9116+Sens!$O$9117-Sens!$O$9120</f>
        <v>9.81200000000001</v>
      </c>
    </row>
    <row r="9122" customFormat="false" ht="17.15" hidden="false" customHeight="false" outlineLevel="0" collapsed="false">
      <c r="A9122" s="0" t="s">
        <v>742</v>
      </c>
      <c r="B9122" s="0" t="s">
        <v>86</v>
      </c>
      <c r="C9122" s="38" t="n">
        <f aca="false">Sens!$C$9102+Sens!$C$9118-ext_sh*Sens!$C$9037</f>
        <v>51.3470500115664</v>
      </c>
      <c r="D9122" s="38" t="n">
        <f aca="false">Sens!$D$9102+Sens!$D$9118-ext_sh*Sens!$D$9037</f>
        <v>60.2799375433739</v>
      </c>
      <c r="E9122" s="38" t="n">
        <f aca="false">Sens!$E$9102+Sens!$E$9118-ext_sh*Sens!$E$9037</f>
        <v>39.5095167090767</v>
      </c>
      <c r="F9122" s="38" t="n">
        <f aca="false">Sens!$F$9102+Sens!$F$9118-ext_sh*Sens!$F$9037</f>
        <v>37.993321722478</v>
      </c>
      <c r="G9122" s="38" t="n">
        <f aca="false">Sens!$G$9102+Sens!$G$9118-ext_sh*Sens!$G$9037</f>
        <v>77.5028384315548</v>
      </c>
      <c r="H9122" s="38" t="n">
        <f aca="false">Sens!$H$9102+Sens!$H$9118-ext_sh*Sens!$H$9037</f>
        <v>85.2394217279746</v>
      </c>
      <c r="I9122" s="38" t="n">
        <f aca="false">Sens!$I$9102+Sens!$I$9118-ext_sh*Sens!$I$9037</f>
        <v>94.6373589713254</v>
      </c>
      <c r="J9122" s="38" t="n">
        <f aca="false">Sens!$J$9102+Sens!$J$9118-ext_sh*Sens!$J$9037</f>
        <v>103.639899284146</v>
      </c>
      <c r="K9122" s="38" t="n">
        <f aca="false">Sens!$K$9102+Sens!$K$9118-ext_sh*Sens!$K$9037</f>
        <v>111.931091226878</v>
      </c>
      <c r="L9122" s="38" t="n">
        <f aca="false">Sens!$L$9102+Sens!$L$9118-ext_sh*Sens!$L$9037</f>
        <v>120.885578525028</v>
      </c>
      <c r="M9122" s="38" t="n">
        <f aca="false">Sens!$M$9102+Sens!$M$9118-ext_sh*Sens!$M$9037</f>
        <v>130.55642480703</v>
      </c>
      <c r="N9122" s="38" t="n">
        <f aca="false">Sens!$N$9102+Sens!$N$9118-ext_sh*Sens!$N$9037</f>
        <v>28.5693781401809</v>
      </c>
      <c r="O9122" s="38" t="n">
        <f aca="false">Sens!$O$9102+Sens!$O$9118-ext_sh*Sens!$O$9037</f>
        <v>31.7105594031931</v>
      </c>
    </row>
    <row r="9123" customFormat="false" ht="17.15" hidden="false" customHeight="false" outlineLevel="0" collapsed="false">
      <c r="A9123" s="0" t="s">
        <v>743</v>
      </c>
      <c r="B9123" s="0" t="s">
        <v>86</v>
      </c>
      <c r="C9123" s="38" t="n">
        <f aca="false">Sens!$C$9040</f>
        <v>1.80694998843362</v>
      </c>
      <c r="D9123" s="38" t="n">
        <f aca="false">Sens!$D$9040</f>
        <v>6.77606245662607</v>
      </c>
      <c r="E9123" s="38" t="n">
        <f aca="false">Sens!$E$9040</f>
        <v>6.62548329092326</v>
      </c>
      <c r="F9123" s="38" t="n">
        <f aca="false">Sens!$F$9040</f>
        <v>11.7200577158706</v>
      </c>
      <c r="G9123" s="38" t="n">
        <f aca="false">Sens!$G$9040</f>
        <v>18.3455410067939</v>
      </c>
      <c r="H9123" s="38" t="n">
        <f aca="false">Sens!$H$9040</f>
        <v>47.5171727060453</v>
      </c>
      <c r="I9123" s="38" t="n">
        <f aca="false">Sens!$I$9040</f>
        <v>80.5539692643667</v>
      </c>
      <c r="J9123" s="38" t="n">
        <f aca="false">Sens!$J$9040</f>
        <v>113.759316834883</v>
      </c>
      <c r="K9123" s="38" t="n">
        <f aca="false">Sens!$K$9040</f>
        <v>142.084411492169</v>
      </c>
      <c r="L9123" s="38" t="n">
        <f aca="false">Sens!$L$9040</f>
        <v>160.69964615804</v>
      </c>
      <c r="M9123" s="38" t="n">
        <f aca="false">Sens!$M$9040</f>
        <v>169.577607141793</v>
      </c>
      <c r="N9123" s="38" t="n">
        <f aca="false">Sens!$N$9040</f>
        <v>2.37162185981912</v>
      </c>
      <c r="O9123" s="38" t="n">
        <f aca="false">Sens!$O$9040</f>
        <v>4.40444059680694</v>
      </c>
    </row>
    <row r="9124" customFormat="false" ht="17.15" hidden="false" customHeight="false" outlineLevel="0" collapsed="false">
      <c r="A9124" s="0" t="s">
        <v>744</v>
      </c>
      <c r="B9124" s="0" t="s">
        <v>86</v>
      </c>
      <c r="C9124" s="38" t="n">
        <f aca="false">Sens!$C$9105+Sens!$C$9119</f>
        <v>100.66</v>
      </c>
      <c r="D9124" s="38" t="n">
        <f aca="false">Sens!$D$9105+Sens!$D$9119</f>
        <v>121.835</v>
      </c>
      <c r="E9124" s="38" t="n">
        <f aca="false">Sens!$E$9105+Sens!$E$9119</f>
        <v>78.016</v>
      </c>
      <c r="F9124" s="38" t="n">
        <f aca="false">Sens!$F$9105+Sens!$F$9119</f>
        <v>85.580207202011</v>
      </c>
      <c r="G9124" s="38" t="n">
        <f aca="false">Sens!$G$9105+Sens!$G$9119</f>
        <v>163.596207202011</v>
      </c>
      <c r="H9124" s="38" t="n">
        <f aca="false">Sens!$H$9105+Sens!$H$9119</f>
        <v>211.252308354151</v>
      </c>
      <c r="I9124" s="38" t="n">
        <f aca="false">Sens!$I$9105+Sens!$I$9119</f>
        <v>264.28812593412</v>
      </c>
      <c r="J9124" s="38" t="n">
        <f aca="false">Sens!$J$9105+Sens!$J$9119</f>
        <v>316.529074889914</v>
      </c>
      <c r="K9124" s="38" t="n">
        <f aca="false">Sens!$K$9105+Sens!$K$9119</f>
        <v>362.163713135636</v>
      </c>
      <c r="L9124" s="38" t="n">
        <f aca="false">Sens!$L$9105+Sens!$L$9119</f>
        <v>398.637293332179</v>
      </c>
      <c r="M9124" s="38" t="n">
        <f aca="false">Sens!$M$9105+Sens!$M$9119</f>
        <v>427.614322957878</v>
      </c>
      <c r="N9124" s="38" t="n">
        <f aca="false">Sens!$N$9105+Sens!$N$9119</f>
        <v>56.398</v>
      </c>
      <c r="O9124" s="38" t="n">
        <f aca="false">Sens!$O$9105+Sens!$O$9119</f>
        <v>65.437</v>
      </c>
    </row>
    <row r="9125" customFormat="false" ht="17.15" hidden="false" customHeight="false" outlineLevel="0" collapsed="false">
      <c r="A9125" s="1" t="s">
        <v>745</v>
      </c>
    </row>
    <row r="9126" customFormat="false" ht="15" hidden="false" customHeight="false" outlineLevel="0" collapsed="false">
      <c r="A9126" s="5" t="s">
        <v>541</v>
      </c>
      <c r="B9126" s="0" t="s">
        <v>86</v>
      </c>
      <c r="C9126" s="38" t="n">
        <f aca="false">Q!$D$34</f>
        <v>2.406</v>
      </c>
      <c r="D9126" s="38" t="n">
        <f aca="false">Q!$E$34</f>
        <v>2.274</v>
      </c>
      <c r="E9126" s="38" t="n">
        <f aca="false">Q!$P$34</f>
        <v>2.114</v>
      </c>
      <c r="F9126" s="38" t="n">
        <f aca="false">Sens!$F$9164</f>
        <v>3.24888962733561</v>
      </c>
      <c r="G9126" s="38" t="n">
        <f aca="false">Sens!$E$9126+Sens!$F$9126</f>
        <v>5.36288962733561</v>
      </c>
      <c r="H9126" s="38" t="n">
        <f aca="false">Sens!$H$9164</f>
        <v>7.42354172302123</v>
      </c>
      <c r="I9126" s="38" t="n">
        <f aca="false">Sens!$I$9164</f>
        <v>8.2931747618896</v>
      </c>
      <c r="J9126" s="38" t="n">
        <f aca="false">Sens!$J$9164</f>
        <v>9.27718179522602</v>
      </c>
      <c r="K9126" s="38" t="n">
        <f aca="false">Sens!$K$9164</f>
        <v>9.27718179522602</v>
      </c>
      <c r="L9126" s="38" t="n">
        <f aca="false">Sens!$L$9164</f>
        <v>9.27718179522602</v>
      </c>
      <c r="M9126" s="38" t="n">
        <f aca="false">Sens!$M$9164</f>
        <v>9.27718179522602</v>
      </c>
      <c r="N9126" s="38" t="n">
        <f aca="false">Q!$N$34</f>
        <v>1.057</v>
      </c>
      <c r="O9126" s="38" t="n">
        <f aca="false">Q!$O$34</f>
        <v>1.217</v>
      </c>
    </row>
    <row r="9127" customFormat="false" ht="15" hidden="false" customHeight="false" outlineLevel="0" collapsed="false">
      <c r="A9127" s="5" t="s">
        <v>746</v>
      </c>
      <c r="B9127" s="0" t="s">
        <v>86</v>
      </c>
      <c r="F9127" s="38" t="n">
        <f aca="false">Sens!$F$9165</f>
        <v>2.59</v>
      </c>
      <c r="H9127" s="38" t="n">
        <f aca="false">Sens!$H$9165</f>
        <v>3.80133635330174</v>
      </c>
      <c r="I9127" s="38" t="n">
        <f aca="false">Sens!$I$9165</f>
        <v>2.10589651022864</v>
      </c>
      <c r="J9127" s="38" t="n">
        <f aca="false">Sens!$J$9165</f>
        <v>2.10589651022864</v>
      </c>
      <c r="K9127" s="38" t="n">
        <f aca="false">Sens!$K$9165</f>
        <v>3.14850442073996</v>
      </c>
      <c r="L9127" s="38" t="n">
        <f aca="false">Sens!$L$9165</f>
        <v>8.25959583122945</v>
      </c>
      <c r="M9127" s="38" t="n">
        <f aca="false">Sens!$M$9165</f>
        <v>15.8335708401143</v>
      </c>
    </row>
    <row r="9128" customFormat="false" ht="17.15" hidden="false" customHeight="false" outlineLevel="0" collapsed="false">
      <c r="A9128" s="5" t="s">
        <v>747</v>
      </c>
      <c r="B9128" s="0" t="s">
        <v>86</v>
      </c>
      <c r="C9128" s="38" t="n">
        <f aca="false">Q!$D$39</f>
        <v>2.427</v>
      </c>
      <c r="D9128" s="38" t="n">
        <f aca="false">Q!$E$39</f>
        <v>19.61</v>
      </c>
      <c r="E9128" s="38" t="n">
        <f aca="false">Q!$P$39</f>
        <v>71.492</v>
      </c>
      <c r="F9128" s="39" t="n">
        <v>0</v>
      </c>
      <c r="G9128" s="38" t="n">
        <f aca="false">Sens!$E$9128+Sens!$F$9128</f>
        <v>71.492</v>
      </c>
      <c r="H9128" s="39" t="n">
        <v>0</v>
      </c>
      <c r="I9128" s="39" t="n">
        <v>0</v>
      </c>
      <c r="J9128" s="39" t="n">
        <v>0</v>
      </c>
      <c r="K9128" s="39" t="n">
        <v>0</v>
      </c>
      <c r="L9128" s="39" t="n">
        <v>0</v>
      </c>
      <c r="M9128" s="39" t="n">
        <v>0</v>
      </c>
      <c r="N9128" s="38" t="n">
        <f aca="false">Q!$N$39</f>
        <v>6.017</v>
      </c>
      <c r="O9128" s="38" t="n">
        <f aca="false">Q!$O$39</f>
        <v>13.593</v>
      </c>
      <c r="P9128" s="5" t="s">
        <v>748</v>
      </c>
    </row>
    <row r="9129" customFormat="false" ht="15" hidden="false" customHeight="false" outlineLevel="0" collapsed="false">
      <c r="A9129" s="5" t="s">
        <v>544</v>
      </c>
      <c r="B9129" s="0" t="s">
        <v>86</v>
      </c>
      <c r="C9129" s="38" t="n">
        <f aca="false">Q!$D$36</f>
        <v>68.614</v>
      </c>
      <c r="D9129" s="38" t="n">
        <f aca="false">Q!$E$36</f>
        <v>97.311</v>
      </c>
      <c r="E9129" s="38" t="n">
        <f aca="false">Q!$P$36</f>
        <v>120.691</v>
      </c>
      <c r="F9129" s="38" t="n">
        <f aca="false">Sens!$F$9105-Sens!$F$9126+Sens!$F$9127+Sens!$F$9128</f>
        <v>55.629999609589</v>
      </c>
      <c r="G9129" s="38" t="n">
        <f aca="false">Sens!$E$9129+Sens!$F$9129</f>
        <v>176.320999609589</v>
      </c>
      <c r="H9129" s="38" t="n">
        <f aca="false">Sens!$H$9105-Sens!$H$9126+Sens!$H$9127+Sens!$H$9128</f>
        <v>123.313761885917</v>
      </c>
      <c r="I9129" s="38" t="n">
        <f aca="false">Sens!$I$9105-Sens!$I$9126+Sens!$I$9127+Sens!$I$9128</f>
        <v>141.060502691455</v>
      </c>
      <c r="J9129" s="38" t="n">
        <f aca="false">Sens!$J$9105-Sens!$J$9126+Sens!$J$9127+Sens!$J$9128</f>
        <v>158.858808130232</v>
      </c>
      <c r="K9129" s="38" t="n">
        <f aca="false">Sens!$K$9105-Sens!$K$9126+Sens!$K$9127+Sens!$K$9128</f>
        <v>171.846913790867</v>
      </c>
      <c r="L9129" s="38" t="n">
        <f aca="false">Sens!$L$9105-Sens!$L$9126+Sens!$L$9127+Sens!$L$9128</f>
        <v>189.850989307375</v>
      </c>
      <c r="M9129" s="38" t="n">
        <f aca="false">Sens!$M$9105-Sens!$M$9126+Sens!$M$9127+Sens!$M$9128</f>
        <v>210.166777355014</v>
      </c>
      <c r="N9129" s="38" t="n">
        <f aca="false">Q!$N$36</f>
        <v>42.536</v>
      </c>
      <c r="O9129" s="38" t="n">
        <f aca="false">Q!$O$36</f>
        <v>54.775</v>
      </c>
    </row>
    <row r="9130" customFormat="false" ht="15" hidden="false" customHeight="false" outlineLevel="0" collapsed="false">
      <c r="A9130" s="5" t="s">
        <v>545</v>
      </c>
      <c r="B9130" s="0" t="s">
        <v>86</v>
      </c>
      <c r="C9130" s="38" t="n">
        <f aca="false">Q!$D$37</f>
        <v>9.265</v>
      </c>
      <c r="D9130" s="38" t="n">
        <f aca="false">Q!$E$37</f>
        <v>19.087</v>
      </c>
      <c r="E9130" s="38" t="n">
        <f aca="false">Q!$P$37</f>
        <v>27.759</v>
      </c>
      <c r="F9130" s="38" t="n">
        <f aca="false">Sens!$F$9129*tax</f>
        <v>9.65650714815835</v>
      </c>
      <c r="G9130" s="38" t="n">
        <f aca="false">Sens!$E$9130+Sens!$F$9130</f>
        <v>37.4155071481584</v>
      </c>
      <c r="H9130" s="38" t="n">
        <f aca="false">Sens!$H$9129*tax</f>
        <v>21.4053609828247</v>
      </c>
      <c r="I9130" s="38" t="n">
        <f aca="false">Sens!$I$9129*tax</f>
        <v>24.4859205846201</v>
      </c>
      <c r="J9130" s="38" t="n">
        <f aca="false">Sens!$J$9129*tax</f>
        <v>27.5754310088666</v>
      </c>
      <c r="K9130" s="38" t="n">
        <f aca="false">Sens!$K$9129*tax</f>
        <v>29.8299651816718</v>
      </c>
      <c r="L9130" s="38" t="n">
        <f aca="false">Sens!$L$9129*tax</f>
        <v>32.9551941074541</v>
      </c>
      <c r="M9130" s="38" t="n">
        <f aca="false">Sens!$M$9129*tax</f>
        <v>36.4817005586366</v>
      </c>
      <c r="N9130" s="38" t="n">
        <f aca="false">Q!$N$37</f>
        <v>7.231</v>
      </c>
      <c r="O9130" s="38" t="n">
        <f aca="false">Q!$O$37</f>
        <v>11.856</v>
      </c>
    </row>
    <row r="9131" customFormat="false" ht="15" hidden="false" customHeight="false" outlineLevel="0" collapsed="false">
      <c r="A9131" s="3" t="s">
        <v>546</v>
      </c>
      <c r="B9131" s="8" t="s">
        <v>86</v>
      </c>
      <c r="C9131" s="38" t="n">
        <f aca="false">Q!$D$38</f>
        <v>59.248</v>
      </c>
      <c r="D9131" s="38" t="n">
        <f aca="false">Q!$E$38</f>
        <v>77.67</v>
      </c>
      <c r="E9131" s="38" t="n">
        <f aca="false">Q!$P$38</f>
        <v>92.902</v>
      </c>
      <c r="F9131" s="38" t="n">
        <f aca="false">Sens!$F$9129-Sens!$F$9130</f>
        <v>45.9734924614306</v>
      </c>
      <c r="G9131" s="38" t="n">
        <f aca="false">Sens!$E$9131+Sens!$F$9131</f>
        <v>138.875492461431</v>
      </c>
      <c r="H9131" s="38" t="n">
        <f aca="false">Sens!$H$9129-Sens!$H$9130</f>
        <v>101.908400903092</v>
      </c>
      <c r="I9131" s="38" t="n">
        <f aca="false">Sens!$I$9129-Sens!$I$9130</f>
        <v>116.574582106835</v>
      </c>
      <c r="J9131" s="38" t="n">
        <f aca="false">Sens!$J$9129-Sens!$J$9130</f>
        <v>131.283377121365</v>
      </c>
      <c r="K9131" s="38" t="n">
        <f aca="false">Sens!$K$9129-Sens!$K$9130</f>
        <v>142.016948609195</v>
      </c>
      <c r="L9131" s="38" t="n">
        <f aca="false">Sens!$L$9129-Sens!$L$9130</f>
        <v>156.895795199921</v>
      </c>
      <c r="M9131" s="38" t="n">
        <f aca="false">Sens!$M$9129-Sens!$M$9130</f>
        <v>173.685076796377</v>
      </c>
      <c r="N9131" s="38" t="n">
        <f aca="false">Q!$N$38</f>
        <v>35.291</v>
      </c>
      <c r="O9131" s="38" t="n">
        <f aca="false">Q!$O$38</f>
        <v>42.379</v>
      </c>
    </row>
    <row r="9132" customFormat="false" ht="17.15" hidden="false" customHeight="false" outlineLevel="0" collapsed="false">
      <c r="A9132" s="5" t="s">
        <v>549</v>
      </c>
      <c r="B9132" s="5" t="s">
        <v>33</v>
      </c>
      <c r="C9132" s="22" t="n">
        <f aca="false">Q!$D$41</f>
        <v>10.721</v>
      </c>
      <c r="D9132" s="22" t="n">
        <f aca="false">Q!$E$41</f>
        <v>10.827</v>
      </c>
      <c r="E9132" s="22" t="n">
        <f aca="false">(Q!$L$41+Q!$M$41)/2</f>
        <v>10.8885</v>
      </c>
      <c r="F9132" s="22" t="n">
        <f aca="false">Sens!$G$9132</f>
        <v>10.924806</v>
      </c>
      <c r="G9132" s="22" t="n">
        <f aca="false">Q!$M$41*(1+sh_g*0.25)</f>
        <v>10.924806</v>
      </c>
      <c r="H9132" s="22" t="n">
        <f aca="false">Sens!$G$9132*(1+sh_g)</f>
        <v>11.012204448</v>
      </c>
      <c r="I9132" s="22" t="n">
        <f aca="false">Sens!$H$9132*(1+sh_g)</f>
        <v>11.100302083584</v>
      </c>
      <c r="J9132" s="22" t="n">
        <f aca="false">Sens!$I$9132*(1+sh_g)</f>
        <v>11.1891045002527</v>
      </c>
      <c r="K9132" s="22" t="n">
        <f aca="false">Sens!$J$9132*(1+sh_g)</f>
        <v>11.2786173362547</v>
      </c>
      <c r="L9132" s="22" t="n">
        <f aca="false">Sens!$K$9132*(1+sh_g)</f>
        <v>11.3688462749447</v>
      </c>
      <c r="M9132" s="22" t="n">
        <f aca="false">Sens!$L$9132*(1+sh_g)</f>
        <v>11.4597970451443</v>
      </c>
      <c r="P9132" s="5" t="s">
        <v>749</v>
      </c>
    </row>
    <row r="9133" customFormat="false" ht="17.15" hidden="false" customHeight="false" outlineLevel="0" collapsed="false">
      <c r="A9133" s="5" t="s">
        <v>750</v>
      </c>
      <c r="B9133" s="0" t="s">
        <v>86</v>
      </c>
      <c r="C9133" s="38" t="n">
        <f aca="false">Sens!$C$9131+Sens!$C$9107*(1-tax)</f>
        <v>59.248</v>
      </c>
      <c r="D9133" s="38" t="n">
        <f aca="false">Sens!$D$9131+Sens!$D$9107*(1-tax)</f>
        <v>77.67</v>
      </c>
      <c r="E9133" s="38" t="n">
        <f aca="false">Sens!$E$9131+Sens!$E$9107*(1-tax)</f>
        <v>92.902</v>
      </c>
      <c r="F9133" s="38" t="n">
        <f aca="false">Sens!$F$9131+Sens!$F$9107*(1-tax)</f>
        <v>49.0900874210793</v>
      </c>
      <c r="G9133" s="38" t="n">
        <f aca="false">Sens!$G$9131+Sens!$G$9107*(1-tax)</f>
        <v>141.992087421079</v>
      </c>
      <c r="H9133" s="38" t="n">
        <f aca="false">Sens!$H$9131+Sens!$H$9107*(1-tax)</f>
        <v>114.439796858437</v>
      </c>
      <c r="I9133" s="38" t="n">
        <f aca="false">Sens!$I$9131+Sens!$I$9107*(1-tax)</f>
        <v>137.715847181774</v>
      </c>
      <c r="J9133" s="38" t="n">
        <f aca="false">Sens!$J$9131+Sens!$J$9107*(1-tax)</f>
        <v>161.072814065649</v>
      </c>
      <c r="K9133" s="38" t="n">
        <f aca="false">Sens!$K$9131+Sens!$K$9107*(1-tax)</f>
        <v>179.184254305854</v>
      </c>
      <c r="L9133" s="38" t="n">
        <f aca="false">Sens!$L$9131+Sens!$L$9107*(1-tax)</f>
        <v>198.911872540476</v>
      </c>
      <c r="M9133" s="38" t="n">
        <f aca="false">Sens!$M$9131+Sens!$M$9107*(1-tax)</f>
        <v>218.014598987218</v>
      </c>
      <c r="N9133" s="38" t="n">
        <f aca="false">Sens!$N$9131+Sens!$N$9107*(1-tax)</f>
        <v>35.291</v>
      </c>
      <c r="O9133" s="38" t="n">
        <f aca="false">Sens!$O$9131+Sens!$O$9107*(1-tax)</f>
        <v>42.379</v>
      </c>
    </row>
    <row r="9134" customFormat="false" ht="17.15" hidden="false" customHeight="false" outlineLevel="0" collapsed="false">
      <c r="A9134" s="43" t="s">
        <v>751</v>
      </c>
      <c r="B9134" s="14" t="s">
        <v>27</v>
      </c>
      <c r="C9134" s="44" t="n">
        <f aca="false">Sens!$C$9133/Sens!$C$9132</f>
        <v>5.52635015390355</v>
      </c>
      <c r="D9134" s="44" t="n">
        <f aca="false">Sens!$D$9133/Sens!$D$9132</f>
        <v>7.1737323358271</v>
      </c>
      <c r="E9134" s="44" t="n">
        <f aca="false">Sens!$E$9133/Sens!$E$9132</f>
        <v>8.53212104513937</v>
      </c>
      <c r="F9134" s="14"/>
      <c r="G9134" s="44" t="n">
        <f aca="false">Sens!$G$9133/Sens!$G$9132</f>
        <v>12.9972182042481</v>
      </c>
      <c r="H9134" s="44" t="n">
        <f aca="false">Sens!$H$9133/Sens!$H$9132</f>
        <v>10.3920879237963</v>
      </c>
      <c r="I9134" s="44" t="n">
        <f aca="false">Sens!$I$9133/Sens!$I$9132</f>
        <v>12.4064954399249</v>
      </c>
      <c r="J9134" s="44" t="n">
        <f aca="false">Sens!$J$9133/Sens!$J$9132</f>
        <v>14.3955053831172</v>
      </c>
      <c r="K9134" s="44" t="n">
        <f aca="false">Sens!$K$9133/Sens!$K$9132</f>
        <v>15.8870763111957</v>
      </c>
      <c r="L9134" s="44" t="n">
        <f aca="false">Sens!$L$9133/Sens!$L$9132</f>
        <v>17.4962232516811</v>
      </c>
      <c r="M9134" s="44" t="n">
        <f aca="false">Sens!$M$9133/Sens!$M$9132</f>
        <v>19.0242984346389</v>
      </c>
      <c r="N9134" s="14"/>
      <c r="O9134" s="14"/>
    </row>
    <row r="9135" customFormat="false" ht="17.15" hidden="false" customHeight="false" outlineLevel="0" collapsed="false">
      <c r="A9135" s="0" t="s">
        <v>752</v>
      </c>
      <c r="B9135" s="0" t="s">
        <v>27</v>
      </c>
      <c r="C9135" s="30" t="n">
        <f aca="false">Sens!$C$9131/Sens!$C$9132</f>
        <v>5.52635015390355</v>
      </c>
      <c r="D9135" s="30" t="n">
        <f aca="false">Sens!$D$9131/Sens!$D$9132</f>
        <v>7.1737323358271</v>
      </c>
      <c r="E9135" s="30" t="n">
        <f aca="false">Sens!$E$9131/Sens!$E$9132</f>
        <v>8.53212104513937</v>
      </c>
      <c r="G9135" s="30" t="n">
        <f aca="false">Sens!$G$9131/Sens!$G$9132</f>
        <v>12.7119412886078</v>
      </c>
      <c r="H9135" s="30" t="n">
        <f aca="false">Sens!$H$9131/Sens!$H$9132</f>
        <v>9.25413266565353</v>
      </c>
      <c r="I9135" s="30" t="n">
        <f aca="false">Sens!$I$9131/Sens!$I$9132</f>
        <v>10.501928796986</v>
      </c>
      <c r="J9135" s="30" t="n">
        <f aca="false">Sens!$J$9131/Sens!$J$9132</f>
        <v>11.7331442492472</v>
      </c>
      <c r="K9135" s="30" t="n">
        <f aca="false">Sens!$K$9131/Sens!$K$9132</f>
        <v>12.5916984657939</v>
      </c>
      <c r="L9135" s="30" t="n">
        <f aca="false">Sens!$L$9131/Sens!$L$9132</f>
        <v>13.8005028307662</v>
      </c>
      <c r="M9135" s="30" t="n">
        <f aca="false">Sens!$M$9131/Sens!$M$9132</f>
        <v>15.1560342746184</v>
      </c>
    </row>
    <row r="9136" customFormat="false" ht="17.15" hidden="false" customHeight="false" outlineLevel="0" collapsed="false">
      <c r="A9136" s="0" t="s">
        <v>753</v>
      </c>
      <c r="B9136" s="0" t="s">
        <v>27</v>
      </c>
      <c r="C9136" s="30" t="n">
        <f aca="false">(Sens!$C$9131-Sens!$C$9128*(1-tax))/Sens!$C$9132</f>
        <v>5.33926775917445</v>
      </c>
      <c r="D9136" s="30" t="n">
        <f aca="false">(Sens!$D$9131-Sens!$D$9128*(1-tax))/Sens!$D$9132</f>
        <v>5.67691812755503</v>
      </c>
      <c r="E9136" s="30" t="n">
        <f aca="false">(Sens!$E$9131-Sens!$E$9128*(1-tax))/Sens!$E$9132</f>
        <v>3.10602057006846</v>
      </c>
      <c r="G9136" s="30" t="n">
        <f aca="false">(Sens!$G$9131-Sens!$G$9128*(1-tax))/Sens!$G$9132</f>
        <v>7.30387317071086</v>
      </c>
      <c r="H9136" s="30" t="n">
        <f aca="false">(Sens!$H$9131-Sens!$H$9128*(1-tax))/Sens!$H$9132</f>
        <v>9.25413266565353</v>
      </c>
      <c r="I9136" s="30" t="n">
        <f aca="false">(Sens!$I$9131-Sens!$I$9128*(1-tax))/Sens!$I$9132</f>
        <v>10.501928796986</v>
      </c>
      <c r="J9136" s="30" t="n">
        <f aca="false">(Sens!$J$9131-Sens!$J$9128*(1-tax))/Sens!$J$9132</f>
        <v>11.7331442492472</v>
      </c>
      <c r="K9136" s="30" t="n">
        <f aca="false">(Sens!$K$9131-Sens!$K$9128*(1-tax))/Sens!$K$9132</f>
        <v>12.5916984657939</v>
      </c>
      <c r="L9136" s="30" t="n">
        <f aca="false">(Sens!$L$9131-Sens!$L$9128*(1-tax))/Sens!$L$9132</f>
        <v>13.8005028307662</v>
      </c>
      <c r="M9136" s="30" t="n">
        <f aca="false">(Sens!$M$9131-Sens!$M$9128*(1-tax))/Sens!$M$9132</f>
        <v>15.1560342746184</v>
      </c>
      <c r="P9136" s="5" t="s">
        <v>754</v>
      </c>
    </row>
    <row r="9137" customFormat="false" ht="17.15" hidden="false" customHeight="false" outlineLevel="0" collapsed="false">
      <c r="A9137" s="0" t="s">
        <v>755</v>
      </c>
      <c r="B9137" s="0" t="s">
        <v>52</v>
      </c>
      <c r="H9137" s="13" t="n">
        <f aca="false">Sens!$H$9134/Sens!$G$9134-1</f>
        <v>-0.200437527439553</v>
      </c>
      <c r="I9137" s="13" t="n">
        <f aca="false">Sens!$I$9134/Sens!$H$9134-1</f>
        <v>0.193840499705158</v>
      </c>
      <c r="J9137" s="13" t="n">
        <f aca="false">Sens!$J$9134/Sens!$I$9134-1</f>
        <v>0.160320047899391</v>
      </c>
      <c r="K9137" s="13" t="n">
        <f aca="false">Sens!$K$9134/Sens!$J$9134-1</f>
        <v>0.103613654983436</v>
      </c>
      <c r="L9137" s="13" t="n">
        <f aca="false">Sens!$L$9134/Sens!$K$9134-1</f>
        <v>0.101286536865904</v>
      </c>
      <c r="M9137" s="13" t="n">
        <f aca="false">Sens!$M$9134/Sens!$L$9134-1</f>
        <v>0.0873374305400994</v>
      </c>
    </row>
    <row r="9140" customFormat="false" ht="19.4" hidden="false" customHeight="false" outlineLevel="0" collapsed="false">
      <c r="A9140" s="31" t="s">
        <v>1315</v>
      </c>
    </row>
    <row r="9141" customFormat="false" ht="17.15" hidden="false" customHeight="false" outlineLevel="0" collapsed="false">
      <c r="A9141" s="6" t="s">
        <v>16</v>
      </c>
      <c r="B9141" s="6" t="s">
        <v>17</v>
      </c>
      <c r="C9141" s="20" t="s">
        <v>494</v>
      </c>
      <c r="D9141" s="20" t="s">
        <v>495</v>
      </c>
      <c r="E9141" s="20" t="s">
        <v>577</v>
      </c>
      <c r="F9141" s="20" t="s">
        <v>578</v>
      </c>
      <c r="G9141" s="20" t="s">
        <v>579</v>
      </c>
      <c r="H9141" s="20" t="s">
        <v>580</v>
      </c>
      <c r="I9141" s="20" t="s">
        <v>581</v>
      </c>
      <c r="J9141" s="20" t="s">
        <v>582</v>
      </c>
      <c r="K9141" s="20" t="s">
        <v>583</v>
      </c>
      <c r="L9141" s="20" t="s">
        <v>584</v>
      </c>
      <c r="M9141" s="20" t="s">
        <v>585</v>
      </c>
      <c r="N9141" s="20" t="s">
        <v>586</v>
      </c>
      <c r="O9141" s="20" t="s">
        <v>587</v>
      </c>
      <c r="P9141" s="6" t="s">
        <v>23</v>
      </c>
      <c r="R9141" s="20" t="n">
        <v>2023</v>
      </c>
      <c r="S9141" s="20" t="n">
        <v>2024</v>
      </c>
      <c r="T9141" s="20" t="n">
        <v>2025</v>
      </c>
      <c r="U9141" s="20" t="n">
        <v>2026</v>
      </c>
      <c r="V9141" s="20" t="n">
        <v>2027</v>
      </c>
      <c r="W9141" s="20" t="n">
        <v>2028</v>
      </c>
      <c r="X9141" s="20" t="n">
        <v>2029</v>
      </c>
      <c r="Y9141" s="20" t="n">
        <v>2030</v>
      </c>
      <c r="Z9141" s="20" t="n">
        <v>2031</v>
      </c>
      <c r="AA9141" s="20" t="n">
        <v>2032</v>
      </c>
    </row>
    <row r="9142" customFormat="false" ht="15" hidden="false" customHeight="false" outlineLevel="0" collapsed="false">
      <c r="A9142" s="5" t="s">
        <v>546</v>
      </c>
      <c r="B9142" s="0" t="s">
        <v>86</v>
      </c>
      <c r="C9142" s="38" t="n">
        <f aca="false">Sens!$C$9131</f>
        <v>59.248</v>
      </c>
      <c r="D9142" s="38" t="n">
        <f aca="false">Sens!$D$9131</f>
        <v>77.67</v>
      </c>
      <c r="E9142" s="38" t="n">
        <f aca="false">Sens!$E$9131</f>
        <v>92.902</v>
      </c>
      <c r="F9142" s="38" t="n">
        <f aca="false">Sens!$F$9131</f>
        <v>45.9734924614306</v>
      </c>
      <c r="G9142" s="38" t="n">
        <f aca="false">Sens!$G$9131</f>
        <v>138.875492461431</v>
      </c>
      <c r="H9142" s="38" t="n">
        <f aca="false">Sens!$H$9131</f>
        <v>101.908400903092</v>
      </c>
      <c r="I9142" s="38" t="n">
        <f aca="false">Sens!$I$9131</f>
        <v>116.574582106835</v>
      </c>
      <c r="J9142" s="38" t="n">
        <f aca="false">Sens!$J$9131</f>
        <v>131.283377121365</v>
      </c>
      <c r="K9142" s="38" t="n">
        <f aca="false">Sens!$K$9131</f>
        <v>142.016948609195</v>
      </c>
      <c r="L9142" s="38" t="n">
        <f aca="false">Sens!$L$9131</f>
        <v>156.895795199921</v>
      </c>
      <c r="M9142" s="38" t="n">
        <f aca="false">Sens!$M$9131</f>
        <v>173.685076796377</v>
      </c>
    </row>
    <row r="9143" customFormat="false" ht="17.15" hidden="false" customHeight="false" outlineLevel="0" collapsed="false">
      <c r="A9143" s="5" t="s">
        <v>778</v>
      </c>
      <c r="B9143" s="0" t="s">
        <v>86</v>
      </c>
      <c r="C9143" s="38" t="n">
        <f aca="false">Sens!$C$9119</f>
        <v>32.067</v>
      </c>
      <c r="D9143" s="38" t="n">
        <f aca="false">Sens!$D$9119</f>
        <v>41.86</v>
      </c>
      <c r="E9143" s="38" t="n">
        <f aca="false">Sens!$E$9119</f>
        <v>26.703</v>
      </c>
      <c r="F9143" s="38" t="n">
        <f aca="false">Sens!$F$9119</f>
        <v>29.2913179650864</v>
      </c>
      <c r="G9143" s="38" t="n">
        <f aca="false">Sens!$G$9119</f>
        <v>55.9943179650864</v>
      </c>
      <c r="H9143" s="38" t="n">
        <f aca="false">Sens!$H$9119</f>
        <v>84.3163410985152</v>
      </c>
      <c r="I9143" s="38" t="n">
        <f aca="false">Sens!$I$9119</f>
        <v>117.040344991004</v>
      </c>
      <c r="J9143" s="38" t="n">
        <f aca="false">Sens!$J$9119</f>
        <v>150.498981474685</v>
      </c>
      <c r="K9143" s="38" t="n">
        <f aca="false">Sens!$K$9119</f>
        <v>184.188121970284</v>
      </c>
      <c r="L9143" s="38" t="n">
        <f aca="false">Sens!$L$9119</f>
        <v>207.768718060808</v>
      </c>
      <c r="M9143" s="38" t="n">
        <f aca="false">Sens!$M$9119</f>
        <v>224.003934647752</v>
      </c>
    </row>
    <row r="9144" customFormat="false" ht="15" hidden="false" customHeight="false" outlineLevel="0" collapsed="false">
      <c r="A9144" s="5" t="s">
        <v>779</v>
      </c>
      <c r="B9144" s="0" t="s">
        <v>86</v>
      </c>
      <c r="C9144" s="38" t="n">
        <f aca="false">Q!$D$48</f>
        <v>22.011</v>
      </c>
      <c r="D9144" s="38" t="n">
        <f aca="false">Q!$E$48</f>
        <v>19.467</v>
      </c>
      <c r="E9144" s="38" t="n">
        <f aca="false">Q!$P$48</f>
        <v>10.07</v>
      </c>
      <c r="F9144" s="38" t="n">
        <f aca="false">sbc_r*Sens!$F$9061</f>
        <v>10.8507035798037</v>
      </c>
      <c r="G9144" s="38" t="n">
        <f aca="false">Sens!$E$9144+Sens!$F$9144</f>
        <v>20.9207035798037</v>
      </c>
      <c r="H9144" s="38" t="n">
        <f aca="false">sbc_r*Sens!$H$9061</f>
        <v>23.46224366345</v>
      </c>
      <c r="I9144" s="38" t="n">
        <f aca="false">sbc_r*Sens!$I$9061</f>
        <v>26.6125957111676</v>
      </c>
      <c r="J9144" s="38" t="n">
        <f aca="false">sbc_r*Sens!$J$9061</f>
        <v>29.6280801413323</v>
      </c>
      <c r="K9144" s="38" t="n">
        <f aca="false">sbc_r*Sens!$K$9061</f>
        <v>32.2712258901105</v>
      </c>
      <c r="L9144" s="38" t="n">
        <f aca="false">sbc_r*Sens!$L$9061</f>
        <v>34.7390505016737</v>
      </c>
      <c r="M9144" s="38" t="n">
        <f aca="false">sbc_r*Sens!$M$9061</f>
        <v>37.0405146906692</v>
      </c>
    </row>
    <row r="9145" customFormat="false" ht="17.15" hidden="false" customHeight="false" outlineLevel="0" collapsed="false">
      <c r="A9145" s="5" t="s">
        <v>780</v>
      </c>
      <c r="B9145" s="0" t="s">
        <v>86</v>
      </c>
      <c r="C9145" s="38" t="n">
        <f aca="false">Q!$D$44-Sens!$C$9142-Sens!$C$9143-Sens!$C$9144</f>
        <v>2.551</v>
      </c>
      <c r="D9145" s="38" t="n">
        <f aca="false">Q!$E$44-Sens!$D$9142-Sens!$D$9143-Sens!$D$9144</f>
        <v>0.51700000000001</v>
      </c>
      <c r="E9145" s="38" t="n">
        <f aca="false">Q!$P$44-Sens!$E$9142-Sens!$E$9143-Sens!$E$9144</f>
        <v>-58.256</v>
      </c>
      <c r="F9145" s="38" t="n">
        <f aca="false">oth_r*Sens!$F$9061</f>
        <v>5.22265251035878</v>
      </c>
      <c r="G9145" s="38" t="n">
        <f aca="false">Sens!$E$9145+Sens!$F$9145</f>
        <v>-53.0333474896412</v>
      </c>
      <c r="H9145" s="38" t="n">
        <f aca="false">oth_r*Sens!$H$9061</f>
        <v>11.2928295263397</v>
      </c>
      <c r="I9145" s="38" t="n">
        <f aca="false">oth_r*Sens!$I$9061</f>
        <v>12.8091546115766</v>
      </c>
      <c r="J9145" s="38" t="n">
        <f aca="false">oth_r*Sens!$J$9061</f>
        <v>14.2605653162668</v>
      </c>
      <c r="K9145" s="38" t="n">
        <f aca="false">oth_r*Sens!$K$9061</f>
        <v>15.5327622460396</v>
      </c>
      <c r="L9145" s="38" t="n">
        <f aca="false">oth_r*Sens!$L$9061</f>
        <v>16.720573737517</v>
      </c>
      <c r="M9145" s="38" t="n">
        <f aca="false">oth_r*Sens!$M$9061</f>
        <v>17.8283127551536</v>
      </c>
      <c r="P9145" s="8" t="s">
        <v>781</v>
      </c>
    </row>
    <row r="9146" customFormat="false" ht="15" hidden="false" customHeight="false" outlineLevel="0" collapsed="false">
      <c r="A9146" s="3" t="s">
        <v>552</v>
      </c>
      <c r="B9146" s="8" t="s">
        <v>86</v>
      </c>
      <c r="C9146" s="38" t="n">
        <f aca="false">Q!$D$44</f>
        <v>115.877</v>
      </c>
      <c r="D9146" s="38" t="n">
        <f aca="false">Q!$E$44</f>
        <v>139.514</v>
      </c>
      <c r="E9146" s="38" t="n">
        <f aca="false">Q!$P$44</f>
        <v>71.419</v>
      </c>
      <c r="F9146" s="38" t="n">
        <f aca="false">Sens!$F$9142+Sens!$F$9143+Sens!$F$9144+Sens!$F$9145</f>
        <v>91.3381665166794</v>
      </c>
      <c r="G9146" s="38" t="n">
        <f aca="false">Sens!$E$9146+Sens!$F$9146</f>
        <v>162.757166516679</v>
      </c>
      <c r="H9146" s="38" t="n">
        <f aca="false">Sens!$H$9142+Sens!$H$9143+Sens!$H$9144+Sens!$H$9145</f>
        <v>220.979815191397</v>
      </c>
      <c r="I9146" s="38" t="n">
        <f aca="false">Sens!$I$9142+Sens!$I$9143+Sens!$I$9144+Sens!$I$9145</f>
        <v>273.036677420583</v>
      </c>
      <c r="J9146" s="38" t="n">
        <f aca="false">Sens!$J$9142+Sens!$J$9143+Sens!$J$9144+Sens!$J$9145</f>
        <v>325.671004053649</v>
      </c>
      <c r="K9146" s="38" t="n">
        <f aca="false">Sens!$K$9142+Sens!$K$9143+Sens!$K$9144+Sens!$K$9145</f>
        <v>374.009058715629</v>
      </c>
      <c r="L9146" s="38" t="n">
        <f aca="false">Sens!$L$9142+Sens!$L$9143+Sens!$L$9144+Sens!$L$9145</f>
        <v>416.124137499919</v>
      </c>
      <c r="M9146" s="38" t="n">
        <f aca="false">Sens!$M$9142+Sens!$M$9143+Sens!$M$9144+Sens!$M$9145</f>
        <v>452.557838889952</v>
      </c>
    </row>
    <row r="9147" customFormat="false" ht="17.15" hidden="false" customHeight="false" outlineLevel="0" collapsed="false">
      <c r="A9147" s="5" t="s">
        <v>782</v>
      </c>
      <c r="B9147" s="0" t="s">
        <v>86</v>
      </c>
      <c r="C9147" s="38" t="n">
        <f aca="false">Sens!$C$9030</f>
        <v>25.2781053077374</v>
      </c>
      <c r="D9147" s="38" t="n">
        <f aca="false">Sens!$D$9030</f>
        <v>69.5686316310026</v>
      </c>
      <c r="E9147" s="38" t="n">
        <f aca="false">Sens!$E$9030</f>
        <v>64.1899206485108</v>
      </c>
      <c r="F9147" s="38" t="n">
        <f aca="false">Sens!$F$9030</f>
        <v>96.2481299895</v>
      </c>
      <c r="G9147" s="38" t="n">
        <f aca="false">Sens!$G$9030</f>
        <v>160.438050638011</v>
      </c>
      <c r="H9147" s="38" t="n">
        <f aca="false">Sens!$H$9030</f>
        <v>198.57136494475</v>
      </c>
      <c r="I9147" s="38" t="n">
        <f aca="false">Sens!$I$9030</f>
        <v>204.6464699105</v>
      </c>
      <c r="J9147" s="38" t="n">
        <f aca="false">Sens!$J$9030</f>
        <v>209.8832381105</v>
      </c>
      <c r="K9147" s="38" t="n">
        <f aca="false">Sens!$K$9030</f>
        <v>155.238385275201</v>
      </c>
      <c r="L9147" s="38" t="n">
        <f aca="false">Sens!$L$9030</f>
        <v>132.014141639902</v>
      </c>
      <c r="M9147" s="38" t="n">
        <f aca="false">Sens!$M$9030</f>
        <v>132.230981659852</v>
      </c>
    </row>
    <row r="9148" customFormat="false" ht="17.15" hidden="false" customHeight="false" outlineLevel="0" collapsed="false">
      <c r="A9148" s="5" t="s">
        <v>783</v>
      </c>
      <c r="B9148" s="0" t="s">
        <v>86</v>
      </c>
      <c r="C9148" s="38" t="n">
        <f aca="false">cx_awso*Sens!$C$9059</f>
        <v>21.0469989286053</v>
      </c>
      <c r="D9148" s="38" t="n">
        <f aca="false">cx_awso*Sens!$D$9059</f>
        <v>24.0042459822698</v>
      </c>
      <c r="E9148" s="38" t="n">
        <f aca="false">cx_awso*Sens!$E$9059</f>
        <v>14.261729404886</v>
      </c>
      <c r="F9148" s="38" t="n">
        <f aca="false">cx_awso*Sens!$F$9059</f>
        <v>14.3538599588493</v>
      </c>
      <c r="G9148" s="38" t="n">
        <f aca="false">Sens!$E$9148+Sens!$F$9148</f>
        <v>28.6155893637353</v>
      </c>
      <c r="H9148" s="38" t="n">
        <f aca="false">cx_awso*Sens!$H$9059</f>
        <v>32.2034154158406</v>
      </c>
      <c r="I9148" s="38" t="n">
        <f aca="false">cx_awso*Sens!$I$9059</f>
        <v>35.7539519042915</v>
      </c>
      <c r="J9148" s="38" t="n">
        <f aca="false">cx_awso*Sens!$J$9059</f>
        <v>39.1551076091815</v>
      </c>
      <c r="K9148" s="38" t="n">
        <f aca="false">cx_awso*Sens!$K$9059</f>
        <v>42.287516217916</v>
      </c>
      <c r="L9148" s="38" t="n">
        <f aca="false">cx_awso*Sens!$L$9059</f>
        <v>45.6705175153492</v>
      </c>
      <c r="M9148" s="38" t="n">
        <f aca="false">cx_awso*Sens!$M$9059</f>
        <v>49.3241589165772</v>
      </c>
    </row>
    <row r="9149" customFormat="false" ht="17.15" hidden="false" customHeight="false" outlineLevel="0" collapsed="false">
      <c r="A9149" s="5" t="s">
        <v>784</v>
      </c>
      <c r="B9149" s="0" t="s">
        <v>86</v>
      </c>
      <c r="C9149" s="38" t="n">
        <f aca="false">Q!$D$46-Sens!$C$9147-Sens!$C$9148</f>
        <v>31.3328957636573</v>
      </c>
      <c r="D9149" s="38" t="n">
        <f aca="false">Q!$E$46-Sens!$D$9147-Sens!$D$9148</f>
        <v>34.7471223867276</v>
      </c>
      <c r="E9149" s="38" t="n">
        <f aca="false">Q!$P$46-Sens!$E$9147-Sens!$E$9148</f>
        <v>17.8583499466032</v>
      </c>
      <c r="F9149" s="38" t="n">
        <f aca="false">cx_rt*Sens!$F$8993</f>
        <v>20.6195895799373</v>
      </c>
      <c r="G9149" s="38" t="n">
        <f aca="false">Sens!$E$9149+Sens!$F$9149</f>
        <v>38.4779395265405</v>
      </c>
      <c r="H9149" s="38" t="n">
        <f aca="false">cx_rt*Sens!$H$8993</f>
        <v>42.5978994743075</v>
      </c>
      <c r="I9149" s="38" t="n">
        <f aca="false">cx_rt*Sens!$I$8993</f>
        <v>46.5813904136335</v>
      </c>
      <c r="J9149" s="38" t="n">
        <f aca="false">cx_rt*Sens!$J$8993</f>
        <v>50.2781676586844</v>
      </c>
      <c r="K9149" s="38" t="n">
        <f aca="false">cx_rt*Sens!$K$8993</f>
        <v>53.5312440191755</v>
      </c>
      <c r="L9149" s="38" t="n">
        <f aca="false">cx_rt*Sens!$L$8993</f>
        <v>57.0116717051447</v>
      </c>
      <c r="M9149" s="38" t="n">
        <f aca="false">cx_rt*Sens!$M$8993</f>
        <v>60.7365554669226</v>
      </c>
    </row>
    <row r="9150" customFormat="false" ht="15" hidden="false" customHeight="false" outlineLevel="0" collapsed="false">
      <c r="A9150" s="3" t="s">
        <v>785</v>
      </c>
      <c r="B9150" s="8" t="s">
        <v>86</v>
      </c>
      <c r="C9150" s="38" t="n">
        <f aca="false">Q!$D$46</f>
        <v>77.658</v>
      </c>
      <c r="D9150" s="38" t="n">
        <f aca="false">Q!$E$46</f>
        <v>128.32</v>
      </c>
      <c r="E9150" s="38" t="n">
        <f aca="false">Q!$P$46</f>
        <v>96.31</v>
      </c>
      <c r="F9150" s="38" t="n">
        <f aca="false">Sens!$F$9147+Sens!$F$9148+Sens!$F$9149</f>
        <v>131.221579528287</v>
      </c>
      <c r="G9150" s="38" t="n">
        <f aca="false">Sens!$E$9150+Sens!$F$9150</f>
        <v>227.531579528287</v>
      </c>
      <c r="H9150" s="38" t="n">
        <f aca="false">Sens!$H$9147+Sens!$H$9148+Sens!$H$9149</f>
        <v>273.372679834898</v>
      </c>
      <c r="I9150" s="38" t="n">
        <f aca="false">Sens!$I$9147+Sens!$I$9148+Sens!$I$9149</f>
        <v>286.981812228425</v>
      </c>
      <c r="J9150" s="38" t="n">
        <f aca="false">Sens!$J$9147+Sens!$J$9148+Sens!$J$9149</f>
        <v>299.316513378366</v>
      </c>
      <c r="K9150" s="38" t="n">
        <f aca="false">Sens!$K$9147+Sens!$K$9148+Sens!$K$9149</f>
        <v>251.057145512292</v>
      </c>
      <c r="L9150" s="38" t="n">
        <f aca="false">Sens!$L$9147+Sens!$L$9148+Sens!$L$9149</f>
        <v>234.696330860396</v>
      </c>
      <c r="M9150" s="38" t="n">
        <f aca="false">Sens!$M$9147+Sens!$M$9148+Sens!$M$9149</f>
        <v>242.291696043352</v>
      </c>
    </row>
    <row r="9151" customFormat="false" ht="17.15" hidden="false" customHeight="false" outlineLevel="0" collapsed="false">
      <c r="A9151" s="5" t="s">
        <v>560</v>
      </c>
      <c r="B9151" s="0" t="s">
        <v>86</v>
      </c>
      <c r="C9151" s="38" t="n">
        <f aca="false">Q!$D$50</f>
        <v>2.043</v>
      </c>
      <c r="D9151" s="38" t="n">
        <f aca="false">Q!$E$50</f>
        <v>1.557</v>
      </c>
      <c r="E9151" s="38" t="n">
        <f aca="false">lease_pr/2</f>
        <v>0.8</v>
      </c>
      <c r="F9151" s="38" t="n">
        <f aca="false">lease_pr/2</f>
        <v>0.8</v>
      </c>
      <c r="G9151" s="38" t="n">
        <f aca="false">Sens!$E$9151+Sens!$F$9151</f>
        <v>1.6</v>
      </c>
      <c r="H9151" s="38" t="n">
        <f aca="false">lease_pr</f>
        <v>1.6</v>
      </c>
      <c r="I9151" s="38" t="n">
        <f aca="false">lease_pr</f>
        <v>1.6</v>
      </c>
      <c r="J9151" s="38" t="n">
        <f aca="false">lease_pr</f>
        <v>1.6</v>
      </c>
      <c r="K9151" s="38" t="n">
        <f aca="false">lease_pr</f>
        <v>1.6</v>
      </c>
      <c r="L9151" s="38" t="n">
        <f aca="false">lease_pr</f>
        <v>1.6</v>
      </c>
      <c r="M9151" s="38" t="n">
        <f aca="false">lease_pr</f>
        <v>1.6</v>
      </c>
      <c r="P9151" s="8" t="s">
        <v>786</v>
      </c>
    </row>
    <row r="9152" customFormat="false" ht="15" hidden="false" customHeight="false" outlineLevel="0" collapsed="false">
      <c r="A9152" s="47" t="s">
        <v>787</v>
      </c>
      <c r="B9152" s="14" t="s">
        <v>86</v>
      </c>
      <c r="C9152" s="48" t="n">
        <f aca="false">Sens!$C$9146-Sens!$C$9150-Sens!$C$9151</f>
        <v>36.176</v>
      </c>
      <c r="D9152" s="48" t="n">
        <f aca="false">Sens!$D$9146-Sens!$D$9150-Sens!$D$9151</f>
        <v>9.63700000000002</v>
      </c>
      <c r="E9152" s="48" t="n">
        <f aca="false">Sens!$E$9146-Sens!$E$9150-Sens!$E$9151</f>
        <v>-25.691</v>
      </c>
      <c r="F9152" s="48" t="n">
        <f aca="false">Sens!$F$9146-Sens!$F$9150-Sens!$F$9151</f>
        <v>-40.6834130116072</v>
      </c>
      <c r="G9152" s="48" t="n">
        <f aca="false">Sens!$G$9146-Sens!$G$9150-Sens!$G$9151</f>
        <v>-66.3744130116072</v>
      </c>
      <c r="H9152" s="48" t="n">
        <f aca="false">Sens!$H$9146-Sens!$H$9150-Sens!$H$9151</f>
        <v>-53.9928646435014</v>
      </c>
      <c r="I9152" s="48" t="n">
        <f aca="false">Sens!$I$9146-Sens!$I$9150-Sens!$I$9151</f>
        <v>-15.5451348078424</v>
      </c>
      <c r="J9152" s="48" t="n">
        <f aca="false">Sens!$J$9146-Sens!$J$9150-Sens!$J$9151</f>
        <v>24.754490675283</v>
      </c>
      <c r="K9152" s="48" t="n">
        <f aca="false">Sens!$K$9146-Sens!$K$9150-Sens!$K$9151</f>
        <v>121.351913203336</v>
      </c>
      <c r="L9152" s="48" t="n">
        <f aca="false">Sens!$L$9146-Sens!$L$9150-Sens!$L$9151</f>
        <v>179.827806639524</v>
      </c>
      <c r="M9152" s="48" t="n">
        <f aca="false">Sens!$M$9146-Sens!$M$9150-Sens!$M$9151</f>
        <v>208.6661428466</v>
      </c>
      <c r="N9152" s="14"/>
      <c r="O9152" s="14"/>
    </row>
    <row r="9153" customFormat="false" ht="17.15" hidden="false" customHeight="false" outlineLevel="0" collapsed="false">
      <c r="A9153" s="5" t="s">
        <v>788</v>
      </c>
      <c r="B9153" s="0" t="s">
        <v>86</v>
      </c>
      <c r="C9153" s="38" t="n">
        <f aca="false">dps*Sens!$C$9132</f>
        <v>0</v>
      </c>
      <c r="D9153" s="38" t="n">
        <f aca="false">dps*Sens!$D$9132</f>
        <v>0</v>
      </c>
      <c r="E9153" s="38" t="n">
        <f aca="false">dps*Sens!$E$9132</f>
        <v>0</v>
      </c>
      <c r="F9153" s="38" t="n">
        <f aca="false">0</f>
        <v>0</v>
      </c>
      <c r="G9153" s="38" t="n">
        <f aca="false">dps*Sens!$G$9132</f>
        <v>0</v>
      </c>
      <c r="H9153" s="38" t="n">
        <f aca="false">dps*Sens!$H$9132</f>
        <v>0</v>
      </c>
      <c r="I9153" s="38" t="n">
        <f aca="false">dps*Sens!$I$9132</f>
        <v>0</v>
      </c>
      <c r="J9153" s="38" t="n">
        <f aca="false">dps*Sens!$J$9132</f>
        <v>0</v>
      </c>
      <c r="K9153" s="38" t="n">
        <f aca="false">dps*Sens!$K$9132</f>
        <v>0</v>
      </c>
      <c r="L9153" s="38" t="n">
        <f aca="false">dps*Sens!$L$9132</f>
        <v>0</v>
      </c>
      <c r="M9153" s="38" t="n">
        <f aca="false">dps*Sens!$M$9132</f>
        <v>0</v>
      </c>
      <c r="P9153" s="8" t="s">
        <v>789</v>
      </c>
    </row>
    <row r="9154" customFormat="false" ht="17.15" hidden="false" customHeight="false" outlineLevel="0" collapsed="false">
      <c r="A9154" s="5" t="s">
        <v>790</v>
      </c>
      <c r="B9154" s="0" t="s">
        <v>86</v>
      </c>
      <c r="C9154" s="38" t="n">
        <f aca="false">0</f>
        <v>0</v>
      </c>
      <c r="D9154" s="38" t="n">
        <f aca="false">0</f>
        <v>0</v>
      </c>
      <c r="E9154" s="38" t="n">
        <f aca="false">0</f>
        <v>0</v>
      </c>
      <c r="F9154" s="38" t="n">
        <f aca="false">0</f>
        <v>0</v>
      </c>
      <c r="G9154" s="38" t="n">
        <f aca="false">0</f>
        <v>0</v>
      </c>
      <c r="H9154" s="38" t="n">
        <f aca="false">0</f>
        <v>0</v>
      </c>
      <c r="I9154" s="38" t="n">
        <f aca="false">0</f>
        <v>0</v>
      </c>
      <c r="J9154" s="38" t="n">
        <f aca="false">0</f>
        <v>0</v>
      </c>
      <c r="K9154" s="38" t="n">
        <f aca="false">0</f>
        <v>0</v>
      </c>
      <c r="L9154" s="38" t="n">
        <f aca="false">0</f>
        <v>0</v>
      </c>
      <c r="M9154" s="38" t="n">
        <f aca="false">0</f>
        <v>0</v>
      </c>
      <c r="P9154" s="8" t="s">
        <v>791</v>
      </c>
    </row>
    <row r="9155" customFormat="false" ht="15" hidden="false" customHeight="false" outlineLevel="0" collapsed="false">
      <c r="A9155" s="3" t="s">
        <v>792</v>
      </c>
      <c r="B9155" s="8" t="s">
        <v>86</v>
      </c>
      <c r="C9155" s="38" t="n">
        <f aca="false">Sens!$C$9152-Sens!$C$9153</f>
        <v>36.176</v>
      </c>
      <c r="D9155" s="38" t="n">
        <f aca="false">Sens!$D$9152-Sens!$D$9153</f>
        <v>9.63700000000002</v>
      </c>
      <c r="E9155" s="38" t="n">
        <f aca="false">Sens!$E$9152-Sens!$E$9153</f>
        <v>-25.691</v>
      </c>
      <c r="F9155" s="38" t="n">
        <f aca="false">Sens!$F$9152-Sens!$F$9153</f>
        <v>-40.6834130116072</v>
      </c>
      <c r="G9155" s="38" t="n">
        <f aca="false">Sens!$G$9152-Sens!$G$9153</f>
        <v>-66.3744130116072</v>
      </c>
      <c r="H9155" s="38" t="n">
        <f aca="false">Sens!$H$9152-Sens!$H$9153</f>
        <v>-53.9928646435014</v>
      </c>
      <c r="I9155" s="38" t="n">
        <f aca="false">Sens!$I$9152-Sens!$I$9153</f>
        <v>-15.5451348078424</v>
      </c>
      <c r="J9155" s="38" t="n">
        <f aca="false">Sens!$J$9152-Sens!$J$9153</f>
        <v>24.754490675283</v>
      </c>
      <c r="K9155" s="38" t="n">
        <f aca="false">Sens!$K$9152-Sens!$K$9153</f>
        <v>121.351913203336</v>
      </c>
      <c r="L9155" s="38" t="n">
        <f aca="false">Sens!$L$9152-Sens!$L$9153</f>
        <v>179.827806639524</v>
      </c>
      <c r="M9155" s="38" t="n">
        <f aca="false">Sens!$M$9152-Sens!$M$9153</f>
        <v>208.6661428466</v>
      </c>
    </row>
    <row r="9156" customFormat="false" ht="17.15" hidden="false" customHeight="false" outlineLevel="0" collapsed="false">
      <c r="A9156" s="5" t="s">
        <v>793</v>
      </c>
      <c r="B9156" s="0" t="s">
        <v>86</v>
      </c>
      <c r="E9156" s="38" t="n">
        <f aca="false">Q!$P$53</f>
        <v>39.767</v>
      </c>
      <c r="F9156" s="38" t="n">
        <f aca="false">inv_2h26</f>
        <v>21.3</v>
      </c>
      <c r="G9156" s="38" t="n">
        <f aca="false">Sens!$E$9156+Sens!$F$9156</f>
        <v>61.067</v>
      </c>
      <c r="H9156" s="39" t="n">
        <v>0</v>
      </c>
      <c r="I9156" s="39" t="n">
        <v>0</v>
      </c>
      <c r="J9156" s="39" t="n">
        <v>0</v>
      </c>
      <c r="K9156" s="39" t="n">
        <v>0</v>
      </c>
      <c r="L9156" s="39" t="n">
        <v>0</v>
      </c>
      <c r="M9156" s="39" t="n">
        <v>0</v>
      </c>
    </row>
    <row r="9157" customFormat="false" ht="17.15" hidden="false" customHeight="false" outlineLevel="0" collapsed="false">
      <c r="A9157" s="5" t="s">
        <v>794</v>
      </c>
      <c r="B9157" s="0" t="s">
        <v>86</v>
      </c>
      <c r="F9157" s="38" t="n">
        <f aca="false">iss_2h26</f>
        <v>29.249999</v>
      </c>
      <c r="G9157" s="38" t="n">
        <f aca="false">Sens!$F$9157</f>
        <v>29.249999</v>
      </c>
      <c r="H9157" s="39" t="n">
        <v>0</v>
      </c>
      <c r="I9157" s="39" t="n">
        <v>0</v>
      </c>
      <c r="J9157" s="39" t="n">
        <v>0</v>
      </c>
      <c r="K9157" s="39" t="n">
        <v>0</v>
      </c>
      <c r="L9157" s="39" t="n">
        <v>0</v>
      </c>
      <c r="M9157" s="39" t="n">
        <v>0</v>
      </c>
    </row>
    <row r="9158" customFormat="false" ht="17.15" hidden="false" customHeight="false" outlineLevel="0" collapsed="false">
      <c r="A9158" s="5" t="s">
        <v>795</v>
      </c>
      <c r="B9158" s="0" t="s">
        <v>86</v>
      </c>
      <c r="F9158" s="38" t="n">
        <f aca="false">cash_q2</f>
        <v>122.988</v>
      </c>
      <c r="G9158" s="38" t="n">
        <f aca="false">cash_q2</f>
        <v>122.988</v>
      </c>
      <c r="H9158" s="38" t="n">
        <f aca="false">Sens!$G$9161</f>
        <v>90.2545859883928</v>
      </c>
      <c r="I9158" s="38" t="n">
        <f aca="false">Sens!$H$9161</f>
        <v>50</v>
      </c>
      <c r="J9158" s="38" t="n">
        <f aca="false">Sens!$I$9161</f>
        <v>50</v>
      </c>
      <c r="K9158" s="38" t="n">
        <f aca="false">Sens!$J$9161</f>
        <v>74.7544906752831</v>
      </c>
      <c r="L9158" s="38" t="n">
        <f aca="false">Sens!$K$9161</f>
        <v>196.106403878619</v>
      </c>
      <c r="M9158" s="38" t="n">
        <f aca="false">Sens!$L$9161</f>
        <v>375.934210518143</v>
      </c>
    </row>
    <row r="9159" customFormat="false" ht="15" hidden="false" customHeight="false" outlineLevel="0" collapsed="false">
      <c r="A9159" s="5" t="s">
        <v>796</v>
      </c>
      <c r="B9159" s="0" t="s">
        <v>86</v>
      </c>
      <c r="F9159" s="38" t="n">
        <f aca="false">Sens!$F$9158+Sens!$F$9155-Sens!$F$9154-Sens!$F$9156+Sens!$F$9157</f>
        <v>90.2545859883928</v>
      </c>
      <c r="H9159" s="38" t="n">
        <f aca="false">Sens!$H$9158+Sens!$H$9155-Sens!$H$9154-Sens!$H$9156+Sens!$H$9157</f>
        <v>36.2617213448915</v>
      </c>
      <c r="I9159" s="38" t="n">
        <f aca="false">Sens!$I$9158+Sens!$I$9155-Sens!$I$9154-Sens!$I$9156+Sens!$I$9157</f>
        <v>34.4548651921577</v>
      </c>
      <c r="J9159" s="38" t="n">
        <f aca="false">Sens!$J$9158+Sens!$J$9155-Sens!$J$9154-Sens!$J$9156+Sens!$J$9157</f>
        <v>74.7544906752831</v>
      </c>
      <c r="K9159" s="38" t="n">
        <f aca="false">Sens!$K$9158+Sens!$K$9155-Sens!$K$9154-Sens!$K$9156+Sens!$K$9157</f>
        <v>196.106403878619</v>
      </c>
      <c r="L9159" s="38" t="n">
        <f aca="false">Sens!$L$9158+Sens!$L$9155-Sens!$L$9154-Sens!$L$9156+Sens!$L$9157</f>
        <v>375.934210518143</v>
      </c>
      <c r="M9159" s="38" t="n">
        <f aca="false">Sens!$M$9158+Sens!$M$9155-Sens!$M$9154-Sens!$M$9156+Sens!$M$9157</f>
        <v>584.600353364743</v>
      </c>
    </row>
    <row r="9160" customFormat="false" ht="17.15" hidden="false" customHeight="false" outlineLevel="0" collapsed="false">
      <c r="A9160" s="5" t="s">
        <v>797</v>
      </c>
      <c r="B9160" s="0" t="s">
        <v>86</v>
      </c>
      <c r="F9160" s="38" t="n">
        <f aca="false">MAX(0,min_cash-Sens!$F$9159)</f>
        <v>0</v>
      </c>
      <c r="G9160" s="38" t="n">
        <f aca="false">Sens!$F$9160</f>
        <v>0</v>
      </c>
      <c r="H9160" s="38" t="n">
        <f aca="false">MAX(0,min_cash-Sens!$H$9159)</f>
        <v>13.7382786551085</v>
      </c>
      <c r="I9160" s="38" t="n">
        <f aca="false">MAX(0,min_cash-Sens!$I$9159)</f>
        <v>15.5451348078424</v>
      </c>
      <c r="J9160" s="38" t="n">
        <f aca="false">MAX(0,min_cash-Sens!$J$9159)</f>
        <v>0</v>
      </c>
      <c r="K9160" s="38" t="n">
        <f aca="false">MAX(0,min_cash-Sens!$K$9159)</f>
        <v>0</v>
      </c>
      <c r="L9160" s="38" t="n">
        <f aca="false">MAX(0,min_cash-Sens!$L$9159)</f>
        <v>0</v>
      </c>
      <c r="M9160" s="38" t="n">
        <f aca="false">MAX(0,min_cash-Sens!$M$9159)</f>
        <v>0</v>
      </c>
      <c r="P9160" s="5" t="s">
        <v>798</v>
      </c>
    </row>
    <row r="9161" customFormat="false" ht="15" hidden="false" customHeight="false" outlineLevel="0" collapsed="false">
      <c r="A9161" s="5" t="s">
        <v>799</v>
      </c>
      <c r="B9161" s="0" t="s">
        <v>86</v>
      </c>
      <c r="D9161" s="38" t="n">
        <f aca="false">Q!$E$61</f>
        <v>123.029</v>
      </c>
      <c r="E9161" s="38" t="n">
        <f aca="false">Q!$M$61</f>
        <v>122.988</v>
      </c>
      <c r="F9161" s="38" t="n">
        <f aca="false">Sens!$F$9159+Sens!$F$9160</f>
        <v>90.2545859883928</v>
      </c>
      <c r="G9161" s="38" t="n">
        <f aca="false">Sens!$F$9161</f>
        <v>90.2545859883928</v>
      </c>
      <c r="H9161" s="38" t="n">
        <f aca="false">Sens!$H$9159+Sens!$H$9160</f>
        <v>50</v>
      </c>
      <c r="I9161" s="38" t="n">
        <f aca="false">Sens!$I$9159+Sens!$I$9160</f>
        <v>50</v>
      </c>
      <c r="J9161" s="38" t="n">
        <f aca="false">Sens!$J$9159+Sens!$J$9160</f>
        <v>74.7544906752831</v>
      </c>
      <c r="K9161" s="38" t="n">
        <f aca="false">Sens!$K$9159+Sens!$K$9160</f>
        <v>196.106403878619</v>
      </c>
      <c r="L9161" s="38" t="n">
        <f aca="false">Sens!$L$9159+Sens!$L$9160</f>
        <v>375.934210518143</v>
      </c>
      <c r="M9161" s="38" t="n">
        <f aca="false">Sens!$M$9159+Sens!$M$9160</f>
        <v>584.600353364743</v>
      </c>
    </row>
    <row r="9162" customFormat="false" ht="15" hidden="false" customHeight="false" outlineLevel="0" collapsed="false">
      <c r="A9162" s="5" t="s">
        <v>800</v>
      </c>
      <c r="B9162" s="0" t="s">
        <v>86</v>
      </c>
      <c r="D9162" s="38" t="n">
        <f aca="false">Q!$E$62</f>
        <v>68.836</v>
      </c>
      <c r="E9162" s="38" t="n">
        <f aca="false">Q!$M$62</f>
        <v>132.995</v>
      </c>
      <c r="F9162" s="38" t="n">
        <f aca="false">debt_q2+Sens!$F$9157+Sens!$F$9160</f>
        <v>162.244999</v>
      </c>
      <c r="G9162" s="38" t="n">
        <f aca="false">Sens!$F$9162</f>
        <v>162.244999</v>
      </c>
      <c r="H9162" s="38" t="n">
        <f aca="false">Sens!$G$9162+Sens!$H$9160</f>
        <v>175.983277655109</v>
      </c>
      <c r="I9162" s="38" t="n">
        <f aca="false">Sens!$H$9162+Sens!$I$9160</f>
        <v>191.528412462951</v>
      </c>
      <c r="J9162" s="38" t="n">
        <f aca="false">Sens!$I$9162+Sens!$J$9160</f>
        <v>191.528412462951</v>
      </c>
      <c r="K9162" s="38" t="n">
        <f aca="false">Sens!$J$9162+Sens!$K$9160</f>
        <v>191.528412462951</v>
      </c>
      <c r="L9162" s="38" t="n">
        <f aca="false">Sens!$K$9162+Sens!$L$9160</f>
        <v>191.528412462951</v>
      </c>
      <c r="M9162" s="38" t="n">
        <f aca="false">Sens!$L$9162+Sens!$M$9160</f>
        <v>191.528412462951</v>
      </c>
    </row>
    <row r="9163" customFormat="false" ht="15" hidden="false" customHeight="false" outlineLevel="0" collapsed="false">
      <c r="A9163" s="5" t="s">
        <v>801</v>
      </c>
      <c r="B9163" s="0" t="s">
        <v>86</v>
      </c>
      <c r="D9163" s="38" t="n">
        <f aca="false">Sens!$D$9162-Sens!$D$9161</f>
        <v>-54.193</v>
      </c>
      <c r="E9163" s="38" t="n">
        <f aca="false">Sens!$E$9162-Sens!$E$9161</f>
        <v>10.007</v>
      </c>
      <c r="F9163" s="38" t="n">
        <f aca="false">Sens!$F$9162-Sens!$F$9161</f>
        <v>71.9904130116072</v>
      </c>
      <c r="G9163" s="38" t="n">
        <f aca="false">Sens!$G$9162-Sens!$G$9161</f>
        <v>71.9904130116072</v>
      </c>
      <c r="H9163" s="38" t="n">
        <f aca="false">Sens!$H$9162-Sens!$H$9161</f>
        <v>125.983277655109</v>
      </c>
      <c r="I9163" s="38" t="n">
        <f aca="false">Sens!$I$9162-Sens!$I$9161</f>
        <v>141.528412462951</v>
      </c>
      <c r="J9163" s="38" t="n">
        <f aca="false">Sens!$J$9162-Sens!$J$9161</f>
        <v>116.773921787668</v>
      </c>
      <c r="K9163" s="38" t="n">
        <f aca="false">Sens!$K$9162-Sens!$K$9161</f>
        <v>-4.57799141566841</v>
      </c>
      <c r="L9163" s="38" t="n">
        <f aca="false">Sens!$L$9162-Sens!$L$9161</f>
        <v>-184.405798055192</v>
      </c>
      <c r="M9163" s="38" t="n">
        <f aca="false">Sens!$M$9162-Sens!$M$9161</f>
        <v>-393.071940901792</v>
      </c>
    </row>
    <row r="9164" customFormat="false" ht="17.15" hidden="false" customHeight="false" outlineLevel="0" collapsed="false">
      <c r="A9164" s="5" t="s">
        <v>802</v>
      </c>
      <c r="B9164" s="0" t="s">
        <v>86</v>
      </c>
      <c r="F9164" s="38" t="n">
        <f aca="false">debt_q2*kd_book*0.5+iss_2h26*kd_new*iss_t</f>
        <v>3.24888962733561</v>
      </c>
      <c r="H9164" s="38" t="n">
        <f aca="false">debt_q2*kd_book+(Sens!$G$9162-debt_q2)*kd_new</f>
        <v>7.42354172302123</v>
      </c>
      <c r="I9164" s="38" t="n">
        <f aca="false">debt_q2*kd_book+(Sens!$H$9162-debt_q2)*kd_new</f>
        <v>8.2931747618896</v>
      </c>
      <c r="J9164" s="38" t="n">
        <f aca="false">debt_q2*kd_book+(Sens!$I$9162-debt_q2)*kd_new</f>
        <v>9.27718179522602</v>
      </c>
      <c r="K9164" s="38" t="n">
        <f aca="false">debt_q2*kd_book+(Sens!$J$9162-debt_q2)*kd_new</f>
        <v>9.27718179522602</v>
      </c>
      <c r="L9164" s="38" t="n">
        <f aca="false">debt_q2*kd_book+(Sens!$K$9162-debt_q2)*kd_new</f>
        <v>9.27718179522602</v>
      </c>
      <c r="M9164" s="38" t="n">
        <f aca="false">debt_q2*kd_book+(Sens!$L$9162-debt_q2)*kd_new</f>
        <v>9.27718179522602</v>
      </c>
    </row>
    <row r="9165" customFormat="false" ht="17.15" hidden="false" customHeight="false" outlineLevel="0" collapsed="false">
      <c r="A9165" s="5" t="s">
        <v>803</v>
      </c>
      <c r="B9165" s="0" t="s">
        <v>86</v>
      </c>
      <c r="F9165" s="38" t="n">
        <f aca="false">cash_q2*y_cash*0.5</f>
        <v>2.59</v>
      </c>
      <c r="H9165" s="38" t="n">
        <f aca="false">Sens!$G$9161*y_cash</f>
        <v>3.80133635330174</v>
      </c>
      <c r="I9165" s="38" t="n">
        <f aca="false">Sens!$H$9161*y_cash</f>
        <v>2.10589651022864</v>
      </c>
      <c r="J9165" s="38" t="n">
        <f aca="false">Sens!$I$9161*y_cash</f>
        <v>2.10589651022864</v>
      </c>
      <c r="K9165" s="38" t="n">
        <f aca="false">Sens!$J$9161*y_cash</f>
        <v>3.14850442073996</v>
      </c>
      <c r="L9165" s="38" t="n">
        <f aca="false">Sens!$K$9161*y_cash</f>
        <v>8.25959583122945</v>
      </c>
      <c r="M9165" s="38" t="n">
        <f aca="false">Sens!$L$9161*y_cash</f>
        <v>15.8335708401143</v>
      </c>
    </row>
    <row r="9166" customFormat="false" ht="17.15" hidden="false" customHeight="false" outlineLevel="0" collapsed="false">
      <c r="A9166" s="47" t="s">
        <v>804</v>
      </c>
      <c r="B9166" s="14" t="s">
        <v>86</v>
      </c>
      <c r="C9166" s="14"/>
      <c r="D9166" s="14"/>
      <c r="E9166" s="14"/>
      <c r="F9166" s="14"/>
      <c r="G9166" s="48" t="n">
        <f aca="false">SUM(Sens!$G$9155:$K$9155)</f>
        <v>10.1939914156684</v>
      </c>
      <c r="H9166" s="14"/>
      <c r="I9166" s="14"/>
      <c r="J9166" s="14"/>
      <c r="K9166" s="14"/>
      <c r="L9166" s="14"/>
      <c r="M9166" s="14"/>
      <c r="N9166" s="14"/>
      <c r="O9166" s="14"/>
    </row>
    <row r="9167" customFormat="false" ht="17.15" hidden="false" customHeight="false" outlineLevel="0" collapsed="false">
      <c r="A9167" s="0" t="s">
        <v>770</v>
      </c>
      <c r="B9167" s="0" t="s">
        <v>86</v>
      </c>
      <c r="G9167" s="38" t="n">
        <f aca="false">SUM(Sens!$G$9160:$K$9160)</f>
        <v>29.2834134629509</v>
      </c>
    </row>
    <row r="9168" customFormat="false" ht="17.15" hidden="false" customHeight="false" outlineLevel="0" collapsed="false">
      <c r="A9168" s="24" t="s">
        <v>807</v>
      </c>
      <c r="B9168" s="25" t="s">
        <v>86</v>
      </c>
      <c r="C9168" s="25"/>
      <c r="D9168" s="25"/>
      <c r="E9168" s="25"/>
      <c r="F9168" s="25"/>
      <c r="G9168" s="41" t="n">
        <f aca="false">Sens!$G$9166-(Sens!$G$9155+Sens!$H$9155+Sens!$I$9155+Sens!$J$9155+Sens!$K$9155)</f>
        <v>0</v>
      </c>
      <c r="H9168" s="25"/>
      <c r="I9168" s="25"/>
      <c r="J9168" s="25"/>
      <c r="K9168" s="25"/>
      <c r="L9168" s="25"/>
      <c r="M9168" s="25"/>
      <c r="N9168" s="25"/>
      <c r="O9168" s="25"/>
    </row>
    <row r="9171" customFormat="false" ht="19.4" hidden="false" customHeight="false" outlineLevel="0" collapsed="false">
      <c r="A9171" s="31" t="s">
        <v>1316</v>
      </c>
    </row>
    <row r="9172" customFormat="false" ht="17.15" hidden="false" customHeight="false" outlineLevel="0" collapsed="false">
      <c r="A9172" s="6" t="s">
        <v>16</v>
      </c>
      <c r="B9172" s="6" t="s">
        <v>17</v>
      </c>
      <c r="C9172" s="20" t="s">
        <v>494</v>
      </c>
      <c r="D9172" s="20" t="s">
        <v>495</v>
      </c>
      <c r="E9172" s="20" t="s">
        <v>577</v>
      </c>
      <c r="F9172" s="20" t="s">
        <v>578</v>
      </c>
      <c r="G9172" s="20" t="s">
        <v>579</v>
      </c>
      <c r="H9172" s="20" t="s">
        <v>580</v>
      </c>
      <c r="I9172" s="20" t="s">
        <v>581</v>
      </c>
      <c r="J9172" s="20" t="s">
        <v>582</v>
      </c>
      <c r="K9172" s="20" t="s">
        <v>583</v>
      </c>
      <c r="L9172" s="20" t="s">
        <v>584</v>
      </c>
      <c r="M9172" s="20" t="s">
        <v>585</v>
      </c>
      <c r="N9172" s="20" t="s">
        <v>586</v>
      </c>
      <c r="O9172" s="20" t="s">
        <v>587</v>
      </c>
      <c r="P9172" s="6" t="s">
        <v>23</v>
      </c>
      <c r="R9172" s="20" t="n">
        <v>2023</v>
      </c>
      <c r="S9172" s="20" t="n">
        <v>2024</v>
      </c>
      <c r="T9172" s="20" t="n">
        <v>2025</v>
      </c>
      <c r="U9172" s="20" t="n">
        <v>2026</v>
      </c>
      <c r="V9172" s="20" t="n">
        <v>2027</v>
      </c>
      <c r="W9172" s="20" t="n">
        <v>2028</v>
      </c>
      <c r="X9172" s="20" t="n">
        <v>2029</v>
      </c>
      <c r="Y9172" s="20" t="n">
        <v>2030</v>
      </c>
      <c r="Z9172" s="20" t="n">
        <v>2031</v>
      </c>
      <c r="AA9172" s="20" t="n">
        <v>2032</v>
      </c>
    </row>
    <row r="9173" customFormat="false" ht="17.15" hidden="false" customHeight="false" outlineLevel="0" collapsed="false">
      <c r="A9173" s="1" t="s">
        <v>909</v>
      </c>
    </row>
    <row r="9174" customFormat="false" ht="17.15" hidden="false" customHeight="false" outlineLevel="0" collapsed="false">
      <c r="A9174" s="0" t="s">
        <v>910</v>
      </c>
      <c r="B9174" s="0" t="s">
        <v>86</v>
      </c>
      <c r="H9174" s="38" t="n">
        <f aca="false">Sens!$H$9108*(1-tax)</f>
        <v>117.433243423729</v>
      </c>
      <c r="I9174" s="38" t="n">
        <f aca="false">Sens!$I$9108*(1-tax)</f>
        <v>142.829109667048</v>
      </c>
      <c r="J9174" s="38" t="n">
        <f aca="false">Sens!$J$9108*(1-tax)</f>
        <v>166.999275189185</v>
      </c>
      <c r="K9174" s="38" t="n">
        <f aca="false">Sens!$K$9108*(1-tax)</f>
        <v>184.249088119477</v>
      </c>
      <c r="L9174" s="38" t="n">
        <f aca="false">Sens!$L$9108*(1-tax)</f>
        <v>199.752821326616</v>
      </c>
      <c r="M9174" s="38" t="n">
        <f aca="false">Sens!$M$9108*(1-tax)</f>
        <v>212.59629763103</v>
      </c>
    </row>
    <row r="9175" customFormat="false" ht="15" hidden="false" customHeight="false" outlineLevel="0" collapsed="false">
      <c r="A9175" s="5" t="s">
        <v>911</v>
      </c>
      <c r="B9175" s="0" t="s">
        <v>86</v>
      </c>
      <c r="H9175" s="38" t="n">
        <f aca="false">Sens!$H$9119</f>
        <v>84.3163410985152</v>
      </c>
      <c r="I9175" s="38" t="n">
        <f aca="false">Sens!$I$9119</f>
        <v>117.040344991004</v>
      </c>
      <c r="J9175" s="38" t="n">
        <f aca="false">Sens!$J$9119</f>
        <v>150.498981474685</v>
      </c>
      <c r="K9175" s="38" t="n">
        <f aca="false">Sens!$K$9119</f>
        <v>184.188121970284</v>
      </c>
      <c r="L9175" s="38" t="n">
        <f aca="false">Sens!$L$9119</f>
        <v>207.768718060808</v>
      </c>
      <c r="M9175" s="38" t="n">
        <f aca="false">Sens!$M$9119</f>
        <v>224.003934647752</v>
      </c>
    </row>
    <row r="9176" customFormat="false" ht="15" hidden="false" customHeight="false" outlineLevel="0" collapsed="false">
      <c r="A9176" s="5" t="s">
        <v>912</v>
      </c>
      <c r="B9176" s="0" t="s">
        <v>86</v>
      </c>
      <c r="H9176" s="38" t="n">
        <f aca="false">Sens!$H$9150</f>
        <v>273.372679834898</v>
      </c>
      <c r="I9176" s="38" t="n">
        <f aca="false">Sens!$I$9150</f>
        <v>286.981812228425</v>
      </c>
      <c r="J9176" s="38" t="n">
        <f aca="false">Sens!$J$9150</f>
        <v>299.316513378366</v>
      </c>
      <c r="K9176" s="38" t="n">
        <f aca="false">Sens!$K$9150</f>
        <v>251.057145512292</v>
      </c>
      <c r="L9176" s="38" t="n">
        <f aca="false">Sens!$L$9150</f>
        <v>234.696330860396</v>
      </c>
      <c r="M9176" s="38" t="n">
        <f aca="false">Sens!$M$9150</f>
        <v>242.291696043352</v>
      </c>
    </row>
    <row r="9177" customFormat="false" ht="15" hidden="false" customHeight="false" outlineLevel="0" collapsed="false">
      <c r="A9177" s="5" t="s">
        <v>913</v>
      </c>
      <c r="B9177" s="0" t="s">
        <v>86</v>
      </c>
      <c r="H9177" s="38" t="n">
        <f aca="false">Sens!$H$9151</f>
        <v>1.6</v>
      </c>
      <c r="I9177" s="38" t="n">
        <f aca="false">Sens!$I$9151</f>
        <v>1.6</v>
      </c>
      <c r="J9177" s="38" t="n">
        <f aca="false">Sens!$J$9151</f>
        <v>1.6</v>
      </c>
      <c r="K9177" s="38" t="n">
        <f aca="false">Sens!$K$9151</f>
        <v>1.6</v>
      </c>
      <c r="L9177" s="38" t="n">
        <f aca="false">Sens!$L$9151</f>
        <v>1.6</v>
      </c>
      <c r="M9177" s="38" t="n">
        <f aca="false">Sens!$M$9151</f>
        <v>1.6</v>
      </c>
    </row>
    <row r="9178" customFormat="false" ht="15" hidden="false" customHeight="false" outlineLevel="0" collapsed="false">
      <c r="A9178" s="5" t="s">
        <v>914</v>
      </c>
      <c r="B9178" s="0" t="s">
        <v>86</v>
      </c>
      <c r="H9178" s="38" t="n">
        <f aca="false">Sens!$H$9145</f>
        <v>11.2928295263397</v>
      </c>
      <c r="I9178" s="38" t="n">
        <f aca="false">Sens!$I$9145</f>
        <v>12.8091546115766</v>
      </c>
      <c r="J9178" s="38" t="n">
        <f aca="false">Sens!$J$9145</f>
        <v>14.2605653162668</v>
      </c>
      <c r="K9178" s="38" t="n">
        <f aca="false">Sens!$K$9145</f>
        <v>15.5327622460396</v>
      </c>
      <c r="L9178" s="38" t="n">
        <f aca="false">Sens!$L$9145</f>
        <v>16.720573737517</v>
      </c>
      <c r="M9178" s="38" t="n">
        <f aca="false">Sens!$M$9145</f>
        <v>17.8283127551536</v>
      </c>
    </row>
    <row r="9179" customFormat="false" ht="17.15" hidden="false" customHeight="false" outlineLevel="0" collapsed="false">
      <c r="A9179" s="1" t="s">
        <v>915</v>
      </c>
      <c r="B9179" s="8" t="s">
        <v>86</v>
      </c>
      <c r="H9179" s="38" t="n">
        <f aca="false">Sens!$H$9174+Sens!$H$9175-Sens!$H$9176-Sens!$H$9177+Sens!$H$9178</f>
        <v>-61.930265786314</v>
      </c>
      <c r="I9179" s="38" t="n">
        <f aca="false">Sens!$I$9174+Sens!$I$9175-Sens!$I$9176-Sens!$I$9177+Sens!$I$9178</f>
        <v>-15.9032029587969</v>
      </c>
      <c r="J9179" s="38" t="n">
        <f aca="false">Sens!$J$9174+Sens!$J$9175-Sens!$J$9176-Sens!$J$9177+Sens!$J$9178</f>
        <v>30.8423086017711</v>
      </c>
      <c r="K9179" s="38" t="n">
        <f aca="false">Sens!$K$9174+Sens!$K$9175-Sens!$K$9176-Sens!$K$9177+Sens!$K$9178</f>
        <v>131.312826823508</v>
      </c>
      <c r="L9179" s="38" t="n">
        <f aca="false">Sens!$L$9174+Sens!$L$9175-Sens!$L$9176-Sens!$L$9177+Sens!$L$9178</f>
        <v>187.945782264545</v>
      </c>
      <c r="M9179" s="38" t="n">
        <f aca="false">Sens!$M$9174+Sens!$M$9175-Sens!$M$9176-Sens!$M$9177+Sens!$M$9178</f>
        <v>210.536848990583</v>
      </c>
    </row>
    <row r="9180" customFormat="false" ht="15" hidden="false" customHeight="false" outlineLevel="0" collapsed="false">
      <c r="A9180" s="5" t="s">
        <v>916</v>
      </c>
      <c r="B9180" s="0" t="s">
        <v>57</v>
      </c>
      <c r="H9180" s="40" t="n">
        <f aca="false">1/(1+wacc)^(2027-2026-0.5)</f>
        <v>0.947751320380232</v>
      </c>
      <c r="I9180" s="40" t="n">
        <f aca="false">1/(1+wacc)^(2028-2026-0.5)</f>
        <v>0.851301099754987</v>
      </c>
      <c r="J9180" s="40" t="n">
        <f aca="false">1/(1+wacc)^(2029-2026-0.5)</f>
        <v>0.764666370660713</v>
      </c>
      <c r="K9180" s="40" t="n">
        <f aca="false">1/(1+wacc)^(2030-2026-0.5)</f>
        <v>0.686848235703811</v>
      </c>
      <c r="L9180" s="40" t="n">
        <f aca="false">1/(1+wacc)^(2031-2026-0.5)</f>
        <v>0.616949452715975</v>
      </c>
      <c r="M9180" s="40" t="n">
        <f aca="false">1/(1+wacc)^(2032-2026-0.5)</f>
        <v>0.554164089562688</v>
      </c>
    </row>
    <row r="9181" customFormat="false" ht="15" hidden="false" customHeight="false" outlineLevel="0" collapsed="false">
      <c r="A9181" s="5" t="s">
        <v>917</v>
      </c>
      <c r="B9181" s="0" t="s">
        <v>86</v>
      </c>
      <c r="H9181" s="38" t="n">
        <f aca="false">Sens!$H$9179*Sens!$H$9180</f>
        <v>-58.6944911704778</v>
      </c>
      <c r="I9181" s="38" t="n">
        <f aca="false">Sens!$I$9179*Sens!$I$9180</f>
        <v>-13.5384141684505</v>
      </c>
      <c r="J9181" s="38" t="n">
        <f aca="false">Sens!$J$9179*Sens!$J$9180</f>
        <v>23.584076181314</v>
      </c>
      <c r="K9181" s="38" t="n">
        <f aca="false">Sens!$K$9179*Sens!$K$9180</f>
        <v>90.1919834290062</v>
      </c>
      <c r="L9181" s="38" t="n">
        <f aca="false">Sens!$L$9179*Sens!$L$9180</f>
        <v>115.953047508387</v>
      </c>
      <c r="M9181" s="38" t="n">
        <f aca="false">Sens!$M$9179*Sens!$M$9180</f>
        <v>116.671961240264</v>
      </c>
    </row>
    <row r="9182" customFormat="false" ht="15" hidden="false" customHeight="false" outlineLevel="0" collapsed="false">
      <c r="A9182" s="5" t="s">
        <v>918</v>
      </c>
      <c r="B9182" s="0" t="s">
        <v>86</v>
      </c>
      <c r="C9182" s="38" t="n">
        <f aca="false">SUM(Sens!$H$9181:$M$9181)</f>
        <v>274.168163020043</v>
      </c>
    </row>
    <row r="9183" customFormat="false" ht="17.15" hidden="false" customHeight="false" outlineLevel="0" collapsed="false">
      <c r="A9183" s="5" t="s">
        <v>919</v>
      </c>
      <c r="B9183" s="0" t="s">
        <v>86</v>
      </c>
      <c r="C9183" s="38" t="n">
        <f aca="false">Sens!$M$9174*(1+tg)*(1-tg/ronic)/(wacc-tg)</f>
        <v>1932.73757828664</v>
      </c>
    </row>
    <row r="9184" customFormat="false" ht="15" hidden="false" customHeight="false" outlineLevel="0" collapsed="false">
      <c r="A9184" s="5" t="s">
        <v>920</v>
      </c>
      <c r="B9184" s="0" t="s">
        <v>86</v>
      </c>
      <c r="C9184" s="38" t="n">
        <f aca="false">Sens!$C$9183/(1+wacc)^6</f>
        <v>1015.09261565031</v>
      </c>
    </row>
    <row r="9185" customFormat="false" ht="17.15" hidden="false" customHeight="false" outlineLevel="0" collapsed="false">
      <c r="A9185" s="5" t="s">
        <v>921</v>
      </c>
      <c r="B9185" s="0" t="s">
        <v>86</v>
      </c>
      <c r="C9185" s="38" t="n">
        <f aca="false">Sens!$C$9182+Sens!$C$9184</f>
        <v>1289.26077867035</v>
      </c>
    </row>
    <row r="9186" customFormat="false" ht="17.15" hidden="false" customHeight="false" outlineLevel="0" collapsed="false">
      <c r="A9186" s="5" t="s">
        <v>922</v>
      </c>
      <c r="B9186" s="0" t="s">
        <v>52</v>
      </c>
      <c r="C9186" s="13" t="n">
        <f aca="false">Sens!$C$9184/Sens!$C$9185</f>
        <v>0.787344680334726</v>
      </c>
    </row>
    <row r="9187" customFormat="false" ht="17.15" hidden="false" customHeight="false" outlineLevel="0" collapsed="false">
      <c r="A9187" s="5" t="s">
        <v>923</v>
      </c>
      <c r="B9187" s="0" t="s">
        <v>86</v>
      </c>
      <c r="C9187" s="38" t="n">
        <f aca="false">Sens!$G$9163+fin_debt</f>
        <v>96.5114130116072</v>
      </c>
    </row>
    <row r="9188" customFormat="false" ht="17.15" hidden="false" customHeight="false" outlineLevel="0" collapsed="false">
      <c r="A9188" s="5" t="s">
        <v>924</v>
      </c>
      <c r="B9188" s="0" t="s">
        <v>86</v>
      </c>
      <c r="C9188" s="38" t="n">
        <f aca="false">(ant_val*ant_sh+oai_val*oai_sh)*(1-liq_disc)</f>
        <v>178.944</v>
      </c>
    </row>
    <row r="9189" customFormat="false" ht="15" hidden="false" customHeight="false" outlineLevel="0" collapsed="false">
      <c r="A9189" s="5" t="s">
        <v>925</v>
      </c>
      <c r="B9189" s="0" t="s">
        <v>86</v>
      </c>
      <c r="C9189" s="38" t="n">
        <f aca="false">Sens!$C$9185-Sens!$C$9187+Sens!$C$9188</f>
        <v>1371.69336565874</v>
      </c>
    </row>
    <row r="9190" customFormat="false" ht="17.15" hidden="false" customHeight="false" outlineLevel="0" collapsed="false">
      <c r="A9190" s="5" t="s">
        <v>926</v>
      </c>
      <c r="B9190" s="0" t="s">
        <v>27</v>
      </c>
      <c r="C9190" s="30" t="n">
        <f aca="false">Sens!$C$9189/sh_out</f>
        <v>127.169797361614</v>
      </c>
    </row>
    <row r="9191" customFormat="false" ht="17.15" hidden="false" customHeight="false" outlineLevel="0" collapsed="false">
      <c r="A9191" s="1" t="s">
        <v>927</v>
      </c>
      <c r="B9191" s="8" t="s">
        <v>27</v>
      </c>
      <c r="C9191" s="30" t="n">
        <f aca="false">Sens!$C$9190*(1+ke)^tp_yf-dps*tp_yf</f>
        <v>139.297834242404</v>
      </c>
    </row>
    <row r="9192" customFormat="false" ht="17.15" hidden="false" customHeight="false" outlineLevel="0" collapsed="false">
      <c r="A9192" s="3" t="s">
        <v>928</v>
      </c>
    </row>
    <row r="9193" customFormat="false" ht="17.15" hidden="false" customHeight="false" outlineLevel="0" collapsed="false">
      <c r="A9193" s="5" t="s">
        <v>929</v>
      </c>
      <c r="B9193" s="0" t="s">
        <v>86</v>
      </c>
      <c r="C9193" s="38" t="n">
        <f aca="false">(1-tp_yf)*(Sens!$H$9120+Sens!$H$9144*Sens!$H$8986/Sens!$H$9061)+tp_yf*(Sens!$I$9120+Sens!$I$9144*Sens!$I$8986/Sens!$I$9061)</f>
        <v>59.634664536349</v>
      </c>
    </row>
    <row r="9194" customFormat="false" ht="15" hidden="false" customHeight="false" outlineLevel="0" collapsed="false">
      <c r="A9194" s="5" t="s">
        <v>930</v>
      </c>
      <c r="B9194" s="0" t="s">
        <v>57</v>
      </c>
      <c r="C9194" s="30" t="n">
        <f aca="false">m_ads*m_x</f>
        <v>9.11</v>
      </c>
    </row>
    <row r="9195" customFormat="false" ht="17.15" hidden="false" customHeight="false" outlineLevel="0" collapsed="false">
      <c r="A9195" s="5" t="s">
        <v>931</v>
      </c>
      <c r="B9195" s="0" t="s">
        <v>86</v>
      </c>
      <c r="C9195" s="38" t="n">
        <f aca="false">Sens!$C$9193*Sens!$C$9194</f>
        <v>543.271793926139</v>
      </c>
    </row>
    <row r="9196" customFormat="false" ht="17.15" hidden="false" customHeight="false" outlineLevel="0" collapsed="false">
      <c r="A9196" s="5" t="s">
        <v>932</v>
      </c>
      <c r="B9196" s="0" t="s">
        <v>86</v>
      </c>
      <c r="C9196" s="38" t="n">
        <f aca="false">(1-tp_yf)*(Sens!$H$9121+Sens!$H$9144*(Sens!$H$8993-Sens!$H$8986)/Sens!$H$9061+IF(internal_ai_reading=2,1,0)*(1-ext_sh)*Sens!$H$9023)+tp_yf*(Sens!$I$9121+Sens!$I$9144*(Sens!$I$8993-Sens!$I$8986)/Sens!$I$9061+IF(internal_ai_reading=2,1,0)*(1-ext_sh)*Sens!$I$9023)</f>
        <v>51.7770728324773</v>
      </c>
    </row>
    <row r="9197" customFormat="false" ht="17.15" hidden="false" customHeight="false" outlineLevel="0" collapsed="false">
      <c r="A9197" s="5" t="s">
        <v>933</v>
      </c>
      <c r="B9197" s="0" t="s">
        <v>57</v>
      </c>
      <c r="C9197" s="30" t="n">
        <f aca="false">m_retail*m_x</f>
        <v>17.72</v>
      </c>
    </row>
    <row r="9198" customFormat="false" ht="17.15" hidden="false" customHeight="false" outlineLevel="0" collapsed="false">
      <c r="A9198" s="5" t="s">
        <v>934</v>
      </c>
      <c r="B9198" s="0" t="s">
        <v>86</v>
      </c>
      <c r="C9198" s="38" t="n">
        <f aca="false">Sens!$C$9196*Sens!$C$9197</f>
        <v>917.489730591498</v>
      </c>
    </row>
    <row r="9199" customFormat="false" ht="17.15" hidden="false" customHeight="false" outlineLevel="0" collapsed="false">
      <c r="A9199" s="0" t="s">
        <v>935</v>
      </c>
      <c r="B9199" s="0" t="s">
        <v>86</v>
      </c>
      <c r="C9199" s="38" t="n">
        <f aca="false">(1-tp_yf)*(Sens!$H$9122+Sens!$H$9144*Sens!$H$9059/Sens!$H$9061)+tp_yf*(Sens!$I$9122+Sens!$I$9144*Sens!$I$9059/Sens!$I$9061)</f>
        <v>97.3363031479074</v>
      </c>
    </row>
    <row r="9200" customFormat="false" ht="17.15" hidden="false" customHeight="false" outlineLevel="0" collapsed="false">
      <c r="A9200" s="0" t="s">
        <v>936</v>
      </c>
      <c r="B9200" s="0" t="s">
        <v>57</v>
      </c>
      <c r="C9200" s="30" t="n">
        <f aca="false">m_cloud*m_x</f>
        <v>13.82</v>
      </c>
    </row>
    <row r="9201" customFormat="false" ht="17.15" hidden="false" customHeight="false" outlineLevel="0" collapsed="false">
      <c r="A9201" s="0" t="s">
        <v>937</v>
      </c>
      <c r="B9201" s="0" t="s">
        <v>86</v>
      </c>
      <c r="C9201" s="38" t="n">
        <f aca="false">Sens!$C$9199*Sens!$C$9200</f>
        <v>1345.18770950408</v>
      </c>
    </row>
    <row r="9202" customFormat="false" ht="17.15" hidden="false" customHeight="false" outlineLevel="0" collapsed="false">
      <c r="A9202" s="0" t="s">
        <v>938</v>
      </c>
      <c r="B9202" s="0" t="s">
        <v>86</v>
      </c>
      <c r="H9202" s="38" t="n">
        <f aca="false">Sens!$H$9040-tax*Sens!$H$9041-ext_sh*Sens!$H$9030</f>
        <v>-114.686944664267</v>
      </c>
      <c r="I9202" s="38" t="n">
        <f aca="false">Sens!$I$9040-tax*Sens!$I$9041-ext_sh*Sens!$I$9030</f>
        <v>-88.3950641557111</v>
      </c>
      <c r="J9202" s="38" t="n">
        <f aca="false">Sens!$J$9040-tax*Sens!$J$9041-ext_sh*Sens!$J$9030</f>
        <v>-61.1526151740695</v>
      </c>
      <c r="K9202" s="38" t="n">
        <f aca="false">Sens!$K$9040-tax*Sens!$K$9041-ext_sh*Sens!$K$9030</f>
        <v>10.057774712684</v>
      </c>
      <c r="L9202" s="38" t="n">
        <f aca="false">Sens!$L$9040-tax*Sens!$L$9041-ext_sh*Sens!$L$9030</f>
        <v>46.6587675560356</v>
      </c>
      <c r="M9202" s="38" t="n">
        <f aca="false">Sens!$M$9040-tax*Sens!$M$9041-ext_sh*Sens!$M$9030</f>
        <v>55.3915455321129</v>
      </c>
    </row>
    <row r="9203" customFormat="false" ht="17.15" hidden="false" customHeight="false" outlineLevel="0" collapsed="false">
      <c r="A9203" s="5" t="s">
        <v>939</v>
      </c>
      <c r="B9203" s="0" t="s">
        <v>86</v>
      </c>
      <c r="H9203" s="38" t="n">
        <f aca="false">Sens!$H$9202*Sens!$H$9180</f>
        <v>-108.694703235934</v>
      </c>
      <c r="I9203" s="38" t="n">
        <f aca="false">Sens!$I$9202*Sens!$I$9180</f>
        <v>-75.2508153286695</v>
      </c>
      <c r="J9203" s="38" t="n">
        <f aca="false">Sens!$J$9202*Sens!$J$9180</f>
        <v>-46.761348301567</v>
      </c>
      <c r="K9203" s="38" t="n">
        <f aca="false">Sens!$K$9202*Sens!$K$9180</f>
        <v>6.90816481651338</v>
      </c>
      <c r="L9203" s="38" t="n">
        <f aca="false">Sens!$L$9202*Sens!$L$9180</f>
        <v>28.7861011080981</v>
      </c>
      <c r="M9203" s="38" t="n">
        <f aca="false">Sens!$M$9202*Sens!$M$9180</f>
        <v>30.6960053992735</v>
      </c>
    </row>
    <row r="9204" customFormat="false" ht="17.15" hidden="false" customHeight="false" outlineLevel="0" collapsed="false">
      <c r="A9204" s="5" t="s">
        <v>940</v>
      </c>
      <c r="B9204" s="0" t="s">
        <v>86</v>
      </c>
      <c r="C9204" s="38" t="n">
        <f aca="false">Sens!$M$9041*(1-tax)*(1+tg)*(1-tg/ronic)/(wacc-tg)</f>
        <v>363.621782500497</v>
      </c>
    </row>
    <row r="9205" customFormat="false" ht="17.15" hidden="false" customHeight="false" outlineLevel="0" collapsed="false">
      <c r="A9205" s="0" t="s">
        <v>941</v>
      </c>
      <c r="B9205" s="0" t="s">
        <v>86</v>
      </c>
      <c r="C9205" s="38" t="n">
        <f aca="false">(SUM(Sens!$H$9203:$M$9203)+Sens!$C$9204/(1+wacc)^6)*(1+wacc)^tp_yf</f>
        <v>29.1198269558345</v>
      </c>
    </row>
    <row r="9206" customFormat="false" ht="17.15" hidden="false" customHeight="false" outlineLevel="0" collapsed="false">
      <c r="A9206" s="5" t="s">
        <v>942</v>
      </c>
      <c r="B9206" s="0" t="s">
        <v>86</v>
      </c>
      <c r="C9206" s="38" t="n">
        <f aca="false">(1-tp_yf)*(Sens!$H$9123)+tp_yf*(Sens!$I$9123)</f>
        <v>74.6707041238437</v>
      </c>
    </row>
    <row r="9207" customFormat="false" ht="17.15" hidden="false" customHeight="false" outlineLevel="0" collapsed="false">
      <c r="A9207" s="5" t="s">
        <v>943</v>
      </c>
      <c r="B9207" s="0" t="s">
        <v>86</v>
      </c>
      <c r="C9207" s="38" t="n">
        <f aca="false">Sens!$C$9206*m_ai</f>
        <v>448.024224743062</v>
      </c>
    </row>
    <row r="9208" customFormat="false" ht="17.15" hidden="false" customHeight="false" outlineLevel="0" collapsed="false">
      <c r="A9208" s="0" t="s">
        <v>944</v>
      </c>
      <c r="B9208" s="0" t="s">
        <v>86</v>
      </c>
      <c r="C9208" s="38" t="n">
        <f aca="false">IF(ai_leg=1,Sens!$C$9205,Sens!$C$9207)</f>
        <v>29.1198269558345</v>
      </c>
    </row>
    <row r="9209" customFormat="false" ht="17.15" hidden="false" customHeight="false" outlineLevel="0" collapsed="false">
      <c r="A9209" s="5" t="s">
        <v>945</v>
      </c>
      <c r="B9209" s="0" t="s">
        <v>86</v>
      </c>
      <c r="C9209" s="38" t="n">
        <f aca="false">Sens!$C$9195+Sens!$C$9198+Sens!$C$9201+Sens!$C$9208</f>
        <v>2835.06906097755</v>
      </c>
    </row>
    <row r="9210" customFormat="false" ht="17.15" hidden="false" customHeight="false" outlineLevel="0" collapsed="false">
      <c r="A9210" s="5" t="s">
        <v>946</v>
      </c>
      <c r="B9210" s="0" t="s">
        <v>86</v>
      </c>
      <c r="C9210" s="38" t="n">
        <f aca="false">Sens!$H$9163+fin_debt</f>
        <v>150.504277655109</v>
      </c>
    </row>
    <row r="9211" customFormat="false" ht="15" hidden="false" customHeight="false" outlineLevel="0" collapsed="false">
      <c r="A9211" s="5" t="s">
        <v>947</v>
      </c>
      <c r="B9211" s="0" t="s">
        <v>86</v>
      </c>
      <c r="C9211" s="38" t="n">
        <f aca="false">Sens!$C$9209-Sens!$C$9210+Sens!$C$9188</f>
        <v>2863.50878332244</v>
      </c>
    </row>
    <row r="9212" customFormat="false" ht="15" hidden="false" customHeight="false" outlineLevel="0" collapsed="false">
      <c r="A9212" s="3" t="s">
        <v>948</v>
      </c>
      <c r="B9212" s="8" t="s">
        <v>27</v>
      </c>
      <c r="C9212" s="30" t="n">
        <f aca="false">Sens!$C$9211/sh_val</f>
        <v>259.603560091077</v>
      </c>
    </row>
    <row r="9213" customFormat="false" ht="17.15" hidden="false" customHeight="false" outlineLevel="0" collapsed="false">
      <c r="A9213" s="47" t="s">
        <v>949</v>
      </c>
      <c r="B9213" s="14" t="s">
        <v>27</v>
      </c>
      <c r="C9213" s="44" t="n">
        <f aca="false">w_dcf*Sens!$C$9191+(1-w_dcf)*Sens!$C$9212</f>
        <v>199.45069716674</v>
      </c>
      <c r="D9213" s="14"/>
      <c r="E9213" s="14"/>
      <c r="F9213" s="14"/>
      <c r="G9213" s="14"/>
      <c r="H9213" s="14"/>
      <c r="I9213" s="14"/>
      <c r="J9213" s="14"/>
      <c r="K9213" s="14"/>
      <c r="L9213" s="14"/>
      <c r="M9213" s="14"/>
      <c r="N9213" s="14"/>
      <c r="O9213" s="14"/>
    </row>
    <row r="9214" customFormat="false" ht="17.15" hidden="false" customHeight="false" outlineLevel="0" collapsed="false">
      <c r="A9214" s="5" t="s">
        <v>950</v>
      </c>
      <c r="B9214" s="0" t="s">
        <v>27</v>
      </c>
      <c r="C9214" s="30" t="n">
        <f aca="false">v022_wdcf*Sens!$C$9191+(1-v022_wdcf)*Sens!$C$9212</f>
        <v>205.465983459174</v>
      </c>
    </row>
    <row r="9215" customFormat="false" ht="17.15" hidden="false" customHeight="false" outlineLevel="0" collapsed="false">
      <c r="A9215" s="5" t="s">
        <v>951</v>
      </c>
      <c r="B9215" s="0" t="s">
        <v>27</v>
      </c>
      <c r="C9215" s="30" t="n">
        <f aca="false">(Sens!$C$9211-Sens!$C$9208+Sens!$C$9207)/sh_val</f>
        <v>297.581118824874</v>
      </c>
    </row>
    <row r="9218" customFormat="false" ht="19.4" hidden="false" customHeight="false" outlineLevel="0" collapsed="false">
      <c r="A9218" s="31" t="s">
        <v>1317</v>
      </c>
    </row>
    <row r="9219" customFormat="false" ht="17.15" hidden="false" customHeight="false" outlineLevel="0" collapsed="false">
      <c r="A9219" s="6" t="s">
        <v>16</v>
      </c>
      <c r="B9219" s="6" t="s">
        <v>17</v>
      </c>
      <c r="C9219" s="20" t="s">
        <v>494</v>
      </c>
      <c r="D9219" s="20" t="s">
        <v>495</v>
      </c>
      <c r="E9219" s="20" t="s">
        <v>577</v>
      </c>
      <c r="F9219" s="20" t="s">
        <v>578</v>
      </c>
      <c r="G9219" s="20" t="s">
        <v>579</v>
      </c>
      <c r="H9219" s="20" t="s">
        <v>580</v>
      </c>
      <c r="I9219" s="20" t="s">
        <v>581</v>
      </c>
      <c r="J9219" s="20" t="s">
        <v>582</v>
      </c>
      <c r="K9219" s="20" t="s">
        <v>583</v>
      </c>
      <c r="L9219" s="20" t="s">
        <v>584</v>
      </c>
      <c r="M9219" s="20" t="s">
        <v>585</v>
      </c>
      <c r="N9219" s="20" t="s">
        <v>586</v>
      </c>
      <c r="O9219" s="20" t="s">
        <v>587</v>
      </c>
      <c r="P9219" s="6" t="s">
        <v>23</v>
      </c>
      <c r="R9219" s="20" t="n">
        <v>2023</v>
      </c>
      <c r="S9219" s="20" t="n">
        <v>2024</v>
      </c>
      <c r="T9219" s="20" t="n">
        <v>2025</v>
      </c>
      <c r="U9219" s="20" t="n">
        <v>2026</v>
      </c>
      <c r="V9219" s="20" t="n">
        <v>2027</v>
      </c>
      <c r="W9219" s="20" t="n">
        <v>2028</v>
      </c>
      <c r="X9219" s="20" t="n">
        <v>2029</v>
      </c>
      <c r="Y9219" s="20" t="n">
        <v>2030</v>
      </c>
      <c r="Z9219" s="20" t="n">
        <v>2031</v>
      </c>
      <c r="AA9219" s="20" t="n">
        <v>2032</v>
      </c>
    </row>
    <row r="9220" customFormat="false" ht="17.15" hidden="false" customHeight="false" outlineLevel="0" collapsed="false">
      <c r="A9220" s="1" t="s">
        <v>660</v>
      </c>
    </row>
    <row r="9221" customFormat="false" ht="17.15" hidden="false" customHeight="false" outlineLevel="0" collapsed="false">
      <c r="A9221" s="0" t="s">
        <v>516</v>
      </c>
      <c r="B9221" s="0" t="s">
        <v>86</v>
      </c>
      <c r="C9221" s="38" t="n">
        <f aca="false">Q!$D$10</f>
        <v>247.029</v>
      </c>
      <c r="D9221" s="38" t="n">
        <f aca="false">Q!$E$10</f>
        <v>269.287</v>
      </c>
      <c r="E9221" s="38" t="n">
        <f aca="false">Q!$P$10</f>
        <v>134.686</v>
      </c>
      <c r="F9221" s="38" t="n">
        <f aca="false">Sens!$O$9221*(1+Sens!$F$9222)*Sens!$F$9233</f>
        <v>158.293876822267</v>
      </c>
      <c r="G9221" s="38" t="n">
        <f aca="false">Sens!$E$9221+Sens!$F$9221</f>
        <v>292.979876822267</v>
      </c>
      <c r="H9221" s="38" t="n">
        <f aca="false">Sens!$G$9221*(1+Sens!$H$9222)</f>
        <v>318.184543087396</v>
      </c>
      <c r="I9221" s="38" t="n">
        <f aca="false">Sens!$H$9221*(1+Sens!$I$9222)</f>
        <v>341.736278761793</v>
      </c>
      <c r="J9221" s="38" t="n">
        <f aca="false">Sens!$I$9221*(1+Sens!$J$9222)</f>
        <v>362.927192787048</v>
      </c>
      <c r="K9221" s="38" t="n">
        <f aca="false">Sens!$J$9221*(1+Sens!$K$9222)</f>
        <v>381.0735524264</v>
      </c>
      <c r="L9221" s="38" t="n">
        <f aca="false">Sens!$K$9221*(1+Sens!$L$9222)</f>
        <v>400.12723004772</v>
      </c>
      <c r="M9221" s="38" t="n">
        <f aca="false">Sens!$L$9221*(1+Sens!$M$9222)</f>
        <v>420.133591550106</v>
      </c>
      <c r="N9221" s="38" t="n">
        <f aca="false">Q!$N$10</f>
        <v>118.892</v>
      </c>
      <c r="O9221" s="38" t="n">
        <f aca="false">Q!$O$10</f>
        <v>150.395</v>
      </c>
      <c r="P9221" s="8" t="s">
        <v>661</v>
      </c>
    </row>
    <row r="9222" customFormat="false" ht="17.15" hidden="false" customHeight="false" outlineLevel="0" collapsed="false">
      <c r="A9222" s="0" t="s">
        <v>662</v>
      </c>
      <c r="B9222" s="0" t="s">
        <v>52</v>
      </c>
      <c r="E9222" s="13" t="n">
        <f aca="false">Sens!$E$9221/Sens!$N$9221-1</f>
        <v>0.132843252699929</v>
      </c>
      <c r="F9222" s="13" t="n">
        <f aca="false">Sens!$O$9221/(Q!$F$10+Q!$G$10)-1</f>
        <v>0.0980382135842941</v>
      </c>
      <c r="G9222" s="13" t="n">
        <f aca="false">Sens!$G$9221/Sens!$D$9221-1</f>
        <v>0.0879837378791657</v>
      </c>
      <c r="H9222" s="13" t="n">
        <f aca="false">Sens!$F$9222+(g_os-Sens!$F$9222)*1/4</f>
        <v>0.0860286601882206</v>
      </c>
      <c r="I9222" s="13" t="n">
        <f aca="false">Sens!$F$9222+(g_os-Sens!$F$9222)*2/4</f>
        <v>0.074019106792147</v>
      </c>
      <c r="J9222" s="13" t="n">
        <f aca="false">Sens!$F$9222+(g_os-Sens!$F$9222)*3/4</f>
        <v>0.0620095533960735</v>
      </c>
      <c r="K9222" s="13" t="n">
        <f aca="false">Sens!$F$9222+(g_os-Sens!$F$9222)*4/4</f>
        <v>0.05</v>
      </c>
      <c r="L9222" s="13" t="n">
        <f aca="false">g_os</f>
        <v>0.05</v>
      </c>
      <c r="M9222" s="13" t="n">
        <f aca="false">g_os</f>
        <v>0.05</v>
      </c>
      <c r="P9222" s="8" t="s">
        <v>663</v>
      </c>
    </row>
    <row r="9223" customFormat="false" ht="17.15" hidden="false" customHeight="false" outlineLevel="0" collapsed="false">
      <c r="A9223" s="0" t="s">
        <v>517</v>
      </c>
      <c r="B9223" s="0" t="s">
        <v>86</v>
      </c>
      <c r="C9223" s="38" t="n">
        <f aca="false">Q!$D$11</f>
        <v>21.215</v>
      </c>
      <c r="D9223" s="38" t="n">
        <f aca="false">Q!$E$11</f>
        <v>22.561</v>
      </c>
      <c r="E9223" s="38" t="n">
        <f aca="false">Q!$P$11</f>
        <v>11.579</v>
      </c>
      <c r="F9223" s="38" t="n">
        <f aca="false">Sens!$O$9223*(1+Sens!$F$9224)*Sens!$F$9233</f>
        <v>11.5938724610325</v>
      </c>
      <c r="G9223" s="38" t="n">
        <f aca="false">Sens!$E$9223+Sens!$F$9223</f>
        <v>23.1728724610325</v>
      </c>
      <c r="H9223" s="38" t="n">
        <f aca="false">Sens!$G$9223*(1+Sens!$H$9224)</f>
        <v>24.353392759506</v>
      </c>
      <c r="I9223" s="38" t="n">
        <f aca="false">Sens!$H$9223*(1+Sens!$I$9224)</f>
        <v>25.4240338872015</v>
      </c>
      <c r="J9223" s="38" t="n">
        <f aca="false">Sens!$I$9223*(1+Sens!$J$9224)</f>
        <v>26.3642491017174</v>
      </c>
      <c r="K9223" s="38" t="n">
        <f aca="false">Sens!$J$9223*(1+Sens!$K$9224)</f>
        <v>27.155176574769</v>
      </c>
      <c r="L9223" s="38" t="n">
        <f aca="false">Sens!$K$9223*(1+Sens!$L$9224)</f>
        <v>27.969831872012</v>
      </c>
      <c r="M9223" s="38" t="n">
        <f aca="false">Sens!$L$9223*(1+Sens!$M$9224)</f>
        <v>28.8089268281724</v>
      </c>
      <c r="N9223" s="38" t="n">
        <f aca="false">Q!$N$11</f>
        <v>11.128</v>
      </c>
      <c r="O9223" s="38" t="n">
        <f aca="false">Q!$O$11</f>
        <v>11.433</v>
      </c>
      <c r="P9223" s="8" t="s">
        <v>661</v>
      </c>
    </row>
    <row r="9224" customFormat="false" ht="17.15" hidden="false" customHeight="false" outlineLevel="0" collapsed="false">
      <c r="A9224" s="0" t="s">
        <v>664</v>
      </c>
      <c r="B9224" s="0" t="s">
        <v>52</v>
      </c>
      <c r="E9224" s="13" t="n">
        <f aca="false">Sens!$E$9223/Sens!$N$9223-1</f>
        <v>0.0405283968368082</v>
      </c>
      <c r="F9224" s="13" t="n">
        <f aca="false">Sens!$O$9223/(Q!$F$11+Q!$G$11)-1</f>
        <v>0.0579254187100955</v>
      </c>
      <c r="G9224" s="13" t="n">
        <f aca="false">Sens!$G$9223/Sens!$D$9223-1</f>
        <v>0.0271208040881397</v>
      </c>
      <c r="H9224" s="13" t="n">
        <f aca="false">Sens!$F$9224+(g_ps-Sens!$F$9224)*1/4</f>
        <v>0.0509440640325716</v>
      </c>
      <c r="I9224" s="13" t="n">
        <f aca="false">Sens!$F$9224+(g_ps-Sens!$F$9224)*2/4</f>
        <v>0.0439627093550477</v>
      </c>
      <c r="J9224" s="13" t="n">
        <f aca="false">Sens!$F$9224+(g_ps-Sens!$F$9224)*3/4</f>
        <v>0.0369813546775239</v>
      </c>
      <c r="K9224" s="13" t="n">
        <f aca="false">Sens!$F$9224+(g_ps-Sens!$F$9224)*4/4</f>
        <v>0.03</v>
      </c>
      <c r="L9224" s="13" t="n">
        <f aca="false">g_ps</f>
        <v>0.03</v>
      </c>
      <c r="M9224" s="13" t="n">
        <f aca="false">g_ps</f>
        <v>0.03</v>
      </c>
      <c r="P9224" s="8" t="s">
        <v>665</v>
      </c>
    </row>
    <row r="9225" customFormat="false" ht="17.15" hidden="false" customHeight="false" outlineLevel="0" collapsed="false">
      <c r="A9225" s="0" t="s">
        <v>518</v>
      </c>
      <c r="B9225" s="0" t="s">
        <v>86</v>
      </c>
      <c r="C9225" s="38" t="n">
        <f aca="false">Q!$D$12</f>
        <v>156.146</v>
      </c>
      <c r="D9225" s="38" t="n">
        <f aca="false">Q!$E$12</f>
        <v>172.162</v>
      </c>
      <c r="E9225" s="38" t="n">
        <f aca="false">Q!$P$12</f>
        <v>88.358</v>
      </c>
      <c r="F9225" s="38" t="n">
        <f aca="false">Sens!$O$9225*(1+Sens!$F$9226)*Sens!$F$9233</f>
        <v>102.004388260171</v>
      </c>
      <c r="G9225" s="38" t="n">
        <f aca="false">Sens!$E$9225+Sens!$F$9225</f>
        <v>190.362388260171</v>
      </c>
      <c r="H9225" s="38" t="n">
        <f aca="false">Sens!$G$9225*(1+Sens!$H$9226)</f>
        <v>210.343106588311</v>
      </c>
      <c r="I9225" s="38" t="n">
        <f aca="false">Sens!$H$9225*(1+Sens!$I$9226)</f>
        <v>229.969728494648</v>
      </c>
      <c r="J9225" s="38" t="n">
        <f aca="false">Sens!$I$9225*(1+Sens!$J$9226)</f>
        <v>248.747636972598</v>
      </c>
      <c r="K9225" s="38" t="n">
        <f aca="false">Sens!$J$9225*(1+Sens!$K$9226)</f>
        <v>266.15997156068</v>
      </c>
      <c r="L9225" s="38" t="n">
        <f aca="false">Sens!$K$9225*(1+Sens!$L$9226)</f>
        <v>284.791169569927</v>
      </c>
      <c r="M9225" s="38" t="n">
        <f aca="false">Sens!$L$9225*(1+Sens!$M$9226)</f>
        <v>304.726551439822</v>
      </c>
      <c r="N9225" s="38" t="n">
        <f aca="false">Q!$N$12</f>
        <v>76.86</v>
      </c>
      <c r="O9225" s="38" t="n">
        <f aca="false">Q!$O$12</f>
        <v>95.302</v>
      </c>
      <c r="P9225" s="8" t="s">
        <v>661</v>
      </c>
    </row>
    <row r="9226" customFormat="false" ht="17.15" hidden="false" customHeight="false" outlineLevel="0" collapsed="false">
      <c r="A9226" s="0" t="s">
        <v>666</v>
      </c>
      <c r="B9226" s="0" t="s">
        <v>52</v>
      </c>
      <c r="E9226" s="13" t="n">
        <f aca="false">Sens!$E$9225/Sens!$N$9225-1</f>
        <v>0.1495966692688</v>
      </c>
      <c r="F9226" s="13" t="n">
        <f aca="false">Sens!$O$9225/(Q!$F$12+Q!$G$12)-1</f>
        <v>0.11661530890813</v>
      </c>
      <c r="G9226" s="13" t="n">
        <f aca="false">Sens!$G$9225/Sens!$D$9225-1</f>
        <v>0.105716640490767</v>
      </c>
      <c r="H9226" s="13" t="n">
        <f aca="false">Sens!$F$9226+(g_sp-Sens!$F$9226)*1/4</f>
        <v>0.104961481681098</v>
      </c>
      <c r="I9226" s="13" t="n">
        <f aca="false">Sens!$F$9226+(g_sp-Sens!$F$9226)*2/4</f>
        <v>0.0933076544540651</v>
      </c>
      <c r="J9226" s="13" t="n">
        <f aca="false">Sens!$F$9226+(g_sp-Sens!$F$9226)*3/4</f>
        <v>0.0816538272270325</v>
      </c>
      <c r="K9226" s="13" t="n">
        <f aca="false">Sens!$F$9226+(g_sp-Sens!$F$9226)*4/4</f>
        <v>0.07</v>
      </c>
      <c r="L9226" s="13" t="n">
        <f aca="false">g_sp</f>
        <v>0.07</v>
      </c>
      <c r="M9226" s="13" t="n">
        <f aca="false">g_sp</f>
        <v>0.07</v>
      </c>
      <c r="P9226" s="8" t="s">
        <v>667</v>
      </c>
    </row>
    <row r="9227" customFormat="false" ht="17.15" hidden="false" customHeight="false" outlineLevel="0" collapsed="false">
      <c r="A9227" s="0" t="s">
        <v>519</v>
      </c>
      <c r="B9227" s="0" t="s">
        <v>86</v>
      </c>
      <c r="C9227" s="38" t="n">
        <f aca="false">Q!$D$13</f>
        <v>56.214</v>
      </c>
      <c r="D9227" s="38" t="n">
        <f aca="false">Q!$E$13</f>
        <v>68.635</v>
      </c>
      <c r="E9227" s="38" t="n">
        <f aca="false">Q!$P$13</f>
        <v>37.052</v>
      </c>
      <c r="F9227" s="38" t="n">
        <f aca="false">Sens!$O$9227*(1+Sens!$F$9228)*Sens!$F$9233</f>
        <v>46.1572219944148</v>
      </c>
      <c r="G9227" s="38" t="n">
        <f aca="false">Sens!$E$9227+Sens!$F$9227</f>
        <v>83.2092219944148</v>
      </c>
      <c r="H9227" s="38" t="n">
        <f aca="false">Sens!$G$9227*(1+Sens!$H$9228)</f>
        <v>99.8969223878976</v>
      </c>
      <c r="I9227" s="38" t="n">
        <f aca="false">Sens!$H$9227*(1+Sens!$I$9228)</f>
        <v>116.583111095496</v>
      </c>
      <c r="J9227" s="38" t="n">
        <f aca="false">Sens!$I$9227*(1+Sens!$J$9228)</f>
        <v>132.148941941952</v>
      </c>
      <c r="K9227" s="38" t="n">
        <f aca="false">Sens!$J$9227*(1+Sens!$K$9228)</f>
        <v>145.363836136147</v>
      </c>
      <c r="L9227" s="38" t="n">
        <f aca="false">Sens!$K$9227*(1+Sens!$L$9228)</f>
        <v>159.900219749762</v>
      </c>
      <c r="M9227" s="38" t="n">
        <f aca="false">Sens!$L$9227*(1+Sens!$M$9228)</f>
        <v>175.890241724738</v>
      </c>
      <c r="N9227" s="38" t="n">
        <f aca="false">Q!$N$13</f>
        <v>29.615</v>
      </c>
      <c r="O9227" s="38" t="n">
        <f aca="false">Q!$O$13</f>
        <v>39.02</v>
      </c>
      <c r="P9227" s="8" t="s">
        <v>661</v>
      </c>
    </row>
    <row r="9228" customFormat="false" ht="17.15" hidden="false" customHeight="false" outlineLevel="0" collapsed="false">
      <c r="A9228" s="0" t="s">
        <v>668</v>
      </c>
      <c r="B9228" s="0" t="s">
        <v>52</v>
      </c>
      <c r="E9228" s="13" t="n">
        <f aca="false">Sens!$E$9227/Sens!$N$9227-1</f>
        <v>0.25112274185379</v>
      </c>
      <c r="F9228" s="13" t="n">
        <f aca="false">Sens!$O$9227/(Q!$F$13+Q!$G$13)-1</f>
        <v>0.234068123596572</v>
      </c>
      <c r="G9228" s="13" t="n">
        <f aca="false">Sens!$G$9227/Sens!$D$9227-1</f>
        <v>0.212343876949294</v>
      </c>
      <c r="H9228" s="13" t="n">
        <f aca="false">Sens!$F$9228+(g_ad-Sens!$F$9228)*1/4</f>
        <v>0.200551092697429</v>
      </c>
      <c r="I9228" s="13" t="n">
        <f aca="false">Sens!$F$9228+(g_ad-Sens!$F$9228)*2/4</f>
        <v>0.167034061798286</v>
      </c>
      <c r="J9228" s="13" t="n">
        <f aca="false">Sens!$F$9228+(g_ad-Sens!$F$9228)*3/4</f>
        <v>0.133517030899143</v>
      </c>
      <c r="K9228" s="13" t="n">
        <f aca="false">Sens!$F$9228+(g_ad-Sens!$F$9228)*4/4</f>
        <v>0.1</v>
      </c>
      <c r="L9228" s="13" t="n">
        <f aca="false">g_ad</f>
        <v>0.1</v>
      </c>
      <c r="M9228" s="13" t="n">
        <f aca="false">g_ad</f>
        <v>0.1</v>
      </c>
      <c r="P9228" s="8" t="s">
        <v>669</v>
      </c>
    </row>
    <row r="9229" customFormat="false" ht="17.15" hidden="false" customHeight="false" outlineLevel="0" collapsed="false">
      <c r="A9229" s="0" t="s">
        <v>520</v>
      </c>
      <c r="B9229" s="0" t="s">
        <v>86</v>
      </c>
      <c r="C9229" s="38" t="n">
        <f aca="false">Q!$D$14</f>
        <v>44.374</v>
      </c>
      <c r="D9229" s="38" t="n">
        <f aca="false">Q!$E$14</f>
        <v>49.619</v>
      </c>
      <c r="E9229" s="38" t="n">
        <f aca="false">Q!$P$14</f>
        <v>27.157</v>
      </c>
      <c r="F9229" s="38" t="n">
        <f aca="false">Sens!$O$9229*(1+Sens!$F$9230)*Sens!$F$9233</f>
        <v>27.7764165988154</v>
      </c>
      <c r="G9229" s="38" t="n">
        <f aca="false">Sens!$E$9229+Sens!$F$9229</f>
        <v>54.9334165988154</v>
      </c>
      <c r="H9229" s="38" t="n">
        <f aca="false">Sens!$G$9229*(1+Sens!$H$9230)</f>
        <v>61.1564112561829</v>
      </c>
      <c r="I9229" s="38" t="n">
        <f aca="false">Sens!$H$9229*(1+Sens!$I$9230)</f>
        <v>67.2020282103945</v>
      </c>
      <c r="J9229" s="38" t="n">
        <f aca="false">Sens!$I$9229*(1+Sens!$J$9230)</f>
        <v>72.8757274028885</v>
      </c>
      <c r="K9229" s="38" t="n">
        <f aca="false">Sens!$J$9229*(1+Sens!$K$9230)</f>
        <v>77.9770283210907</v>
      </c>
      <c r="L9229" s="38" t="n">
        <f aca="false">Sens!$K$9229*(1+Sens!$L$9230)</f>
        <v>83.4354203035671</v>
      </c>
      <c r="M9229" s="38" t="n">
        <f aca="false">Sens!$L$9229*(1+Sens!$M$9230)</f>
        <v>89.2758997248168</v>
      </c>
      <c r="N9229" s="38" t="n">
        <f aca="false">Q!$N$14</f>
        <v>23.923</v>
      </c>
      <c r="O9229" s="38" t="n">
        <f aca="false">Q!$O$14</f>
        <v>25.696</v>
      </c>
      <c r="P9229" s="8" t="s">
        <v>661</v>
      </c>
    </row>
    <row r="9230" customFormat="false" ht="17.15" hidden="false" customHeight="false" outlineLevel="0" collapsed="false">
      <c r="A9230" s="0" t="s">
        <v>670</v>
      </c>
      <c r="B9230" s="0" t="s">
        <v>52</v>
      </c>
      <c r="E9230" s="13" t="n">
        <f aca="false">Sens!$E$9229/Sens!$N$9229-1</f>
        <v>0.135183714417088</v>
      </c>
      <c r="F9230" s="13" t="n">
        <f aca="false">Sens!$O$9229/(Q!$F$14+Q!$G$14)-1</f>
        <v>0.127709997366804</v>
      </c>
      <c r="G9230" s="13" t="n">
        <f aca="false">Sens!$G$9229/Sens!$D$9229-1</f>
        <v>0.107104468022641</v>
      </c>
      <c r="H9230" s="13" t="n">
        <f aca="false">Sens!$F$9230+(g_sub-Sens!$F$9230)*1/4</f>
        <v>0.113282498025103</v>
      </c>
      <c r="I9230" s="13" t="n">
        <f aca="false">Sens!$F$9230+(g_sub-Sens!$F$9230)*2/4</f>
        <v>0.0988549986834021</v>
      </c>
      <c r="J9230" s="13" t="n">
        <f aca="false">Sens!$F$9230+(g_sub-Sens!$F$9230)*3/4</f>
        <v>0.084427499341701</v>
      </c>
      <c r="K9230" s="13" t="n">
        <f aca="false">Sens!$F$9230+(g_sub-Sens!$F$9230)*4/4</f>
        <v>0.07</v>
      </c>
      <c r="L9230" s="13" t="n">
        <f aca="false">g_sub</f>
        <v>0.07</v>
      </c>
      <c r="M9230" s="13" t="n">
        <f aca="false">g_sub</f>
        <v>0.07</v>
      </c>
      <c r="P9230" s="8" t="s">
        <v>671</v>
      </c>
    </row>
    <row r="9231" customFormat="false" ht="17.15" hidden="false" customHeight="false" outlineLevel="0" collapsed="false">
      <c r="A9231" s="0" t="s">
        <v>521</v>
      </c>
      <c r="B9231" s="0" t="s">
        <v>86</v>
      </c>
      <c r="C9231" s="38" t="n">
        <f aca="false">Q!$D$15</f>
        <v>5.425</v>
      </c>
      <c r="D9231" s="38" t="n">
        <f aca="false">Q!$E$15</f>
        <v>5.935</v>
      </c>
      <c r="E9231" s="38" t="n">
        <f aca="false">Q!$P$15</f>
        <v>3.474</v>
      </c>
      <c r="F9231" s="38" t="n">
        <f aca="false">Sens!$O$9231*(1+Sens!$F$9232)*Sens!$F$9233</f>
        <v>3.22246550883619</v>
      </c>
      <c r="G9231" s="38" t="n">
        <f aca="false">Sens!$E$9231+Sens!$F$9231</f>
        <v>6.69646550883619</v>
      </c>
      <c r="H9231" s="38" t="n">
        <f aca="false">Sens!$G$9231*(1+Sens!$H$9232)</f>
        <v>7.16251344209196</v>
      </c>
      <c r="I9231" s="38" t="n">
        <f aca="false">Sens!$H$9231*(1+Sens!$I$9232)</f>
        <v>7.61421070299826</v>
      </c>
      <c r="J9231" s="38" t="n">
        <f aca="false">Sens!$I$9231*(1+Sens!$J$9232)</f>
        <v>8.04465753523932</v>
      </c>
      <c r="K9231" s="38" t="n">
        <f aca="false">Sens!$J$9231*(1+Sens!$K$9232)</f>
        <v>8.44689041200128</v>
      </c>
      <c r="L9231" s="38" t="n">
        <f aca="false">Sens!$K$9231*(1+Sens!$L$9232)</f>
        <v>8.86923493260135</v>
      </c>
      <c r="M9231" s="38" t="n">
        <f aca="false">Sens!$L$9231*(1+Sens!$M$9232)</f>
        <v>9.31269667923142</v>
      </c>
      <c r="N9231" s="38" t="n">
        <f aca="false">Q!$N$15</f>
        <v>2.811</v>
      </c>
      <c r="O9231" s="38" t="n">
        <f aca="false">Q!$O$15</f>
        <v>3.124</v>
      </c>
      <c r="P9231" s="8" t="s">
        <v>661</v>
      </c>
    </row>
    <row r="9232" customFormat="false" ht="17.15" hidden="false" customHeight="false" outlineLevel="0" collapsed="false">
      <c r="A9232" s="0" t="s">
        <v>672</v>
      </c>
      <c r="B9232" s="0" t="s">
        <v>52</v>
      </c>
      <c r="E9232" s="13" t="n">
        <f aca="false">Sens!$E$9231/Sens!$N$9231-1</f>
        <v>0.235859124866596</v>
      </c>
      <c r="F9232" s="13" t="n">
        <f aca="false">Sens!$O$9231/(Q!$F$15+Q!$G$15)-1</f>
        <v>0.0761281433000345</v>
      </c>
      <c r="G9232" s="13" t="n">
        <f aca="false">Sens!$G$9231/Sens!$D$9231-1</f>
        <v>0.128300843948811</v>
      </c>
      <c r="H9232" s="13" t="n">
        <f aca="false">Sens!$F$9232+(g_ot-Sens!$F$9232)*1/4</f>
        <v>0.0695961074750259</v>
      </c>
      <c r="I9232" s="13" t="n">
        <f aca="false">Sens!$F$9232+(g_ot-Sens!$F$9232)*2/4</f>
        <v>0.0630640716500172</v>
      </c>
      <c r="J9232" s="13" t="n">
        <f aca="false">Sens!$F$9232+(g_ot-Sens!$F$9232)*3/4</f>
        <v>0.0565320358250086</v>
      </c>
      <c r="K9232" s="13" t="n">
        <f aca="false">Sens!$F$9232+(g_ot-Sens!$F$9232)*4/4</f>
        <v>0.05</v>
      </c>
      <c r="L9232" s="13" t="n">
        <f aca="false">g_ot</f>
        <v>0.05</v>
      </c>
      <c r="M9232" s="13" t="n">
        <f aca="false">g_ot</f>
        <v>0.05</v>
      </c>
      <c r="P9232" s="8" t="s">
        <v>673</v>
      </c>
    </row>
    <row r="9233" customFormat="false" ht="17.15" hidden="false" customHeight="false" outlineLevel="0" collapsed="false">
      <c r="A9233" s="0" t="s">
        <v>674</v>
      </c>
      <c r="B9233" s="0" t="s">
        <v>57</v>
      </c>
      <c r="F9233" s="40" t="n">
        <f aca="false">(g26q3_mid*Q!$O$8/Q!$J$8-Sens!$F$9262-Sens!$F$9266)/(Sens!$O$9221*(1+Sens!$F$9222)+Sens!$O$9223*(1+Sens!$F$9224)+Sens!$O$9225*(1+Sens!$F$9226)+Sens!$O$9227*(1+Sens!$F$9228)+Sens!$O$9229*(1+Sens!$F$9230)+Sens!$O$9231*(1+Sens!$F$9232))</f>
        <v>0.958546670622329</v>
      </c>
      <c r="P9233" s="8" t="s">
        <v>675</v>
      </c>
    </row>
    <row r="9234" customFormat="false" ht="17.15" hidden="false" customHeight="false" outlineLevel="0" collapsed="false">
      <c r="A9234" s="3" t="s">
        <v>676</v>
      </c>
      <c r="B9234" s="8" t="s">
        <v>86</v>
      </c>
      <c r="C9234" s="38" t="n">
        <f aca="false">Sens!$C$9221+Sens!$C$9223+Sens!$C$9225+Sens!$C$9227+Sens!$C$9229+Sens!$C$9231</f>
        <v>530.403</v>
      </c>
      <c r="D9234" s="38" t="n">
        <f aca="false">Sens!$D$9221+Sens!$D$9223+Sens!$D$9225+Sens!$D$9227+Sens!$D$9229+Sens!$D$9231</f>
        <v>588.199</v>
      </c>
      <c r="E9234" s="38" t="n">
        <f aca="false">Sens!$E$9221+Sens!$E$9223+Sens!$E$9225+Sens!$E$9227+Sens!$E$9229+Sens!$E$9231</f>
        <v>302.306</v>
      </c>
      <c r="F9234" s="38" t="n">
        <f aca="false">Sens!$F$9221+Sens!$F$9223+Sens!$F$9225+Sens!$F$9227+Sens!$F$9229+Sens!$F$9231</f>
        <v>349.048241645537</v>
      </c>
      <c r="G9234" s="38" t="n">
        <f aca="false">Sens!$G$9221+Sens!$G$9223+Sens!$G$9225+Sens!$G$9227+Sens!$G$9229+Sens!$G$9231</f>
        <v>651.354241645537</v>
      </c>
      <c r="H9234" s="38" t="n">
        <f aca="false">Sens!$H$9221+Sens!$H$9223+Sens!$H$9225+Sens!$H$9227+Sens!$H$9229+Sens!$H$9231</f>
        <v>721.096889521386</v>
      </c>
      <c r="I9234" s="38" t="n">
        <f aca="false">Sens!$I$9221+Sens!$I$9223+Sens!$I$9225+Sens!$I$9227+Sens!$I$9229+Sens!$I$9231</f>
        <v>788.529391152531</v>
      </c>
      <c r="J9234" s="38" t="n">
        <f aca="false">Sens!$J$9221+Sens!$J$9223+Sens!$J$9225+Sens!$J$9227+Sens!$J$9229+Sens!$J$9231</f>
        <v>851.108405741443</v>
      </c>
      <c r="K9234" s="38" t="n">
        <f aca="false">Sens!$K$9221+Sens!$K$9223+Sens!$K$9225+Sens!$K$9227+Sens!$K$9229+Sens!$K$9231</f>
        <v>906.176455431088</v>
      </c>
      <c r="L9234" s="38" t="n">
        <f aca="false">Sens!$L$9221+Sens!$L$9223+Sens!$L$9225+Sens!$L$9227+Sens!$L$9229+Sens!$L$9231</f>
        <v>965.093106475589</v>
      </c>
      <c r="M9234" s="38" t="n">
        <f aca="false">Sens!$M$9221+Sens!$M$9223+Sens!$M$9225+Sens!$M$9227+Sens!$M$9229+Sens!$M$9231</f>
        <v>1028.14790794689</v>
      </c>
      <c r="N9234" s="38" t="n">
        <f aca="false">Sens!$N$9221+Sens!$N$9223+Sens!$N$9225+Sens!$N$9227+Sens!$N$9229+Sens!$N$9231</f>
        <v>263.229</v>
      </c>
      <c r="O9234" s="38" t="n">
        <f aca="false">Sens!$O$9221+Sens!$O$9223+Sens!$O$9225+Sens!$O$9227+Sens!$O$9229+Sens!$O$9231</f>
        <v>324.97</v>
      </c>
    </row>
    <row r="9235" customFormat="false" ht="17.15" hidden="false" customHeight="false" outlineLevel="0" collapsed="false">
      <c r="A9235" s="5" t="s">
        <v>677</v>
      </c>
      <c r="B9235" s="0" t="s">
        <v>52</v>
      </c>
      <c r="C9235" s="13" t="n">
        <f aca="false">Q!$D$5/(Q!$D$5+Q!$D$6)</f>
        <v>0.730570905519011</v>
      </c>
      <c r="D9235" s="13" t="n">
        <f aca="false">Q!$E$5/(Q!$E$5+Q!$E$6)</f>
        <v>0.724763217890544</v>
      </c>
      <c r="E9235" s="13" t="n">
        <f aca="false">Q!$P$5/(Q!$P$5+Q!$P$6)</f>
        <v>0.728797972914861</v>
      </c>
      <c r="F9235" s="13" t="n">
        <f aca="false">Sens!$O$9235</f>
        <v>0.718066283041511</v>
      </c>
      <c r="G9235" s="13" t="n">
        <f aca="false">Sens!$G$9236/Sens!$G$9234</f>
        <v>0.723047066202847</v>
      </c>
      <c r="H9235" s="13" t="n">
        <f aca="false">Sens!$G$9235</f>
        <v>0.723047066202847</v>
      </c>
      <c r="I9235" s="13" t="n">
        <f aca="false">Sens!$G$9235</f>
        <v>0.723047066202847</v>
      </c>
      <c r="J9235" s="13" t="n">
        <f aca="false">Sens!$G$9235</f>
        <v>0.723047066202847</v>
      </c>
      <c r="K9235" s="13" t="n">
        <f aca="false">Sens!$G$9235</f>
        <v>0.723047066202847</v>
      </c>
      <c r="L9235" s="13" t="n">
        <f aca="false">Sens!$G$9235</f>
        <v>0.723047066202847</v>
      </c>
      <c r="M9235" s="13" t="n">
        <f aca="false">Sens!$G$9235</f>
        <v>0.723047066202847</v>
      </c>
      <c r="N9235" s="13" t="n">
        <f aca="false">Q!$N$5/(Q!$N$5+Q!$N$6)</f>
        <v>0.733030935041352</v>
      </c>
      <c r="O9235" s="13" t="n">
        <f aca="false">Q!$O$5/(Q!$O$5+Q!$O$6)</f>
        <v>0.718066283041511</v>
      </c>
      <c r="P9235" s="8" t="s">
        <v>678</v>
      </c>
    </row>
    <row r="9236" customFormat="false" ht="17.15" hidden="false" customHeight="false" outlineLevel="0" collapsed="false">
      <c r="A9236" s="1" t="s">
        <v>509</v>
      </c>
      <c r="B9236" s="8" t="s">
        <v>86</v>
      </c>
      <c r="C9236" s="38" t="n">
        <f aca="false">Q!$D$5</f>
        <v>387.497</v>
      </c>
      <c r="D9236" s="38" t="n">
        <f aca="false">Q!$E$5</f>
        <v>426.305</v>
      </c>
      <c r="E9236" s="38" t="n">
        <f aca="false">Q!$P$5</f>
        <v>220.32</v>
      </c>
      <c r="F9236" s="38" t="n">
        <f aca="false">Sens!$F$9234*Sens!$F$9235</f>
        <v>250.639773480586</v>
      </c>
      <c r="G9236" s="38" t="n">
        <f aca="false">Sens!$E$9236+Sens!$F$9236</f>
        <v>470.959773480586</v>
      </c>
      <c r="H9236" s="38" t="n">
        <f aca="false">Sens!$H$9234*Sens!$H$9235</f>
        <v>521.386990416437</v>
      </c>
      <c r="I9236" s="38" t="n">
        <f aca="false">Sens!$I$9234*Sens!$I$9235</f>
        <v>570.143862887555</v>
      </c>
      <c r="J9236" s="38" t="n">
        <f aca="false">Sens!$J$9234*Sens!$J$9235</f>
        <v>615.391435791933</v>
      </c>
      <c r="K9236" s="38" t="n">
        <f aca="false">Sens!$K$9234*Sens!$K$9235</f>
        <v>655.208227561543</v>
      </c>
      <c r="L9236" s="38" t="n">
        <f aca="false">Sens!$L$9234*Sens!$L$9235</f>
        <v>697.807739249767</v>
      </c>
      <c r="M9236" s="38" t="n">
        <f aca="false">Sens!$M$9234*Sens!$M$9235</f>
        <v>743.399328463592</v>
      </c>
      <c r="N9236" s="38" t="n">
        <f aca="false">Q!$N$5</f>
        <v>192.955</v>
      </c>
      <c r="O9236" s="38" t="n">
        <f aca="false">Q!$O$5</f>
        <v>233.35</v>
      </c>
      <c r="P9236" s="5" t="s">
        <v>679</v>
      </c>
    </row>
    <row r="9237" customFormat="false" ht="17.15" hidden="false" customHeight="false" outlineLevel="0" collapsed="false">
      <c r="A9237" s="1" t="s">
        <v>512</v>
      </c>
      <c r="B9237" s="8" t="s">
        <v>86</v>
      </c>
      <c r="C9237" s="38" t="n">
        <f aca="false">Q!$D$6</f>
        <v>142.906</v>
      </c>
      <c r="D9237" s="38" t="n">
        <f aca="false">Q!$E$6</f>
        <v>161.894</v>
      </c>
      <c r="E9237" s="38" t="n">
        <f aca="false">Q!$P$6</f>
        <v>81.986</v>
      </c>
      <c r="F9237" s="38" t="n">
        <f aca="false">Sens!$F$9234*(1-Sens!$F$9235)</f>
        <v>98.408468164951</v>
      </c>
      <c r="G9237" s="38" t="n">
        <f aca="false">Sens!$E$9237+Sens!$F$9237</f>
        <v>180.394468164951</v>
      </c>
      <c r="H9237" s="38" t="n">
        <f aca="false">Sens!$H$9234*(1-Sens!$H$9235)</f>
        <v>199.709899104949</v>
      </c>
      <c r="I9237" s="38" t="n">
        <f aca="false">Sens!$I$9234*(1-Sens!$I$9235)</f>
        <v>218.385528264976</v>
      </c>
      <c r="J9237" s="38" t="n">
        <f aca="false">Sens!$J$9234*(1-Sens!$J$9235)</f>
        <v>235.71696994951</v>
      </c>
      <c r="K9237" s="38" t="n">
        <f aca="false">Sens!$K$9234*(1-Sens!$K$9235)</f>
        <v>250.968227869545</v>
      </c>
      <c r="L9237" s="38" t="n">
        <f aca="false">Sens!$L$9234*(1-Sens!$L$9235)</f>
        <v>267.285367225822</v>
      </c>
      <c r="M9237" s="38" t="n">
        <f aca="false">Sens!$M$9234*(1-Sens!$M$9235)</f>
        <v>284.748579483295</v>
      </c>
      <c r="N9237" s="38" t="n">
        <f aca="false">Q!$N$6</f>
        <v>70.274</v>
      </c>
      <c r="O9237" s="38" t="n">
        <f aca="false">Q!$O$6</f>
        <v>91.62</v>
      </c>
      <c r="P9237" s="5" t="s">
        <v>680</v>
      </c>
    </row>
    <row r="9238" customFormat="false" ht="17.15" hidden="false" customHeight="false" outlineLevel="0" collapsed="false">
      <c r="A9238" s="5" t="s">
        <v>681</v>
      </c>
      <c r="B9238" s="0" t="s">
        <v>86</v>
      </c>
      <c r="C9238" s="38" t="n">
        <f aca="false">Sens!$C$9227*Sens!$C$9235</f>
        <v>41.0683128828457</v>
      </c>
      <c r="D9238" s="38" t="n">
        <f aca="false">Sens!$D$9227*Sens!$D$9235</f>
        <v>49.7441234599175</v>
      </c>
      <c r="E9238" s="38" t="n">
        <f aca="false">Sens!$E$9227*Sens!$E$9235</f>
        <v>27.0034224924414</v>
      </c>
      <c r="F9238" s="38" t="n">
        <f aca="false">Sens!$F$9227*Sens!$F$9235</f>
        <v>33.1439448330513</v>
      </c>
      <c r="G9238" s="38" t="n">
        <f aca="false">Sens!$G$9227*Sens!$G$9235</f>
        <v>60.164183844083</v>
      </c>
      <c r="H9238" s="38" t="n">
        <f aca="false">Sens!$H$9227*Sens!$H$9235</f>
        <v>72.2301766552629</v>
      </c>
      <c r="I9238" s="38" t="n">
        <f aca="false">Sens!$I$9227*Sens!$I$9235</f>
        <v>84.2950764463991</v>
      </c>
      <c r="J9238" s="38" t="n">
        <f aca="false">Sens!$J$9227*Sens!$J$9235</f>
        <v>95.5499047729386</v>
      </c>
      <c r="K9238" s="38" t="n">
        <f aca="false">Sens!$K$9227*Sens!$K$9235</f>
        <v>105.104895250232</v>
      </c>
      <c r="L9238" s="38" t="n">
        <f aca="false">Sens!$L$9227*Sens!$L$9235</f>
        <v>115.615384775256</v>
      </c>
      <c r="M9238" s="38" t="n">
        <f aca="false">Sens!$M$9227*Sens!$M$9235</f>
        <v>127.176923252781</v>
      </c>
      <c r="N9238" s="38" t="n">
        <f aca="false">Sens!$N$9227*Sens!$N$9235</f>
        <v>21.7087111412496</v>
      </c>
      <c r="O9238" s="38" t="n">
        <f aca="false">Sens!$O$9227*Sens!$O$9235</f>
        <v>28.0189463642798</v>
      </c>
      <c r="P9238" s="5" t="s">
        <v>682</v>
      </c>
    </row>
    <row r="9239" customFormat="false" ht="15" hidden="false" customHeight="false" outlineLevel="0" collapsed="false">
      <c r="A9239" s="5" t="s">
        <v>683</v>
      </c>
      <c r="B9239" s="0" t="s">
        <v>86</v>
      </c>
      <c r="C9239" s="38" t="n">
        <f aca="false">Sens!$C$9227-Sens!$C$9238</f>
        <v>15.1456871171543</v>
      </c>
      <c r="D9239" s="38" t="n">
        <f aca="false">Sens!$D$9227-Sens!$D$9238</f>
        <v>18.8908765400825</v>
      </c>
      <c r="E9239" s="38" t="n">
        <f aca="false">Sens!$E$9227-Sens!$E$9238</f>
        <v>10.0485775075586</v>
      </c>
      <c r="F9239" s="38" t="n">
        <f aca="false">Sens!$F$9227-Sens!$F$9238</f>
        <v>13.0132771613635</v>
      </c>
      <c r="G9239" s="38" t="n">
        <f aca="false">Sens!$G$9227-Sens!$G$9238</f>
        <v>23.0450381503318</v>
      </c>
      <c r="H9239" s="38" t="n">
        <f aca="false">Sens!$H$9227-Sens!$H$9238</f>
        <v>27.6667457326347</v>
      </c>
      <c r="I9239" s="38" t="n">
        <f aca="false">Sens!$I$9227-Sens!$I$9238</f>
        <v>32.2880346490971</v>
      </c>
      <c r="J9239" s="38" t="n">
        <f aca="false">Sens!$J$9227-Sens!$J$9238</f>
        <v>36.5990371690132</v>
      </c>
      <c r="K9239" s="38" t="n">
        <f aca="false">Sens!$K$9227-Sens!$K$9238</f>
        <v>40.2589408859145</v>
      </c>
      <c r="L9239" s="38" t="n">
        <f aca="false">Sens!$L$9227-Sens!$L$9238</f>
        <v>44.2848349745059</v>
      </c>
      <c r="M9239" s="38" t="n">
        <f aca="false">Sens!$M$9227-Sens!$M$9238</f>
        <v>48.7133184719565</v>
      </c>
      <c r="N9239" s="38" t="n">
        <f aca="false">Sens!$N$9227-Sens!$N$9238</f>
        <v>7.90628885875037</v>
      </c>
      <c r="O9239" s="38" t="n">
        <f aca="false">Sens!$O$9227-Sens!$O$9238</f>
        <v>11.0010536357202</v>
      </c>
    </row>
    <row r="9240" customFormat="false" ht="19.4" hidden="false" customHeight="false" outlineLevel="0" collapsed="false">
      <c r="A9240" s="31" t="s">
        <v>1318</v>
      </c>
    </row>
    <row r="9241" customFormat="false" ht="17.15" hidden="false" customHeight="false" outlineLevel="0" collapsed="false">
      <c r="A9241" s="6" t="s">
        <v>16</v>
      </c>
      <c r="B9241" s="6" t="s">
        <v>17</v>
      </c>
      <c r="C9241" s="20" t="s">
        <v>494</v>
      </c>
      <c r="D9241" s="20" t="s">
        <v>495</v>
      </c>
      <c r="E9241" s="20" t="s">
        <v>577</v>
      </c>
      <c r="F9241" s="20" t="s">
        <v>578</v>
      </c>
      <c r="G9241" s="20" t="s">
        <v>579</v>
      </c>
      <c r="H9241" s="20" t="s">
        <v>580</v>
      </c>
      <c r="I9241" s="20" t="s">
        <v>581</v>
      </c>
      <c r="J9241" s="20" t="s">
        <v>582</v>
      </c>
      <c r="K9241" s="20" t="s">
        <v>583</v>
      </c>
      <c r="L9241" s="20" t="s">
        <v>584</v>
      </c>
      <c r="M9241" s="20" t="s">
        <v>585</v>
      </c>
      <c r="N9241" s="20" t="s">
        <v>586</v>
      </c>
      <c r="O9241" s="20" t="s">
        <v>587</v>
      </c>
      <c r="P9241" s="6" t="s">
        <v>23</v>
      </c>
      <c r="R9241" s="20" t="n">
        <v>2023</v>
      </c>
      <c r="S9241" s="20" t="n">
        <v>2024</v>
      </c>
      <c r="T9241" s="20" t="n">
        <v>2025</v>
      </c>
      <c r="U9241" s="20" t="n">
        <v>2026</v>
      </c>
      <c r="V9241" s="20" t="n">
        <v>2027</v>
      </c>
      <c r="W9241" s="20" t="n">
        <v>2028</v>
      </c>
      <c r="X9241" s="20" t="n">
        <v>2029</v>
      </c>
      <c r="Y9241" s="20" t="n">
        <v>2030</v>
      </c>
      <c r="Z9241" s="20" t="n">
        <v>2031</v>
      </c>
      <c r="AA9241" s="20" t="n">
        <v>2032</v>
      </c>
    </row>
    <row r="9242" customFormat="false" ht="17.15" hidden="false" customHeight="false" outlineLevel="0" collapsed="false">
      <c r="A9242" s="1" t="s">
        <v>588</v>
      </c>
    </row>
    <row r="9243" customFormat="false" ht="17.15" hidden="false" customHeight="false" outlineLevel="0" collapsed="false">
      <c r="A9243" s="5" t="s">
        <v>589</v>
      </c>
      <c r="B9243" s="0" t="s">
        <v>144</v>
      </c>
      <c r="H9243" s="32" t="n">
        <f aca="false">pace_B</f>
        <v>3634.3</v>
      </c>
      <c r="I9243" s="32" t="n">
        <f aca="false">pace_B</f>
        <v>3634.3</v>
      </c>
      <c r="J9243" s="32" t="n">
        <f aca="false">pace_B</f>
        <v>3634.3</v>
      </c>
      <c r="K9243" s="32" t="n">
        <f aca="false">pace_B+(Sens!$J$9244*tg_hi-pace_B)*1/3</f>
        <v>2620.20066666667</v>
      </c>
      <c r="L9243" s="32" t="n">
        <f aca="false">pace_B+(Sens!$J$9244*tg_hi-pace_B)*2/3</f>
        <v>1606.10133333333</v>
      </c>
      <c r="M9243" s="32" t="n">
        <f aca="false">pace_B+(Sens!$J$9244*tg_hi-pace_B)*3/3</f>
        <v>592.002</v>
      </c>
      <c r="P9243" s="5" t="s">
        <v>590</v>
      </c>
    </row>
    <row r="9244" customFormat="false" ht="17.15" hidden="false" customHeight="false" outlineLevel="0" collapsed="false">
      <c r="A9244" s="15" t="s">
        <v>591</v>
      </c>
      <c r="B9244" s="14" t="s">
        <v>129</v>
      </c>
      <c r="C9244" s="33" t="n">
        <f aca="false">mw_ye24</f>
        <v>360</v>
      </c>
      <c r="D9244" s="33" t="n">
        <f aca="false">mw_ye25</f>
        <v>1440</v>
      </c>
      <c r="E9244" s="33" t="n">
        <f aca="false">mw_open</f>
        <v>2080</v>
      </c>
      <c r="F9244" s="33" t="n">
        <f aca="false">Sens!$E$9244+pace_B*0.5</f>
        <v>3897.15</v>
      </c>
      <c r="G9244" s="33" t="n">
        <f aca="false">Sens!$F$9244</f>
        <v>3897.15</v>
      </c>
      <c r="H9244" s="33" t="n">
        <f aca="false">Sens!$G$9244+Sens!$H$9243</f>
        <v>7531.45</v>
      </c>
      <c r="I9244" s="33" t="n">
        <f aca="false">Sens!$H$9244+Sens!$I$9243</f>
        <v>11165.75</v>
      </c>
      <c r="J9244" s="33" t="n">
        <f aca="false">Sens!$I$9244+Sens!$J$9243</f>
        <v>14800.05</v>
      </c>
      <c r="K9244" s="33" t="n">
        <f aca="false">Sens!$J$9244+Sens!$K$9243</f>
        <v>17420.2506666667</v>
      </c>
      <c r="L9244" s="33" t="n">
        <f aca="false">Sens!$K$9244+Sens!$L$9243</f>
        <v>19026.352</v>
      </c>
      <c r="M9244" s="33" t="n">
        <f aca="false">Sens!$L$9244+Sens!$M$9243</f>
        <v>19618.354</v>
      </c>
      <c r="N9244" s="33" t="n">
        <f aca="false">(mw_ye24+mw_ye25)/2</f>
        <v>900</v>
      </c>
      <c r="O9244" s="33" t="n">
        <f aca="false">mw_ye25</f>
        <v>1440</v>
      </c>
      <c r="P9244" s="5" t="s">
        <v>592</v>
      </c>
    </row>
    <row r="9245" customFormat="false" ht="17.15" hidden="false" customHeight="false" outlineLevel="0" collapsed="false">
      <c r="A9245" s="5" t="s">
        <v>593</v>
      </c>
      <c r="B9245" s="0" t="s">
        <v>129</v>
      </c>
      <c r="C9245" s="32" t="n">
        <f aca="false">(mw_ye23+mw_ye24)/2</f>
        <v>240</v>
      </c>
      <c r="D9245" s="32" t="n">
        <f aca="false">(Sens!$C$9244+Sens!$D$9244)/2</f>
        <v>900</v>
      </c>
      <c r="E9245" s="32" t="n">
        <f aca="false">(Sens!$D$9244+Sens!$E$9244)/2</f>
        <v>1760</v>
      </c>
      <c r="F9245" s="32" t="n">
        <f aca="false">(Sens!$E$9244+Sens!$F$9244)/2</f>
        <v>2988.575</v>
      </c>
      <c r="G9245" s="32" t="n">
        <f aca="false">(Sens!$E$9245+Sens!$F$9245)/2</f>
        <v>2374.2875</v>
      </c>
      <c r="H9245" s="32" t="n">
        <f aca="false">(Sens!$G$9244+Sens!$H$9244)/2</f>
        <v>5714.3</v>
      </c>
      <c r="I9245" s="32" t="n">
        <f aca="false">(Sens!$H$9244+Sens!$I$9244)/2</f>
        <v>9348.6</v>
      </c>
      <c r="J9245" s="32" t="n">
        <f aca="false">(Sens!$I$9244+Sens!$J$9244)/2</f>
        <v>12982.9</v>
      </c>
      <c r="K9245" s="32" t="n">
        <f aca="false">(Sens!$J$9244+Sens!$K$9244)/2</f>
        <v>16110.1503333333</v>
      </c>
      <c r="L9245" s="32" t="n">
        <f aca="false">(Sens!$K$9244+Sens!$L$9244)/2</f>
        <v>18223.3013333333</v>
      </c>
      <c r="M9245" s="32" t="n">
        <f aca="false">(Sens!$L$9244+Sens!$M$9244)/2</f>
        <v>19322.353</v>
      </c>
      <c r="N9245" s="32" t="n">
        <f aca="false">(Sens!$C$9244+Sens!$N$9244)/2</f>
        <v>630</v>
      </c>
      <c r="O9245" s="32" t="n">
        <f aca="false">(Sens!$N$9244+Sens!$O$9244)/2</f>
        <v>1170</v>
      </c>
    </row>
    <row r="9246" customFormat="false" ht="15" hidden="false" customHeight="false" outlineLevel="0" collapsed="false">
      <c r="A9246" s="5" t="s">
        <v>594</v>
      </c>
      <c r="B9246" s="5" t="s">
        <v>123</v>
      </c>
      <c r="C9246" s="34" t="n">
        <v>1</v>
      </c>
      <c r="D9246" s="34" t="n">
        <v>1</v>
      </c>
      <c r="E9246" s="34" t="n">
        <v>0.5</v>
      </c>
      <c r="F9246" s="34" t="n">
        <v>0.5</v>
      </c>
      <c r="G9246" s="34" t="n">
        <v>1</v>
      </c>
      <c r="H9246" s="34" t="n">
        <v>1</v>
      </c>
      <c r="I9246" s="34" t="n">
        <v>1</v>
      </c>
      <c r="J9246" s="34" t="n">
        <v>1</v>
      </c>
      <c r="K9246" s="34" t="n">
        <v>1</v>
      </c>
      <c r="L9246" s="34" t="n">
        <v>1</v>
      </c>
      <c r="M9246" s="34" t="n">
        <v>1</v>
      </c>
      <c r="N9246" s="34" t="n">
        <v>0.5</v>
      </c>
      <c r="O9246" s="34" t="n">
        <v>0.5</v>
      </c>
    </row>
    <row r="9247" customFormat="false" ht="17.15" hidden="false" customHeight="false" outlineLevel="0" collapsed="false">
      <c r="A9247" s="5" t="s">
        <v>595</v>
      </c>
      <c r="B9247" s="0" t="s">
        <v>129</v>
      </c>
      <c r="C9247" s="32" t="n">
        <f aca="false">Sens!$C$9244-mw_ye23</f>
        <v>240</v>
      </c>
      <c r="D9247" s="32" t="n">
        <f aca="false">Sens!$D$9244-Sens!$C$9244</f>
        <v>1080</v>
      </c>
      <c r="E9247" s="32" t="n">
        <f aca="false">Sens!$E$9244-Sens!$D$9244</f>
        <v>640</v>
      </c>
      <c r="F9247" s="32" t="n">
        <f aca="false">Sens!$F$9244-Sens!$E$9244</f>
        <v>1817.15</v>
      </c>
      <c r="G9247" s="32" t="n">
        <f aca="false">Sens!$E$9247+Sens!$F$9247</f>
        <v>2457.15</v>
      </c>
      <c r="H9247" s="32" t="n">
        <f aca="false">Sens!$H$9244-Sens!$G$9244</f>
        <v>3634.3</v>
      </c>
      <c r="I9247" s="32" t="n">
        <f aca="false">Sens!$I$9244-Sens!$H$9244</f>
        <v>3634.3</v>
      </c>
      <c r="J9247" s="32" t="n">
        <f aca="false">Sens!$J$9244-Sens!$I$9244</f>
        <v>3634.3</v>
      </c>
      <c r="K9247" s="32" t="n">
        <f aca="false">Sens!$K$9244-Sens!$J$9244</f>
        <v>2620.20066666667</v>
      </c>
      <c r="L9247" s="32" t="n">
        <f aca="false">Sens!$L$9244-Sens!$K$9244</f>
        <v>1606.10133333333</v>
      </c>
      <c r="M9247" s="32" t="n">
        <f aca="false">Sens!$M$9244-Sens!$L$9244</f>
        <v>592.002</v>
      </c>
      <c r="N9247" s="32" t="n">
        <f aca="false">Sens!$N$9244-Sens!$C$9244</f>
        <v>540</v>
      </c>
      <c r="O9247" s="32" t="n">
        <f aca="false">Sens!$O$9244-Sens!$N$9244</f>
        <v>540</v>
      </c>
    </row>
    <row r="9248" customFormat="false" ht="17.15" hidden="false" customHeight="false" outlineLevel="0" collapsed="false">
      <c r="A9248" s="5" t="s">
        <v>596</v>
      </c>
      <c r="B9248" s="0" t="s">
        <v>129</v>
      </c>
      <c r="C9248" s="32" t="n">
        <f aca="false">Sens!$C$9247/ext_sh</f>
        <v>300</v>
      </c>
      <c r="D9248" s="32" t="n">
        <f aca="false">Sens!$D$9247/ext_sh</f>
        <v>1350</v>
      </c>
      <c r="E9248" s="32" t="n">
        <f aca="false">Sens!$E$9247/ext_sh</f>
        <v>800</v>
      </c>
      <c r="F9248" s="32" t="n">
        <f aca="false">Sens!$F$9247/ext_sh</f>
        <v>2271.4375</v>
      </c>
      <c r="G9248" s="32" t="n">
        <f aca="false">Sens!$G$9247/ext_sh</f>
        <v>3071.4375</v>
      </c>
      <c r="H9248" s="32" t="n">
        <f aca="false">Sens!$H$9247/ext_sh</f>
        <v>4542.875</v>
      </c>
      <c r="I9248" s="32" t="n">
        <f aca="false">Sens!$I$9247/ext_sh</f>
        <v>4542.875</v>
      </c>
      <c r="J9248" s="32" t="n">
        <f aca="false">Sens!$J$9247/ext_sh</f>
        <v>4542.875</v>
      </c>
      <c r="K9248" s="32" t="n">
        <f aca="false">Sens!$K$9247/ext_sh</f>
        <v>3275.25083333333</v>
      </c>
      <c r="L9248" s="32" t="n">
        <f aca="false">Sens!$L$9247/ext_sh</f>
        <v>2007.62666666667</v>
      </c>
      <c r="M9248" s="32" t="n">
        <f aca="false">Sens!$M$9247/ext_sh</f>
        <v>740.002500000001</v>
      </c>
      <c r="N9248" s="32" t="n">
        <f aca="false">Sens!$N$9247/ext_sh</f>
        <v>675</v>
      </c>
      <c r="O9248" s="32" t="n">
        <f aca="false">Sens!$O$9247/ext_sh</f>
        <v>675</v>
      </c>
      <c r="P9248" s="8" t="s">
        <v>597</v>
      </c>
      <c r="R9248" s="32" t="n">
        <f aca="false">mw_ye23/ext_sh</f>
        <v>150</v>
      </c>
      <c r="S9248" s="32" t="n">
        <f aca="false">Sens!$C$9248</f>
        <v>300</v>
      </c>
      <c r="T9248" s="32" t="n">
        <f aca="false">Sens!$D$9248</f>
        <v>1350</v>
      </c>
      <c r="U9248" s="32" t="n">
        <f aca="false">Sens!$G$9248</f>
        <v>3071.4375</v>
      </c>
      <c r="V9248" s="32" t="n">
        <f aca="false">Sens!$H$9248</f>
        <v>4542.875</v>
      </c>
      <c r="W9248" s="32" t="n">
        <f aca="false">Sens!$I$9248</f>
        <v>4542.875</v>
      </c>
      <c r="X9248" s="32" t="n">
        <f aca="false">Sens!$J$9248</f>
        <v>4542.875</v>
      </c>
      <c r="Y9248" s="32" t="n">
        <f aca="false">Sens!$K$9248</f>
        <v>3275.25083333333</v>
      </c>
      <c r="Z9248" s="32" t="n">
        <f aca="false">Sens!$L$9248</f>
        <v>2007.62666666667</v>
      </c>
      <c r="AA9248" s="32" t="n">
        <f aca="false">Sens!$M$9248</f>
        <v>740.002500000001</v>
      </c>
    </row>
    <row r="9249" customFormat="false" ht="17.15" hidden="false" customHeight="false" outlineLevel="0" collapsed="false">
      <c r="A9249" s="1" t="s">
        <v>598</v>
      </c>
    </row>
    <row r="9250" customFormat="false" ht="17.15" hidden="false" customHeight="false" outlineLevel="0" collapsed="false">
      <c r="A9250" s="0" t="s">
        <v>599</v>
      </c>
      <c r="B9250" s="0" t="s">
        <v>52</v>
      </c>
      <c r="F9250" s="35" t="n">
        <f aca="false">na_vr26</f>
        <v>0</v>
      </c>
      <c r="G9250" s="35" t="n">
        <f aca="false">na_vr26</f>
        <v>0</v>
      </c>
      <c r="H9250" s="35" t="n">
        <f aca="false">na_vr27</f>
        <v>0.5</v>
      </c>
      <c r="I9250" s="35" t="n">
        <f aca="false">na_vr28</f>
        <v>1</v>
      </c>
      <c r="J9250" s="35" t="n">
        <f aca="false">na_vr28</f>
        <v>1</v>
      </c>
      <c r="K9250" s="35" t="n">
        <f aca="false">na_vr28</f>
        <v>1</v>
      </c>
      <c r="L9250" s="35" t="n">
        <f aca="false">na_vr28</f>
        <v>1</v>
      </c>
      <c r="M9250" s="35" t="n">
        <f aca="false">na_vr28</f>
        <v>1</v>
      </c>
    </row>
    <row r="9251" customFormat="false" ht="17.15" hidden="false" customHeight="false" outlineLevel="0" collapsed="false">
      <c r="A9251" s="5" t="s">
        <v>600</v>
      </c>
      <c r="B9251" s="0" t="s">
        <v>173</v>
      </c>
      <c r="F9251" s="36" t="n">
        <f aca="false">cust_sh*tk_he_gb300*cf_chip+(1-cust_sh)*((1-Sens!$F$9250)*tk_he_gb300+Sens!$F$9250*tk_he_vr200)</f>
        <v>10.8864110021101</v>
      </c>
      <c r="G9251" s="36" t="n">
        <f aca="false">cust_sh*tk_he_gb300*cf_chip+(1-cust_sh)*((1-Sens!$G$9250)*tk_he_gb300+Sens!$G$9250*tk_he_vr200)</f>
        <v>10.8864110021101</v>
      </c>
      <c r="H9251" s="36" t="n">
        <f aca="false">cust_sh*tk_he_gb300*cf_chip+(1-cust_sh)*((1-Sens!$H$9250)*tk_he_gb300+Sens!$H$9250*tk_he_vr200)</f>
        <v>11.2211760027286</v>
      </c>
      <c r="I9251" s="36" t="n">
        <f aca="false">cust_sh*tk_he_gb300*cf_chip+(1-cust_sh)*((1-Sens!$I$9250)*tk_he_gb300+Sens!$I$9250*tk_he_vr200)</f>
        <v>11.5559410033471</v>
      </c>
      <c r="J9251" s="36" t="n">
        <f aca="false">cust_sh*tk_he_gb300*cf_chip+(1-cust_sh)*((1-Sens!$J$9250)*tk_he_gb300+Sens!$J$9250*tk_he_vr200)</f>
        <v>11.5559410033471</v>
      </c>
      <c r="K9251" s="36" t="n">
        <f aca="false">cust_sh*tk_he_gb300*cf_chip+(1-cust_sh)*((1-Sens!$K$9250)*tk_he_gb300+Sens!$K$9250*tk_he_vr200)</f>
        <v>11.5559410033471</v>
      </c>
      <c r="L9251" s="36" t="n">
        <f aca="false">cust_sh*tk_he_gb300*cf_chip+(1-cust_sh)*((1-Sens!$L$9250)*tk_he_gb300+Sens!$L$9250*tk_he_vr200)</f>
        <v>11.5559410033471</v>
      </c>
      <c r="M9251" s="36" t="n">
        <f aca="false">cust_sh*tk_he_gb300*cf_chip+(1-cust_sh)*((1-Sens!$M$9250)*tk_he_gb300+Sens!$M$9250*tk_he_vr200)</f>
        <v>11.5559410033471</v>
      </c>
    </row>
    <row r="9252" customFormat="false" ht="17.15" hidden="false" customHeight="false" outlineLevel="0" collapsed="false">
      <c r="A9252" s="5" t="s">
        <v>601</v>
      </c>
      <c r="B9252" s="0" t="s">
        <v>173</v>
      </c>
      <c r="F9252" s="36" t="n">
        <f aca="false">cust_sh*tk_ox_gb300+(1-cust_sh)*((1-Sens!$F$9250)*tk_ox_gb300+Sens!$F$9250*tk_ox_vr200)</f>
        <v>1.98263481314457</v>
      </c>
      <c r="G9252" s="36" t="n">
        <f aca="false">cust_sh*tk_ox_gb300+(1-cust_sh)*((1-Sens!$G$9250)*tk_ox_gb300+Sens!$G$9250*tk_ox_vr200)</f>
        <v>1.98263481314457</v>
      </c>
      <c r="H9252" s="36" t="n">
        <f aca="false">cust_sh*tk_ox_gb300+(1-cust_sh)*((1-Sens!$H$9250)*tk_ox_gb300+Sens!$H$9250*tk_ox_vr200)</f>
        <v>2.01034999693694</v>
      </c>
      <c r="I9252" s="36" t="n">
        <f aca="false">cust_sh*tk_ox_gb300+(1-cust_sh)*((1-Sens!$I$9250)*tk_ox_gb300+Sens!$I$9250*tk_ox_vr200)</f>
        <v>2.0380651807293</v>
      </c>
      <c r="J9252" s="36" t="n">
        <f aca="false">cust_sh*tk_ox_gb300+(1-cust_sh)*((1-Sens!$J$9250)*tk_ox_gb300+Sens!$J$9250*tk_ox_vr200)</f>
        <v>2.0380651807293</v>
      </c>
      <c r="K9252" s="36" t="n">
        <f aca="false">cust_sh*tk_ox_gb300+(1-cust_sh)*((1-Sens!$K$9250)*tk_ox_gb300+Sens!$K$9250*tk_ox_vr200)</f>
        <v>2.0380651807293</v>
      </c>
      <c r="L9252" s="36" t="n">
        <f aca="false">cust_sh*tk_ox_gb300+(1-cust_sh)*((1-Sens!$L$9250)*tk_ox_gb300+Sens!$L$9250*tk_ox_vr200)</f>
        <v>2.0380651807293</v>
      </c>
      <c r="M9252" s="36" t="n">
        <f aca="false">cust_sh*tk_ox_gb300+(1-cust_sh)*((1-Sens!$M$9250)*tk_ox_gb300+Sens!$M$9250*tk_ox_vr200)</f>
        <v>2.0380651807293</v>
      </c>
    </row>
    <row r="9253" customFormat="false" ht="17.15" hidden="false" customHeight="false" outlineLevel="0" collapsed="false">
      <c r="A9253" s="5" t="s">
        <v>602</v>
      </c>
      <c r="B9253" s="0" t="s">
        <v>192</v>
      </c>
      <c r="F9253" s="36" t="n">
        <f aca="false">cust_sh*tk_cx_gb300*cf_cx+(1-cust_sh)*((1-Sens!$F$9250)*tk_cx_gb300+Sens!$F$9250*tk_cx_vr200)</f>
        <v>32.237224</v>
      </c>
      <c r="G9253" s="36" t="n">
        <f aca="false">cust_sh*tk_cx_gb300*cf_cx+(1-cust_sh)*((1-Sens!$G$9250)*tk_cx_gb300+Sens!$G$9250*tk_cx_vr200)</f>
        <v>32.237224</v>
      </c>
      <c r="H9253" s="36" t="n">
        <f aca="false">cust_sh*tk_cx_gb300*cf_cx+(1-cust_sh)*((1-Sens!$H$9250)*tk_cx_gb300+Sens!$H$9250*tk_cx_vr200)</f>
        <v>33.574506</v>
      </c>
      <c r="I9253" s="36" t="n">
        <f aca="false">cust_sh*tk_cx_gb300*cf_cx+(1-cust_sh)*((1-Sens!$I$9250)*tk_cx_gb300+Sens!$I$9250*tk_cx_vr200)</f>
        <v>34.911788</v>
      </c>
      <c r="J9253" s="36" t="n">
        <f aca="false">cust_sh*tk_cx_gb300*cf_cx+(1-cust_sh)*((1-Sens!$J$9250)*tk_cx_gb300+Sens!$J$9250*tk_cx_vr200)</f>
        <v>34.911788</v>
      </c>
      <c r="K9253" s="36" t="n">
        <f aca="false">cust_sh*tk_cx_gb300*cf_cx+(1-cust_sh)*((1-Sens!$K$9250)*tk_cx_gb300+Sens!$K$9250*tk_cx_vr200)</f>
        <v>34.911788</v>
      </c>
      <c r="L9253" s="36" t="n">
        <f aca="false">cust_sh*tk_cx_gb300*cf_cx+(1-cust_sh)*((1-Sens!$L$9250)*tk_cx_gb300+Sens!$L$9250*tk_cx_vr200)</f>
        <v>34.911788</v>
      </c>
      <c r="M9253" s="36" t="n">
        <f aca="false">cust_sh*tk_cx_gb300*cf_cx+(1-cust_sh)*((1-Sens!$M$9250)*tk_cx_gb300+Sens!$M$9250*tk_cx_vr200)</f>
        <v>34.911788</v>
      </c>
    </row>
    <row r="9254" customFormat="false" ht="17.15" hidden="false" customHeight="false" outlineLevel="0" collapsed="false">
      <c r="A9254" s="5" t="s">
        <v>603</v>
      </c>
      <c r="B9254" s="0" t="s">
        <v>129</v>
      </c>
      <c r="F9254" s="32" t="n">
        <f aca="false">Sens!$F$9244-mw_open</f>
        <v>1817.15</v>
      </c>
      <c r="G9254" s="32" t="n">
        <f aca="false">Sens!$F$9254</f>
        <v>1817.15</v>
      </c>
      <c r="H9254" s="32" t="n">
        <f aca="false">Sens!$H$9244-mw_open</f>
        <v>5451.45</v>
      </c>
      <c r="I9254" s="32" t="n">
        <f aca="false">Sens!$I$9244-mw_open</f>
        <v>9085.75</v>
      </c>
      <c r="J9254" s="32" t="n">
        <f aca="false">Sens!$J$9244-mw_open</f>
        <v>12720.05</v>
      </c>
      <c r="K9254" s="32" t="n">
        <f aca="false">Sens!$K$9244-mw_open</f>
        <v>15340.2506666667</v>
      </c>
      <c r="L9254" s="32" t="n">
        <f aca="false">Sens!$L$9244-mw_open</f>
        <v>16946.352</v>
      </c>
      <c r="M9254" s="32" t="n">
        <f aca="false">Sens!$M$9244-mw_open</f>
        <v>17538.354</v>
      </c>
    </row>
    <row r="9255" customFormat="false" ht="17.15" hidden="false" customHeight="false" outlineLevel="0" collapsed="false">
      <c r="A9255" s="0" t="s">
        <v>604</v>
      </c>
      <c r="B9255" s="0" t="s">
        <v>605</v>
      </c>
      <c r="F9255" s="32" t="n">
        <f aca="false">Sens!$F$9247*Sens!$F$9251</f>
        <v>19782.2417524844</v>
      </c>
      <c r="G9255" s="32" t="n">
        <f aca="false">Sens!$F$9255</f>
        <v>19782.2417524844</v>
      </c>
      <c r="H9255" s="32" t="n">
        <f aca="false">Sens!$G$9255+Sens!$H$9247*Sens!$H$9251</f>
        <v>60563.3616992009</v>
      </c>
      <c r="I9255" s="32" t="n">
        <f aca="false">Sens!$H$9255+Sens!$I$9247*Sens!$I$9251</f>
        <v>102561.118087665</v>
      </c>
      <c r="J9255" s="32" t="n">
        <f aca="false">Sens!$I$9255+Sens!$J$9247*Sens!$J$9251</f>
        <v>144558.87447613</v>
      </c>
      <c r="K9255" s="32" t="n">
        <f aca="false">Sens!$J$9255+Sens!$K$9247*Sens!$K$9251</f>
        <v>174837.75879706</v>
      </c>
      <c r="L9255" s="32" t="n">
        <f aca="false">Sens!$K$9255+Sens!$L$9247*Sens!$L$9251</f>
        <v>193397.771050458</v>
      </c>
      <c r="M9255" s="32" t="n">
        <f aca="false">Sens!$L$9255+Sens!$M$9247*Sens!$M$9251</f>
        <v>200238.911236321</v>
      </c>
    </row>
    <row r="9256" customFormat="false" ht="17.15" hidden="false" customHeight="false" outlineLevel="0" collapsed="false">
      <c r="A9256" s="0" t="s">
        <v>606</v>
      </c>
      <c r="B9256" s="0" t="s">
        <v>605</v>
      </c>
      <c r="F9256" s="32" t="n">
        <f aca="false">Sens!$F$9247*Sens!$F$9252</f>
        <v>3602.74485070566</v>
      </c>
      <c r="G9256" s="32" t="n">
        <f aca="false">Sens!$F$9256</f>
        <v>3602.74485070566</v>
      </c>
      <c r="H9256" s="32" t="n">
        <f aca="false">Sens!$G$9256+Sens!$H$9247*Sens!$H$9252</f>
        <v>10908.9598445736</v>
      </c>
      <c r="I9256" s="32" t="n">
        <f aca="false">Sens!$H$9256+Sens!$I$9247*Sens!$I$9252</f>
        <v>18315.9001308981</v>
      </c>
      <c r="J9256" s="32" t="n">
        <f aca="false">Sens!$I$9256+Sens!$J$9247*Sens!$J$9252</f>
        <v>25722.8404172225</v>
      </c>
      <c r="K9256" s="32" t="n">
        <f aca="false">Sens!$J$9256+Sens!$K$9247*Sens!$K$9252</f>
        <v>31062.9801624796</v>
      </c>
      <c r="L9256" s="32" t="n">
        <f aca="false">Sens!$K$9256+Sens!$L$9247*Sens!$L$9252</f>
        <v>34336.3193666691</v>
      </c>
      <c r="M9256" s="32" t="n">
        <f aca="false">Sens!$L$9256+Sens!$M$9247*Sens!$M$9252</f>
        <v>35542.8580297913</v>
      </c>
    </row>
    <row r="9257" customFormat="false" ht="17.15" hidden="false" customHeight="false" outlineLevel="0" collapsed="false">
      <c r="A9257" s="5" t="s">
        <v>607</v>
      </c>
      <c r="B9257" s="0" t="s">
        <v>173</v>
      </c>
      <c r="F9257" s="36" t="n">
        <f aca="false">IF(Sens!$F$9254&gt;0,Sens!$F$9255/Sens!$F$9254,Sens!$F$9251)</f>
        <v>10.8864110021101</v>
      </c>
      <c r="G9257" s="36" t="n">
        <f aca="false">IF(Sens!$G$9254&gt;0,Sens!$G$9255/Sens!$G$9254,Sens!$G$9251)</f>
        <v>10.8864110021101</v>
      </c>
      <c r="H9257" s="36" t="n">
        <f aca="false">IF(Sens!$H$9254&gt;0,Sens!$H$9255/Sens!$H$9254,Sens!$H$9251)</f>
        <v>11.1095876691891</v>
      </c>
      <c r="I9257" s="36" t="n">
        <f aca="false">IF(Sens!$I$9254&gt;0,Sens!$I$9255/Sens!$I$9254,Sens!$I$9251)</f>
        <v>11.2881290028523</v>
      </c>
      <c r="J9257" s="36" t="n">
        <f aca="false">IF(Sens!$J$9254&gt;0,Sens!$J$9255/Sens!$J$9254,Sens!$J$9251)</f>
        <v>11.3646467172794</v>
      </c>
      <c r="K9257" s="36" t="n">
        <f aca="false">IF(Sens!$K$9254&gt;0,Sens!$K$9255/Sens!$K$9254,Sens!$K$9251)</f>
        <v>11.3973208519318</v>
      </c>
      <c r="L9257" s="36" t="n">
        <f aca="false">IF(Sens!$L$9254&gt;0,Sens!$L$9255/Sens!$L$9254,Sens!$L$9251)</f>
        <v>11.4123541780825</v>
      </c>
      <c r="M9257" s="36" t="n">
        <f aca="false">IF(Sens!$M$9254&gt;0,Sens!$M$9255/Sens!$M$9254,Sens!$M$9251)</f>
        <v>11.4172009092941</v>
      </c>
    </row>
    <row r="9258" customFormat="false" ht="17.15" hidden="false" customHeight="false" outlineLevel="0" collapsed="false">
      <c r="A9258" s="5" t="s">
        <v>608</v>
      </c>
      <c r="B9258" s="0" t="s">
        <v>173</v>
      </c>
      <c r="F9258" s="36" t="n">
        <f aca="false">IF(Sens!$F$9254&gt;0,Sens!$F$9256/Sens!$F$9254,Sens!$F$9252)</f>
        <v>1.98263481314457</v>
      </c>
      <c r="G9258" s="36" t="n">
        <f aca="false">IF(Sens!$G$9254&gt;0,Sens!$G$9256/Sens!$G$9254,Sens!$G$9252)</f>
        <v>1.98263481314457</v>
      </c>
      <c r="H9258" s="36" t="n">
        <f aca="false">IF(Sens!$H$9254&gt;0,Sens!$H$9256/Sens!$H$9254,Sens!$H$9252)</f>
        <v>2.00111160233948</v>
      </c>
      <c r="I9258" s="36" t="n">
        <f aca="false">IF(Sens!$I$9254&gt;0,Sens!$I$9256/Sens!$I$9254,Sens!$I$9252)</f>
        <v>2.01589303369541</v>
      </c>
      <c r="J9258" s="36" t="n">
        <f aca="false">IF(Sens!$J$9254&gt;0,Sens!$J$9256/Sens!$J$9254,Sens!$J$9252)</f>
        <v>2.02222793284795</v>
      </c>
      <c r="K9258" s="36" t="n">
        <f aca="false">IF(Sens!$K$9254&gt;0,Sens!$K$9256/Sens!$K$9254,Sens!$K$9252)</f>
        <v>2.02493302342036</v>
      </c>
      <c r="L9258" s="36" t="n">
        <f aca="false">IF(Sens!$L$9254&gt;0,Sens!$L$9256/Sens!$L$9254,Sens!$L$9252)</f>
        <v>2.02617763201597</v>
      </c>
      <c r="M9258" s="36" t="n">
        <f aca="false">IF(Sens!$M$9254&gt;0,Sens!$M$9256/Sens!$M$9254,Sens!$M$9252)</f>
        <v>2.02657889273938</v>
      </c>
    </row>
    <row r="9259" customFormat="false" ht="17.15" hidden="false" customHeight="false" outlineLevel="0" collapsed="false">
      <c r="A9259" s="15" t="s">
        <v>609</v>
      </c>
      <c r="B9259" s="14" t="s">
        <v>173</v>
      </c>
      <c r="C9259" s="14"/>
      <c r="D9259" s="14"/>
      <c r="E9259" s="14"/>
      <c r="F9259" s="37" t="n">
        <f aca="false">Sens!$F$9257*k_B</f>
        <v>10.7987645808025</v>
      </c>
      <c r="G9259" s="37" t="n">
        <f aca="false">Sens!$G$9257*k_B</f>
        <v>10.7987645808025</v>
      </c>
      <c r="H9259" s="37" t="n">
        <f aca="false">Sens!$H$9257*k_B</f>
        <v>11.0201444540452</v>
      </c>
      <c r="I9259" s="37" t="n">
        <f aca="false">Sens!$I$9257*k_B</f>
        <v>11.1972483526393</v>
      </c>
      <c r="J9259" s="37" t="n">
        <f aca="false">Sens!$J$9257*k_B</f>
        <v>11.2731500234653</v>
      </c>
      <c r="K9259" s="37" t="n">
        <f aca="false">Sens!$K$9257*k_B</f>
        <v>11.3055610988807</v>
      </c>
      <c r="L9259" s="37" t="n">
        <f aca="false">Sens!$L$9257*k_B</f>
        <v>11.3204733918244</v>
      </c>
      <c r="M9259" s="37" t="n">
        <f aca="false">Sens!$M$9257*k_B</f>
        <v>11.3252811020357</v>
      </c>
      <c r="N9259" s="14"/>
      <c r="O9259" s="14"/>
      <c r="P9259" s="5" t="s">
        <v>610</v>
      </c>
    </row>
    <row r="9260" customFormat="false" ht="17.15" hidden="false" customHeight="false" outlineLevel="0" collapsed="false">
      <c r="A9260" s="5" t="s">
        <v>611</v>
      </c>
      <c r="B9260" s="0" t="s">
        <v>129</v>
      </c>
      <c r="F9260" s="32" t="n">
        <f aca="false">Sens!$F$9254/2</f>
        <v>908.575</v>
      </c>
      <c r="H9260" s="32" t="n">
        <f aca="false">(Sens!$G$9254+Sens!$H$9254)/2</f>
        <v>3634.3</v>
      </c>
      <c r="I9260" s="32" t="n">
        <f aca="false">(Sens!$H$9254+Sens!$I$9254)/2</f>
        <v>7268.6</v>
      </c>
      <c r="J9260" s="32" t="n">
        <f aca="false">(Sens!$I$9254+Sens!$J$9254)/2</f>
        <v>10902.9</v>
      </c>
      <c r="K9260" s="32" t="n">
        <f aca="false">(Sens!$J$9254+Sens!$K$9254)/2</f>
        <v>14030.1503333333</v>
      </c>
      <c r="L9260" s="32" t="n">
        <f aca="false">(Sens!$K$9254+Sens!$L$9254)/2</f>
        <v>16143.3013333333</v>
      </c>
      <c r="M9260" s="32" t="n">
        <f aca="false">(Sens!$L$9254+Sens!$M$9254)/2</f>
        <v>17242.353</v>
      </c>
    </row>
    <row r="9261" customFormat="false" ht="17.15" hidden="false" customHeight="false" outlineLevel="0" collapsed="false">
      <c r="A9261" s="1" t="s">
        <v>612</v>
      </c>
    </row>
    <row r="9262" customFormat="false" ht="17.15" hidden="false" customHeight="false" outlineLevel="0" collapsed="false">
      <c r="A9262" s="1" t="s">
        <v>613</v>
      </c>
      <c r="B9262" s="8" t="s">
        <v>86</v>
      </c>
      <c r="C9262" s="38" t="n">
        <f aca="false">Sens!$C$9245*rpm_open*Sens!$C$9246/1000</f>
        <v>2.32100535697364</v>
      </c>
      <c r="D9262" s="38" t="n">
        <f aca="false">Sens!$D$9245*rpm_open*Sens!$D$9246/1000</f>
        <v>8.70377008865116</v>
      </c>
      <c r="E9262" s="38" t="n">
        <f aca="false">Sens!$E$9245*rpm_open*Sens!$E$9246/1000</f>
        <v>8.51035297557002</v>
      </c>
      <c r="F9262" s="38" t="n">
        <f aca="false">(mw_open*rpm_open+Sens!$F$9260*Sens!$F$9259)*Sens!$F$9246/1000</f>
        <v>14.9634336447205</v>
      </c>
      <c r="G9262" s="38" t="n">
        <f aca="false">Sens!$E$9262+Sens!$F$9262</f>
        <v>23.4737866202905</v>
      </c>
      <c r="H9262" s="38" t="n">
        <f aca="false">(mw_open*rpm_open+Sens!$H$9260*Sens!$H$9259)/1000</f>
        <v>60.1658907497746</v>
      </c>
      <c r="I9262" s="38" t="n">
        <f aca="false">(mw_open*rpm_open+Sens!$I$9260*Sens!$I$9259)/1000</f>
        <v>101.503699136432</v>
      </c>
      <c r="J9262" s="38" t="n">
        <f aca="false">(mw_open*rpm_open+Sens!$J$9260*Sens!$J$9259)/1000</f>
        <v>143.025407151278</v>
      </c>
      <c r="K9262" s="38" t="n">
        <f aca="false">(mw_open*rpm_open+Sens!$K$9260*Sens!$K$9259)/1000</f>
        <v>178.73410158042</v>
      </c>
      <c r="L9262" s="38" t="n">
        <f aca="false">(mw_open*rpm_open+Sens!$L$9260*Sens!$L$9259)/1000</f>
        <v>202.865192960641</v>
      </c>
      <c r="M9262" s="38" t="n">
        <f aca="false">(mw_open*rpm_open+Sens!$M$9260*Sens!$M$9259)/1000</f>
        <v>215.389874345967</v>
      </c>
      <c r="N9262" s="38" t="n">
        <f aca="false">Sens!$N$9245*rpm_open*Sens!$N$9246/1000</f>
        <v>3.04631953102791</v>
      </c>
      <c r="O9262" s="38" t="n">
        <f aca="false">Sens!$O$9245*rpm_open*Sens!$O$9246/1000</f>
        <v>5.65745055762326</v>
      </c>
      <c r="P9262" s="5" t="s">
        <v>614</v>
      </c>
    </row>
    <row r="9263" customFormat="false" ht="17.15" hidden="false" customHeight="false" outlineLevel="0" collapsed="false">
      <c r="A9263" s="5" t="s">
        <v>615</v>
      </c>
      <c r="B9263" s="0" t="s">
        <v>173</v>
      </c>
      <c r="C9263" s="36" t="n">
        <f aca="false">Sens!$C$9262*1000/(Sens!$C$9245*Sens!$C$9246)</f>
        <v>9.67085565405685</v>
      </c>
      <c r="D9263" s="36" t="n">
        <f aca="false">Sens!$D$9262*1000/(Sens!$D$9245*Sens!$D$9246)</f>
        <v>9.67085565405685</v>
      </c>
      <c r="E9263" s="36" t="n">
        <f aca="false">Sens!$E$9262*1000/(Sens!$E$9245*Sens!$E$9246)</f>
        <v>9.67085565405685</v>
      </c>
      <c r="F9263" s="36" t="n">
        <f aca="false">Sens!$F$9262*1000/(Sens!$F$9245*Sens!$F$9246)</f>
        <v>10.0137581588017</v>
      </c>
      <c r="G9263" s="36" t="n">
        <f aca="false">Sens!$G$9262*1000/(Sens!$G$9245*Sens!$G$9246)</f>
        <v>9.88666562928478</v>
      </c>
      <c r="H9263" s="36" t="n">
        <f aca="false">Sens!$H$9262*1000/(Sens!$H$9245*Sens!$H$9246)</f>
        <v>10.5290045586992</v>
      </c>
      <c r="I9263" s="36" t="n">
        <f aca="false">Sens!$I$9262*1000/(Sens!$I$9245*Sens!$I$9246)</f>
        <v>10.8576363451674</v>
      </c>
      <c r="J9263" s="36" t="n">
        <f aca="false">Sens!$J$9262*1000/(Sens!$J$9245*Sens!$J$9246)</f>
        <v>11.0164452588619</v>
      </c>
      <c r="K9263" s="36" t="n">
        <f aca="false">Sens!$K$9262*1000/(Sens!$K$9245*Sens!$K$9246)</f>
        <v>11.0945024026625</v>
      </c>
      <c r="L9263" s="36" t="n">
        <f aca="false">Sens!$L$9262*1000/(Sens!$L$9245*Sens!$L$9246)</f>
        <v>11.1321867124904</v>
      </c>
      <c r="M9263" s="36" t="n">
        <f aca="false">Sens!$M$9262*1000/(Sens!$M$9245*Sens!$M$9246)</f>
        <v>11.1471865950263</v>
      </c>
      <c r="N9263" s="36" t="n">
        <f aca="false">Sens!$N$9262*1000/(Sens!$N$9245*Sens!$N$9246)</f>
        <v>9.67085565405685</v>
      </c>
      <c r="O9263" s="36" t="n">
        <f aca="false">Sens!$O$9262*1000/(Sens!$O$9245*Sens!$O$9246)</f>
        <v>9.67085565405685</v>
      </c>
    </row>
    <row r="9264" customFormat="false" ht="17.15" hidden="false" customHeight="false" outlineLevel="0" collapsed="false">
      <c r="A9264" s="0" t="s">
        <v>616</v>
      </c>
      <c r="B9264" s="0" t="s">
        <v>86</v>
      </c>
      <c r="C9264" s="38" t="n">
        <f aca="false">Sens!$C$9245/ext_sh*(ox_open+rent_mw)*Sens!$C$9246/1000</f>
        <v>0.642569210675032</v>
      </c>
      <c r="D9264" s="38" t="n">
        <f aca="false">Sens!$D$9245/ext_sh*(ox_open+rent_mw)*Sens!$D$9246/1000</f>
        <v>2.40963454003137</v>
      </c>
      <c r="E9264" s="38" t="n">
        <f aca="false">Sens!$E$9245/ext_sh*(ox_open+rent_mw)*Sens!$E$9246/1000</f>
        <v>2.35608710580845</v>
      </c>
      <c r="F9264" s="38" t="n">
        <f aca="false">((mw_open*ox_open+Sens!$F$9260*Sens!$F$9258)/ext_sh+Sens!$F$9245/ext_sh*rent_mw)*Sens!$F$9246/1000</f>
        <v>4.05421991106232</v>
      </c>
      <c r="G9264" s="38" t="n">
        <f aca="false">Sens!$E$9264+Sens!$F$9264</f>
        <v>6.41030701687077</v>
      </c>
      <c r="H9264" s="38" t="n">
        <f aca="false">((mw_open*ox_open+Sens!$H$9260*Sens!$H$9258)/ext_sh+Sens!$H$9245/ext_sh*rent_mw)*Sens!$H$9246/1000</f>
        <v>15.8108975546616</v>
      </c>
      <c r="I9264" s="38" t="n">
        <f aca="false">((mw_open*ox_open+Sens!$I$9260*Sens!$I$9258)/ext_sh+Sens!$I$9245/ext_sh*rent_mw)*Sens!$I$9246/1000</f>
        <v>26.1871623400817</v>
      </c>
      <c r="J9264" s="38" t="n">
        <f aca="false">((mw_open*ox_open+Sens!$J$9260*Sens!$J$9258)/ext_sh+Sens!$J$9245/ext_sh*rent_mw)*Sens!$J$9246/1000</f>
        <v>36.5826128954935</v>
      </c>
      <c r="K9264" s="38" t="n">
        <f aca="false">((mw_open*ox_open+Sens!$K$9260*Sens!$K$9258)/ext_sh+Sens!$K$9245/ext_sh*rent_mw)*Sens!$K$9246/1000</f>
        <v>45.5256266941655</v>
      </c>
      <c r="L9264" s="38" t="n">
        <f aca="false">((mw_open*ox_open+Sens!$L$9260*Sens!$L$9258)/ext_sh+Sens!$L$9245/ext_sh*rent_mw)*Sens!$L$9246/1000</f>
        <v>51.568818942134</v>
      </c>
      <c r="M9264" s="38" t="n">
        <f aca="false">((mw_open*ox_open+Sens!$M$9260*Sens!$M$9258)/ext_sh+Sens!$M$9245/ext_sh*rent_mw)*Sens!$M$9246/1000</f>
        <v>54.7091842856355</v>
      </c>
      <c r="N9264" s="38" t="n">
        <f aca="false">Sens!$N$9245/ext_sh*(ox_open+rent_mw)*Sens!$N$9246/1000</f>
        <v>0.84337208901098</v>
      </c>
      <c r="O9264" s="38" t="n">
        <f aca="false">Sens!$O$9245/ext_sh*(ox_open+rent_mw)*Sens!$O$9246/1000</f>
        <v>1.56626245102039</v>
      </c>
    </row>
    <row r="9265" customFormat="false" ht="17.15" hidden="false" customHeight="false" outlineLevel="0" collapsed="false">
      <c r="A9265" s="0" t="s">
        <v>617</v>
      </c>
      <c r="B9265" s="0" t="s">
        <v>86</v>
      </c>
      <c r="C9265" s="38" t="n">
        <f aca="false">Q!$D$7</f>
        <v>107.556</v>
      </c>
      <c r="D9265" s="38" t="n">
        <f aca="false">Q!$E$7</f>
        <v>128.725</v>
      </c>
      <c r="E9265" s="38" t="n">
        <f aca="false">Q!$P$7</f>
        <v>79.819</v>
      </c>
      <c r="N9265" s="38" t="n">
        <f aca="false">Q!$N$7</f>
        <v>60.14</v>
      </c>
      <c r="O9265" s="38" t="n">
        <f aca="false">Q!$O$7</f>
        <v>68.585</v>
      </c>
    </row>
    <row r="9266" customFormat="false" ht="17.15" hidden="false" customHeight="false" outlineLevel="0" collapsed="false">
      <c r="A9266" s="1" t="s">
        <v>618</v>
      </c>
      <c r="B9266" s="8" t="s">
        <v>86</v>
      </c>
      <c r="C9266" s="38" t="n">
        <f aca="false">Sens!$C$9265-Sens!$C$9262</f>
        <v>105.234994643026</v>
      </c>
      <c r="D9266" s="38" t="n">
        <f aca="false">Sens!$D$9265-Sens!$D$9262</f>
        <v>120.021229911349</v>
      </c>
      <c r="E9266" s="38" t="n">
        <f aca="false">Sens!$E$9265-Sens!$E$9262</f>
        <v>71.30864702443</v>
      </c>
      <c r="F9266" s="38" t="n">
        <f aca="false">Sens!$O$9266*(1+Sens!$F$9267)</f>
        <v>71.7692997942464</v>
      </c>
      <c r="G9266" s="38" t="n">
        <f aca="false">Sens!$E$9266+Sens!$F$9266</f>
        <v>143.077946818676</v>
      </c>
      <c r="H9266" s="38" t="n">
        <f aca="false">Sens!$G$9266*(1+Sens!$H$9267)</f>
        <v>161.017077079203</v>
      </c>
      <c r="I9266" s="38" t="n">
        <f aca="false">Sens!$H$9266*(1+Sens!$I$9267)</f>
        <v>178.769759521457</v>
      </c>
      <c r="J9266" s="38" t="n">
        <f aca="false">Sens!$I$9266*(1+Sens!$J$9267)</f>
        <v>195.775538045907</v>
      </c>
      <c r="K9266" s="38" t="n">
        <f aca="false">Sens!$J$9266*(1+Sens!$K$9267)</f>
        <v>211.43758108958</v>
      </c>
      <c r="L9266" s="38" t="n">
        <f aca="false">Sens!$K$9266*(1+Sens!$L$9267)</f>
        <v>228.352587576746</v>
      </c>
      <c r="M9266" s="38" t="n">
        <f aca="false">Sens!$L$9266*(1+Sens!$M$9267)</f>
        <v>246.620794582886</v>
      </c>
      <c r="N9266" s="38" t="n">
        <f aca="false">Sens!$N$9265-Sens!$N$9262</f>
        <v>57.0936804689721</v>
      </c>
      <c r="O9266" s="38" t="n">
        <f aca="false">Sens!$O$9265-Sens!$O$9262</f>
        <v>62.9275494423768</v>
      </c>
      <c r="P9266" s="5" t="s">
        <v>619</v>
      </c>
    </row>
    <row r="9267" customFormat="false" ht="17.15" hidden="false" customHeight="false" outlineLevel="0" collapsed="false">
      <c r="A9267" s="0" t="s">
        <v>620</v>
      </c>
      <c r="B9267" s="0" t="s">
        <v>52</v>
      </c>
      <c r="D9267" s="13" t="n">
        <f aca="false">Sens!$D$9266/Sens!$C$9266-1</f>
        <v>0.140506827776062</v>
      </c>
      <c r="E9267" s="13" t="n">
        <f aca="false">Sens!$E$9266/Sens!$N$9266-1</f>
        <v>0.248976181579029</v>
      </c>
      <c r="F9267" s="13" t="n">
        <f aca="false">Sens!$D$9267</f>
        <v>0.140506827776062</v>
      </c>
      <c r="G9267" s="13" t="n">
        <f aca="false">Sens!$G$9266/Sens!$D$9266-1</f>
        <v>0.19210532106993</v>
      </c>
      <c r="H9267" s="13" t="n">
        <f aca="false">Sens!$F$9267+(g_awso_lt-Sens!$F$9267)*1/4</f>
        <v>0.125380120832046</v>
      </c>
      <c r="I9267" s="13" t="n">
        <f aca="false">Sens!$F$9267+(g_awso_lt-Sens!$F$9267)*2/4</f>
        <v>0.110253413888031</v>
      </c>
      <c r="J9267" s="13" t="n">
        <f aca="false">Sens!$F$9267+(g_awso_lt-Sens!$F$9267)*3/4</f>
        <v>0.0951267069440154</v>
      </c>
      <c r="K9267" s="13" t="n">
        <f aca="false">Sens!$F$9267+(g_awso_lt-Sens!$F$9267)*4/4</f>
        <v>0.08</v>
      </c>
      <c r="L9267" s="13" t="n">
        <f aca="false">g_awso_lt</f>
        <v>0.08</v>
      </c>
      <c r="M9267" s="13" t="n">
        <f aca="false">g_awso_lt</f>
        <v>0.08</v>
      </c>
      <c r="P9267" s="5" t="s">
        <v>621</v>
      </c>
    </row>
    <row r="9268" customFormat="false" ht="17.15" hidden="false" customHeight="false" outlineLevel="0" collapsed="false">
      <c r="A9268" s="1" t="s">
        <v>622</v>
      </c>
    </row>
    <row r="9269" customFormat="false" ht="17.15" hidden="false" customHeight="false" outlineLevel="0" collapsed="false">
      <c r="A9269" s="0" t="s">
        <v>623</v>
      </c>
      <c r="B9269" s="0" t="s">
        <v>86</v>
      </c>
      <c r="F9269" s="38" t="n">
        <f aca="false">cx_rt*Sens!$F$9234+cx_awso*Sens!$F$9266</f>
        <v>34.9734495387866</v>
      </c>
    </row>
    <row r="9270" customFormat="false" ht="17.15" hidden="false" customHeight="false" outlineLevel="0" collapsed="false">
      <c r="A9270" s="0" t="s">
        <v>624</v>
      </c>
      <c r="B9270" s="0" t="s">
        <v>52</v>
      </c>
      <c r="C9270" s="13" t="n">
        <f aca="false">tk_cx_h100/(tk_cx_h100+tk_fac*(1-colo_sh))</f>
        <v>0.730756458006641</v>
      </c>
      <c r="D9270" s="13" t="n">
        <f aca="false">tk_cx_h100/(tk_cx_h100+tk_fac*(1-colo_sh))</f>
        <v>0.730756458006641</v>
      </c>
      <c r="E9270" s="13" t="n">
        <f aca="false">Sens!$F$9270</f>
        <v>0.760792334328868</v>
      </c>
      <c r="F9270" s="13" t="n">
        <f aca="false">Sens!$F$9253/(Sens!$F$9253+tk_fac*(1-colo_sh))</f>
        <v>0.760792334328868</v>
      </c>
      <c r="G9270" s="13" t="n">
        <f aca="false">Sens!$G$9253/(Sens!$G$9253+tk_fac*(1-colo_sh))</f>
        <v>0.760792334328868</v>
      </c>
      <c r="H9270" s="13" t="n">
        <f aca="false">Sens!$H$9253/(Sens!$H$9253+tk_fac*(1-colo_sh))</f>
        <v>0.768110668862996</v>
      </c>
      <c r="I9270" s="13" t="n">
        <f aca="false">Sens!$I$9253/(Sens!$I$9253+tk_fac*(1-colo_sh))</f>
        <v>0.77499450139483</v>
      </c>
      <c r="J9270" s="13" t="n">
        <f aca="false">Sens!$J$9253/(Sens!$J$9253+tk_fac*(1-colo_sh))</f>
        <v>0.77499450139483</v>
      </c>
      <c r="K9270" s="13" t="n">
        <f aca="false">Sens!$K$9253/(Sens!$K$9253+tk_fac*(1-colo_sh))</f>
        <v>0.77499450139483</v>
      </c>
      <c r="L9270" s="13" t="n">
        <f aca="false">Sens!$L$9253/(Sens!$L$9253+tk_fac*(1-colo_sh))</f>
        <v>0.77499450139483</v>
      </c>
      <c r="M9270" s="13" t="n">
        <f aca="false">Sens!$M$9253/(Sens!$M$9253+tk_fac*(1-colo_sh))</f>
        <v>0.77499450139483</v>
      </c>
    </row>
    <row r="9271" customFormat="false" ht="17.15" hidden="false" customHeight="false" outlineLevel="0" collapsed="false">
      <c r="A9271" s="1" t="s">
        <v>625</v>
      </c>
      <c r="B9271" s="8" t="s">
        <v>86</v>
      </c>
      <c r="C9271" s="38" t="n">
        <f aca="false">Q!$D$46-cx_rt*Q!$D$16-cx_awso*Sens!$C$9266</f>
        <v>25.2781053077374</v>
      </c>
      <c r="D9271" s="38" t="n">
        <f aca="false">Q!$E$46-cx_rt*Q!$E$16-cx_awso*Sens!$D$9266</f>
        <v>69.5686316310026</v>
      </c>
      <c r="E9271" s="38" t="n">
        <f aca="false">Q!$P$46-cx_rt*Q!$P$16-cx_awso*Sens!$E$9266</f>
        <v>64.1899206485108</v>
      </c>
      <c r="F9271" s="38" t="n">
        <f aca="false">MAX(Sens!$F$9248*(Sens!$F$9253+tk_fac*(1-colo_sh))/1000,capex_g26-Q!$P$46-Sens!$F$9269)</f>
        <v>96.2481299895</v>
      </c>
      <c r="G9271" s="38" t="n">
        <f aca="false">Sens!$E$9271+Sens!$F$9271</f>
        <v>160.438050638011</v>
      </c>
      <c r="H9271" s="38" t="n">
        <f aca="false">Sens!$H$9248*(Sens!$H$9253+tk_fac*(1-colo_sh))/1000+Sens!$H$9272</f>
        <v>198.57136494475</v>
      </c>
      <c r="I9271" s="38" t="n">
        <f aca="false">Sens!$I$9248*(Sens!$I$9253+tk_fac*(1-colo_sh))/1000+Sens!$I$9272</f>
        <v>204.6464699105</v>
      </c>
      <c r="J9271" s="38" t="n">
        <f aca="false">Sens!$J$9248*(Sens!$J$9253+tk_fac*(1-colo_sh))/1000+Sens!$J$9272</f>
        <v>209.8832381105</v>
      </c>
      <c r="K9271" s="38" t="n">
        <f aca="false">Sens!$K$9248*(Sens!$K$9253+tk_fac*(1-colo_sh))/1000+Sens!$K$9272</f>
        <v>158.016341586823</v>
      </c>
      <c r="L9271" s="38" t="n">
        <f aca="false">Sens!$L$9248*(Sens!$L$9253+tk_fac*(1-colo_sh))/1000+Sens!$L$9272</f>
        <v>137.570054263147</v>
      </c>
      <c r="M9271" s="38" t="n">
        <f aca="false">Sens!$M$9248*(Sens!$M$9253+tk_fac*(1-colo_sh))/1000+Sens!$M$9272</f>
        <v>140.56485059472</v>
      </c>
      <c r="P9271" s="5" t="s">
        <v>626</v>
      </c>
      <c r="R9271" s="38" t="n">
        <f aca="false">Q!$C$46-cx_rt*Q!$C$16-cx_awso*(Q!$C$7-mw_ye23/2*rpm_open/1000)</f>
        <v>1.50429979529945</v>
      </c>
      <c r="S9271" s="38" t="n">
        <f aca="false">Sens!$C$9271</f>
        <v>25.2781053077374</v>
      </c>
      <c r="T9271" s="38" t="n">
        <f aca="false">Sens!$D$9271</f>
        <v>69.5686316310026</v>
      </c>
      <c r="U9271" s="38" t="n">
        <f aca="false">Sens!$G$9271</f>
        <v>160.438050638011</v>
      </c>
      <c r="V9271" s="38" t="n">
        <f aca="false">Sens!$H$9271</f>
        <v>198.57136494475</v>
      </c>
      <c r="W9271" s="38" t="n">
        <f aca="false">Sens!$I$9271</f>
        <v>204.6464699105</v>
      </c>
      <c r="X9271" s="38" t="n">
        <f aca="false">Sens!$J$9271</f>
        <v>209.8832381105</v>
      </c>
      <c r="Y9271" s="38" t="n">
        <f aca="false">Sens!$K$9271</f>
        <v>158.016341586823</v>
      </c>
      <c r="Z9271" s="38" t="n">
        <f aca="false">Sens!$L$9271</f>
        <v>137.570054263147</v>
      </c>
      <c r="AA9271" s="38" t="n">
        <f aca="false">Sens!$M$9271</f>
        <v>140.56485059472</v>
      </c>
    </row>
    <row r="9272" customFormat="false" ht="17.15" hidden="false" customHeight="false" outlineLevel="0" collapsed="false">
      <c r="A9272" s="0" t="s">
        <v>627</v>
      </c>
      <c r="B9272" s="0" t="s">
        <v>86</v>
      </c>
      <c r="H9272" s="38" t="n">
        <f aca="false">SUMPRODUCT(--(Sens!$R$9241:$AA$9241=2027-tk_life),Sens!$R$9248:$AA$9248)*Sens!$H$9253/1000</f>
        <v>0</v>
      </c>
      <c r="I9272" s="38" t="n">
        <f aca="false">SUMPRODUCT(--(Sens!$R$9241:$AA$9241=2028-tk_life),Sens!$R$9248:$AA$9248)*Sens!$I$9253/1000</f>
        <v>0</v>
      </c>
      <c r="J9272" s="38" t="n">
        <f aca="false">SUMPRODUCT(--(Sens!$R$9241:$AA$9241=2029-tk_life),Sens!$R$9248:$AA$9248)*Sens!$J$9253/1000</f>
        <v>5.2367682</v>
      </c>
      <c r="K9272" s="38" t="n">
        <f aca="false">SUMPRODUCT(--(Sens!$R$9241:$AA$9241=2030-tk_life),Sens!$R$9248:$AA$9248)*Sens!$K$9253/1000</f>
        <v>10.4735364</v>
      </c>
      <c r="L9272" s="38" t="n">
        <f aca="false">SUMPRODUCT(--(Sens!$R$9241:$AA$9241=2031-tk_life),Sens!$R$9248:$AA$9248)*Sens!$L$9253/1000</f>
        <v>47.1309138</v>
      </c>
      <c r="M9272" s="38" t="n">
        <f aca="false">SUMPRODUCT(--(Sens!$R$9241:$AA$9241=2032-tk_life),Sens!$R$9248:$AA$9248)*Sens!$M$9253/1000</f>
        <v>107.22937485525</v>
      </c>
    </row>
    <row r="9273" customFormat="false" ht="17.15" hidden="false" customHeight="false" outlineLevel="0" collapsed="false">
      <c r="A9273" s="5" t="s">
        <v>628</v>
      </c>
      <c r="B9273" s="0" t="s">
        <v>86</v>
      </c>
      <c r="C9273" s="38" t="n">
        <f aca="false">Sens!$C$9271*Sens!$C$9270</f>
        <v>18.472138699801</v>
      </c>
      <c r="D9273" s="38" t="n">
        <f aca="false">Sens!$D$9271*Sens!$D$9270</f>
        <v>50.8377268390402</v>
      </c>
      <c r="E9273" s="38" t="n">
        <f aca="false">Sens!$E$9271*Sens!$E$9270</f>
        <v>48.8351995705653</v>
      </c>
      <c r="F9273" s="38" t="n">
        <f aca="false">Sens!$F$9271*Sens!$F$9270</f>
        <v>73.2248394895</v>
      </c>
      <c r="G9273" s="38" t="n">
        <f aca="false">Sens!$E$9273+Sens!$F$9273</f>
        <v>122.060039060065</v>
      </c>
      <c r="H9273" s="38" t="n">
        <f aca="false">(Sens!$H$9271-Sens!$H$9272)*Sens!$H$9270+Sens!$H$9272</f>
        <v>152.52478394475</v>
      </c>
      <c r="I9273" s="38" t="n">
        <f aca="false">(Sens!$I$9271-Sens!$I$9272)*Sens!$I$9270+Sens!$I$9272</f>
        <v>158.5998889105</v>
      </c>
      <c r="J9273" s="38" t="n">
        <f aca="false">(Sens!$J$9271-Sens!$J$9272)*Sens!$J$9270+Sens!$J$9272</f>
        <v>163.8366571105</v>
      </c>
      <c r="K9273" s="38" t="n">
        <f aca="false">(Sens!$K$9271-Sens!$K$9272)*Sens!$K$9270+Sens!$K$9272</f>
        <v>124.818399140157</v>
      </c>
      <c r="L9273" s="38" t="n">
        <f aca="false">(Sens!$L$9271-Sens!$L$9272)*Sens!$L$9270+Sens!$L$9272</f>
        <v>117.220750369813</v>
      </c>
      <c r="M9273" s="38" t="n">
        <f aca="false">(Sens!$M$9271-Sens!$M$9272)*Sens!$M$9270+Sens!$M$9272</f>
        <v>133.06418525472</v>
      </c>
      <c r="R9273" s="38" t="n">
        <f aca="false">Sens!$R$9271*Sens!$C$9270</f>
        <v>1.09927679019314</v>
      </c>
      <c r="S9273" s="38" t="n">
        <f aca="false">Sens!$C$9273</f>
        <v>18.472138699801</v>
      </c>
      <c r="T9273" s="38" t="n">
        <f aca="false">Sens!$D$9273</f>
        <v>50.8377268390402</v>
      </c>
      <c r="U9273" s="38" t="n">
        <f aca="false">Sens!$G$9273</f>
        <v>122.060039060065</v>
      </c>
      <c r="V9273" s="38" t="n">
        <f aca="false">Sens!$H$9273</f>
        <v>152.52478394475</v>
      </c>
      <c r="W9273" s="38" t="n">
        <f aca="false">Sens!$I$9273</f>
        <v>158.5998889105</v>
      </c>
      <c r="X9273" s="38" t="n">
        <f aca="false">Sens!$J$9273</f>
        <v>163.8366571105</v>
      </c>
      <c r="Y9273" s="38" t="n">
        <f aca="false">Sens!$K$9273</f>
        <v>124.818399140157</v>
      </c>
      <c r="Z9273" s="38" t="n">
        <f aca="false">Sens!$L$9273</f>
        <v>117.220750369813</v>
      </c>
      <c r="AA9273" s="38" t="n">
        <f aca="false">Sens!$M$9273</f>
        <v>133.06418525472</v>
      </c>
    </row>
    <row r="9274" customFormat="false" ht="15" hidden="false" customHeight="false" outlineLevel="0" collapsed="false">
      <c r="A9274" s="5" t="s">
        <v>629</v>
      </c>
      <c r="B9274" s="0" t="s">
        <v>86</v>
      </c>
      <c r="C9274" s="38" t="n">
        <f aca="false">Sens!$C$9271-Sens!$C$9273</f>
        <v>6.80596660793636</v>
      </c>
      <c r="D9274" s="38" t="n">
        <f aca="false">Sens!$D$9271-Sens!$D$9273</f>
        <v>18.7309047919624</v>
      </c>
      <c r="E9274" s="38" t="n">
        <f aca="false">Sens!$E$9271-Sens!$E$9273</f>
        <v>15.3547210779455</v>
      </c>
      <c r="F9274" s="38" t="n">
        <f aca="false">Sens!$F$9271-Sens!$F$9273</f>
        <v>23.0232905</v>
      </c>
      <c r="G9274" s="38" t="n">
        <f aca="false">Sens!$G$9271-Sens!$G$9273</f>
        <v>38.3780115779455</v>
      </c>
      <c r="H9274" s="38" t="n">
        <f aca="false">Sens!$H$9271-Sens!$H$9273</f>
        <v>46.046581</v>
      </c>
      <c r="I9274" s="38" t="n">
        <f aca="false">Sens!$I$9271-Sens!$I$9273</f>
        <v>46.046581</v>
      </c>
      <c r="J9274" s="38" t="n">
        <f aca="false">Sens!$J$9271-Sens!$J$9273</f>
        <v>46.046581</v>
      </c>
      <c r="K9274" s="38" t="n">
        <f aca="false">Sens!$K$9271-Sens!$K$9273</f>
        <v>33.1979424466667</v>
      </c>
      <c r="L9274" s="38" t="n">
        <f aca="false">Sens!$L$9271-Sens!$L$9273</f>
        <v>20.3493038933333</v>
      </c>
      <c r="M9274" s="38" t="n">
        <f aca="false">Sens!$M$9271-Sens!$M$9273</f>
        <v>7.50066534000001</v>
      </c>
      <c r="R9274" s="38" t="n">
        <f aca="false">Sens!$R$9271-Sens!$R$9273</f>
        <v>0.405023005106309</v>
      </c>
      <c r="S9274" s="38" t="n">
        <f aca="false">Sens!$S$9271-Sens!$S$9273</f>
        <v>6.80596660793636</v>
      </c>
      <c r="T9274" s="38" t="n">
        <f aca="false">Sens!$T$9271-Sens!$T$9273</f>
        <v>18.7309047919624</v>
      </c>
      <c r="U9274" s="38" t="n">
        <f aca="false">Sens!$U$9271-Sens!$U$9273</f>
        <v>38.3780115779455</v>
      </c>
      <c r="V9274" s="38" t="n">
        <f aca="false">Sens!$V$9271-Sens!$V$9273</f>
        <v>46.046581</v>
      </c>
      <c r="W9274" s="38" t="n">
        <f aca="false">Sens!$W$9271-Sens!$W$9273</f>
        <v>46.046581</v>
      </c>
      <c r="X9274" s="38" t="n">
        <f aca="false">Sens!$X$9271-Sens!$X$9273</f>
        <v>46.046581</v>
      </c>
      <c r="Y9274" s="38" t="n">
        <f aca="false">Sens!$Y$9271-Sens!$Y$9273</f>
        <v>33.1979424466667</v>
      </c>
      <c r="Z9274" s="38" t="n">
        <f aca="false">Sens!$Z$9271-Sens!$Z$9273</f>
        <v>20.3493038933333</v>
      </c>
      <c r="AA9274" s="38" t="n">
        <f aca="false">Sens!$AA$9271-Sens!$AA$9273</f>
        <v>7.50066534000001</v>
      </c>
    </row>
    <row r="9275" customFormat="false" ht="17.15" hidden="false" customHeight="false" outlineLevel="0" collapsed="false">
      <c r="A9275" s="0" t="s">
        <v>630</v>
      </c>
      <c r="B9275" s="0" t="s">
        <v>52</v>
      </c>
      <c r="C9275" s="13" t="n">
        <f aca="false">Sens!$C$9271/Sens!$C$9391</f>
        <v>0.325505489553393</v>
      </c>
      <c r="D9275" s="13" t="n">
        <f aca="false">Sens!$D$9271/Sens!$D$9391</f>
        <v>0.54214956071542</v>
      </c>
      <c r="E9275" s="13" t="n">
        <f aca="false">Sens!$E$9271/Sens!$E$9391</f>
        <v>0.666492790452817</v>
      </c>
      <c r="F9275" s="13" t="n">
        <f aca="false">Sens!$F$9271/Sens!$F$9391</f>
        <v>0.733477910687338</v>
      </c>
      <c r="G9275" s="13" t="n">
        <f aca="false">Sens!$G$9271/Sens!$G$9391</f>
        <v>0.705124321514523</v>
      </c>
      <c r="H9275" s="13" t="n">
        <f aca="false">Sens!$H$9271/Sens!$H$9391</f>
        <v>0.726376041178204</v>
      </c>
      <c r="I9275" s="13" t="n">
        <f aca="false">Sens!$I$9271/Sens!$I$9391</f>
        <v>0.713099092661699</v>
      </c>
      <c r="J9275" s="13" t="n">
        <f aca="false">Sens!$J$9271/Sens!$J$9391</f>
        <v>0.701208348786245</v>
      </c>
      <c r="K9275" s="13" t="n">
        <f aca="false">Sens!$K$9271/Sens!$K$9391</f>
        <v>0.622515721629545</v>
      </c>
      <c r="L9275" s="13" t="n">
        <f aca="false">Sens!$L$9271/Sens!$L$9391</f>
        <v>0.572606741433048</v>
      </c>
      <c r="M9275" s="13" t="n">
        <f aca="false">Sens!$M$9271/Sens!$M$9391</f>
        <v>0.560855994905929</v>
      </c>
    </row>
    <row r="9276" customFormat="false" ht="17.15" hidden="false" customHeight="false" outlineLevel="0" collapsed="false">
      <c r="A9276" s="0" t="s">
        <v>631</v>
      </c>
      <c r="B9276" s="0" t="s">
        <v>86</v>
      </c>
      <c r="C9276" s="38" t="n">
        <f aca="false">Sens!$S$9276</f>
        <v>0.183212798365523</v>
      </c>
      <c r="D9276" s="38" t="n">
        <f aca="false">Sens!$T$9276</f>
        <v>3.2619025816657</v>
      </c>
      <c r="E9276" s="38" t="n">
        <f aca="false">Sens!$G$9276/2</f>
        <v>5.86742852741953</v>
      </c>
      <c r="F9276" s="38" t="n">
        <f aca="false">Sens!$G$9276/2</f>
        <v>5.86742852741953</v>
      </c>
      <c r="G9276" s="38" t="n">
        <f aca="false">Sens!$U$9276</f>
        <v>11.7348570548391</v>
      </c>
      <c r="H9276" s="38" t="n">
        <f aca="false">Sens!$V$9276</f>
        <v>32.0781968981833</v>
      </c>
      <c r="I9276" s="38" t="n">
        <f aca="false">Sens!$W$9276</f>
        <v>57.4989942223083</v>
      </c>
      <c r="J9276" s="38" t="n">
        <f aca="false">Sens!$X$9276</f>
        <v>83.932309040725</v>
      </c>
      <c r="K9276" s="38" t="n">
        <f aca="false">Sens!$Y$9276</f>
        <v>111.055205760776</v>
      </c>
      <c r="L9276" s="38" t="n">
        <f aca="false">Sens!$Z$9276</f>
        <v>128.779582500835</v>
      </c>
      <c r="M9276" s="38" t="n">
        <f aca="false">Sens!$AA$9276</f>
        <v>139.843419755964</v>
      </c>
      <c r="N9276" s="38" t="n">
        <f aca="false">Sens!$D$9276/2</f>
        <v>1.63095129083285</v>
      </c>
      <c r="O9276" s="38" t="n">
        <f aca="false">Sens!$D$9276/2</f>
        <v>1.63095129083285</v>
      </c>
      <c r="R9276" s="38" t="n">
        <f aca="false">SUMPRODUCT(--(Sens!$R$9241:$AA$9241&lt;Sens!R$9241),--(Sens!$R$9241:$AA$9241&gt;=Sens!R$9241-tk_life),Sens!$R$9273:$AA$9273)/tk_life</f>
        <v>0</v>
      </c>
      <c r="S9276" s="38" t="n">
        <f aca="false">SUMPRODUCT(--(Sens!$R$9241:$AA$9241&lt;Sens!S$9241),--(Sens!$R$9241:$AA$9241&gt;=Sens!S$9241-tk_life),Sens!$R$9273:$AA$9273)/tk_life</f>
        <v>0.183212798365523</v>
      </c>
      <c r="T9276" s="38" t="n">
        <f aca="false">SUMPRODUCT(--(Sens!$R$9241:$AA$9241&lt;Sens!T$9241),--(Sens!$R$9241:$AA$9241&gt;=Sens!T$9241-tk_life),Sens!$R$9273:$AA$9273)/tk_life</f>
        <v>3.2619025816657</v>
      </c>
      <c r="U9276" s="38" t="n">
        <f aca="false">SUMPRODUCT(--(Sens!$R$9241:$AA$9241&lt;Sens!U$9241),--(Sens!$R$9241:$AA$9241&gt;=Sens!U$9241-tk_life),Sens!$R$9273:$AA$9273)/tk_life</f>
        <v>11.7348570548391</v>
      </c>
      <c r="V9276" s="38" t="n">
        <f aca="false">SUMPRODUCT(--(Sens!$R$9241:$AA$9241&lt;Sens!V$9241),--(Sens!$R$9241:$AA$9241&gt;=Sens!V$9241-tk_life),Sens!$R$9273:$AA$9273)/tk_life</f>
        <v>32.0781968981833</v>
      </c>
      <c r="W9276" s="38" t="n">
        <f aca="false">SUMPRODUCT(--(Sens!$R$9241:$AA$9241&lt;Sens!W$9241),--(Sens!$R$9241:$AA$9241&gt;=Sens!W$9241-tk_life),Sens!$R$9273:$AA$9273)/tk_life</f>
        <v>57.4989942223083</v>
      </c>
      <c r="X9276" s="38" t="n">
        <f aca="false">SUMPRODUCT(--(Sens!$R$9241:$AA$9241&lt;Sens!X$9241),--(Sens!$R$9241:$AA$9241&gt;=Sens!X$9241-tk_life),Sens!$R$9273:$AA$9273)/tk_life</f>
        <v>83.932309040725</v>
      </c>
      <c r="Y9276" s="38" t="n">
        <f aca="false">SUMPRODUCT(--(Sens!$R$9241:$AA$9241&lt;Sens!Y$9241),--(Sens!$R$9241:$AA$9241&gt;=Sens!Y$9241-tk_life),Sens!$R$9273:$AA$9273)/tk_life</f>
        <v>111.055205760776</v>
      </c>
      <c r="Z9276" s="38" t="n">
        <f aca="false">SUMPRODUCT(--(Sens!$R$9241:$AA$9241&lt;Sens!Z$9241),--(Sens!$R$9241:$AA$9241&gt;=Sens!Z$9241-tk_life),Sens!$R$9273:$AA$9273)/tk_life</f>
        <v>128.779582500835</v>
      </c>
      <c r="AA9276" s="38" t="n">
        <f aca="false">SUMPRODUCT(--(Sens!$R$9241:$AA$9241&lt;Sens!AA$9241),--(Sens!$R$9241:$AA$9241&gt;=Sens!AA$9241-tk_life),Sens!$R$9273:$AA$9273)/tk_life</f>
        <v>139.843419755964</v>
      </c>
    </row>
    <row r="9277" customFormat="false" ht="17.15" hidden="false" customHeight="false" outlineLevel="0" collapsed="false">
      <c r="A9277" s="0" t="s">
        <v>632</v>
      </c>
      <c r="B9277" s="0" t="s">
        <v>86</v>
      </c>
      <c r="C9277" s="38" t="n">
        <f aca="false">Sens!$S$9277</f>
        <v>0.0202511502553155</v>
      </c>
      <c r="D9277" s="38" t="n">
        <f aca="false">Sens!$T$9277</f>
        <v>0.360549480652134</v>
      </c>
      <c r="E9277" s="38" t="n">
        <f aca="false">Sens!$G$9277/2</f>
        <v>0.648547360125127</v>
      </c>
      <c r="F9277" s="38" t="n">
        <f aca="false">Sens!$G$9277/2</f>
        <v>0.648547360125127</v>
      </c>
      <c r="G9277" s="38" t="n">
        <f aca="false">Sens!$U$9277</f>
        <v>1.29709472025025</v>
      </c>
      <c r="H9277" s="38" t="n">
        <f aca="false">Sens!$V$9277</f>
        <v>3.21599529914753</v>
      </c>
      <c r="I9277" s="38" t="n">
        <f aca="false">Sens!$W$9277</f>
        <v>5.51832434914753</v>
      </c>
      <c r="J9277" s="38" t="n">
        <f aca="false">Sens!$X$9277</f>
        <v>7.82065339914753</v>
      </c>
      <c r="K9277" s="38" t="n">
        <f aca="false">Sens!$Y$9277</f>
        <v>10.1229824491475</v>
      </c>
      <c r="L9277" s="38" t="n">
        <f aca="false">Sens!$Z$9277</f>
        <v>11.7828795714809</v>
      </c>
      <c r="M9277" s="38" t="n">
        <f aca="false">Sens!$AA$9277</f>
        <v>12.8003447661475</v>
      </c>
      <c r="N9277" s="38" t="n">
        <f aca="false">Sens!$D$9277/2</f>
        <v>0.180274740326067</v>
      </c>
      <c r="O9277" s="38" t="n">
        <f aca="false">Sens!$D$9277/2</f>
        <v>0.180274740326067</v>
      </c>
      <c r="R9277" s="38" t="n">
        <f aca="false">SUMPRODUCT(--(Sens!$R$9241:$AA$9241&lt;Sens!R$9241),Sens!$R$9274:$AA$9274)/fac_life</f>
        <v>0</v>
      </c>
      <c r="S9277" s="38" t="n">
        <f aca="false">SUMPRODUCT(--(Sens!$R$9241:$AA$9241&lt;Sens!S$9241),Sens!$R$9274:$AA$9274)/fac_life</f>
        <v>0.0202511502553155</v>
      </c>
      <c r="T9277" s="38" t="n">
        <f aca="false">SUMPRODUCT(--(Sens!$R$9241:$AA$9241&lt;Sens!T$9241),Sens!$R$9274:$AA$9274)/fac_life</f>
        <v>0.360549480652134</v>
      </c>
      <c r="U9277" s="38" t="n">
        <f aca="false">SUMPRODUCT(--(Sens!$R$9241:$AA$9241&lt;Sens!U$9241),Sens!$R$9274:$AA$9274)/fac_life</f>
        <v>1.29709472025025</v>
      </c>
      <c r="V9277" s="38" t="n">
        <f aca="false">SUMPRODUCT(--(Sens!$R$9241:$AA$9241&lt;Sens!V$9241),Sens!$R$9274:$AA$9274)/fac_life</f>
        <v>3.21599529914753</v>
      </c>
      <c r="W9277" s="38" t="n">
        <f aca="false">SUMPRODUCT(--(Sens!$R$9241:$AA$9241&lt;Sens!W$9241),Sens!$R$9274:$AA$9274)/fac_life</f>
        <v>5.51832434914753</v>
      </c>
      <c r="X9277" s="38" t="n">
        <f aca="false">SUMPRODUCT(--(Sens!$R$9241:$AA$9241&lt;Sens!X$9241),Sens!$R$9274:$AA$9274)/fac_life</f>
        <v>7.82065339914753</v>
      </c>
      <c r="Y9277" s="38" t="n">
        <f aca="false">SUMPRODUCT(--(Sens!$R$9241:$AA$9241&lt;Sens!Y$9241),Sens!$R$9274:$AA$9274)/fac_life</f>
        <v>10.1229824491475</v>
      </c>
      <c r="Z9277" s="38" t="n">
        <f aca="false">SUMPRODUCT(--(Sens!$R$9241:$AA$9241&lt;Sens!Z$9241),Sens!$R$9274:$AA$9274)/fac_life</f>
        <v>11.7828795714809</v>
      </c>
      <c r="AA9277" s="38" t="n">
        <f aca="false">SUMPRODUCT(--(Sens!$R$9241:$AA$9241&lt;Sens!AA$9241),Sens!$R$9274:$AA$9274)/fac_life</f>
        <v>12.8003447661475</v>
      </c>
    </row>
    <row r="9278" customFormat="false" ht="17.15" hidden="false" customHeight="false" outlineLevel="0" collapsed="false">
      <c r="A9278" s="1" t="s">
        <v>633</v>
      </c>
      <c r="B9278" s="8" t="s">
        <v>86</v>
      </c>
      <c r="C9278" s="38" t="n">
        <f aca="false">Sens!$C$9276+Sens!$C$9277</f>
        <v>0.203463948620839</v>
      </c>
      <c r="D9278" s="38" t="n">
        <f aca="false">Sens!$D$9276+Sens!$D$9277</f>
        <v>3.62245206231783</v>
      </c>
      <c r="E9278" s="38" t="n">
        <f aca="false">Sens!$E$9276+Sens!$E$9277</f>
        <v>6.51597588754466</v>
      </c>
      <c r="F9278" s="38" t="n">
        <f aca="false">Sens!$F$9276+Sens!$F$9277</f>
        <v>6.51597588754466</v>
      </c>
      <c r="G9278" s="38" t="n">
        <f aca="false">Sens!$G$9276+Sens!$G$9277</f>
        <v>13.0319517750893</v>
      </c>
      <c r="H9278" s="38" t="n">
        <f aca="false">Sens!$H$9276+Sens!$H$9277</f>
        <v>35.2941921973308</v>
      </c>
      <c r="I9278" s="38" t="n">
        <f aca="false">Sens!$I$9276+Sens!$I$9277</f>
        <v>63.0173185714558</v>
      </c>
      <c r="J9278" s="38" t="n">
        <f aca="false">Sens!$J$9276+Sens!$J$9277</f>
        <v>91.7529624398725</v>
      </c>
      <c r="K9278" s="38" t="n">
        <f aca="false">Sens!$K$9276+Sens!$K$9277</f>
        <v>121.178188209924</v>
      </c>
      <c r="L9278" s="38" t="n">
        <f aca="false">Sens!$L$9276+Sens!$L$9277</f>
        <v>140.562462072316</v>
      </c>
      <c r="M9278" s="38" t="n">
        <f aca="false">Sens!$M$9276+Sens!$M$9277</f>
        <v>152.643764522112</v>
      </c>
      <c r="N9278" s="38" t="n">
        <f aca="false">Sens!$N$9276+Sens!$N$9277</f>
        <v>1.81122603115892</v>
      </c>
      <c r="O9278" s="38" t="n">
        <f aca="false">Sens!$O$9276+Sens!$O$9277</f>
        <v>1.81122603115892</v>
      </c>
      <c r="R9278" s="38" t="n">
        <f aca="false">Sens!$R$9276+Sens!$R$9277</f>
        <v>0</v>
      </c>
      <c r="S9278" s="38" t="n">
        <f aca="false">Sens!$S$9276+Sens!$S$9277</f>
        <v>0.203463948620839</v>
      </c>
      <c r="T9278" s="38" t="n">
        <f aca="false">Sens!$T$9276+Sens!$T$9277</f>
        <v>3.62245206231783</v>
      </c>
      <c r="U9278" s="38" t="n">
        <f aca="false">Sens!$U$9276+Sens!$U$9277</f>
        <v>13.0319517750893</v>
      </c>
      <c r="V9278" s="38" t="n">
        <f aca="false">Sens!$V$9276+Sens!$V$9277</f>
        <v>35.2941921973308</v>
      </c>
      <c r="W9278" s="38" t="n">
        <f aca="false">Sens!$W$9276+Sens!$W$9277</f>
        <v>63.0173185714558</v>
      </c>
      <c r="X9278" s="38" t="n">
        <f aca="false">Sens!$X$9276+Sens!$X$9277</f>
        <v>91.7529624398725</v>
      </c>
      <c r="Y9278" s="38" t="n">
        <f aca="false">Sens!$Y$9276+Sens!$Y$9277</f>
        <v>121.178188209924</v>
      </c>
      <c r="Z9278" s="38" t="n">
        <f aca="false">Sens!$Z$9276+Sens!$Z$9277</f>
        <v>140.562462072316</v>
      </c>
      <c r="AA9278" s="38" t="n">
        <f aca="false">Sens!$AA$9276+Sens!$AA$9277</f>
        <v>152.643764522112</v>
      </c>
    </row>
    <row r="9279" customFormat="false" ht="17.15" hidden="false" customHeight="false" outlineLevel="0" collapsed="false">
      <c r="A9279" s="0" t="s">
        <v>634</v>
      </c>
      <c r="B9279" s="0" t="s">
        <v>86</v>
      </c>
      <c r="C9279" s="38" t="n">
        <f aca="false">Sens!$S$9279</f>
        <v>26.578941154416</v>
      </c>
      <c r="D9279" s="38" t="n">
        <f aca="false">Sens!$T$9279</f>
        <v>92.5251207231008</v>
      </c>
      <c r="G9279" s="38" t="n">
        <f aca="false">Sens!$U$9279</f>
        <v>239.931219586022</v>
      </c>
      <c r="H9279" s="38" t="n">
        <f aca="false">Sens!$V$9279</f>
        <v>403.208392333442</v>
      </c>
      <c r="I9279" s="38" t="n">
        <f aca="false">Sens!$W$9279</f>
        <v>544.837543672486</v>
      </c>
      <c r="J9279" s="38" t="n">
        <f aca="false">Sens!$X$9279</f>
        <v>662.967819343113</v>
      </c>
      <c r="K9279" s="38" t="n">
        <f aca="false">Sens!$Y$9279</f>
        <v>699.805972720013</v>
      </c>
      <c r="L9279" s="38" t="n">
        <f aca="false">Sens!$Z$9279</f>
        <v>696.813564910843</v>
      </c>
      <c r="M9279" s="38" t="n">
        <f aca="false">Sens!$AA$9279</f>
        <v>684.734650983452</v>
      </c>
      <c r="R9279" s="38" t="n">
        <f aca="false">SUM(Sens!$R$9271:$R$9271)-SUM(Sens!$R$9278:$R$9278)</f>
        <v>1.50429979529945</v>
      </c>
      <c r="S9279" s="38" t="n">
        <f aca="false">SUM(Sens!$R$9271:$S$9271)-SUM(Sens!$R$9278:$S$9278)</f>
        <v>26.578941154416</v>
      </c>
      <c r="T9279" s="38" t="n">
        <f aca="false">SUM(Sens!$R$9271:$T$9271)-SUM(Sens!$R$9278:$T$9278)</f>
        <v>92.5251207231008</v>
      </c>
      <c r="U9279" s="38" t="n">
        <f aca="false">SUM(Sens!$R$9271:$U$9271)-SUM(Sens!$R$9278:$U$9278)</f>
        <v>239.931219586022</v>
      </c>
      <c r="V9279" s="38" t="n">
        <f aca="false">SUM(Sens!$R$9271:$V$9271)-SUM(Sens!$R$9278:$V$9278)</f>
        <v>403.208392333442</v>
      </c>
      <c r="W9279" s="38" t="n">
        <f aca="false">SUM(Sens!$R$9271:$W$9271)-SUM(Sens!$R$9278:$W$9278)</f>
        <v>544.837543672486</v>
      </c>
      <c r="X9279" s="38" t="n">
        <f aca="false">SUM(Sens!$R$9271:$X$9271)-SUM(Sens!$R$9278:$X$9278)</f>
        <v>662.967819343113</v>
      </c>
      <c r="Y9279" s="38" t="n">
        <f aca="false">SUM(Sens!$R$9271:$Y$9271)-SUM(Sens!$R$9278:$Y$9278)</f>
        <v>699.805972720013</v>
      </c>
      <c r="Z9279" s="38" t="n">
        <f aca="false">SUM(Sens!$R$9271:$Z$9271)-SUM(Sens!$R$9278:$Z$9278)</f>
        <v>696.813564910843</v>
      </c>
      <c r="AA9279" s="38" t="n">
        <f aca="false">SUM(Sens!$R$9271:$AA$9271)-SUM(Sens!$R$9278:$AA$9278)</f>
        <v>684.734650983452</v>
      </c>
    </row>
    <row r="9280" customFormat="false" ht="17.15" hidden="false" customHeight="false" outlineLevel="0" collapsed="false">
      <c r="A9280" s="1" t="s">
        <v>635</v>
      </c>
    </row>
    <row r="9281" customFormat="false" ht="17.15" hidden="false" customHeight="false" outlineLevel="0" collapsed="false">
      <c r="A9281" s="0" t="s">
        <v>636</v>
      </c>
      <c r="B9281" s="0" t="s">
        <v>86</v>
      </c>
      <c r="C9281" s="38" t="n">
        <f aca="false">Sens!$C$9262-ext_sh*Sens!$C$9264</f>
        <v>1.80694998843362</v>
      </c>
      <c r="D9281" s="38" t="n">
        <f aca="false">Sens!$D$9262-ext_sh*Sens!$D$9264</f>
        <v>6.77606245662607</v>
      </c>
      <c r="E9281" s="38" t="n">
        <f aca="false">Sens!$E$9262-ext_sh*Sens!$E$9264</f>
        <v>6.62548329092326</v>
      </c>
      <c r="F9281" s="38" t="n">
        <f aca="false">Sens!$F$9262-ext_sh*Sens!$F$9264</f>
        <v>11.7200577158706</v>
      </c>
      <c r="G9281" s="38" t="n">
        <f aca="false">Sens!$G$9262-ext_sh*Sens!$G$9264</f>
        <v>18.3455410067939</v>
      </c>
      <c r="H9281" s="38" t="n">
        <f aca="false">Sens!$H$9262-ext_sh*Sens!$H$9264</f>
        <v>47.5171727060453</v>
      </c>
      <c r="I9281" s="38" t="n">
        <f aca="false">Sens!$I$9262-ext_sh*Sens!$I$9264</f>
        <v>80.5539692643667</v>
      </c>
      <c r="J9281" s="38" t="n">
        <f aca="false">Sens!$J$9262-ext_sh*Sens!$J$9264</f>
        <v>113.759316834883</v>
      </c>
      <c r="K9281" s="38" t="n">
        <f aca="false">Sens!$K$9262-ext_sh*Sens!$K$9264</f>
        <v>142.313600225088</v>
      </c>
      <c r="L9281" s="38" t="n">
        <f aca="false">Sens!$L$9262-ext_sh*Sens!$L$9264</f>
        <v>161.610137806934</v>
      </c>
      <c r="M9281" s="38" t="n">
        <f aca="false">Sens!$M$9262-ext_sh*Sens!$M$9264</f>
        <v>171.622526917459</v>
      </c>
      <c r="N9281" s="38" t="n">
        <f aca="false">Sens!$N$9262-ext_sh*Sens!$N$9264</f>
        <v>2.37162185981912</v>
      </c>
      <c r="O9281" s="38" t="n">
        <f aca="false">Sens!$O$9262-ext_sh*Sens!$O$9264</f>
        <v>4.40444059680694</v>
      </c>
    </row>
    <row r="9282" customFormat="false" ht="17.15" hidden="false" customHeight="false" outlineLevel="0" collapsed="false">
      <c r="A9282" s="1" t="s">
        <v>637</v>
      </c>
      <c r="B9282" s="8" t="s">
        <v>86</v>
      </c>
      <c r="C9282" s="38" t="n">
        <f aca="false">Sens!$C$9281-ext_sh*Sens!$C$9278</f>
        <v>1.64417882953695</v>
      </c>
      <c r="D9282" s="38" t="n">
        <f aca="false">Sens!$D$9281-ext_sh*Sens!$D$9278</f>
        <v>3.8781008067718</v>
      </c>
      <c r="E9282" s="38" t="n">
        <f aca="false">Sens!$E$9281-ext_sh*Sens!$E$9278</f>
        <v>1.41270258088753</v>
      </c>
      <c r="F9282" s="38" t="n">
        <f aca="false">Sens!$F$9281-ext_sh*Sens!$F$9278</f>
        <v>6.50727700583486</v>
      </c>
      <c r="G9282" s="38" t="n">
        <f aca="false">Sens!$G$9281-ext_sh*Sens!$G$9278</f>
        <v>7.9199795867224</v>
      </c>
      <c r="H9282" s="38" t="n">
        <f aca="false">Sens!$H$9281-ext_sh*Sens!$H$9278</f>
        <v>19.2818189481807</v>
      </c>
      <c r="I9282" s="38" t="n">
        <f aca="false">Sens!$I$9281-ext_sh*Sens!$I$9278</f>
        <v>30.140114407202</v>
      </c>
      <c r="J9282" s="38" t="n">
        <f aca="false">Sens!$J$9281-ext_sh*Sens!$J$9278</f>
        <v>40.3569468829854</v>
      </c>
      <c r="K9282" s="38" t="n">
        <f aca="false">Sens!$K$9281-ext_sh*Sens!$K$9278</f>
        <v>45.3710496571487</v>
      </c>
      <c r="L9282" s="38" t="n">
        <f aca="false">Sens!$L$9281-ext_sh*Sens!$L$9278</f>
        <v>49.1601681490812</v>
      </c>
      <c r="M9282" s="38" t="n">
        <f aca="false">Sens!$M$9281-ext_sh*Sens!$M$9278</f>
        <v>49.5075152997692</v>
      </c>
      <c r="N9282" s="38" t="n">
        <f aca="false">Sens!$N$9281-ext_sh*Sens!$N$9278</f>
        <v>0.92264103489199</v>
      </c>
      <c r="O9282" s="38" t="n">
        <f aca="false">Sens!$O$9281-ext_sh*Sens!$O$9278</f>
        <v>2.95545977187981</v>
      </c>
    </row>
    <row r="9283" customFormat="false" ht="17.15" hidden="false" customHeight="false" outlineLevel="0" collapsed="false">
      <c r="A9283" s="0" t="s">
        <v>638</v>
      </c>
      <c r="B9283" s="0" t="s">
        <v>52</v>
      </c>
      <c r="C9283" s="13" t="n">
        <f aca="false">Sens!$C$9282/Sens!$C$9262</f>
        <v>0.708390794789371</v>
      </c>
      <c r="D9283" s="13" t="n">
        <f aca="false">Sens!$D$9282/Sens!$D$9262</f>
        <v>0.445565630441968</v>
      </c>
      <c r="E9283" s="13" t="n">
        <f aca="false">Sens!$E$9282/Sens!$E$9262</f>
        <v>0.165998118402711</v>
      </c>
      <c r="F9283" s="13" t="n">
        <f aca="false">Sens!$F$9282/Sens!$F$9262</f>
        <v>0.434878595403858</v>
      </c>
      <c r="G9283" s="13" t="n">
        <f aca="false">Sens!$G$9282/Sens!$G$9262</f>
        <v>0.3373967615381</v>
      </c>
      <c r="H9283" s="13" t="n">
        <f aca="false">Sens!$H$9282/Sens!$H$9262</f>
        <v>0.320477578041224</v>
      </c>
      <c r="I9283" s="13" t="n">
        <f aca="false">Sens!$I$9282/Sens!$I$9262</f>
        <v>0.296936118226494</v>
      </c>
      <c r="J9283" s="13" t="n">
        <f aca="false">Sens!$J$9282/Sens!$J$9262</f>
        <v>0.282166278613001</v>
      </c>
      <c r="K9283" s="13" t="n">
        <f aca="false">Sens!$K$9282/Sens!$K$9262</f>
        <v>0.253846631705782</v>
      </c>
      <c r="L9283" s="13" t="n">
        <f aca="false">Sens!$L$9282/Sens!$L$9262</f>
        <v>0.242329240574153</v>
      </c>
      <c r="M9283" s="13" t="n">
        <f aca="false">Sens!$M$9282/Sens!$M$9262</f>
        <v>0.229850708860382</v>
      </c>
      <c r="N9283" s="13" t="n">
        <f aca="false">Sens!$N$9282/Sens!$N$9262</f>
        <v>0.302870734830849</v>
      </c>
      <c r="O9283" s="13" t="n">
        <f aca="false">Sens!$O$9282/Sens!$O$9262</f>
        <v>0.52240134346334</v>
      </c>
    </row>
    <row r="9284" customFormat="false" ht="17.15" hidden="false" customHeight="false" outlineLevel="0" collapsed="false">
      <c r="A9284" s="5" t="s">
        <v>639</v>
      </c>
      <c r="B9284" s="0" t="s">
        <v>86</v>
      </c>
      <c r="C9284" s="39" t="n">
        <v>0</v>
      </c>
      <c r="D9284" s="39" t="n">
        <v>0</v>
      </c>
      <c r="E9284" s="39" t="n">
        <v>0</v>
      </c>
      <c r="F9284" s="38" t="n">
        <f aca="false">IF(internal_ai_reading=2,1,0)*(1-ext_sh)/ext_sh*(mw_open*he_open+Sens!$F$9260*Sens!$F$9257)*Sens!$F$9246/1000</f>
        <v>3.77122048175818</v>
      </c>
      <c r="G9284" s="38" t="n">
        <f aca="false">Sens!$E$9284+Sens!$F$9284</f>
        <v>3.77122048175818</v>
      </c>
      <c r="H9284" s="38" t="n">
        <f aca="false">IF(internal_ai_reading=2,1,0)*(1-ext_sh)/ext_sh*(mw_open*he_open+Sens!$H$9260*Sens!$H$9257)*Sens!$H$9246/1000</f>
        <v>15.1635543609893</v>
      </c>
      <c r="I9284" s="38" t="n">
        <f aca="false">IF(internal_ai_reading=2,1,0)*(1-ext_sh)/ext_sh*(mw_open*he_open+Sens!$I$9260*Sens!$I$9257)*Sens!$I$9246/1000</f>
        <v>25.5818843619889</v>
      </c>
      <c r="J9284" s="38" t="n">
        <f aca="false">IF(internal_ai_reading=2,1,0)*(1-ext_sh)/ext_sh*(mw_open*he_open+Sens!$J$9260*Sens!$J$9257)*Sens!$J$9246/1000</f>
        <v>36.0465624179122</v>
      </c>
      <c r="K9284" s="38" t="n">
        <f aca="false">IF(internal_ai_reading=2,1,0)*(1-ext_sh)/ext_sh*(mw_open*he_open+Sens!$K$9260*Sens!$K$9257)*Sens!$K$9246/1000</f>
        <v>45.0461919819152</v>
      </c>
      <c r="L9284" s="38" t="n">
        <f aca="false">IF(internal_ai_reading=2,1,0)*(1-ext_sh)/ext_sh*(mw_open*he_open+Sens!$L$9260*Sens!$L$9257)*Sens!$L$9246/1000</f>
        <v>51.1279288493339</v>
      </c>
      <c r="M9284" s="38" t="n">
        <f aca="false">IF(internal_ai_reading=2,1,0)*(1-ext_sh)/ext_sh*(mw_open*he_open+Sens!$M$9260*Sens!$M$9257)*Sens!$M$9246/1000</f>
        <v>54.2845128319481</v>
      </c>
      <c r="N9284" s="39" t="n">
        <v>0</v>
      </c>
      <c r="O9284" s="39" t="n">
        <v>0</v>
      </c>
      <c r="P9284" s="8" t="s">
        <v>640</v>
      </c>
    </row>
    <row r="9285" customFormat="false" ht="17.15" hidden="false" customHeight="false" outlineLevel="0" collapsed="false">
      <c r="A9285" s="5" t="s">
        <v>641</v>
      </c>
      <c r="B9285" s="0" t="s">
        <v>86</v>
      </c>
      <c r="C9285" s="38" t="n">
        <f aca="false">(1-ext_sh)*(Sens!$C$9264+Sens!$C$9278)</f>
        <v>0.169206631859174</v>
      </c>
      <c r="D9285" s="38" t="n">
        <f aca="false">(1-ext_sh)*(Sens!$D$9264+Sens!$D$9278)</f>
        <v>1.20641732046984</v>
      </c>
      <c r="E9285" s="38" t="n">
        <f aca="false">(1-ext_sh)*(Sens!$E$9264+Sens!$E$9278)</f>
        <v>1.77441259867062</v>
      </c>
      <c r="F9285" s="38" t="n">
        <f aca="false">(1-ext_sh)*(Sens!$F$9264+Sens!$F$9278)</f>
        <v>2.1140391597214</v>
      </c>
      <c r="G9285" s="38" t="n">
        <f aca="false">(1-ext_sh)*(Sens!$G$9264+Sens!$G$9278)</f>
        <v>3.88845175839202</v>
      </c>
      <c r="H9285" s="38" t="n">
        <f aca="false">(1-ext_sh)*(Sens!$H$9264+Sens!$H$9278)</f>
        <v>10.2210179503985</v>
      </c>
      <c r="I9285" s="38" t="n">
        <f aca="false">(1-ext_sh)*(Sens!$I$9264+Sens!$I$9278)</f>
        <v>17.8408961823075</v>
      </c>
      <c r="J9285" s="38" t="n">
        <f aca="false">(1-ext_sh)*(Sens!$J$9264+Sens!$J$9278)</f>
        <v>25.6671150670732</v>
      </c>
      <c r="K9285" s="38" t="n">
        <f aca="false">(1-ext_sh)*(Sens!$K$9264+Sens!$K$9278)</f>
        <v>33.3407629808178</v>
      </c>
      <c r="L9285" s="38" t="n">
        <f aca="false">(1-ext_sh)*(Sens!$L$9264+Sens!$L$9278)</f>
        <v>38.42625620289</v>
      </c>
      <c r="M9285" s="38" t="n">
        <f aca="false">(1-ext_sh)*(Sens!$M$9264+Sens!$M$9278)</f>
        <v>41.4705897615494</v>
      </c>
      <c r="N9285" s="38" t="n">
        <f aca="false">(1-ext_sh)*(Sens!$N$9264+Sens!$N$9278)</f>
        <v>0.530919624033979</v>
      </c>
      <c r="O9285" s="38" t="n">
        <f aca="false">(1-ext_sh)*(Sens!$O$9264+Sens!$O$9278)</f>
        <v>0.675497696435861</v>
      </c>
    </row>
    <row r="9286" customFormat="false" ht="17.15" hidden="false" customHeight="false" outlineLevel="0" collapsed="false">
      <c r="A9286" s="0" t="s">
        <v>642</v>
      </c>
      <c r="B9286" s="0" t="s">
        <v>86</v>
      </c>
      <c r="C9286" s="38" t="n">
        <f aca="false">Q!$D$24</f>
        <v>39.834</v>
      </c>
      <c r="D9286" s="38" t="n">
        <f aca="false">Q!$E$24</f>
        <v>45.606</v>
      </c>
      <c r="E9286" s="38" t="n">
        <f aca="false">Q!$P$24</f>
        <v>30.782</v>
      </c>
      <c r="N9286" s="38" t="n">
        <f aca="false">Q!$N$24</f>
        <v>21.707</v>
      </c>
      <c r="O9286" s="38" t="n">
        <f aca="false">Q!$O$24</f>
        <v>23.899</v>
      </c>
    </row>
    <row r="9287" customFormat="false" ht="17.15" hidden="false" customHeight="false" outlineLevel="0" collapsed="false">
      <c r="A9287" s="0" t="s">
        <v>643</v>
      </c>
      <c r="B9287" s="0" t="s">
        <v>86</v>
      </c>
      <c r="C9287" s="38" t="n">
        <f aca="false">Sens!$C$9286-Sens!$C$9282</f>
        <v>38.1898211704631</v>
      </c>
      <c r="D9287" s="38" t="n">
        <f aca="false">Sens!$D$9286-Sens!$D$9282</f>
        <v>41.7278991932282</v>
      </c>
      <c r="E9287" s="38" t="n">
        <f aca="false">Sens!$E$9286-Sens!$E$9282</f>
        <v>29.3692974191125</v>
      </c>
      <c r="F9287" s="38" t="n">
        <f aca="false">Sens!$F$9266*Sens!$F$9288</f>
        <v>26.8997276714137</v>
      </c>
      <c r="G9287" s="38" t="n">
        <f aca="false">Sens!$E$9287+Sens!$F$9287</f>
        <v>56.2690250905262</v>
      </c>
      <c r="H9287" s="38" t="n">
        <f aca="false">Sens!$H$9266*Sens!$H$9288</f>
        <v>60.3505333937343</v>
      </c>
      <c r="I9287" s="38" t="n">
        <f aca="false">Sens!$I$9266*Sens!$I$9288</f>
        <v>67.0043857303571</v>
      </c>
      <c r="J9287" s="38" t="n">
        <f aca="false">Sens!$J$9266*Sens!$J$9288</f>
        <v>73.3782922956925</v>
      </c>
      <c r="K9287" s="38" t="n">
        <f aca="false">Sens!$K$9266*Sens!$K$9288</f>
        <v>79.2485556793479</v>
      </c>
      <c r="L9287" s="38" t="n">
        <f aca="false">Sens!$L$9266*Sens!$L$9288</f>
        <v>85.5884401336958</v>
      </c>
      <c r="M9287" s="38" t="n">
        <f aca="false">Sens!$M$9266*Sens!$M$9288</f>
        <v>92.4355153443914</v>
      </c>
      <c r="N9287" s="38" t="n">
        <f aca="false">Sens!$N$9286-Sens!$N$9282</f>
        <v>20.784358965108</v>
      </c>
      <c r="O9287" s="38" t="n">
        <f aca="false">Sens!$O$9286-Sens!$O$9282</f>
        <v>20.9435402281202</v>
      </c>
      <c r="P9287" s="5" t="s">
        <v>644</v>
      </c>
    </row>
    <row r="9288" customFormat="false" ht="17.15" hidden="false" customHeight="false" outlineLevel="0" collapsed="false">
      <c r="A9288" s="0" t="s">
        <v>645</v>
      </c>
      <c r="B9288" s="0" t="s">
        <v>52</v>
      </c>
      <c r="C9288" s="13" t="n">
        <f aca="false">Sens!$C$9287/Sens!$C$9266</f>
        <v>0.362900395443635</v>
      </c>
      <c r="D9288" s="13" t="n">
        <f aca="false">Sens!$D$9287/Sens!$D$9266</f>
        <v>0.34767098474203</v>
      </c>
      <c r="E9288" s="13" t="n">
        <f aca="false">Sens!$E$9287/Sens!$E$9266</f>
        <v>0.411861655558416</v>
      </c>
      <c r="F9288" s="13" t="n">
        <f aca="false">(Sens!$O$9287+Sens!$E$9287)/(Sens!$O$9266+Sens!$E$9266)</f>
        <v>0.37480827803158</v>
      </c>
      <c r="G9288" s="13" t="n">
        <f aca="false">Sens!$G$9287/Sens!$G$9266</f>
        <v>0.393275318395757</v>
      </c>
      <c r="H9288" s="13" t="n">
        <f aca="false">Sens!$F$9288</f>
        <v>0.37480827803158</v>
      </c>
      <c r="I9288" s="13" t="n">
        <f aca="false">Sens!$F$9288</f>
        <v>0.37480827803158</v>
      </c>
      <c r="J9288" s="13" t="n">
        <f aca="false">Sens!$F$9288</f>
        <v>0.37480827803158</v>
      </c>
      <c r="K9288" s="13" t="n">
        <f aca="false">Sens!$F$9288</f>
        <v>0.37480827803158</v>
      </c>
      <c r="L9288" s="13" t="n">
        <f aca="false">Sens!$F$9288</f>
        <v>0.37480827803158</v>
      </c>
      <c r="M9288" s="13" t="n">
        <f aca="false">Sens!$F$9288</f>
        <v>0.37480827803158</v>
      </c>
      <c r="N9288" s="13" t="n">
        <f aca="false">Sens!$N$9287/Sens!$N$9266</f>
        <v>0.364039571356823</v>
      </c>
      <c r="O9288" s="13" t="n">
        <f aca="false">Sens!$O$9287/Sens!$O$9266</f>
        <v>0.332819892300086</v>
      </c>
      <c r="P9288" s="8" t="s">
        <v>646</v>
      </c>
    </row>
    <row r="9289" customFormat="false" ht="17.15" hidden="false" customHeight="false" outlineLevel="0" collapsed="false">
      <c r="A9289" s="0" t="s">
        <v>647</v>
      </c>
      <c r="B9289" s="0" t="s">
        <v>52</v>
      </c>
      <c r="D9289" s="13" t="n">
        <f aca="false">(Q!$E$31-ext_sh*Sens!$D$9278)/Sens!$D$9266</f>
        <v>0.154572973163571</v>
      </c>
    </row>
    <row r="9290" customFormat="false" ht="17.15" hidden="false" customHeight="false" outlineLevel="0" collapsed="false">
      <c r="A9290" s="0" t="s">
        <v>648</v>
      </c>
      <c r="B9290" s="0" t="s">
        <v>86</v>
      </c>
      <c r="C9290" s="38" t="n">
        <f aca="false">Q!$D$31</f>
        <v>13.32</v>
      </c>
      <c r="D9290" s="38" t="n">
        <f aca="false">Q!$E$31</f>
        <v>21.45</v>
      </c>
      <c r="E9290" s="38" t="n">
        <f aca="false">Q!$P$31</f>
        <v>15.353</v>
      </c>
      <c r="F9290" s="38" t="n">
        <f aca="false">ext_sh*Sens!$F$9278+Sens!$D$9289*Sens!$F$9266</f>
        <v>16.3063747611001</v>
      </c>
      <c r="G9290" s="38" t="n">
        <f aca="false">Sens!$E$9290+Sens!$F$9290</f>
        <v>31.6593747611001</v>
      </c>
      <c r="H9290" s="38" t="n">
        <f aca="false">ext_sh*Sens!$H$9278+Sens!$D$9289*Sens!$H$9266</f>
        <v>53.124242092105</v>
      </c>
      <c r="I9290" s="38" t="n">
        <f aca="false">ext_sh*Sens!$I$9278+Sens!$D$9289*Sens!$I$9266</f>
        <v>78.046828098133</v>
      </c>
      <c r="J9290" s="38" t="n">
        <f aca="false">ext_sh*Sens!$J$9278+Sens!$D$9289*Sens!$J$9266</f>
        <v>103.663976940352</v>
      </c>
      <c r="K9290" s="38" t="n">
        <f aca="false">ext_sh*Sens!$K$9278+Sens!$D$9289*Sens!$K$9266</f>
        <v>129.625086115469</v>
      </c>
      <c r="L9290" s="38" t="n">
        <f aca="false">ext_sh*Sens!$L$9278+Sens!$D$9289*Sens!$L$9266</f>
        <v>147.747108049185</v>
      </c>
      <c r="M9290" s="38" t="n">
        <f aca="false">ext_sh*Sens!$M$9278+Sens!$D$9289*Sens!$M$9266</f>
        <v>160.235921080328</v>
      </c>
      <c r="N9290" s="38" t="n">
        <f aca="false">Q!$N$31</f>
        <v>9.234</v>
      </c>
      <c r="O9290" s="38" t="n">
        <f aca="false">Q!$O$31</f>
        <v>12.216</v>
      </c>
    </row>
    <row r="9291" customFormat="false" ht="17.15" hidden="false" customHeight="false" outlineLevel="0" collapsed="false">
      <c r="A9291" s="1" t="s">
        <v>649</v>
      </c>
    </row>
    <row r="9292" customFormat="false" ht="17.15" hidden="false" customHeight="false" outlineLevel="0" collapsed="false">
      <c r="A9292" s="15" t="s">
        <v>650</v>
      </c>
      <c r="B9292" s="14" t="s">
        <v>52</v>
      </c>
      <c r="C9292" s="14"/>
      <c r="D9292" s="14"/>
      <c r="E9292" s="14"/>
      <c r="F9292" s="14"/>
      <c r="G9292" s="17" t="n">
        <f aca="false">Sens!$G$9282*(1-tax)/(ext_sh*(Sens!$D$9279+Sens!$G$9279)/2)</f>
        <v>0.0492184452944045</v>
      </c>
      <c r="H9292" s="17" t="n">
        <f aca="false">Sens!$H$9282*(1-tax)/(ext_sh*(Sens!$G$9279+Sens!$H$9279)/2)</f>
        <v>0.0619414246858107</v>
      </c>
      <c r="I9292" s="17" t="n">
        <f aca="false">Sens!$I$9282*(1-tax)/(ext_sh*(Sens!$H$9279+Sens!$I$9279)/2)</f>
        <v>0.0656831488051666</v>
      </c>
      <c r="J9292" s="17" t="n">
        <f aca="false">Sens!$J$9282*(1-tax)/(ext_sh*(Sens!$I$9279+Sens!$J$9279)/2)</f>
        <v>0.0690334849962116</v>
      </c>
      <c r="K9292" s="17" t="n">
        <f aca="false">Sens!$K$9282*(1-tax)/(ext_sh*(Sens!$J$9279+Sens!$K$9279)/2)</f>
        <v>0.068784962145751</v>
      </c>
      <c r="L9292" s="17" t="n">
        <f aca="false">Sens!$L$9282*(1-tax)/(ext_sh*(Sens!$K$9279+Sens!$L$9279)/2)</f>
        <v>0.0727233196616126</v>
      </c>
      <c r="M9292" s="17" t="n">
        <f aca="false">Sens!$M$9282*(1-tax)/(ext_sh*(Sens!$L$9279+Sens!$M$9279)/2)</f>
        <v>0.0740360999014999</v>
      </c>
      <c r="N9292" s="14"/>
      <c r="O9292" s="14"/>
      <c r="P9292" s="8" t="s">
        <v>651</v>
      </c>
    </row>
    <row r="9293" customFormat="false" ht="17.15" hidden="false" customHeight="false" outlineLevel="0" collapsed="false">
      <c r="A9293" s="5" t="s">
        <v>652</v>
      </c>
      <c r="B9293" s="0" t="s">
        <v>57</v>
      </c>
      <c r="H9293" s="36" t="n">
        <f aca="false">Sens!$H$9262*1000/(mw_open*he_open+Sens!$H$9260*Sens!$H$9257)</f>
        <v>0.991949006767191</v>
      </c>
      <c r="I9293" s="36" t="n">
        <f aca="false">Sens!$I$9262*1000/(mw_open*he_open+Sens!$I$9260*Sens!$I$9257)</f>
        <v>0.991949006767191</v>
      </c>
      <c r="J9293" s="36" t="n">
        <f aca="false">Sens!$J$9262*1000/(mw_open*he_open+Sens!$J$9260*Sens!$J$9257)</f>
        <v>0.991949006767191</v>
      </c>
      <c r="K9293" s="36" t="n">
        <f aca="false">Sens!$K$9262*1000/(mw_open*he_open+Sens!$K$9260*Sens!$K$9257)</f>
        <v>0.991949006767191</v>
      </c>
      <c r="L9293" s="36" t="n">
        <f aca="false">Sens!$L$9262*1000/(mw_open*he_open+Sens!$L$9260*Sens!$L$9257)</f>
        <v>0.991949006767191</v>
      </c>
      <c r="M9293" s="36" t="n">
        <f aca="false">Sens!$M$9262*1000/(mw_open*he_open+Sens!$M$9260*Sens!$M$9257)</f>
        <v>0.991949006767191</v>
      </c>
    </row>
    <row r="9294" customFormat="false" ht="17.15" hidden="false" customHeight="false" outlineLevel="0" collapsed="false">
      <c r="A9294" s="5" t="s">
        <v>653</v>
      </c>
      <c r="B9294" s="0" t="s">
        <v>57</v>
      </c>
      <c r="H9294" s="36" t="n">
        <f aca="false">Sens!$H$9293*(Sens!$H$9262+wacc*ext_sh*(Sens!$G$9279+Sens!$H$9279)/2/(1-tax)-Sens!$H$9282)/Sens!$H$9262</f>
        <v>1.25551961623259</v>
      </c>
      <c r="I9294" s="36" t="n">
        <f aca="false">Sens!$I$9293*(Sens!$I$9262+wacc*ext_sh*(Sens!$H$9279+Sens!$I$9279)/2/(1-tax)-Sens!$I$9282)/Sens!$I$9262</f>
        <v>1.2054675393263</v>
      </c>
      <c r="J9294" s="36" t="n">
        <f aca="false">Sens!$J$9293*(Sens!$J$9262+wacc*ext_sh*(Sens!$I$9279+Sens!$J$9279)/2/(1-tax)-Sens!$J$9282)/Sens!$J$9262</f>
        <v>1.17141604927023</v>
      </c>
      <c r="K9294" s="36" t="n">
        <f aca="false">Sens!$K$9293*(Sens!$K$9262+wacc*ext_sh*(Sens!$J$9279+Sens!$K$9279)/2/(1-tax)-Sens!$K$9282)/Sens!$K$9262</f>
        <v>1.15489693840538</v>
      </c>
      <c r="L9294" s="36" t="n">
        <f aca="false">Sens!$L$9293*(Sens!$L$9262+wacc*ext_sh*(Sens!$K$9279+Sens!$L$9279)/2/(1-tax)-Sens!$L$9282)/Sens!$L$9262</f>
        <v>1.12606185986126</v>
      </c>
      <c r="M9294" s="36" t="n">
        <f aca="false">Sens!$M$9293*(Sens!$M$9262+wacc*ext_sh*(Sens!$L$9279+Sens!$M$9279)/2/(1-tax)-Sens!$M$9282)/Sens!$M$9262</f>
        <v>1.11285743915892</v>
      </c>
    </row>
    <row r="9295" customFormat="false" ht="17.15" hidden="false" customHeight="false" outlineLevel="0" collapsed="false">
      <c r="A9295" s="5" t="s">
        <v>654</v>
      </c>
      <c r="B9295" s="0" t="s">
        <v>52</v>
      </c>
      <c r="C9295" s="13" t="n">
        <f aca="false">Sens!$C$9263/tk_pq</f>
        <v>0.195316432429398</v>
      </c>
      <c r="D9295" s="13" t="n">
        <f aca="false">Sens!$D$9263/tk_pq</f>
        <v>0.195316432429398</v>
      </c>
      <c r="E9295" s="13" t="n">
        <f aca="false">Sens!$E$9263/tk_pq</f>
        <v>0.195316432429398</v>
      </c>
      <c r="F9295" s="13" t="n">
        <f aca="false">Sens!$F$9263/tk_pq</f>
        <v>0.202241827274866</v>
      </c>
      <c r="G9295" s="13" t="n">
        <f aca="false">Sens!$G$9263/tk_pq</f>
        <v>0.199675016194063</v>
      </c>
      <c r="H9295" s="13" t="n">
        <f aca="false">Sens!$H$9263/tk_pq</f>
        <v>0.212647947710325</v>
      </c>
      <c r="I9295" s="13" t="n">
        <f aca="false">Sens!$I$9263/tk_pq</f>
        <v>0.219285125475351</v>
      </c>
      <c r="J9295" s="13" t="n">
        <f aca="false">Sens!$J$9263/tk_pq</f>
        <v>0.222492493217189</v>
      </c>
      <c r="K9295" s="13" t="n">
        <f aca="false">Sens!$K$9263/tk_pq</f>
        <v>0.224068966220005</v>
      </c>
      <c r="L9295" s="13" t="n">
        <f aca="false">Sens!$L$9263/tk_pq</f>
        <v>0.224830053471997</v>
      </c>
      <c r="M9295" s="13" t="n">
        <f aca="false">Sens!$M$9263/tk_pq</f>
        <v>0.22513299704272</v>
      </c>
      <c r="N9295" s="13" t="n">
        <f aca="false">Sens!$N$9263/tk_pq</f>
        <v>0.195316432429398</v>
      </c>
      <c r="O9295" s="13" t="n">
        <f aca="false">Sens!$O$9263/tk_pq</f>
        <v>0.195316432429398</v>
      </c>
      <c r="P9295" s="5" t="s">
        <v>655</v>
      </c>
    </row>
    <row r="9298" customFormat="false" ht="17.15" hidden="false" customHeight="false" outlineLevel="0" collapsed="false">
      <c r="A9298" s="1" t="s">
        <v>684</v>
      </c>
    </row>
    <row r="9299" customFormat="false" ht="17.15" hidden="false" customHeight="false" outlineLevel="0" collapsed="false">
      <c r="A9299" s="0" t="s">
        <v>685</v>
      </c>
      <c r="B9299" s="0" t="s">
        <v>86</v>
      </c>
      <c r="C9299" s="38" t="n">
        <f aca="false">Sens!$C$9262</f>
        <v>2.32100535697364</v>
      </c>
      <c r="D9299" s="38" t="n">
        <f aca="false">Sens!$D$9262</f>
        <v>8.70377008865116</v>
      </c>
      <c r="E9299" s="38" t="n">
        <f aca="false">Sens!$E$9262</f>
        <v>8.51035297557002</v>
      </c>
      <c r="F9299" s="38" t="n">
        <f aca="false">Sens!$F$9262</f>
        <v>14.9634336447205</v>
      </c>
      <c r="G9299" s="38" t="n">
        <f aca="false">Sens!$G$9262</f>
        <v>23.4737866202905</v>
      </c>
      <c r="H9299" s="38" t="n">
        <f aca="false">Sens!$H$9262</f>
        <v>60.1658907497746</v>
      </c>
      <c r="I9299" s="38" t="n">
        <f aca="false">Sens!$I$9262</f>
        <v>101.503699136432</v>
      </c>
      <c r="J9299" s="38" t="n">
        <f aca="false">Sens!$J$9262</f>
        <v>143.025407151278</v>
      </c>
      <c r="K9299" s="38" t="n">
        <f aca="false">Sens!$K$9262</f>
        <v>178.73410158042</v>
      </c>
      <c r="L9299" s="38" t="n">
        <f aca="false">Sens!$L$9262</f>
        <v>202.865192960641</v>
      </c>
      <c r="M9299" s="38" t="n">
        <f aca="false">Sens!$M$9262</f>
        <v>215.389874345967</v>
      </c>
      <c r="N9299" s="38" t="n">
        <f aca="false">Sens!$N$9262</f>
        <v>3.04631953102791</v>
      </c>
      <c r="O9299" s="38" t="n">
        <f aca="false">Sens!$O$9262</f>
        <v>5.65745055762326</v>
      </c>
      <c r="P9299" s="8" t="s">
        <v>686</v>
      </c>
    </row>
    <row r="9300" customFormat="false" ht="17.15" hidden="false" customHeight="false" outlineLevel="0" collapsed="false">
      <c r="A9300" s="0" t="s">
        <v>687</v>
      </c>
      <c r="B9300" s="0" t="s">
        <v>86</v>
      </c>
      <c r="C9300" s="38" t="n">
        <f aca="false">Sens!$C$9266</f>
        <v>105.234994643026</v>
      </c>
      <c r="D9300" s="38" t="n">
        <f aca="false">Sens!$D$9266</f>
        <v>120.021229911349</v>
      </c>
      <c r="E9300" s="38" t="n">
        <f aca="false">Sens!$E$9266</f>
        <v>71.30864702443</v>
      </c>
      <c r="F9300" s="38" t="n">
        <f aca="false">Sens!$F$9266</f>
        <v>71.7692997942464</v>
      </c>
      <c r="G9300" s="38" t="n">
        <f aca="false">Sens!$G$9266</f>
        <v>143.077946818676</v>
      </c>
      <c r="H9300" s="38" t="n">
        <f aca="false">Sens!$H$9266</f>
        <v>161.017077079203</v>
      </c>
      <c r="I9300" s="38" t="n">
        <f aca="false">Sens!$I$9266</f>
        <v>178.769759521457</v>
      </c>
      <c r="J9300" s="38" t="n">
        <f aca="false">Sens!$J$9266</f>
        <v>195.775538045907</v>
      </c>
      <c r="K9300" s="38" t="n">
        <f aca="false">Sens!$K$9266</f>
        <v>211.43758108958</v>
      </c>
      <c r="L9300" s="38" t="n">
        <f aca="false">Sens!$L$9266</f>
        <v>228.352587576746</v>
      </c>
      <c r="M9300" s="38" t="n">
        <f aca="false">Sens!$M$9266</f>
        <v>246.620794582886</v>
      </c>
      <c r="N9300" s="38" t="n">
        <f aca="false">Sens!$N$9266</f>
        <v>57.0936804689721</v>
      </c>
      <c r="O9300" s="38" t="n">
        <f aca="false">Sens!$O$9266</f>
        <v>62.9275494423768</v>
      </c>
      <c r="P9300" s="8" t="s">
        <v>686</v>
      </c>
    </row>
    <row r="9301" customFormat="false" ht="17.15" hidden="false" customHeight="false" outlineLevel="0" collapsed="false">
      <c r="A9301" s="1" t="s">
        <v>513</v>
      </c>
      <c r="B9301" s="8" t="s">
        <v>86</v>
      </c>
      <c r="C9301" s="38" t="n">
        <f aca="false">Q!$D$7</f>
        <v>107.556</v>
      </c>
      <c r="D9301" s="38" t="n">
        <f aca="false">Q!$E$7</f>
        <v>128.725</v>
      </c>
      <c r="E9301" s="38" t="n">
        <f aca="false">Q!$P$7</f>
        <v>79.819</v>
      </c>
      <c r="F9301" s="38" t="n">
        <f aca="false">Sens!$F$9299+Sens!$F$9300</f>
        <v>86.7327334389669</v>
      </c>
      <c r="G9301" s="38" t="n">
        <f aca="false">Sens!$G$9299+Sens!$G$9300</f>
        <v>166.551733438967</v>
      </c>
      <c r="H9301" s="38" t="n">
        <f aca="false">Sens!$H$9299+Sens!$H$9300</f>
        <v>221.182967828978</v>
      </c>
      <c r="I9301" s="38" t="n">
        <f aca="false">Sens!$I$9299+Sens!$I$9300</f>
        <v>280.27345865789</v>
      </c>
      <c r="J9301" s="38" t="n">
        <f aca="false">Sens!$J$9299+Sens!$J$9300</f>
        <v>338.800945197185</v>
      </c>
      <c r="K9301" s="38" t="n">
        <f aca="false">Sens!$K$9299+Sens!$K$9300</f>
        <v>390.17168267</v>
      </c>
      <c r="L9301" s="38" t="n">
        <f aca="false">Sens!$L$9299+Sens!$L$9300</f>
        <v>431.217780537388</v>
      </c>
      <c r="M9301" s="38" t="n">
        <f aca="false">Sens!$M$9299+Sens!$M$9300</f>
        <v>462.010668928853</v>
      </c>
      <c r="N9301" s="38" t="n">
        <f aca="false">Q!$N$7</f>
        <v>60.14</v>
      </c>
      <c r="O9301" s="38" t="n">
        <f aca="false">Q!$O$7</f>
        <v>68.585</v>
      </c>
      <c r="P9301" s="5" t="s">
        <v>688</v>
      </c>
    </row>
    <row r="9302" customFormat="false" ht="15" hidden="false" customHeight="false" outlineLevel="0" collapsed="false">
      <c r="A9302" s="3" t="s">
        <v>689</v>
      </c>
      <c r="B9302" s="8" t="s">
        <v>86</v>
      </c>
      <c r="C9302" s="38" t="n">
        <f aca="false">Q!$D$8</f>
        <v>637.959</v>
      </c>
      <c r="D9302" s="38" t="n">
        <f aca="false">Q!$E$8</f>
        <v>716.924</v>
      </c>
      <c r="E9302" s="38" t="n">
        <f aca="false">Q!$P$8</f>
        <v>382.125</v>
      </c>
      <c r="F9302" s="38" t="n">
        <f aca="false">Sens!$F$9234+Sens!$F$9301</f>
        <v>435.780975084504</v>
      </c>
      <c r="G9302" s="38" t="n">
        <f aca="false">Sens!$G$9234+Sens!$G$9301</f>
        <v>817.905975084504</v>
      </c>
      <c r="H9302" s="38" t="n">
        <f aca="false">Sens!$H$9234+Sens!$H$9301</f>
        <v>942.279857350364</v>
      </c>
      <c r="I9302" s="38" t="n">
        <f aca="false">Sens!$I$9234+Sens!$I$9301</f>
        <v>1068.80284981042</v>
      </c>
      <c r="J9302" s="38" t="n">
        <f aca="false">Sens!$J$9234+Sens!$J$9301</f>
        <v>1189.90935093863</v>
      </c>
      <c r="K9302" s="38" t="n">
        <f aca="false">Sens!$K$9234+Sens!$K$9301</f>
        <v>1296.34813810109</v>
      </c>
      <c r="L9302" s="38" t="n">
        <f aca="false">Sens!$L$9234+Sens!$L$9301</f>
        <v>1396.31088701298</v>
      </c>
      <c r="M9302" s="38" t="n">
        <f aca="false">Sens!$M$9234+Sens!$M$9301</f>
        <v>1490.15857687574</v>
      </c>
      <c r="N9302" s="38" t="n">
        <f aca="false">Q!$N$8</f>
        <v>323.369</v>
      </c>
      <c r="O9302" s="38" t="n">
        <f aca="false">Q!$O$8</f>
        <v>393.555</v>
      </c>
    </row>
    <row r="9303" customFormat="false" ht="17.15" hidden="false" customHeight="false" outlineLevel="0" collapsed="false">
      <c r="A9303" s="24" t="s">
        <v>697</v>
      </c>
      <c r="B9303" s="25" t="s">
        <v>86</v>
      </c>
      <c r="C9303" s="41" t="n">
        <f aca="false">Sens!$C$9234-(Sens!$C$9236+Sens!$C$9237)</f>
        <v>0</v>
      </c>
      <c r="D9303" s="41" t="n">
        <f aca="false">Sens!$D$9234-(Sens!$D$9236+Sens!$D$9237)</f>
        <v>0</v>
      </c>
      <c r="E9303" s="41" t="n">
        <f aca="false">Sens!$E$9234-(Sens!$E$9236+Sens!$E$9237)</f>
        <v>0</v>
      </c>
      <c r="F9303" s="41" t="n">
        <f aca="false">Sens!$F$9234-(Sens!$F$9236+Sens!$F$9237)</f>
        <v>0</v>
      </c>
      <c r="G9303" s="41" t="n">
        <f aca="false">Sens!$G$9234-(Sens!$G$9236+Sens!$G$9237)</f>
        <v>0</v>
      </c>
      <c r="H9303" s="41" t="n">
        <f aca="false">Sens!$H$9234-(Sens!$H$9236+Sens!$H$9237)</f>
        <v>0</v>
      </c>
      <c r="I9303" s="41" t="n">
        <f aca="false">Sens!$I$9234-(Sens!$I$9236+Sens!$I$9237)</f>
        <v>0</v>
      </c>
      <c r="J9303" s="41" t="n">
        <f aca="false">Sens!$J$9234-(Sens!$J$9236+Sens!$J$9237)</f>
        <v>0</v>
      </c>
      <c r="K9303" s="41" t="n">
        <f aca="false">Sens!$K$9234-(Sens!$K$9236+Sens!$K$9237)</f>
        <v>0</v>
      </c>
      <c r="L9303" s="41" t="n">
        <f aca="false">Sens!$L$9234-(Sens!$L$9236+Sens!$L$9237)</f>
        <v>0</v>
      </c>
      <c r="M9303" s="41" t="n">
        <f aca="false">Sens!$M$9234-(Sens!$M$9236+Sens!$M$9237)</f>
        <v>0</v>
      </c>
      <c r="N9303" s="41" t="n">
        <f aca="false">Sens!$N$9234-(Sens!$N$9236+Sens!$N$9237)</f>
        <v>0</v>
      </c>
      <c r="O9303" s="41" t="n">
        <f aca="false">Sens!$O$9234-(Sens!$O$9236+Sens!$O$9237)</f>
        <v>0</v>
      </c>
    </row>
    <row r="9304" customFormat="false" ht="17.15" hidden="false" customHeight="false" outlineLevel="0" collapsed="false">
      <c r="A9304" s="24" t="s">
        <v>698</v>
      </c>
      <c r="B9304" s="25" t="s">
        <v>86</v>
      </c>
      <c r="C9304" s="41" t="n">
        <f aca="false">Sens!$C$9299+Sens!$C$9300-Sens!$C$9301</f>
        <v>0</v>
      </c>
      <c r="D9304" s="41" t="n">
        <f aca="false">Sens!$D$9299+Sens!$D$9300-Sens!$D$9301</f>
        <v>0</v>
      </c>
      <c r="E9304" s="41" t="n">
        <f aca="false">Sens!$E$9299+Sens!$E$9300-Sens!$E$9301</f>
        <v>0</v>
      </c>
      <c r="F9304" s="41" t="n">
        <f aca="false">Sens!$F$9299+Sens!$F$9300-Sens!$F$9301</f>
        <v>0</v>
      </c>
      <c r="G9304" s="41" t="n">
        <f aca="false">Sens!$G$9299+Sens!$G$9300-Sens!$G$9301</f>
        <v>0</v>
      </c>
      <c r="H9304" s="41" t="n">
        <f aca="false">Sens!$H$9299+Sens!$H$9300-Sens!$H$9301</f>
        <v>0</v>
      </c>
      <c r="I9304" s="41" t="n">
        <f aca="false">Sens!$I$9299+Sens!$I$9300-Sens!$I$9301</f>
        <v>0</v>
      </c>
      <c r="J9304" s="41" t="n">
        <f aca="false">Sens!$J$9299+Sens!$J$9300-Sens!$J$9301</f>
        <v>0</v>
      </c>
      <c r="K9304" s="41" t="n">
        <f aca="false">Sens!$K$9299+Sens!$K$9300-Sens!$K$9301</f>
        <v>0</v>
      </c>
      <c r="L9304" s="41" t="n">
        <f aca="false">Sens!$L$9299+Sens!$L$9300-Sens!$L$9301</f>
        <v>0</v>
      </c>
      <c r="M9304" s="41" t="n">
        <f aca="false">Sens!$M$9299+Sens!$M$9300-Sens!$M$9301</f>
        <v>0</v>
      </c>
      <c r="N9304" s="41" t="n">
        <f aca="false">Sens!$N$9299+Sens!$N$9300-Sens!$N$9301</f>
        <v>0</v>
      </c>
      <c r="O9304" s="41" t="n">
        <f aca="false">Sens!$O$9299+Sens!$O$9300-Sens!$O$9301</f>
        <v>0</v>
      </c>
    </row>
    <row r="9305" customFormat="false" ht="17.15" hidden="false" customHeight="false" outlineLevel="0" collapsed="false">
      <c r="A9305" s="24" t="s">
        <v>699</v>
      </c>
      <c r="B9305" s="25" t="s">
        <v>86</v>
      </c>
      <c r="C9305" s="41" t="n">
        <f aca="false">Sens!$C$9236+Sens!$C$9237+Sens!$C$9301-Sens!$C$9302</f>
        <v>0</v>
      </c>
      <c r="D9305" s="41" t="n">
        <f aca="false">Sens!$D$9236+Sens!$D$9237+Sens!$D$9301-Sens!$D$9302</f>
        <v>0</v>
      </c>
      <c r="E9305" s="41" t="n">
        <f aca="false">Sens!$E$9236+Sens!$E$9237+Sens!$E$9301-Sens!$E$9302</f>
        <v>0</v>
      </c>
      <c r="F9305" s="41" t="n">
        <f aca="false">Sens!$F$9236+Sens!$F$9237+Sens!$F$9301-Sens!$F$9302</f>
        <v>0</v>
      </c>
      <c r="G9305" s="41" t="n">
        <f aca="false">Sens!$G$9236+Sens!$G$9237+Sens!$G$9301-Sens!$G$9302</f>
        <v>0</v>
      </c>
      <c r="H9305" s="41" t="n">
        <f aca="false">Sens!$H$9236+Sens!$H$9237+Sens!$H$9301-Sens!$H$9302</f>
        <v>0</v>
      </c>
      <c r="I9305" s="41" t="n">
        <f aca="false">Sens!$I$9236+Sens!$I$9237+Sens!$I$9301-Sens!$I$9302</f>
        <v>0</v>
      </c>
      <c r="J9305" s="41" t="n">
        <f aca="false">Sens!$J$9236+Sens!$J$9237+Sens!$J$9301-Sens!$J$9302</f>
        <v>0</v>
      </c>
      <c r="K9305" s="41" t="n">
        <f aca="false">Sens!$K$9236+Sens!$K$9237+Sens!$K$9301-Sens!$K$9302</f>
        <v>0</v>
      </c>
      <c r="L9305" s="41" t="n">
        <f aca="false">Sens!$L$9236+Sens!$L$9237+Sens!$L$9301-Sens!$L$9302</f>
        <v>0</v>
      </c>
      <c r="M9305" s="41" t="n">
        <f aca="false">Sens!$M$9236+Sens!$M$9237+Sens!$M$9301-Sens!$M$9302</f>
        <v>0</v>
      </c>
      <c r="N9305" s="41" t="n">
        <f aca="false">Sens!$N$9236+Sens!$N$9237+Sens!$N$9301-Sens!$N$9302</f>
        <v>0</v>
      </c>
      <c r="O9305" s="41" t="n">
        <f aca="false">Sens!$O$9236+Sens!$O$9237+Sens!$O$9301-Sens!$O$9302</f>
        <v>0</v>
      </c>
    </row>
    <row r="9306" customFormat="false" ht="15" hidden="false" customHeight="false" outlineLevel="0" collapsed="false">
      <c r="A9306" s="5" t="s">
        <v>693</v>
      </c>
      <c r="B9306" s="0" t="s">
        <v>52</v>
      </c>
      <c r="G9306" s="13" t="n">
        <f aca="false">Sens!$G$9302/Sens!$D$9302-1</f>
        <v>0.140854504918937</v>
      </c>
      <c r="H9306" s="13" t="n">
        <f aca="false">Sens!$H$9302/Sens!$G$9302-1</f>
        <v>0.152063789793209</v>
      </c>
      <c r="I9306" s="13" t="n">
        <f aca="false">Sens!$I$9302/Sens!$H$9302-1</f>
        <v>0.134273264437417</v>
      </c>
      <c r="J9306" s="13" t="n">
        <f aca="false">Sens!$J$9302/Sens!$I$9302-1</f>
        <v>0.113310421234083</v>
      </c>
      <c r="K9306" s="13" t="n">
        <f aca="false">Sens!$K$9302/Sens!$J$9302-1</f>
        <v>0.0894511729641407</v>
      </c>
      <c r="L9306" s="13" t="n">
        <f aca="false">Sens!$L$9302/Sens!$K$9302-1</f>
        <v>0.077111036745358</v>
      </c>
      <c r="M9306" s="13" t="n">
        <f aca="false">Sens!$M$9302/Sens!$L$9302-1</f>
        <v>0.067211171047677</v>
      </c>
    </row>
    <row r="9307" customFormat="false" ht="17.15" hidden="false" customHeight="false" outlineLevel="0" collapsed="false">
      <c r="A9307" s="0" t="s">
        <v>694</v>
      </c>
      <c r="B9307" s="0" t="s">
        <v>52</v>
      </c>
      <c r="C9307" s="13" t="n">
        <f aca="false">Sens!$C$9301/Sens!$C$9302</f>
        <v>0.168593906504964</v>
      </c>
      <c r="D9307" s="13" t="n">
        <f aca="false">Sens!$D$9301/Sens!$D$9302</f>
        <v>0.179551807444025</v>
      </c>
      <c r="E9307" s="13" t="n">
        <f aca="false">Sens!$E$9301/Sens!$E$9302</f>
        <v>0.208881910369643</v>
      </c>
      <c r="F9307" s="13" t="n">
        <f aca="false">Sens!$F$9301/Sens!$F$9302</f>
        <v>0.199028269699356</v>
      </c>
      <c r="G9307" s="13" t="n">
        <f aca="false">Sens!$G$9301/Sens!$G$9302</f>
        <v>0.203631882529968</v>
      </c>
      <c r="H9307" s="13" t="n">
        <f aca="false">Sens!$H$9301/Sens!$H$9302</f>
        <v>0.234731715958496</v>
      </c>
      <c r="I9307" s="13" t="n">
        <f aca="false">Sens!$I$9301/Sens!$I$9302</f>
        <v>0.262231204480418</v>
      </c>
      <c r="J9307" s="13" t="n">
        <f aca="false">Sens!$J$9301/Sens!$J$9302</f>
        <v>0.284728366013706</v>
      </c>
      <c r="K9307" s="13" t="n">
        <f aca="false">Sens!$K$9301/Sens!$K$9302</f>
        <v>0.300977547004873</v>
      </c>
      <c r="L9307" s="13" t="n">
        <f aca="false">Sens!$L$9301/Sens!$L$9302</f>
        <v>0.308826483090639</v>
      </c>
      <c r="M9307" s="13" t="n">
        <f aca="false">Sens!$M$9301/Sens!$M$9302</f>
        <v>0.310041277551482</v>
      </c>
      <c r="N9307" s="13" t="n">
        <f aca="false">Sens!$N$9301/Sens!$N$9302</f>
        <v>0.185979484737251</v>
      </c>
      <c r="O9307" s="13" t="n">
        <f aca="false">Sens!$O$9301/Sens!$O$9302</f>
        <v>0.174270432341096</v>
      </c>
    </row>
    <row r="9308" customFormat="false" ht="17.15" hidden="false" customHeight="false" outlineLevel="0" collapsed="false">
      <c r="A9308" s="0" t="s">
        <v>695</v>
      </c>
      <c r="B9308" s="0" t="s">
        <v>52</v>
      </c>
      <c r="C9308" s="13" t="n">
        <f aca="false">Sens!$C$9299/Sens!$C$9301</f>
        <v>0.0215795060896058</v>
      </c>
      <c r="D9308" s="13" t="n">
        <f aca="false">Sens!$D$9299/Sens!$D$9301</f>
        <v>0.0676152269462122</v>
      </c>
      <c r="E9308" s="13" t="n">
        <f aca="false">Sens!$E$9299/Sens!$E$9301</f>
        <v>0.106620641395783</v>
      </c>
      <c r="F9308" s="13" t="n">
        <f aca="false">Sens!$F$9299/Sens!$F$9301</f>
        <v>0.172523487401099</v>
      </c>
      <c r="G9308" s="13" t="n">
        <f aca="false">Sens!$G$9299/Sens!$G$9301</f>
        <v>0.140939911795589</v>
      </c>
      <c r="H9308" s="13" t="n">
        <f aca="false">Sens!$H$9299/Sens!$H$9301</f>
        <v>0.272018642937714</v>
      </c>
      <c r="I9308" s="13" t="n">
        <f aca="false">Sens!$I$9299/Sens!$I$9301</f>
        <v>0.362159512436497</v>
      </c>
      <c r="J9308" s="13" t="n">
        <f aca="false">Sens!$J$9299/Sens!$J$9301</f>
        <v>0.422151735934609</v>
      </c>
      <c r="K9308" s="13" t="n">
        <f aca="false">Sens!$K$9299/Sens!$K$9301</f>
        <v>0.458090911050534</v>
      </c>
      <c r="L9308" s="13" t="n">
        <f aca="false">Sens!$L$9299/Sens!$L$9301</f>
        <v>0.470447189602963</v>
      </c>
      <c r="M9308" s="13" t="n">
        <f aca="false">Sens!$M$9299/Sens!$M$9301</f>
        <v>0.466201083289563</v>
      </c>
      <c r="N9308" s="13" t="n">
        <f aca="false">Sens!$N$9299/Sens!$N$9301</f>
        <v>0.0506537999838362</v>
      </c>
      <c r="O9308" s="13" t="n">
        <f aca="false">Sens!$O$9299/Sens!$O$9301</f>
        <v>0.0824881615167056</v>
      </c>
    </row>
    <row r="9311" customFormat="false" ht="19.4" hidden="false" customHeight="false" outlineLevel="0" collapsed="false">
      <c r="A9311" s="31" t="s">
        <v>1319</v>
      </c>
    </row>
    <row r="9312" customFormat="false" ht="17.15" hidden="false" customHeight="false" outlineLevel="0" collapsed="false">
      <c r="A9312" s="6" t="s">
        <v>16</v>
      </c>
      <c r="B9312" s="6" t="s">
        <v>17</v>
      </c>
      <c r="C9312" s="20" t="s">
        <v>494</v>
      </c>
      <c r="D9312" s="20" t="s">
        <v>495</v>
      </c>
      <c r="E9312" s="20" t="s">
        <v>577</v>
      </c>
      <c r="F9312" s="20" t="s">
        <v>578</v>
      </c>
      <c r="G9312" s="20" t="s">
        <v>579</v>
      </c>
      <c r="H9312" s="20" t="s">
        <v>580</v>
      </c>
      <c r="I9312" s="20" t="s">
        <v>581</v>
      </c>
      <c r="J9312" s="20" t="s">
        <v>582</v>
      </c>
      <c r="K9312" s="20" t="s">
        <v>583</v>
      </c>
      <c r="L9312" s="20" t="s">
        <v>584</v>
      </c>
      <c r="M9312" s="20" t="s">
        <v>585</v>
      </c>
      <c r="N9312" s="20" t="s">
        <v>586</v>
      </c>
      <c r="O9312" s="20" t="s">
        <v>587</v>
      </c>
      <c r="P9312" s="6" t="s">
        <v>23</v>
      </c>
      <c r="R9312" s="20" t="n">
        <v>2023</v>
      </c>
      <c r="S9312" s="20" t="n">
        <v>2024</v>
      </c>
      <c r="T9312" s="20" t="n">
        <v>2025</v>
      </c>
      <c r="U9312" s="20" t="n">
        <v>2026</v>
      </c>
      <c r="V9312" s="20" t="n">
        <v>2027</v>
      </c>
      <c r="W9312" s="20" t="n">
        <v>2028</v>
      </c>
      <c r="X9312" s="20" t="n">
        <v>2029</v>
      </c>
      <c r="Y9312" s="20" t="n">
        <v>2030</v>
      </c>
      <c r="Z9312" s="20" t="n">
        <v>2031</v>
      </c>
      <c r="AA9312" s="20" t="n">
        <v>2032</v>
      </c>
    </row>
    <row r="9313" customFormat="false" ht="17.15" hidden="false" customHeight="false" outlineLevel="0" collapsed="false">
      <c r="A9313" s="1" t="s">
        <v>710</v>
      </c>
    </row>
    <row r="9314" customFormat="false" ht="15" hidden="false" customHeight="false" outlineLevel="0" collapsed="false">
      <c r="A9314" s="0" t="s">
        <v>516</v>
      </c>
      <c r="B9314" s="0" t="s">
        <v>86</v>
      </c>
      <c r="C9314" s="38" t="n">
        <f aca="false">Sens!$C$9221</f>
        <v>247.029</v>
      </c>
      <c r="D9314" s="38" t="n">
        <f aca="false">Sens!$D$9221</f>
        <v>269.287</v>
      </c>
      <c r="E9314" s="38" t="n">
        <f aca="false">Sens!$E$9221</f>
        <v>134.686</v>
      </c>
      <c r="F9314" s="38" t="n">
        <f aca="false">Sens!$F$9221</f>
        <v>158.293876822267</v>
      </c>
      <c r="G9314" s="38" t="n">
        <f aca="false">Sens!$G$9221</f>
        <v>292.979876822267</v>
      </c>
      <c r="H9314" s="38" t="n">
        <f aca="false">Sens!$H$9221</f>
        <v>318.184543087396</v>
      </c>
      <c r="I9314" s="38" t="n">
        <f aca="false">Sens!$I$9221</f>
        <v>341.736278761793</v>
      </c>
      <c r="J9314" s="38" t="n">
        <f aca="false">Sens!$J$9221</f>
        <v>362.927192787048</v>
      </c>
      <c r="K9314" s="38" t="n">
        <f aca="false">Sens!$K$9221</f>
        <v>381.0735524264</v>
      </c>
      <c r="L9314" s="38" t="n">
        <f aca="false">Sens!$L$9221</f>
        <v>400.12723004772</v>
      </c>
      <c r="M9314" s="38" t="n">
        <f aca="false">Sens!$M$9221</f>
        <v>420.133591550106</v>
      </c>
      <c r="N9314" s="38" t="n">
        <f aca="false">Sens!$N$9221</f>
        <v>118.892</v>
      </c>
      <c r="O9314" s="38" t="n">
        <f aca="false">Sens!$O$9221</f>
        <v>150.395</v>
      </c>
    </row>
    <row r="9315" customFormat="false" ht="15" hidden="false" customHeight="false" outlineLevel="0" collapsed="false">
      <c r="A9315" s="0" t="s">
        <v>517</v>
      </c>
      <c r="B9315" s="0" t="s">
        <v>86</v>
      </c>
      <c r="C9315" s="38" t="n">
        <f aca="false">Sens!$C$9223</f>
        <v>21.215</v>
      </c>
      <c r="D9315" s="38" t="n">
        <f aca="false">Sens!$D$9223</f>
        <v>22.561</v>
      </c>
      <c r="E9315" s="38" t="n">
        <f aca="false">Sens!$E$9223</f>
        <v>11.579</v>
      </c>
      <c r="F9315" s="38" t="n">
        <f aca="false">Sens!$F$9223</f>
        <v>11.5938724610325</v>
      </c>
      <c r="G9315" s="38" t="n">
        <f aca="false">Sens!$G$9223</f>
        <v>23.1728724610325</v>
      </c>
      <c r="H9315" s="38" t="n">
        <f aca="false">Sens!$H$9223</f>
        <v>24.353392759506</v>
      </c>
      <c r="I9315" s="38" t="n">
        <f aca="false">Sens!$I$9223</f>
        <v>25.4240338872015</v>
      </c>
      <c r="J9315" s="38" t="n">
        <f aca="false">Sens!$J$9223</f>
        <v>26.3642491017174</v>
      </c>
      <c r="K9315" s="38" t="n">
        <f aca="false">Sens!$K$9223</f>
        <v>27.155176574769</v>
      </c>
      <c r="L9315" s="38" t="n">
        <f aca="false">Sens!$L$9223</f>
        <v>27.969831872012</v>
      </c>
      <c r="M9315" s="38" t="n">
        <f aca="false">Sens!$M$9223</f>
        <v>28.8089268281724</v>
      </c>
      <c r="N9315" s="38" t="n">
        <f aca="false">Sens!$N$9223</f>
        <v>11.128</v>
      </c>
      <c r="O9315" s="38" t="n">
        <f aca="false">Sens!$O$9223</f>
        <v>11.433</v>
      </c>
    </row>
    <row r="9316" customFormat="false" ht="15" hidden="false" customHeight="false" outlineLevel="0" collapsed="false">
      <c r="A9316" s="0" t="s">
        <v>518</v>
      </c>
      <c r="B9316" s="0" t="s">
        <v>86</v>
      </c>
      <c r="C9316" s="38" t="n">
        <f aca="false">Sens!$C$9225</f>
        <v>156.146</v>
      </c>
      <c r="D9316" s="38" t="n">
        <f aca="false">Sens!$D$9225</f>
        <v>172.162</v>
      </c>
      <c r="E9316" s="38" t="n">
        <f aca="false">Sens!$E$9225</f>
        <v>88.358</v>
      </c>
      <c r="F9316" s="38" t="n">
        <f aca="false">Sens!$F$9225</f>
        <v>102.004388260171</v>
      </c>
      <c r="G9316" s="38" t="n">
        <f aca="false">Sens!$G$9225</f>
        <v>190.362388260171</v>
      </c>
      <c r="H9316" s="38" t="n">
        <f aca="false">Sens!$H$9225</f>
        <v>210.343106588311</v>
      </c>
      <c r="I9316" s="38" t="n">
        <f aca="false">Sens!$I$9225</f>
        <v>229.969728494648</v>
      </c>
      <c r="J9316" s="38" t="n">
        <f aca="false">Sens!$J$9225</f>
        <v>248.747636972598</v>
      </c>
      <c r="K9316" s="38" t="n">
        <f aca="false">Sens!$K$9225</f>
        <v>266.15997156068</v>
      </c>
      <c r="L9316" s="38" t="n">
        <f aca="false">Sens!$L$9225</f>
        <v>284.791169569927</v>
      </c>
      <c r="M9316" s="38" t="n">
        <f aca="false">Sens!$M$9225</f>
        <v>304.726551439822</v>
      </c>
      <c r="N9316" s="38" t="n">
        <f aca="false">Sens!$N$9225</f>
        <v>76.86</v>
      </c>
      <c r="O9316" s="38" t="n">
        <f aca="false">Sens!$O$9225</f>
        <v>95.302</v>
      </c>
    </row>
    <row r="9317" customFormat="false" ht="15" hidden="false" customHeight="false" outlineLevel="0" collapsed="false">
      <c r="A9317" s="0" t="s">
        <v>519</v>
      </c>
      <c r="B9317" s="0" t="s">
        <v>86</v>
      </c>
      <c r="C9317" s="38" t="n">
        <f aca="false">Sens!$C$9227</f>
        <v>56.214</v>
      </c>
      <c r="D9317" s="38" t="n">
        <f aca="false">Sens!$D$9227</f>
        <v>68.635</v>
      </c>
      <c r="E9317" s="38" t="n">
        <f aca="false">Sens!$E$9227</f>
        <v>37.052</v>
      </c>
      <c r="F9317" s="38" t="n">
        <f aca="false">Sens!$F$9227</f>
        <v>46.1572219944148</v>
      </c>
      <c r="G9317" s="38" t="n">
        <f aca="false">Sens!$G$9227</f>
        <v>83.2092219944148</v>
      </c>
      <c r="H9317" s="38" t="n">
        <f aca="false">Sens!$H$9227</f>
        <v>99.8969223878976</v>
      </c>
      <c r="I9317" s="38" t="n">
        <f aca="false">Sens!$I$9227</f>
        <v>116.583111095496</v>
      </c>
      <c r="J9317" s="38" t="n">
        <f aca="false">Sens!$J$9227</f>
        <v>132.148941941952</v>
      </c>
      <c r="K9317" s="38" t="n">
        <f aca="false">Sens!$K$9227</f>
        <v>145.363836136147</v>
      </c>
      <c r="L9317" s="38" t="n">
        <f aca="false">Sens!$L$9227</f>
        <v>159.900219749762</v>
      </c>
      <c r="M9317" s="38" t="n">
        <f aca="false">Sens!$M$9227</f>
        <v>175.890241724738</v>
      </c>
      <c r="N9317" s="38" t="n">
        <f aca="false">Sens!$N$9227</f>
        <v>29.615</v>
      </c>
      <c r="O9317" s="38" t="n">
        <f aca="false">Sens!$O$9227</f>
        <v>39.02</v>
      </c>
    </row>
    <row r="9318" customFormat="false" ht="15" hidden="false" customHeight="false" outlineLevel="0" collapsed="false">
      <c r="A9318" s="0" t="s">
        <v>520</v>
      </c>
      <c r="B9318" s="0" t="s">
        <v>86</v>
      </c>
      <c r="C9318" s="38" t="n">
        <f aca="false">Sens!$C$9229</f>
        <v>44.374</v>
      </c>
      <c r="D9318" s="38" t="n">
        <f aca="false">Sens!$D$9229</f>
        <v>49.619</v>
      </c>
      <c r="E9318" s="38" t="n">
        <f aca="false">Sens!$E$9229</f>
        <v>27.157</v>
      </c>
      <c r="F9318" s="38" t="n">
        <f aca="false">Sens!$F$9229</f>
        <v>27.7764165988154</v>
      </c>
      <c r="G9318" s="38" t="n">
        <f aca="false">Sens!$G$9229</f>
        <v>54.9334165988154</v>
      </c>
      <c r="H9318" s="38" t="n">
        <f aca="false">Sens!$H$9229</f>
        <v>61.1564112561829</v>
      </c>
      <c r="I9318" s="38" t="n">
        <f aca="false">Sens!$I$9229</f>
        <v>67.2020282103945</v>
      </c>
      <c r="J9318" s="38" t="n">
        <f aca="false">Sens!$J$9229</f>
        <v>72.8757274028885</v>
      </c>
      <c r="K9318" s="38" t="n">
        <f aca="false">Sens!$K$9229</f>
        <v>77.9770283210907</v>
      </c>
      <c r="L9318" s="38" t="n">
        <f aca="false">Sens!$L$9229</f>
        <v>83.4354203035671</v>
      </c>
      <c r="M9318" s="38" t="n">
        <f aca="false">Sens!$M$9229</f>
        <v>89.2758997248168</v>
      </c>
      <c r="N9318" s="38" t="n">
        <f aca="false">Sens!$N$9229</f>
        <v>23.923</v>
      </c>
      <c r="O9318" s="38" t="n">
        <f aca="false">Sens!$O$9229</f>
        <v>25.696</v>
      </c>
    </row>
    <row r="9319" customFormat="false" ht="15" hidden="false" customHeight="false" outlineLevel="0" collapsed="false">
      <c r="A9319" s="0" t="s">
        <v>521</v>
      </c>
      <c r="B9319" s="0" t="s">
        <v>86</v>
      </c>
      <c r="C9319" s="38" t="n">
        <f aca="false">Sens!$C$9231</f>
        <v>5.425</v>
      </c>
      <c r="D9319" s="38" t="n">
        <f aca="false">Sens!$D$9231</f>
        <v>5.935</v>
      </c>
      <c r="E9319" s="38" t="n">
        <f aca="false">Sens!$E$9231</f>
        <v>3.474</v>
      </c>
      <c r="F9319" s="38" t="n">
        <f aca="false">Sens!$F$9231</f>
        <v>3.22246550883619</v>
      </c>
      <c r="G9319" s="38" t="n">
        <f aca="false">Sens!$G$9231</f>
        <v>6.69646550883619</v>
      </c>
      <c r="H9319" s="38" t="n">
        <f aca="false">Sens!$H$9231</f>
        <v>7.16251344209196</v>
      </c>
      <c r="I9319" s="38" t="n">
        <f aca="false">Sens!$I$9231</f>
        <v>7.61421070299826</v>
      </c>
      <c r="J9319" s="38" t="n">
        <f aca="false">Sens!$J$9231</f>
        <v>8.04465753523932</v>
      </c>
      <c r="K9319" s="38" t="n">
        <f aca="false">Sens!$K$9231</f>
        <v>8.44689041200128</v>
      </c>
      <c r="L9319" s="38" t="n">
        <f aca="false">Sens!$L$9231</f>
        <v>8.86923493260135</v>
      </c>
      <c r="M9319" s="38" t="n">
        <f aca="false">Sens!$M$9231</f>
        <v>9.31269667923142</v>
      </c>
      <c r="N9319" s="38" t="n">
        <f aca="false">Sens!$N$9231</f>
        <v>2.811</v>
      </c>
      <c r="O9319" s="38" t="n">
        <f aca="false">Sens!$O$9231</f>
        <v>3.124</v>
      </c>
    </row>
    <row r="9320" customFormat="false" ht="17.15" hidden="false" customHeight="false" outlineLevel="0" collapsed="false">
      <c r="A9320" s="0" t="s">
        <v>711</v>
      </c>
      <c r="B9320" s="0" t="s">
        <v>86</v>
      </c>
      <c r="C9320" s="38" t="n">
        <f aca="false">Sens!$C$9301</f>
        <v>107.556</v>
      </c>
      <c r="D9320" s="38" t="n">
        <f aca="false">Sens!$D$9301</f>
        <v>128.725</v>
      </c>
      <c r="E9320" s="38" t="n">
        <f aca="false">Sens!$E$9301</f>
        <v>79.819</v>
      </c>
      <c r="F9320" s="38" t="n">
        <f aca="false">Sens!$F$9301</f>
        <v>86.7327334389669</v>
      </c>
      <c r="G9320" s="38" t="n">
        <f aca="false">Sens!$G$9301</f>
        <v>166.551733438967</v>
      </c>
      <c r="H9320" s="38" t="n">
        <f aca="false">Sens!$H$9301</f>
        <v>221.182967828978</v>
      </c>
      <c r="I9320" s="38" t="n">
        <f aca="false">Sens!$I$9301</f>
        <v>280.27345865789</v>
      </c>
      <c r="J9320" s="38" t="n">
        <f aca="false">Sens!$J$9301</f>
        <v>338.800945197185</v>
      </c>
      <c r="K9320" s="38" t="n">
        <f aca="false">Sens!$K$9301</f>
        <v>390.17168267</v>
      </c>
      <c r="L9320" s="38" t="n">
        <f aca="false">Sens!$L$9301</f>
        <v>431.217780537388</v>
      </c>
      <c r="M9320" s="38" t="n">
        <f aca="false">Sens!$M$9301</f>
        <v>462.010668928853</v>
      </c>
      <c r="N9320" s="38" t="n">
        <f aca="false">Sens!$N$9301</f>
        <v>60.14</v>
      </c>
      <c r="O9320" s="38" t="n">
        <f aca="false">Sens!$O$9301</f>
        <v>68.585</v>
      </c>
    </row>
    <row r="9321" customFormat="false" ht="15" hidden="false" customHeight="false" outlineLevel="0" collapsed="false">
      <c r="A9321" s="1" t="s">
        <v>509</v>
      </c>
      <c r="B9321" s="8" t="s">
        <v>86</v>
      </c>
      <c r="C9321" s="38" t="n">
        <f aca="false">Sens!$C$9236</f>
        <v>387.497</v>
      </c>
      <c r="D9321" s="38" t="n">
        <f aca="false">Sens!$D$9236</f>
        <v>426.305</v>
      </c>
      <c r="E9321" s="38" t="n">
        <f aca="false">Sens!$E$9236</f>
        <v>220.32</v>
      </c>
      <c r="F9321" s="38" t="n">
        <f aca="false">Sens!$F$9236</f>
        <v>250.639773480586</v>
      </c>
      <c r="G9321" s="38" t="n">
        <f aca="false">Sens!$G$9236</f>
        <v>470.959773480586</v>
      </c>
      <c r="H9321" s="38" t="n">
        <f aca="false">Sens!$H$9236</f>
        <v>521.386990416437</v>
      </c>
      <c r="I9321" s="38" t="n">
        <f aca="false">Sens!$I$9236</f>
        <v>570.143862887555</v>
      </c>
      <c r="J9321" s="38" t="n">
        <f aca="false">Sens!$J$9236</f>
        <v>615.391435791933</v>
      </c>
      <c r="K9321" s="38" t="n">
        <f aca="false">Sens!$K$9236</f>
        <v>655.208227561543</v>
      </c>
      <c r="L9321" s="38" t="n">
        <f aca="false">Sens!$L$9236</f>
        <v>697.807739249767</v>
      </c>
      <c r="M9321" s="38" t="n">
        <f aca="false">Sens!$M$9236</f>
        <v>743.399328463592</v>
      </c>
      <c r="N9321" s="38" t="n">
        <f aca="false">Sens!$N$9236</f>
        <v>192.955</v>
      </c>
      <c r="O9321" s="38" t="n">
        <f aca="false">Sens!$O$9236</f>
        <v>233.35</v>
      </c>
    </row>
    <row r="9322" customFormat="false" ht="15" hidden="false" customHeight="false" outlineLevel="0" collapsed="false">
      <c r="A9322" s="1" t="s">
        <v>512</v>
      </c>
      <c r="B9322" s="8" t="s">
        <v>86</v>
      </c>
      <c r="C9322" s="38" t="n">
        <f aca="false">Sens!$C$9237</f>
        <v>142.906</v>
      </c>
      <c r="D9322" s="38" t="n">
        <f aca="false">Sens!$D$9237</f>
        <v>161.894</v>
      </c>
      <c r="E9322" s="38" t="n">
        <f aca="false">Sens!$E$9237</f>
        <v>81.986</v>
      </c>
      <c r="F9322" s="38" t="n">
        <f aca="false">Sens!$F$9237</f>
        <v>98.408468164951</v>
      </c>
      <c r="G9322" s="38" t="n">
        <f aca="false">Sens!$G$9237</f>
        <v>180.394468164951</v>
      </c>
      <c r="H9322" s="38" t="n">
        <f aca="false">Sens!$H$9237</f>
        <v>199.709899104949</v>
      </c>
      <c r="I9322" s="38" t="n">
        <f aca="false">Sens!$I$9237</f>
        <v>218.385528264976</v>
      </c>
      <c r="J9322" s="38" t="n">
        <f aca="false">Sens!$J$9237</f>
        <v>235.71696994951</v>
      </c>
      <c r="K9322" s="38" t="n">
        <f aca="false">Sens!$K$9237</f>
        <v>250.968227869545</v>
      </c>
      <c r="L9322" s="38" t="n">
        <f aca="false">Sens!$L$9237</f>
        <v>267.285367225822</v>
      </c>
      <c r="M9322" s="38" t="n">
        <f aca="false">Sens!$M$9237</f>
        <v>284.748579483295</v>
      </c>
      <c r="N9322" s="38" t="n">
        <f aca="false">Sens!$N$9237</f>
        <v>70.274</v>
      </c>
      <c r="O9322" s="38" t="n">
        <f aca="false">Sens!$O$9237</f>
        <v>91.62</v>
      </c>
    </row>
    <row r="9323" customFormat="false" ht="15" hidden="false" customHeight="false" outlineLevel="0" collapsed="false">
      <c r="A9323" s="1" t="s">
        <v>513</v>
      </c>
      <c r="B9323" s="8" t="s">
        <v>86</v>
      </c>
      <c r="C9323" s="38" t="n">
        <f aca="false">Sens!$C$9301</f>
        <v>107.556</v>
      </c>
      <c r="D9323" s="38" t="n">
        <f aca="false">Sens!$D$9301</f>
        <v>128.725</v>
      </c>
      <c r="E9323" s="38" t="n">
        <f aca="false">Sens!$E$9301</f>
        <v>79.819</v>
      </c>
      <c r="F9323" s="38" t="n">
        <f aca="false">Sens!$F$9301</f>
        <v>86.7327334389669</v>
      </c>
      <c r="G9323" s="38" t="n">
        <f aca="false">Sens!$G$9301</f>
        <v>166.551733438967</v>
      </c>
      <c r="H9323" s="38" t="n">
        <f aca="false">Sens!$H$9301</f>
        <v>221.182967828978</v>
      </c>
      <c r="I9323" s="38" t="n">
        <f aca="false">Sens!$I$9301</f>
        <v>280.27345865789</v>
      </c>
      <c r="J9323" s="38" t="n">
        <f aca="false">Sens!$J$9301</f>
        <v>338.800945197185</v>
      </c>
      <c r="K9323" s="38" t="n">
        <f aca="false">Sens!$K$9301</f>
        <v>390.17168267</v>
      </c>
      <c r="L9323" s="38" t="n">
        <f aca="false">Sens!$L$9301</f>
        <v>431.217780537388</v>
      </c>
      <c r="M9323" s="38" t="n">
        <f aca="false">Sens!$M$9301</f>
        <v>462.010668928853</v>
      </c>
      <c r="N9323" s="38" t="n">
        <f aca="false">Sens!$N$9301</f>
        <v>60.14</v>
      </c>
      <c r="O9323" s="38" t="n">
        <f aca="false">Sens!$O$9301</f>
        <v>68.585</v>
      </c>
    </row>
    <row r="9324" customFormat="false" ht="17.15" hidden="false" customHeight="false" outlineLevel="0" collapsed="false">
      <c r="A9324" s="0" t="s">
        <v>685</v>
      </c>
      <c r="B9324" s="0" t="s">
        <v>86</v>
      </c>
      <c r="C9324" s="38" t="n">
        <f aca="false">Sens!$C$9299</f>
        <v>2.32100535697364</v>
      </c>
      <c r="D9324" s="38" t="n">
        <f aca="false">Sens!$D$9299</f>
        <v>8.70377008865116</v>
      </c>
      <c r="E9324" s="38" t="n">
        <f aca="false">Sens!$E$9299</f>
        <v>8.51035297557002</v>
      </c>
      <c r="F9324" s="38" t="n">
        <f aca="false">Sens!$F$9299</f>
        <v>14.9634336447205</v>
      </c>
      <c r="G9324" s="38" t="n">
        <f aca="false">Sens!$G$9299</f>
        <v>23.4737866202905</v>
      </c>
      <c r="H9324" s="38" t="n">
        <f aca="false">Sens!$H$9299</f>
        <v>60.1658907497746</v>
      </c>
      <c r="I9324" s="38" t="n">
        <f aca="false">Sens!$I$9299</f>
        <v>101.503699136432</v>
      </c>
      <c r="J9324" s="38" t="n">
        <f aca="false">Sens!$J$9299</f>
        <v>143.025407151278</v>
      </c>
      <c r="K9324" s="38" t="n">
        <f aca="false">Sens!$K$9299</f>
        <v>178.73410158042</v>
      </c>
      <c r="L9324" s="38" t="n">
        <f aca="false">Sens!$L$9299</f>
        <v>202.865192960641</v>
      </c>
      <c r="M9324" s="38" t="n">
        <f aca="false">Sens!$M$9299</f>
        <v>215.389874345967</v>
      </c>
      <c r="N9324" s="38" t="n">
        <f aca="false">Sens!$N$9299</f>
        <v>3.04631953102791</v>
      </c>
      <c r="O9324" s="38" t="n">
        <f aca="false">Sens!$O$9299</f>
        <v>5.65745055762326</v>
      </c>
    </row>
    <row r="9325" customFormat="false" ht="17.15" hidden="false" customHeight="false" outlineLevel="0" collapsed="false">
      <c r="A9325" s="0" t="s">
        <v>687</v>
      </c>
      <c r="B9325" s="0" t="s">
        <v>86</v>
      </c>
      <c r="C9325" s="38" t="n">
        <f aca="false">Sens!$C$9300</f>
        <v>105.234994643026</v>
      </c>
      <c r="D9325" s="38" t="n">
        <f aca="false">Sens!$D$9300</f>
        <v>120.021229911349</v>
      </c>
      <c r="E9325" s="38" t="n">
        <f aca="false">Sens!$E$9300</f>
        <v>71.30864702443</v>
      </c>
      <c r="F9325" s="38" t="n">
        <f aca="false">Sens!$F$9300</f>
        <v>71.7692997942464</v>
      </c>
      <c r="G9325" s="38" t="n">
        <f aca="false">Sens!$G$9300</f>
        <v>143.077946818676</v>
      </c>
      <c r="H9325" s="38" t="n">
        <f aca="false">Sens!$H$9300</f>
        <v>161.017077079203</v>
      </c>
      <c r="I9325" s="38" t="n">
        <f aca="false">Sens!$I$9300</f>
        <v>178.769759521457</v>
      </c>
      <c r="J9325" s="38" t="n">
        <f aca="false">Sens!$J$9300</f>
        <v>195.775538045907</v>
      </c>
      <c r="K9325" s="38" t="n">
        <f aca="false">Sens!$K$9300</f>
        <v>211.43758108958</v>
      </c>
      <c r="L9325" s="38" t="n">
        <f aca="false">Sens!$L$9300</f>
        <v>228.352587576746</v>
      </c>
      <c r="M9325" s="38" t="n">
        <f aca="false">Sens!$M$9300</f>
        <v>246.620794582886</v>
      </c>
      <c r="N9325" s="38" t="n">
        <f aca="false">Sens!$N$9300</f>
        <v>57.0936804689721</v>
      </c>
      <c r="O9325" s="38" t="n">
        <f aca="false">Sens!$O$9300</f>
        <v>62.9275494423768</v>
      </c>
    </row>
    <row r="9326" customFormat="false" ht="15" hidden="false" customHeight="false" outlineLevel="0" collapsed="false">
      <c r="A9326" s="3" t="s">
        <v>514</v>
      </c>
      <c r="B9326" s="8" t="s">
        <v>86</v>
      </c>
      <c r="C9326" s="38" t="n">
        <f aca="false">Sens!$C$9302</f>
        <v>637.959</v>
      </c>
      <c r="D9326" s="38" t="n">
        <f aca="false">Sens!$D$9302</f>
        <v>716.924</v>
      </c>
      <c r="E9326" s="38" t="n">
        <f aca="false">Sens!$E$9302</f>
        <v>382.125</v>
      </c>
      <c r="F9326" s="38" t="n">
        <f aca="false">Sens!$F$9302</f>
        <v>435.780975084504</v>
      </c>
      <c r="G9326" s="38" t="n">
        <f aca="false">Sens!$G$9302</f>
        <v>817.905975084504</v>
      </c>
      <c r="H9326" s="38" t="n">
        <f aca="false">Sens!$H$9302</f>
        <v>942.279857350364</v>
      </c>
      <c r="I9326" s="38" t="n">
        <f aca="false">Sens!$I$9302</f>
        <v>1068.80284981042</v>
      </c>
      <c r="J9326" s="38" t="n">
        <f aca="false">Sens!$J$9302</f>
        <v>1189.90935093863</v>
      </c>
      <c r="K9326" s="38" t="n">
        <f aca="false">Sens!$K$9302</f>
        <v>1296.34813810109</v>
      </c>
      <c r="L9326" s="38" t="n">
        <f aca="false">Sens!$L$9302</f>
        <v>1396.31088701298</v>
      </c>
      <c r="M9326" s="38" t="n">
        <f aca="false">Sens!$M$9302</f>
        <v>1490.15857687574</v>
      </c>
      <c r="N9326" s="38" t="n">
        <f aca="false">Sens!$N$9302</f>
        <v>323.369</v>
      </c>
      <c r="O9326" s="38" t="n">
        <f aca="false">Sens!$O$9302</f>
        <v>393.555</v>
      </c>
    </row>
    <row r="9327" customFormat="false" ht="17.15" hidden="false" customHeight="false" outlineLevel="0" collapsed="false">
      <c r="A9327" s="24" t="s">
        <v>697</v>
      </c>
      <c r="B9327" s="25" t="s">
        <v>86</v>
      </c>
      <c r="C9327" s="41" t="n">
        <f aca="false">Sens!$C$9314+Sens!$C$9315+Sens!$C$9316+Sens!$C$9317+Sens!$C$9318+Sens!$C$9319-(Sens!$C$9321+Sens!$C$9322)</f>
        <v>0</v>
      </c>
      <c r="D9327" s="41" t="n">
        <f aca="false">Sens!$D$9314+Sens!$D$9315+Sens!$D$9316+Sens!$D$9317+Sens!$D$9318+Sens!$D$9319-(Sens!$D$9321+Sens!$D$9322)</f>
        <v>0</v>
      </c>
      <c r="E9327" s="41" t="n">
        <f aca="false">Sens!$E$9314+Sens!$E$9315+Sens!$E$9316+Sens!$E$9317+Sens!$E$9318+Sens!$E$9319-(Sens!$E$9321+Sens!$E$9322)</f>
        <v>0</v>
      </c>
      <c r="F9327" s="41" t="n">
        <f aca="false">Sens!$F$9314+Sens!$F$9315+Sens!$F$9316+Sens!$F$9317+Sens!$F$9318+Sens!$F$9319-(Sens!$F$9321+Sens!$F$9322)</f>
        <v>0</v>
      </c>
      <c r="G9327" s="41" t="n">
        <f aca="false">Sens!$G$9314+Sens!$G$9315+Sens!$G$9316+Sens!$G$9317+Sens!$G$9318+Sens!$G$9319-(Sens!$G$9321+Sens!$G$9322)</f>
        <v>0</v>
      </c>
      <c r="H9327" s="41" t="n">
        <f aca="false">Sens!$H$9314+Sens!$H$9315+Sens!$H$9316+Sens!$H$9317+Sens!$H$9318+Sens!$H$9319-(Sens!$H$9321+Sens!$H$9322)</f>
        <v>0</v>
      </c>
      <c r="I9327" s="41" t="n">
        <f aca="false">Sens!$I$9314+Sens!$I$9315+Sens!$I$9316+Sens!$I$9317+Sens!$I$9318+Sens!$I$9319-(Sens!$I$9321+Sens!$I$9322)</f>
        <v>0</v>
      </c>
      <c r="J9327" s="41" t="n">
        <f aca="false">Sens!$J$9314+Sens!$J$9315+Sens!$J$9316+Sens!$J$9317+Sens!$J$9318+Sens!$J$9319-(Sens!$J$9321+Sens!$J$9322)</f>
        <v>0</v>
      </c>
      <c r="K9327" s="41" t="n">
        <f aca="false">Sens!$K$9314+Sens!$K$9315+Sens!$K$9316+Sens!$K$9317+Sens!$K$9318+Sens!$K$9319-(Sens!$K$9321+Sens!$K$9322)</f>
        <v>0</v>
      </c>
      <c r="L9327" s="41" t="n">
        <f aca="false">Sens!$L$9314+Sens!$L$9315+Sens!$L$9316+Sens!$L$9317+Sens!$L$9318+Sens!$L$9319-(Sens!$L$9321+Sens!$L$9322)</f>
        <v>0</v>
      </c>
      <c r="M9327" s="41" t="n">
        <f aca="false">Sens!$M$9314+Sens!$M$9315+Sens!$M$9316+Sens!$M$9317+Sens!$M$9318+Sens!$M$9319-(Sens!$M$9321+Sens!$M$9322)</f>
        <v>0</v>
      </c>
      <c r="N9327" s="41" t="n">
        <f aca="false">Sens!$N$9314+Sens!$N$9315+Sens!$N$9316+Sens!$N$9317+Sens!$N$9318+Sens!$N$9319-(Sens!$N$9321+Sens!$N$9322)</f>
        <v>0</v>
      </c>
      <c r="O9327" s="41" t="n">
        <f aca="false">Sens!$O$9314+Sens!$O$9315+Sens!$O$9316+Sens!$O$9317+Sens!$O$9318+Sens!$O$9319-(Sens!$O$9321+Sens!$O$9322)</f>
        <v>0</v>
      </c>
    </row>
    <row r="9328" customFormat="false" ht="17.15" hidden="false" customHeight="false" outlineLevel="0" collapsed="false">
      <c r="A9328" s="24" t="s">
        <v>698</v>
      </c>
      <c r="B9328" s="25" t="s">
        <v>86</v>
      </c>
      <c r="C9328" s="41" t="n">
        <f aca="false">Sens!$C$9324+Sens!$C$9325-Sens!$C$9323</f>
        <v>0</v>
      </c>
      <c r="D9328" s="41" t="n">
        <f aca="false">Sens!$D$9324+Sens!$D$9325-Sens!$D$9323</f>
        <v>0</v>
      </c>
      <c r="E9328" s="41" t="n">
        <f aca="false">Sens!$E$9324+Sens!$E$9325-Sens!$E$9323</f>
        <v>0</v>
      </c>
      <c r="F9328" s="41" t="n">
        <f aca="false">Sens!$F$9324+Sens!$F$9325-Sens!$F$9323</f>
        <v>0</v>
      </c>
      <c r="G9328" s="41" t="n">
        <f aca="false">Sens!$G$9324+Sens!$G$9325-Sens!$G$9323</f>
        <v>0</v>
      </c>
      <c r="H9328" s="41" t="n">
        <f aca="false">Sens!$H$9324+Sens!$H$9325-Sens!$H$9323</f>
        <v>0</v>
      </c>
      <c r="I9328" s="41" t="n">
        <f aca="false">Sens!$I$9324+Sens!$I$9325-Sens!$I$9323</f>
        <v>0</v>
      </c>
      <c r="J9328" s="41" t="n">
        <f aca="false">Sens!$J$9324+Sens!$J$9325-Sens!$J$9323</f>
        <v>0</v>
      </c>
      <c r="K9328" s="41" t="n">
        <f aca="false">Sens!$K$9324+Sens!$K$9325-Sens!$K$9323</f>
        <v>0</v>
      </c>
      <c r="L9328" s="41" t="n">
        <f aca="false">Sens!$L$9324+Sens!$L$9325-Sens!$L$9323</f>
        <v>0</v>
      </c>
      <c r="M9328" s="41" t="n">
        <f aca="false">Sens!$M$9324+Sens!$M$9325-Sens!$M$9323</f>
        <v>0</v>
      </c>
      <c r="N9328" s="41" t="n">
        <f aca="false">Sens!$N$9324+Sens!$N$9325-Sens!$N$9323</f>
        <v>0</v>
      </c>
      <c r="O9328" s="41" t="n">
        <f aca="false">Sens!$O$9324+Sens!$O$9325-Sens!$O$9323</f>
        <v>0</v>
      </c>
    </row>
    <row r="9329" customFormat="false" ht="17.15" hidden="false" customHeight="false" outlineLevel="0" collapsed="false">
      <c r="A9329" s="24" t="s">
        <v>757</v>
      </c>
      <c r="B9329" s="25" t="s">
        <v>86</v>
      </c>
      <c r="C9329" s="41" t="n">
        <f aca="false">Sens!$C$9314+Sens!$C$9315+Sens!$C$9316+Sens!$C$9317+Sens!$C$9318+Sens!$C$9319+Sens!$C$9320-Sens!$C$9326</f>
        <v>0</v>
      </c>
      <c r="D9329" s="41" t="n">
        <f aca="false">Sens!$D$9314+Sens!$D$9315+Sens!$D$9316+Sens!$D$9317+Sens!$D$9318+Sens!$D$9319+Sens!$D$9320-Sens!$D$9326</f>
        <v>0</v>
      </c>
      <c r="E9329" s="41" t="n">
        <f aca="false">Sens!$E$9314+Sens!$E$9315+Sens!$E$9316+Sens!$E$9317+Sens!$E$9318+Sens!$E$9319+Sens!$E$9320-Sens!$E$9326</f>
        <v>0</v>
      </c>
      <c r="F9329" s="41" t="n">
        <f aca="false">Sens!$F$9314+Sens!$F$9315+Sens!$F$9316+Sens!$F$9317+Sens!$F$9318+Sens!$F$9319+Sens!$F$9320-Sens!$F$9326</f>
        <v>0</v>
      </c>
      <c r="G9329" s="41" t="n">
        <f aca="false">Sens!$G$9314+Sens!$G$9315+Sens!$G$9316+Sens!$G$9317+Sens!$G$9318+Sens!$G$9319+Sens!$G$9320-Sens!$G$9326</f>
        <v>0</v>
      </c>
      <c r="H9329" s="41" t="n">
        <f aca="false">Sens!$H$9314+Sens!$H$9315+Sens!$H$9316+Sens!$H$9317+Sens!$H$9318+Sens!$H$9319+Sens!$H$9320-Sens!$H$9326</f>
        <v>0</v>
      </c>
      <c r="I9329" s="41" t="n">
        <f aca="false">Sens!$I$9314+Sens!$I$9315+Sens!$I$9316+Sens!$I$9317+Sens!$I$9318+Sens!$I$9319+Sens!$I$9320-Sens!$I$9326</f>
        <v>0</v>
      </c>
      <c r="J9329" s="41" t="n">
        <f aca="false">Sens!$J$9314+Sens!$J$9315+Sens!$J$9316+Sens!$J$9317+Sens!$J$9318+Sens!$J$9319+Sens!$J$9320-Sens!$J$9326</f>
        <v>0</v>
      </c>
      <c r="K9329" s="41" t="n">
        <f aca="false">Sens!$K$9314+Sens!$K$9315+Sens!$K$9316+Sens!$K$9317+Sens!$K$9318+Sens!$K$9319+Sens!$K$9320-Sens!$K$9326</f>
        <v>0</v>
      </c>
      <c r="L9329" s="41" t="n">
        <f aca="false">Sens!$L$9314+Sens!$L$9315+Sens!$L$9316+Sens!$L$9317+Sens!$L$9318+Sens!$L$9319+Sens!$L$9320-Sens!$L$9326</f>
        <v>0</v>
      </c>
      <c r="M9329" s="41" t="n">
        <f aca="false">Sens!$M$9314+Sens!$M$9315+Sens!$M$9316+Sens!$M$9317+Sens!$M$9318+Sens!$M$9319+Sens!$M$9320-Sens!$M$9326</f>
        <v>0</v>
      </c>
      <c r="N9329" s="41" t="n">
        <f aca="false">Sens!$N$9314+Sens!$N$9315+Sens!$N$9316+Sens!$N$9317+Sens!$N$9318+Sens!$N$9319+Sens!$N$9320-Sens!$N$9326</f>
        <v>0</v>
      </c>
      <c r="O9329" s="41" t="n">
        <f aca="false">Sens!$O$9314+Sens!$O$9315+Sens!$O$9316+Sens!$O$9317+Sens!$O$9318+Sens!$O$9319+Sens!$O$9320-Sens!$O$9326</f>
        <v>0</v>
      </c>
    </row>
    <row r="9330" customFormat="false" ht="17.15" hidden="false" customHeight="false" outlineLevel="0" collapsed="false">
      <c r="A9330" s="24" t="s">
        <v>699</v>
      </c>
      <c r="B9330" s="25" t="s">
        <v>86</v>
      </c>
      <c r="C9330" s="41" t="n">
        <f aca="false">Sens!$C$9321+Sens!$C$9322+Sens!$C$9323-Sens!$C$9326</f>
        <v>0</v>
      </c>
      <c r="D9330" s="41" t="n">
        <f aca="false">Sens!$D$9321+Sens!$D$9322+Sens!$D$9323-Sens!$D$9326</f>
        <v>0</v>
      </c>
      <c r="E9330" s="41" t="n">
        <f aca="false">Sens!$E$9321+Sens!$E$9322+Sens!$E$9323-Sens!$E$9326</f>
        <v>0</v>
      </c>
      <c r="F9330" s="41" t="n">
        <f aca="false">Sens!$F$9321+Sens!$F$9322+Sens!$F$9323-Sens!$F$9326</f>
        <v>0</v>
      </c>
      <c r="G9330" s="41" t="n">
        <f aca="false">Sens!$G$9321+Sens!$G$9322+Sens!$G$9323-Sens!$G$9326</f>
        <v>0</v>
      </c>
      <c r="H9330" s="41" t="n">
        <f aca="false">Sens!$H$9321+Sens!$H$9322+Sens!$H$9323-Sens!$H$9326</f>
        <v>0</v>
      </c>
      <c r="I9330" s="41" t="n">
        <f aca="false">Sens!$I$9321+Sens!$I$9322+Sens!$I$9323-Sens!$I$9326</f>
        <v>0</v>
      </c>
      <c r="J9330" s="41" t="n">
        <f aca="false">Sens!$J$9321+Sens!$J$9322+Sens!$J$9323-Sens!$J$9326</f>
        <v>0</v>
      </c>
      <c r="K9330" s="41" t="n">
        <f aca="false">Sens!$K$9321+Sens!$K$9322+Sens!$K$9323-Sens!$K$9326</f>
        <v>0</v>
      </c>
      <c r="L9330" s="41" t="n">
        <f aca="false">Sens!$L$9321+Sens!$L$9322+Sens!$L$9323-Sens!$L$9326</f>
        <v>0</v>
      </c>
      <c r="M9330" s="41" t="n">
        <f aca="false">Sens!$M$9321+Sens!$M$9322+Sens!$M$9323-Sens!$M$9326</f>
        <v>0</v>
      </c>
      <c r="N9330" s="41" t="n">
        <f aca="false">Sens!$N$9321+Sens!$N$9322+Sens!$N$9323-Sens!$N$9326</f>
        <v>0</v>
      </c>
      <c r="O9330" s="41" t="n">
        <f aca="false">Sens!$O$9321+Sens!$O$9322+Sens!$O$9323-Sens!$O$9326</f>
        <v>0</v>
      </c>
    </row>
    <row r="9331" customFormat="false" ht="17.15" hidden="false" customHeight="false" outlineLevel="0" collapsed="false">
      <c r="A9331" s="1" t="s">
        <v>713</v>
      </c>
    </row>
    <row r="9332" customFormat="false" ht="17.15" hidden="false" customHeight="false" outlineLevel="0" collapsed="false">
      <c r="A9332" s="0" t="s">
        <v>714</v>
      </c>
      <c r="B9332" s="0" t="s">
        <v>86</v>
      </c>
      <c r="C9332" s="38" t="n">
        <f aca="false">Sens!$C$9238*m_ad</f>
        <v>20.5341564414228</v>
      </c>
      <c r="D9332" s="38" t="n">
        <f aca="false">Sens!$D$9238*m_ad</f>
        <v>24.8720617299587</v>
      </c>
      <c r="E9332" s="38" t="n">
        <f aca="false">Sens!$E$9238*m_ad</f>
        <v>13.5017112462207</v>
      </c>
      <c r="F9332" s="38" t="n">
        <f aca="false">Sens!$F$9238*m_ad</f>
        <v>16.5719724165257</v>
      </c>
      <c r="G9332" s="38" t="n">
        <f aca="false">Sens!$G$9238*m_ad</f>
        <v>30.0820919220415</v>
      </c>
      <c r="H9332" s="38" t="n">
        <f aca="false">Sens!$H$9238*m_ad</f>
        <v>36.1150883276314</v>
      </c>
      <c r="I9332" s="38" t="n">
        <f aca="false">Sens!$I$9238*m_ad</f>
        <v>42.1475382231996</v>
      </c>
      <c r="J9332" s="38" t="n">
        <f aca="false">Sens!$J$9238*m_ad</f>
        <v>47.7749523864693</v>
      </c>
      <c r="K9332" s="38" t="n">
        <f aca="false">Sens!$K$9238*m_ad</f>
        <v>52.5524476251162</v>
      </c>
      <c r="L9332" s="38" t="n">
        <f aca="false">Sens!$L$9238*m_ad</f>
        <v>57.8076923876279</v>
      </c>
      <c r="M9332" s="38" t="n">
        <f aca="false">Sens!$M$9238*m_ad</f>
        <v>63.5884616263907</v>
      </c>
      <c r="N9332" s="38" t="n">
        <f aca="false">Sens!$N$9238*m_ad</f>
        <v>10.8543555706248</v>
      </c>
      <c r="O9332" s="38" t="n">
        <f aca="false">Sens!$O$9238*m_ad</f>
        <v>14.0094731821399</v>
      </c>
    </row>
    <row r="9333" customFormat="false" ht="17.15" hidden="false" customHeight="false" outlineLevel="0" collapsed="false">
      <c r="A9333" s="0" t="s">
        <v>715</v>
      </c>
      <c r="B9333" s="0" t="s">
        <v>86</v>
      </c>
      <c r="C9333" s="38" t="n">
        <f aca="false">Sens!$C$9236-Sens!$C$9238</f>
        <v>346.428687117154</v>
      </c>
      <c r="D9333" s="38" t="n">
        <f aca="false">Sens!$D$9236-Sens!$D$9238</f>
        <v>376.560876540083</v>
      </c>
      <c r="E9333" s="38" t="n">
        <f aca="false">Sens!$E$9236-Sens!$E$9238</f>
        <v>193.316577507559</v>
      </c>
      <c r="F9333" s="38" t="n">
        <f aca="false">Sens!$F$9236-Sens!$F$9238</f>
        <v>217.495828647535</v>
      </c>
      <c r="G9333" s="38" t="n">
        <f aca="false">Sens!$G$9236-Sens!$G$9238</f>
        <v>410.795589636503</v>
      </c>
      <c r="H9333" s="38" t="n">
        <f aca="false">Sens!$H$9236-Sens!$H$9238</f>
        <v>449.156813761174</v>
      </c>
      <c r="I9333" s="38" t="n">
        <f aca="false">Sens!$I$9236-Sens!$I$9238</f>
        <v>485.848786441156</v>
      </c>
      <c r="J9333" s="38" t="n">
        <f aca="false">Sens!$J$9236-Sens!$J$9238</f>
        <v>519.841531018994</v>
      </c>
      <c r="K9333" s="38" t="n">
        <f aca="false">Sens!$K$9236-Sens!$K$9238</f>
        <v>550.103332311311</v>
      </c>
      <c r="L9333" s="38" t="n">
        <f aca="false">Sens!$L$9236-Sens!$L$9238</f>
        <v>582.192354474511</v>
      </c>
      <c r="M9333" s="38" t="n">
        <f aca="false">Sens!$M$9236-Sens!$M$9238</f>
        <v>616.22240521081</v>
      </c>
      <c r="N9333" s="38" t="n">
        <f aca="false">Sens!$N$9236-Sens!$N$9238</f>
        <v>171.24628885875</v>
      </c>
      <c r="O9333" s="38" t="n">
        <f aca="false">Sens!$O$9236-Sens!$O$9238</f>
        <v>205.33105363572</v>
      </c>
    </row>
    <row r="9334" customFormat="false" ht="17.15" hidden="false" customHeight="false" outlineLevel="0" collapsed="false">
      <c r="A9334" s="0" t="s">
        <v>716</v>
      </c>
      <c r="B9334" s="0" t="s">
        <v>86</v>
      </c>
      <c r="C9334" s="38" t="n">
        <f aca="false">Sens!$C$9285*Sens!$C$9235</f>
        <v>0.123617442257179</v>
      </c>
      <c r="D9334" s="38" t="n">
        <f aca="false">Sens!$D$9285*Sens!$D$9235</f>
        <v>0.874366899302609</v>
      </c>
      <c r="E9334" s="38" t="n">
        <f aca="false">Sens!$E$9285*Sens!$E$9235</f>
        <v>1.29318830502574</v>
      </c>
      <c r="F9334" s="38" t="n">
        <f aca="false">Sens!$F$9285*Sens!$F$9235</f>
        <v>1.51802024162534</v>
      </c>
      <c r="G9334" s="38" t="n">
        <f aca="false">Sens!$G$9285*Sens!$G$9235</f>
        <v>2.81153363597665</v>
      </c>
      <c r="H9334" s="38" t="n">
        <f aca="false">Sens!$H$9285*Sens!$H$9235</f>
        <v>7.39027704264226</v>
      </c>
      <c r="I9334" s="38" t="n">
        <f aca="false">Sens!$I$9285*Sens!$I$9235</f>
        <v>12.899807643047</v>
      </c>
      <c r="J9334" s="38" t="n">
        <f aca="false">Sens!$J$9285*Sens!$J$9235</f>
        <v>18.5585322471382</v>
      </c>
      <c r="K9334" s="38" t="n">
        <f aca="false">Sens!$K$9285*Sens!$K$9235</f>
        <v>24.1069408582448</v>
      </c>
      <c r="L9334" s="38" t="n">
        <f aca="false">Sens!$L$9285*Sens!$L$9235</f>
        <v>27.7839918126586</v>
      </c>
      <c r="M9334" s="38" t="n">
        <f aca="false">Sens!$M$9285*Sens!$M$9235</f>
        <v>29.9851882607902</v>
      </c>
      <c r="N9334" s="38" t="n">
        <f aca="false">Sens!$N$9285*Sens!$N$9235</f>
        <v>0.389180508437431</v>
      </c>
      <c r="O9334" s="38" t="n">
        <f aca="false">Sens!$O$9285*Sens!$O$9235</f>
        <v>0.485052120082802</v>
      </c>
    </row>
    <row r="9335" customFormat="false" ht="17.15" hidden="false" customHeight="false" outlineLevel="0" collapsed="false">
      <c r="A9335" s="0" t="s">
        <v>717</v>
      </c>
      <c r="B9335" s="0" t="s">
        <v>52</v>
      </c>
      <c r="C9335" s="28" t="n">
        <f aca="false">(Sens!$C$9336-Sens!$C$9332+Sens!$C$9334)/Sens!$C$9333</f>
        <v>0.0131526665379575</v>
      </c>
      <c r="D9335" s="28" t="n">
        <f aca="false">(Sens!$D$9336-Sens!$D$9332+Sens!$D$9334)/Sens!$D$9333</f>
        <v>0.0149280116962589</v>
      </c>
      <c r="E9335" s="28" t="n">
        <f aca="false">(Sens!$E$9336-Sens!$E$9332+Sens!$E$9334)/Sens!$E$9333</f>
        <v>0.0268030663774938</v>
      </c>
      <c r="F9335" s="28" t="n">
        <f aca="false">Sens!$O$9335+(Sens!$E$9335-Sens!$N$9335)</f>
        <v>0.0232379346966962</v>
      </c>
      <c r="G9335" s="28" t="n">
        <f aca="false">(Sens!$G$9336-Sens!$G$9332+Sens!$G$9334)/Sens!$G$9333</f>
        <v>0.0248969268652583</v>
      </c>
      <c r="H9335" s="28" t="n">
        <f aca="false">Sens!$G$9335+step_na</f>
        <v>0.0278969268652583</v>
      </c>
      <c r="I9335" s="28" t="n">
        <f aca="false">Sens!$H$9335+step_na</f>
        <v>0.0308969268652583</v>
      </c>
      <c r="J9335" s="28" t="n">
        <f aca="false">Sens!$I$9335+step_na</f>
        <v>0.0338969268652583</v>
      </c>
      <c r="K9335" s="28" t="n">
        <f aca="false">Sens!$J$9335+step_na</f>
        <v>0.0368969268652584</v>
      </c>
      <c r="L9335" s="28" t="n">
        <f aca="false">Sens!$K$9335</f>
        <v>0.0368969268652584</v>
      </c>
      <c r="M9335" s="28" t="n">
        <f aca="false">Sens!$L$9335</f>
        <v>0.0368969268652584</v>
      </c>
      <c r="N9335" s="28" t="n">
        <f aca="false">(Sens!$N$9336-Sens!$N$9332+Sens!$N$9334)/Sens!$N$9333</f>
        <v>0.0168927744775755</v>
      </c>
      <c r="O9335" s="28" t="n">
        <f aca="false">(Sens!$O$9336-Sens!$O$9332+Sens!$O$9334)/Sens!$O$9333</f>
        <v>0.0133276427967779</v>
      </c>
      <c r="P9335" s="8" t="s">
        <v>718</v>
      </c>
    </row>
    <row r="9336" customFormat="false" ht="17.15" hidden="false" customHeight="false" outlineLevel="0" collapsed="false">
      <c r="A9336" s="1" t="s">
        <v>719</v>
      </c>
      <c r="B9336" s="8" t="s">
        <v>86</v>
      </c>
      <c r="C9336" s="38" t="n">
        <f aca="false">Q!$D$22</f>
        <v>24.967</v>
      </c>
      <c r="D9336" s="38" t="n">
        <f aca="false">Q!$E$22</f>
        <v>29.619</v>
      </c>
      <c r="E9336" s="38" t="n">
        <f aca="false">Q!$P$22</f>
        <v>17.39</v>
      </c>
      <c r="F9336" s="38" t="n">
        <f aca="false">Sens!$F$9332+Sens!$F$9333*Sens!$F$9335-Sens!$F$9334</f>
        <v>20.1081060378156</v>
      </c>
      <c r="G9336" s="38" t="n">
        <f aca="false">Sens!$E$9336+Sens!$F$9336</f>
        <v>37.4981060378156</v>
      </c>
      <c r="H9336" s="38" t="n">
        <f aca="false">Sens!$H$9332+Sens!$H$9333*Sens!$H$9335-Sens!$H$9334</f>
        <v>41.2549060695171</v>
      </c>
      <c r="I9336" s="38" t="n">
        <f aca="false">Sens!$I$9332+Sens!$I$9333*Sens!$I$9335-Sens!$I$9334</f>
        <v>44.2589650023995</v>
      </c>
      <c r="J9336" s="38" t="n">
        <f aca="false">Sens!$J$9332+Sens!$J$9333*Sens!$J$9335-Sens!$J$9334</f>
        <v>46.8374504978059</v>
      </c>
      <c r="K9336" s="38" t="n">
        <f aca="false">Sens!$K$9332+Sens!$K$9333*Sens!$K$9335-Sens!$K$9334</f>
        <v>48.7426291874968</v>
      </c>
      <c r="L9336" s="38" t="n">
        <f aca="false">Sens!$L$9332+Sens!$L$9333*Sens!$L$9335-Sens!$L$9334</f>
        <v>51.5048092995279</v>
      </c>
      <c r="M9336" s="38" t="n">
        <f aca="false">Sens!$M$9332+Sens!$M$9333*Sens!$M$9335-Sens!$M$9334</f>
        <v>56.3399863833974</v>
      </c>
      <c r="N9336" s="38" t="n">
        <f aca="false">Q!$N$22</f>
        <v>13.358</v>
      </c>
      <c r="O9336" s="38" t="n">
        <f aca="false">Q!$O$22</f>
        <v>16.261</v>
      </c>
    </row>
    <row r="9337" customFormat="false" ht="17.15" hidden="false" customHeight="false" outlineLevel="0" collapsed="false">
      <c r="A9337" s="0" t="s">
        <v>720</v>
      </c>
      <c r="B9337" s="0" t="s">
        <v>86</v>
      </c>
      <c r="C9337" s="38" t="n">
        <f aca="false">Sens!$C$9239*m_ad</f>
        <v>7.57284355857716</v>
      </c>
      <c r="D9337" s="38" t="n">
        <f aca="false">Sens!$D$9239*m_ad</f>
        <v>9.44543827004127</v>
      </c>
      <c r="E9337" s="38" t="n">
        <f aca="false">Sens!$E$9239*m_ad</f>
        <v>5.02428875377928</v>
      </c>
      <c r="F9337" s="38" t="n">
        <f aca="false">Sens!$F$9239*m_ad</f>
        <v>6.50663858068173</v>
      </c>
      <c r="G9337" s="38" t="n">
        <f aca="false">Sens!$G$9239*m_ad</f>
        <v>11.5225190751659</v>
      </c>
      <c r="H9337" s="38" t="n">
        <f aca="false">Sens!$H$9239*m_ad</f>
        <v>13.8333728663174</v>
      </c>
      <c r="I9337" s="38" t="n">
        <f aca="false">Sens!$I$9239*m_ad</f>
        <v>16.1440173245485</v>
      </c>
      <c r="J9337" s="38" t="n">
        <f aca="false">Sens!$J$9239*m_ad</f>
        <v>18.2995185845066</v>
      </c>
      <c r="K9337" s="38" t="n">
        <f aca="false">Sens!$K$9239*m_ad</f>
        <v>20.1294704429572</v>
      </c>
      <c r="L9337" s="38" t="n">
        <f aca="false">Sens!$L$9239*m_ad</f>
        <v>22.142417487253</v>
      </c>
      <c r="M9337" s="38" t="n">
        <f aca="false">Sens!$M$9239*m_ad</f>
        <v>24.3566592359783</v>
      </c>
      <c r="N9337" s="38" t="n">
        <f aca="false">Sens!$N$9239*m_ad</f>
        <v>3.95314442937518</v>
      </c>
      <c r="O9337" s="38" t="n">
        <f aca="false">Sens!$O$9239*m_ad</f>
        <v>5.50052681786011</v>
      </c>
    </row>
    <row r="9338" customFormat="false" ht="17.15" hidden="false" customHeight="false" outlineLevel="0" collapsed="false">
      <c r="A9338" s="0" t="s">
        <v>721</v>
      </c>
      <c r="B9338" s="0" t="s">
        <v>86</v>
      </c>
      <c r="C9338" s="38" t="n">
        <f aca="false">Sens!$C$9237-Sens!$C$9239</f>
        <v>127.760312882846</v>
      </c>
      <c r="D9338" s="38" t="n">
        <f aca="false">Sens!$D$9237-Sens!$D$9239</f>
        <v>143.003123459917</v>
      </c>
      <c r="E9338" s="38" t="n">
        <f aca="false">Sens!$E$9237-Sens!$E$9239</f>
        <v>71.9374224924414</v>
      </c>
      <c r="F9338" s="38" t="n">
        <f aca="false">Sens!$F$9237-Sens!$F$9239</f>
        <v>85.3951910035875</v>
      </c>
      <c r="G9338" s="38" t="n">
        <f aca="false">Sens!$G$9237-Sens!$G$9239</f>
        <v>157.349430014619</v>
      </c>
      <c r="H9338" s="38" t="n">
        <f aca="false">Sens!$H$9237-Sens!$H$9239</f>
        <v>172.043153372315</v>
      </c>
      <c r="I9338" s="38" t="n">
        <f aca="false">Sens!$I$9237-Sens!$I$9239</f>
        <v>186.097493615879</v>
      </c>
      <c r="J9338" s="38" t="n">
        <f aca="false">Sens!$J$9237-Sens!$J$9239</f>
        <v>199.117932780497</v>
      </c>
      <c r="K9338" s="38" t="n">
        <f aca="false">Sens!$K$9237-Sens!$K$9239</f>
        <v>210.70928698363</v>
      </c>
      <c r="L9338" s="38" t="n">
        <f aca="false">Sens!$L$9237-Sens!$L$9239</f>
        <v>223.000532251316</v>
      </c>
      <c r="M9338" s="38" t="n">
        <f aca="false">Sens!$M$9237-Sens!$M$9239</f>
        <v>236.035261011339</v>
      </c>
      <c r="N9338" s="38" t="n">
        <f aca="false">Sens!$N$9237-Sens!$N$9239</f>
        <v>62.3677111412496</v>
      </c>
      <c r="O9338" s="38" t="n">
        <f aca="false">Sens!$O$9237-Sens!$O$9239</f>
        <v>80.6189463642798</v>
      </c>
    </row>
    <row r="9339" customFormat="false" ht="17.15" hidden="false" customHeight="false" outlineLevel="0" collapsed="false">
      <c r="A9339" s="0" t="s">
        <v>722</v>
      </c>
      <c r="B9339" s="0" t="s">
        <v>86</v>
      </c>
      <c r="C9339" s="38" t="n">
        <f aca="false">Sens!$C$9285*(1-Sens!$C$9235)</f>
        <v>0.0455891896019953</v>
      </c>
      <c r="D9339" s="38" t="n">
        <f aca="false">Sens!$D$9285*(1-Sens!$D$9235)</f>
        <v>0.332050421167231</v>
      </c>
      <c r="E9339" s="38" t="n">
        <f aca="false">Sens!$E$9285*(1-Sens!$E$9235)</f>
        <v>0.481224293644882</v>
      </c>
      <c r="F9339" s="38" t="n">
        <f aca="false">Sens!$F$9285*(1-Sens!$F$9235)</f>
        <v>0.596018918096053</v>
      </c>
      <c r="G9339" s="38" t="n">
        <f aca="false">Sens!$G$9285*(1-Sens!$G$9235)</f>
        <v>1.07691812241537</v>
      </c>
      <c r="H9339" s="38" t="n">
        <f aca="false">Sens!$H$9285*(1-Sens!$H$9235)</f>
        <v>2.83074090775622</v>
      </c>
      <c r="I9339" s="38" t="n">
        <f aca="false">Sens!$I$9285*(1-Sens!$I$9235)</f>
        <v>4.94108853926048</v>
      </c>
      <c r="J9339" s="38" t="n">
        <f aca="false">Sens!$J$9285*(1-Sens!$J$9235)</f>
        <v>7.10858281993502</v>
      </c>
      <c r="K9339" s="38" t="n">
        <f aca="false">Sens!$K$9285*(1-Sens!$K$9235)</f>
        <v>9.233822122573</v>
      </c>
      <c r="L9339" s="38" t="n">
        <f aca="false">Sens!$L$9285*(1-Sens!$L$9235)</f>
        <v>10.6422643902314</v>
      </c>
      <c r="M9339" s="38" t="n">
        <f aca="false">Sens!$M$9285*(1-Sens!$M$9235)</f>
        <v>11.4854015007593</v>
      </c>
      <c r="N9339" s="38" t="n">
        <f aca="false">Sens!$N$9285*(1-Sens!$N$9235)</f>
        <v>0.141739115596548</v>
      </c>
      <c r="O9339" s="38" t="n">
        <f aca="false">Sens!$O$9285*(1-Sens!$O$9235)</f>
        <v>0.190445576353059</v>
      </c>
    </row>
    <row r="9340" customFormat="false" ht="17.15" hidden="false" customHeight="false" outlineLevel="0" collapsed="false">
      <c r="A9340" s="0" t="s">
        <v>723</v>
      </c>
      <c r="B9340" s="0" t="s">
        <v>52</v>
      </c>
      <c r="C9340" s="28" t="n">
        <f aca="false">(Sens!$C$9341-Sens!$C$9337+Sens!$C$9339)/Sens!$C$9338</f>
        <v>-0.0292364215826579</v>
      </c>
      <c r="D9340" s="28" t="n">
        <f aca="false">(Sens!$D$9341-Sens!$D$9337+Sens!$D$9339)/Sens!$D$9338</f>
        <v>-0.0305125352740778</v>
      </c>
      <c r="E9340" s="28" t="n">
        <f aca="false">(Sens!$E$9341-Sens!$E$9337+Sens!$E$9339)/Sens!$E$9338</f>
        <v>-0.019490056934994</v>
      </c>
      <c r="F9340" s="28" t="n">
        <f aca="false">Sens!$O$9340+(Sens!$E$9340-Sens!$N$9340)</f>
        <v>-0.0367332293992226</v>
      </c>
      <c r="G9340" s="28" t="n">
        <f aca="false">(Sens!$G$9341-Sens!$G$9337+Sens!$G$9339)/Sens!$G$9338</f>
        <v>-0.0287946542321067</v>
      </c>
      <c r="H9340" s="28" t="n">
        <f aca="false">Sens!$G$9340+step_in</f>
        <v>-0.0287946542321067</v>
      </c>
      <c r="I9340" s="28" t="n">
        <f aca="false">Sens!$H$9340+step_in</f>
        <v>-0.0287946542321067</v>
      </c>
      <c r="J9340" s="28" t="n">
        <f aca="false">Sens!$I$9340+step_in</f>
        <v>-0.0287946542321067</v>
      </c>
      <c r="K9340" s="28" t="n">
        <f aca="false">Sens!$J$9340+step_in</f>
        <v>-0.0287946542321067</v>
      </c>
      <c r="L9340" s="28" t="n">
        <f aca="false">Sens!$K$9340</f>
        <v>-0.0287946542321067</v>
      </c>
      <c r="M9340" s="28" t="n">
        <f aca="false">Sens!$L$9340</f>
        <v>-0.0287946542321067</v>
      </c>
      <c r="N9340" s="28" t="n">
        <f aca="false">(Sens!$N$9341-Sens!$N$9337+Sens!$N$9339)/Sens!$N$9338</f>
        <v>-0.02085061789158</v>
      </c>
      <c r="O9340" s="28" t="n">
        <f aca="false">(Sens!$O$9341-Sens!$O$9337+Sens!$O$9339)/Sens!$O$9338</f>
        <v>-0.0380937903558086</v>
      </c>
      <c r="P9340" s="8" t="s">
        <v>718</v>
      </c>
    </row>
    <row r="9341" customFormat="false" ht="17.15" hidden="false" customHeight="false" outlineLevel="0" collapsed="false">
      <c r="A9341" s="1" t="s">
        <v>724</v>
      </c>
      <c r="B9341" s="8" t="s">
        <v>86</v>
      </c>
      <c r="C9341" s="38" t="n">
        <f aca="false">Q!$D$23</f>
        <v>3.792</v>
      </c>
      <c r="D9341" s="38" t="n">
        <f aca="false">Q!$E$23</f>
        <v>4.75</v>
      </c>
      <c r="E9341" s="38" t="n">
        <f aca="false">Q!$P$23</f>
        <v>3.141</v>
      </c>
      <c r="F9341" s="38" t="n">
        <f aca="false">Sens!$F$9337+Sens!$F$9338*Sens!$F$9340-Sens!$F$9339</f>
        <v>2.77377852186047</v>
      </c>
      <c r="G9341" s="38" t="n">
        <f aca="false">Sens!$E$9341+Sens!$F$9341</f>
        <v>5.91477852186047</v>
      </c>
      <c r="H9341" s="38" t="n">
        <f aca="false">Sens!$H$9337+Sens!$H$9338*Sens!$H$9340-Sens!$H$9339</f>
        <v>6.04870884420403</v>
      </c>
      <c r="I9341" s="38" t="n">
        <f aca="false">Sens!$I$9337+Sens!$I$9338*Sens!$I$9340-Sens!$I$9339</f>
        <v>5.84431580315713</v>
      </c>
      <c r="J9341" s="38" t="n">
        <f aca="false">Sens!$J$9337+Sens!$J$9338*Sens!$J$9340-Sens!$J$9339</f>
        <v>5.45740373874528</v>
      </c>
      <c r="K9341" s="38" t="n">
        <f aca="false">Sens!$K$9337+Sens!$K$9338*Sens!$K$9340-Sens!$K$9339</f>
        <v>4.82834725819686</v>
      </c>
      <c r="L9341" s="38" t="n">
        <f aca="false">Sens!$L$9337+Sens!$L$9338*Sens!$L$9340-Sens!$L$9339</f>
        <v>5.0789298772691</v>
      </c>
      <c r="M9341" s="38" t="n">
        <f aca="false">Sens!$M$9337+Sens!$M$9338*Sens!$M$9340-Sens!$M$9339</f>
        <v>6.07470400781241</v>
      </c>
      <c r="N9341" s="38" t="n">
        <f aca="false">Q!$N$23</f>
        <v>2.511</v>
      </c>
      <c r="O9341" s="38" t="n">
        <f aca="false">Q!$O$23</f>
        <v>2.239</v>
      </c>
    </row>
    <row r="9342" customFormat="false" ht="17.15" hidden="false" customHeight="false" outlineLevel="0" collapsed="false">
      <c r="A9342" s="0" t="s">
        <v>725</v>
      </c>
      <c r="B9342" s="0" t="s">
        <v>86</v>
      </c>
      <c r="C9342" s="38" t="n">
        <f aca="false">Sens!$C$9282</f>
        <v>1.64417882953695</v>
      </c>
      <c r="D9342" s="38" t="n">
        <f aca="false">Sens!$D$9282</f>
        <v>3.8781008067718</v>
      </c>
      <c r="E9342" s="38" t="n">
        <f aca="false">Sens!$E$9282</f>
        <v>1.41270258088753</v>
      </c>
      <c r="F9342" s="38" t="n">
        <f aca="false">Sens!$F$9282</f>
        <v>6.50727700583486</v>
      </c>
      <c r="G9342" s="38" t="n">
        <f aca="false">Sens!$G$9282</f>
        <v>7.9199795867224</v>
      </c>
      <c r="H9342" s="38" t="n">
        <f aca="false">Sens!$H$9282</f>
        <v>19.2818189481807</v>
      </c>
      <c r="I9342" s="38" t="n">
        <f aca="false">Sens!$I$9282</f>
        <v>30.140114407202</v>
      </c>
      <c r="J9342" s="38" t="n">
        <f aca="false">Sens!$J$9282</f>
        <v>40.3569468829854</v>
      </c>
      <c r="K9342" s="38" t="n">
        <f aca="false">Sens!$K$9282</f>
        <v>45.3710496571487</v>
      </c>
      <c r="L9342" s="38" t="n">
        <f aca="false">Sens!$L$9282</f>
        <v>49.1601681490812</v>
      </c>
      <c r="M9342" s="38" t="n">
        <f aca="false">Sens!$M$9282</f>
        <v>49.5075152997692</v>
      </c>
      <c r="N9342" s="38" t="n">
        <f aca="false">Sens!$N$9282</f>
        <v>0.92264103489199</v>
      </c>
      <c r="O9342" s="38" t="n">
        <f aca="false">Sens!$O$9282</f>
        <v>2.95545977187981</v>
      </c>
    </row>
    <row r="9343" customFormat="false" ht="17.15" hidden="false" customHeight="false" outlineLevel="0" collapsed="false">
      <c r="A9343" s="0" t="s">
        <v>643</v>
      </c>
      <c r="B9343" s="0" t="s">
        <v>86</v>
      </c>
      <c r="C9343" s="38" t="n">
        <f aca="false">Sens!$C$9287</f>
        <v>38.1898211704631</v>
      </c>
      <c r="D9343" s="38" t="n">
        <f aca="false">Sens!$D$9287</f>
        <v>41.7278991932282</v>
      </c>
      <c r="E9343" s="38" t="n">
        <f aca="false">Sens!$E$9287</f>
        <v>29.3692974191125</v>
      </c>
      <c r="F9343" s="38" t="n">
        <f aca="false">Sens!$F$9287</f>
        <v>26.8997276714137</v>
      </c>
      <c r="G9343" s="38" t="n">
        <f aca="false">Sens!$G$9287</f>
        <v>56.2690250905262</v>
      </c>
      <c r="H9343" s="38" t="n">
        <f aca="false">Sens!$H$9287</f>
        <v>60.3505333937343</v>
      </c>
      <c r="I9343" s="38" t="n">
        <f aca="false">Sens!$I$9287</f>
        <v>67.0043857303571</v>
      </c>
      <c r="J9343" s="38" t="n">
        <f aca="false">Sens!$J$9287</f>
        <v>73.3782922956925</v>
      </c>
      <c r="K9343" s="38" t="n">
        <f aca="false">Sens!$K$9287</f>
        <v>79.2485556793479</v>
      </c>
      <c r="L9343" s="38" t="n">
        <f aca="false">Sens!$L$9287</f>
        <v>85.5884401336958</v>
      </c>
      <c r="M9343" s="38" t="n">
        <f aca="false">Sens!$M$9287</f>
        <v>92.4355153443914</v>
      </c>
      <c r="N9343" s="38" t="n">
        <f aca="false">Sens!$N$9287</f>
        <v>20.784358965108</v>
      </c>
      <c r="O9343" s="38" t="n">
        <f aca="false">Sens!$O$9287</f>
        <v>20.9435402281202</v>
      </c>
    </row>
    <row r="9344" customFormat="false" ht="17.15" hidden="false" customHeight="false" outlineLevel="0" collapsed="false">
      <c r="A9344" s="1" t="s">
        <v>726</v>
      </c>
      <c r="B9344" s="8" t="s">
        <v>86</v>
      </c>
      <c r="C9344" s="38" t="n">
        <f aca="false">Q!$D$24</f>
        <v>39.834</v>
      </c>
      <c r="D9344" s="38" t="n">
        <f aca="false">Q!$E$24</f>
        <v>45.606</v>
      </c>
      <c r="E9344" s="38" t="n">
        <f aca="false">Q!$P$24</f>
        <v>30.782</v>
      </c>
      <c r="F9344" s="38" t="n">
        <f aca="false">Sens!$F$9342+Sens!$F$9343</f>
        <v>33.4070046772486</v>
      </c>
      <c r="G9344" s="38" t="n">
        <f aca="false">Sens!$G$9342+Sens!$G$9343</f>
        <v>64.1890046772486</v>
      </c>
      <c r="H9344" s="38" t="n">
        <f aca="false">Sens!$H$9342+Sens!$H$9343</f>
        <v>79.6323523419149</v>
      </c>
      <c r="I9344" s="38" t="n">
        <f aca="false">Sens!$I$9342+Sens!$I$9343</f>
        <v>97.1445001375591</v>
      </c>
      <c r="J9344" s="38" t="n">
        <f aca="false">Sens!$J$9342+Sens!$J$9343</f>
        <v>113.735239178678</v>
      </c>
      <c r="K9344" s="38" t="n">
        <f aca="false">Sens!$K$9342+Sens!$K$9343</f>
        <v>124.619605336497</v>
      </c>
      <c r="L9344" s="38" t="n">
        <f aca="false">Sens!$L$9342+Sens!$L$9343</f>
        <v>134.748608282777</v>
      </c>
      <c r="M9344" s="38" t="n">
        <f aca="false">Sens!$M$9342+Sens!$M$9343</f>
        <v>141.943030644161</v>
      </c>
      <c r="N9344" s="38" t="n">
        <f aca="false">Q!$N$24</f>
        <v>21.707</v>
      </c>
      <c r="O9344" s="38" t="n">
        <f aca="false">Q!$O$24</f>
        <v>23.899</v>
      </c>
    </row>
    <row r="9345" customFormat="false" ht="17.15" hidden="false" customHeight="false" outlineLevel="0" collapsed="false">
      <c r="A9345" s="5" t="s">
        <v>727</v>
      </c>
      <c r="B9345" s="0" t="s">
        <v>86</v>
      </c>
      <c r="C9345" s="38" t="n">
        <f aca="false">Q!$D$26</f>
        <v>0</v>
      </c>
      <c r="D9345" s="38" t="n">
        <f aca="false">Q!$E$26</f>
        <v>0</v>
      </c>
      <c r="E9345" s="38" t="n">
        <f aca="false">Q!$P$26</f>
        <v>0</v>
      </c>
      <c r="F9345" s="39" t="n">
        <v>0</v>
      </c>
      <c r="G9345" s="38" t="n">
        <f aca="false">Sens!$E$9345+Sens!$F$9345</f>
        <v>0</v>
      </c>
      <c r="H9345" s="39" t="n">
        <v>0</v>
      </c>
      <c r="I9345" s="39" t="n">
        <v>0</v>
      </c>
      <c r="J9345" s="39" t="n">
        <v>0</v>
      </c>
      <c r="K9345" s="39" t="n">
        <v>0</v>
      </c>
      <c r="L9345" s="39" t="n">
        <v>0</v>
      </c>
      <c r="M9345" s="39" t="n">
        <v>0</v>
      </c>
      <c r="N9345" s="38" t="n">
        <f aca="false">Q!$N$26</f>
        <v>0</v>
      </c>
      <c r="O9345" s="38" t="n">
        <f aca="false">Q!$O$26</f>
        <v>0</v>
      </c>
    </row>
    <row r="9346" customFormat="false" ht="15" hidden="false" customHeight="false" outlineLevel="0" collapsed="false">
      <c r="A9346" s="3" t="s">
        <v>531</v>
      </c>
      <c r="B9346" s="8" t="s">
        <v>86</v>
      </c>
      <c r="C9346" s="38" t="n">
        <f aca="false">Q!$D$25</f>
        <v>68.593</v>
      </c>
      <c r="D9346" s="38" t="n">
        <f aca="false">Q!$E$25</f>
        <v>79.975</v>
      </c>
      <c r="E9346" s="38" t="n">
        <f aca="false">Q!$P$25</f>
        <v>51.313</v>
      </c>
      <c r="F9346" s="38" t="n">
        <f aca="false">Sens!$F$9336+Sens!$F$9341+Sens!$F$9344+Sens!$F$9345</f>
        <v>56.2888892369246</v>
      </c>
      <c r="G9346" s="38" t="n">
        <f aca="false">Sens!$G$9336+Sens!$G$9341+Sens!$G$9344+Sens!$G$9345</f>
        <v>107.601889236925</v>
      </c>
      <c r="H9346" s="38" t="n">
        <f aca="false">Sens!$H$9336+Sens!$H$9341+Sens!$H$9344+Sens!$H$9345</f>
        <v>126.935967255636</v>
      </c>
      <c r="I9346" s="38" t="n">
        <f aca="false">Sens!$I$9336+Sens!$I$9341+Sens!$I$9344+Sens!$I$9345</f>
        <v>147.247780943116</v>
      </c>
      <c r="J9346" s="38" t="n">
        <f aca="false">Sens!$J$9336+Sens!$J$9341+Sens!$J$9344+Sens!$J$9345</f>
        <v>166.030093415229</v>
      </c>
      <c r="K9346" s="38" t="n">
        <f aca="false">Sens!$K$9336+Sens!$K$9341+Sens!$K$9344+Sens!$K$9345</f>
        <v>178.19058178219</v>
      </c>
      <c r="L9346" s="38" t="n">
        <f aca="false">Sens!$L$9336+Sens!$L$9341+Sens!$L$9344+Sens!$L$9345</f>
        <v>191.332347459574</v>
      </c>
      <c r="M9346" s="38" t="n">
        <f aca="false">Sens!$M$9336+Sens!$M$9341+Sens!$M$9344+Sens!$M$9345</f>
        <v>204.35772103537</v>
      </c>
      <c r="N9346" s="38" t="n">
        <f aca="false">Q!$N$25</f>
        <v>37.576</v>
      </c>
      <c r="O9346" s="38" t="n">
        <f aca="false">Q!$O$25</f>
        <v>42.399</v>
      </c>
    </row>
    <row r="9347" customFormat="false" ht="17.15" hidden="false" customHeight="false" outlineLevel="0" collapsed="false">
      <c r="A9347" s="24" t="s">
        <v>758</v>
      </c>
      <c r="B9347" s="25" t="s">
        <v>86</v>
      </c>
      <c r="C9347" s="41" t="n">
        <f aca="false">Sens!$C$9336+Sens!$C$9341+Sens!$C$9344+Sens!$C$9345-Sens!$C$9346</f>
        <v>0</v>
      </c>
      <c r="D9347" s="41" t="n">
        <f aca="false">Sens!$D$9336+Sens!$D$9341+Sens!$D$9344+Sens!$D$9345-Sens!$D$9346</f>
        <v>0</v>
      </c>
      <c r="E9347" s="41" t="n">
        <f aca="false">Sens!$E$9336+Sens!$E$9341+Sens!$E$9344+Sens!$E$9345-Sens!$E$9346</f>
        <v>0</v>
      </c>
      <c r="F9347" s="41" t="n">
        <f aca="false">Sens!$F$9336+Sens!$F$9341+Sens!$F$9344+Sens!$F$9345-Sens!$F$9346</f>
        <v>0</v>
      </c>
      <c r="G9347" s="41" t="n">
        <f aca="false">Sens!$G$9336+Sens!$G$9341+Sens!$G$9344+Sens!$G$9345-Sens!$G$9346</f>
        <v>0</v>
      </c>
      <c r="H9347" s="41" t="n">
        <f aca="false">Sens!$H$9336+Sens!$H$9341+Sens!$H$9344+Sens!$H$9345-Sens!$H$9346</f>
        <v>0</v>
      </c>
      <c r="I9347" s="41" t="n">
        <f aca="false">Sens!$I$9336+Sens!$I$9341+Sens!$I$9344+Sens!$I$9345-Sens!$I$9346</f>
        <v>0</v>
      </c>
      <c r="J9347" s="41" t="n">
        <f aca="false">Sens!$J$9336+Sens!$J$9341+Sens!$J$9344+Sens!$J$9345-Sens!$J$9346</f>
        <v>0</v>
      </c>
      <c r="K9347" s="41" t="n">
        <f aca="false">Sens!$K$9336+Sens!$K$9341+Sens!$K$9344+Sens!$K$9345-Sens!$K$9346</f>
        <v>0</v>
      </c>
      <c r="L9347" s="41" t="n">
        <f aca="false">Sens!$L$9336+Sens!$L$9341+Sens!$L$9344+Sens!$L$9345-Sens!$L$9346</f>
        <v>0</v>
      </c>
      <c r="M9347" s="41" t="n">
        <f aca="false">Sens!$M$9336+Sens!$M$9341+Sens!$M$9344+Sens!$M$9345-Sens!$M$9346</f>
        <v>0</v>
      </c>
      <c r="N9347" s="41" t="n">
        <f aca="false">Sens!$N$9336+Sens!$N$9341+Sens!$N$9344+Sens!$N$9345-Sens!$N$9346</f>
        <v>0</v>
      </c>
      <c r="O9347" s="41" t="n">
        <f aca="false">Sens!$O$9336+Sens!$O$9341+Sens!$O$9344+Sens!$O$9345-Sens!$O$9346</f>
        <v>0</v>
      </c>
    </row>
    <row r="9348" customFormat="false" ht="17.15" hidden="false" customHeight="false" outlineLevel="0" collapsed="false">
      <c r="A9348" s="5" t="s">
        <v>729</v>
      </c>
      <c r="B9348" s="0" t="s">
        <v>86</v>
      </c>
      <c r="C9348" s="38" t="n">
        <f aca="false">Sens!$C$9284</f>
        <v>0</v>
      </c>
      <c r="D9348" s="38" t="n">
        <f aca="false">Sens!$D$9284</f>
        <v>0</v>
      </c>
      <c r="E9348" s="38" t="n">
        <f aca="false">Sens!$E$9284</f>
        <v>0</v>
      </c>
      <c r="F9348" s="38" t="n">
        <f aca="false">Sens!$F$9284</f>
        <v>3.77122048175818</v>
      </c>
      <c r="G9348" s="38" t="n">
        <f aca="false">Sens!$G$9284</f>
        <v>3.77122048175818</v>
      </c>
      <c r="H9348" s="38" t="n">
        <f aca="false">Sens!$H$9284</f>
        <v>15.1635543609893</v>
      </c>
      <c r="I9348" s="38" t="n">
        <f aca="false">Sens!$I$9284</f>
        <v>25.5818843619889</v>
      </c>
      <c r="J9348" s="38" t="n">
        <f aca="false">Sens!$J$9284</f>
        <v>36.0465624179122</v>
      </c>
      <c r="K9348" s="38" t="n">
        <f aca="false">Sens!$K$9284</f>
        <v>45.0461919819152</v>
      </c>
      <c r="L9348" s="38" t="n">
        <f aca="false">Sens!$L$9284</f>
        <v>51.1279288493339</v>
      </c>
      <c r="M9348" s="38" t="n">
        <f aca="false">Sens!$M$9284</f>
        <v>54.2845128319481</v>
      </c>
      <c r="N9348" s="38" t="n">
        <f aca="false">Sens!$N$9284</f>
        <v>0</v>
      </c>
      <c r="O9348" s="38" t="n">
        <f aca="false">Sens!$O$9284</f>
        <v>0</v>
      </c>
      <c r="P9348" s="5" t="s">
        <v>730</v>
      </c>
    </row>
    <row r="9349" customFormat="false" ht="17.15" hidden="false" customHeight="false" outlineLevel="0" collapsed="false">
      <c r="A9349" s="5" t="s">
        <v>731</v>
      </c>
      <c r="B9349" s="0" t="s">
        <v>86</v>
      </c>
      <c r="C9349" s="38" t="n">
        <f aca="false">Sens!$C$9346+Sens!$C$9348</f>
        <v>68.593</v>
      </c>
      <c r="D9349" s="38" t="n">
        <f aca="false">Sens!$D$9346+Sens!$D$9348</f>
        <v>79.975</v>
      </c>
      <c r="E9349" s="38" t="n">
        <f aca="false">Sens!$E$9346+Sens!$E$9348</f>
        <v>51.313</v>
      </c>
      <c r="F9349" s="38" t="n">
        <f aca="false">Sens!$F$9346+Sens!$F$9348</f>
        <v>60.0601097186828</v>
      </c>
      <c r="G9349" s="38" t="n">
        <f aca="false">Sens!$G$9346+Sens!$G$9348</f>
        <v>111.373109718683</v>
      </c>
      <c r="H9349" s="38" t="n">
        <f aca="false">Sens!$H$9346+Sens!$H$9348</f>
        <v>142.099521616625</v>
      </c>
      <c r="I9349" s="38" t="n">
        <f aca="false">Sens!$I$9346+Sens!$I$9348</f>
        <v>172.829665305105</v>
      </c>
      <c r="J9349" s="38" t="n">
        <f aca="false">Sens!$J$9346+Sens!$J$9348</f>
        <v>202.076655833141</v>
      </c>
      <c r="K9349" s="38" t="n">
        <f aca="false">Sens!$K$9346+Sens!$K$9348</f>
        <v>223.236773764105</v>
      </c>
      <c r="L9349" s="38" t="n">
        <f aca="false">Sens!$L$9346+Sens!$L$9348</f>
        <v>242.460276308908</v>
      </c>
      <c r="M9349" s="38" t="n">
        <f aca="false">Sens!$M$9346+Sens!$M$9348</f>
        <v>258.642233867319</v>
      </c>
      <c r="N9349" s="38" t="n">
        <f aca="false">Sens!$N$9346+Sens!$N$9348</f>
        <v>37.576</v>
      </c>
      <c r="O9349" s="38" t="n">
        <f aca="false">Sens!$O$9346+Sens!$O$9348</f>
        <v>42.399</v>
      </c>
    </row>
    <row r="9350" customFormat="false" ht="17.15" hidden="false" customHeight="false" outlineLevel="0" collapsed="false">
      <c r="A9350" s="0" t="s">
        <v>732</v>
      </c>
      <c r="B9350" s="0" t="s">
        <v>52</v>
      </c>
      <c r="C9350" s="13" t="n">
        <f aca="false">Sens!$C$9336/Sens!$C$9321</f>
        <v>0.0644314665661928</v>
      </c>
      <c r="D9350" s="13" t="n">
        <f aca="false">Sens!$D$9336/Sens!$D$9321</f>
        <v>0.0694784250712518</v>
      </c>
      <c r="E9350" s="13" t="n">
        <f aca="false">Sens!$E$9336/Sens!$E$9321</f>
        <v>0.0789306463326071</v>
      </c>
      <c r="F9350" s="13" t="n">
        <f aca="false">Sens!$F$9336/Sens!$F$9321</f>
        <v>0.0802271154277638</v>
      </c>
      <c r="G9350" s="13" t="n">
        <f aca="false">Sens!$G$9336/Sens!$G$9321</f>
        <v>0.0796206133714758</v>
      </c>
      <c r="H9350" s="13" t="n">
        <f aca="false">Sens!$H$9336/Sens!$H$9321</f>
        <v>0.0791253077422711</v>
      </c>
      <c r="I9350" s="13" t="n">
        <f aca="false">Sens!$I$9336/Sens!$I$9321</f>
        <v>0.0776277144828766</v>
      </c>
      <c r="J9350" s="13" t="n">
        <f aca="false">Sens!$J$9336/Sens!$J$9321</f>
        <v>0.0761100135193333</v>
      </c>
      <c r="K9350" s="13" t="n">
        <f aca="false">Sens!$K$9336/Sens!$K$9321</f>
        <v>0.0743925780188992</v>
      </c>
      <c r="L9350" s="13" t="n">
        <f aca="false">Sens!$L$9336/Sens!$L$9321</f>
        <v>0.0738094555312645</v>
      </c>
      <c r="M9350" s="13" t="n">
        <f aca="false">Sens!$M$9336/Sens!$M$9321</f>
        <v>0.0757869750835491</v>
      </c>
      <c r="N9350" s="13" t="n">
        <f aca="false">Sens!$N$9336/Sens!$N$9321</f>
        <v>0.069228576611127</v>
      </c>
      <c r="O9350" s="13" t="n">
        <f aca="false">Sens!$O$9336/Sens!$O$9321</f>
        <v>0.069685022498393</v>
      </c>
    </row>
    <row r="9351" customFormat="false" ht="17.15" hidden="false" customHeight="false" outlineLevel="0" collapsed="false">
      <c r="A9351" s="0" t="s">
        <v>733</v>
      </c>
      <c r="B9351" s="0" t="s">
        <v>52</v>
      </c>
      <c r="C9351" s="13" t="n">
        <f aca="false">Sens!$C$9341/Sens!$C$9322</f>
        <v>0.026534925055631</v>
      </c>
      <c r="D9351" s="13" t="n">
        <f aca="false">Sens!$D$9341/Sens!$D$9322</f>
        <v>0.0293401855535103</v>
      </c>
      <c r="E9351" s="13" t="n">
        <f aca="false">Sens!$E$9341/Sens!$E$9322</f>
        <v>0.03831141902276</v>
      </c>
      <c r="F9351" s="13" t="n">
        <f aca="false">Sens!$F$9341/Sens!$F$9322</f>
        <v>0.028186380436398</v>
      </c>
      <c r="G9351" s="13" t="n">
        <f aca="false">Sens!$G$9341/Sens!$G$9322</f>
        <v>0.0327880260521739</v>
      </c>
      <c r="H9351" s="13" t="n">
        <f aca="false">Sens!$H$9341/Sens!$H$9322</f>
        <v>0.0302874763409969</v>
      </c>
      <c r="I9351" s="13" t="n">
        <f aca="false">Sens!$I$9341/Sens!$I$9322</f>
        <v>0.0267614610253202</v>
      </c>
      <c r="J9351" s="13" t="n">
        <f aca="false">Sens!$J$9341/Sens!$J$9322</f>
        <v>0.0231523582706593</v>
      </c>
      <c r="K9351" s="13" t="n">
        <f aca="false">Sens!$K$9341/Sens!$K$9322</f>
        <v>0.0192388785591883</v>
      </c>
      <c r="L9351" s="13" t="n">
        <f aca="false">Sens!$L$9341/Sens!$L$9322</f>
        <v>0.0190019002161762</v>
      </c>
      <c r="M9351" s="13" t="n">
        <f aca="false">Sens!$M$9341/Sens!$M$9322</f>
        <v>0.0213335708955443</v>
      </c>
      <c r="N9351" s="13" t="n">
        <f aca="false">Sens!$N$9341/Sens!$N$9322</f>
        <v>0.0357315650169337</v>
      </c>
      <c r="O9351" s="13" t="n">
        <f aca="false">Sens!$O$9341/Sens!$O$9322</f>
        <v>0.0244378956559703</v>
      </c>
    </row>
    <row r="9352" customFormat="false" ht="17.15" hidden="false" customHeight="false" outlineLevel="0" collapsed="false">
      <c r="A9352" s="14" t="s">
        <v>734</v>
      </c>
      <c r="B9352" s="14" t="s">
        <v>52</v>
      </c>
      <c r="C9352" s="17" t="n">
        <f aca="false">Sens!$C$9344/Sens!$C$9323</f>
        <v>0.370355907620217</v>
      </c>
      <c r="D9352" s="17" t="n">
        <f aca="false">Sens!$D$9344/Sens!$D$9323</f>
        <v>0.35429015342785</v>
      </c>
      <c r="E9352" s="17" t="n">
        <f aca="false">Sens!$E$9344/Sens!$E$9323</f>
        <v>0.385647527531039</v>
      </c>
      <c r="F9352" s="17" t="n">
        <f aca="false">Sens!$F$9344/Sens!$F$9323</f>
        <v>0.385171818673936</v>
      </c>
      <c r="G9352" s="17" t="n">
        <f aca="false">Sens!$G$9344/Sens!$G$9323</f>
        <v>0.385399799520974</v>
      </c>
      <c r="H9352" s="17" t="n">
        <f aca="false">Sens!$H$9344/Sens!$H$9323</f>
        <v>0.360029314750347</v>
      </c>
      <c r="I9352" s="17" t="n">
        <f aca="false">Sens!$I$9344/Sens!$I$9323</f>
        <v>0.346606134604193</v>
      </c>
      <c r="J9352" s="17" t="n">
        <f aca="false">Sens!$J$9344/Sens!$J$9323</f>
        <v>0.335699297156574</v>
      </c>
      <c r="K9352" s="17" t="n">
        <f aca="false">Sens!$K$9344/Sens!$K$9323</f>
        <v>0.319396847264023</v>
      </c>
      <c r="L9352" s="17" t="n">
        <f aca="false">Sens!$L$9344/Sens!$L$9323</f>
        <v>0.312483887178428</v>
      </c>
      <c r="M9352" s="17" t="n">
        <f aca="false">Sens!$M$9344/Sens!$M$9323</f>
        <v>0.307228902252946</v>
      </c>
      <c r="N9352" s="17" t="n">
        <f aca="false">Sens!$N$9344/Sens!$N$9323</f>
        <v>0.360941137346192</v>
      </c>
      <c r="O9352" s="17" t="n">
        <f aca="false">Sens!$O$9344/Sens!$O$9323</f>
        <v>0.348458117664212</v>
      </c>
    </row>
    <row r="9353" customFormat="false" ht="17.15" hidden="false" customHeight="false" outlineLevel="0" collapsed="false">
      <c r="A9353" s="0" t="s">
        <v>735</v>
      </c>
      <c r="B9353" s="0" t="s">
        <v>52</v>
      </c>
      <c r="C9353" s="13" t="n">
        <f aca="false">Sens!$C$9342/Sens!$C$9324</f>
        <v>0.708390794789371</v>
      </c>
      <c r="D9353" s="13" t="n">
        <f aca="false">Sens!$D$9342/Sens!$D$9324</f>
        <v>0.445565630441968</v>
      </c>
      <c r="E9353" s="13" t="n">
        <f aca="false">Sens!$E$9342/Sens!$E$9324</f>
        <v>0.165998118402711</v>
      </c>
      <c r="F9353" s="13" t="n">
        <f aca="false">Sens!$F$9342/Sens!$F$9324</f>
        <v>0.434878595403858</v>
      </c>
      <c r="G9353" s="13" t="n">
        <f aca="false">Sens!$G$9342/Sens!$G$9324</f>
        <v>0.3373967615381</v>
      </c>
      <c r="H9353" s="13" t="n">
        <f aca="false">Sens!$H$9342/Sens!$H$9324</f>
        <v>0.320477578041224</v>
      </c>
      <c r="I9353" s="13" t="n">
        <f aca="false">Sens!$I$9342/Sens!$I$9324</f>
        <v>0.296936118226494</v>
      </c>
      <c r="J9353" s="13" t="n">
        <f aca="false">Sens!$J$9342/Sens!$J$9324</f>
        <v>0.282166278613001</v>
      </c>
      <c r="K9353" s="13" t="n">
        <f aca="false">Sens!$K$9342/Sens!$K$9324</f>
        <v>0.253846631705782</v>
      </c>
      <c r="L9353" s="13" t="n">
        <f aca="false">Sens!$L$9342/Sens!$L$9324</f>
        <v>0.242329240574153</v>
      </c>
      <c r="M9353" s="13" t="n">
        <f aca="false">Sens!$M$9342/Sens!$M$9324</f>
        <v>0.229850708860382</v>
      </c>
      <c r="N9353" s="13" t="n">
        <f aca="false">Sens!$N$9342/Sens!$N$9324</f>
        <v>0.302870734830849</v>
      </c>
      <c r="O9353" s="13" t="n">
        <f aca="false">Sens!$O$9342/Sens!$O$9324</f>
        <v>0.52240134346334</v>
      </c>
    </row>
    <row r="9354" customFormat="false" ht="15" hidden="false" customHeight="false" outlineLevel="0" collapsed="false">
      <c r="A9354" s="5" t="s">
        <v>736</v>
      </c>
      <c r="B9354" s="0" t="s">
        <v>52</v>
      </c>
      <c r="C9354" s="13" t="n">
        <f aca="false">Sens!$C$9346/Sens!$C$9326</f>
        <v>0.107519448742004</v>
      </c>
      <c r="D9354" s="13" t="n">
        <f aca="false">Sens!$D$9346/Sens!$D$9326</f>
        <v>0.111552967957552</v>
      </c>
      <c r="E9354" s="13" t="n">
        <f aca="false">Sens!$E$9346/Sens!$E$9326</f>
        <v>0.13428328426562</v>
      </c>
      <c r="F9354" s="13" t="n">
        <f aca="false">Sens!$F$9346/Sens!$F$9326</f>
        <v>0.129167844525589</v>
      </c>
      <c r="G9354" s="13" t="n">
        <f aca="false">Sens!$G$9346/Sens!$G$9326</f>
        <v>0.131557773771988</v>
      </c>
      <c r="H9354" s="13" t="n">
        <f aca="false">Sens!$H$9346/Sens!$H$9326</f>
        <v>0.134711536350329</v>
      </c>
      <c r="I9354" s="13" t="n">
        <f aca="false">Sens!$I$9346/Sens!$I$9326</f>
        <v>0.137768888779847</v>
      </c>
      <c r="J9354" s="13" t="n">
        <f aca="false">Sens!$J$9346/Sens!$J$9326</f>
        <v>0.139531715827143</v>
      </c>
      <c r="K9354" s="13" t="n">
        <f aca="false">Sens!$K$9346/Sens!$K$9326</f>
        <v>0.137455808779273</v>
      </c>
      <c r="L9354" s="13" t="n">
        <f aca="false">Sens!$L$9346/Sens!$L$9326</f>
        <v>0.137027039779713</v>
      </c>
      <c r="M9354" s="13" t="n">
        <f aca="false">Sens!$M$9346/Sens!$M$9326</f>
        <v>0.137138237638994</v>
      </c>
      <c r="N9354" s="13" t="n">
        <f aca="false">Sens!$N$9346/Sens!$N$9326</f>
        <v>0.116201614873411</v>
      </c>
      <c r="O9354" s="13" t="n">
        <f aca="false">Sens!$O$9346/Sens!$O$9326</f>
        <v>0.107733353660861</v>
      </c>
    </row>
    <row r="9355" customFormat="false" ht="17.15" hidden="false" customHeight="false" outlineLevel="0" collapsed="false">
      <c r="A9355" s="1" t="s">
        <v>737</v>
      </c>
    </row>
    <row r="9356" customFormat="false" ht="17.15" hidden="false" customHeight="false" outlineLevel="0" collapsed="false">
      <c r="A9356" s="5" t="s">
        <v>738</v>
      </c>
      <c r="B9356" s="0" t="s">
        <v>52</v>
      </c>
      <c r="D9356" s="28" t="n">
        <f aca="false">(Q!$E$29+Q!$E$30-(1-ext_sh)*Sens!$D$9278)/Sens!$D$9234</f>
        <v>0.0334674312393194</v>
      </c>
    </row>
    <row r="9357" customFormat="false" ht="17.15" hidden="false" customHeight="false" outlineLevel="0" collapsed="false">
      <c r="A9357" s="0" t="s">
        <v>535</v>
      </c>
      <c r="B9357" s="0" t="s">
        <v>86</v>
      </c>
      <c r="C9357" s="38" t="n">
        <f aca="false">Q!$D$29</f>
        <v>14.285</v>
      </c>
      <c r="D9357" s="38" t="n">
        <f aca="false">Q!$E$29</f>
        <v>15.503</v>
      </c>
      <c r="E9357" s="38" t="n">
        <f aca="false">Q!$P$29</f>
        <v>8.78</v>
      </c>
      <c r="F9357" s="38" t="n">
        <f aca="false">(Sens!$D$9356*Sens!$F$9234+(1-ext_sh)*Sens!$F$9278)*Sens!$F$9235</f>
        <v>9.32404990199157</v>
      </c>
      <c r="G9357" s="38" t="n">
        <f aca="false">Sens!$E$9357+Sens!$F$9357</f>
        <v>18.1040499019916</v>
      </c>
      <c r="H9357" s="38" t="n">
        <f aca="false">(Sens!$D$9356*Sens!$H$9234+(1-ext_sh)*Sens!$H$9278)*Sens!$H$9235</f>
        <v>22.5533556752937</v>
      </c>
      <c r="I9357" s="38" t="n">
        <f aca="false">(Sens!$D$9356*Sens!$I$9234+(1-ext_sh)*Sens!$I$9278)*Sens!$I$9235</f>
        <v>28.1941479903215</v>
      </c>
      <c r="J9357" s="38" t="n">
        <f aca="false">(Sens!$D$9356*Sens!$J$9234+(1-ext_sh)*Sens!$J$9278)*Sens!$J$9235</f>
        <v>33.8639126241465</v>
      </c>
      <c r="K9357" s="38" t="n">
        <f aca="false">(Sens!$D$9356*Sens!$K$9234+(1-ext_sh)*Sens!$K$9278)*Sens!$K$9235</f>
        <v>39.4516429979446</v>
      </c>
      <c r="L9357" s="38" t="n">
        <f aca="false">(Sens!$D$9356*Sens!$L$9234+(1-ext_sh)*Sens!$L$9278)*Sens!$L$9235</f>
        <v>43.6804876955339</v>
      </c>
      <c r="M9357" s="38" t="n">
        <f aca="false">(Sens!$D$9356*Sens!$M$9234+(1-ext_sh)*Sens!$M$9278)*Sens!$M$9235</f>
        <v>46.9533911310857</v>
      </c>
      <c r="N9357" s="38" t="n">
        <f aca="false">Q!$N$29</f>
        <v>7.272</v>
      </c>
      <c r="O9357" s="38" t="n">
        <f aca="false">Q!$O$29</f>
        <v>8.231</v>
      </c>
    </row>
    <row r="9358" customFormat="false" ht="17.15" hidden="false" customHeight="false" outlineLevel="0" collapsed="false">
      <c r="A9358" s="0" t="s">
        <v>537</v>
      </c>
      <c r="B9358" s="0" t="s">
        <v>86</v>
      </c>
      <c r="C9358" s="38" t="n">
        <f aca="false">Q!$D$30</f>
        <v>4.462</v>
      </c>
      <c r="D9358" s="38" t="n">
        <f aca="false">Q!$E$30</f>
        <v>4.907</v>
      </c>
      <c r="E9358" s="38" t="n">
        <f aca="false">Q!$P$30</f>
        <v>2.57</v>
      </c>
      <c r="F9358" s="38" t="n">
        <f aca="false">(Sens!$D$9356*Sens!$F$9234+(1-ext_sh)*Sens!$F$9278)*(1-Sens!$F$9235)</f>
        <v>3.66089330199472</v>
      </c>
      <c r="G9358" s="38" t="n">
        <f aca="false">Sens!$E$9358+Sens!$F$9358</f>
        <v>6.23089330199472</v>
      </c>
      <c r="H9358" s="38" t="n">
        <f aca="false">(Sens!$D$9356*Sens!$H$9234+(1-ext_sh)*Sens!$H$9278)*(1-Sens!$H$9235)</f>
        <v>8.63874333111657</v>
      </c>
      <c r="I9358" s="38" t="n">
        <f aca="false">(Sens!$D$9356*Sens!$I$9234+(1-ext_sh)*Sens!$I$9278)*(1-Sens!$I$9235)</f>
        <v>10.7993689025494</v>
      </c>
      <c r="J9358" s="38" t="n">
        <f aca="false">(Sens!$D$9356*Sens!$J$9234+(1-ext_sh)*Sens!$J$9278)*(1-Sens!$J$9235)</f>
        <v>12.9710919101865</v>
      </c>
      <c r="K9358" s="38" t="n">
        <f aca="false">(Sens!$D$9356*Sens!$K$9234+(1-ext_sh)*Sens!$K$9278)*(1-Sens!$K$9235)</f>
        <v>15.1113928568702</v>
      </c>
      <c r="L9358" s="38" t="n">
        <f aca="false">(Sens!$D$9356*Sens!$L$9234+(1-ext_sh)*Sens!$L$9278)*(1-Sens!$L$9235)</f>
        <v>16.7311918994422</v>
      </c>
      <c r="M9358" s="38" t="n">
        <f aca="false">(Sens!$D$9356*Sens!$M$9234+(1-ext_sh)*Sens!$M$9278)*(1-Sens!$M$9235)</f>
        <v>17.9848311863992</v>
      </c>
      <c r="N9358" s="38" t="n">
        <f aca="false">Q!$N$30</f>
        <v>2.316</v>
      </c>
      <c r="O9358" s="38" t="n">
        <f aca="false">Q!$O$30</f>
        <v>2.591</v>
      </c>
    </row>
    <row r="9359" customFormat="false" ht="17.15" hidden="false" customHeight="false" outlineLevel="0" collapsed="false">
      <c r="A9359" s="0" t="s">
        <v>538</v>
      </c>
      <c r="B9359" s="0" t="s">
        <v>86</v>
      </c>
      <c r="C9359" s="38" t="n">
        <f aca="false">Sens!$C$9290</f>
        <v>13.32</v>
      </c>
      <c r="D9359" s="38" t="n">
        <f aca="false">Sens!$D$9290</f>
        <v>21.45</v>
      </c>
      <c r="E9359" s="38" t="n">
        <f aca="false">Sens!$E$9290</f>
        <v>15.353</v>
      </c>
      <c r="F9359" s="38" t="n">
        <f aca="false">Sens!$F$9290</f>
        <v>16.3063747611001</v>
      </c>
      <c r="G9359" s="38" t="n">
        <f aca="false">Sens!$G$9290</f>
        <v>31.6593747611001</v>
      </c>
      <c r="H9359" s="38" t="n">
        <f aca="false">Sens!$H$9290</f>
        <v>53.124242092105</v>
      </c>
      <c r="I9359" s="38" t="n">
        <f aca="false">Sens!$I$9290</f>
        <v>78.046828098133</v>
      </c>
      <c r="J9359" s="38" t="n">
        <f aca="false">Sens!$J$9290</f>
        <v>103.663976940352</v>
      </c>
      <c r="K9359" s="38" t="n">
        <f aca="false">Sens!$K$9290</f>
        <v>129.625086115469</v>
      </c>
      <c r="L9359" s="38" t="n">
        <f aca="false">Sens!$L$9290</f>
        <v>147.747108049185</v>
      </c>
      <c r="M9359" s="38" t="n">
        <f aca="false">Sens!$M$9290</f>
        <v>160.235921080328</v>
      </c>
      <c r="N9359" s="38" t="n">
        <f aca="false">Sens!$N$9290</f>
        <v>9.234</v>
      </c>
      <c r="O9359" s="38" t="n">
        <f aca="false">Sens!$O$9290</f>
        <v>12.216</v>
      </c>
    </row>
    <row r="9360" customFormat="false" ht="17.15" hidden="false" customHeight="false" outlineLevel="0" collapsed="false">
      <c r="A9360" s="5" t="s">
        <v>739</v>
      </c>
      <c r="B9360" s="0" t="s">
        <v>86</v>
      </c>
      <c r="C9360" s="38" t="n">
        <f aca="false">Sens!$C$9357+Sens!$C$9358+Sens!$C$9359</f>
        <v>32.067</v>
      </c>
      <c r="D9360" s="38" t="n">
        <f aca="false">Sens!$D$9357+Sens!$D$9358+Sens!$D$9359</f>
        <v>41.86</v>
      </c>
      <c r="E9360" s="38" t="n">
        <f aca="false">Sens!$E$9357+Sens!$E$9358+Sens!$E$9359</f>
        <v>26.703</v>
      </c>
      <c r="F9360" s="38" t="n">
        <f aca="false">Sens!$F$9357+Sens!$F$9358+Sens!$F$9359</f>
        <v>29.2913179650864</v>
      </c>
      <c r="G9360" s="38" t="n">
        <f aca="false">Sens!$G$9357+Sens!$G$9358+Sens!$G$9359</f>
        <v>55.9943179650864</v>
      </c>
      <c r="H9360" s="38" t="n">
        <f aca="false">Sens!$H$9357+Sens!$H$9358+Sens!$H$9359</f>
        <v>84.3163410985152</v>
      </c>
      <c r="I9360" s="38" t="n">
        <f aca="false">Sens!$I$9357+Sens!$I$9358+Sens!$I$9359</f>
        <v>117.040344991004</v>
      </c>
      <c r="J9360" s="38" t="n">
        <f aca="false">Sens!$J$9357+Sens!$J$9358+Sens!$J$9359</f>
        <v>150.498981474685</v>
      </c>
      <c r="K9360" s="38" t="n">
        <f aca="false">Sens!$K$9357+Sens!$K$9358+Sens!$K$9359</f>
        <v>184.188121970284</v>
      </c>
      <c r="L9360" s="38" t="n">
        <f aca="false">Sens!$L$9357+Sens!$L$9358+Sens!$L$9359</f>
        <v>208.158787644162</v>
      </c>
      <c r="M9360" s="38" t="n">
        <f aca="false">Sens!$M$9357+Sens!$M$9358+Sens!$M$9359</f>
        <v>225.174143397813</v>
      </c>
      <c r="N9360" s="38" t="n">
        <f aca="false">Sens!$N$9357+Sens!$N$9358+Sens!$N$9359</f>
        <v>18.822</v>
      </c>
      <c r="O9360" s="38" t="n">
        <f aca="false">Sens!$O$9357+Sens!$O$9358+Sens!$O$9359</f>
        <v>23.038</v>
      </c>
    </row>
    <row r="9361" customFormat="false" ht="17.15" hidden="false" customHeight="false" outlineLevel="0" collapsed="false">
      <c r="A9361" s="0" t="s">
        <v>740</v>
      </c>
      <c r="B9361" s="0" t="s">
        <v>86</v>
      </c>
      <c r="C9361" s="38" t="n">
        <f aca="false">Sens!$C$9332+Sens!$C$9337</f>
        <v>28.107</v>
      </c>
      <c r="D9361" s="38" t="n">
        <f aca="false">Sens!$D$9332+Sens!$D$9337</f>
        <v>34.3175</v>
      </c>
      <c r="E9361" s="38" t="n">
        <f aca="false">Sens!$E$9332+Sens!$E$9337</f>
        <v>18.526</v>
      </c>
      <c r="F9361" s="38" t="n">
        <f aca="false">Sens!$F$9332+Sens!$F$9337</f>
        <v>23.0786109972074</v>
      </c>
      <c r="G9361" s="38" t="n">
        <f aca="false">Sens!$G$9332+Sens!$G$9337</f>
        <v>41.6046109972074</v>
      </c>
      <c r="H9361" s="38" t="n">
        <f aca="false">Sens!$H$9332+Sens!$H$9337</f>
        <v>49.9484611939488</v>
      </c>
      <c r="I9361" s="38" t="n">
        <f aca="false">Sens!$I$9332+Sens!$I$9337</f>
        <v>58.2915555477481</v>
      </c>
      <c r="J9361" s="38" t="n">
        <f aca="false">Sens!$J$9332+Sens!$J$9337</f>
        <v>66.0744709709759</v>
      </c>
      <c r="K9361" s="38" t="n">
        <f aca="false">Sens!$K$9332+Sens!$K$9337</f>
        <v>72.6819180680735</v>
      </c>
      <c r="L9361" s="38" t="n">
        <f aca="false">Sens!$L$9332+Sens!$L$9337</f>
        <v>79.9501098748808</v>
      </c>
      <c r="M9361" s="38" t="n">
        <f aca="false">Sens!$M$9332+Sens!$M$9337</f>
        <v>87.9451208623689</v>
      </c>
      <c r="N9361" s="38" t="n">
        <f aca="false">Sens!$N$9332+Sens!$N$9337</f>
        <v>14.8075</v>
      </c>
      <c r="O9361" s="38" t="n">
        <f aca="false">Sens!$O$9332+Sens!$O$9337</f>
        <v>19.51</v>
      </c>
    </row>
    <row r="9362" customFormat="false" ht="17.15" hidden="false" customHeight="false" outlineLevel="0" collapsed="false">
      <c r="A9362" s="0" t="s">
        <v>741</v>
      </c>
      <c r="B9362" s="0" t="s">
        <v>86</v>
      </c>
      <c r="C9362" s="38" t="n">
        <f aca="false">Sens!$C$9336+Sens!$C$9341+Sens!$C$9357+Sens!$C$9358-Sens!$C$9361</f>
        <v>19.399</v>
      </c>
      <c r="D9362" s="38" t="n">
        <f aca="false">Sens!$D$9336+Sens!$D$9341+Sens!$D$9357+Sens!$D$9358-Sens!$D$9361</f>
        <v>20.4615</v>
      </c>
      <c r="E9362" s="38" t="n">
        <f aca="false">Sens!$E$9336+Sens!$E$9341+Sens!$E$9357+Sens!$E$9358-Sens!$E$9361</f>
        <v>13.355</v>
      </c>
      <c r="F9362" s="38" t="n">
        <f aca="false">Sens!$F$9336+Sens!$F$9341+Sens!$F$9357+Sens!$F$9358-Sens!$F$9361</f>
        <v>12.7882167664549</v>
      </c>
      <c r="G9362" s="38" t="n">
        <f aca="false">Sens!$G$9336+Sens!$G$9341+Sens!$G$9357+Sens!$G$9358-Sens!$G$9361</f>
        <v>26.1432167664549</v>
      </c>
      <c r="H9362" s="38" t="n">
        <f aca="false">Sens!$H$9336+Sens!$H$9341+Sens!$H$9357+Sens!$H$9358-Sens!$H$9361</f>
        <v>28.5472527261826</v>
      </c>
      <c r="I9362" s="38" t="n">
        <f aca="false">Sens!$I$9336+Sens!$I$9341+Sens!$I$9357+Sens!$I$9358-Sens!$I$9361</f>
        <v>30.8052421506794</v>
      </c>
      <c r="J9362" s="38" t="n">
        <f aca="false">Sens!$J$9336+Sens!$J$9341+Sens!$J$9357+Sens!$J$9358-Sens!$J$9361</f>
        <v>33.0553877999083</v>
      </c>
      <c r="K9362" s="38" t="n">
        <f aca="false">Sens!$K$9336+Sens!$K$9341+Sens!$K$9357+Sens!$K$9358-Sens!$K$9361</f>
        <v>35.452094232435</v>
      </c>
      <c r="L9362" s="38" t="n">
        <f aca="false">Sens!$L$9336+Sens!$L$9341+Sens!$L$9357+Sens!$L$9358-Sens!$L$9361</f>
        <v>37.0453088968923</v>
      </c>
      <c r="M9362" s="38" t="n">
        <f aca="false">Sens!$M$9336+Sens!$M$9341+Sens!$M$9357+Sens!$M$9358-Sens!$M$9361</f>
        <v>39.4077918463257</v>
      </c>
      <c r="N9362" s="38" t="n">
        <f aca="false">Sens!$N$9336+Sens!$N$9341+Sens!$N$9357+Sens!$N$9358-Sens!$N$9361</f>
        <v>10.6495</v>
      </c>
      <c r="O9362" s="38" t="n">
        <f aca="false">Sens!$O$9336+Sens!$O$9341+Sens!$O$9357+Sens!$O$9358-Sens!$O$9361</f>
        <v>9.81200000000001</v>
      </c>
    </row>
    <row r="9363" customFormat="false" ht="17.15" hidden="false" customHeight="false" outlineLevel="0" collapsed="false">
      <c r="A9363" s="0" t="s">
        <v>742</v>
      </c>
      <c r="B9363" s="0" t="s">
        <v>86</v>
      </c>
      <c r="C9363" s="38" t="n">
        <f aca="false">Sens!$C$9343+Sens!$C$9359-ext_sh*Sens!$C$9278</f>
        <v>51.3470500115664</v>
      </c>
      <c r="D9363" s="38" t="n">
        <f aca="false">Sens!$D$9343+Sens!$D$9359-ext_sh*Sens!$D$9278</f>
        <v>60.2799375433739</v>
      </c>
      <c r="E9363" s="38" t="n">
        <f aca="false">Sens!$E$9343+Sens!$E$9359-ext_sh*Sens!$E$9278</f>
        <v>39.5095167090767</v>
      </c>
      <c r="F9363" s="38" t="n">
        <f aca="false">Sens!$F$9343+Sens!$F$9359-ext_sh*Sens!$F$9278</f>
        <v>37.993321722478</v>
      </c>
      <c r="G9363" s="38" t="n">
        <f aca="false">Sens!$G$9343+Sens!$G$9359-ext_sh*Sens!$G$9278</f>
        <v>77.5028384315548</v>
      </c>
      <c r="H9363" s="38" t="n">
        <f aca="false">Sens!$H$9343+Sens!$H$9359-ext_sh*Sens!$H$9278</f>
        <v>85.2394217279746</v>
      </c>
      <c r="I9363" s="38" t="n">
        <f aca="false">Sens!$I$9343+Sens!$I$9359-ext_sh*Sens!$I$9278</f>
        <v>94.6373589713254</v>
      </c>
      <c r="J9363" s="38" t="n">
        <f aca="false">Sens!$J$9343+Sens!$J$9359-ext_sh*Sens!$J$9278</f>
        <v>103.639899284146</v>
      </c>
      <c r="K9363" s="38" t="n">
        <f aca="false">Sens!$K$9343+Sens!$K$9359-ext_sh*Sens!$K$9278</f>
        <v>111.931091226878</v>
      </c>
      <c r="L9363" s="38" t="n">
        <f aca="false">Sens!$L$9343+Sens!$L$9359-ext_sh*Sens!$L$9278</f>
        <v>120.885578525028</v>
      </c>
      <c r="M9363" s="38" t="n">
        <f aca="false">Sens!$M$9343+Sens!$M$9359-ext_sh*Sens!$M$9278</f>
        <v>130.55642480703</v>
      </c>
      <c r="N9363" s="38" t="n">
        <f aca="false">Sens!$N$9343+Sens!$N$9359-ext_sh*Sens!$N$9278</f>
        <v>28.5693781401809</v>
      </c>
      <c r="O9363" s="38" t="n">
        <f aca="false">Sens!$O$9343+Sens!$O$9359-ext_sh*Sens!$O$9278</f>
        <v>31.7105594031931</v>
      </c>
    </row>
    <row r="9364" customFormat="false" ht="17.15" hidden="false" customHeight="false" outlineLevel="0" collapsed="false">
      <c r="A9364" s="0" t="s">
        <v>743</v>
      </c>
      <c r="B9364" s="0" t="s">
        <v>86</v>
      </c>
      <c r="C9364" s="38" t="n">
        <f aca="false">Sens!$C$9281</f>
        <v>1.80694998843362</v>
      </c>
      <c r="D9364" s="38" t="n">
        <f aca="false">Sens!$D$9281</f>
        <v>6.77606245662607</v>
      </c>
      <c r="E9364" s="38" t="n">
        <f aca="false">Sens!$E$9281</f>
        <v>6.62548329092326</v>
      </c>
      <c r="F9364" s="38" t="n">
        <f aca="false">Sens!$F$9281</f>
        <v>11.7200577158706</v>
      </c>
      <c r="G9364" s="38" t="n">
        <f aca="false">Sens!$G$9281</f>
        <v>18.3455410067939</v>
      </c>
      <c r="H9364" s="38" t="n">
        <f aca="false">Sens!$H$9281</f>
        <v>47.5171727060453</v>
      </c>
      <c r="I9364" s="38" t="n">
        <f aca="false">Sens!$I$9281</f>
        <v>80.5539692643667</v>
      </c>
      <c r="J9364" s="38" t="n">
        <f aca="false">Sens!$J$9281</f>
        <v>113.759316834883</v>
      </c>
      <c r="K9364" s="38" t="n">
        <f aca="false">Sens!$K$9281</f>
        <v>142.313600225088</v>
      </c>
      <c r="L9364" s="38" t="n">
        <f aca="false">Sens!$L$9281</f>
        <v>161.610137806934</v>
      </c>
      <c r="M9364" s="38" t="n">
        <f aca="false">Sens!$M$9281</f>
        <v>171.622526917459</v>
      </c>
      <c r="N9364" s="38" t="n">
        <f aca="false">Sens!$N$9281</f>
        <v>2.37162185981912</v>
      </c>
      <c r="O9364" s="38" t="n">
        <f aca="false">Sens!$O$9281</f>
        <v>4.40444059680694</v>
      </c>
    </row>
    <row r="9365" customFormat="false" ht="17.15" hidden="false" customHeight="false" outlineLevel="0" collapsed="false">
      <c r="A9365" s="0" t="s">
        <v>744</v>
      </c>
      <c r="B9365" s="0" t="s">
        <v>86</v>
      </c>
      <c r="C9365" s="38" t="n">
        <f aca="false">Sens!$C$9346+Sens!$C$9360</f>
        <v>100.66</v>
      </c>
      <c r="D9365" s="38" t="n">
        <f aca="false">Sens!$D$9346+Sens!$D$9360</f>
        <v>121.835</v>
      </c>
      <c r="E9365" s="38" t="n">
        <f aca="false">Sens!$E$9346+Sens!$E$9360</f>
        <v>78.016</v>
      </c>
      <c r="F9365" s="38" t="n">
        <f aca="false">Sens!$F$9346+Sens!$F$9360</f>
        <v>85.580207202011</v>
      </c>
      <c r="G9365" s="38" t="n">
        <f aca="false">Sens!$G$9346+Sens!$G$9360</f>
        <v>163.596207202011</v>
      </c>
      <c r="H9365" s="38" t="n">
        <f aca="false">Sens!$H$9346+Sens!$H$9360</f>
        <v>211.252308354151</v>
      </c>
      <c r="I9365" s="38" t="n">
        <f aca="false">Sens!$I$9346+Sens!$I$9360</f>
        <v>264.28812593412</v>
      </c>
      <c r="J9365" s="38" t="n">
        <f aca="false">Sens!$J$9346+Sens!$J$9360</f>
        <v>316.529074889914</v>
      </c>
      <c r="K9365" s="38" t="n">
        <f aca="false">Sens!$K$9346+Sens!$K$9360</f>
        <v>362.378703752474</v>
      </c>
      <c r="L9365" s="38" t="n">
        <f aca="false">Sens!$L$9346+Sens!$L$9360</f>
        <v>399.491135103736</v>
      </c>
      <c r="M9365" s="38" t="n">
        <f aca="false">Sens!$M$9346+Sens!$M$9360</f>
        <v>429.531864433184</v>
      </c>
      <c r="N9365" s="38" t="n">
        <f aca="false">Sens!$N$9346+Sens!$N$9360</f>
        <v>56.398</v>
      </c>
      <c r="O9365" s="38" t="n">
        <f aca="false">Sens!$O$9346+Sens!$O$9360</f>
        <v>65.437</v>
      </c>
    </row>
    <row r="9366" customFormat="false" ht="17.15" hidden="false" customHeight="false" outlineLevel="0" collapsed="false">
      <c r="A9366" s="1" t="s">
        <v>745</v>
      </c>
    </row>
    <row r="9367" customFormat="false" ht="15" hidden="false" customHeight="false" outlineLevel="0" collapsed="false">
      <c r="A9367" s="5" t="s">
        <v>541</v>
      </c>
      <c r="B9367" s="0" t="s">
        <v>86</v>
      </c>
      <c r="C9367" s="38" t="n">
        <f aca="false">Q!$D$34</f>
        <v>2.406</v>
      </c>
      <c r="D9367" s="38" t="n">
        <f aca="false">Q!$E$34</f>
        <v>2.274</v>
      </c>
      <c r="E9367" s="38" t="n">
        <f aca="false">Q!$P$34</f>
        <v>2.114</v>
      </c>
      <c r="F9367" s="38" t="n">
        <f aca="false">Sens!$F$9405</f>
        <v>3.24888962733561</v>
      </c>
      <c r="G9367" s="38" t="n">
        <f aca="false">Sens!$E$9367+Sens!$F$9367</f>
        <v>5.36288962733561</v>
      </c>
      <c r="H9367" s="38" t="n">
        <f aca="false">Sens!$H$9405</f>
        <v>7.42354172302123</v>
      </c>
      <c r="I9367" s="38" t="n">
        <f aca="false">Sens!$I$9405</f>
        <v>8.2931747618896</v>
      </c>
      <c r="J9367" s="38" t="n">
        <f aca="false">Sens!$J$9405</f>
        <v>9.27718179522602</v>
      </c>
      <c r="K9367" s="38" t="n">
        <f aca="false">Sens!$K$9405</f>
        <v>9.27718179522602</v>
      </c>
      <c r="L9367" s="38" t="n">
        <f aca="false">Sens!$L$9405</f>
        <v>9.27718179522602</v>
      </c>
      <c r="M9367" s="38" t="n">
        <f aca="false">Sens!$M$9405</f>
        <v>9.27718179522602</v>
      </c>
      <c r="N9367" s="38" t="n">
        <f aca="false">Q!$N$34</f>
        <v>1.057</v>
      </c>
      <c r="O9367" s="38" t="n">
        <f aca="false">Q!$O$34</f>
        <v>1.217</v>
      </c>
    </row>
    <row r="9368" customFormat="false" ht="15" hidden="false" customHeight="false" outlineLevel="0" collapsed="false">
      <c r="A9368" s="5" t="s">
        <v>746</v>
      </c>
      <c r="B9368" s="0" t="s">
        <v>86</v>
      </c>
      <c r="F9368" s="38" t="n">
        <f aca="false">Sens!$F$9406</f>
        <v>2.59</v>
      </c>
      <c r="H9368" s="38" t="n">
        <f aca="false">Sens!$H$9406</f>
        <v>3.80133635330174</v>
      </c>
      <c r="I9368" s="38" t="n">
        <f aca="false">Sens!$I$9406</f>
        <v>2.10589651022864</v>
      </c>
      <c r="J9368" s="38" t="n">
        <f aca="false">Sens!$J$9406</f>
        <v>2.10589651022864</v>
      </c>
      <c r="K9368" s="38" t="n">
        <f aca="false">Sens!$K$9406</f>
        <v>3.14850442073996</v>
      </c>
      <c r="L9368" s="38" t="n">
        <f aca="false">Sens!$L$9406</f>
        <v>8.1505214857867</v>
      </c>
      <c r="M9368" s="38" t="n">
        <f aca="false">Sens!$M$9406</f>
        <v>15.5210342606514</v>
      </c>
    </row>
    <row r="9369" customFormat="false" ht="17.15" hidden="false" customHeight="false" outlineLevel="0" collapsed="false">
      <c r="A9369" s="5" t="s">
        <v>747</v>
      </c>
      <c r="B9369" s="0" t="s">
        <v>86</v>
      </c>
      <c r="C9369" s="38" t="n">
        <f aca="false">Q!$D$39</f>
        <v>2.427</v>
      </c>
      <c r="D9369" s="38" t="n">
        <f aca="false">Q!$E$39</f>
        <v>19.61</v>
      </c>
      <c r="E9369" s="38" t="n">
        <f aca="false">Q!$P$39</f>
        <v>71.492</v>
      </c>
      <c r="F9369" s="39" t="n">
        <v>0</v>
      </c>
      <c r="G9369" s="38" t="n">
        <f aca="false">Sens!$E$9369+Sens!$F$9369</f>
        <v>71.492</v>
      </c>
      <c r="H9369" s="39" t="n">
        <v>0</v>
      </c>
      <c r="I9369" s="39" t="n">
        <v>0</v>
      </c>
      <c r="J9369" s="39" t="n">
        <v>0</v>
      </c>
      <c r="K9369" s="39" t="n">
        <v>0</v>
      </c>
      <c r="L9369" s="39" t="n">
        <v>0</v>
      </c>
      <c r="M9369" s="39" t="n">
        <v>0</v>
      </c>
      <c r="N9369" s="38" t="n">
        <f aca="false">Q!$N$39</f>
        <v>6.017</v>
      </c>
      <c r="O9369" s="38" t="n">
        <f aca="false">Q!$O$39</f>
        <v>13.593</v>
      </c>
      <c r="P9369" s="5" t="s">
        <v>748</v>
      </c>
    </row>
    <row r="9370" customFormat="false" ht="15" hidden="false" customHeight="false" outlineLevel="0" collapsed="false">
      <c r="A9370" s="5" t="s">
        <v>544</v>
      </c>
      <c r="B9370" s="0" t="s">
        <v>86</v>
      </c>
      <c r="C9370" s="38" t="n">
        <f aca="false">Q!$D$36</f>
        <v>68.614</v>
      </c>
      <c r="D9370" s="38" t="n">
        <f aca="false">Q!$E$36</f>
        <v>97.311</v>
      </c>
      <c r="E9370" s="38" t="n">
        <f aca="false">Q!$P$36</f>
        <v>120.691</v>
      </c>
      <c r="F9370" s="38" t="n">
        <f aca="false">Sens!$F$9346-Sens!$F$9367+Sens!$F$9368+Sens!$F$9369</f>
        <v>55.629999609589</v>
      </c>
      <c r="G9370" s="38" t="n">
        <f aca="false">Sens!$E$9370+Sens!$F$9370</f>
        <v>176.320999609589</v>
      </c>
      <c r="H9370" s="38" t="n">
        <f aca="false">Sens!$H$9346-Sens!$H$9367+Sens!$H$9368+Sens!$H$9369</f>
        <v>123.313761885917</v>
      </c>
      <c r="I9370" s="38" t="n">
        <f aca="false">Sens!$I$9346-Sens!$I$9367+Sens!$I$9368+Sens!$I$9369</f>
        <v>141.060502691455</v>
      </c>
      <c r="J9370" s="38" t="n">
        <f aca="false">Sens!$J$9346-Sens!$J$9367+Sens!$J$9368+Sens!$J$9369</f>
        <v>158.858808130232</v>
      </c>
      <c r="K9370" s="38" t="n">
        <f aca="false">Sens!$K$9346-Sens!$K$9367+Sens!$K$9368+Sens!$K$9369</f>
        <v>172.061904407704</v>
      </c>
      <c r="L9370" s="38" t="n">
        <f aca="false">Sens!$L$9346-Sens!$L$9367+Sens!$L$9368+Sens!$L$9369</f>
        <v>190.205687150135</v>
      </c>
      <c r="M9370" s="38" t="n">
        <f aca="false">Sens!$M$9346-Sens!$M$9367+Sens!$M$9368+Sens!$M$9369</f>
        <v>210.601573500796</v>
      </c>
      <c r="N9370" s="38" t="n">
        <f aca="false">Q!$N$36</f>
        <v>42.536</v>
      </c>
      <c r="O9370" s="38" t="n">
        <f aca="false">Q!$O$36</f>
        <v>54.775</v>
      </c>
    </row>
    <row r="9371" customFormat="false" ht="15" hidden="false" customHeight="false" outlineLevel="0" collapsed="false">
      <c r="A9371" s="5" t="s">
        <v>545</v>
      </c>
      <c r="B9371" s="0" t="s">
        <v>86</v>
      </c>
      <c r="C9371" s="38" t="n">
        <f aca="false">Q!$D$37</f>
        <v>9.265</v>
      </c>
      <c r="D9371" s="38" t="n">
        <f aca="false">Q!$E$37</f>
        <v>19.087</v>
      </c>
      <c r="E9371" s="38" t="n">
        <f aca="false">Q!$P$37</f>
        <v>27.759</v>
      </c>
      <c r="F9371" s="38" t="n">
        <f aca="false">Sens!$F$9370*tax</f>
        <v>9.65650714815835</v>
      </c>
      <c r="G9371" s="38" t="n">
        <f aca="false">Sens!$E$9371+Sens!$F$9371</f>
        <v>37.4155071481584</v>
      </c>
      <c r="H9371" s="38" t="n">
        <f aca="false">Sens!$H$9370*tax</f>
        <v>21.4053609828247</v>
      </c>
      <c r="I9371" s="38" t="n">
        <f aca="false">Sens!$I$9370*tax</f>
        <v>24.4859205846201</v>
      </c>
      <c r="J9371" s="38" t="n">
        <f aca="false">Sens!$J$9370*tax</f>
        <v>27.5754310088666</v>
      </c>
      <c r="K9371" s="38" t="n">
        <f aca="false">Sens!$K$9370*tax</f>
        <v>29.8672842261235</v>
      </c>
      <c r="L9371" s="38" t="n">
        <f aca="false">Sens!$L$9370*tax</f>
        <v>33.0167641645831</v>
      </c>
      <c r="M9371" s="38" t="n">
        <f aca="false">Sens!$M$9370*tax</f>
        <v>36.5571744417788</v>
      </c>
      <c r="N9371" s="38" t="n">
        <f aca="false">Q!$N$37</f>
        <v>7.231</v>
      </c>
      <c r="O9371" s="38" t="n">
        <f aca="false">Q!$O$37</f>
        <v>11.856</v>
      </c>
    </row>
    <row r="9372" customFormat="false" ht="15" hidden="false" customHeight="false" outlineLevel="0" collapsed="false">
      <c r="A9372" s="3" t="s">
        <v>546</v>
      </c>
      <c r="B9372" s="8" t="s">
        <v>86</v>
      </c>
      <c r="C9372" s="38" t="n">
        <f aca="false">Q!$D$38</f>
        <v>59.248</v>
      </c>
      <c r="D9372" s="38" t="n">
        <f aca="false">Q!$E$38</f>
        <v>77.67</v>
      </c>
      <c r="E9372" s="38" t="n">
        <f aca="false">Q!$P$38</f>
        <v>92.902</v>
      </c>
      <c r="F9372" s="38" t="n">
        <f aca="false">Sens!$F$9370-Sens!$F$9371</f>
        <v>45.9734924614306</v>
      </c>
      <c r="G9372" s="38" t="n">
        <f aca="false">Sens!$E$9372+Sens!$F$9372</f>
        <v>138.875492461431</v>
      </c>
      <c r="H9372" s="38" t="n">
        <f aca="false">Sens!$H$9370-Sens!$H$9371</f>
        <v>101.908400903092</v>
      </c>
      <c r="I9372" s="38" t="n">
        <f aca="false">Sens!$I$9370-Sens!$I$9371</f>
        <v>116.574582106835</v>
      </c>
      <c r="J9372" s="38" t="n">
        <f aca="false">Sens!$J$9370-Sens!$J$9371</f>
        <v>131.283377121365</v>
      </c>
      <c r="K9372" s="38" t="n">
        <f aca="false">Sens!$K$9370-Sens!$K$9371</f>
        <v>142.194620181581</v>
      </c>
      <c r="L9372" s="38" t="n">
        <f aca="false">Sens!$L$9370-Sens!$L$9371</f>
        <v>157.188922985552</v>
      </c>
      <c r="M9372" s="38" t="n">
        <f aca="false">Sens!$M$9370-Sens!$M$9371</f>
        <v>174.044399059017</v>
      </c>
      <c r="N9372" s="38" t="n">
        <f aca="false">Q!$N$38</f>
        <v>35.291</v>
      </c>
      <c r="O9372" s="38" t="n">
        <f aca="false">Q!$O$38</f>
        <v>42.379</v>
      </c>
    </row>
    <row r="9373" customFormat="false" ht="17.15" hidden="false" customHeight="false" outlineLevel="0" collapsed="false">
      <c r="A9373" s="5" t="s">
        <v>549</v>
      </c>
      <c r="B9373" s="5" t="s">
        <v>33</v>
      </c>
      <c r="C9373" s="22" t="n">
        <f aca="false">Q!$D$41</f>
        <v>10.721</v>
      </c>
      <c r="D9373" s="22" t="n">
        <f aca="false">Q!$E$41</f>
        <v>10.827</v>
      </c>
      <c r="E9373" s="22" t="n">
        <f aca="false">(Q!$L$41+Q!$M$41)/2</f>
        <v>10.8885</v>
      </c>
      <c r="F9373" s="22" t="n">
        <f aca="false">Sens!$G$9373</f>
        <v>10.924806</v>
      </c>
      <c r="G9373" s="22" t="n">
        <f aca="false">Q!$M$41*(1+sh_g*0.25)</f>
        <v>10.924806</v>
      </c>
      <c r="H9373" s="22" t="n">
        <f aca="false">Sens!$G$9373*(1+sh_g)</f>
        <v>11.012204448</v>
      </c>
      <c r="I9373" s="22" t="n">
        <f aca="false">Sens!$H$9373*(1+sh_g)</f>
        <v>11.100302083584</v>
      </c>
      <c r="J9373" s="22" t="n">
        <f aca="false">Sens!$I$9373*(1+sh_g)</f>
        <v>11.1891045002527</v>
      </c>
      <c r="K9373" s="22" t="n">
        <f aca="false">Sens!$J$9373*(1+sh_g)</f>
        <v>11.2786173362547</v>
      </c>
      <c r="L9373" s="22" t="n">
        <f aca="false">Sens!$K$9373*(1+sh_g)</f>
        <v>11.3688462749447</v>
      </c>
      <c r="M9373" s="22" t="n">
        <f aca="false">Sens!$L$9373*(1+sh_g)</f>
        <v>11.4597970451443</v>
      </c>
      <c r="P9373" s="5" t="s">
        <v>749</v>
      </c>
    </row>
    <row r="9374" customFormat="false" ht="17.15" hidden="false" customHeight="false" outlineLevel="0" collapsed="false">
      <c r="A9374" s="5" t="s">
        <v>750</v>
      </c>
      <c r="B9374" s="0" t="s">
        <v>86</v>
      </c>
      <c r="C9374" s="38" t="n">
        <f aca="false">Sens!$C$9372+Sens!$C$9348*(1-tax)</f>
        <v>59.248</v>
      </c>
      <c r="D9374" s="38" t="n">
        <f aca="false">Sens!$D$9372+Sens!$D$9348*(1-tax)</f>
        <v>77.67</v>
      </c>
      <c r="E9374" s="38" t="n">
        <f aca="false">Sens!$E$9372+Sens!$E$9348*(1-tax)</f>
        <v>92.902</v>
      </c>
      <c r="F9374" s="38" t="n">
        <f aca="false">Sens!$F$9372+Sens!$F$9348*(1-tax)</f>
        <v>49.0900874210793</v>
      </c>
      <c r="G9374" s="38" t="n">
        <f aca="false">Sens!$G$9372+Sens!$G$9348*(1-tax)</f>
        <v>141.992087421079</v>
      </c>
      <c r="H9374" s="38" t="n">
        <f aca="false">Sens!$H$9372+Sens!$H$9348*(1-tax)</f>
        <v>114.439796858437</v>
      </c>
      <c r="I9374" s="38" t="n">
        <f aca="false">Sens!$I$9372+Sens!$I$9348*(1-tax)</f>
        <v>137.715847181774</v>
      </c>
      <c r="J9374" s="38" t="n">
        <f aca="false">Sens!$J$9372+Sens!$J$9348*(1-tax)</f>
        <v>161.072814065649</v>
      </c>
      <c r="K9374" s="38" t="n">
        <f aca="false">Sens!$K$9372+Sens!$K$9348*(1-tax)</f>
        <v>179.421490252235</v>
      </c>
      <c r="L9374" s="38" t="n">
        <f aca="false">Sens!$L$9372+Sens!$L$9348*(1-tax)</f>
        <v>199.44183450846</v>
      </c>
      <c r="M9374" s="38" t="n">
        <f aca="false">Sens!$M$9372+Sens!$M$9348*(1-tax)</f>
        <v>218.905960428178</v>
      </c>
      <c r="N9374" s="38" t="n">
        <f aca="false">Sens!$N$9372+Sens!$N$9348*(1-tax)</f>
        <v>35.291</v>
      </c>
      <c r="O9374" s="38" t="n">
        <f aca="false">Sens!$O$9372+Sens!$O$9348*(1-tax)</f>
        <v>42.379</v>
      </c>
    </row>
    <row r="9375" customFormat="false" ht="17.15" hidden="false" customHeight="false" outlineLevel="0" collapsed="false">
      <c r="A9375" s="43" t="s">
        <v>751</v>
      </c>
      <c r="B9375" s="14" t="s">
        <v>27</v>
      </c>
      <c r="C9375" s="44" t="n">
        <f aca="false">Sens!$C$9374/Sens!$C$9373</f>
        <v>5.52635015390355</v>
      </c>
      <c r="D9375" s="44" t="n">
        <f aca="false">Sens!$D$9374/Sens!$D$9373</f>
        <v>7.1737323358271</v>
      </c>
      <c r="E9375" s="44" t="n">
        <f aca="false">Sens!$E$9374/Sens!$E$9373</f>
        <v>8.53212104513937</v>
      </c>
      <c r="F9375" s="14"/>
      <c r="G9375" s="44" t="n">
        <f aca="false">Sens!$G$9374/Sens!$G$9373</f>
        <v>12.9972182042481</v>
      </c>
      <c r="H9375" s="44" t="n">
        <f aca="false">Sens!$H$9374/Sens!$H$9373</f>
        <v>10.3920879237963</v>
      </c>
      <c r="I9375" s="44" t="n">
        <f aca="false">Sens!$I$9374/Sens!$I$9373</f>
        <v>12.4064954399249</v>
      </c>
      <c r="J9375" s="44" t="n">
        <f aca="false">Sens!$J$9374/Sens!$J$9373</f>
        <v>14.3955053831172</v>
      </c>
      <c r="K9375" s="44" t="n">
        <f aca="false">Sens!$K$9374/Sens!$K$9373</f>
        <v>15.9081104450181</v>
      </c>
      <c r="L9375" s="44" t="n">
        <f aca="false">Sens!$L$9374/Sens!$L$9373</f>
        <v>17.5428385330533</v>
      </c>
      <c r="M9375" s="44" t="n">
        <f aca="false">Sens!$M$9374/Sens!$M$9373</f>
        <v>19.1020800425896</v>
      </c>
      <c r="N9375" s="14"/>
      <c r="O9375" s="14"/>
    </row>
    <row r="9376" customFormat="false" ht="17.15" hidden="false" customHeight="false" outlineLevel="0" collapsed="false">
      <c r="A9376" s="0" t="s">
        <v>752</v>
      </c>
      <c r="B9376" s="0" t="s">
        <v>27</v>
      </c>
      <c r="C9376" s="30" t="n">
        <f aca="false">Sens!$C$9372/Sens!$C$9373</f>
        <v>5.52635015390355</v>
      </c>
      <c r="D9376" s="30" t="n">
        <f aca="false">Sens!$D$9372/Sens!$D$9373</f>
        <v>7.1737323358271</v>
      </c>
      <c r="E9376" s="30" t="n">
        <f aca="false">Sens!$E$9372/Sens!$E$9373</f>
        <v>8.53212104513937</v>
      </c>
      <c r="G9376" s="30" t="n">
        <f aca="false">Sens!$G$9372/Sens!$G$9373</f>
        <v>12.7119412886078</v>
      </c>
      <c r="H9376" s="30" t="n">
        <f aca="false">Sens!$H$9372/Sens!$H$9373</f>
        <v>9.25413266565353</v>
      </c>
      <c r="I9376" s="30" t="n">
        <f aca="false">Sens!$I$9372/Sens!$I$9373</f>
        <v>10.501928796986</v>
      </c>
      <c r="J9376" s="30" t="n">
        <f aca="false">Sens!$J$9372/Sens!$J$9373</f>
        <v>11.7331442492472</v>
      </c>
      <c r="K9376" s="30" t="n">
        <f aca="false">Sens!$K$9372/Sens!$K$9373</f>
        <v>12.6074514226581</v>
      </c>
      <c r="L9376" s="30" t="n">
        <f aca="false">Sens!$L$9372/Sens!$L$9373</f>
        <v>13.8262862549187</v>
      </c>
      <c r="M9376" s="30" t="n">
        <f aca="false">Sens!$M$9372/Sens!$M$9373</f>
        <v>15.1873893030909</v>
      </c>
    </row>
    <row r="9377" customFormat="false" ht="17.15" hidden="false" customHeight="false" outlineLevel="0" collapsed="false">
      <c r="A9377" s="0" t="s">
        <v>753</v>
      </c>
      <c r="B9377" s="0" t="s">
        <v>27</v>
      </c>
      <c r="C9377" s="30" t="n">
        <f aca="false">(Sens!$C$9372-Sens!$C$9369*(1-tax))/Sens!$C$9373</f>
        <v>5.33926775917445</v>
      </c>
      <c r="D9377" s="30" t="n">
        <f aca="false">(Sens!$D$9372-Sens!$D$9369*(1-tax))/Sens!$D$9373</f>
        <v>5.67691812755503</v>
      </c>
      <c r="E9377" s="30" t="n">
        <f aca="false">(Sens!$E$9372-Sens!$E$9369*(1-tax))/Sens!$E$9373</f>
        <v>3.10602057006846</v>
      </c>
      <c r="G9377" s="30" t="n">
        <f aca="false">(Sens!$G$9372-Sens!$G$9369*(1-tax))/Sens!$G$9373</f>
        <v>7.30387317071086</v>
      </c>
      <c r="H9377" s="30" t="n">
        <f aca="false">(Sens!$H$9372-Sens!$H$9369*(1-tax))/Sens!$H$9373</f>
        <v>9.25413266565353</v>
      </c>
      <c r="I9377" s="30" t="n">
        <f aca="false">(Sens!$I$9372-Sens!$I$9369*(1-tax))/Sens!$I$9373</f>
        <v>10.501928796986</v>
      </c>
      <c r="J9377" s="30" t="n">
        <f aca="false">(Sens!$J$9372-Sens!$J$9369*(1-tax))/Sens!$J$9373</f>
        <v>11.7331442492472</v>
      </c>
      <c r="K9377" s="30" t="n">
        <f aca="false">(Sens!$K$9372-Sens!$K$9369*(1-tax))/Sens!$K$9373</f>
        <v>12.6074514226581</v>
      </c>
      <c r="L9377" s="30" t="n">
        <f aca="false">(Sens!$L$9372-Sens!$L$9369*(1-tax))/Sens!$L$9373</f>
        <v>13.8262862549187</v>
      </c>
      <c r="M9377" s="30" t="n">
        <f aca="false">(Sens!$M$9372-Sens!$M$9369*(1-tax))/Sens!$M$9373</f>
        <v>15.1873893030909</v>
      </c>
      <c r="P9377" s="5" t="s">
        <v>754</v>
      </c>
    </row>
    <row r="9378" customFormat="false" ht="17.15" hidden="false" customHeight="false" outlineLevel="0" collapsed="false">
      <c r="A9378" s="0" t="s">
        <v>755</v>
      </c>
      <c r="B9378" s="0" t="s">
        <v>52</v>
      </c>
      <c r="H9378" s="13" t="n">
        <f aca="false">Sens!$H$9375/Sens!$G$9375-1</f>
        <v>-0.200437527439553</v>
      </c>
      <c r="I9378" s="13" t="n">
        <f aca="false">Sens!$I$9375/Sens!$H$9375-1</f>
        <v>0.193840499705158</v>
      </c>
      <c r="J9378" s="13" t="n">
        <f aca="false">Sens!$J$9375/Sens!$I$9375-1</f>
        <v>0.160320047899391</v>
      </c>
      <c r="K9378" s="13" t="n">
        <f aca="false">Sens!$K$9375/Sens!$J$9375-1</f>
        <v>0.105074814787315</v>
      </c>
      <c r="L9378" s="13" t="n">
        <f aca="false">Sens!$L$9375/Sens!$K$9375-1</f>
        <v>0.102760670017048</v>
      </c>
      <c r="M9378" s="13" t="n">
        <f aca="false">Sens!$M$9375/Sens!$L$9375-1</f>
        <v>0.0888819392938289</v>
      </c>
    </row>
    <row r="9381" customFormat="false" ht="19.4" hidden="false" customHeight="false" outlineLevel="0" collapsed="false">
      <c r="A9381" s="31" t="s">
        <v>1320</v>
      </c>
    </row>
    <row r="9382" customFormat="false" ht="17.15" hidden="false" customHeight="false" outlineLevel="0" collapsed="false">
      <c r="A9382" s="6" t="s">
        <v>16</v>
      </c>
      <c r="B9382" s="6" t="s">
        <v>17</v>
      </c>
      <c r="C9382" s="20" t="s">
        <v>494</v>
      </c>
      <c r="D9382" s="20" t="s">
        <v>495</v>
      </c>
      <c r="E9382" s="20" t="s">
        <v>577</v>
      </c>
      <c r="F9382" s="20" t="s">
        <v>578</v>
      </c>
      <c r="G9382" s="20" t="s">
        <v>579</v>
      </c>
      <c r="H9382" s="20" t="s">
        <v>580</v>
      </c>
      <c r="I9382" s="20" t="s">
        <v>581</v>
      </c>
      <c r="J9382" s="20" t="s">
        <v>582</v>
      </c>
      <c r="K9382" s="20" t="s">
        <v>583</v>
      </c>
      <c r="L9382" s="20" t="s">
        <v>584</v>
      </c>
      <c r="M9382" s="20" t="s">
        <v>585</v>
      </c>
      <c r="N9382" s="20" t="s">
        <v>586</v>
      </c>
      <c r="O9382" s="20" t="s">
        <v>587</v>
      </c>
      <c r="P9382" s="6" t="s">
        <v>23</v>
      </c>
      <c r="R9382" s="20" t="n">
        <v>2023</v>
      </c>
      <c r="S9382" s="20" t="n">
        <v>2024</v>
      </c>
      <c r="T9382" s="20" t="n">
        <v>2025</v>
      </c>
      <c r="U9382" s="20" t="n">
        <v>2026</v>
      </c>
      <c r="V9382" s="20" t="n">
        <v>2027</v>
      </c>
      <c r="W9382" s="20" t="n">
        <v>2028</v>
      </c>
      <c r="X9382" s="20" t="n">
        <v>2029</v>
      </c>
      <c r="Y9382" s="20" t="n">
        <v>2030</v>
      </c>
      <c r="Z9382" s="20" t="n">
        <v>2031</v>
      </c>
      <c r="AA9382" s="20" t="n">
        <v>2032</v>
      </c>
    </row>
    <row r="9383" customFormat="false" ht="15" hidden="false" customHeight="false" outlineLevel="0" collapsed="false">
      <c r="A9383" s="5" t="s">
        <v>546</v>
      </c>
      <c r="B9383" s="0" t="s">
        <v>86</v>
      </c>
      <c r="C9383" s="38" t="n">
        <f aca="false">Sens!$C$9372</f>
        <v>59.248</v>
      </c>
      <c r="D9383" s="38" t="n">
        <f aca="false">Sens!$D$9372</f>
        <v>77.67</v>
      </c>
      <c r="E9383" s="38" t="n">
        <f aca="false">Sens!$E$9372</f>
        <v>92.902</v>
      </c>
      <c r="F9383" s="38" t="n">
        <f aca="false">Sens!$F$9372</f>
        <v>45.9734924614306</v>
      </c>
      <c r="G9383" s="38" t="n">
        <f aca="false">Sens!$G$9372</f>
        <v>138.875492461431</v>
      </c>
      <c r="H9383" s="38" t="n">
        <f aca="false">Sens!$H$9372</f>
        <v>101.908400903092</v>
      </c>
      <c r="I9383" s="38" t="n">
        <f aca="false">Sens!$I$9372</f>
        <v>116.574582106835</v>
      </c>
      <c r="J9383" s="38" t="n">
        <f aca="false">Sens!$J$9372</f>
        <v>131.283377121365</v>
      </c>
      <c r="K9383" s="38" t="n">
        <f aca="false">Sens!$K$9372</f>
        <v>142.194620181581</v>
      </c>
      <c r="L9383" s="38" t="n">
        <f aca="false">Sens!$L$9372</f>
        <v>157.188922985552</v>
      </c>
      <c r="M9383" s="38" t="n">
        <f aca="false">Sens!$M$9372</f>
        <v>174.044399059017</v>
      </c>
    </row>
    <row r="9384" customFormat="false" ht="17.15" hidden="false" customHeight="false" outlineLevel="0" collapsed="false">
      <c r="A9384" s="5" t="s">
        <v>778</v>
      </c>
      <c r="B9384" s="0" t="s">
        <v>86</v>
      </c>
      <c r="C9384" s="38" t="n">
        <f aca="false">Sens!$C$9360</f>
        <v>32.067</v>
      </c>
      <c r="D9384" s="38" t="n">
        <f aca="false">Sens!$D$9360</f>
        <v>41.86</v>
      </c>
      <c r="E9384" s="38" t="n">
        <f aca="false">Sens!$E$9360</f>
        <v>26.703</v>
      </c>
      <c r="F9384" s="38" t="n">
        <f aca="false">Sens!$F$9360</f>
        <v>29.2913179650864</v>
      </c>
      <c r="G9384" s="38" t="n">
        <f aca="false">Sens!$G$9360</f>
        <v>55.9943179650864</v>
      </c>
      <c r="H9384" s="38" t="n">
        <f aca="false">Sens!$H$9360</f>
        <v>84.3163410985152</v>
      </c>
      <c r="I9384" s="38" t="n">
        <f aca="false">Sens!$I$9360</f>
        <v>117.040344991004</v>
      </c>
      <c r="J9384" s="38" t="n">
        <f aca="false">Sens!$J$9360</f>
        <v>150.498981474685</v>
      </c>
      <c r="K9384" s="38" t="n">
        <f aca="false">Sens!$K$9360</f>
        <v>184.188121970284</v>
      </c>
      <c r="L9384" s="38" t="n">
        <f aca="false">Sens!$L$9360</f>
        <v>208.158787644162</v>
      </c>
      <c r="M9384" s="38" t="n">
        <f aca="false">Sens!$M$9360</f>
        <v>225.174143397813</v>
      </c>
    </row>
    <row r="9385" customFormat="false" ht="15" hidden="false" customHeight="false" outlineLevel="0" collapsed="false">
      <c r="A9385" s="5" t="s">
        <v>779</v>
      </c>
      <c r="B9385" s="0" t="s">
        <v>86</v>
      </c>
      <c r="C9385" s="38" t="n">
        <f aca="false">Q!$D$48</f>
        <v>22.011</v>
      </c>
      <c r="D9385" s="38" t="n">
        <f aca="false">Q!$E$48</f>
        <v>19.467</v>
      </c>
      <c r="E9385" s="38" t="n">
        <f aca="false">Q!$P$48</f>
        <v>10.07</v>
      </c>
      <c r="F9385" s="38" t="n">
        <f aca="false">sbc_r*Sens!$F$9302</f>
        <v>10.8507035798037</v>
      </c>
      <c r="G9385" s="38" t="n">
        <f aca="false">Sens!$E$9385+Sens!$F$9385</f>
        <v>20.9207035798037</v>
      </c>
      <c r="H9385" s="38" t="n">
        <f aca="false">sbc_r*Sens!$H$9302</f>
        <v>23.46224366345</v>
      </c>
      <c r="I9385" s="38" t="n">
        <f aca="false">sbc_r*Sens!$I$9302</f>
        <v>26.6125957111676</v>
      </c>
      <c r="J9385" s="38" t="n">
        <f aca="false">sbc_r*Sens!$J$9302</f>
        <v>29.6280801413323</v>
      </c>
      <c r="K9385" s="38" t="n">
        <f aca="false">sbc_r*Sens!$K$9302</f>
        <v>32.2783466626501</v>
      </c>
      <c r="L9385" s="38" t="n">
        <f aca="false">sbc_r*Sens!$L$9302</f>
        <v>34.7673634382331</v>
      </c>
      <c r="M9385" s="38" t="n">
        <f aca="false">sbc_r*Sens!$M$9302</f>
        <v>37.1041186491569</v>
      </c>
    </row>
    <row r="9386" customFormat="false" ht="17.15" hidden="false" customHeight="false" outlineLevel="0" collapsed="false">
      <c r="A9386" s="5" t="s">
        <v>780</v>
      </c>
      <c r="B9386" s="0" t="s">
        <v>86</v>
      </c>
      <c r="C9386" s="38" t="n">
        <f aca="false">Q!$D$44-Sens!$C$9383-Sens!$C$9384-Sens!$C$9385</f>
        <v>2.551</v>
      </c>
      <c r="D9386" s="38" t="n">
        <f aca="false">Q!$E$44-Sens!$D$9383-Sens!$D$9384-Sens!$D$9385</f>
        <v>0.51700000000001</v>
      </c>
      <c r="E9386" s="38" t="n">
        <f aca="false">Q!$P$44-Sens!$E$9383-Sens!$E$9384-Sens!$E$9385</f>
        <v>-58.256</v>
      </c>
      <c r="F9386" s="38" t="n">
        <f aca="false">oth_r*Sens!$F$9302</f>
        <v>5.22265251035878</v>
      </c>
      <c r="G9386" s="38" t="n">
        <f aca="false">Sens!$E$9386+Sens!$F$9386</f>
        <v>-53.0333474896412</v>
      </c>
      <c r="H9386" s="38" t="n">
        <f aca="false">oth_r*Sens!$H$9302</f>
        <v>11.2928295263397</v>
      </c>
      <c r="I9386" s="38" t="n">
        <f aca="false">oth_r*Sens!$I$9302</f>
        <v>12.8091546115766</v>
      </c>
      <c r="J9386" s="38" t="n">
        <f aca="false">oth_r*Sens!$J$9302</f>
        <v>14.2605653162668</v>
      </c>
      <c r="K9386" s="38" t="n">
        <f aca="false">oth_r*Sens!$K$9302</f>
        <v>15.5361896109386</v>
      </c>
      <c r="L9386" s="38" t="n">
        <f aca="false">oth_r*Sens!$L$9302</f>
        <v>16.7342012989106</v>
      </c>
      <c r="M9386" s="38" t="n">
        <f aca="false">oth_r*Sens!$M$9302</f>
        <v>17.8589265647579</v>
      </c>
      <c r="P9386" s="8" t="s">
        <v>781</v>
      </c>
    </row>
    <row r="9387" customFormat="false" ht="15" hidden="false" customHeight="false" outlineLevel="0" collapsed="false">
      <c r="A9387" s="3" t="s">
        <v>552</v>
      </c>
      <c r="B9387" s="8" t="s">
        <v>86</v>
      </c>
      <c r="C9387" s="38" t="n">
        <f aca="false">Q!$D$44</f>
        <v>115.877</v>
      </c>
      <c r="D9387" s="38" t="n">
        <f aca="false">Q!$E$44</f>
        <v>139.514</v>
      </c>
      <c r="E9387" s="38" t="n">
        <f aca="false">Q!$P$44</f>
        <v>71.419</v>
      </c>
      <c r="F9387" s="38" t="n">
        <f aca="false">Sens!$F$9383+Sens!$F$9384+Sens!$F$9385+Sens!$F$9386</f>
        <v>91.3381665166794</v>
      </c>
      <c r="G9387" s="38" t="n">
        <f aca="false">Sens!$E$9387+Sens!$F$9387</f>
        <v>162.757166516679</v>
      </c>
      <c r="H9387" s="38" t="n">
        <f aca="false">Sens!$H$9383+Sens!$H$9384+Sens!$H$9385+Sens!$H$9386</f>
        <v>220.979815191397</v>
      </c>
      <c r="I9387" s="38" t="n">
        <f aca="false">Sens!$I$9383+Sens!$I$9384+Sens!$I$9385+Sens!$I$9386</f>
        <v>273.036677420583</v>
      </c>
      <c r="J9387" s="38" t="n">
        <f aca="false">Sens!$J$9383+Sens!$J$9384+Sens!$J$9385+Sens!$J$9386</f>
        <v>325.671004053649</v>
      </c>
      <c r="K9387" s="38" t="n">
        <f aca="false">Sens!$K$9383+Sens!$K$9384+Sens!$K$9385+Sens!$K$9386</f>
        <v>374.197278425453</v>
      </c>
      <c r="L9387" s="38" t="n">
        <f aca="false">Sens!$L$9383+Sens!$L$9384+Sens!$L$9385+Sens!$L$9386</f>
        <v>416.849275366857</v>
      </c>
      <c r="M9387" s="38" t="n">
        <f aca="false">Sens!$M$9383+Sens!$M$9384+Sens!$M$9385+Sens!$M$9386</f>
        <v>454.181587670745</v>
      </c>
    </row>
    <row r="9388" customFormat="false" ht="17.15" hidden="false" customHeight="false" outlineLevel="0" collapsed="false">
      <c r="A9388" s="5" t="s">
        <v>782</v>
      </c>
      <c r="B9388" s="0" t="s">
        <v>86</v>
      </c>
      <c r="C9388" s="38" t="n">
        <f aca="false">Sens!$C$9271</f>
        <v>25.2781053077374</v>
      </c>
      <c r="D9388" s="38" t="n">
        <f aca="false">Sens!$D$9271</f>
        <v>69.5686316310026</v>
      </c>
      <c r="E9388" s="38" t="n">
        <f aca="false">Sens!$E$9271</f>
        <v>64.1899206485108</v>
      </c>
      <c r="F9388" s="38" t="n">
        <f aca="false">Sens!$F$9271</f>
        <v>96.2481299895</v>
      </c>
      <c r="G9388" s="38" t="n">
        <f aca="false">Sens!$G$9271</f>
        <v>160.438050638011</v>
      </c>
      <c r="H9388" s="38" t="n">
        <f aca="false">Sens!$H$9271</f>
        <v>198.57136494475</v>
      </c>
      <c r="I9388" s="38" t="n">
        <f aca="false">Sens!$I$9271</f>
        <v>204.6464699105</v>
      </c>
      <c r="J9388" s="38" t="n">
        <f aca="false">Sens!$J$9271</f>
        <v>209.8832381105</v>
      </c>
      <c r="K9388" s="38" t="n">
        <f aca="false">Sens!$K$9271</f>
        <v>158.016341586823</v>
      </c>
      <c r="L9388" s="38" t="n">
        <f aca="false">Sens!$L$9271</f>
        <v>137.570054263147</v>
      </c>
      <c r="M9388" s="38" t="n">
        <f aca="false">Sens!$M$9271</f>
        <v>140.56485059472</v>
      </c>
    </row>
    <row r="9389" customFormat="false" ht="17.15" hidden="false" customHeight="false" outlineLevel="0" collapsed="false">
      <c r="A9389" s="5" t="s">
        <v>783</v>
      </c>
      <c r="B9389" s="0" t="s">
        <v>86</v>
      </c>
      <c r="C9389" s="38" t="n">
        <f aca="false">cx_awso*Sens!$C$9300</f>
        <v>21.0469989286053</v>
      </c>
      <c r="D9389" s="38" t="n">
        <f aca="false">cx_awso*Sens!$D$9300</f>
        <v>24.0042459822698</v>
      </c>
      <c r="E9389" s="38" t="n">
        <f aca="false">cx_awso*Sens!$E$9300</f>
        <v>14.261729404886</v>
      </c>
      <c r="F9389" s="38" t="n">
        <f aca="false">cx_awso*Sens!$F$9300</f>
        <v>14.3538599588493</v>
      </c>
      <c r="G9389" s="38" t="n">
        <f aca="false">Sens!$E$9389+Sens!$F$9389</f>
        <v>28.6155893637353</v>
      </c>
      <c r="H9389" s="38" t="n">
        <f aca="false">cx_awso*Sens!$H$9300</f>
        <v>32.2034154158406</v>
      </c>
      <c r="I9389" s="38" t="n">
        <f aca="false">cx_awso*Sens!$I$9300</f>
        <v>35.7539519042915</v>
      </c>
      <c r="J9389" s="38" t="n">
        <f aca="false">cx_awso*Sens!$J$9300</f>
        <v>39.1551076091815</v>
      </c>
      <c r="K9389" s="38" t="n">
        <f aca="false">cx_awso*Sens!$K$9300</f>
        <v>42.287516217916</v>
      </c>
      <c r="L9389" s="38" t="n">
        <f aca="false">cx_awso*Sens!$L$9300</f>
        <v>45.6705175153492</v>
      </c>
      <c r="M9389" s="38" t="n">
        <f aca="false">cx_awso*Sens!$M$9300</f>
        <v>49.3241589165772</v>
      </c>
    </row>
    <row r="9390" customFormat="false" ht="17.15" hidden="false" customHeight="false" outlineLevel="0" collapsed="false">
      <c r="A9390" s="5" t="s">
        <v>784</v>
      </c>
      <c r="B9390" s="0" t="s">
        <v>86</v>
      </c>
      <c r="C9390" s="38" t="n">
        <f aca="false">Q!$D$46-Sens!$C$9388-Sens!$C$9389</f>
        <v>31.3328957636573</v>
      </c>
      <c r="D9390" s="38" t="n">
        <f aca="false">Q!$E$46-Sens!$D$9388-Sens!$D$9389</f>
        <v>34.7471223867276</v>
      </c>
      <c r="E9390" s="38" t="n">
        <f aca="false">Q!$P$46-Sens!$E$9388-Sens!$E$9389</f>
        <v>17.8583499466032</v>
      </c>
      <c r="F9390" s="38" t="n">
        <f aca="false">cx_rt*Sens!$F$9234</f>
        <v>20.6195895799373</v>
      </c>
      <c r="G9390" s="38" t="n">
        <f aca="false">Sens!$E$9390+Sens!$F$9390</f>
        <v>38.4779395265405</v>
      </c>
      <c r="H9390" s="38" t="n">
        <f aca="false">cx_rt*Sens!$H$9234</f>
        <v>42.5978994743075</v>
      </c>
      <c r="I9390" s="38" t="n">
        <f aca="false">cx_rt*Sens!$I$9234</f>
        <v>46.5813904136335</v>
      </c>
      <c r="J9390" s="38" t="n">
        <f aca="false">cx_rt*Sens!$J$9234</f>
        <v>50.2781676586844</v>
      </c>
      <c r="K9390" s="38" t="n">
        <f aca="false">cx_rt*Sens!$K$9234</f>
        <v>53.5312440191755</v>
      </c>
      <c r="L9390" s="38" t="n">
        <f aca="false">cx_rt*Sens!$L$9234</f>
        <v>57.0116717051447</v>
      </c>
      <c r="M9390" s="38" t="n">
        <f aca="false">cx_rt*Sens!$M$9234</f>
        <v>60.7365554669226</v>
      </c>
    </row>
    <row r="9391" customFormat="false" ht="15" hidden="false" customHeight="false" outlineLevel="0" collapsed="false">
      <c r="A9391" s="3" t="s">
        <v>785</v>
      </c>
      <c r="B9391" s="8" t="s">
        <v>86</v>
      </c>
      <c r="C9391" s="38" t="n">
        <f aca="false">Q!$D$46</f>
        <v>77.658</v>
      </c>
      <c r="D9391" s="38" t="n">
        <f aca="false">Q!$E$46</f>
        <v>128.32</v>
      </c>
      <c r="E9391" s="38" t="n">
        <f aca="false">Q!$P$46</f>
        <v>96.31</v>
      </c>
      <c r="F9391" s="38" t="n">
        <f aca="false">Sens!$F$9388+Sens!$F$9389+Sens!$F$9390</f>
        <v>131.221579528287</v>
      </c>
      <c r="G9391" s="38" t="n">
        <f aca="false">Sens!$E$9391+Sens!$F$9391</f>
        <v>227.531579528287</v>
      </c>
      <c r="H9391" s="38" t="n">
        <f aca="false">Sens!$H$9388+Sens!$H$9389+Sens!$H$9390</f>
        <v>273.372679834898</v>
      </c>
      <c r="I9391" s="38" t="n">
        <f aca="false">Sens!$I$9388+Sens!$I$9389+Sens!$I$9390</f>
        <v>286.981812228425</v>
      </c>
      <c r="J9391" s="38" t="n">
        <f aca="false">Sens!$J$9388+Sens!$J$9389+Sens!$J$9390</f>
        <v>299.316513378366</v>
      </c>
      <c r="K9391" s="38" t="n">
        <f aca="false">Sens!$K$9388+Sens!$K$9389+Sens!$K$9390</f>
        <v>253.835101823915</v>
      </c>
      <c r="L9391" s="38" t="n">
        <f aca="false">Sens!$L$9388+Sens!$L$9389+Sens!$L$9390</f>
        <v>240.252243483641</v>
      </c>
      <c r="M9391" s="38" t="n">
        <f aca="false">Sens!$M$9388+Sens!$M$9389+Sens!$M$9390</f>
        <v>250.62556497822</v>
      </c>
    </row>
    <row r="9392" customFormat="false" ht="17.15" hidden="false" customHeight="false" outlineLevel="0" collapsed="false">
      <c r="A9392" s="5" t="s">
        <v>560</v>
      </c>
      <c r="B9392" s="0" t="s">
        <v>86</v>
      </c>
      <c r="C9392" s="38" t="n">
        <f aca="false">Q!$D$50</f>
        <v>2.043</v>
      </c>
      <c r="D9392" s="38" t="n">
        <f aca="false">Q!$E$50</f>
        <v>1.557</v>
      </c>
      <c r="E9392" s="38" t="n">
        <f aca="false">lease_pr/2</f>
        <v>0.8</v>
      </c>
      <c r="F9392" s="38" t="n">
        <f aca="false">lease_pr/2</f>
        <v>0.8</v>
      </c>
      <c r="G9392" s="38" t="n">
        <f aca="false">Sens!$E$9392+Sens!$F$9392</f>
        <v>1.6</v>
      </c>
      <c r="H9392" s="38" t="n">
        <f aca="false">lease_pr</f>
        <v>1.6</v>
      </c>
      <c r="I9392" s="38" t="n">
        <f aca="false">lease_pr</f>
        <v>1.6</v>
      </c>
      <c r="J9392" s="38" t="n">
        <f aca="false">lease_pr</f>
        <v>1.6</v>
      </c>
      <c r="K9392" s="38" t="n">
        <f aca="false">lease_pr</f>
        <v>1.6</v>
      </c>
      <c r="L9392" s="38" t="n">
        <f aca="false">lease_pr</f>
        <v>1.6</v>
      </c>
      <c r="M9392" s="38" t="n">
        <f aca="false">lease_pr</f>
        <v>1.6</v>
      </c>
      <c r="P9392" s="8" t="s">
        <v>786</v>
      </c>
    </row>
    <row r="9393" customFormat="false" ht="15" hidden="false" customHeight="false" outlineLevel="0" collapsed="false">
      <c r="A9393" s="47" t="s">
        <v>787</v>
      </c>
      <c r="B9393" s="14" t="s">
        <v>86</v>
      </c>
      <c r="C9393" s="48" t="n">
        <f aca="false">Sens!$C$9387-Sens!$C$9391-Sens!$C$9392</f>
        <v>36.176</v>
      </c>
      <c r="D9393" s="48" t="n">
        <f aca="false">Sens!$D$9387-Sens!$D$9391-Sens!$D$9392</f>
        <v>9.63700000000002</v>
      </c>
      <c r="E9393" s="48" t="n">
        <f aca="false">Sens!$E$9387-Sens!$E$9391-Sens!$E$9392</f>
        <v>-25.691</v>
      </c>
      <c r="F9393" s="48" t="n">
        <f aca="false">Sens!$F$9387-Sens!$F$9391-Sens!$F$9392</f>
        <v>-40.6834130116072</v>
      </c>
      <c r="G9393" s="48" t="n">
        <f aca="false">Sens!$G$9387-Sens!$G$9391-Sens!$G$9392</f>
        <v>-66.3744130116072</v>
      </c>
      <c r="H9393" s="48" t="n">
        <f aca="false">Sens!$H$9387-Sens!$H$9391-Sens!$H$9392</f>
        <v>-53.9928646435014</v>
      </c>
      <c r="I9393" s="48" t="n">
        <f aca="false">Sens!$I$9387-Sens!$I$9391-Sens!$I$9392</f>
        <v>-15.5451348078424</v>
      </c>
      <c r="J9393" s="48" t="n">
        <f aca="false">Sens!$J$9387-Sens!$J$9391-Sens!$J$9392</f>
        <v>24.754490675283</v>
      </c>
      <c r="K9393" s="48" t="n">
        <f aca="false">Sens!$K$9387-Sens!$K$9391-Sens!$K$9392</f>
        <v>118.762176601538</v>
      </c>
      <c r="L9393" s="48" t="n">
        <f aca="false">Sens!$L$9387-Sens!$L$9391-Sens!$L$9392</f>
        <v>174.997031883216</v>
      </c>
      <c r="M9393" s="48" t="n">
        <f aca="false">Sens!$M$9387-Sens!$M$9391-Sens!$M$9392</f>
        <v>201.956022692525</v>
      </c>
      <c r="N9393" s="14"/>
      <c r="O9393" s="14"/>
    </row>
    <row r="9394" customFormat="false" ht="17.15" hidden="false" customHeight="false" outlineLevel="0" collapsed="false">
      <c r="A9394" s="5" t="s">
        <v>788</v>
      </c>
      <c r="B9394" s="0" t="s">
        <v>86</v>
      </c>
      <c r="C9394" s="38" t="n">
        <f aca="false">dps*Sens!$C$9373</f>
        <v>0</v>
      </c>
      <c r="D9394" s="38" t="n">
        <f aca="false">dps*Sens!$D$9373</f>
        <v>0</v>
      </c>
      <c r="E9394" s="38" t="n">
        <f aca="false">dps*Sens!$E$9373</f>
        <v>0</v>
      </c>
      <c r="F9394" s="38" t="n">
        <f aca="false">0</f>
        <v>0</v>
      </c>
      <c r="G9394" s="38" t="n">
        <f aca="false">dps*Sens!$G$9373</f>
        <v>0</v>
      </c>
      <c r="H9394" s="38" t="n">
        <f aca="false">dps*Sens!$H$9373</f>
        <v>0</v>
      </c>
      <c r="I9394" s="38" t="n">
        <f aca="false">dps*Sens!$I$9373</f>
        <v>0</v>
      </c>
      <c r="J9394" s="38" t="n">
        <f aca="false">dps*Sens!$J$9373</f>
        <v>0</v>
      </c>
      <c r="K9394" s="38" t="n">
        <f aca="false">dps*Sens!$K$9373</f>
        <v>0</v>
      </c>
      <c r="L9394" s="38" t="n">
        <f aca="false">dps*Sens!$L$9373</f>
        <v>0</v>
      </c>
      <c r="M9394" s="38" t="n">
        <f aca="false">dps*Sens!$M$9373</f>
        <v>0</v>
      </c>
      <c r="P9394" s="8" t="s">
        <v>789</v>
      </c>
    </row>
    <row r="9395" customFormat="false" ht="17.15" hidden="false" customHeight="false" outlineLevel="0" collapsed="false">
      <c r="A9395" s="5" t="s">
        <v>790</v>
      </c>
      <c r="B9395" s="0" t="s">
        <v>86</v>
      </c>
      <c r="C9395" s="38" t="n">
        <f aca="false">0</f>
        <v>0</v>
      </c>
      <c r="D9395" s="38" t="n">
        <f aca="false">0</f>
        <v>0</v>
      </c>
      <c r="E9395" s="38" t="n">
        <f aca="false">0</f>
        <v>0</v>
      </c>
      <c r="F9395" s="38" t="n">
        <f aca="false">0</f>
        <v>0</v>
      </c>
      <c r="G9395" s="38" t="n">
        <f aca="false">0</f>
        <v>0</v>
      </c>
      <c r="H9395" s="38" t="n">
        <f aca="false">0</f>
        <v>0</v>
      </c>
      <c r="I9395" s="38" t="n">
        <f aca="false">0</f>
        <v>0</v>
      </c>
      <c r="J9395" s="38" t="n">
        <f aca="false">0</f>
        <v>0</v>
      </c>
      <c r="K9395" s="38" t="n">
        <f aca="false">0</f>
        <v>0</v>
      </c>
      <c r="L9395" s="38" t="n">
        <f aca="false">0</f>
        <v>0</v>
      </c>
      <c r="M9395" s="38" t="n">
        <f aca="false">0</f>
        <v>0</v>
      </c>
      <c r="P9395" s="8" t="s">
        <v>791</v>
      </c>
    </row>
    <row r="9396" customFormat="false" ht="15" hidden="false" customHeight="false" outlineLevel="0" collapsed="false">
      <c r="A9396" s="3" t="s">
        <v>792</v>
      </c>
      <c r="B9396" s="8" t="s">
        <v>86</v>
      </c>
      <c r="C9396" s="38" t="n">
        <f aca="false">Sens!$C$9393-Sens!$C$9394</f>
        <v>36.176</v>
      </c>
      <c r="D9396" s="38" t="n">
        <f aca="false">Sens!$D$9393-Sens!$D$9394</f>
        <v>9.63700000000002</v>
      </c>
      <c r="E9396" s="38" t="n">
        <f aca="false">Sens!$E$9393-Sens!$E$9394</f>
        <v>-25.691</v>
      </c>
      <c r="F9396" s="38" t="n">
        <f aca="false">Sens!$F$9393-Sens!$F$9394</f>
        <v>-40.6834130116072</v>
      </c>
      <c r="G9396" s="38" t="n">
        <f aca="false">Sens!$G$9393-Sens!$G$9394</f>
        <v>-66.3744130116072</v>
      </c>
      <c r="H9396" s="38" t="n">
        <f aca="false">Sens!$H$9393-Sens!$H$9394</f>
        <v>-53.9928646435014</v>
      </c>
      <c r="I9396" s="38" t="n">
        <f aca="false">Sens!$I$9393-Sens!$I$9394</f>
        <v>-15.5451348078424</v>
      </c>
      <c r="J9396" s="38" t="n">
        <f aca="false">Sens!$J$9393-Sens!$J$9394</f>
        <v>24.754490675283</v>
      </c>
      <c r="K9396" s="38" t="n">
        <f aca="false">Sens!$K$9393-Sens!$K$9394</f>
        <v>118.762176601538</v>
      </c>
      <c r="L9396" s="38" t="n">
        <f aca="false">Sens!$L$9393-Sens!$L$9394</f>
        <v>174.997031883216</v>
      </c>
      <c r="M9396" s="38" t="n">
        <f aca="false">Sens!$M$9393-Sens!$M$9394</f>
        <v>201.956022692525</v>
      </c>
    </row>
    <row r="9397" customFormat="false" ht="17.15" hidden="false" customHeight="false" outlineLevel="0" collapsed="false">
      <c r="A9397" s="5" t="s">
        <v>793</v>
      </c>
      <c r="B9397" s="0" t="s">
        <v>86</v>
      </c>
      <c r="E9397" s="38" t="n">
        <f aca="false">Q!$P$53</f>
        <v>39.767</v>
      </c>
      <c r="F9397" s="38" t="n">
        <f aca="false">inv_2h26</f>
        <v>21.3</v>
      </c>
      <c r="G9397" s="38" t="n">
        <f aca="false">Sens!$E$9397+Sens!$F$9397</f>
        <v>61.067</v>
      </c>
      <c r="H9397" s="39" t="n">
        <v>0</v>
      </c>
      <c r="I9397" s="39" t="n">
        <v>0</v>
      </c>
      <c r="J9397" s="39" t="n">
        <v>0</v>
      </c>
      <c r="K9397" s="39" t="n">
        <v>0</v>
      </c>
      <c r="L9397" s="39" t="n">
        <v>0</v>
      </c>
      <c r="M9397" s="39" t="n">
        <v>0</v>
      </c>
    </row>
    <row r="9398" customFormat="false" ht="17.15" hidden="false" customHeight="false" outlineLevel="0" collapsed="false">
      <c r="A9398" s="5" t="s">
        <v>794</v>
      </c>
      <c r="B9398" s="0" t="s">
        <v>86</v>
      </c>
      <c r="F9398" s="38" t="n">
        <f aca="false">iss_2h26</f>
        <v>29.249999</v>
      </c>
      <c r="G9398" s="38" t="n">
        <f aca="false">Sens!$F$9398</f>
        <v>29.249999</v>
      </c>
      <c r="H9398" s="39" t="n">
        <v>0</v>
      </c>
      <c r="I9398" s="39" t="n">
        <v>0</v>
      </c>
      <c r="J9398" s="39" t="n">
        <v>0</v>
      </c>
      <c r="K9398" s="39" t="n">
        <v>0</v>
      </c>
      <c r="L9398" s="39" t="n">
        <v>0</v>
      </c>
      <c r="M9398" s="39" t="n">
        <v>0</v>
      </c>
    </row>
    <row r="9399" customFormat="false" ht="17.15" hidden="false" customHeight="false" outlineLevel="0" collapsed="false">
      <c r="A9399" s="5" t="s">
        <v>795</v>
      </c>
      <c r="B9399" s="0" t="s">
        <v>86</v>
      </c>
      <c r="F9399" s="38" t="n">
        <f aca="false">cash_q2</f>
        <v>122.988</v>
      </c>
      <c r="G9399" s="38" t="n">
        <f aca="false">cash_q2</f>
        <v>122.988</v>
      </c>
      <c r="H9399" s="38" t="n">
        <f aca="false">Sens!$G$9402</f>
        <v>90.2545859883928</v>
      </c>
      <c r="I9399" s="38" t="n">
        <f aca="false">Sens!$H$9402</f>
        <v>50</v>
      </c>
      <c r="J9399" s="38" t="n">
        <f aca="false">Sens!$I$9402</f>
        <v>50</v>
      </c>
      <c r="K9399" s="38" t="n">
        <f aca="false">Sens!$J$9402</f>
        <v>74.7544906752831</v>
      </c>
      <c r="L9399" s="38" t="n">
        <f aca="false">Sens!$K$9402</f>
        <v>193.516667276821</v>
      </c>
      <c r="M9399" s="38" t="n">
        <f aca="false">Sens!$L$9402</f>
        <v>368.513699160038</v>
      </c>
    </row>
    <row r="9400" customFormat="false" ht="15" hidden="false" customHeight="false" outlineLevel="0" collapsed="false">
      <c r="A9400" s="5" t="s">
        <v>796</v>
      </c>
      <c r="B9400" s="0" t="s">
        <v>86</v>
      </c>
      <c r="F9400" s="38" t="n">
        <f aca="false">Sens!$F$9399+Sens!$F$9396-Sens!$F$9395-Sens!$F$9397+Sens!$F$9398</f>
        <v>90.2545859883928</v>
      </c>
      <c r="H9400" s="38" t="n">
        <f aca="false">Sens!$H$9399+Sens!$H$9396-Sens!$H$9395-Sens!$H$9397+Sens!$H$9398</f>
        <v>36.2617213448915</v>
      </c>
      <c r="I9400" s="38" t="n">
        <f aca="false">Sens!$I$9399+Sens!$I$9396-Sens!$I$9395-Sens!$I$9397+Sens!$I$9398</f>
        <v>34.4548651921577</v>
      </c>
      <c r="J9400" s="38" t="n">
        <f aca="false">Sens!$J$9399+Sens!$J$9396-Sens!$J$9395-Sens!$J$9397+Sens!$J$9398</f>
        <v>74.7544906752831</v>
      </c>
      <c r="K9400" s="38" t="n">
        <f aca="false">Sens!$K$9399+Sens!$K$9396-Sens!$K$9395-Sens!$K$9397+Sens!$K$9398</f>
        <v>193.516667276821</v>
      </c>
      <c r="L9400" s="38" t="n">
        <f aca="false">Sens!$L$9399+Sens!$L$9396-Sens!$L$9395-Sens!$L$9397+Sens!$L$9398</f>
        <v>368.513699160038</v>
      </c>
      <c r="M9400" s="38" t="n">
        <f aca="false">Sens!$M$9399+Sens!$M$9396-Sens!$M$9395-Sens!$M$9397+Sens!$M$9398</f>
        <v>570.469721852563</v>
      </c>
    </row>
    <row r="9401" customFormat="false" ht="17.15" hidden="false" customHeight="false" outlineLevel="0" collapsed="false">
      <c r="A9401" s="5" t="s">
        <v>797</v>
      </c>
      <c r="B9401" s="0" t="s">
        <v>86</v>
      </c>
      <c r="F9401" s="38" t="n">
        <f aca="false">MAX(0,min_cash-Sens!$F$9400)</f>
        <v>0</v>
      </c>
      <c r="G9401" s="38" t="n">
        <f aca="false">Sens!$F$9401</f>
        <v>0</v>
      </c>
      <c r="H9401" s="38" t="n">
        <f aca="false">MAX(0,min_cash-Sens!$H$9400)</f>
        <v>13.7382786551085</v>
      </c>
      <c r="I9401" s="38" t="n">
        <f aca="false">MAX(0,min_cash-Sens!$I$9400)</f>
        <v>15.5451348078424</v>
      </c>
      <c r="J9401" s="38" t="n">
        <f aca="false">MAX(0,min_cash-Sens!$J$9400)</f>
        <v>0</v>
      </c>
      <c r="K9401" s="38" t="n">
        <f aca="false">MAX(0,min_cash-Sens!$K$9400)</f>
        <v>0</v>
      </c>
      <c r="L9401" s="38" t="n">
        <f aca="false">MAX(0,min_cash-Sens!$L$9400)</f>
        <v>0</v>
      </c>
      <c r="M9401" s="38" t="n">
        <f aca="false">MAX(0,min_cash-Sens!$M$9400)</f>
        <v>0</v>
      </c>
      <c r="P9401" s="5" t="s">
        <v>798</v>
      </c>
    </row>
    <row r="9402" customFormat="false" ht="15" hidden="false" customHeight="false" outlineLevel="0" collapsed="false">
      <c r="A9402" s="5" t="s">
        <v>799</v>
      </c>
      <c r="B9402" s="0" t="s">
        <v>86</v>
      </c>
      <c r="D9402" s="38" t="n">
        <f aca="false">Q!$E$61</f>
        <v>123.029</v>
      </c>
      <c r="E9402" s="38" t="n">
        <f aca="false">Q!$M$61</f>
        <v>122.988</v>
      </c>
      <c r="F9402" s="38" t="n">
        <f aca="false">Sens!$F$9400+Sens!$F$9401</f>
        <v>90.2545859883928</v>
      </c>
      <c r="G9402" s="38" t="n">
        <f aca="false">Sens!$F$9402</f>
        <v>90.2545859883928</v>
      </c>
      <c r="H9402" s="38" t="n">
        <f aca="false">Sens!$H$9400+Sens!$H$9401</f>
        <v>50</v>
      </c>
      <c r="I9402" s="38" t="n">
        <f aca="false">Sens!$I$9400+Sens!$I$9401</f>
        <v>50</v>
      </c>
      <c r="J9402" s="38" t="n">
        <f aca="false">Sens!$J$9400+Sens!$J$9401</f>
        <v>74.7544906752831</v>
      </c>
      <c r="K9402" s="38" t="n">
        <f aca="false">Sens!$K$9400+Sens!$K$9401</f>
        <v>193.516667276821</v>
      </c>
      <c r="L9402" s="38" t="n">
        <f aca="false">Sens!$L$9400+Sens!$L$9401</f>
        <v>368.513699160038</v>
      </c>
      <c r="M9402" s="38" t="n">
        <f aca="false">Sens!$M$9400+Sens!$M$9401</f>
        <v>570.469721852563</v>
      </c>
    </row>
    <row r="9403" customFormat="false" ht="15" hidden="false" customHeight="false" outlineLevel="0" collapsed="false">
      <c r="A9403" s="5" t="s">
        <v>800</v>
      </c>
      <c r="B9403" s="0" t="s">
        <v>86</v>
      </c>
      <c r="D9403" s="38" t="n">
        <f aca="false">Q!$E$62</f>
        <v>68.836</v>
      </c>
      <c r="E9403" s="38" t="n">
        <f aca="false">Q!$M$62</f>
        <v>132.995</v>
      </c>
      <c r="F9403" s="38" t="n">
        <f aca="false">debt_q2+Sens!$F$9398+Sens!$F$9401</f>
        <v>162.244999</v>
      </c>
      <c r="G9403" s="38" t="n">
        <f aca="false">Sens!$F$9403</f>
        <v>162.244999</v>
      </c>
      <c r="H9403" s="38" t="n">
        <f aca="false">Sens!$G$9403+Sens!$H$9401</f>
        <v>175.983277655109</v>
      </c>
      <c r="I9403" s="38" t="n">
        <f aca="false">Sens!$H$9403+Sens!$I$9401</f>
        <v>191.528412462951</v>
      </c>
      <c r="J9403" s="38" t="n">
        <f aca="false">Sens!$I$9403+Sens!$J$9401</f>
        <v>191.528412462951</v>
      </c>
      <c r="K9403" s="38" t="n">
        <f aca="false">Sens!$J$9403+Sens!$K$9401</f>
        <v>191.528412462951</v>
      </c>
      <c r="L9403" s="38" t="n">
        <f aca="false">Sens!$K$9403+Sens!$L$9401</f>
        <v>191.528412462951</v>
      </c>
      <c r="M9403" s="38" t="n">
        <f aca="false">Sens!$L$9403+Sens!$M$9401</f>
        <v>191.528412462951</v>
      </c>
    </row>
    <row r="9404" customFormat="false" ht="15" hidden="false" customHeight="false" outlineLevel="0" collapsed="false">
      <c r="A9404" s="5" t="s">
        <v>801</v>
      </c>
      <c r="B9404" s="0" t="s">
        <v>86</v>
      </c>
      <c r="D9404" s="38" t="n">
        <f aca="false">Sens!$D$9403-Sens!$D$9402</f>
        <v>-54.193</v>
      </c>
      <c r="E9404" s="38" t="n">
        <f aca="false">Sens!$E$9403-Sens!$E$9402</f>
        <v>10.007</v>
      </c>
      <c r="F9404" s="38" t="n">
        <f aca="false">Sens!$F$9403-Sens!$F$9402</f>
        <v>71.9904130116072</v>
      </c>
      <c r="G9404" s="38" t="n">
        <f aca="false">Sens!$G$9403-Sens!$G$9402</f>
        <v>71.9904130116072</v>
      </c>
      <c r="H9404" s="38" t="n">
        <f aca="false">Sens!$H$9403-Sens!$H$9402</f>
        <v>125.983277655109</v>
      </c>
      <c r="I9404" s="38" t="n">
        <f aca="false">Sens!$I$9403-Sens!$I$9402</f>
        <v>141.528412462951</v>
      </c>
      <c r="J9404" s="38" t="n">
        <f aca="false">Sens!$J$9403-Sens!$J$9402</f>
        <v>116.773921787668</v>
      </c>
      <c r="K9404" s="38" t="n">
        <f aca="false">Sens!$K$9403-Sens!$K$9402</f>
        <v>-1.98825481387041</v>
      </c>
      <c r="L9404" s="38" t="n">
        <f aca="false">Sens!$L$9403-Sens!$L$9402</f>
        <v>-176.985286697087</v>
      </c>
      <c r="M9404" s="38" t="n">
        <f aca="false">Sens!$M$9403-Sens!$M$9402</f>
        <v>-378.941309389612</v>
      </c>
    </row>
    <row r="9405" customFormat="false" ht="17.15" hidden="false" customHeight="false" outlineLevel="0" collapsed="false">
      <c r="A9405" s="5" t="s">
        <v>802</v>
      </c>
      <c r="B9405" s="0" t="s">
        <v>86</v>
      </c>
      <c r="F9405" s="38" t="n">
        <f aca="false">debt_q2*kd_book*0.5+iss_2h26*kd_new*iss_t</f>
        <v>3.24888962733561</v>
      </c>
      <c r="H9405" s="38" t="n">
        <f aca="false">debt_q2*kd_book+(Sens!$G$9403-debt_q2)*kd_new</f>
        <v>7.42354172302123</v>
      </c>
      <c r="I9405" s="38" t="n">
        <f aca="false">debt_q2*kd_book+(Sens!$H$9403-debt_q2)*kd_new</f>
        <v>8.2931747618896</v>
      </c>
      <c r="J9405" s="38" t="n">
        <f aca="false">debt_q2*kd_book+(Sens!$I$9403-debt_q2)*kd_new</f>
        <v>9.27718179522602</v>
      </c>
      <c r="K9405" s="38" t="n">
        <f aca="false">debt_q2*kd_book+(Sens!$J$9403-debt_q2)*kd_new</f>
        <v>9.27718179522602</v>
      </c>
      <c r="L9405" s="38" t="n">
        <f aca="false">debt_q2*kd_book+(Sens!$K$9403-debt_q2)*kd_new</f>
        <v>9.27718179522602</v>
      </c>
      <c r="M9405" s="38" t="n">
        <f aca="false">debt_q2*kd_book+(Sens!$L$9403-debt_q2)*kd_new</f>
        <v>9.27718179522602</v>
      </c>
    </row>
    <row r="9406" customFormat="false" ht="17.15" hidden="false" customHeight="false" outlineLevel="0" collapsed="false">
      <c r="A9406" s="5" t="s">
        <v>803</v>
      </c>
      <c r="B9406" s="0" t="s">
        <v>86</v>
      </c>
      <c r="F9406" s="38" t="n">
        <f aca="false">cash_q2*y_cash*0.5</f>
        <v>2.59</v>
      </c>
      <c r="H9406" s="38" t="n">
        <f aca="false">Sens!$G$9402*y_cash</f>
        <v>3.80133635330174</v>
      </c>
      <c r="I9406" s="38" t="n">
        <f aca="false">Sens!$H$9402*y_cash</f>
        <v>2.10589651022864</v>
      </c>
      <c r="J9406" s="38" t="n">
        <f aca="false">Sens!$I$9402*y_cash</f>
        <v>2.10589651022864</v>
      </c>
      <c r="K9406" s="38" t="n">
        <f aca="false">Sens!$J$9402*y_cash</f>
        <v>3.14850442073996</v>
      </c>
      <c r="L9406" s="38" t="n">
        <f aca="false">Sens!$K$9402*y_cash</f>
        <v>8.1505214857867</v>
      </c>
      <c r="M9406" s="38" t="n">
        <f aca="false">Sens!$L$9402*y_cash</f>
        <v>15.5210342606514</v>
      </c>
    </row>
    <row r="9407" customFormat="false" ht="17.15" hidden="false" customHeight="false" outlineLevel="0" collapsed="false">
      <c r="A9407" s="47" t="s">
        <v>804</v>
      </c>
      <c r="B9407" s="14" t="s">
        <v>86</v>
      </c>
      <c r="C9407" s="14"/>
      <c r="D9407" s="14"/>
      <c r="E9407" s="14"/>
      <c r="F9407" s="14"/>
      <c r="G9407" s="48" t="n">
        <f aca="false">SUM(Sens!$G$9396:$K$9396)</f>
        <v>7.60425481387041</v>
      </c>
      <c r="H9407" s="14"/>
      <c r="I9407" s="14"/>
      <c r="J9407" s="14"/>
      <c r="K9407" s="14"/>
      <c r="L9407" s="14"/>
      <c r="M9407" s="14"/>
      <c r="N9407" s="14"/>
      <c r="O9407" s="14"/>
    </row>
    <row r="9408" customFormat="false" ht="17.15" hidden="false" customHeight="false" outlineLevel="0" collapsed="false">
      <c r="A9408" s="0" t="s">
        <v>770</v>
      </c>
      <c r="B9408" s="0" t="s">
        <v>86</v>
      </c>
      <c r="G9408" s="38" t="n">
        <f aca="false">SUM(Sens!$G$9401:$K$9401)</f>
        <v>29.2834134629509</v>
      </c>
    </row>
    <row r="9409" customFormat="false" ht="17.15" hidden="false" customHeight="false" outlineLevel="0" collapsed="false">
      <c r="A9409" s="24" t="s">
        <v>807</v>
      </c>
      <c r="B9409" s="25" t="s">
        <v>86</v>
      </c>
      <c r="C9409" s="25"/>
      <c r="D9409" s="25"/>
      <c r="E9409" s="25"/>
      <c r="F9409" s="25"/>
      <c r="G9409" s="41" t="n">
        <f aca="false">Sens!$G$9407-(Sens!$G$9396+Sens!$H$9396+Sens!$I$9396+Sens!$J$9396+Sens!$K$9396)</f>
        <v>0</v>
      </c>
      <c r="H9409" s="25"/>
      <c r="I9409" s="25"/>
      <c r="J9409" s="25"/>
      <c r="K9409" s="25"/>
      <c r="L9409" s="25"/>
      <c r="M9409" s="25"/>
      <c r="N9409" s="25"/>
      <c r="O9409" s="25"/>
    </row>
    <row r="9412" customFormat="false" ht="19.4" hidden="false" customHeight="false" outlineLevel="0" collapsed="false">
      <c r="A9412" s="31" t="s">
        <v>1321</v>
      </c>
    </row>
    <row r="9413" customFormat="false" ht="17.15" hidden="false" customHeight="false" outlineLevel="0" collapsed="false">
      <c r="A9413" s="6" t="s">
        <v>16</v>
      </c>
      <c r="B9413" s="6" t="s">
        <v>17</v>
      </c>
      <c r="C9413" s="20" t="s">
        <v>494</v>
      </c>
      <c r="D9413" s="20" t="s">
        <v>495</v>
      </c>
      <c r="E9413" s="20" t="s">
        <v>577</v>
      </c>
      <c r="F9413" s="20" t="s">
        <v>578</v>
      </c>
      <c r="G9413" s="20" t="s">
        <v>579</v>
      </c>
      <c r="H9413" s="20" t="s">
        <v>580</v>
      </c>
      <c r="I9413" s="20" t="s">
        <v>581</v>
      </c>
      <c r="J9413" s="20" t="s">
        <v>582</v>
      </c>
      <c r="K9413" s="20" t="s">
        <v>583</v>
      </c>
      <c r="L9413" s="20" t="s">
        <v>584</v>
      </c>
      <c r="M9413" s="20" t="s">
        <v>585</v>
      </c>
      <c r="N9413" s="20" t="s">
        <v>586</v>
      </c>
      <c r="O9413" s="20" t="s">
        <v>587</v>
      </c>
      <c r="P9413" s="6" t="s">
        <v>23</v>
      </c>
      <c r="R9413" s="20" t="n">
        <v>2023</v>
      </c>
      <c r="S9413" s="20" t="n">
        <v>2024</v>
      </c>
      <c r="T9413" s="20" t="n">
        <v>2025</v>
      </c>
      <c r="U9413" s="20" t="n">
        <v>2026</v>
      </c>
      <c r="V9413" s="20" t="n">
        <v>2027</v>
      </c>
      <c r="W9413" s="20" t="n">
        <v>2028</v>
      </c>
      <c r="X9413" s="20" t="n">
        <v>2029</v>
      </c>
      <c r="Y9413" s="20" t="n">
        <v>2030</v>
      </c>
      <c r="Z9413" s="20" t="n">
        <v>2031</v>
      </c>
      <c r="AA9413" s="20" t="n">
        <v>2032</v>
      </c>
    </row>
    <row r="9414" customFormat="false" ht="17.15" hidden="false" customHeight="false" outlineLevel="0" collapsed="false">
      <c r="A9414" s="1" t="s">
        <v>909</v>
      </c>
    </row>
    <row r="9415" customFormat="false" ht="17.15" hidden="false" customHeight="false" outlineLevel="0" collapsed="false">
      <c r="A9415" s="0" t="s">
        <v>910</v>
      </c>
      <c r="B9415" s="0" t="s">
        <v>86</v>
      </c>
      <c r="H9415" s="38" t="n">
        <f aca="false">Sens!$H$9349*(1-tax)</f>
        <v>117.433243423729</v>
      </c>
      <c r="I9415" s="38" t="n">
        <f aca="false">Sens!$I$9349*(1-tax)</f>
        <v>142.829109667048</v>
      </c>
      <c r="J9415" s="38" t="n">
        <f aca="false">Sens!$J$9349*(1-tax)</f>
        <v>166.999275189185</v>
      </c>
      <c r="K9415" s="38" t="n">
        <f aca="false">Sens!$K$9349*(1-tax)</f>
        <v>184.486324065858</v>
      </c>
      <c r="L9415" s="38" t="n">
        <f aca="false">Sens!$L$9349*(1-tax)</f>
        <v>200.372924021423</v>
      </c>
      <c r="M9415" s="38" t="n">
        <f aca="false">Sens!$M$9349*(1-tax)</f>
        <v>213.745944137255</v>
      </c>
    </row>
    <row r="9416" customFormat="false" ht="15" hidden="false" customHeight="false" outlineLevel="0" collapsed="false">
      <c r="A9416" s="5" t="s">
        <v>911</v>
      </c>
      <c r="B9416" s="0" t="s">
        <v>86</v>
      </c>
      <c r="H9416" s="38" t="n">
        <f aca="false">Sens!$H$9360</f>
        <v>84.3163410985152</v>
      </c>
      <c r="I9416" s="38" t="n">
        <f aca="false">Sens!$I$9360</f>
        <v>117.040344991004</v>
      </c>
      <c r="J9416" s="38" t="n">
        <f aca="false">Sens!$J$9360</f>
        <v>150.498981474685</v>
      </c>
      <c r="K9416" s="38" t="n">
        <f aca="false">Sens!$K$9360</f>
        <v>184.188121970284</v>
      </c>
      <c r="L9416" s="38" t="n">
        <f aca="false">Sens!$L$9360</f>
        <v>208.158787644162</v>
      </c>
      <c r="M9416" s="38" t="n">
        <f aca="false">Sens!$M$9360</f>
        <v>225.174143397813</v>
      </c>
    </row>
    <row r="9417" customFormat="false" ht="15" hidden="false" customHeight="false" outlineLevel="0" collapsed="false">
      <c r="A9417" s="5" t="s">
        <v>912</v>
      </c>
      <c r="B9417" s="0" t="s">
        <v>86</v>
      </c>
      <c r="H9417" s="38" t="n">
        <f aca="false">Sens!$H$9391</f>
        <v>273.372679834898</v>
      </c>
      <c r="I9417" s="38" t="n">
        <f aca="false">Sens!$I$9391</f>
        <v>286.981812228425</v>
      </c>
      <c r="J9417" s="38" t="n">
        <f aca="false">Sens!$J$9391</f>
        <v>299.316513378366</v>
      </c>
      <c r="K9417" s="38" t="n">
        <f aca="false">Sens!$K$9391</f>
        <v>253.835101823915</v>
      </c>
      <c r="L9417" s="38" t="n">
        <f aca="false">Sens!$L$9391</f>
        <v>240.252243483641</v>
      </c>
      <c r="M9417" s="38" t="n">
        <f aca="false">Sens!$M$9391</f>
        <v>250.62556497822</v>
      </c>
    </row>
    <row r="9418" customFormat="false" ht="15" hidden="false" customHeight="false" outlineLevel="0" collapsed="false">
      <c r="A9418" s="5" t="s">
        <v>913</v>
      </c>
      <c r="B9418" s="0" t="s">
        <v>86</v>
      </c>
      <c r="H9418" s="38" t="n">
        <f aca="false">Sens!$H$9392</f>
        <v>1.6</v>
      </c>
      <c r="I9418" s="38" t="n">
        <f aca="false">Sens!$I$9392</f>
        <v>1.6</v>
      </c>
      <c r="J9418" s="38" t="n">
        <f aca="false">Sens!$J$9392</f>
        <v>1.6</v>
      </c>
      <c r="K9418" s="38" t="n">
        <f aca="false">Sens!$K$9392</f>
        <v>1.6</v>
      </c>
      <c r="L9418" s="38" t="n">
        <f aca="false">Sens!$L$9392</f>
        <v>1.6</v>
      </c>
      <c r="M9418" s="38" t="n">
        <f aca="false">Sens!$M$9392</f>
        <v>1.6</v>
      </c>
    </row>
    <row r="9419" customFormat="false" ht="15" hidden="false" customHeight="false" outlineLevel="0" collapsed="false">
      <c r="A9419" s="5" t="s">
        <v>914</v>
      </c>
      <c r="B9419" s="0" t="s">
        <v>86</v>
      </c>
      <c r="H9419" s="38" t="n">
        <f aca="false">Sens!$H$9386</f>
        <v>11.2928295263397</v>
      </c>
      <c r="I9419" s="38" t="n">
        <f aca="false">Sens!$I$9386</f>
        <v>12.8091546115766</v>
      </c>
      <c r="J9419" s="38" t="n">
        <f aca="false">Sens!$J$9386</f>
        <v>14.2605653162668</v>
      </c>
      <c r="K9419" s="38" t="n">
        <f aca="false">Sens!$K$9386</f>
        <v>15.5361896109386</v>
      </c>
      <c r="L9419" s="38" t="n">
        <f aca="false">Sens!$L$9386</f>
        <v>16.7342012989106</v>
      </c>
      <c r="M9419" s="38" t="n">
        <f aca="false">Sens!$M$9386</f>
        <v>17.8589265647579</v>
      </c>
    </row>
    <row r="9420" customFormat="false" ht="17.15" hidden="false" customHeight="false" outlineLevel="0" collapsed="false">
      <c r="A9420" s="1" t="s">
        <v>915</v>
      </c>
      <c r="B9420" s="8" t="s">
        <v>86</v>
      </c>
      <c r="H9420" s="38" t="n">
        <f aca="false">Sens!$H$9415+Sens!$H$9416-Sens!$H$9417-Sens!$H$9418+Sens!$H$9419</f>
        <v>-61.930265786314</v>
      </c>
      <c r="I9420" s="38" t="n">
        <f aca="false">Sens!$I$9415+Sens!$I$9416-Sens!$I$9417-Sens!$I$9418+Sens!$I$9419</f>
        <v>-15.9032029587969</v>
      </c>
      <c r="J9420" s="38" t="n">
        <f aca="false">Sens!$J$9415+Sens!$J$9416-Sens!$J$9417-Sens!$J$9418+Sens!$J$9419</f>
        <v>30.8423086017711</v>
      </c>
      <c r="K9420" s="38" t="n">
        <f aca="false">Sens!$K$9415+Sens!$K$9416-Sens!$K$9417-Sens!$K$9418+Sens!$K$9419</f>
        <v>128.775533823166</v>
      </c>
      <c r="L9420" s="38" t="n">
        <f aca="false">Sens!$L$9415+Sens!$L$9416-Sens!$L$9417-Sens!$L$9418+Sens!$L$9419</f>
        <v>183.413669480855</v>
      </c>
      <c r="M9420" s="38" t="n">
        <f aca="false">Sens!$M$9415+Sens!$M$9416-Sens!$M$9417-Sens!$M$9418+Sens!$M$9419</f>
        <v>204.553449121607</v>
      </c>
    </row>
    <row r="9421" customFormat="false" ht="15" hidden="false" customHeight="false" outlineLevel="0" collapsed="false">
      <c r="A9421" s="5" t="s">
        <v>916</v>
      </c>
      <c r="B9421" s="0" t="s">
        <v>57</v>
      </c>
      <c r="H9421" s="40" t="n">
        <f aca="false">1/(1+wacc)^(2027-2026-0.5)</f>
        <v>0.947751320380232</v>
      </c>
      <c r="I9421" s="40" t="n">
        <f aca="false">1/(1+wacc)^(2028-2026-0.5)</f>
        <v>0.851301099754987</v>
      </c>
      <c r="J9421" s="40" t="n">
        <f aca="false">1/(1+wacc)^(2029-2026-0.5)</f>
        <v>0.764666370660713</v>
      </c>
      <c r="K9421" s="40" t="n">
        <f aca="false">1/(1+wacc)^(2030-2026-0.5)</f>
        <v>0.686848235703811</v>
      </c>
      <c r="L9421" s="40" t="n">
        <f aca="false">1/(1+wacc)^(2031-2026-0.5)</f>
        <v>0.616949452715975</v>
      </c>
      <c r="M9421" s="40" t="n">
        <f aca="false">1/(1+wacc)^(2032-2026-0.5)</f>
        <v>0.554164089562688</v>
      </c>
    </row>
    <row r="9422" customFormat="false" ht="15" hidden="false" customHeight="false" outlineLevel="0" collapsed="false">
      <c r="A9422" s="5" t="s">
        <v>917</v>
      </c>
      <c r="B9422" s="0" t="s">
        <v>86</v>
      </c>
      <c r="H9422" s="38" t="n">
        <f aca="false">Sens!$H$9420*Sens!$H$9421</f>
        <v>-58.6944911704778</v>
      </c>
      <c r="I9422" s="38" t="n">
        <f aca="false">Sens!$I$9420*Sens!$I$9421</f>
        <v>-13.5384141684505</v>
      </c>
      <c r="J9422" s="38" t="n">
        <f aca="false">Sens!$J$9420*Sens!$J$9421</f>
        <v>23.584076181314</v>
      </c>
      <c r="K9422" s="38" t="n">
        <f aca="false">Sens!$K$9420*Sens!$K$9421</f>
        <v>88.4492482082578</v>
      </c>
      <c r="L9422" s="38" t="n">
        <f aca="false">Sens!$L$9420*Sens!$L$9421</f>
        <v>113.156963006842</v>
      </c>
      <c r="M9422" s="38" t="n">
        <f aca="false">Sens!$M$9420*Sens!$M$9421</f>
        <v>113.356175899383</v>
      </c>
    </row>
    <row r="9423" customFormat="false" ht="15" hidden="false" customHeight="false" outlineLevel="0" collapsed="false">
      <c r="A9423" s="5" t="s">
        <v>918</v>
      </c>
      <c r="B9423" s="0" t="s">
        <v>86</v>
      </c>
      <c r="C9423" s="38" t="n">
        <f aca="false">SUM(Sens!$H$9422:$M$9422)</f>
        <v>266.313557956868</v>
      </c>
    </row>
    <row r="9424" customFormat="false" ht="17.15" hidden="false" customHeight="false" outlineLevel="0" collapsed="false">
      <c r="A9424" s="5" t="s">
        <v>919</v>
      </c>
      <c r="B9424" s="0" t="s">
        <v>86</v>
      </c>
      <c r="C9424" s="38" t="n">
        <f aca="false">Sens!$M$9415*(1+tg_hi)*(1-tg_hi/ronic)/(wacc-tg_hi)</f>
        <v>1962.05506195773</v>
      </c>
    </row>
    <row r="9425" customFormat="false" ht="15" hidden="false" customHeight="false" outlineLevel="0" collapsed="false">
      <c r="A9425" s="5" t="s">
        <v>920</v>
      </c>
      <c r="B9425" s="0" t="s">
        <v>86</v>
      </c>
      <c r="C9425" s="38" t="n">
        <f aca="false">Sens!$C$9424/(1+wacc)^6</f>
        <v>1030.49044384918</v>
      </c>
    </row>
    <row r="9426" customFormat="false" ht="17.15" hidden="false" customHeight="false" outlineLevel="0" collapsed="false">
      <c r="A9426" s="5" t="s">
        <v>921</v>
      </c>
      <c r="B9426" s="0" t="s">
        <v>86</v>
      </c>
      <c r="C9426" s="38" t="n">
        <f aca="false">Sens!$C$9423+Sens!$C$9425</f>
        <v>1296.80400180605</v>
      </c>
    </row>
    <row r="9427" customFormat="false" ht="17.15" hidden="false" customHeight="false" outlineLevel="0" collapsed="false">
      <c r="A9427" s="5" t="s">
        <v>922</v>
      </c>
      <c r="B9427" s="0" t="s">
        <v>52</v>
      </c>
      <c r="C9427" s="13" t="n">
        <f aca="false">Sens!$C$9425/Sens!$C$9426</f>
        <v>0.794638544000501</v>
      </c>
    </row>
    <row r="9428" customFormat="false" ht="17.15" hidden="false" customHeight="false" outlineLevel="0" collapsed="false">
      <c r="A9428" s="5" t="s">
        <v>923</v>
      </c>
      <c r="B9428" s="0" t="s">
        <v>86</v>
      </c>
      <c r="C9428" s="38" t="n">
        <f aca="false">Sens!$G$9404+fin_debt</f>
        <v>96.5114130116072</v>
      </c>
    </row>
    <row r="9429" customFormat="false" ht="17.15" hidden="false" customHeight="false" outlineLevel="0" collapsed="false">
      <c r="A9429" s="5" t="s">
        <v>924</v>
      </c>
      <c r="B9429" s="0" t="s">
        <v>86</v>
      </c>
      <c r="C9429" s="38" t="n">
        <f aca="false">(ant_val*ant_sh+oai_val*oai_sh)*(1-liq_disc)</f>
        <v>178.944</v>
      </c>
    </row>
    <row r="9430" customFormat="false" ht="15" hidden="false" customHeight="false" outlineLevel="0" collapsed="false">
      <c r="A9430" s="5" t="s">
        <v>925</v>
      </c>
      <c r="B9430" s="0" t="s">
        <v>86</v>
      </c>
      <c r="C9430" s="38" t="n">
        <f aca="false">Sens!$C$9426-Sens!$C$9428+Sens!$C$9429</f>
        <v>1379.23658879445</v>
      </c>
    </row>
    <row r="9431" customFormat="false" ht="17.15" hidden="false" customHeight="false" outlineLevel="0" collapsed="false">
      <c r="A9431" s="5" t="s">
        <v>926</v>
      </c>
      <c r="B9431" s="0" t="s">
        <v>27</v>
      </c>
      <c r="C9431" s="30" t="n">
        <f aca="false">Sens!$C$9430/sh_out</f>
        <v>127.869130158314</v>
      </c>
    </row>
    <row r="9432" customFormat="false" ht="17.15" hidden="false" customHeight="false" outlineLevel="0" collapsed="false">
      <c r="A9432" s="1" t="s">
        <v>927</v>
      </c>
      <c r="B9432" s="8" t="s">
        <v>27</v>
      </c>
      <c r="C9432" s="30" t="n">
        <f aca="false">Sens!$C$9431*(1+ke)^tp_yf-dps*tp_yf</f>
        <v>140.063861601228</v>
      </c>
    </row>
    <row r="9433" customFormat="false" ht="17.15" hidden="false" customHeight="false" outlineLevel="0" collapsed="false">
      <c r="A9433" s="3" t="s">
        <v>928</v>
      </c>
    </row>
    <row r="9434" customFormat="false" ht="17.15" hidden="false" customHeight="false" outlineLevel="0" collapsed="false">
      <c r="A9434" s="5" t="s">
        <v>929</v>
      </c>
      <c r="B9434" s="0" t="s">
        <v>86</v>
      </c>
      <c r="C9434" s="38" t="n">
        <f aca="false">(1-tp_yf)*(Sens!$H$9361+Sens!$H$9385*Sens!$H$9227/Sens!$H$9302)+tp_yf*(Sens!$I$9361+Sens!$I$9385*Sens!$I$9227/Sens!$I$9302)</f>
        <v>59.634664536349</v>
      </c>
    </row>
    <row r="9435" customFormat="false" ht="15" hidden="false" customHeight="false" outlineLevel="0" collapsed="false">
      <c r="A9435" s="5" t="s">
        <v>930</v>
      </c>
      <c r="B9435" s="0" t="s">
        <v>57</v>
      </c>
      <c r="C9435" s="30" t="n">
        <f aca="false">m_ads*m_x</f>
        <v>9.11</v>
      </c>
    </row>
    <row r="9436" customFormat="false" ht="17.15" hidden="false" customHeight="false" outlineLevel="0" collapsed="false">
      <c r="A9436" s="5" t="s">
        <v>931</v>
      </c>
      <c r="B9436" s="0" t="s">
        <v>86</v>
      </c>
      <c r="C9436" s="38" t="n">
        <f aca="false">Sens!$C$9434*Sens!$C$9435</f>
        <v>543.271793926139</v>
      </c>
    </row>
    <row r="9437" customFormat="false" ht="17.15" hidden="false" customHeight="false" outlineLevel="0" collapsed="false">
      <c r="A9437" s="5" t="s">
        <v>932</v>
      </c>
      <c r="B9437" s="0" t="s">
        <v>86</v>
      </c>
      <c r="C9437" s="38" t="n">
        <f aca="false">(1-tp_yf)*(Sens!$H$9362+Sens!$H$9385*(Sens!$H$9234-Sens!$H$9227)/Sens!$H$9302+IF(internal_ai_reading=2,1,0)*(1-ext_sh)*Sens!$H$9264)+tp_yf*(Sens!$I$9362+Sens!$I$9385*(Sens!$I$9234-Sens!$I$9227)/Sens!$I$9302+IF(internal_ai_reading=2,1,0)*(1-ext_sh)*Sens!$I$9264)</f>
        <v>51.7770728324773</v>
      </c>
    </row>
    <row r="9438" customFormat="false" ht="17.15" hidden="false" customHeight="false" outlineLevel="0" collapsed="false">
      <c r="A9438" s="5" t="s">
        <v>933</v>
      </c>
      <c r="B9438" s="0" t="s">
        <v>57</v>
      </c>
      <c r="C9438" s="30" t="n">
        <f aca="false">m_retail*m_x</f>
        <v>17.72</v>
      </c>
    </row>
    <row r="9439" customFormat="false" ht="17.15" hidden="false" customHeight="false" outlineLevel="0" collapsed="false">
      <c r="A9439" s="5" t="s">
        <v>934</v>
      </c>
      <c r="B9439" s="0" t="s">
        <v>86</v>
      </c>
      <c r="C9439" s="38" t="n">
        <f aca="false">Sens!$C$9437*Sens!$C$9438</f>
        <v>917.489730591498</v>
      </c>
    </row>
    <row r="9440" customFormat="false" ht="17.15" hidden="false" customHeight="false" outlineLevel="0" collapsed="false">
      <c r="A9440" s="0" t="s">
        <v>935</v>
      </c>
      <c r="B9440" s="0" t="s">
        <v>86</v>
      </c>
      <c r="C9440" s="38" t="n">
        <f aca="false">(1-tp_yf)*(Sens!$H$9363+Sens!$H$9385*Sens!$H$9300/Sens!$H$9302)+tp_yf*(Sens!$I$9363+Sens!$I$9385*Sens!$I$9300/Sens!$I$9302)</f>
        <v>97.3363031479074</v>
      </c>
    </row>
    <row r="9441" customFormat="false" ht="17.15" hidden="false" customHeight="false" outlineLevel="0" collapsed="false">
      <c r="A9441" s="0" t="s">
        <v>936</v>
      </c>
      <c r="B9441" s="0" t="s">
        <v>57</v>
      </c>
      <c r="C9441" s="30" t="n">
        <f aca="false">m_cloud*m_x</f>
        <v>13.82</v>
      </c>
    </row>
    <row r="9442" customFormat="false" ht="17.15" hidden="false" customHeight="false" outlineLevel="0" collapsed="false">
      <c r="A9442" s="0" t="s">
        <v>937</v>
      </c>
      <c r="B9442" s="0" t="s">
        <v>86</v>
      </c>
      <c r="C9442" s="38" t="n">
        <f aca="false">Sens!$C$9440*Sens!$C$9441</f>
        <v>1345.18770950408</v>
      </c>
    </row>
    <row r="9443" customFormat="false" ht="17.15" hidden="false" customHeight="false" outlineLevel="0" collapsed="false">
      <c r="A9443" s="0" t="s">
        <v>938</v>
      </c>
      <c r="B9443" s="0" t="s">
        <v>86</v>
      </c>
      <c r="H9443" s="38" t="n">
        <f aca="false">Sens!$H$9281-tax*Sens!$H$9282-ext_sh*Sens!$H$9271</f>
        <v>-114.686944664267</v>
      </c>
      <c r="I9443" s="38" t="n">
        <f aca="false">Sens!$I$9281-tax*Sens!$I$9282-ext_sh*Sens!$I$9271</f>
        <v>-88.3950641557111</v>
      </c>
      <c r="J9443" s="38" t="n">
        <f aca="false">Sens!$J$9281-tax*Sens!$J$9282-ext_sh*Sens!$J$9271</f>
        <v>-61.1526151740695</v>
      </c>
      <c r="K9443" s="38" t="n">
        <f aca="false">Sens!$K$9281-tax*Sens!$K$9282-ext_sh*Sens!$K$9271</f>
        <v>8.02481477859368</v>
      </c>
      <c r="L9443" s="38" t="n">
        <f aca="false">Sens!$L$9281-tax*Sens!$L$9282-ext_sh*Sens!$L$9271</f>
        <v>43.0206498796486</v>
      </c>
      <c r="M9443" s="38" t="n">
        <f aca="false">Sens!$M$9281-tax*Sens!$M$9282-ext_sh*Sens!$M$9271</f>
        <v>50.576907834189</v>
      </c>
    </row>
    <row r="9444" customFormat="false" ht="17.15" hidden="false" customHeight="false" outlineLevel="0" collapsed="false">
      <c r="A9444" s="5" t="s">
        <v>939</v>
      </c>
      <c r="B9444" s="0" t="s">
        <v>86</v>
      </c>
      <c r="H9444" s="38" t="n">
        <f aca="false">Sens!$H$9443*Sens!$H$9421</f>
        <v>-108.694703235934</v>
      </c>
      <c r="I9444" s="38" t="n">
        <f aca="false">Sens!$I$9443*Sens!$I$9421</f>
        <v>-75.2508153286695</v>
      </c>
      <c r="J9444" s="38" t="n">
        <f aca="false">Sens!$J$9443*Sens!$J$9421</f>
        <v>-46.761348301567</v>
      </c>
      <c r="K9444" s="38" t="n">
        <f aca="false">Sens!$K$9443*Sens!$K$9421</f>
        <v>5.51182987252694</v>
      </c>
      <c r="L9444" s="38" t="n">
        <f aca="false">Sens!$L$9443*Sens!$L$9421</f>
        <v>26.5415663987348</v>
      </c>
      <c r="M9444" s="38" t="n">
        <f aca="false">Sens!$M$9443*Sens!$M$9421</f>
        <v>28.0279060828293</v>
      </c>
    </row>
    <row r="9445" customFormat="false" ht="17.15" hidden="false" customHeight="false" outlineLevel="0" collapsed="false">
      <c r="A9445" s="5" t="s">
        <v>940</v>
      </c>
      <c r="B9445" s="0" t="s">
        <v>86</v>
      </c>
      <c r="C9445" s="38" t="n">
        <f aca="false">Sens!$M$9282*(1-tax)*(1+tg_hi)*(1-tg_hi/ronic)/(wacc-tg_hi)</f>
        <v>375.563068515301</v>
      </c>
    </row>
    <row r="9446" customFormat="false" ht="17.15" hidden="false" customHeight="false" outlineLevel="0" collapsed="false">
      <c r="A9446" s="0" t="s">
        <v>941</v>
      </c>
      <c r="B9446" s="0" t="s">
        <v>86</v>
      </c>
      <c r="C9446" s="38" t="n">
        <f aca="false">(SUM(Sens!$H$9444:$M$9444)+Sens!$C$9445/(1+wacc)^6)*(1+wacc)^tp_yf</f>
        <v>29.0790989512689</v>
      </c>
    </row>
    <row r="9447" customFormat="false" ht="17.15" hidden="false" customHeight="false" outlineLevel="0" collapsed="false">
      <c r="A9447" s="5" t="s">
        <v>942</v>
      </c>
      <c r="B9447" s="0" t="s">
        <v>86</v>
      </c>
      <c r="C9447" s="38" t="n">
        <f aca="false">(1-tp_yf)*(Sens!$H$9364)+tp_yf*(Sens!$I$9364)</f>
        <v>74.6707041238437</v>
      </c>
    </row>
    <row r="9448" customFormat="false" ht="17.15" hidden="false" customHeight="false" outlineLevel="0" collapsed="false">
      <c r="A9448" s="5" t="s">
        <v>943</v>
      </c>
      <c r="B9448" s="0" t="s">
        <v>86</v>
      </c>
      <c r="C9448" s="38" t="n">
        <f aca="false">Sens!$C$9447*m_ai</f>
        <v>448.024224743062</v>
      </c>
    </row>
    <row r="9449" customFormat="false" ht="17.15" hidden="false" customHeight="false" outlineLevel="0" collapsed="false">
      <c r="A9449" s="0" t="s">
        <v>944</v>
      </c>
      <c r="B9449" s="0" t="s">
        <v>86</v>
      </c>
      <c r="C9449" s="38" t="n">
        <f aca="false">IF(ai_leg=1,Sens!$C$9446,Sens!$C$9448)</f>
        <v>29.0790989512689</v>
      </c>
    </row>
    <row r="9450" customFormat="false" ht="17.15" hidden="false" customHeight="false" outlineLevel="0" collapsed="false">
      <c r="A9450" s="5" t="s">
        <v>945</v>
      </c>
      <c r="B9450" s="0" t="s">
        <v>86</v>
      </c>
      <c r="C9450" s="38" t="n">
        <f aca="false">Sens!$C$9436+Sens!$C$9439+Sens!$C$9442+Sens!$C$9449</f>
        <v>2835.02833297299</v>
      </c>
    </row>
    <row r="9451" customFormat="false" ht="17.15" hidden="false" customHeight="false" outlineLevel="0" collapsed="false">
      <c r="A9451" s="5" t="s">
        <v>946</v>
      </c>
      <c r="B9451" s="0" t="s">
        <v>86</v>
      </c>
      <c r="C9451" s="38" t="n">
        <f aca="false">Sens!$H$9404+fin_debt</f>
        <v>150.504277655109</v>
      </c>
    </row>
    <row r="9452" customFormat="false" ht="15" hidden="false" customHeight="false" outlineLevel="0" collapsed="false">
      <c r="A9452" s="5" t="s">
        <v>947</v>
      </c>
      <c r="B9452" s="0" t="s">
        <v>86</v>
      </c>
      <c r="C9452" s="38" t="n">
        <f aca="false">Sens!$C$9450-Sens!$C$9451+Sens!$C$9429</f>
        <v>2863.46805531788</v>
      </c>
    </row>
    <row r="9453" customFormat="false" ht="15" hidden="false" customHeight="false" outlineLevel="0" collapsed="false">
      <c r="A9453" s="3" t="s">
        <v>948</v>
      </c>
      <c r="B9453" s="8" t="s">
        <v>27</v>
      </c>
      <c r="C9453" s="30" t="n">
        <f aca="false">Sens!$C$9452/sh_val</f>
        <v>259.599867720708</v>
      </c>
    </row>
    <row r="9454" customFormat="false" ht="17.15" hidden="false" customHeight="false" outlineLevel="0" collapsed="false">
      <c r="A9454" s="47" t="s">
        <v>949</v>
      </c>
      <c r="B9454" s="14" t="s">
        <v>27</v>
      </c>
      <c r="C9454" s="44" t="n">
        <f aca="false">w_dcf*Sens!$C$9432+(1-w_dcf)*Sens!$C$9453</f>
        <v>199.831864660968</v>
      </c>
      <c r="D9454" s="14"/>
      <c r="E9454" s="14"/>
      <c r="F9454" s="14"/>
      <c r="G9454" s="14"/>
      <c r="H9454" s="14"/>
      <c r="I9454" s="14"/>
      <c r="J9454" s="14"/>
      <c r="K9454" s="14"/>
      <c r="L9454" s="14"/>
      <c r="M9454" s="14"/>
      <c r="N9454" s="14"/>
      <c r="O9454" s="14"/>
    </row>
    <row r="9455" customFormat="false" ht="17.15" hidden="false" customHeight="false" outlineLevel="0" collapsed="false">
      <c r="A9455" s="5" t="s">
        <v>950</v>
      </c>
      <c r="B9455" s="0" t="s">
        <v>27</v>
      </c>
      <c r="C9455" s="30" t="n">
        <f aca="false">v022_wdcf*Sens!$C$9432+(1-v022_wdcf)*Sens!$C$9453</f>
        <v>205.808664966942</v>
      </c>
    </row>
    <row r="9456" customFormat="false" ht="17.15" hidden="false" customHeight="false" outlineLevel="0" collapsed="false">
      <c r="A9456" s="5" t="s">
        <v>951</v>
      </c>
      <c r="B9456" s="0" t="s">
        <v>27</v>
      </c>
      <c r="C9456" s="30" t="n">
        <f aca="false">(Sens!$C$9452-Sens!$C$9449+Sens!$C$9448)/sh_val</f>
        <v>297.581118824874</v>
      </c>
    </row>
    <row r="9459" customFormat="false" ht="19.4" hidden="false" customHeight="false" outlineLevel="0" collapsed="false">
      <c r="A9459" s="31" t="s">
        <v>1322</v>
      </c>
    </row>
    <row r="9460" customFormat="false" ht="17.15" hidden="false" customHeight="false" outlineLevel="0" collapsed="false">
      <c r="A9460" s="6" t="s">
        <v>16</v>
      </c>
      <c r="B9460" s="6" t="s">
        <v>17</v>
      </c>
      <c r="C9460" s="20" t="s">
        <v>494</v>
      </c>
      <c r="D9460" s="20" t="s">
        <v>495</v>
      </c>
      <c r="E9460" s="20" t="s">
        <v>577</v>
      </c>
      <c r="F9460" s="20" t="s">
        <v>578</v>
      </c>
      <c r="G9460" s="20" t="s">
        <v>579</v>
      </c>
      <c r="H9460" s="20" t="s">
        <v>580</v>
      </c>
      <c r="I9460" s="20" t="s">
        <v>581</v>
      </c>
      <c r="J9460" s="20" t="s">
        <v>582</v>
      </c>
      <c r="K9460" s="20" t="s">
        <v>583</v>
      </c>
      <c r="L9460" s="20" t="s">
        <v>584</v>
      </c>
      <c r="M9460" s="20" t="s">
        <v>585</v>
      </c>
      <c r="N9460" s="20" t="s">
        <v>586</v>
      </c>
      <c r="O9460" s="20" t="s">
        <v>587</v>
      </c>
      <c r="P9460" s="6" t="s">
        <v>23</v>
      </c>
      <c r="R9460" s="20" t="n">
        <v>2023</v>
      </c>
      <c r="S9460" s="20" t="n">
        <v>2024</v>
      </c>
      <c r="T9460" s="20" t="n">
        <v>2025</v>
      </c>
      <c r="U9460" s="20" t="n">
        <v>2026</v>
      </c>
      <c r="V9460" s="20" t="n">
        <v>2027</v>
      </c>
      <c r="W9460" s="20" t="n">
        <v>2028</v>
      </c>
      <c r="X9460" s="20" t="n">
        <v>2029</v>
      </c>
      <c r="Y9460" s="20" t="n">
        <v>2030</v>
      </c>
      <c r="Z9460" s="20" t="n">
        <v>2031</v>
      </c>
      <c r="AA9460" s="20" t="n">
        <v>2032</v>
      </c>
    </row>
    <row r="9461" customFormat="false" ht="17.15" hidden="false" customHeight="false" outlineLevel="0" collapsed="false">
      <c r="A9461" s="1" t="s">
        <v>660</v>
      </c>
    </row>
    <row r="9462" customFormat="false" ht="17.15" hidden="false" customHeight="false" outlineLevel="0" collapsed="false">
      <c r="A9462" s="0" t="s">
        <v>516</v>
      </c>
      <c r="B9462" s="0" t="s">
        <v>86</v>
      </c>
      <c r="C9462" s="38" t="n">
        <f aca="false">Q!$D$10</f>
        <v>247.029</v>
      </c>
      <c r="D9462" s="38" t="n">
        <f aca="false">Q!$E$10</f>
        <v>269.287</v>
      </c>
      <c r="E9462" s="38" t="n">
        <f aca="false">Q!$P$10</f>
        <v>134.686</v>
      </c>
      <c r="F9462" s="38" t="n">
        <f aca="false">Sens!$O$9462*(1+Sens!$F$9463)*Sens!$F$9474</f>
        <v>158.293876822267</v>
      </c>
      <c r="G9462" s="38" t="n">
        <f aca="false">Sens!$E$9462+Sens!$F$9462</f>
        <v>292.979876822267</v>
      </c>
      <c r="H9462" s="38" t="n">
        <f aca="false">Sens!$G$9462*(1+Sens!$H$9463)</f>
        <v>318.184543087396</v>
      </c>
      <c r="I9462" s="38" t="n">
        <f aca="false">Sens!$H$9462*(1+Sens!$I$9463)</f>
        <v>341.736278761793</v>
      </c>
      <c r="J9462" s="38" t="n">
        <f aca="false">Sens!$I$9462*(1+Sens!$J$9463)</f>
        <v>362.927192787048</v>
      </c>
      <c r="K9462" s="38" t="n">
        <f aca="false">Sens!$J$9462*(1+Sens!$K$9463)</f>
        <v>381.0735524264</v>
      </c>
      <c r="L9462" s="38" t="n">
        <f aca="false">Sens!$K$9462*(1+Sens!$L$9463)</f>
        <v>400.12723004772</v>
      </c>
      <c r="M9462" s="38" t="n">
        <f aca="false">Sens!$L$9462*(1+Sens!$M$9463)</f>
        <v>420.133591550106</v>
      </c>
      <c r="N9462" s="38" t="n">
        <f aca="false">Q!$N$10</f>
        <v>118.892</v>
      </c>
      <c r="O9462" s="38" t="n">
        <f aca="false">Q!$O$10</f>
        <v>150.395</v>
      </c>
      <c r="P9462" s="8" t="s">
        <v>661</v>
      </c>
    </row>
    <row r="9463" customFormat="false" ht="17.15" hidden="false" customHeight="false" outlineLevel="0" collapsed="false">
      <c r="A9463" s="0" t="s">
        <v>662</v>
      </c>
      <c r="B9463" s="0" t="s">
        <v>52</v>
      </c>
      <c r="E9463" s="13" t="n">
        <f aca="false">Sens!$E$9462/Sens!$N$9462-1</f>
        <v>0.132843252699929</v>
      </c>
      <c r="F9463" s="13" t="n">
        <f aca="false">Sens!$O$9462/(Q!$F$10+Q!$G$10)-1</f>
        <v>0.0980382135842941</v>
      </c>
      <c r="G9463" s="13" t="n">
        <f aca="false">Sens!$G$9462/Sens!$D$9462-1</f>
        <v>0.0879837378791657</v>
      </c>
      <c r="H9463" s="13" t="n">
        <f aca="false">Sens!$F$9463+(g_os-Sens!$F$9463)*1/4</f>
        <v>0.0860286601882206</v>
      </c>
      <c r="I9463" s="13" t="n">
        <f aca="false">Sens!$F$9463+(g_os-Sens!$F$9463)*2/4</f>
        <v>0.074019106792147</v>
      </c>
      <c r="J9463" s="13" t="n">
        <f aca="false">Sens!$F$9463+(g_os-Sens!$F$9463)*3/4</f>
        <v>0.0620095533960735</v>
      </c>
      <c r="K9463" s="13" t="n">
        <f aca="false">Sens!$F$9463+(g_os-Sens!$F$9463)*4/4</f>
        <v>0.05</v>
      </c>
      <c r="L9463" s="13" t="n">
        <f aca="false">g_os</f>
        <v>0.05</v>
      </c>
      <c r="M9463" s="13" t="n">
        <f aca="false">g_os</f>
        <v>0.05</v>
      </c>
      <c r="P9463" s="8" t="s">
        <v>663</v>
      </c>
    </row>
    <row r="9464" customFormat="false" ht="17.15" hidden="false" customHeight="false" outlineLevel="0" collapsed="false">
      <c r="A9464" s="0" t="s">
        <v>517</v>
      </c>
      <c r="B9464" s="0" t="s">
        <v>86</v>
      </c>
      <c r="C9464" s="38" t="n">
        <f aca="false">Q!$D$11</f>
        <v>21.215</v>
      </c>
      <c r="D9464" s="38" t="n">
        <f aca="false">Q!$E$11</f>
        <v>22.561</v>
      </c>
      <c r="E9464" s="38" t="n">
        <f aca="false">Q!$P$11</f>
        <v>11.579</v>
      </c>
      <c r="F9464" s="38" t="n">
        <f aca="false">Sens!$O$9464*(1+Sens!$F$9465)*Sens!$F$9474</f>
        <v>11.5938724610325</v>
      </c>
      <c r="G9464" s="38" t="n">
        <f aca="false">Sens!$E$9464+Sens!$F$9464</f>
        <v>23.1728724610325</v>
      </c>
      <c r="H9464" s="38" t="n">
        <f aca="false">Sens!$G$9464*(1+Sens!$H$9465)</f>
        <v>24.353392759506</v>
      </c>
      <c r="I9464" s="38" t="n">
        <f aca="false">Sens!$H$9464*(1+Sens!$I$9465)</f>
        <v>25.4240338872015</v>
      </c>
      <c r="J9464" s="38" t="n">
        <f aca="false">Sens!$I$9464*(1+Sens!$J$9465)</f>
        <v>26.3642491017174</v>
      </c>
      <c r="K9464" s="38" t="n">
        <f aca="false">Sens!$J$9464*(1+Sens!$K$9465)</f>
        <v>27.155176574769</v>
      </c>
      <c r="L9464" s="38" t="n">
        <f aca="false">Sens!$K$9464*(1+Sens!$L$9465)</f>
        <v>27.969831872012</v>
      </c>
      <c r="M9464" s="38" t="n">
        <f aca="false">Sens!$L$9464*(1+Sens!$M$9465)</f>
        <v>28.8089268281724</v>
      </c>
      <c r="N9464" s="38" t="n">
        <f aca="false">Q!$N$11</f>
        <v>11.128</v>
      </c>
      <c r="O9464" s="38" t="n">
        <f aca="false">Q!$O$11</f>
        <v>11.433</v>
      </c>
      <c r="P9464" s="8" t="s">
        <v>661</v>
      </c>
    </row>
    <row r="9465" customFormat="false" ht="17.15" hidden="false" customHeight="false" outlineLevel="0" collapsed="false">
      <c r="A9465" s="0" t="s">
        <v>664</v>
      </c>
      <c r="B9465" s="0" t="s">
        <v>52</v>
      </c>
      <c r="E9465" s="13" t="n">
        <f aca="false">Sens!$E$9464/Sens!$N$9464-1</f>
        <v>0.0405283968368082</v>
      </c>
      <c r="F9465" s="13" t="n">
        <f aca="false">Sens!$O$9464/(Q!$F$11+Q!$G$11)-1</f>
        <v>0.0579254187100955</v>
      </c>
      <c r="G9465" s="13" t="n">
        <f aca="false">Sens!$G$9464/Sens!$D$9464-1</f>
        <v>0.0271208040881397</v>
      </c>
      <c r="H9465" s="13" t="n">
        <f aca="false">Sens!$F$9465+(g_ps-Sens!$F$9465)*1/4</f>
        <v>0.0509440640325716</v>
      </c>
      <c r="I9465" s="13" t="n">
        <f aca="false">Sens!$F$9465+(g_ps-Sens!$F$9465)*2/4</f>
        <v>0.0439627093550477</v>
      </c>
      <c r="J9465" s="13" t="n">
        <f aca="false">Sens!$F$9465+(g_ps-Sens!$F$9465)*3/4</f>
        <v>0.0369813546775239</v>
      </c>
      <c r="K9465" s="13" t="n">
        <f aca="false">Sens!$F$9465+(g_ps-Sens!$F$9465)*4/4</f>
        <v>0.03</v>
      </c>
      <c r="L9465" s="13" t="n">
        <f aca="false">g_ps</f>
        <v>0.03</v>
      </c>
      <c r="M9465" s="13" t="n">
        <f aca="false">g_ps</f>
        <v>0.03</v>
      </c>
      <c r="P9465" s="8" t="s">
        <v>665</v>
      </c>
    </row>
    <row r="9466" customFormat="false" ht="17.15" hidden="false" customHeight="false" outlineLevel="0" collapsed="false">
      <c r="A9466" s="0" t="s">
        <v>518</v>
      </c>
      <c r="B9466" s="0" t="s">
        <v>86</v>
      </c>
      <c r="C9466" s="38" t="n">
        <f aca="false">Q!$D$12</f>
        <v>156.146</v>
      </c>
      <c r="D9466" s="38" t="n">
        <f aca="false">Q!$E$12</f>
        <v>172.162</v>
      </c>
      <c r="E9466" s="38" t="n">
        <f aca="false">Q!$P$12</f>
        <v>88.358</v>
      </c>
      <c r="F9466" s="38" t="n">
        <f aca="false">Sens!$O$9466*(1+Sens!$F$9467)*Sens!$F$9474</f>
        <v>102.004388260171</v>
      </c>
      <c r="G9466" s="38" t="n">
        <f aca="false">Sens!$E$9466+Sens!$F$9466</f>
        <v>190.362388260171</v>
      </c>
      <c r="H9466" s="38" t="n">
        <f aca="false">Sens!$G$9466*(1+Sens!$H$9467)</f>
        <v>210.343106588311</v>
      </c>
      <c r="I9466" s="38" t="n">
        <f aca="false">Sens!$H$9466*(1+Sens!$I$9467)</f>
        <v>229.969728494648</v>
      </c>
      <c r="J9466" s="38" t="n">
        <f aca="false">Sens!$I$9466*(1+Sens!$J$9467)</f>
        <v>248.747636972598</v>
      </c>
      <c r="K9466" s="38" t="n">
        <f aca="false">Sens!$J$9466*(1+Sens!$K$9467)</f>
        <v>266.15997156068</v>
      </c>
      <c r="L9466" s="38" t="n">
        <f aca="false">Sens!$K$9466*(1+Sens!$L$9467)</f>
        <v>284.791169569927</v>
      </c>
      <c r="M9466" s="38" t="n">
        <f aca="false">Sens!$L$9466*(1+Sens!$M$9467)</f>
        <v>304.726551439822</v>
      </c>
      <c r="N9466" s="38" t="n">
        <f aca="false">Q!$N$12</f>
        <v>76.86</v>
      </c>
      <c r="O9466" s="38" t="n">
        <f aca="false">Q!$O$12</f>
        <v>95.302</v>
      </c>
      <c r="P9466" s="8" t="s">
        <v>661</v>
      </c>
    </row>
    <row r="9467" customFormat="false" ht="17.15" hidden="false" customHeight="false" outlineLevel="0" collapsed="false">
      <c r="A9467" s="0" t="s">
        <v>666</v>
      </c>
      <c r="B9467" s="0" t="s">
        <v>52</v>
      </c>
      <c r="E9467" s="13" t="n">
        <f aca="false">Sens!$E$9466/Sens!$N$9466-1</f>
        <v>0.1495966692688</v>
      </c>
      <c r="F9467" s="13" t="n">
        <f aca="false">Sens!$O$9466/(Q!$F$12+Q!$G$12)-1</f>
        <v>0.11661530890813</v>
      </c>
      <c r="G9467" s="13" t="n">
        <f aca="false">Sens!$G$9466/Sens!$D$9466-1</f>
        <v>0.105716640490767</v>
      </c>
      <c r="H9467" s="13" t="n">
        <f aca="false">Sens!$F$9467+(g_sp-Sens!$F$9467)*1/4</f>
        <v>0.104961481681098</v>
      </c>
      <c r="I9467" s="13" t="n">
        <f aca="false">Sens!$F$9467+(g_sp-Sens!$F$9467)*2/4</f>
        <v>0.0933076544540651</v>
      </c>
      <c r="J9467" s="13" t="n">
        <f aca="false">Sens!$F$9467+(g_sp-Sens!$F$9467)*3/4</f>
        <v>0.0816538272270325</v>
      </c>
      <c r="K9467" s="13" t="n">
        <f aca="false">Sens!$F$9467+(g_sp-Sens!$F$9467)*4/4</f>
        <v>0.07</v>
      </c>
      <c r="L9467" s="13" t="n">
        <f aca="false">g_sp</f>
        <v>0.07</v>
      </c>
      <c r="M9467" s="13" t="n">
        <f aca="false">g_sp</f>
        <v>0.07</v>
      </c>
      <c r="P9467" s="8" t="s">
        <v>667</v>
      </c>
    </row>
    <row r="9468" customFormat="false" ht="17.15" hidden="false" customHeight="false" outlineLevel="0" collapsed="false">
      <c r="A9468" s="0" t="s">
        <v>519</v>
      </c>
      <c r="B9468" s="0" t="s">
        <v>86</v>
      </c>
      <c r="C9468" s="38" t="n">
        <f aca="false">Q!$D$13</f>
        <v>56.214</v>
      </c>
      <c r="D9468" s="38" t="n">
        <f aca="false">Q!$E$13</f>
        <v>68.635</v>
      </c>
      <c r="E9468" s="38" t="n">
        <f aca="false">Q!$P$13</f>
        <v>37.052</v>
      </c>
      <c r="F9468" s="38" t="n">
        <f aca="false">Sens!$O$9468*(1+Sens!$F$9469)*Sens!$F$9474</f>
        <v>46.1572219944148</v>
      </c>
      <c r="G9468" s="38" t="n">
        <f aca="false">Sens!$E$9468+Sens!$F$9468</f>
        <v>83.2092219944148</v>
      </c>
      <c r="H9468" s="38" t="n">
        <f aca="false">Sens!$G$9468*(1+Sens!$H$9469)</f>
        <v>99.8969223878976</v>
      </c>
      <c r="I9468" s="38" t="n">
        <f aca="false">Sens!$H$9468*(1+Sens!$I$9469)</f>
        <v>116.583111095496</v>
      </c>
      <c r="J9468" s="38" t="n">
        <f aca="false">Sens!$I$9468*(1+Sens!$J$9469)</f>
        <v>132.148941941952</v>
      </c>
      <c r="K9468" s="38" t="n">
        <f aca="false">Sens!$J$9468*(1+Sens!$K$9469)</f>
        <v>145.363836136147</v>
      </c>
      <c r="L9468" s="38" t="n">
        <f aca="false">Sens!$K$9468*(1+Sens!$L$9469)</f>
        <v>159.900219749762</v>
      </c>
      <c r="M9468" s="38" t="n">
        <f aca="false">Sens!$L$9468*(1+Sens!$M$9469)</f>
        <v>175.890241724738</v>
      </c>
      <c r="N9468" s="38" t="n">
        <f aca="false">Q!$N$13</f>
        <v>29.615</v>
      </c>
      <c r="O9468" s="38" t="n">
        <f aca="false">Q!$O$13</f>
        <v>39.02</v>
      </c>
      <c r="P9468" s="8" t="s">
        <v>661</v>
      </c>
    </row>
    <row r="9469" customFormat="false" ht="17.15" hidden="false" customHeight="false" outlineLevel="0" collapsed="false">
      <c r="A9469" s="0" t="s">
        <v>668</v>
      </c>
      <c r="B9469" s="0" t="s">
        <v>52</v>
      </c>
      <c r="E9469" s="13" t="n">
        <f aca="false">Sens!$E$9468/Sens!$N$9468-1</f>
        <v>0.25112274185379</v>
      </c>
      <c r="F9469" s="13" t="n">
        <f aca="false">Sens!$O$9468/(Q!$F$13+Q!$G$13)-1</f>
        <v>0.234068123596572</v>
      </c>
      <c r="G9469" s="13" t="n">
        <f aca="false">Sens!$G$9468/Sens!$D$9468-1</f>
        <v>0.212343876949294</v>
      </c>
      <c r="H9469" s="13" t="n">
        <f aca="false">Sens!$F$9469+(g_ad-Sens!$F$9469)*1/4</f>
        <v>0.200551092697429</v>
      </c>
      <c r="I9469" s="13" t="n">
        <f aca="false">Sens!$F$9469+(g_ad-Sens!$F$9469)*2/4</f>
        <v>0.167034061798286</v>
      </c>
      <c r="J9469" s="13" t="n">
        <f aca="false">Sens!$F$9469+(g_ad-Sens!$F$9469)*3/4</f>
        <v>0.133517030899143</v>
      </c>
      <c r="K9469" s="13" t="n">
        <f aca="false">Sens!$F$9469+(g_ad-Sens!$F$9469)*4/4</f>
        <v>0.1</v>
      </c>
      <c r="L9469" s="13" t="n">
        <f aca="false">g_ad</f>
        <v>0.1</v>
      </c>
      <c r="M9469" s="13" t="n">
        <f aca="false">g_ad</f>
        <v>0.1</v>
      </c>
      <c r="P9469" s="8" t="s">
        <v>669</v>
      </c>
    </row>
    <row r="9470" customFormat="false" ht="17.15" hidden="false" customHeight="false" outlineLevel="0" collapsed="false">
      <c r="A9470" s="0" t="s">
        <v>520</v>
      </c>
      <c r="B9470" s="0" t="s">
        <v>86</v>
      </c>
      <c r="C9470" s="38" t="n">
        <f aca="false">Q!$D$14</f>
        <v>44.374</v>
      </c>
      <c r="D9470" s="38" t="n">
        <f aca="false">Q!$E$14</f>
        <v>49.619</v>
      </c>
      <c r="E9470" s="38" t="n">
        <f aca="false">Q!$P$14</f>
        <v>27.157</v>
      </c>
      <c r="F9470" s="38" t="n">
        <f aca="false">Sens!$O$9470*(1+Sens!$F$9471)*Sens!$F$9474</f>
        <v>27.7764165988154</v>
      </c>
      <c r="G9470" s="38" t="n">
        <f aca="false">Sens!$E$9470+Sens!$F$9470</f>
        <v>54.9334165988154</v>
      </c>
      <c r="H9470" s="38" t="n">
        <f aca="false">Sens!$G$9470*(1+Sens!$H$9471)</f>
        <v>61.1564112561829</v>
      </c>
      <c r="I9470" s="38" t="n">
        <f aca="false">Sens!$H$9470*(1+Sens!$I$9471)</f>
        <v>67.2020282103945</v>
      </c>
      <c r="J9470" s="38" t="n">
        <f aca="false">Sens!$I$9470*(1+Sens!$J$9471)</f>
        <v>72.8757274028885</v>
      </c>
      <c r="K9470" s="38" t="n">
        <f aca="false">Sens!$J$9470*(1+Sens!$K$9471)</f>
        <v>77.9770283210907</v>
      </c>
      <c r="L9470" s="38" t="n">
        <f aca="false">Sens!$K$9470*(1+Sens!$L$9471)</f>
        <v>83.4354203035671</v>
      </c>
      <c r="M9470" s="38" t="n">
        <f aca="false">Sens!$L$9470*(1+Sens!$M$9471)</f>
        <v>89.2758997248168</v>
      </c>
      <c r="N9470" s="38" t="n">
        <f aca="false">Q!$N$14</f>
        <v>23.923</v>
      </c>
      <c r="O9470" s="38" t="n">
        <f aca="false">Q!$O$14</f>
        <v>25.696</v>
      </c>
      <c r="P9470" s="8" t="s">
        <v>661</v>
      </c>
    </row>
    <row r="9471" customFormat="false" ht="17.15" hidden="false" customHeight="false" outlineLevel="0" collapsed="false">
      <c r="A9471" s="0" t="s">
        <v>670</v>
      </c>
      <c r="B9471" s="0" t="s">
        <v>52</v>
      </c>
      <c r="E9471" s="13" t="n">
        <f aca="false">Sens!$E$9470/Sens!$N$9470-1</f>
        <v>0.135183714417088</v>
      </c>
      <c r="F9471" s="13" t="n">
        <f aca="false">Sens!$O$9470/(Q!$F$14+Q!$G$14)-1</f>
        <v>0.127709997366804</v>
      </c>
      <c r="G9471" s="13" t="n">
        <f aca="false">Sens!$G$9470/Sens!$D$9470-1</f>
        <v>0.107104468022641</v>
      </c>
      <c r="H9471" s="13" t="n">
        <f aca="false">Sens!$F$9471+(g_sub-Sens!$F$9471)*1/4</f>
        <v>0.113282498025103</v>
      </c>
      <c r="I9471" s="13" t="n">
        <f aca="false">Sens!$F$9471+(g_sub-Sens!$F$9471)*2/4</f>
        <v>0.0988549986834021</v>
      </c>
      <c r="J9471" s="13" t="n">
        <f aca="false">Sens!$F$9471+(g_sub-Sens!$F$9471)*3/4</f>
        <v>0.084427499341701</v>
      </c>
      <c r="K9471" s="13" t="n">
        <f aca="false">Sens!$F$9471+(g_sub-Sens!$F$9471)*4/4</f>
        <v>0.07</v>
      </c>
      <c r="L9471" s="13" t="n">
        <f aca="false">g_sub</f>
        <v>0.07</v>
      </c>
      <c r="M9471" s="13" t="n">
        <f aca="false">g_sub</f>
        <v>0.07</v>
      </c>
      <c r="P9471" s="8" t="s">
        <v>671</v>
      </c>
    </row>
    <row r="9472" customFormat="false" ht="17.15" hidden="false" customHeight="false" outlineLevel="0" collapsed="false">
      <c r="A9472" s="0" t="s">
        <v>521</v>
      </c>
      <c r="B9472" s="0" t="s">
        <v>86</v>
      </c>
      <c r="C9472" s="38" t="n">
        <f aca="false">Q!$D$15</f>
        <v>5.425</v>
      </c>
      <c r="D9472" s="38" t="n">
        <f aca="false">Q!$E$15</f>
        <v>5.935</v>
      </c>
      <c r="E9472" s="38" t="n">
        <f aca="false">Q!$P$15</f>
        <v>3.474</v>
      </c>
      <c r="F9472" s="38" t="n">
        <f aca="false">Sens!$O$9472*(1+Sens!$F$9473)*Sens!$F$9474</f>
        <v>3.22246550883619</v>
      </c>
      <c r="G9472" s="38" t="n">
        <f aca="false">Sens!$E$9472+Sens!$F$9472</f>
        <v>6.69646550883619</v>
      </c>
      <c r="H9472" s="38" t="n">
        <f aca="false">Sens!$G$9472*(1+Sens!$H$9473)</f>
        <v>7.16251344209196</v>
      </c>
      <c r="I9472" s="38" t="n">
        <f aca="false">Sens!$H$9472*(1+Sens!$I$9473)</f>
        <v>7.61421070299826</v>
      </c>
      <c r="J9472" s="38" t="n">
        <f aca="false">Sens!$I$9472*(1+Sens!$J$9473)</f>
        <v>8.04465753523932</v>
      </c>
      <c r="K9472" s="38" t="n">
        <f aca="false">Sens!$J$9472*(1+Sens!$K$9473)</f>
        <v>8.44689041200128</v>
      </c>
      <c r="L9472" s="38" t="n">
        <f aca="false">Sens!$K$9472*(1+Sens!$L$9473)</f>
        <v>8.86923493260135</v>
      </c>
      <c r="M9472" s="38" t="n">
        <f aca="false">Sens!$L$9472*(1+Sens!$M$9473)</f>
        <v>9.31269667923142</v>
      </c>
      <c r="N9472" s="38" t="n">
        <f aca="false">Q!$N$15</f>
        <v>2.811</v>
      </c>
      <c r="O9472" s="38" t="n">
        <f aca="false">Q!$O$15</f>
        <v>3.124</v>
      </c>
      <c r="P9472" s="8" t="s">
        <v>661</v>
      </c>
    </row>
    <row r="9473" customFormat="false" ht="17.15" hidden="false" customHeight="false" outlineLevel="0" collapsed="false">
      <c r="A9473" s="0" t="s">
        <v>672</v>
      </c>
      <c r="B9473" s="0" t="s">
        <v>52</v>
      </c>
      <c r="E9473" s="13" t="n">
        <f aca="false">Sens!$E$9472/Sens!$N$9472-1</f>
        <v>0.235859124866596</v>
      </c>
      <c r="F9473" s="13" t="n">
        <f aca="false">Sens!$O$9472/(Q!$F$15+Q!$G$15)-1</f>
        <v>0.0761281433000345</v>
      </c>
      <c r="G9473" s="13" t="n">
        <f aca="false">Sens!$G$9472/Sens!$D$9472-1</f>
        <v>0.128300843948811</v>
      </c>
      <c r="H9473" s="13" t="n">
        <f aca="false">Sens!$F$9473+(g_ot-Sens!$F$9473)*1/4</f>
        <v>0.0695961074750259</v>
      </c>
      <c r="I9473" s="13" t="n">
        <f aca="false">Sens!$F$9473+(g_ot-Sens!$F$9473)*2/4</f>
        <v>0.0630640716500172</v>
      </c>
      <c r="J9473" s="13" t="n">
        <f aca="false">Sens!$F$9473+(g_ot-Sens!$F$9473)*3/4</f>
        <v>0.0565320358250086</v>
      </c>
      <c r="K9473" s="13" t="n">
        <f aca="false">Sens!$F$9473+(g_ot-Sens!$F$9473)*4/4</f>
        <v>0.05</v>
      </c>
      <c r="L9473" s="13" t="n">
        <f aca="false">g_ot</f>
        <v>0.05</v>
      </c>
      <c r="M9473" s="13" t="n">
        <f aca="false">g_ot</f>
        <v>0.05</v>
      </c>
      <c r="P9473" s="8" t="s">
        <v>673</v>
      </c>
    </row>
    <row r="9474" customFormat="false" ht="17.15" hidden="false" customHeight="false" outlineLevel="0" collapsed="false">
      <c r="A9474" s="0" t="s">
        <v>674</v>
      </c>
      <c r="B9474" s="0" t="s">
        <v>57</v>
      </c>
      <c r="F9474" s="40" t="n">
        <f aca="false">(g26q3_mid*Q!$O$8/Q!$J$8-Sens!$F$9503-Sens!$F$9507)/(Sens!$O$9462*(1+Sens!$F$9463)+Sens!$O$9464*(1+Sens!$F$9465)+Sens!$O$9466*(1+Sens!$F$9467)+Sens!$O$9468*(1+Sens!$F$9469)+Sens!$O$9470*(1+Sens!$F$9471)+Sens!$O$9472*(1+Sens!$F$9473))</f>
        <v>0.958546670622329</v>
      </c>
      <c r="P9474" s="8" t="s">
        <v>675</v>
      </c>
    </row>
    <row r="9475" customFormat="false" ht="17.15" hidden="false" customHeight="false" outlineLevel="0" collapsed="false">
      <c r="A9475" s="3" t="s">
        <v>676</v>
      </c>
      <c r="B9475" s="8" t="s">
        <v>86</v>
      </c>
      <c r="C9475" s="38" t="n">
        <f aca="false">Sens!$C$9462+Sens!$C$9464+Sens!$C$9466+Sens!$C$9468+Sens!$C$9470+Sens!$C$9472</f>
        <v>530.403</v>
      </c>
      <c r="D9475" s="38" t="n">
        <f aca="false">Sens!$D$9462+Sens!$D$9464+Sens!$D$9466+Sens!$D$9468+Sens!$D$9470+Sens!$D$9472</f>
        <v>588.199</v>
      </c>
      <c r="E9475" s="38" t="n">
        <f aca="false">Sens!$E$9462+Sens!$E$9464+Sens!$E$9466+Sens!$E$9468+Sens!$E$9470+Sens!$E$9472</f>
        <v>302.306</v>
      </c>
      <c r="F9475" s="38" t="n">
        <f aca="false">Sens!$F$9462+Sens!$F$9464+Sens!$F$9466+Sens!$F$9468+Sens!$F$9470+Sens!$F$9472</f>
        <v>349.048241645537</v>
      </c>
      <c r="G9475" s="38" t="n">
        <f aca="false">Sens!$G$9462+Sens!$G$9464+Sens!$G$9466+Sens!$G$9468+Sens!$G$9470+Sens!$G$9472</f>
        <v>651.354241645537</v>
      </c>
      <c r="H9475" s="38" t="n">
        <f aca="false">Sens!$H$9462+Sens!$H$9464+Sens!$H$9466+Sens!$H$9468+Sens!$H$9470+Sens!$H$9472</f>
        <v>721.096889521386</v>
      </c>
      <c r="I9475" s="38" t="n">
        <f aca="false">Sens!$I$9462+Sens!$I$9464+Sens!$I$9466+Sens!$I$9468+Sens!$I$9470+Sens!$I$9472</f>
        <v>788.529391152531</v>
      </c>
      <c r="J9475" s="38" t="n">
        <f aca="false">Sens!$J$9462+Sens!$J$9464+Sens!$J$9466+Sens!$J$9468+Sens!$J$9470+Sens!$J$9472</f>
        <v>851.108405741443</v>
      </c>
      <c r="K9475" s="38" t="n">
        <f aca="false">Sens!$K$9462+Sens!$K$9464+Sens!$K$9466+Sens!$K$9468+Sens!$K$9470+Sens!$K$9472</f>
        <v>906.176455431088</v>
      </c>
      <c r="L9475" s="38" t="n">
        <f aca="false">Sens!$L$9462+Sens!$L$9464+Sens!$L$9466+Sens!$L$9468+Sens!$L$9470+Sens!$L$9472</f>
        <v>965.093106475589</v>
      </c>
      <c r="M9475" s="38" t="n">
        <f aca="false">Sens!$M$9462+Sens!$M$9464+Sens!$M$9466+Sens!$M$9468+Sens!$M$9470+Sens!$M$9472</f>
        <v>1028.14790794689</v>
      </c>
      <c r="N9475" s="38" t="n">
        <f aca="false">Sens!$N$9462+Sens!$N$9464+Sens!$N$9466+Sens!$N$9468+Sens!$N$9470+Sens!$N$9472</f>
        <v>263.229</v>
      </c>
      <c r="O9475" s="38" t="n">
        <f aca="false">Sens!$O$9462+Sens!$O$9464+Sens!$O$9466+Sens!$O$9468+Sens!$O$9470+Sens!$O$9472</f>
        <v>324.97</v>
      </c>
    </row>
    <row r="9476" customFormat="false" ht="17.15" hidden="false" customHeight="false" outlineLevel="0" collapsed="false">
      <c r="A9476" s="5" t="s">
        <v>677</v>
      </c>
      <c r="B9476" s="0" t="s">
        <v>52</v>
      </c>
      <c r="C9476" s="13" t="n">
        <f aca="false">Q!$D$5/(Q!$D$5+Q!$D$6)</f>
        <v>0.730570905519011</v>
      </c>
      <c r="D9476" s="13" t="n">
        <f aca="false">Q!$E$5/(Q!$E$5+Q!$E$6)</f>
        <v>0.724763217890544</v>
      </c>
      <c r="E9476" s="13" t="n">
        <f aca="false">Q!$P$5/(Q!$P$5+Q!$P$6)</f>
        <v>0.728797972914861</v>
      </c>
      <c r="F9476" s="13" t="n">
        <f aca="false">Sens!$O$9476</f>
        <v>0.718066283041511</v>
      </c>
      <c r="G9476" s="13" t="n">
        <f aca="false">Sens!$G$9477/Sens!$G$9475</f>
        <v>0.723047066202847</v>
      </c>
      <c r="H9476" s="13" t="n">
        <f aca="false">Sens!$G$9476</f>
        <v>0.723047066202847</v>
      </c>
      <c r="I9476" s="13" t="n">
        <f aca="false">Sens!$G$9476</f>
        <v>0.723047066202847</v>
      </c>
      <c r="J9476" s="13" t="n">
        <f aca="false">Sens!$G$9476</f>
        <v>0.723047066202847</v>
      </c>
      <c r="K9476" s="13" t="n">
        <f aca="false">Sens!$G$9476</f>
        <v>0.723047066202847</v>
      </c>
      <c r="L9476" s="13" t="n">
        <f aca="false">Sens!$G$9476</f>
        <v>0.723047066202847</v>
      </c>
      <c r="M9476" s="13" t="n">
        <f aca="false">Sens!$G$9476</f>
        <v>0.723047066202847</v>
      </c>
      <c r="N9476" s="13" t="n">
        <f aca="false">Q!$N$5/(Q!$N$5+Q!$N$6)</f>
        <v>0.733030935041352</v>
      </c>
      <c r="O9476" s="13" t="n">
        <f aca="false">Q!$O$5/(Q!$O$5+Q!$O$6)</f>
        <v>0.718066283041511</v>
      </c>
      <c r="P9476" s="8" t="s">
        <v>678</v>
      </c>
    </row>
    <row r="9477" customFormat="false" ht="17.15" hidden="false" customHeight="false" outlineLevel="0" collapsed="false">
      <c r="A9477" s="1" t="s">
        <v>509</v>
      </c>
      <c r="B9477" s="8" t="s">
        <v>86</v>
      </c>
      <c r="C9477" s="38" t="n">
        <f aca="false">Q!$D$5</f>
        <v>387.497</v>
      </c>
      <c r="D9477" s="38" t="n">
        <f aca="false">Q!$E$5</f>
        <v>426.305</v>
      </c>
      <c r="E9477" s="38" t="n">
        <f aca="false">Q!$P$5</f>
        <v>220.32</v>
      </c>
      <c r="F9477" s="38" t="n">
        <f aca="false">Sens!$F$9475*Sens!$F$9476</f>
        <v>250.639773480586</v>
      </c>
      <c r="G9477" s="38" t="n">
        <f aca="false">Sens!$E$9477+Sens!$F$9477</f>
        <v>470.959773480586</v>
      </c>
      <c r="H9477" s="38" t="n">
        <f aca="false">Sens!$H$9475*Sens!$H$9476</f>
        <v>521.386990416437</v>
      </c>
      <c r="I9477" s="38" t="n">
        <f aca="false">Sens!$I$9475*Sens!$I$9476</f>
        <v>570.143862887555</v>
      </c>
      <c r="J9477" s="38" t="n">
        <f aca="false">Sens!$J$9475*Sens!$J$9476</f>
        <v>615.391435791933</v>
      </c>
      <c r="K9477" s="38" t="n">
        <f aca="false">Sens!$K$9475*Sens!$K$9476</f>
        <v>655.208227561543</v>
      </c>
      <c r="L9477" s="38" t="n">
        <f aca="false">Sens!$L$9475*Sens!$L$9476</f>
        <v>697.807739249767</v>
      </c>
      <c r="M9477" s="38" t="n">
        <f aca="false">Sens!$M$9475*Sens!$M$9476</f>
        <v>743.399328463592</v>
      </c>
      <c r="N9477" s="38" t="n">
        <f aca="false">Q!$N$5</f>
        <v>192.955</v>
      </c>
      <c r="O9477" s="38" t="n">
        <f aca="false">Q!$O$5</f>
        <v>233.35</v>
      </c>
      <c r="P9477" s="5" t="s">
        <v>679</v>
      </c>
    </row>
    <row r="9478" customFormat="false" ht="17.15" hidden="false" customHeight="false" outlineLevel="0" collapsed="false">
      <c r="A9478" s="1" t="s">
        <v>512</v>
      </c>
      <c r="B9478" s="8" t="s">
        <v>86</v>
      </c>
      <c r="C9478" s="38" t="n">
        <f aca="false">Q!$D$6</f>
        <v>142.906</v>
      </c>
      <c r="D9478" s="38" t="n">
        <f aca="false">Q!$E$6</f>
        <v>161.894</v>
      </c>
      <c r="E9478" s="38" t="n">
        <f aca="false">Q!$P$6</f>
        <v>81.986</v>
      </c>
      <c r="F9478" s="38" t="n">
        <f aca="false">Sens!$F$9475*(1-Sens!$F$9476)</f>
        <v>98.408468164951</v>
      </c>
      <c r="G9478" s="38" t="n">
        <f aca="false">Sens!$E$9478+Sens!$F$9478</f>
        <v>180.394468164951</v>
      </c>
      <c r="H9478" s="38" t="n">
        <f aca="false">Sens!$H$9475*(1-Sens!$H$9476)</f>
        <v>199.709899104949</v>
      </c>
      <c r="I9478" s="38" t="n">
        <f aca="false">Sens!$I$9475*(1-Sens!$I$9476)</f>
        <v>218.385528264976</v>
      </c>
      <c r="J9478" s="38" t="n">
        <f aca="false">Sens!$J$9475*(1-Sens!$J$9476)</f>
        <v>235.71696994951</v>
      </c>
      <c r="K9478" s="38" t="n">
        <f aca="false">Sens!$K$9475*(1-Sens!$K$9476)</f>
        <v>250.968227869545</v>
      </c>
      <c r="L9478" s="38" t="n">
        <f aca="false">Sens!$L$9475*(1-Sens!$L$9476)</f>
        <v>267.285367225822</v>
      </c>
      <c r="M9478" s="38" t="n">
        <f aca="false">Sens!$M$9475*(1-Sens!$M$9476)</f>
        <v>284.748579483295</v>
      </c>
      <c r="N9478" s="38" t="n">
        <f aca="false">Q!$N$6</f>
        <v>70.274</v>
      </c>
      <c r="O9478" s="38" t="n">
        <f aca="false">Q!$O$6</f>
        <v>91.62</v>
      </c>
      <c r="P9478" s="5" t="s">
        <v>680</v>
      </c>
    </row>
    <row r="9479" customFormat="false" ht="17.15" hidden="false" customHeight="false" outlineLevel="0" collapsed="false">
      <c r="A9479" s="5" t="s">
        <v>681</v>
      </c>
      <c r="B9479" s="0" t="s">
        <v>86</v>
      </c>
      <c r="C9479" s="38" t="n">
        <f aca="false">Sens!$C$9468*Sens!$C$9476</f>
        <v>41.0683128828457</v>
      </c>
      <c r="D9479" s="38" t="n">
        <f aca="false">Sens!$D$9468*Sens!$D$9476</f>
        <v>49.7441234599175</v>
      </c>
      <c r="E9479" s="38" t="n">
        <f aca="false">Sens!$E$9468*Sens!$E$9476</f>
        <v>27.0034224924414</v>
      </c>
      <c r="F9479" s="38" t="n">
        <f aca="false">Sens!$F$9468*Sens!$F$9476</f>
        <v>33.1439448330513</v>
      </c>
      <c r="G9479" s="38" t="n">
        <f aca="false">Sens!$G$9468*Sens!$G$9476</f>
        <v>60.164183844083</v>
      </c>
      <c r="H9479" s="38" t="n">
        <f aca="false">Sens!$H$9468*Sens!$H$9476</f>
        <v>72.2301766552629</v>
      </c>
      <c r="I9479" s="38" t="n">
        <f aca="false">Sens!$I$9468*Sens!$I$9476</f>
        <v>84.2950764463991</v>
      </c>
      <c r="J9479" s="38" t="n">
        <f aca="false">Sens!$J$9468*Sens!$J$9476</f>
        <v>95.5499047729386</v>
      </c>
      <c r="K9479" s="38" t="n">
        <f aca="false">Sens!$K$9468*Sens!$K$9476</f>
        <v>105.104895250232</v>
      </c>
      <c r="L9479" s="38" t="n">
        <f aca="false">Sens!$L$9468*Sens!$L$9476</f>
        <v>115.615384775256</v>
      </c>
      <c r="M9479" s="38" t="n">
        <f aca="false">Sens!$M$9468*Sens!$M$9476</f>
        <v>127.176923252781</v>
      </c>
      <c r="N9479" s="38" t="n">
        <f aca="false">Sens!$N$9468*Sens!$N$9476</f>
        <v>21.7087111412496</v>
      </c>
      <c r="O9479" s="38" t="n">
        <f aca="false">Sens!$O$9468*Sens!$O$9476</f>
        <v>28.0189463642798</v>
      </c>
      <c r="P9479" s="5" t="s">
        <v>682</v>
      </c>
    </row>
    <row r="9480" customFormat="false" ht="15" hidden="false" customHeight="false" outlineLevel="0" collapsed="false">
      <c r="A9480" s="5" t="s">
        <v>683</v>
      </c>
      <c r="B9480" s="0" t="s">
        <v>86</v>
      </c>
      <c r="C9480" s="38" t="n">
        <f aca="false">Sens!$C$9468-Sens!$C$9479</f>
        <v>15.1456871171543</v>
      </c>
      <c r="D9480" s="38" t="n">
        <f aca="false">Sens!$D$9468-Sens!$D$9479</f>
        <v>18.8908765400825</v>
      </c>
      <c r="E9480" s="38" t="n">
        <f aca="false">Sens!$E$9468-Sens!$E$9479</f>
        <v>10.0485775075586</v>
      </c>
      <c r="F9480" s="38" t="n">
        <f aca="false">Sens!$F$9468-Sens!$F$9479</f>
        <v>13.0132771613635</v>
      </c>
      <c r="G9480" s="38" t="n">
        <f aca="false">Sens!$G$9468-Sens!$G$9479</f>
        <v>23.0450381503318</v>
      </c>
      <c r="H9480" s="38" t="n">
        <f aca="false">Sens!$H$9468-Sens!$H$9479</f>
        <v>27.6667457326347</v>
      </c>
      <c r="I9480" s="38" t="n">
        <f aca="false">Sens!$I$9468-Sens!$I$9479</f>
        <v>32.2880346490971</v>
      </c>
      <c r="J9480" s="38" t="n">
        <f aca="false">Sens!$J$9468-Sens!$J$9479</f>
        <v>36.5990371690132</v>
      </c>
      <c r="K9480" s="38" t="n">
        <f aca="false">Sens!$K$9468-Sens!$K$9479</f>
        <v>40.2589408859145</v>
      </c>
      <c r="L9480" s="38" t="n">
        <f aca="false">Sens!$L$9468-Sens!$L$9479</f>
        <v>44.2848349745059</v>
      </c>
      <c r="M9480" s="38" t="n">
        <f aca="false">Sens!$M$9468-Sens!$M$9479</f>
        <v>48.7133184719565</v>
      </c>
      <c r="N9480" s="38" t="n">
        <f aca="false">Sens!$N$9468-Sens!$N$9479</f>
        <v>7.90628885875037</v>
      </c>
      <c r="O9480" s="38" t="n">
        <f aca="false">Sens!$O$9468-Sens!$O$9479</f>
        <v>11.0010536357202</v>
      </c>
    </row>
    <row r="9481" customFormat="false" ht="19.4" hidden="false" customHeight="false" outlineLevel="0" collapsed="false">
      <c r="A9481" s="31" t="s">
        <v>1323</v>
      </c>
    </row>
    <row r="9482" customFormat="false" ht="17.15" hidden="false" customHeight="false" outlineLevel="0" collapsed="false">
      <c r="A9482" s="6" t="s">
        <v>16</v>
      </c>
      <c r="B9482" s="6" t="s">
        <v>17</v>
      </c>
      <c r="C9482" s="20" t="s">
        <v>494</v>
      </c>
      <c r="D9482" s="20" t="s">
        <v>495</v>
      </c>
      <c r="E9482" s="20" t="s">
        <v>577</v>
      </c>
      <c r="F9482" s="20" t="s">
        <v>578</v>
      </c>
      <c r="G9482" s="20" t="s">
        <v>579</v>
      </c>
      <c r="H9482" s="20" t="s">
        <v>580</v>
      </c>
      <c r="I9482" s="20" t="s">
        <v>581</v>
      </c>
      <c r="J9482" s="20" t="s">
        <v>582</v>
      </c>
      <c r="K9482" s="20" t="s">
        <v>583</v>
      </c>
      <c r="L9482" s="20" t="s">
        <v>584</v>
      </c>
      <c r="M9482" s="20" t="s">
        <v>585</v>
      </c>
      <c r="N9482" s="20" t="s">
        <v>586</v>
      </c>
      <c r="O9482" s="20" t="s">
        <v>587</v>
      </c>
      <c r="P9482" s="6" t="s">
        <v>23</v>
      </c>
      <c r="R9482" s="20" t="n">
        <v>2023</v>
      </c>
      <c r="S9482" s="20" t="n">
        <v>2024</v>
      </c>
      <c r="T9482" s="20" t="n">
        <v>2025</v>
      </c>
      <c r="U9482" s="20" t="n">
        <v>2026</v>
      </c>
      <c r="V9482" s="20" t="n">
        <v>2027</v>
      </c>
      <c r="W9482" s="20" t="n">
        <v>2028</v>
      </c>
      <c r="X9482" s="20" t="n">
        <v>2029</v>
      </c>
      <c r="Y9482" s="20" t="n">
        <v>2030</v>
      </c>
      <c r="Z9482" s="20" t="n">
        <v>2031</v>
      </c>
      <c r="AA9482" s="20" t="n">
        <v>2032</v>
      </c>
    </row>
    <row r="9483" customFormat="false" ht="17.15" hidden="false" customHeight="false" outlineLevel="0" collapsed="false">
      <c r="A9483" s="1" t="s">
        <v>588</v>
      </c>
    </row>
    <row r="9484" customFormat="false" ht="17.15" hidden="false" customHeight="false" outlineLevel="0" collapsed="false">
      <c r="A9484" s="5" t="s">
        <v>589</v>
      </c>
      <c r="B9484" s="0" t="s">
        <v>144</v>
      </c>
      <c r="H9484" s="32" t="n">
        <f aca="false">pace_B</f>
        <v>3634.3</v>
      </c>
      <c r="I9484" s="32" t="n">
        <f aca="false">pace_B</f>
        <v>3634.3</v>
      </c>
      <c r="J9484" s="32" t="n">
        <f aca="false">pace_B</f>
        <v>3634.3</v>
      </c>
      <c r="K9484" s="32" t="n">
        <f aca="false">pace_B+(Sens!$J$9485*tg_lo-pace_B)*1/3</f>
        <v>2521.53366666667</v>
      </c>
      <c r="L9484" s="32" t="n">
        <f aca="false">pace_B+(Sens!$J$9485*tg_lo-pace_B)*2/3</f>
        <v>1408.76733333333</v>
      </c>
      <c r="M9484" s="32" t="n">
        <f aca="false">pace_B+(Sens!$J$9485*tg_lo-pace_B)*3/3</f>
        <v>296.001</v>
      </c>
      <c r="P9484" s="5" t="s">
        <v>590</v>
      </c>
    </row>
    <row r="9485" customFormat="false" ht="17.15" hidden="false" customHeight="false" outlineLevel="0" collapsed="false">
      <c r="A9485" s="15" t="s">
        <v>591</v>
      </c>
      <c r="B9485" s="14" t="s">
        <v>129</v>
      </c>
      <c r="C9485" s="33" t="n">
        <f aca="false">mw_ye24</f>
        <v>360</v>
      </c>
      <c r="D9485" s="33" t="n">
        <f aca="false">mw_ye25</f>
        <v>1440</v>
      </c>
      <c r="E9485" s="33" t="n">
        <f aca="false">mw_open</f>
        <v>2080</v>
      </c>
      <c r="F9485" s="33" t="n">
        <f aca="false">Sens!$E$9485+pace_B*0.5</f>
        <v>3897.15</v>
      </c>
      <c r="G9485" s="33" t="n">
        <f aca="false">Sens!$F$9485</f>
        <v>3897.15</v>
      </c>
      <c r="H9485" s="33" t="n">
        <f aca="false">Sens!$G$9485+Sens!$H$9484</f>
        <v>7531.45</v>
      </c>
      <c r="I9485" s="33" t="n">
        <f aca="false">Sens!$H$9485+Sens!$I$9484</f>
        <v>11165.75</v>
      </c>
      <c r="J9485" s="33" t="n">
        <f aca="false">Sens!$I$9485+Sens!$J$9484</f>
        <v>14800.05</v>
      </c>
      <c r="K9485" s="33" t="n">
        <f aca="false">Sens!$J$9485+Sens!$K$9484</f>
        <v>17321.5836666667</v>
      </c>
      <c r="L9485" s="33" t="n">
        <f aca="false">Sens!$K$9485+Sens!$L$9484</f>
        <v>18730.351</v>
      </c>
      <c r="M9485" s="33" t="n">
        <f aca="false">Sens!$L$9485+Sens!$M$9484</f>
        <v>19026.352</v>
      </c>
      <c r="N9485" s="33" t="n">
        <f aca="false">(mw_ye24+mw_ye25)/2</f>
        <v>900</v>
      </c>
      <c r="O9485" s="33" t="n">
        <f aca="false">mw_ye25</f>
        <v>1440</v>
      </c>
      <c r="P9485" s="5" t="s">
        <v>592</v>
      </c>
    </row>
    <row r="9486" customFormat="false" ht="17.15" hidden="false" customHeight="false" outlineLevel="0" collapsed="false">
      <c r="A9486" s="5" t="s">
        <v>593</v>
      </c>
      <c r="B9486" s="0" t="s">
        <v>129</v>
      </c>
      <c r="C9486" s="32" t="n">
        <f aca="false">(mw_ye23+mw_ye24)/2</f>
        <v>240</v>
      </c>
      <c r="D9486" s="32" t="n">
        <f aca="false">(Sens!$C$9485+Sens!$D$9485)/2</f>
        <v>900</v>
      </c>
      <c r="E9486" s="32" t="n">
        <f aca="false">(Sens!$D$9485+Sens!$E$9485)/2</f>
        <v>1760</v>
      </c>
      <c r="F9486" s="32" t="n">
        <f aca="false">(Sens!$E$9485+Sens!$F$9485)/2</f>
        <v>2988.575</v>
      </c>
      <c r="G9486" s="32" t="n">
        <f aca="false">(Sens!$E$9486+Sens!$F$9486)/2</f>
        <v>2374.2875</v>
      </c>
      <c r="H9486" s="32" t="n">
        <f aca="false">(Sens!$G$9485+Sens!$H$9485)/2</f>
        <v>5714.3</v>
      </c>
      <c r="I9486" s="32" t="n">
        <f aca="false">(Sens!$H$9485+Sens!$I$9485)/2</f>
        <v>9348.6</v>
      </c>
      <c r="J9486" s="32" t="n">
        <f aca="false">(Sens!$I$9485+Sens!$J$9485)/2</f>
        <v>12982.9</v>
      </c>
      <c r="K9486" s="32" t="n">
        <f aca="false">(Sens!$J$9485+Sens!$K$9485)/2</f>
        <v>16060.8168333333</v>
      </c>
      <c r="L9486" s="32" t="n">
        <f aca="false">(Sens!$K$9485+Sens!$L$9485)/2</f>
        <v>18025.9673333333</v>
      </c>
      <c r="M9486" s="32" t="n">
        <f aca="false">(Sens!$L$9485+Sens!$M$9485)/2</f>
        <v>18878.3515</v>
      </c>
      <c r="N9486" s="32" t="n">
        <f aca="false">(Sens!$C$9485+Sens!$N$9485)/2</f>
        <v>630</v>
      </c>
      <c r="O9486" s="32" t="n">
        <f aca="false">(Sens!$N$9485+Sens!$O$9485)/2</f>
        <v>1170</v>
      </c>
    </row>
    <row r="9487" customFormat="false" ht="15" hidden="false" customHeight="false" outlineLevel="0" collapsed="false">
      <c r="A9487" s="5" t="s">
        <v>594</v>
      </c>
      <c r="B9487" s="5" t="s">
        <v>123</v>
      </c>
      <c r="C9487" s="34" t="n">
        <v>1</v>
      </c>
      <c r="D9487" s="34" t="n">
        <v>1</v>
      </c>
      <c r="E9487" s="34" t="n">
        <v>0.5</v>
      </c>
      <c r="F9487" s="34" t="n">
        <v>0.5</v>
      </c>
      <c r="G9487" s="34" t="n">
        <v>1</v>
      </c>
      <c r="H9487" s="34" t="n">
        <v>1</v>
      </c>
      <c r="I9487" s="34" t="n">
        <v>1</v>
      </c>
      <c r="J9487" s="34" t="n">
        <v>1</v>
      </c>
      <c r="K9487" s="34" t="n">
        <v>1</v>
      </c>
      <c r="L9487" s="34" t="n">
        <v>1</v>
      </c>
      <c r="M9487" s="34" t="n">
        <v>1</v>
      </c>
      <c r="N9487" s="34" t="n">
        <v>0.5</v>
      </c>
      <c r="O9487" s="34" t="n">
        <v>0.5</v>
      </c>
    </row>
    <row r="9488" customFormat="false" ht="17.15" hidden="false" customHeight="false" outlineLevel="0" collapsed="false">
      <c r="A9488" s="5" t="s">
        <v>595</v>
      </c>
      <c r="B9488" s="0" t="s">
        <v>129</v>
      </c>
      <c r="C9488" s="32" t="n">
        <f aca="false">Sens!$C$9485-mw_ye23</f>
        <v>240</v>
      </c>
      <c r="D9488" s="32" t="n">
        <f aca="false">Sens!$D$9485-Sens!$C$9485</f>
        <v>1080</v>
      </c>
      <c r="E9488" s="32" t="n">
        <f aca="false">Sens!$E$9485-Sens!$D$9485</f>
        <v>640</v>
      </c>
      <c r="F9488" s="32" t="n">
        <f aca="false">Sens!$F$9485-Sens!$E$9485</f>
        <v>1817.15</v>
      </c>
      <c r="G9488" s="32" t="n">
        <f aca="false">Sens!$E$9488+Sens!$F$9488</f>
        <v>2457.15</v>
      </c>
      <c r="H9488" s="32" t="n">
        <f aca="false">Sens!$H$9485-Sens!$G$9485</f>
        <v>3634.3</v>
      </c>
      <c r="I9488" s="32" t="n">
        <f aca="false">Sens!$I$9485-Sens!$H$9485</f>
        <v>3634.3</v>
      </c>
      <c r="J9488" s="32" t="n">
        <f aca="false">Sens!$J$9485-Sens!$I$9485</f>
        <v>3634.3</v>
      </c>
      <c r="K9488" s="32" t="n">
        <f aca="false">Sens!$K$9485-Sens!$J$9485</f>
        <v>2521.53366666667</v>
      </c>
      <c r="L9488" s="32" t="n">
        <f aca="false">Sens!$L$9485-Sens!$K$9485</f>
        <v>1408.76733333333</v>
      </c>
      <c r="M9488" s="32" t="n">
        <f aca="false">Sens!$M$9485-Sens!$L$9485</f>
        <v>296.001</v>
      </c>
      <c r="N9488" s="32" t="n">
        <f aca="false">Sens!$N$9485-Sens!$C$9485</f>
        <v>540</v>
      </c>
      <c r="O9488" s="32" t="n">
        <f aca="false">Sens!$O$9485-Sens!$N$9485</f>
        <v>540</v>
      </c>
    </row>
    <row r="9489" customFormat="false" ht="17.15" hidden="false" customHeight="false" outlineLevel="0" collapsed="false">
      <c r="A9489" s="5" t="s">
        <v>596</v>
      </c>
      <c r="B9489" s="0" t="s">
        <v>129</v>
      </c>
      <c r="C9489" s="32" t="n">
        <f aca="false">Sens!$C$9488/ext_sh</f>
        <v>300</v>
      </c>
      <c r="D9489" s="32" t="n">
        <f aca="false">Sens!$D$9488/ext_sh</f>
        <v>1350</v>
      </c>
      <c r="E9489" s="32" t="n">
        <f aca="false">Sens!$E$9488/ext_sh</f>
        <v>800</v>
      </c>
      <c r="F9489" s="32" t="n">
        <f aca="false">Sens!$F$9488/ext_sh</f>
        <v>2271.4375</v>
      </c>
      <c r="G9489" s="32" t="n">
        <f aca="false">Sens!$G$9488/ext_sh</f>
        <v>3071.4375</v>
      </c>
      <c r="H9489" s="32" t="n">
        <f aca="false">Sens!$H$9488/ext_sh</f>
        <v>4542.875</v>
      </c>
      <c r="I9489" s="32" t="n">
        <f aca="false">Sens!$I$9488/ext_sh</f>
        <v>4542.875</v>
      </c>
      <c r="J9489" s="32" t="n">
        <f aca="false">Sens!$J$9488/ext_sh</f>
        <v>4542.875</v>
      </c>
      <c r="K9489" s="32" t="n">
        <f aca="false">Sens!$K$9488/ext_sh</f>
        <v>3151.91708333333</v>
      </c>
      <c r="L9489" s="32" t="n">
        <f aca="false">Sens!$L$9488/ext_sh</f>
        <v>1760.95916666667</v>
      </c>
      <c r="M9489" s="32" t="n">
        <f aca="false">Sens!$M$9488/ext_sh</f>
        <v>370.00125</v>
      </c>
      <c r="N9489" s="32" t="n">
        <f aca="false">Sens!$N$9488/ext_sh</f>
        <v>675</v>
      </c>
      <c r="O9489" s="32" t="n">
        <f aca="false">Sens!$O$9488/ext_sh</f>
        <v>675</v>
      </c>
      <c r="P9489" s="8" t="s">
        <v>597</v>
      </c>
      <c r="R9489" s="32" t="n">
        <f aca="false">mw_ye23/ext_sh</f>
        <v>150</v>
      </c>
      <c r="S9489" s="32" t="n">
        <f aca="false">Sens!$C$9489</f>
        <v>300</v>
      </c>
      <c r="T9489" s="32" t="n">
        <f aca="false">Sens!$D$9489</f>
        <v>1350</v>
      </c>
      <c r="U9489" s="32" t="n">
        <f aca="false">Sens!$G$9489</f>
        <v>3071.4375</v>
      </c>
      <c r="V9489" s="32" t="n">
        <f aca="false">Sens!$H$9489</f>
        <v>4542.875</v>
      </c>
      <c r="W9489" s="32" t="n">
        <f aca="false">Sens!$I$9489</f>
        <v>4542.875</v>
      </c>
      <c r="X9489" s="32" t="n">
        <f aca="false">Sens!$J$9489</f>
        <v>4542.875</v>
      </c>
      <c r="Y9489" s="32" t="n">
        <f aca="false">Sens!$K$9489</f>
        <v>3151.91708333333</v>
      </c>
      <c r="Z9489" s="32" t="n">
        <f aca="false">Sens!$L$9489</f>
        <v>1760.95916666667</v>
      </c>
      <c r="AA9489" s="32" t="n">
        <f aca="false">Sens!$M$9489</f>
        <v>370.00125</v>
      </c>
    </row>
    <row r="9490" customFormat="false" ht="17.15" hidden="false" customHeight="false" outlineLevel="0" collapsed="false">
      <c r="A9490" s="1" t="s">
        <v>598</v>
      </c>
    </row>
    <row r="9491" customFormat="false" ht="17.15" hidden="false" customHeight="false" outlineLevel="0" collapsed="false">
      <c r="A9491" s="0" t="s">
        <v>599</v>
      </c>
      <c r="B9491" s="0" t="s">
        <v>52</v>
      </c>
      <c r="F9491" s="35" t="n">
        <f aca="false">na_vr26</f>
        <v>0</v>
      </c>
      <c r="G9491" s="35" t="n">
        <f aca="false">na_vr26</f>
        <v>0</v>
      </c>
      <c r="H9491" s="35" t="n">
        <f aca="false">na_vr27</f>
        <v>0.5</v>
      </c>
      <c r="I9491" s="35" t="n">
        <f aca="false">na_vr28</f>
        <v>1</v>
      </c>
      <c r="J9491" s="35" t="n">
        <f aca="false">na_vr28</f>
        <v>1</v>
      </c>
      <c r="K9491" s="35" t="n">
        <f aca="false">na_vr28</f>
        <v>1</v>
      </c>
      <c r="L9491" s="35" t="n">
        <f aca="false">na_vr28</f>
        <v>1</v>
      </c>
      <c r="M9491" s="35" t="n">
        <f aca="false">na_vr28</f>
        <v>1</v>
      </c>
    </row>
    <row r="9492" customFormat="false" ht="17.15" hidden="false" customHeight="false" outlineLevel="0" collapsed="false">
      <c r="A9492" s="5" t="s">
        <v>600</v>
      </c>
      <c r="B9492" s="0" t="s">
        <v>173</v>
      </c>
      <c r="F9492" s="36" t="n">
        <f aca="false">cust_sh*tk_he_gb300*cf_chip+(1-cust_sh)*((1-Sens!$F$9491)*tk_he_gb300+Sens!$F$9491*tk_he_vr200)</f>
        <v>10.8864110021101</v>
      </c>
      <c r="G9492" s="36" t="n">
        <f aca="false">cust_sh*tk_he_gb300*cf_chip+(1-cust_sh)*((1-Sens!$G$9491)*tk_he_gb300+Sens!$G$9491*tk_he_vr200)</f>
        <v>10.8864110021101</v>
      </c>
      <c r="H9492" s="36" t="n">
        <f aca="false">cust_sh*tk_he_gb300*cf_chip+(1-cust_sh)*((1-Sens!$H$9491)*tk_he_gb300+Sens!$H$9491*tk_he_vr200)</f>
        <v>11.2211760027286</v>
      </c>
      <c r="I9492" s="36" t="n">
        <f aca="false">cust_sh*tk_he_gb300*cf_chip+(1-cust_sh)*((1-Sens!$I$9491)*tk_he_gb300+Sens!$I$9491*tk_he_vr200)</f>
        <v>11.5559410033471</v>
      </c>
      <c r="J9492" s="36" t="n">
        <f aca="false">cust_sh*tk_he_gb300*cf_chip+(1-cust_sh)*((1-Sens!$J$9491)*tk_he_gb300+Sens!$J$9491*tk_he_vr200)</f>
        <v>11.5559410033471</v>
      </c>
      <c r="K9492" s="36" t="n">
        <f aca="false">cust_sh*tk_he_gb300*cf_chip+(1-cust_sh)*((1-Sens!$K$9491)*tk_he_gb300+Sens!$K$9491*tk_he_vr200)</f>
        <v>11.5559410033471</v>
      </c>
      <c r="L9492" s="36" t="n">
        <f aca="false">cust_sh*tk_he_gb300*cf_chip+(1-cust_sh)*((1-Sens!$L$9491)*tk_he_gb300+Sens!$L$9491*tk_he_vr200)</f>
        <v>11.5559410033471</v>
      </c>
      <c r="M9492" s="36" t="n">
        <f aca="false">cust_sh*tk_he_gb300*cf_chip+(1-cust_sh)*((1-Sens!$M$9491)*tk_he_gb300+Sens!$M$9491*tk_he_vr200)</f>
        <v>11.5559410033471</v>
      </c>
    </row>
    <row r="9493" customFormat="false" ht="17.15" hidden="false" customHeight="false" outlineLevel="0" collapsed="false">
      <c r="A9493" s="5" t="s">
        <v>601</v>
      </c>
      <c r="B9493" s="0" t="s">
        <v>173</v>
      </c>
      <c r="F9493" s="36" t="n">
        <f aca="false">cust_sh*tk_ox_gb300+(1-cust_sh)*((1-Sens!$F$9491)*tk_ox_gb300+Sens!$F$9491*tk_ox_vr200)</f>
        <v>1.98263481314457</v>
      </c>
      <c r="G9493" s="36" t="n">
        <f aca="false">cust_sh*tk_ox_gb300+(1-cust_sh)*((1-Sens!$G$9491)*tk_ox_gb300+Sens!$G$9491*tk_ox_vr200)</f>
        <v>1.98263481314457</v>
      </c>
      <c r="H9493" s="36" t="n">
        <f aca="false">cust_sh*tk_ox_gb300+(1-cust_sh)*((1-Sens!$H$9491)*tk_ox_gb300+Sens!$H$9491*tk_ox_vr200)</f>
        <v>2.01034999693694</v>
      </c>
      <c r="I9493" s="36" t="n">
        <f aca="false">cust_sh*tk_ox_gb300+(1-cust_sh)*((1-Sens!$I$9491)*tk_ox_gb300+Sens!$I$9491*tk_ox_vr200)</f>
        <v>2.0380651807293</v>
      </c>
      <c r="J9493" s="36" t="n">
        <f aca="false">cust_sh*tk_ox_gb300+(1-cust_sh)*((1-Sens!$J$9491)*tk_ox_gb300+Sens!$J$9491*tk_ox_vr200)</f>
        <v>2.0380651807293</v>
      </c>
      <c r="K9493" s="36" t="n">
        <f aca="false">cust_sh*tk_ox_gb300+(1-cust_sh)*((1-Sens!$K$9491)*tk_ox_gb300+Sens!$K$9491*tk_ox_vr200)</f>
        <v>2.0380651807293</v>
      </c>
      <c r="L9493" s="36" t="n">
        <f aca="false">cust_sh*tk_ox_gb300+(1-cust_sh)*((1-Sens!$L$9491)*tk_ox_gb300+Sens!$L$9491*tk_ox_vr200)</f>
        <v>2.0380651807293</v>
      </c>
      <c r="M9493" s="36" t="n">
        <f aca="false">cust_sh*tk_ox_gb300+(1-cust_sh)*((1-Sens!$M$9491)*tk_ox_gb300+Sens!$M$9491*tk_ox_vr200)</f>
        <v>2.0380651807293</v>
      </c>
    </row>
    <row r="9494" customFormat="false" ht="17.15" hidden="false" customHeight="false" outlineLevel="0" collapsed="false">
      <c r="A9494" s="5" t="s">
        <v>602</v>
      </c>
      <c r="B9494" s="0" t="s">
        <v>192</v>
      </c>
      <c r="F9494" s="36" t="n">
        <f aca="false">cust_sh*tk_cx_gb300*cf_cx+(1-cust_sh)*((1-Sens!$F$9491)*tk_cx_gb300+Sens!$F$9491*tk_cx_vr200)</f>
        <v>32.237224</v>
      </c>
      <c r="G9494" s="36" t="n">
        <f aca="false">cust_sh*tk_cx_gb300*cf_cx+(1-cust_sh)*((1-Sens!$G$9491)*tk_cx_gb300+Sens!$G$9491*tk_cx_vr200)</f>
        <v>32.237224</v>
      </c>
      <c r="H9494" s="36" t="n">
        <f aca="false">cust_sh*tk_cx_gb300*cf_cx+(1-cust_sh)*((1-Sens!$H$9491)*tk_cx_gb300+Sens!$H$9491*tk_cx_vr200)</f>
        <v>33.574506</v>
      </c>
      <c r="I9494" s="36" t="n">
        <f aca="false">cust_sh*tk_cx_gb300*cf_cx+(1-cust_sh)*((1-Sens!$I$9491)*tk_cx_gb300+Sens!$I$9491*tk_cx_vr200)</f>
        <v>34.911788</v>
      </c>
      <c r="J9494" s="36" t="n">
        <f aca="false">cust_sh*tk_cx_gb300*cf_cx+(1-cust_sh)*((1-Sens!$J$9491)*tk_cx_gb300+Sens!$J$9491*tk_cx_vr200)</f>
        <v>34.911788</v>
      </c>
      <c r="K9494" s="36" t="n">
        <f aca="false">cust_sh*tk_cx_gb300*cf_cx+(1-cust_sh)*((1-Sens!$K$9491)*tk_cx_gb300+Sens!$K$9491*tk_cx_vr200)</f>
        <v>34.911788</v>
      </c>
      <c r="L9494" s="36" t="n">
        <f aca="false">cust_sh*tk_cx_gb300*cf_cx+(1-cust_sh)*((1-Sens!$L$9491)*tk_cx_gb300+Sens!$L$9491*tk_cx_vr200)</f>
        <v>34.911788</v>
      </c>
      <c r="M9494" s="36" t="n">
        <f aca="false">cust_sh*tk_cx_gb300*cf_cx+(1-cust_sh)*((1-Sens!$M$9491)*tk_cx_gb300+Sens!$M$9491*tk_cx_vr200)</f>
        <v>34.911788</v>
      </c>
    </row>
    <row r="9495" customFormat="false" ht="17.15" hidden="false" customHeight="false" outlineLevel="0" collapsed="false">
      <c r="A9495" s="5" t="s">
        <v>603</v>
      </c>
      <c r="B9495" s="0" t="s">
        <v>129</v>
      </c>
      <c r="F9495" s="32" t="n">
        <f aca="false">Sens!$F$9485-mw_open</f>
        <v>1817.15</v>
      </c>
      <c r="G9495" s="32" t="n">
        <f aca="false">Sens!$F$9495</f>
        <v>1817.15</v>
      </c>
      <c r="H9495" s="32" t="n">
        <f aca="false">Sens!$H$9485-mw_open</f>
        <v>5451.45</v>
      </c>
      <c r="I9495" s="32" t="n">
        <f aca="false">Sens!$I$9485-mw_open</f>
        <v>9085.75</v>
      </c>
      <c r="J9495" s="32" t="n">
        <f aca="false">Sens!$J$9485-mw_open</f>
        <v>12720.05</v>
      </c>
      <c r="K9495" s="32" t="n">
        <f aca="false">Sens!$K$9485-mw_open</f>
        <v>15241.5836666667</v>
      </c>
      <c r="L9495" s="32" t="n">
        <f aca="false">Sens!$L$9485-mw_open</f>
        <v>16650.351</v>
      </c>
      <c r="M9495" s="32" t="n">
        <f aca="false">Sens!$M$9485-mw_open</f>
        <v>16946.352</v>
      </c>
    </row>
    <row r="9496" customFormat="false" ht="17.15" hidden="false" customHeight="false" outlineLevel="0" collapsed="false">
      <c r="A9496" s="0" t="s">
        <v>604</v>
      </c>
      <c r="B9496" s="0" t="s">
        <v>605</v>
      </c>
      <c r="F9496" s="32" t="n">
        <f aca="false">Sens!$F$9488*Sens!$F$9492</f>
        <v>19782.2417524844</v>
      </c>
      <c r="G9496" s="32" t="n">
        <f aca="false">Sens!$F$9496</f>
        <v>19782.2417524844</v>
      </c>
      <c r="H9496" s="32" t="n">
        <f aca="false">Sens!$G$9496+Sens!$H$9488*Sens!$H$9492</f>
        <v>60563.3616992009</v>
      </c>
      <c r="I9496" s="32" t="n">
        <f aca="false">Sens!$H$9496+Sens!$I$9488*Sens!$I$9492</f>
        <v>102561.118087665</v>
      </c>
      <c r="J9496" s="32" t="n">
        <f aca="false">Sens!$I$9496+Sens!$J$9488*Sens!$J$9492</f>
        <v>144558.87447613</v>
      </c>
      <c r="K9496" s="32" t="n">
        <f aca="false">Sens!$J$9496+Sens!$K$9488*Sens!$K$9492</f>
        <v>173697.568766083</v>
      </c>
      <c r="L9496" s="32" t="n">
        <f aca="false">Sens!$K$9496+Sens!$L$9488*Sens!$L$9492</f>
        <v>189977.200957526</v>
      </c>
      <c r="M9496" s="32" t="n">
        <f aca="false">Sens!$L$9496+Sens!$M$9488*Sens!$M$9492</f>
        <v>193397.771050458</v>
      </c>
    </row>
    <row r="9497" customFormat="false" ht="17.15" hidden="false" customHeight="false" outlineLevel="0" collapsed="false">
      <c r="A9497" s="0" t="s">
        <v>606</v>
      </c>
      <c r="B9497" s="0" t="s">
        <v>605</v>
      </c>
      <c r="F9497" s="32" t="n">
        <f aca="false">Sens!$F$9488*Sens!$F$9493</f>
        <v>3602.74485070566</v>
      </c>
      <c r="G9497" s="32" t="n">
        <f aca="false">Sens!$F$9497</f>
        <v>3602.74485070566</v>
      </c>
      <c r="H9497" s="32" t="n">
        <f aca="false">Sens!$G$9497+Sens!$H$9488*Sens!$H$9493</f>
        <v>10908.9598445736</v>
      </c>
      <c r="I9497" s="32" t="n">
        <f aca="false">Sens!$H$9497+Sens!$I$9488*Sens!$I$9493</f>
        <v>18315.9001308981</v>
      </c>
      <c r="J9497" s="32" t="n">
        <f aca="false">Sens!$I$9497+Sens!$J$9488*Sens!$J$9493</f>
        <v>25722.8404172225</v>
      </c>
      <c r="K9497" s="32" t="n">
        <f aca="false">Sens!$J$9497+Sens!$K$9488*Sens!$K$9493</f>
        <v>30861.8903852926</v>
      </c>
      <c r="L9497" s="32" t="n">
        <f aca="false">Sens!$K$9497+Sens!$L$9488*Sens!$L$9493</f>
        <v>33733.0500351081</v>
      </c>
      <c r="M9497" s="32" t="n">
        <f aca="false">Sens!$L$9497+Sens!$M$9488*Sens!$M$9493</f>
        <v>34336.3193666691</v>
      </c>
    </row>
    <row r="9498" customFormat="false" ht="17.15" hidden="false" customHeight="false" outlineLevel="0" collapsed="false">
      <c r="A9498" s="5" t="s">
        <v>607</v>
      </c>
      <c r="B9498" s="0" t="s">
        <v>173</v>
      </c>
      <c r="F9498" s="36" t="n">
        <f aca="false">IF(Sens!$F$9495&gt;0,Sens!$F$9496/Sens!$F$9495,Sens!$F$9492)</f>
        <v>10.8864110021101</v>
      </c>
      <c r="G9498" s="36" t="n">
        <f aca="false">IF(Sens!$G$9495&gt;0,Sens!$G$9496/Sens!$G$9495,Sens!$G$9492)</f>
        <v>10.8864110021101</v>
      </c>
      <c r="H9498" s="36" t="n">
        <f aca="false">IF(Sens!$H$9495&gt;0,Sens!$H$9496/Sens!$H$9495,Sens!$H$9492)</f>
        <v>11.1095876691891</v>
      </c>
      <c r="I9498" s="36" t="n">
        <f aca="false">IF(Sens!$I$9495&gt;0,Sens!$I$9496/Sens!$I$9495,Sens!$I$9492)</f>
        <v>11.2881290028523</v>
      </c>
      <c r="J9498" s="36" t="n">
        <f aca="false">IF(Sens!$J$9495&gt;0,Sens!$J$9496/Sens!$J$9495,Sens!$J$9492)</f>
        <v>11.3646467172794</v>
      </c>
      <c r="K9498" s="36" t="n">
        <f aca="false">IF(Sens!$K$9495&gt;0,Sens!$K$9496/Sens!$K$9495,Sens!$K$9492)</f>
        <v>11.3962940180527</v>
      </c>
      <c r="L9498" s="36" t="n">
        <f aca="false">IF(Sens!$L$9495&gt;0,Sens!$L$9496/Sens!$L$9495,Sens!$L$9492)</f>
        <v>11.4098015685991</v>
      </c>
      <c r="M9498" s="36" t="n">
        <f aca="false">IF(Sens!$M$9495&gt;0,Sens!$M$9496/Sens!$M$9495,Sens!$M$9492)</f>
        <v>11.4123541780825</v>
      </c>
    </row>
    <row r="9499" customFormat="false" ht="17.15" hidden="false" customHeight="false" outlineLevel="0" collapsed="false">
      <c r="A9499" s="5" t="s">
        <v>608</v>
      </c>
      <c r="B9499" s="0" t="s">
        <v>173</v>
      </c>
      <c r="F9499" s="36" t="n">
        <f aca="false">IF(Sens!$F$9495&gt;0,Sens!$F$9497/Sens!$F$9495,Sens!$F$9493)</f>
        <v>1.98263481314457</v>
      </c>
      <c r="G9499" s="36" t="n">
        <f aca="false">IF(Sens!$G$9495&gt;0,Sens!$G$9497/Sens!$G$9495,Sens!$G$9493)</f>
        <v>1.98263481314457</v>
      </c>
      <c r="H9499" s="36" t="n">
        <f aca="false">IF(Sens!$H$9495&gt;0,Sens!$H$9497/Sens!$H$9495,Sens!$H$9493)</f>
        <v>2.00111160233948</v>
      </c>
      <c r="I9499" s="36" t="n">
        <f aca="false">IF(Sens!$I$9495&gt;0,Sens!$I$9497/Sens!$I$9495,Sens!$I$9493)</f>
        <v>2.01589303369541</v>
      </c>
      <c r="J9499" s="36" t="n">
        <f aca="false">IF(Sens!$J$9495&gt;0,Sens!$J$9497/Sens!$J$9495,Sens!$J$9493)</f>
        <v>2.02222793284795</v>
      </c>
      <c r="K9499" s="36" t="n">
        <f aca="false">IF(Sens!$K$9495&gt;0,Sens!$K$9497/Sens!$K$9495,Sens!$K$9493)</f>
        <v>2.02484801187606</v>
      </c>
      <c r="L9499" s="36" t="n">
        <f aca="false">IF(Sens!$L$9495&gt;0,Sens!$L$9497/Sens!$L$9495,Sens!$L$9493)</f>
        <v>2.02596630155773</v>
      </c>
      <c r="M9499" s="36" t="n">
        <f aca="false">IF(Sens!$M$9495&gt;0,Sens!$M$9497/Sens!$M$9495,Sens!$M$9493)</f>
        <v>2.02617763201597</v>
      </c>
    </row>
    <row r="9500" customFormat="false" ht="17.15" hidden="false" customHeight="false" outlineLevel="0" collapsed="false">
      <c r="A9500" s="15" t="s">
        <v>609</v>
      </c>
      <c r="B9500" s="14" t="s">
        <v>173</v>
      </c>
      <c r="C9500" s="14"/>
      <c r="D9500" s="14"/>
      <c r="E9500" s="14"/>
      <c r="F9500" s="37" t="n">
        <f aca="false">Sens!$F$9498*k_B</f>
        <v>10.7987645808025</v>
      </c>
      <c r="G9500" s="37" t="n">
        <f aca="false">Sens!$G$9498*k_B</f>
        <v>10.7987645808025</v>
      </c>
      <c r="H9500" s="37" t="n">
        <f aca="false">Sens!$H$9498*k_B</f>
        <v>11.0201444540452</v>
      </c>
      <c r="I9500" s="37" t="n">
        <f aca="false">Sens!$I$9498*k_B</f>
        <v>11.1972483526393</v>
      </c>
      <c r="J9500" s="37" t="n">
        <f aca="false">Sens!$J$9498*k_B</f>
        <v>11.2731500234653</v>
      </c>
      <c r="K9500" s="37" t="n">
        <f aca="false">Sens!$K$9498*k_B</f>
        <v>11.3045425320343</v>
      </c>
      <c r="L9500" s="37" t="n">
        <f aca="false">Sens!$L$9498*k_B</f>
        <v>11.3179413333826</v>
      </c>
      <c r="M9500" s="37" t="n">
        <f aca="false">Sens!$M$9498*k_B</f>
        <v>11.3204733918244</v>
      </c>
      <c r="N9500" s="14"/>
      <c r="O9500" s="14"/>
      <c r="P9500" s="5" t="s">
        <v>610</v>
      </c>
    </row>
    <row r="9501" customFormat="false" ht="17.15" hidden="false" customHeight="false" outlineLevel="0" collapsed="false">
      <c r="A9501" s="5" t="s">
        <v>611</v>
      </c>
      <c r="B9501" s="0" t="s">
        <v>129</v>
      </c>
      <c r="F9501" s="32" t="n">
        <f aca="false">Sens!$F$9495/2</f>
        <v>908.575</v>
      </c>
      <c r="H9501" s="32" t="n">
        <f aca="false">(Sens!$G$9495+Sens!$H$9495)/2</f>
        <v>3634.3</v>
      </c>
      <c r="I9501" s="32" t="n">
        <f aca="false">(Sens!$H$9495+Sens!$I$9495)/2</f>
        <v>7268.6</v>
      </c>
      <c r="J9501" s="32" t="n">
        <f aca="false">(Sens!$I$9495+Sens!$J$9495)/2</f>
        <v>10902.9</v>
      </c>
      <c r="K9501" s="32" t="n">
        <f aca="false">(Sens!$J$9495+Sens!$K$9495)/2</f>
        <v>13980.8168333333</v>
      </c>
      <c r="L9501" s="32" t="n">
        <f aca="false">(Sens!$K$9495+Sens!$L$9495)/2</f>
        <v>15945.9673333333</v>
      </c>
      <c r="M9501" s="32" t="n">
        <f aca="false">(Sens!$L$9495+Sens!$M$9495)/2</f>
        <v>16798.3515</v>
      </c>
    </row>
    <row r="9502" customFormat="false" ht="17.15" hidden="false" customHeight="false" outlineLevel="0" collapsed="false">
      <c r="A9502" s="1" t="s">
        <v>612</v>
      </c>
    </row>
    <row r="9503" customFormat="false" ht="17.15" hidden="false" customHeight="false" outlineLevel="0" collapsed="false">
      <c r="A9503" s="1" t="s">
        <v>613</v>
      </c>
      <c r="B9503" s="8" t="s">
        <v>86</v>
      </c>
      <c r="C9503" s="38" t="n">
        <f aca="false">Sens!$C$9486*rpm_open*Sens!$C$9487/1000</f>
        <v>2.32100535697364</v>
      </c>
      <c r="D9503" s="38" t="n">
        <f aca="false">Sens!$D$9486*rpm_open*Sens!$D$9487/1000</f>
        <v>8.70377008865116</v>
      </c>
      <c r="E9503" s="38" t="n">
        <f aca="false">Sens!$E$9486*rpm_open*Sens!$E$9487/1000</f>
        <v>8.51035297557002</v>
      </c>
      <c r="F9503" s="38" t="n">
        <f aca="false">(mw_open*rpm_open+Sens!$F$9501*Sens!$F$9500)*Sens!$F$9487/1000</f>
        <v>14.9634336447205</v>
      </c>
      <c r="G9503" s="38" t="n">
        <f aca="false">Sens!$E$9503+Sens!$F$9503</f>
        <v>23.4737866202905</v>
      </c>
      <c r="H9503" s="38" t="n">
        <f aca="false">(mw_open*rpm_open+Sens!$H$9501*Sens!$H$9500)/1000</f>
        <v>60.1658907497746</v>
      </c>
      <c r="I9503" s="38" t="n">
        <f aca="false">(mw_open*rpm_open+Sens!$I$9501*Sens!$I$9500)/1000</f>
        <v>101.503699136432</v>
      </c>
      <c r="J9503" s="38" t="n">
        <f aca="false">(mw_open*rpm_open+Sens!$J$9501*Sens!$J$9500)/1000</f>
        <v>143.025407151278</v>
      </c>
      <c r="K9503" s="38" t="n">
        <f aca="false">(mw_open*rpm_open+Sens!$K$9501*Sens!$K$9500)/1000</f>
        <v>178.162118285436</v>
      </c>
      <c r="L9503" s="38" t="n">
        <f aca="false">(mw_open*rpm_open+Sens!$L$9501*Sens!$L$9500)/1000</f>
        <v>200.590902543141</v>
      </c>
      <c r="M9503" s="38" t="n">
        <f aca="false">(mw_open*rpm_open+Sens!$M$9501*Sens!$M$9500)/1000</f>
        <v>210.280670942702</v>
      </c>
      <c r="N9503" s="38" t="n">
        <f aca="false">Sens!$N$9486*rpm_open*Sens!$N$9487/1000</f>
        <v>3.04631953102791</v>
      </c>
      <c r="O9503" s="38" t="n">
        <f aca="false">Sens!$O$9486*rpm_open*Sens!$O$9487/1000</f>
        <v>5.65745055762326</v>
      </c>
      <c r="P9503" s="5" t="s">
        <v>614</v>
      </c>
    </row>
    <row r="9504" customFormat="false" ht="17.15" hidden="false" customHeight="false" outlineLevel="0" collapsed="false">
      <c r="A9504" s="5" t="s">
        <v>615</v>
      </c>
      <c r="B9504" s="0" t="s">
        <v>173</v>
      </c>
      <c r="C9504" s="36" t="n">
        <f aca="false">Sens!$C$9503*1000/(Sens!$C$9486*Sens!$C$9487)</f>
        <v>9.67085565405685</v>
      </c>
      <c r="D9504" s="36" t="n">
        <f aca="false">Sens!$D$9503*1000/(Sens!$D$9486*Sens!$D$9487)</f>
        <v>9.67085565405685</v>
      </c>
      <c r="E9504" s="36" t="n">
        <f aca="false">Sens!$E$9503*1000/(Sens!$E$9486*Sens!$E$9487)</f>
        <v>9.67085565405685</v>
      </c>
      <c r="F9504" s="36" t="n">
        <f aca="false">Sens!$F$9503*1000/(Sens!$F$9486*Sens!$F$9487)</f>
        <v>10.0137581588017</v>
      </c>
      <c r="G9504" s="36" t="n">
        <f aca="false">Sens!$G$9503*1000/(Sens!$G$9486*Sens!$G$9487)</f>
        <v>9.88666562928478</v>
      </c>
      <c r="H9504" s="36" t="n">
        <f aca="false">Sens!$H$9503*1000/(Sens!$H$9486*Sens!$H$9487)</f>
        <v>10.5290045586992</v>
      </c>
      <c r="I9504" s="36" t="n">
        <f aca="false">Sens!$I$9503*1000/(Sens!$I$9486*Sens!$I$9487)</f>
        <v>10.8576363451674</v>
      </c>
      <c r="J9504" s="36" t="n">
        <f aca="false">Sens!$J$9503*1000/(Sens!$J$9486*Sens!$J$9487)</f>
        <v>11.0164452588619</v>
      </c>
      <c r="K9504" s="36" t="n">
        <f aca="false">Sens!$K$9503*1000/(Sens!$K$9486*Sens!$K$9487)</f>
        <v>11.0929674458194</v>
      </c>
      <c r="L9504" s="36" t="n">
        <f aca="false">Sens!$L$9503*1000/(Sens!$L$9486*Sens!$L$9487)</f>
        <v>11.1278856126745</v>
      </c>
      <c r="M9504" s="36" t="n">
        <f aca="false">Sens!$M$9503*1000/(Sens!$M$9486*Sens!$M$9487)</f>
        <v>11.1387199747129</v>
      </c>
      <c r="N9504" s="36" t="n">
        <f aca="false">Sens!$N$9503*1000/(Sens!$N$9486*Sens!$N$9487)</f>
        <v>9.67085565405685</v>
      </c>
      <c r="O9504" s="36" t="n">
        <f aca="false">Sens!$O$9503*1000/(Sens!$O$9486*Sens!$O$9487)</f>
        <v>9.67085565405685</v>
      </c>
    </row>
    <row r="9505" customFormat="false" ht="17.15" hidden="false" customHeight="false" outlineLevel="0" collapsed="false">
      <c r="A9505" s="0" t="s">
        <v>616</v>
      </c>
      <c r="B9505" s="0" t="s">
        <v>86</v>
      </c>
      <c r="C9505" s="38" t="n">
        <f aca="false">Sens!$C$9486/ext_sh*(ox_open+rent_mw)*Sens!$C$9487/1000</f>
        <v>0.642569210675032</v>
      </c>
      <c r="D9505" s="38" t="n">
        <f aca="false">Sens!$D$9486/ext_sh*(ox_open+rent_mw)*Sens!$D$9487/1000</f>
        <v>2.40963454003137</v>
      </c>
      <c r="E9505" s="38" t="n">
        <f aca="false">Sens!$E$9486/ext_sh*(ox_open+rent_mw)*Sens!$E$9487/1000</f>
        <v>2.35608710580845</v>
      </c>
      <c r="F9505" s="38" t="n">
        <f aca="false">((mw_open*ox_open+Sens!$F$9501*Sens!$F$9499)/ext_sh+Sens!$F$9486/ext_sh*rent_mw)*Sens!$F$9487/1000</f>
        <v>4.05421991106232</v>
      </c>
      <c r="G9505" s="38" t="n">
        <f aca="false">Sens!$E$9505+Sens!$F$9505</f>
        <v>6.41030701687077</v>
      </c>
      <c r="H9505" s="38" t="n">
        <f aca="false">((mw_open*ox_open+Sens!$H$9501*Sens!$H$9499)/ext_sh+Sens!$H$9486/ext_sh*rent_mw)*Sens!$H$9487/1000</f>
        <v>15.8108975546616</v>
      </c>
      <c r="I9505" s="38" t="n">
        <f aca="false">((mw_open*ox_open+Sens!$I$9501*Sens!$I$9499)/ext_sh+Sens!$I$9486/ext_sh*rent_mw)*Sens!$I$9487/1000</f>
        <v>26.1871623400817</v>
      </c>
      <c r="J9505" s="38" t="n">
        <f aca="false">((mw_open*ox_open+Sens!$J$9501*Sens!$J$9499)/ext_sh+Sens!$J$9486/ext_sh*rent_mw)*Sens!$J$9487/1000</f>
        <v>36.5826128954935</v>
      </c>
      <c r="K9505" s="38" t="n">
        <f aca="false">((mw_open*ox_open+Sens!$K$9501*Sens!$K$9499)/ext_sh+Sens!$K$9486/ext_sh*rent_mw)*Sens!$K$9487/1000</f>
        <v>45.3836433528648</v>
      </c>
      <c r="L9505" s="38" t="n">
        <f aca="false">((mw_open*ox_open+Sens!$L$9501*Sens!$L$9499)/ext_sh+Sens!$L$9486/ext_sh*rent_mw)*Sens!$L$9487/1000</f>
        <v>51.0023088908591</v>
      </c>
      <c r="M9505" s="38" t="n">
        <f aca="false">((mw_open*ox_open+Sens!$M$9501*Sens!$M$9499)/ext_sh+Sens!$M$9486/ext_sh*rent_mw)*Sens!$M$9487/1000</f>
        <v>53.4353660768611</v>
      </c>
      <c r="N9505" s="38" t="n">
        <f aca="false">Sens!$N$9486/ext_sh*(ox_open+rent_mw)*Sens!$N$9487/1000</f>
        <v>0.84337208901098</v>
      </c>
      <c r="O9505" s="38" t="n">
        <f aca="false">Sens!$O$9486/ext_sh*(ox_open+rent_mw)*Sens!$O$9487/1000</f>
        <v>1.56626245102039</v>
      </c>
    </row>
    <row r="9506" customFormat="false" ht="17.15" hidden="false" customHeight="false" outlineLevel="0" collapsed="false">
      <c r="A9506" s="0" t="s">
        <v>617</v>
      </c>
      <c r="B9506" s="0" t="s">
        <v>86</v>
      </c>
      <c r="C9506" s="38" t="n">
        <f aca="false">Q!$D$7</f>
        <v>107.556</v>
      </c>
      <c r="D9506" s="38" t="n">
        <f aca="false">Q!$E$7</f>
        <v>128.725</v>
      </c>
      <c r="E9506" s="38" t="n">
        <f aca="false">Q!$P$7</f>
        <v>79.819</v>
      </c>
      <c r="N9506" s="38" t="n">
        <f aca="false">Q!$N$7</f>
        <v>60.14</v>
      </c>
      <c r="O9506" s="38" t="n">
        <f aca="false">Q!$O$7</f>
        <v>68.585</v>
      </c>
    </row>
    <row r="9507" customFormat="false" ht="17.15" hidden="false" customHeight="false" outlineLevel="0" collapsed="false">
      <c r="A9507" s="1" t="s">
        <v>618</v>
      </c>
      <c r="B9507" s="8" t="s">
        <v>86</v>
      </c>
      <c r="C9507" s="38" t="n">
        <f aca="false">Sens!$C$9506-Sens!$C$9503</f>
        <v>105.234994643026</v>
      </c>
      <c r="D9507" s="38" t="n">
        <f aca="false">Sens!$D$9506-Sens!$D$9503</f>
        <v>120.021229911349</v>
      </c>
      <c r="E9507" s="38" t="n">
        <f aca="false">Sens!$E$9506-Sens!$E$9503</f>
        <v>71.30864702443</v>
      </c>
      <c r="F9507" s="38" t="n">
        <f aca="false">Sens!$O$9507*(1+Sens!$F$9508)</f>
        <v>71.7692997942464</v>
      </c>
      <c r="G9507" s="38" t="n">
        <f aca="false">Sens!$E$9507+Sens!$F$9507</f>
        <v>143.077946818676</v>
      </c>
      <c r="H9507" s="38" t="n">
        <f aca="false">Sens!$G$9507*(1+Sens!$H$9508)</f>
        <v>161.017077079203</v>
      </c>
      <c r="I9507" s="38" t="n">
        <f aca="false">Sens!$H$9507*(1+Sens!$I$9508)</f>
        <v>178.769759521457</v>
      </c>
      <c r="J9507" s="38" t="n">
        <f aca="false">Sens!$I$9507*(1+Sens!$J$9508)</f>
        <v>195.775538045907</v>
      </c>
      <c r="K9507" s="38" t="n">
        <f aca="false">Sens!$J$9507*(1+Sens!$K$9508)</f>
        <v>211.43758108958</v>
      </c>
      <c r="L9507" s="38" t="n">
        <f aca="false">Sens!$K$9507*(1+Sens!$L$9508)</f>
        <v>228.352587576746</v>
      </c>
      <c r="M9507" s="38" t="n">
        <f aca="false">Sens!$L$9507*(1+Sens!$M$9508)</f>
        <v>246.620794582886</v>
      </c>
      <c r="N9507" s="38" t="n">
        <f aca="false">Sens!$N$9506-Sens!$N$9503</f>
        <v>57.0936804689721</v>
      </c>
      <c r="O9507" s="38" t="n">
        <f aca="false">Sens!$O$9506-Sens!$O$9503</f>
        <v>62.9275494423768</v>
      </c>
      <c r="P9507" s="5" t="s">
        <v>619</v>
      </c>
    </row>
    <row r="9508" customFormat="false" ht="17.15" hidden="false" customHeight="false" outlineLevel="0" collapsed="false">
      <c r="A9508" s="0" t="s">
        <v>620</v>
      </c>
      <c r="B9508" s="0" t="s">
        <v>52</v>
      </c>
      <c r="D9508" s="13" t="n">
        <f aca="false">Sens!$D$9507/Sens!$C$9507-1</f>
        <v>0.140506827776062</v>
      </c>
      <c r="E9508" s="13" t="n">
        <f aca="false">Sens!$E$9507/Sens!$N$9507-1</f>
        <v>0.248976181579029</v>
      </c>
      <c r="F9508" s="13" t="n">
        <f aca="false">Sens!$D$9508</f>
        <v>0.140506827776062</v>
      </c>
      <c r="G9508" s="13" t="n">
        <f aca="false">Sens!$G$9507/Sens!$D$9507-1</f>
        <v>0.19210532106993</v>
      </c>
      <c r="H9508" s="13" t="n">
        <f aca="false">Sens!$F$9508+(g_awso_lt-Sens!$F$9508)*1/4</f>
        <v>0.125380120832046</v>
      </c>
      <c r="I9508" s="13" t="n">
        <f aca="false">Sens!$F$9508+(g_awso_lt-Sens!$F$9508)*2/4</f>
        <v>0.110253413888031</v>
      </c>
      <c r="J9508" s="13" t="n">
        <f aca="false">Sens!$F$9508+(g_awso_lt-Sens!$F$9508)*3/4</f>
        <v>0.0951267069440154</v>
      </c>
      <c r="K9508" s="13" t="n">
        <f aca="false">Sens!$F$9508+(g_awso_lt-Sens!$F$9508)*4/4</f>
        <v>0.08</v>
      </c>
      <c r="L9508" s="13" t="n">
        <f aca="false">g_awso_lt</f>
        <v>0.08</v>
      </c>
      <c r="M9508" s="13" t="n">
        <f aca="false">g_awso_lt</f>
        <v>0.08</v>
      </c>
      <c r="P9508" s="5" t="s">
        <v>621</v>
      </c>
    </row>
    <row r="9509" customFormat="false" ht="17.15" hidden="false" customHeight="false" outlineLevel="0" collapsed="false">
      <c r="A9509" s="1" t="s">
        <v>622</v>
      </c>
    </row>
    <row r="9510" customFormat="false" ht="17.15" hidden="false" customHeight="false" outlineLevel="0" collapsed="false">
      <c r="A9510" s="0" t="s">
        <v>623</v>
      </c>
      <c r="B9510" s="0" t="s">
        <v>86</v>
      </c>
      <c r="F9510" s="38" t="n">
        <f aca="false">cx_rt*Sens!$F$9475+cx_awso*Sens!$F$9507</f>
        <v>34.9734495387866</v>
      </c>
    </row>
    <row r="9511" customFormat="false" ht="17.15" hidden="false" customHeight="false" outlineLevel="0" collapsed="false">
      <c r="A9511" s="0" t="s">
        <v>624</v>
      </c>
      <c r="B9511" s="0" t="s">
        <v>52</v>
      </c>
      <c r="C9511" s="13" t="n">
        <f aca="false">tk_cx_h100/(tk_cx_h100+tk_fac*(1-colo_sh))</f>
        <v>0.730756458006641</v>
      </c>
      <c r="D9511" s="13" t="n">
        <f aca="false">tk_cx_h100/(tk_cx_h100+tk_fac*(1-colo_sh))</f>
        <v>0.730756458006641</v>
      </c>
      <c r="E9511" s="13" t="n">
        <f aca="false">Sens!$F$9511</f>
        <v>0.760792334328868</v>
      </c>
      <c r="F9511" s="13" t="n">
        <f aca="false">Sens!$F$9494/(Sens!$F$9494+tk_fac*(1-colo_sh))</f>
        <v>0.760792334328868</v>
      </c>
      <c r="G9511" s="13" t="n">
        <f aca="false">Sens!$G$9494/(Sens!$G$9494+tk_fac*(1-colo_sh))</f>
        <v>0.760792334328868</v>
      </c>
      <c r="H9511" s="13" t="n">
        <f aca="false">Sens!$H$9494/(Sens!$H$9494+tk_fac*(1-colo_sh))</f>
        <v>0.768110668862996</v>
      </c>
      <c r="I9511" s="13" t="n">
        <f aca="false">Sens!$I$9494/(Sens!$I$9494+tk_fac*(1-colo_sh))</f>
        <v>0.77499450139483</v>
      </c>
      <c r="J9511" s="13" t="n">
        <f aca="false">Sens!$J$9494/(Sens!$J$9494+tk_fac*(1-colo_sh))</f>
        <v>0.77499450139483</v>
      </c>
      <c r="K9511" s="13" t="n">
        <f aca="false">Sens!$K$9494/(Sens!$K$9494+tk_fac*(1-colo_sh))</f>
        <v>0.77499450139483</v>
      </c>
      <c r="L9511" s="13" t="n">
        <f aca="false">Sens!$L$9494/(Sens!$L$9494+tk_fac*(1-colo_sh))</f>
        <v>0.77499450139483</v>
      </c>
      <c r="M9511" s="13" t="n">
        <f aca="false">Sens!$M$9494/(Sens!$M$9494+tk_fac*(1-colo_sh))</f>
        <v>0.77499450139483</v>
      </c>
    </row>
    <row r="9512" customFormat="false" ht="17.15" hidden="false" customHeight="false" outlineLevel="0" collapsed="false">
      <c r="A9512" s="1" t="s">
        <v>625</v>
      </c>
      <c r="B9512" s="8" t="s">
        <v>86</v>
      </c>
      <c r="C9512" s="38" t="n">
        <f aca="false">Q!$D$46-cx_rt*Q!$D$16-cx_awso*Sens!$C$9507</f>
        <v>25.2781053077374</v>
      </c>
      <c r="D9512" s="38" t="n">
        <f aca="false">Q!$E$46-cx_rt*Q!$E$16-cx_awso*Sens!$D$9507</f>
        <v>69.5686316310026</v>
      </c>
      <c r="E9512" s="38" t="n">
        <f aca="false">Q!$P$46-cx_rt*Q!$P$16-cx_awso*Sens!$E$9507</f>
        <v>64.1899206485108</v>
      </c>
      <c r="F9512" s="38" t="n">
        <f aca="false">MAX(Sens!$F$9489*(Sens!$F$9494+tk_fac*(1-colo_sh))/1000,capex_g26-Q!$P$46-Sens!$F$9510)</f>
        <v>96.2481299895</v>
      </c>
      <c r="G9512" s="38" t="n">
        <f aca="false">Sens!$E$9512+Sens!$F$9512</f>
        <v>160.438050638011</v>
      </c>
      <c r="H9512" s="38" t="n">
        <f aca="false">Sens!$H$9489*(Sens!$H$9494+tk_fac*(1-colo_sh))/1000+Sens!$H$9513</f>
        <v>198.57136494475</v>
      </c>
      <c r="I9512" s="38" t="n">
        <f aca="false">Sens!$I$9489*(Sens!$I$9494+tk_fac*(1-colo_sh))/1000+Sens!$I$9513</f>
        <v>204.6464699105</v>
      </c>
      <c r="J9512" s="38" t="n">
        <f aca="false">Sens!$J$9489*(Sens!$J$9494+tk_fac*(1-colo_sh))/1000+Sens!$J$9513</f>
        <v>209.8832381105</v>
      </c>
      <c r="K9512" s="38" t="n">
        <f aca="false">Sens!$K$9489*(Sens!$K$9494+tk_fac*(1-colo_sh))/1000+Sens!$K$9513</f>
        <v>152.460428963578</v>
      </c>
      <c r="L9512" s="38" t="n">
        <f aca="false">Sens!$L$9489*(Sens!$L$9494+tk_fac*(1-colo_sh))/1000+Sens!$L$9513</f>
        <v>126.458229016657</v>
      </c>
      <c r="M9512" s="38" t="n">
        <f aca="false">Sens!$M$9489*(Sens!$M$9494+tk_fac*(1-colo_sh))/1000+Sens!$M$9513</f>
        <v>123.897112724985</v>
      </c>
      <c r="P9512" s="5" t="s">
        <v>626</v>
      </c>
      <c r="R9512" s="38" t="n">
        <f aca="false">Q!$C$46-cx_rt*Q!$C$16-cx_awso*(Q!$C$7-mw_ye23/2*rpm_open/1000)</f>
        <v>1.50429979529945</v>
      </c>
      <c r="S9512" s="38" t="n">
        <f aca="false">Sens!$C$9512</f>
        <v>25.2781053077374</v>
      </c>
      <c r="T9512" s="38" t="n">
        <f aca="false">Sens!$D$9512</f>
        <v>69.5686316310026</v>
      </c>
      <c r="U9512" s="38" t="n">
        <f aca="false">Sens!$G$9512</f>
        <v>160.438050638011</v>
      </c>
      <c r="V9512" s="38" t="n">
        <f aca="false">Sens!$H$9512</f>
        <v>198.57136494475</v>
      </c>
      <c r="W9512" s="38" t="n">
        <f aca="false">Sens!$I$9512</f>
        <v>204.6464699105</v>
      </c>
      <c r="X9512" s="38" t="n">
        <f aca="false">Sens!$J$9512</f>
        <v>209.8832381105</v>
      </c>
      <c r="Y9512" s="38" t="n">
        <f aca="false">Sens!$K$9512</f>
        <v>152.460428963578</v>
      </c>
      <c r="Z9512" s="38" t="n">
        <f aca="false">Sens!$L$9512</f>
        <v>126.458229016657</v>
      </c>
      <c r="AA9512" s="38" t="n">
        <f aca="false">Sens!$M$9512</f>
        <v>123.897112724985</v>
      </c>
    </row>
    <row r="9513" customFormat="false" ht="17.15" hidden="false" customHeight="false" outlineLevel="0" collapsed="false">
      <c r="A9513" s="0" t="s">
        <v>627</v>
      </c>
      <c r="B9513" s="0" t="s">
        <v>86</v>
      </c>
      <c r="H9513" s="38" t="n">
        <f aca="false">SUMPRODUCT(--(Sens!$R$9482:$AA$9482=2027-tk_life),Sens!$R$9489:$AA$9489)*Sens!$H$9494/1000</f>
        <v>0</v>
      </c>
      <c r="I9513" s="38" t="n">
        <f aca="false">SUMPRODUCT(--(Sens!$R$9482:$AA$9482=2028-tk_life),Sens!$R$9489:$AA$9489)*Sens!$I$9494/1000</f>
        <v>0</v>
      </c>
      <c r="J9513" s="38" t="n">
        <f aca="false">SUMPRODUCT(--(Sens!$R$9482:$AA$9482=2029-tk_life),Sens!$R$9489:$AA$9489)*Sens!$J$9494/1000</f>
        <v>5.2367682</v>
      </c>
      <c r="K9513" s="38" t="n">
        <f aca="false">SUMPRODUCT(--(Sens!$R$9482:$AA$9482=2030-tk_life),Sens!$R$9489:$AA$9489)*Sens!$K$9494/1000</f>
        <v>10.4735364</v>
      </c>
      <c r="L9513" s="38" t="n">
        <f aca="false">SUMPRODUCT(--(Sens!$R$9482:$AA$9482=2031-tk_life),Sens!$R$9489:$AA$9489)*Sens!$L$9494/1000</f>
        <v>47.1309138</v>
      </c>
      <c r="M9513" s="38" t="n">
        <f aca="false">SUMPRODUCT(--(Sens!$R$9482:$AA$9482=2032-tk_life),Sens!$R$9489:$AA$9489)*Sens!$M$9494/1000</f>
        <v>107.22937485525</v>
      </c>
    </row>
    <row r="9514" customFormat="false" ht="17.15" hidden="false" customHeight="false" outlineLevel="0" collapsed="false">
      <c r="A9514" s="5" t="s">
        <v>628</v>
      </c>
      <c r="B9514" s="0" t="s">
        <v>86</v>
      </c>
      <c r="C9514" s="38" t="n">
        <f aca="false">Sens!$C$9512*Sens!$C$9511</f>
        <v>18.472138699801</v>
      </c>
      <c r="D9514" s="38" t="n">
        <f aca="false">Sens!$D$9512*Sens!$D$9511</f>
        <v>50.8377268390402</v>
      </c>
      <c r="E9514" s="38" t="n">
        <f aca="false">Sens!$E$9512*Sens!$E$9511</f>
        <v>48.8351995705653</v>
      </c>
      <c r="F9514" s="38" t="n">
        <f aca="false">Sens!$F$9512*Sens!$F$9511</f>
        <v>73.2248394895</v>
      </c>
      <c r="G9514" s="38" t="n">
        <f aca="false">Sens!$E$9514+Sens!$F$9514</f>
        <v>122.060039060065</v>
      </c>
      <c r="H9514" s="38" t="n">
        <f aca="false">(Sens!$H$9512-Sens!$H$9513)*Sens!$H$9511+Sens!$H$9513</f>
        <v>152.52478394475</v>
      </c>
      <c r="I9514" s="38" t="n">
        <f aca="false">(Sens!$I$9512-Sens!$I$9513)*Sens!$I$9511+Sens!$I$9513</f>
        <v>158.5998889105</v>
      </c>
      <c r="J9514" s="38" t="n">
        <f aca="false">(Sens!$J$9512-Sens!$J$9513)*Sens!$J$9511+Sens!$J$9513</f>
        <v>163.8366571105</v>
      </c>
      <c r="K9514" s="38" t="n">
        <f aca="false">(Sens!$K$9512-Sens!$K$9513)*Sens!$K$9511+Sens!$K$9513</f>
        <v>120.512597406912</v>
      </c>
      <c r="L9514" s="38" t="n">
        <f aca="false">(Sens!$L$9512-Sens!$L$9513)*Sens!$L$9511+Sens!$L$9513</f>
        <v>108.609146903323</v>
      </c>
      <c r="M9514" s="38" t="n">
        <f aca="false">(Sens!$M$9512-Sens!$M$9513)*Sens!$M$9511+Sens!$M$9513</f>
        <v>120.146780054985</v>
      </c>
      <c r="R9514" s="38" t="n">
        <f aca="false">Sens!$R$9512*Sens!$C$9511</f>
        <v>1.09927679019314</v>
      </c>
      <c r="S9514" s="38" t="n">
        <f aca="false">Sens!$C$9514</f>
        <v>18.472138699801</v>
      </c>
      <c r="T9514" s="38" t="n">
        <f aca="false">Sens!$D$9514</f>
        <v>50.8377268390402</v>
      </c>
      <c r="U9514" s="38" t="n">
        <f aca="false">Sens!$G$9514</f>
        <v>122.060039060065</v>
      </c>
      <c r="V9514" s="38" t="n">
        <f aca="false">Sens!$H$9514</f>
        <v>152.52478394475</v>
      </c>
      <c r="W9514" s="38" t="n">
        <f aca="false">Sens!$I$9514</f>
        <v>158.5998889105</v>
      </c>
      <c r="X9514" s="38" t="n">
        <f aca="false">Sens!$J$9514</f>
        <v>163.8366571105</v>
      </c>
      <c r="Y9514" s="38" t="n">
        <f aca="false">Sens!$K$9514</f>
        <v>120.512597406912</v>
      </c>
      <c r="Z9514" s="38" t="n">
        <f aca="false">Sens!$L$9514</f>
        <v>108.609146903323</v>
      </c>
      <c r="AA9514" s="38" t="n">
        <f aca="false">Sens!$M$9514</f>
        <v>120.146780054985</v>
      </c>
    </row>
    <row r="9515" customFormat="false" ht="15" hidden="false" customHeight="false" outlineLevel="0" collapsed="false">
      <c r="A9515" s="5" t="s">
        <v>629</v>
      </c>
      <c r="B9515" s="0" t="s">
        <v>86</v>
      </c>
      <c r="C9515" s="38" t="n">
        <f aca="false">Sens!$C$9512-Sens!$C$9514</f>
        <v>6.80596660793636</v>
      </c>
      <c r="D9515" s="38" t="n">
        <f aca="false">Sens!$D$9512-Sens!$D$9514</f>
        <v>18.7309047919624</v>
      </c>
      <c r="E9515" s="38" t="n">
        <f aca="false">Sens!$E$9512-Sens!$E$9514</f>
        <v>15.3547210779455</v>
      </c>
      <c r="F9515" s="38" t="n">
        <f aca="false">Sens!$F$9512-Sens!$F$9514</f>
        <v>23.0232905</v>
      </c>
      <c r="G9515" s="38" t="n">
        <f aca="false">Sens!$G$9512-Sens!$G$9514</f>
        <v>38.3780115779455</v>
      </c>
      <c r="H9515" s="38" t="n">
        <f aca="false">Sens!$H$9512-Sens!$H$9514</f>
        <v>46.046581</v>
      </c>
      <c r="I9515" s="38" t="n">
        <f aca="false">Sens!$I$9512-Sens!$I$9514</f>
        <v>46.046581</v>
      </c>
      <c r="J9515" s="38" t="n">
        <f aca="false">Sens!$J$9512-Sens!$J$9514</f>
        <v>46.046581</v>
      </c>
      <c r="K9515" s="38" t="n">
        <f aca="false">Sens!$K$9512-Sens!$K$9514</f>
        <v>31.9478315566667</v>
      </c>
      <c r="L9515" s="38" t="n">
        <f aca="false">Sens!$L$9512-Sens!$L$9514</f>
        <v>17.8490821133333</v>
      </c>
      <c r="M9515" s="38" t="n">
        <f aca="false">Sens!$M$9512-Sens!$M$9514</f>
        <v>3.75033267000001</v>
      </c>
      <c r="R9515" s="38" t="n">
        <f aca="false">Sens!$R$9512-Sens!$R$9514</f>
        <v>0.405023005106309</v>
      </c>
      <c r="S9515" s="38" t="n">
        <f aca="false">Sens!$S$9512-Sens!$S$9514</f>
        <v>6.80596660793636</v>
      </c>
      <c r="T9515" s="38" t="n">
        <f aca="false">Sens!$T$9512-Sens!$T$9514</f>
        <v>18.7309047919624</v>
      </c>
      <c r="U9515" s="38" t="n">
        <f aca="false">Sens!$U$9512-Sens!$U$9514</f>
        <v>38.3780115779455</v>
      </c>
      <c r="V9515" s="38" t="n">
        <f aca="false">Sens!$V$9512-Sens!$V$9514</f>
        <v>46.046581</v>
      </c>
      <c r="W9515" s="38" t="n">
        <f aca="false">Sens!$W$9512-Sens!$W$9514</f>
        <v>46.046581</v>
      </c>
      <c r="X9515" s="38" t="n">
        <f aca="false">Sens!$X$9512-Sens!$X$9514</f>
        <v>46.046581</v>
      </c>
      <c r="Y9515" s="38" t="n">
        <f aca="false">Sens!$Y$9512-Sens!$Y$9514</f>
        <v>31.9478315566667</v>
      </c>
      <c r="Z9515" s="38" t="n">
        <f aca="false">Sens!$Z$9512-Sens!$Z$9514</f>
        <v>17.8490821133333</v>
      </c>
      <c r="AA9515" s="38" t="n">
        <f aca="false">Sens!$AA$9512-Sens!$AA$9514</f>
        <v>3.75033267000001</v>
      </c>
    </row>
    <row r="9516" customFormat="false" ht="17.15" hidden="false" customHeight="false" outlineLevel="0" collapsed="false">
      <c r="A9516" s="0" t="s">
        <v>630</v>
      </c>
      <c r="B9516" s="0" t="s">
        <v>52</v>
      </c>
      <c r="C9516" s="13" t="n">
        <f aca="false">Sens!$C$9512/Sens!$C$9632</f>
        <v>0.325505489553393</v>
      </c>
      <c r="D9516" s="13" t="n">
        <f aca="false">Sens!$D$9512/Sens!$D$9632</f>
        <v>0.54214956071542</v>
      </c>
      <c r="E9516" s="13" t="n">
        <f aca="false">Sens!$E$9512/Sens!$E$9632</f>
        <v>0.666492790452817</v>
      </c>
      <c r="F9516" s="13" t="n">
        <f aca="false">Sens!$F$9512/Sens!$F$9632</f>
        <v>0.733477910687338</v>
      </c>
      <c r="G9516" s="13" t="n">
        <f aca="false">Sens!$G$9512/Sens!$G$9632</f>
        <v>0.705124321514523</v>
      </c>
      <c r="H9516" s="13" t="n">
        <f aca="false">Sens!$H$9512/Sens!$H$9632</f>
        <v>0.726376041178204</v>
      </c>
      <c r="I9516" s="13" t="n">
        <f aca="false">Sens!$I$9512/Sens!$I$9632</f>
        <v>0.713099092661699</v>
      </c>
      <c r="J9516" s="13" t="n">
        <f aca="false">Sens!$J$9512/Sens!$J$9632</f>
        <v>0.701208348786245</v>
      </c>
      <c r="K9516" s="13" t="n">
        <f aca="false">Sens!$K$9512/Sens!$K$9632</f>
        <v>0.614068498670476</v>
      </c>
      <c r="L9516" s="13" t="n">
        <f aca="false">Sens!$L$9512/Sens!$L$9632</f>
        <v>0.551880938289018</v>
      </c>
      <c r="M9516" s="13" t="n">
        <f aca="false">Sens!$M$9512/Sens!$M$9632</f>
        <v>0.529570283055906</v>
      </c>
    </row>
    <row r="9517" customFormat="false" ht="17.15" hidden="false" customHeight="false" outlineLevel="0" collapsed="false">
      <c r="A9517" s="0" t="s">
        <v>631</v>
      </c>
      <c r="B9517" s="0" t="s">
        <v>86</v>
      </c>
      <c r="C9517" s="38" t="n">
        <f aca="false">Sens!$S$9517</f>
        <v>0.183212798365523</v>
      </c>
      <c r="D9517" s="38" t="n">
        <f aca="false">Sens!$T$9517</f>
        <v>3.2619025816657</v>
      </c>
      <c r="E9517" s="38" t="n">
        <f aca="false">Sens!$G$9517/2</f>
        <v>5.86742852741953</v>
      </c>
      <c r="F9517" s="38" t="n">
        <f aca="false">Sens!$G$9517/2</f>
        <v>5.86742852741953</v>
      </c>
      <c r="G9517" s="38" t="n">
        <f aca="false">Sens!$U$9517</f>
        <v>11.7348570548391</v>
      </c>
      <c r="H9517" s="38" t="n">
        <f aca="false">Sens!$V$9517</f>
        <v>32.0781968981833</v>
      </c>
      <c r="I9517" s="38" t="n">
        <f aca="false">Sens!$W$9517</f>
        <v>57.4989942223083</v>
      </c>
      <c r="J9517" s="38" t="n">
        <f aca="false">Sens!$X$9517</f>
        <v>83.932309040725</v>
      </c>
      <c r="K9517" s="38" t="n">
        <f aca="false">Sens!$Y$9517</f>
        <v>111.055205760776</v>
      </c>
      <c r="L9517" s="38" t="n">
        <f aca="false">Sens!$Z$9517</f>
        <v>128.061948878628</v>
      </c>
      <c r="M9517" s="38" t="n">
        <f aca="false">Sens!$AA$9517</f>
        <v>137.690518889342</v>
      </c>
      <c r="N9517" s="38" t="n">
        <f aca="false">Sens!$D$9517/2</f>
        <v>1.63095129083285</v>
      </c>
      <c r="O9517" s="38" t="n">
        <f aca="false">Sens!$D$9517/2</f>
        <v>1.63095129083285</v>
      </c>
      <c r="R9517" s="38" t="n">
        <f aca="false">SUMPRODUCT(--(Sens!$R$9482:$AA$9482&lt;Sens!R$9482),--(Sens!$R$9482:$AA$9482&gt;=Sens!R$9482-tk_life),Sens!$R$9514:$AA$9514)/tk_life</f>
        <v>0</v>
      </c>
      <c r="S9517" s="38" t="n">
        <f aca="false">SUMPRODUCT(--(Sens!$R$9482:$AA$9482&lt;Sens!S$9482),--(Sens!$R$9482:$AA$9482&gt;=Sens!S$9482-tk_life),Sens!$R$9514:$AA$9514)/tk_life</f>
        <v>0.183212798365523</v>
      </c>
      <c r="T9517" s="38" t="n">
        <f aca="false">SUMPRODUCT(--(Sens!$R$9482:$AA$9482&lt;Sens!T$9482),--(Sens!$R$9482:$AA$9482&gt;=Sens!T$9482-tk_life),Sens!$R$9514:$AA$9514)/tk_life</f>
        <v>3.2619025816657</v>
      </c>
      <c r="U9517" s="38" t="n">
        <f aca="false">SUMPRODUCT(--(Sens!$R$9482:$AA$9482&lt;Sens!U$9482),--(Sens!$R$9482:$AA$9482&gt;=Sens!U$9482-tk_life),Sens!$R$9514:$AA$9514)/tk_life</f>
        <v>11.7348570548391</v>
      </c>
      <c r="V9517" s="38" t="n">
        <f aca="false">SUMPRODUCT(--(Sens!$R$9482:$AA$9482&lt;Sens!V$9482),--(Sens!$R$9482:$AA$9482&gt;=Sens!V$9482-tk_life),Sens!$R$9514:$AA$9514)/tk_life</f>
        <v>32.0781968981833</v>
      </c>
      <c r="W9517" s="38" t="n">
        <f aca="false">SUMPRODUCT(--(Sens!$R$9482:$AA$9482&lt;Sens!W$9482),--(Sens!$R$9482:$AA$9482&gt;=Sens!W$9482-tk_life),Sens!$R$9514:$AA$9514)/tk_life</f>
        <v>57.4989942223083</v>
      </c>
      <c r="X9517" s="38" t="n">
        <f aca="false">SUMPRODUCT(--(Sens!$R$9482:$AA$9482&lt;Sens!X$9482),--(Sens!$R$9482:$AA$9482&gt;=Sens!X$9482-tk_life),Sens!$R$9514:$AA$9514)/tk_life</f>
        <v>83.932309040725</v>
      </c>
      <c r="Y9517" s="38" t="n">
        <f aca="false">SUMPRODUCT(--(Sens!$R$9482:$AA$9482&lt;Sens!Y$9482),--(Sens!$R$9482:$AA$9482&gt;=Sens!Y$9482-tk_life),Sens!$R$9514:$AA$9514)/tk_life</f>
        <v>111.055205760776</v>
      </c>
      <c r="Z9517" s="38" t="n">
        <f aca="false">SUMPRODUCT(--(Sens!$R$9482:$AA$9482&lt;Sens!Z$9482),--(Sens!$R$9482:$AA$9482&gt;=Sens!Z$9482-tk_life),Sens!$R$9514:$AA$9514)/tk_life</f>
        <v>128.061948878628</v>
      </c>
      <c r="AA9517" s="38" t="n">
        <f aca="false">SUMPRODUCT(--(Sens!$R$9482:$AA$9482&lt;Sens!AA$9482),--(Sens!$R$9482:$AA$9482&gt;=Sens!AA$9482-tk_life),Sens!$R$9514:$AA$9514)/tk_life</f>
        <v>137.690518889342</v>
      </c>
    </row>
    <row r="9518" customFormat="false" ht="17.15" hidden="false" customHeight="false" outlineLevel="0" collapsed="false">
      <c r="A9518" s="0" t="s">
        <v>632</v>
      </c>
      <c r="B9518" s="0" t="s">
        <v>86</v>
      </c>
      <c r="C9518" s="38" t="n">
        <f aca="false">Sens!$S$9518</f>
        <v>0.0202511502553155</v>
      </c>
      <c r="D9518" s="38" t="n">
        <f aca="false">Sens!$T$9518</f>
        <v>0.360549480652134</v>
      </c>
      <c r="E9518" s="38" t="n">
        <f aca="false">Sens!$G$9518/2</f>
        <v>0.648547360125127</v>
      </c>
      <c r="F9518" s="38" t="n">
        <f aca="false">Sens!$G$9518/2</f>
        <v>0.648547360125127</v>
      </c>
      <c r="G9518" s="38" t="n">
        <f aca="false">Sens!$U$9518</f>
        <v>1.29709472025025</v>
      </c>
      <c r="H9518" s="38" t="n">
        <f aca="false">Sens!$V$9518</f>
        <v>3.21599529914753</v>
      </c>
      <c r="I9518" s="38" t="n">
        <f aca="false">Sens!$W$9518</f>
        <v>5.51832434914753</v>
      </c>
      <c r="J9518" s="38" t="n">
        <f aca="false">Sens!$X$9518</f>
        <v>7.82065339914753</v>
      </c>
      <c r="K9518" s="38" t="n">
        <f aca="false">Sens!$Y$9518</f>
        <v>10.1229824491475</v>
      </c>
      <c r="L9518" s="38" t="n">
        <f aca="false">Sens!$Z$9518</f>
        <v>11.7203740269809</v>
      </c>
      <c r="M9518" s="38" t="n">
        <f aca="false">Sens!$AA$9518</f>
        <v>12.6128281326475</v>
      </c>
      <c r="N9518" s="38" t="n">
        <f aca="false">Sens!$D$9518/2</f>
        <v>0.180274740326067</v>
      </c>
      <c r="O9518" s="38" t="n">
        <f aca="false">Sens!$D$9518/2</f>
        <v>0.180274740326067</v>
      </c>
      <c r="R9518" s="38" t="n">
        <f aca="false">SUMPRODUCT(--(Sens!$R$9482:$AA$9482&lt;Sens!R$9482),Sens!$R$9515:$AA$9515)/fac_life</f>
        <v>0</v>
      </c>
      <c r="S9518" s="38" t="n">
        <f aca="false">SUMPRODUCT(--(Sens!$R$9482:$AA$9482&lt;Sens!S$9482),Sens!$R$9515:$AA$9515)/fac_life</f>
        <v>0.0202511502553155</v>
      </c>
      <c r="T9518" s="38" t="n">
        <f aca="false">SUMPRODUCT(--(Sens!$R$9482:$AA$9482&lt;Sens!T$9482),Sens!$R$9515:$AA$9515)/fac_life</f>
        <v>0.360549480652134</v>
      </c>
      <c r="U9518" s="38" t="n">
        <f aca="false">SUMPRODUCT(--(Sens!$R$9482:$AA$9482&lt;Sens!U$9482),Sens!$R$9515:$AA$9515)/fac_life</f>
        <v>1.29709472025025</v>
      </c>
      <c r="V9518" s="38" t="n">
        <f aca="false">SUMPRODUCT(--(Sens!$R$9482:$AA$9482&lt;Sens!V$9482),Sens!$R$9515:$AA$9515)/fac_life</f>
        <v>3.21599529914753</v>
      </c>
      <c r="W9518" s="38" t="n">
        <f aca="false">SUMPRODUCT(--(Sens!$R$9482:$AA$9482&lt;Sens!W$9482),Sens!$R$9515:$AA$9515)/fac_life</f>
        <v>5.51832434914753</v>
      </c>
      <c r="X9518" s="38" t="n">
        <f aca="false">SUMPRODUCT(--(Sens!$R$9482:$AA$9482&lt;Sens!X$9482),Sens!$R$9515:$AA$9515)/fac_life</f>
        <v>7.82065339914753</v>
      </c>
      <c r="Y9518" s="38" t="n">
        <f aca="false">SUMPRODUCT(--(Sens!$R$9482:$AA$9482&lt;Sens!Y$9482),Sens!$R$9515:$AA$9515)/fac_life</f>
        <v>10.1229824491475</v>
      </c>
      <c r="Z9518" s="38" t="n">
        <f aca="false">SUMPRODUCT(--(Sens!$R$9482:$AA$9482&lt;Sens!Z$9482),Sens!$R$9515:$AA$9515)/fac_life</f>
        <v>11.7203740269809</v>
      </c>
      <c r="AA9518" s="38" t="n">
        <f aca="false">SUMPRODUCT(--(Sens!$R$9482:$AA$9482&lt;Sens!AA$9482),Sens!$R$9515:$AA$9515)/fac_life</f>
        <v>12.6128281326475</v>
      </c>
    </row>
    <row r="9519" customFormat="false" ht="17.15" hidden="false" customHeight="false" outlineLevel="0" collapsed="false">
      <c r="A9519" s="1" t="s">
        <v>633</v>
      </c>
      <c r="B9519" s="8" t="s">
        <v>86</v>
      </c>
      <c r="C9519" s="38" t="n">
        <f aca="false">Sens!$C$9517+Sens!$C$9518</f>
        <v>0.203463948620839</v>
      </c>
      <c r="D9519" s="38" t="n">
        <f aca="false">Sens!$D$9517+Sens!$D$9518</f>
        <v>3.62245206231783</v>
      </c>
      <c r="E9519" s="38" t="n">
        <f aca="false">Sens!$E$9517+Sens!$E$9518</f>
        <v>6.51597588754466</v>
      </c>
      <c r="F9519" s="38" t="n">
        <f aca="false">Sens!$F$9517+Sens!$F$9518</f>
        <v>6.51597588754466</v>
      </c>
      <c r="G9519" s="38" t="n">
        <f aca="false">Sens!$G$9517+Sens!$G$9518</f>
        <v>13.0319517750893</v>
      </c>
      <c r="H9519" s="38" t="n">
        <f aca="false">Sens!$H$9517+Sens!$H$9518</f>
        <v>35.2941921973308</v>
      </c>
      <c r="I9519" s="38" t="n">
        <f aca="false">Sens!$I$9517+Sens!$I$9518</f>
        <v>63.0173185714558</v>
      </c>
      <c r="J9519" s="38" t="n">
        <f aca="false">Sens!$J$9517+Sens!$J$9518</f>
        <v>91.7529624398725</v>
      </c>
      <c r="K9519" s="38" t="n">
        <f aca="false">Sens!$K$9517+Sens!$K$9518</f>
        <v>121.178188209924</v>
      </c>
      <c r="L9519" s="38" t="n">
        <f aca="false">Sens!$L$9517+Sens!$L$9518</f>
        <v>139.782322905609</v>
      </c>
      <c r="M9519" s="38" t="n">
        <f aca="false">Sens!$M$9517+Sens!$M$9518</f>
        <v>150.303347021989</v>
      </c>
      <c r="N9519" s="38" t="n">
        <f aca="false">Sens!$N$9517+Sens!$N$9518</f>
        <v>1.81122603115892</v>
      </c>
      <c r="O9519" s="38" t="n">
        <f aca="false">Sens!$O$9517+Sens!$O$9518</f>
        <v>1.81122603115892</v>
      </c>
      <c r="R9519" s="38" t="n">
        <f aca="false">Sens!$R$9517+Sens!$R$9518</f>
        <v>0</v>
      </c>
      <c r="S9519" s="38" t="n">
        <f aca="false">Sens!$S$9517+Sens!$S$9518</f>
        <v>0.203463948620839</v>
      </c>
      <c r="T9519" s="38" t="n">
        <f aca="false">Sens!$T$9517+Sens!$T$9518</f>
        <v>3.62245206231783</v>
      </c>
      <c r="U9519" s="38" t="n">
        <f aca="false">Sens!$U$9517+Sens!$U$9518</f>
        <v>13.0319517750893</v>
      </c>
      <c r="V9519" s="38" t="n">
        <f aca="false">Sens!$V$9517+Sens!$V$9518</f>
        <v>35.2941921973308</v>
      </c>
      <c r="W9519" s="38" t="n">
        <f aca="false">Sens!$W$9517+Sens!$W$9518</f>
        <v>63.0173185714558</v>
      </c>
      <c r="X9519" s="38" t="n">
        <f aca="false">Sens!$X$9517+Sens!$X$9518</f>
        <v>91.7529624398725</v>
      </c>
      <c r="Y9519" s="38" t="n">
        <f aca="false">Sens!$Y$9517+Sens!$Y$9518</f>
        <v>121.178188209924</v>
      </c>
      <c r="Z9519" s="38" t="n">
        <f aca="false">Sens!$Z$9517+Sens!$Z$9518</f>
        <v>139.782322905609</v>
      </c>
      <c r="AA9519" s="38" t="n">
        <f aca="false">Sens!$AA$9517+Sens!$AA$9518</f>
        <v>150.303347021989</v>
      </c>
    </row>
    <row r="9520" customFormat="false" ht="17.15" hidden="false" customHeight="false" outlineLevel="0" collapsed="false">
      <c r="A9520" s="0" t="s">
        <v>634</v>
      </c>
      <c r="B9520" s="0" t="s">
        <v>86</v>
      </c>
      <c r="C9520" s="38" t="n">
        <f aca="false">Sens!$S$9520</f>
        <v>26.578941154416</v>
      </c>
      <c r="D9520" s="38" t="n">
        <f aca="false">Sens!$T$9520</f>
        <v>92.5251207231008</v>
      </c>
      <c r="G9520" s="38" t="n">
        <f aca="false">Sens!$U$9520</f>
        <v>239.931219586022</v>
      </c>
      <c r="H9520" s="38" t="n">
        <f aca="false">Sens!$V$9520</f>
        <v>403.208392333442</v>
      </c>
      <c r="I9520" s="38" t="n">
        <f aca="false">Sens!$W$9520</f>
        <v>544.837543672486</v>
      </c>
      <c r="J9520" s="38" t="n">
        <f aca="false">Sens!$X$9520</f>
        <v>662.967819343113</v>
      </c>
      <c r="K9520" s="38" t="n">
        <f aca="false">Sens!$Y$9520</f>
        <v>694.250060096768</v>
      </c>
      <c r="L9520" s="38" t="n">
        <f aca="false">Sens!$Z$9520</f>
        <v>680.925966207816</v>
      </c>
      <c r="M9520" s="38" t="n">
        <f aca="false">Sens!$AA$9520</f>
        <v>654.519731910812</v>
      </c>
      <c r="R9520" s="38" t="n">
        <f aca="false">SUM(Sens!$R$9512:$R$9512)-SUM(Sens!$R$9519:$R$9519)</f>
        <v>1.50429979529945</v>
      </c>
      <c r="S9520" s="38" t="n">
        <f aca="false">SUM(Sens!$R$9512:$S$9512)-SUM(Sens!$R$9519:$S$9519)</f>
        <v>26.578941154416</v>
      </c>
      <c r="T9520" s="38" t="n">
        <f aca="false">SUM(Sens!$R$9512:$T$9512)-SUM(Sens!$R$9519:$T$9519)</f>
        <v>92.5251207231008</v>
      </c>
      <c r="U9520" s="38" t="n">
        <f aca="false">SUM(Sens!$R$9512:$U$9512)-SUM(Sens!$R$9519:$U$9519)</f>
        <v>239.931219586022</v>
      </c>
      <c r="V9520" s="38" t="n">
        <f aca="false">SUM(Sens!$R$9512:$V$9512)-SUM(Sens!$R$9519:$V$9519)</f>
        <v>403.208392333442</v>
      </c>
      <c r="W9520" s="38" t="n">
        <f aca="false">SUM(Sens!$R$9512:$W$9512)-SUM(Sens!$R$9519:$W$9519)</f>
        <v>544.837543672486</v>
      </c>
      <c r="X9520" s="38" t="n">
        <f aca="false">SUM(Sens!$R$9512:$X$9512)-SUM(Sens!$R$9519:$X$9519)</f>
        <v>662.967819343113</v>
      </c>
      <c r="Y9520" s="38" t="n">
        <f aca="false">SUM(Sens!$R$9512:$Y$9512)-SUM(Sens!$R$9519:$Y$9519)</f>
        <v>694.250060096768</v>
      </c>
      <c r="Z9520" s="38" t="n">
        <f aca="false">SUM(Sens!$R$9512:$Z$9512)-SUM(Sens!$R$9519:$Z$9519)</f>
        <v>680.925966207816</v>
      </c>
      <c r="AA9520" s="38" t="n">
        <f aca="false">SUM(Sens!$R$9512:$AA$9512)-SUM(Sens!$R$9519:$AA$9519)</f>
        <v>654.519731910812</v>
      </c>
    </row>
    <row r="9521" customFormat="false" ht="17.15" hidden="false" customHeight="false" outlineLevel="0" collapsed="false">
      <c r="A9521" s="1" t="s">
        <v>635</v>
      </c>
    </row>
    <row r="9522" customFormat="false" ht="17.15" hidden="false" customHeight="false" outlineLevel="0" collapsed="false">
      <c r="A9522" s="0" t="s">
        <v>636</v>
      </c>
      <c r="B9522" s="0" t="s">
        <v>86</v>
      </c>
      <c r="C9522" s="38" t="n">
        <f aca="false">Sens!$C$9503-ext_sh*Sens!$C$9505</f>
        <v>1.80694998843362</v>
      </c>
      <c r="D9522" s="38" t="n">
        <f aca="false">Sens!$D$9503-ext_sh*Sens!$D$9505</f>
        <v>6.77606245662607</v>
      </c>
      <c r="E9522" s="38" t="n">
        <f aca="false">Sens!$E$9503-ext_sh*Sens!$E$9505</f>
        <v>6.62548329092326</v>
      </c>
      <c r="F9522" s="38" t="n">
        <f aca="false">Sens!$F$9503-ext_sh*Sens!$F$9505</f>
        <v>11.7200577158706</v>
      </c>
      <c r="G9522" s="38" t="n">
        <f aca="false">Sens!$G$9503-ext_sh*Sens!$G$9505</f>
        <v>18.3455410067939</v>
      </c>
      <c r="H9522" s="38" t="n">
        <f aca="false">Sens!$H$9503-ext_sh*Sens!$H$9505</f>
        <v>47.5171727060453</v>
      </c>
      <c r="I9522" s="38" t="n">
        <f aca="false">Sens!$I$9503-ext_sh*Sens!$I$9505</f>
        <v>80.5539692643667</v>
      </c>
      <c r="J9522" s="38" t="n">
        <f aca="false">Sens!$J$9503-ext_sh*Sens!$J$9505</f>
        <v>113.759316834883</v>
      </c>
      <c r="K9522" s="38" t="n">
        <f aca="false">Sens!$K$9503-ext_sh*Sens!$K$9505</f>
        <v>141.855203603144</v>
      </c>
      <c r="L9522" s="38" t="n">
        <f aca="false">Sens!$L$9503-ext_sh*Sens!$L$9505</f>
        <v>159.789055430453</v>
      </c>
      <c r="M9522" s="38" t="n">
        <f aca="false">Sens!$M$9503-ext_sh*Sens!$M$9505</f>
        <v>167.532378081213</v>
      </c>
      <c r="N9522" s="38" t="n">
        <f aca="false">Sens!$N$9503-ext_sh*Sens!$N$9505</f>
        <v>2.37162185981912</v>
      </c>
      <c r="O9522" s="38" t="n">
        <f aca="false">Sens!$O$9503-ext_sh*Sens!$O$9505</f>
        <v>4.40444059680694</v>
      </c>
    </row>
    <row r="9523" customFormat="false" ht="17.15" hidden="false" customHeight="false" outlineLevel="0" collapsed="false">
      <c r="A9523" s="1" t="s">
        <v>637</v>
      </c>
      <c r="B9523" s="8" t="s">
        <v>86</v>
      </c>
      <c r="C9523" s="38" t="n">
        <f aca="false">Sens!$C$9522-ext_sh*Sens!$C$9519</f>
        <v>1.64417882953695</v>
      </c>
      <c r="D9523" s="38" t="n">
        <f aca="false">Sens!$D$9522-ext_sh*Sens!$D$9519</f>
        <v>3.8781008067718</v>
      </c>
      <c r="E9523" s="38" t="n">
        <f aca="false">Sens!$E$9522-ext_sh*Sens!$E$9519</f>
        <v>1.41270258088753</v>
      </c>
      <c r="F9523" s="38" t="n">
        <f aca="false">Sens!$F$9522-ext_sh*Sens!$F$9519</f>
        <v>6.50727700583486</v>
      </c>
      <c r="G9523" s="38" t="n">
        <f aca="false">Sens!$G$9522-ext_sh*Sens!$G$9519</f>
        <v>7.9199795867224</v>
      </c>
      <c r="H9523" s="38" t="n">
        <f aca="false">Sens!$H$9522-ext_sh*Sens!$H$9519</f>
        <v>19.2818189481807</v>
      </c>
      <c r="I9523" s="38" t="n">
        <f aca="false">Sens!$I$9522-ext_sh*Sens!$I$9519</f>
        <v>30.140114407202</v>
      </c>
      <c r="J9523" s="38" t="n">
        <f aca="false">Sens!$J$9522-ext_sh*Sens!$J$9519</f>
        <v>40.3569468829854</v>
      </c>
      <c r="K9523" s="38" t="n">
        <f aca="false">Sens!$K$9522-ext_sh*Sens!$K$9519</f>
        <v>44.9126530352048</v>
      </c>
      <c r="L9523" s="38" t="n">
        <f aca="false">Sens!$L$9522-ext_sh*Sens!$L$9519</f>
        <v>47.9631971059665</v>
      </c>
      <c r="M9523" s="38" t="n">
        <f aca="false">Sens!$M$9522-ext_sh*Sens!$M$9519</f>
        <v>47.2897004636212</v>
      </c>
      <c r="N9523" s="38" t="n">
        <f aca="false">Sens!$N$9522-ext_sh*Sens!$N$9519</f>
        <v>0.92264103489199</v>
      </c>
      <c r="O9523" s="38" t="n">
        <f aca="false">Sens!$O$9522-ext_sh*Sens!$O$9519</f>
        <v>2.95545977187981</v>
      </c>
    </row>
    <row r="9524" customFormat="false" ht="17.15" hidden="false" customHeight="false" outlineLevel="0" collapsed="false">
      <c r="A9524" s="0" t="s">
        <v>638</v>
      </c>
      <c r="B9524" s="0" t="s">
        <v>52</v>
      </c>
      <c r="C9524" s="13" t="n">
        <f aca="false">Sens!$C$9523/Sens!$C$9503</f>
        <v>0.708390794789371</v>
      </c>
      <c r="D9524" s="13" t="n">
        <f aca="false">Sens!$D$9523/Sens!$D$9503</f>
        <v>0.445565630441968</v>
      </c>
      <c r="E9524" s="13" t="n">
        <f aca="false">Sens!$E$9523/Sens!$E$9503</f>
        <v>0.165998118402711</v>
      </c>
      <c r="F9524" s="13" t="n">
        <f aca="false">Sens!$F$9523/Sens!$F$9503</f>
        <v>0.434878595403858</v>
      </c>
      <c r="G9524" s="13" t="n">
        <f aca="false">Sens!$G$9523/Sens!$G$9503</f>
        <v>0.3373967615381</v>
      </c>
      <c r="H9524" s="13" t="n">
        <f aca="false">Sens!$H$9523/Sens!$H$9503</f>
        <v>0.320477578041224</v>
      </c>
      <c r="I9524" s="13" t="n">
        <f aca="false">Sens!$I$9523/Sens!$I$9503</f>
        <v>0.296936118226494</v>
      </c>
      <c r="J9524" s="13" t="n">
        <f aca="false">Sens!$J$9523/Sens!$J$9503</f>
        <v>0.282166278613001</v>
      </c>
      <c r="K9524" s="13" t="n">
        <f aca="false">Sens!$K$9523/Sens!$K$9503</f>
        <v>0.252088678937066</v>
      </c>
      <c r="L9524" s="13" t="n">
        <f aca="false">Sens!$L$9523/Sens!$L$9503</f>
        <v>0.239109533373036</v>
      </c>
      <c r="M9524" s="13" t="n">
        <f aca="false">Sens!$M$9523/Sens!$M$9503</f>
        <v>0.224888480009211</v>
      </c>
      <c r="N9524" s="13" t="n">
        <f aca="false">Sens!$N$9523/Sens!$N$9503</f>
        <v>0.302870734830849</v>
      </c>
      <c r="O9524" s="13" t="n">
        <f aca="false">Sens!$O$9523/Sens!$O$9503</f>
        <v>0.52240134346334</v>
      </c>
    </row>
    <row r="9525" customFormat="false" ht="17.15" hidden="false" customHeight="false" outlineLevel="0" collapsed="false">
      <c r="A9525" s="5" t="s">
        <v>639</v>
      </c>
      <c r="B9525" s="0" t="s">
        <v>86</v>
      </c>
      <c r="C9525" s="39" t="n">
        <v>0</v>
      </c>
      <c r="D9525" s="39" t="n">
        <v>0</v>
      </c>
      <c r="E9525" s="39" t="n">
        <v>0</v>
      </c>
      <c r="F9525" s="38" t="n">
        <f aca="false">IF(internal_ai_reading=2,1,0)*(1-ext_sh)/ext_sh*(mw_open*he_open+Sens!$F$9501*Sens!$F$9498)*Sens!$F$9487/1000</f>
        <v>3.77122048175818</v>
      </c>
      <c r="G9525" s="38" t="n">
        <f aca="false">Sens!$E$9525+Sens!$F$9525</f>
        <v>3.77122048175818</v>
      </c>
      <c r="H9525" s="38" t="n">
        <f aca="false">IF(internal_ai_reading=2,1,0)*(1-ext_sh)/ext_sh*(mw_open*he_open+Sens!$H$9501*Sens!$H$9498)*Sens!$H$9487/1000</f>
        <v>15.1635543609893</v>
      </c>
      <c r="I9525" s="38" t="n">
        <f aca="false">IF(internal_ai_reading=2,1,0)*(1-ext_sh)/ext_sh*(mw_open*he_open+Sens!$I$9501*Sens!$I$9498)*Sens!$I$9487/1000</f>
        <v>25.5818843619889</v>
      </c>
      <c r="J9525" s="38" t="n">
        <f aca="false">IF(internal_ai_reading=2,1,0)*(1-ext_sh)/ext_sh*(mw_open*he_open+Sens!$J$9501*Sens!$J$9498)*Sens!$J$9487/1000</f>
        <v>36.0465624179122</v>
      </c>
      <c r="K9525" s="38" t="n">
        <f aca="false">IF(internal_ai_reading=2,1,0)*(1-ext_sh)/ext_sh*(mw_open*he_open+Sens!$K$9501*Sens!$K$9498)*Sens!$K$9487/1000</f>
        <v>44.9020355557576</v>
      </c>
      <c r="L9525" s="38" t="n">
        <f aca="false">IF(internal_ai_reading=2,1,0)*(1-ext_sh)/ext_sh*(mw_open*he_open+Sens!$L$9501*Sens!$L$9498)*Sens!$L$9487/1000</f>
        <v>50.55474151763</v>
      </c>
      <c r="M9525" s="38" t="n">
        <f aca="false">IF(internal_ai_reading=2,1,0)*(1-ext_sh)/ext_sh*(mw_open*he_open+Sens!$M$9501*Sens!$M$9498)*Sens!$M$9487/1000</f>
        <v>52.9968449759368</v>
      </c>
      <c r="N9525" s="39" t="n">
        <v>0</v>
      </c>
      <c r="O9525" s="39" t="n">
        <v>0</v>
      </c>
      <c r="P9525" s="8" t="s">
        <v>640</v>
      </c>
    </row>
    <row r="9526" customFormat="false" ht="17.15" hidden="false" customHeight="false" outlineLevel="0" collapsed="false">
      <c r="A9526" s="5" t="s">
        <v>641</v>
      </c>
      <c r="B9526" s="0" t="s">
        <v>86</v>
      </c>
      <c r="C9526" s="38" t="n">
        <f aca="false">(1-ext_sh)*(Sens!$C$9505+Sens!$C$9519)</f>
        <v>0.169206631859174</v>
      </c>
      <c r="D9526" s="38" t="n">
        <f aca="false">(1-ext_sh)*(Sens!$D$9505+Sens!$D$9519)</f>
        <v>1.20641732046984</v>
      </c>
      <c r="E9526" s="38" t="n">
        <f aca="false">(1-ext_sh)*(Sens!$E$9505+Sens!$E$9519)</f>
        <v>1.77441259867062</v>
      </c>
      <c r="F9526" s="38" t="n">
        <f aca="false">(1-ext_sh)*(Sens!$F$9505+Sens!$F$9519)</f>
        <v>2.1140391597214</v>
      </c>
      <c r="G9526" s="38" t="n">
        <f aca="false">(1-ext_sh)*(Sens!$G$9505+Sens!$G$9519)</f>
        <v>3.88845175839202</v>
      </c>
      <c r="H9526" s="38" t="n">
        <f aca="false">(1-ext_sh)*(Sens!$H$9505+Sens!$H$9519)</f>
        <v>10.2210179503985</v>
      </c>
      <c r="I9526" s="38" t="n">
        <f aca="false">(1-ext_sh)*(Sens!$I$9505+Sens!$I$9519)</f>
        <v>17.8408961823075</v>
      </c>
      <c r="J9526" s="38" t="n">
        <f aca="false">(1-ext_sh)*(Sens!$J$9505+Sens!$J$9519)</f>
        <v>25.6671150670732</v>
      </c>
      <c r="K9526" s="38" t="n">
        <f aca="false">(1-ext_sh)*(Sens!$K$9505+Sens!$K$9519)</f>
        <v>33.3123663125577</v>
      </c>
      <c r="L9526" s="38" t="n">
        <f aca="false">(1-ext_sh)*(Sens!$L$9505+Sens!$L$9519)</f>
        <v>38.1569263592936</v>
      </c>
      <c r="M9526" s="38" t="n">
        <f aca="false">(1-ext_sh)*(Sens!$M$9505+Sens!$M$9519)</f>
        <v>40.7477426197701</v>
      </c>
      <c r="N9526" s="38" t="n">
        <f aca="false">(1-ext_sh)*(Sens!$N$9505+Sens!$N$9519)</f>
        <v>0.530919624033979</v>
      </c>
      <c r="O9526" s="38" t="n">
        <f aca="false">(1-ext_sh)*(Sens!$O$9505+Sens!$O$9519)</f>
        <v>0.675497696435861</v>
      </c>
    </row>
    <row r="9527" customFormat="false" ht="17.15" hidden="false" customHeight="false" outlineLevel="0" collapsed="false">
      <c r="A9527" s="0" t="s">
        <v>642</v>
      </c>
      <c r="B9527" s="0" t="s">
        <v>86</v>
      </c>
      <c r="C9527" s="38" t="n">
        <f aca="false">Q!$D$24</f>
        <v>39.834</v>
      </c>
      <c r="D9527" s="38" t="n">
        <f aca="false">Q!$E$24</f>
        <v>45.606</v>
      </c>
      <c r="E9527" s="38" t="n">
        <f aca="false">Q!$P$24</f>
        <v>30.782</v>
      </c>
      <c r="N9527" s="38" t="n">
        <f aca="false">Q!$N$24</f>
        <v>21.707</v>
      </c>
      <c r="O9527" s="38" t="n">
        <f aca="false">Q!$O$24</f>
        <v>23.899</v>
      </c>
    </row>
    <row r="9528" customFormat="false" ht="17.15" hidden="false" customHeight="false" outlineLevel="0" collapsed="false">
      <c r="A9528" s="0" t="s">
        <v>643</v>
      </c>
      <c r="B9528" s="0" t="s">
        <v>86</v>
      </c>
      <c r="C9528" s="38" t="n">
        <f aca="false">Sens!$C$9527-Sens!$C$9523</f>
        <v>38.1898211704631</v>
      </c>
      <c r="D9528" s="38" t="n">
        <f aca="false">Sens!$D$9527-Sens!$D$9523</f>
        <v>41.7278991932282</v>
      </c>
      <c r="E9528" s="38" t="n">
        <f aca="false">Sens!$E$9527-Sens!$E$9523</f>
        <v>29.3692974191125</v>
      </c>
      <c r="F9528" s="38" t="n">
        <f aca="false">Sens!$F$9507*Sens!$F$9529</f>
        <v>26.8997276714137</v>
      </c>
      <c r="G9528" s="38" t="n">
        <f aca="false">Sens!$E$9528+Sens!$F$9528</f>
        <v>56.2690250905262</v>
      </c>
      <c r="H9528" s="38" t="n">
        <f aca="false">Sens!$H$9507*Sens!$H$9529</f>
        <v>60.3505333937343</v>
      </c>
      <c r="I9528" s="38" t="n">
        <f aca="false">Sens!$I$9507*Sens!$I$9529</f>
        <v>67.0043857303571</v>
      </c>
      <c r="J9528" s="38" t="n">
        <f aca="false">Sens!$J$9507*Sens!$J$9529</f>
        <v>73.3782922956925</v>
      </c>
      <c r="K9528" s="38" t="n">
        <f aca="false">Sens!$K$9507*Sens!$K$9529</f>
        <v>79.2485556793479</v>
      </c>
      <c r="L9528" s="38" t="n">
        <f aca="false">Sens!$L$9507*Sens!$L$9529</f>
        <v>85.5884401336958</v>
      </c>
      <c r="M9528" s="38" t="n">
        <f aca="false">Sens!$M$9507*Sens!$M$9529</f>
        <v>92.4355153443914</v>
      </c>
      <c r="N9528" s="38" t="n">
        <f aca="false">Sens!$N$9527-Sens!$N$9523</f>
        <v>20.784358965108</v>
      </c>
      <c r="O9528" s="38" t="n">
        <f aca="false">Sens!$O$9527-Sens!$O$9523</f>
        <v>20.9435402281202</v>
      </c>
      <c r="P9528" s="5" t="s">
        <v>644</v>
      </c>
    </row>
    <row r="9529" customFormat="false" ht="17.15" hidden="false" customHeight="false" outlineLevel="0" collapsed="false">
      <c r="A9529" s="0" t="s">
        <v>645</v>
      </c>
      <c r="B9529" s="0" t="s">
        <v>52</v>
      </c>
      <c r="C9529" s="13" t="n">
        <f aca="false">Sens!$C$9528/Sens!$C$9507</f>
        <v>0.362900395443635</v>
      </c>
      <c r="D9529" s="13" t="n">
        <f aca="false">Sens!$D$9528/Sens!$D$9507</f>
        <v>0.34767098474203</v>
      </c>
      <c r="E9529" s="13" t="n">
        <f aca="false">Sens!$E$9528/Sens!$E$9507</f>
        <v>0.411861655558416</v>
      </c>
      <c r="F9529" s="13" t="n">
        <f aca="false">(Sens!$O$9528+Sens!$E$9528)/(Sens!$O$9507+Sens!$E$9507)</f>
        <v>0.37480827803158</v>
      </c>
      <c r="G9529" s="13" t="n">
        <f aca="false">Sens!$G$9528/Sens!$G$9507</f>
        <v>0.393275318395757</v>
      </c>
      <c r="H9529" s="13" t="n">
        <f aca="false">Sens!$F$9529</f>
        <v>0.37480827803158</v>
      </c>
      <c r="I9529" s="13" t="n">
        <f aca="false">Sens!$F$9529</f>
        <v>0.37480827803158</v>
      </c>
      <c r="J9529" s="13" t="n">
        <f aca="false">Sens!$F$9529</f>
        <v>0.37480827803158</v>
      </c>
      <c r="K9529" s="13" t="n">
        <f aca="false">Sens!$F$9529</f>
        <v>0.37480827803158</v>
      </c>
      <c r="L9529" s="13" t="n">
        <f aca="false">Sens!$F$9529</f>
        <v>0.37480827803158</v>
      </c>
      <c r="M9529" s="13" t="n">
        <f aca="false">Sens!$F$9529</f>
        <v>0.37480827803158</v>
      </c>
      <c r="N9529" s="13" t="n">
        <f aca="false">Sens!$N$9528/Sens!$N$9507</f>
        <v>0.364039571356823</v>
      </c>
      <c r="O9529" s="13" t="n">
        <f aca="false">Sens!$O$9528/Sens!$O$9507</f>
        <v>0.332819892300086</v>
      </c>
      <c r="P9529" s="8" t="s">
        <v>646</v>
      </c>
    </row>
    <row r="9530" customFormat="false" ht="17.15" hidden="false" customHeight="false" outlineLevel="0" collapsed="false">
      <c r="A9530" s="0" t="s">
        <v>647</v>
      </c>
      <c r="B9530" s="0" t="s">
        <v>52</v>
      </c>
      <c r="D9530" s="13" t="n">
        <f aca="false">(Q!$E$31-ext_sh*Sens!$D$9519)/Sens!$D$9507</f>
        <v>0.154572973163571</v>
      </c>
    </row>
    <row r="9531" customFormat="false" ht="17.15" hidden="false" customHeight="false" outlineLevel="0" collapsed="false">
      <c r="A9531" s="0" t="s">
        <v>648</v>
      </c>
      <c r="B9531" s="0" t="s">
        <v>86</v>
      </c>
      <c r="C9531" s="38" t="n">
        <f aca="false">Q!$D$31</f>
        <v>13.32</v>
      </c>
      <c r="D9531" s="38" t="n">
        <f aca="false">Q!$E$31</f>
        <v>21.45</v>
      </c>
      <c r="E9531" s="38" t="n">
        <f aca="false">Q!$P$31</f>
        <v>15.353</v>
      </c>
      <c r="F9531" s="38" t="n">
        <f aca="false">ext_sh*Sens!$F$9519+Sens!$D$9530*Sens!$F$9507</f>
        <v>16.3063747611001</v>
      </c>
      <c r="G9531" s="38" t="n">
        <f aca="false">Sens!$E$9531+Sens!$F$9531</f>
        <v>31.6593747611001</v>
      </c>
      <c r="H9531" s="38" t="n">
        <f aca="false">ext_sh*Sens!$H$9519+Sens!$D$9530*Sens!$H$9507</f>
        <v>53.124242092105</v>
      </c>
      <c r="I9531" s="38" t="n">
        <f aca="false">ext_sh*Sens!$I$9519+Sens!$D$9530*Sens!$I$9507</f>
        <v>78.046828098133</v>
      </c>
      <c r="J9531" s="38" t="n">
        <f aca="false">ext_sh*Sens!$J$9519+Sens!$D$9530*Sens!$J$9507</f>
        <v>103.663976940352</v>
      </c>
      <c r="K9531" s="38" t="n">
        <f aca="false">ext_sh*Sens!$K$9519+Sens!$D$9530*Sens!$K$9507</f>
        <v>129.625086115469</v>
      </c>
      <c r="L9531" s="38" t="n">
        <f aca="false">ext_sh*Sens!$L$9519+Sens!$D$9530*Sens!$L$9507</f>
        <v>147.122996715819</v>
      </c>
      <c r="M9531" s="38" t="n">
        <f aca="false">ext_sh*Sens!$M$9519+Sens!$D$9530*Sens!$M$9507</f>
        <v>158.36358708023</v>
      </c>
      <c r="N9531" s="38" t="n">
        <f aca="false">Q!$N$31</f>
        <v>9.234</v>
      </c>
      <c r="O9531" s="38" t="n">
        <f aca="false">Q!$O$31</f>
        <v>12.216</v>
      </c>
    </row>
    <row r="9532" customFormat="false" ht="17.15" hidden="false" customHeight="false" outlineLevel="0" collapsed="false">
      <c r="A9532" s="1" t="s">
        <v>649</v>
      </c>
    </row>
    <row r="9533" customFormat="false" ht="17.15" hidden="false" customHeight="false" outlineLevel="0" collapsed="false">
      <c r="A9533" s="15" t="s">
        <v>650</v>
      </c>
      <c r="B9533" s="14" t="s">
        <v>52</v>
      </c>
      <c r="C9533" s="14"/>
      <c r="D9533" s="14"/>
      <c r="E9533" s="14"/>
      <c r="F9533" s="14"/>
      <c r="G9533" s="17" t="n">
        <f aca="false">Sens!$G$9523*(1-tax)/(ext_sh*(Sens!$D$9520+Sens!$G$9520)/2)</f>
        <v>0.0492184452944045</v>
      </c>
      <c r="H9533" s="17" t="n">
        <f aca="false">Sens!$H$9523*(1-tax)/(ext_sh*(Sens!$G$9520+Sens!$H$9520)/2)</f>
        <v>0.0619414246858107</v>
      </c>
      <c r="I9533" s="17" t="n">
        <f aca="false">Sens!$I$9523*(1-tax)/(ext_sh*(Sens!$H$9520+Sens!$I$9520)/2)</f>
        <v>0.0656831488051666</v>
      </c>
      <c r="J9533" s="17" t="n">
        <f aca="false">Sens!$J$9523*(1-tax)/(ext_sh*(Sens!$I$9520+Sens!$J$9520)/2)</f>
        <v>0.0690334849962116</v>
      </c>
      <c r="K9533" s="17" t="n">
        <f aca="false">Sens!$K$9523*(1-tax)/(ext_sh*(Sens!$J$9520+Sens!$K$9520)/2)</f>
        <v>0.0683687416388006</v>
      </c>
      <c r="L9533" s="17" t="n">
        <f aca="false">Sens!$L$9523*(1-tax)/(ext_sh*(Sens!$K$9520+Sens!$L$9520)/2)</f>
        <v>0.0720590082340432</v>
      </c>
      <c r="M9533" s="17" t="n">
        <f aca="false">Sens!$M$9523*(1-tax)/(ext_sh*(Sens!$L$9520+Sens!$M$9520)/2)</f>
        <v>0.0731608560528717</v>
      </c>
      <c r="N9533" s="14"/>
      <c r="O9533" s="14"/>
      <c r="P9533" s="8" t="s">
        <v>651</v>
      </c>
    </row>
    <row r="9534" customFormat="false" ht="17.15" hidden="false" customHeight="false" outlineLevel="0" collapsed="false">
      <c r="A9534" s="5" t="s">
        <v>652</v>
      </c>
      <c r="B9534" s="0" t="s">
        <v>57</v>
      </c>
      <c r="H9534" s="36" t="n">
        <f aca="false">Sens!$H$9503*1000/(mw_open*he_open+Sens!$H$9501*Sens!$H$9498)</f>
        <v>0.991949006767191</v>
      </c>
      <c r="I9534" s="36" t="n">
        <f aca="false">Sens!$I$9503*1000/(mw_open*he_open+Sens!$I$9501*Sens!$I$9498)</f>
        <v>0.991949006767191</v>
      </c>
      <c r="J9534" s="36" t="n">
        <f aca="false">Sens!$J$9503*1000/(mw_open*he_open+Sens!$J$9501*Sens!$J$9498)</f>
        <v>0.991949006767191</v>
      </c>
      <c r="K9534" s="36" t="n">
        <f aca="false">Sens!$K$9503*1000/(mw_open*he_open+Sens!$K$9501*Sens!$K$9498)</f>
        <v>0.991949006767191</v>
      </c>
      <c r="L9534" s="36" t="n">
        <f aca="false">Sens!$L$9503*1000/(mw_open*he_open+Sens!$L$9501*Sens!$L$9498)</f>
        <v>0.991949006767191</v>
      </c>
      <c r="M9534" s="36" t="n">
        <f aca="false">Sens!$M$9503*1000/(mw_open*he_open+Sens!$M$9501*Sens!$M$9498)</f>
        <v>0.991949006767191</v>
      </c>
    </row>
    <row r="9535" customFormat="false" ht="17.15" hidden="false" customHeight="false" outlineLevel="0" collapsed="false">
      <c r="A9535" s="5" t="s">
        <v>653</v>
      </c>
      <c r="B9535" s="0" t="s">
        <v>57</v>
      </c>
      <c r="H9535" s="36" t="n">
        <f aca="false">Sens!$H$9534*(Sens!$H$9503+(wacc+0.01)*ext_sh*(Sens!$G$9520+Sens!$H$9520)/2/(1-tax)-Sens!$H$9523)/Sens!$H$9503</f>
        <v>1.30684188026537</v>
      </c>
      <c r="I9535" s="36" t="n">
        <f aca="false">Sens!$I$9534*(Sens!$I$9503+(wacc+0.01)*ext_sh*(Sens!$H$9520+Sens!$I$9520)/2/(1-tax)-Sens!$I$9523)/Sens!$I$9503</f>
        <v>1.25031092654298</v>
      </c>
      <c r="J9535" s="36" t="n">
        <f aca="false">Sens!$J$9534*(Sens!$J$9503+(wacc+0.01)*ext_sh*(Sens!$I$9520+Sens!$J$9520)/2/(1-tax)-Sens!$J$9523)/Sens!$J$9503</f>
        <v>1.2119608022736</v>
      </c>
      <c r="K9535" s="36" t="n">
        <f aca="false">Sens!$K$9534*(Sens!$K$9503+(wacc+0.01)*ext_sh*(Sens!$J$9520+Sens!$K$9520)/2/(1-tax)-Sens!$K$9523)/Sens!$K$9503</f>
        <v>1.19285101332519</v>
      </c>
      <c r="L9535" s="36" t="n">
        <f aca="false">Sens!$L$9534*(Sens!$L$9503+(wacc+0.01)*ext_sh*(Sens!$K$9520+Sens!$L$9520)/2/(1-tax)-Sens!$L$9523)/Sens!$L$9503</f>
        <v>1.16060184003369</v>
      </c>
      <c r="M9535" s="36" t="n">
        <f aca="false">Sens!$M$9534*(Sens!$M$9503+(wacc+0.01)*ext_sh*(Sens!$L$9520+Sens!$M$9520)/2/(1-tax)-Sens!$M$9523)/Sens!$M$9503</f>
        <v>1.14482256299792</v>
      </c>
    </row>
    <row r="9536" customFormat="false" ht="17.15" hidden="false" customHeight="false" outlineLevel="0" collapsed="false">
      <c r="A9536" s="5" t="s">
        <v>654</v>
      </c>
      <c r="B9536" s="0" t="s">
        <v>52</v>
      </c>
      <c r="C9536" s="13" t="n">
        <f aca="false">Sens!$C$9504/tk_pq</f>
        <v>0.195316432429398</v>
      </c>
      <c r="D9536" s="13" t="n">
        <f aca="false">Sens!$D$9504/tk_pq</f>
        <v>0.195316432429398</v>
      </c>
      <c r="E9536" s="13" t="n">
        <f aca="false">Sens!$E$9504/tk_pq</f>
        <v>0.195316432429398</v>
      </c>
      <c r="F9536" s="13" t="n">
        <f aca="false">Sens!$F$9504/tk_pq</f>
        <v>0.202241827274866</v>
      </c>
      <c r="G9536" s="13" t="n">
        <f aca="false">Sens!$G$9504/tk_pq</f>
        <v>0.199675016194063</v>
      </c>
      <c r="H9536" s="13" t="n">
        <f aca="false">Sens!$H$9504/tk_pq</f>
        <v>0.212647947710325</v>
      </c>
      <c r="I9536" s="13" t="n">
        <f aca="false">Sens!$I$9504/tk_pq</f>
        <v>0.219285125475351</v>
      </c>
      <c r="J9536" s="13" t="n">
        <f aca="false">Sens!$J$9504/tk_pq</f>
        <v>0.222492493217189</v>
      </c>
      <c r="K9536" s="13" t="n">
        <f aca="false">Sens!$K$9504/tk_pq</f>
        <v>0.224037965623446</v>
      </c>
      <c r="L9536" s="13" t="n">
        <f aca="false">Sens!$L$9504/tk_pq</f>
        <v>0.224743186755999</v>
      </c>
      <c r="M9536" s="13" t="n">
        <f aca="false">Sens!$M$9504/tk_pq</f>
        <v>0.224962001824354</v>
      </c>
      <c r="N9536" s="13" t="n">
        <f aca="false">Sens!$N$9504/tk_pq</f>
        <v>0.195316432429398</v>
      </c>
      <c r="O9536" s="13" t="n">
        <f aca="false">Sens!$O$9504/tk_pq</f>
        <v>0.195316432429398</v>
      </c>
      <c r="P9536" s="5" t="s">
        <v>655</v>
      </c>
    </row>
    <row r="9539" customFormat="false" ht="17.15" hidden="false" customHeight="false" outlineLevel="0" collapsed="false">
      <c r="A9539" s="1" t="s">
        <v>684</v>
      </c>
    </row>
    <row r="9540" customFormat="false" ht="17.15" hidden="false" customHeight="false" outlineLevel="0" collapsed="false">
      <c r="A9540" s="0" t="s">
        <v>685</v>
      </c>
      <c r="B9540" s="0" t="s">
        <v>86</v>
      </c>
      <c r="C9540" s="38" t="n">
        <f aca="false">Sens!$C$9503</f>
        <v>2.32100535697364</v>
      </c>
      <c r="D9540" s="38" t="n">
        <f aca="false">Sens!$D$9503</f>
        <v>8.70377008865116</v>
      </c>
      <c r="E9540" s="38" t="n">
        <f aca="false">Sens!$E$9503</f>
        <v>8.51035297557002</v>
      </c>
      <c r="F9540" s="38" t="n">
        <f aca="false">Sens!$F$9503</f>
        <v>14.9634336447205</v>
      </c>
      <c r="G9540" s="38" t="n">
        <f aca="false">Sens!$G$9503</f>
        <v>23.4737866202905</v>
      </c>
      <c r="H9540" s="38" t="n">
        <f aca="false">Sens!$H$9503</f>
        <v>60.1658907497746</v>
      </c>
      <c r="I9540" s="38" t="n">
        <f aca="false">Sens!$I$9503</f>
        <v>101.503699136432</v>
      </c>
      <c r="J9540" s="38" t="n">
        <f aca="false">Sens!$J$9503</f>
        <v>143.025407151278</v>
      </c>
      <c r="K9540" s="38" t="n">
        <f aca="false">Sens!$K$9503</f>
        <v>178.162118285436</v>
      </c>
      <c r="L9540" s="38" t="n">
        <f aca="false">Sens!$L$9503</f>
        <v>200.590902543141</v>
      </c>
      <c r="M9540" s="38" t="n">
        <f aca="false">Sens!$M$9503</f>
        <v>210.280670942702</v>
      </c>
      <c r="N9540" s="38" t="n">
        <f aca="false">Sens!$N$9503</f>
        <v>3.04631953102791</v>
      </c>
      <c r="O9540" s="38" t="n">
        <f aca="false">Sens!$O$9503</f>
        <v>5.65745055762326</v>
      </c>
      <c r="P9540" s="8" t="s">
        <v>686</v>
      </c>
    </row>
    <row r="9541" customFormat="false" ht="17.15" hidden="false" customHeight="false" outlineLevel="0" collapsed="false">
      <c r="A9541" s="0" t="s">
        <v>687</v>
      </c>
      <c r="B9541" s="0" t="s">
        <v>86</v>
      </c>
      <c r="C9541" s="38" t="n">
        <f aca="false">Sens!$C$9507</f>
        <v>105.234994643026</v>
      </c>
      <c r="D9541" s="38" t="n">
        <f aca="false">Sens!$D$9507</f>
        <v>120.021229911349</v>
      </c>
      <c r="E9541" s="38" t="n">
        <f aca="false">Sens!$E$9507</f>
        <v>71.30864702443</v>
      </c>
      <c r="F9541" s="38" t="n">
        <f aca="false">Sens!$F$9507</f>
        <v>71.7692997942464</v>
      </c>
      <c r="G9541" s="38" t="n">
        <f aca="false">Sens!$G$9507</f>
        <v>143.077946818676</v>
      </c>
      <c r="H9541" s="38" t="n">
        <f aca="false">Sens!$H$9507</f>
        <v>161.017077079203</v>
      </c>
      <c r="I9541" s="38" t="n">
        <f aca="false">Sens!$I$9507</f>
        <v>178.769759521457</v>
      </c>
      <c r="J9541" s="38" t="n">
        <f aca="false">Sens!$J$9507</f>
        <v>195.775538045907</v>
      </c>
      <c r="K9541" s="38" t="n">
        <f aca="false">Sens!$K$9507</f>
        <v>211.43758108958</v>
      </c>
      <c r="L9541" s="38" t="n">
        <f aca="false">Sens!$L$9507</f>
        <v>228.352587576746</v>
      </c>
      <c r="M9541" s="38" t="n">
        <f aca="false">Sens!$M$9507</f>
        <v>246.620794582886</v>
      </c>
      <c r="N9541" s="38" t="n">
        <f aca="false">Sens!$N$9507</f>
        <v>57.0936804689721</v>
      </c>
      <c r="O9541" s="38" t="n">
        <f aca="false">Sens!$O$9507</f>
        <v>62.9275494423768</v>
      </c>
      <c r="P9541" s="8" t="s">
        <v>686</v>
      </c>
    </row>
    <row r="9542" customFormat="false" ht="17.15" hidden="false" customHeight="false" outlineLevel="0" collapsed="false">
      <c r="A9542" s="1" t="s">
        <v>513</v>
      </c>
      <c r="B9542" s="8" t="s">
        <v>86</v>
      </c>
      <c r="C9542" s="38" t="n">
        <f aca="false">Q!$D$7</f>
        <v>107.556</v>
      </c>
      <c r="D9542" s="38" t="n">
        <f aca="false">Q!$E$7</f>
        <v>128.725</v>
      </c>
      <c r="E9542" s="38" t="n">
        <f aca="false">Q!$P$7</f>
        <v>79.819</v>
      </c>
      <c r="F9542" s="38" t="n">
        <f aca="false">Sens!$F$9540+Sens!$F$9541</f>
        <v>86.7327334389669</v>
      </c>
      <c r="G9542" s="38" t="n">
        <f aca="false">Sens!$G$9540+Sens!$G$9541</f>
        <v>166.551733438967</v>
      </c>
      <c r="H9542" s="38" t="n">
        <f aca="false">Sens!$H$9540+Sens!$H$9541</f>
        <v>221.182967828978</v>
      </c>
      <c r="I9542" s="38" t="n">
        <f aca="false">Sens!$I$9540+Sens!$I$9541</f>
        <v>280.27345865789</v>
      </c>
      <c r="J9542" s="38" t="n">
        <f aca="false">Sens!$J$9540+Sens!$J$9541</f>
        <v>338.800945197185</v>
      </c>
      <c r="K9542" s="38" t="n">
        <f aca="false">Sens!$K$9540+Sens!$K$9541</f>
        <v>389.599699375015</v>
      </c>
      <c r="L9542" s="38" t="n">
        <f aca="false">Sens!$L$9540+Sens!$L$9541</f>
        <v>428.943490119887</v>
      </c>
      <c r="M9542" s="38" t="n">
        <f aca="false">Sens!$M$9540+Sens!$M$9541</f>
        <v>456.901465525587</v>
      </c>
      <c r="N9542" s="38" t="n">
        <f aca="false">Q!$N$7</f>
        <v>60.14</v>
      </c>
      <c r="O9542" s="38" t="n">
        <f aca="false">Q!$O$7</f>
        <v>68.585</v>
      </c>
      <c r="P9542" s="5" t="s">
        <v>688</v>
      </c>
    </row>
    <row r="9543" customFormat="false" ht="15" hidden="false" customHeight="false" outlineLevel="0" collapsed="false">
      <c r="A9543" s="3" t="s">
        <v>689</v>
      </c>
      <c r="B9543" s="8" t="s">
        <v>86</v>
      </c>
      <c r="C9543" s="38" t="n">
        <f aca="false">Q!$D$8</f>
        <v>637.959</v>
      </c>
      <c r="D9543" s="38" t="n">
        <f aca="false">Q!$E$8</f>
        <v>716.924</v>
      </c>
      <c r="E9543" s="38" t="n">
        <f aca="false">Q!$P$8</f>
        <v>382.125</v>
      </c>
      <c r="F9543" s="38" t="n">
        <f aca="false">Sens!$F$9475+Sens!$F$9542</f>
        <v>435.780975084504</v>
      </c>
      <c r="G9543" s="38" t="n">
        <f aca="false">Sens!$G$9475+Sens!$G$9542</f>
        <v>817.905975084504</v>
      </c>
      <c r="H9543" s="38" t="n">
        <f aca="false">Sens!$H$9475+Sens!$H$9542</f>
        <v>942.279857350364</v>
      </c>
      <c r="I9543" s="38" t="n">
        <f aca="false">Sens!$I$9475+Sens!$I$9542</f>
        <v>1068.80284981042</v>
      </c>
      <c r="J9543" s="38" t="n">
        <f aca="false">Sens!$J$9475+Sens!$J$9542</f>
        <v>1189.90935093863</v>
      </c>
      <c r="K9543" s="38" t="n">
        <f aca="false">Sens!$K$9475+Sens!$K$9542</f>
        <v>1295.7761548061</v>
      </c>
      <c r="L9543" s="38" t="n">
        <f aca="false">Sens!$L$9475+Sens!$L$9542</f>
        <v>1394.03659659548</v>
      </c>
      <c r="M9543" s="38" t="n">
        <f aca="false">Sens!$M$9475+Sens!$M$9542</f>
        <v>1485.04937347247</v>
      </c>
      <c r="N9543" s="38" t="n">
        <f aca="false">Q!$N$8</f>
        <v>323.369</v>
      </c>
      <c r="O9543" s="38" t="n">
        <f aca="false">Q!$O$8</f>
        <v>393.555</v>
      </c>
    </row>
    <row r="9544" customFormat="false" ht="17.15" hidden="false" customHeight="false" outlineLevel="0" collapsed="false">
      <c r="A9544" s="24" t="s">
        <v>697</v>
      </c>
      <c r="B9544" s="25" t="s">
        <v>86</v>
      </c>
      <c r="C9544" s="41" t="n">
        <f aca="false">Sens!$C$9475-(Sens!$C$9477+Sens!$C$9478)</f>
        <v>0</v>
      </c>
      <c r="D9544" s="41" t="n">
        <f aca="false">Sens!$D$9475-(Sens!$D$9477+Sens!$D$9478)</f>
        <v>0</v>
      </c>
      <c r="E9544" s="41" t="n">
        <f aca="false">Sens!$E$9475-(Sens!$E$9477+Sens!$E$9478)</f>
        <v>0</v>
      </c>
      <c r="F9544" s="41" t="n">
        <f aca="false">Sens!$F$9475-(Sens!$F$9477+Sens!$F$9478)</f>
        <v>0</v>
      </c>
      <c r="G9544" s="41" t="n">
        <f aca="false">Sens!$G$9475-(Sens!$G$9477+Sens!$G$9478)</f>
        <v>0</v>
      </c>
      <c r="H9544" s="41" t="n">
        <f aca="false">Sens!$H$9475-(Sens!$H$9477+Sens!$H$9478)</f>
        <v>0</v>
      </c>
      <c r="I9544" s="41" t="n">
        <f aca="false">Sens!$I$9475-(Sens!$I$9477+Sens!$I$9478)</f>
        <v>0</v>
      </c>
      <c r="J9544" s="41" t="n">
        <f aca="false">Sens!$J$9475-(Sens!$J$9477+Sens!$J$9478)</f>
        <v>0</v>
      </c>
      <c r="K9544" s="41" t="n">
        <f aca="false">Sens!$K$9475-(Sens!$K$9477+Sens!$K$9478)</f>
        <v>0</v>
      </c>
      <c r="L9544" s="41" t="n">
        <f aca="false">Sens!$L$9475-(Sens!$L$9477+Sens!$L$9478)</f>
        <v>0</v>
      </c>
      <c r="M9544" s="41" t="n">
        <f aca="false">Sens!$M$9475-(Sens!$M$9477+Sens!$M$9478)</f>
        <v>0</v>
      </c>
      <c r="N9544" s="41" t="n">
        <f aca="false">Sens!$N$9475-(Sens!$N$9477+Sens!$N$9478)</f>
        <v>0</v>
      </c>
      <c r="O9544" s="41" t="n">
        <f aca="false">Sens!$O$9475-(Sens!$O$9477+Sens!$O$9478)</f>
        <v>0</v>
      </c>
    </row>
    <row r="9545" customFormat="false" ht="17.15" hidden="false" customHeight="false" outlineLevel="0" collapsed="false">
      <c r="A9545" s="24" t="s">
        <v>698</v>
      </c>
      <c r="B9545" s="25" t="s">
        <v>86</v>
      </c>
      <c r="C9545" s="41" t="n">
        <f aca="false">Sens!$C$9540+Sens!$C$9541-Sens!$C$9542</f>
        <v>0</v>
      </c>
      <c r="D9545" s="41" t="n">
        <f aca="false">Sens!$D$9540+Sens!$D$9541-Sens!$D$9542</f>
        <v>0</v>
      </c>
      <c r="E9545" s="41" t="n">
        <f aca="false">Sens!$E$9540+Sens!$E$9541-Sens!$E$9542</f>
        <v>0</v>
      </c>
      <c r="F9545" s="41" t="n">
        <f aca="false">Sens!$F$9540+Sens!$F$9541-Sens!$F$9542</f>
        <v>0</v>
      </c>
      <c r="G9545" s="41" t="n">
        <f aca="false">Sens!$G$9540+Sens!$G$9541-Sens!$G$9542</f>
        <v>0</v>
      </c>
      <c r="H9545" s="41" t="n">
        <f aca="false">Sens!$H$9540+Sens!$H$9541-Sens!$H$9542</f>
        <v>0</v>
      </c>
      <c r="I9545" s="41" t="n">
        <f aca="false">Sens!$I$9540+Sens!$I$9541-Sens!$I$9542</f>
        <v>0</v>
      </c>
      <c r="J9545" s="41" t="n">
        <f aca="false">Sens!$J$9540+Sens!$J$9541-Sens!$J$9542</f>
        <v>0</v>
      </c>
      <c r="K9545" s="41" t="n">
        <f aca="false">Sens!$K$9540+Sens!$K$9541-Sens!$K$9542</f>
        <v>0</v>
      </c>
      <c r="L9545" s="41" t="n">
        <f aca="false">Sens!$L$9540+Sens!$L$9541-Sens!$L$9542</f>
        <v>0</v>
      </c>
      <c r="M9545" s="41" t="n">
        <f aca="false">Sens!$M$9540+Sens!$M$9541-Sens!$M$9542</f>
        <v>0</v>
      </c>
      <c r="N9545" s="41" t="n">
        <f aca="false">Sens!$N$9540+Sens!$N$9541-Sens!$N$9542</f>
        <v>0</v>
      </c>
      <c r="O9545" s="41" t="n">
        <f aca="false">Sens!$O$9540+Sens!$O$9541-Sens!$O$9542</f>
        <v>0</v>
      </c>
    </row>
    <row r="9546" customFormat="false" ht="17.15" hidden="false" customHeight="false" outlineLevel="0" collapsed="false">
      <c r="A9546" s="24" t="s">
        <v>699</v>
      </c>
      <c r="B9546" s="25" t="s">
        <v>86</v>
      </c>
      <c r="C9546" s="41" t="n">
        <f aca="false">Sens!$C$9477+Sens!$C$9478+Sens!$C$9542-Sens!$C$9543</f>
        <v>0</v>
      </c>
      <c r="D9546" s="41" t="n">
        <f aca="false">Sens!$D$9477+Sens!$D$9478+Sens!$D$9542-Sens!$D$9543</f>
        <v>0</v>
      </c>
      <c r="E9546" s="41" t="n">
        <f aca="false">Sens!$E$9477+Sens!$E$9478+Sens!$E$9542-Sens!$E$9543</f>
        <v>0</v>
      </c>
      <c r="F9546" s="41" t="n">
        <f aca="false">Sens!$F$9477+Sens!$F$9478+Sens!$F$9542-Sens!$F$9543</f>
        <v>0</v>
      </c>
      <c r="G9546" s="41" t="n">
        <f aca="false">Sens!$G$9477+Sens!$G$9478+Sens!$G$9542-Sens!$G$9543</f>
        <v>0</v>
      </c>
      <c r="H9546" s="41" t="n">
        <f aca="false">Sens!$H$9477+Sens!$H$9478+Sens!$H$9542-Sens!$H$9543</f>
        <v>0</v>
      </c>
      <c r="I9546" s="41" t="n">
        <f aca="false">Sens!$I$9477+Sens!$I$9478+Sens!$I$9542-Sens!$I$9543</f>
        <v>0</v>
      </c>
      <c r="J9546" s="41" t="n">
        <f aca="false">Sens!$J$9477+Sens!$J$9478+Sens!$J$9542-Sens!$J$9543</f>
        <v>0</v>
      </c>
      <c r="K9546" s="41" t="n">
        <f aca="false">Sens!$K$9477+Sens!$K$9478+Sens!$K$9542-Sens!$K$9543</f>
        <v>0</v>
      </c>
      <c r="L9546" s="41" t="n">
        <f aca="false">Sens!$L$9477+Sens!$L$9478+Sens!$L$9542-Sens!$L$9543</f>
        <v>0</v>
      </c>
      <c r="M9546" s="41" t="n">
        <f aca="false">Sens!$M$9477+Sens!$M$9478+Sens!$M$9542-Sens!$M$9543</f>
        <v>0</v>
      </c>
      <c r="N9546" s="41" t="n">
        <f aca="false">Sens!$N$9477+Sens!$N$9478+Sens!$N$9542-Sens!$N$9543</f>
        <v>0</v>
      </c>
      <c r="O9546" s="41" t="n">
        <f aca="false">Sens!$O$9477+Sens!$O$9478+Sens!$O$9542-Sens!$O$9543</f>
        <v>0</v>
      </c>
    </row>
    <row r="9547" customFormat="false" ht="15" hidden="false" customHeight="false" outlineLevel="0" collapsed="false">
      <c r="A9547" s="5" t="s">
        <v>693</v>
      </c>
      <c r="B9547" s="0" t="s">
        <v>52</v>
      </c>
      <c r="G9547" s="13" t="n">
        <f aca="false">Sens!$G$9543/Sens!$D$9543-1</f>
        <v>0.140854504918937</v>
      </c>
      <c r="H9547" s="13" t="n">
        <f aca="false">Sens!$H$9543/Sens!$G$9543-1</f>
        <v>0.152063789793209</v>
      </c>
      <c r="I9547" s="13" t="n">
        <f aca="false">Sens!$I$9543/Sens!$H$9543-1</f>
        <v>0.134273264437417</v>
      </c>
      <c r="J9547" s="13" t="n">
        <f aca="false">Sens!$J$9543/Sens!$I$9543-1</f>
        <v>0.113310421234083</v>
      </c>
      <c r="K9547" s="13" t="n">
        <f aca="false">Sens!$K$9543/Sens!$J$9543-1</f>
        <v>0.0889704781158034</v>
      </c>
      <c r="L9547" s="13" t="n">
        <f aca="false">Sens!$L$9543/Sens!$K$9543-1</f>
        <v>0.0758313397147494</v>
      </c>
      <c r="M9547" s="13" t="n">
        <f aca="false">Sens!$M$9543/Sens!$L$9543-1</f>
        <v>0.0652872220853238</v>
      </c>
    </row>
    <row r="9548" customFormat="false" ht="17.15" hidden="false" customHeight="false" outlineLevel="0" collapsed="false">
      <c r="A9548" s="0" t="s">
        <v>694</v>
      </c>
      <c r="B9548" s="0" t="s">
        <v>52</v>
      </c>
      <c r="C9548" s="13" t="n">
        <f aca="false">Sens!$C$9542/Sens!$C$9543</f>
        <v>0.168593906504964</v>
      </c>
      <c r="D9548" s="13" t="n">
        <f aca="false">Sens!$D$9542/Sens!$D$9543</f>
        <v>0.179551807444025</v>
      </c>
      <c r="E9548" s="13" t="n">
        <f aca="false">Sens!$E$9542/Sens!$E$9543</f>
        <v>0.208881910369643</v>
      </c>
      <c r="F9548" s="13" t="n">
        <f aca="false">Sens!$F$9542/Sens!$F$9543</f>
        <v>0.199028269699356</v>
      </c>
      <c r="G9548" s="13" t="n">
        <f aca="false">Sens!$G$9542/Sens!$G$9543</f>
        <v>0.203631882529968</v>
      </c>
      <c r="H9548" s="13" t="n">
        <f aca="false">Sens!$H$9542/Sens!$H$9543</f>
        <v>0.234731715958496</v>
      </c>
      <c r="I9548" s="13" t="n">
        <f aca="false">Sens!$I$9542/Sens!$I$9543</f>
        <v>0.262231204480418</v>
      </c>
      <c r="J9548" s="13" t="n">
        <f aca="false">Sens!$J$9542/Sens!$J$9543</f>
        <v>0.284728366013706</v>
      </c>
      <c r="K9548" s="13" t="n">
        <f aca="false">Sens!$K$9542/Sens!$K$9543</f>
        <v>0.300668983550877</v>
      </c>
      <c r="L9548" s="13" t="n">
        <f aca="false">Sens!$L$9542/Sens!$L$9543</f>
        <v>0.307698873306092</v>
      </c>
      <c r="M9548" s="13" t="n">
        <f aca="false">Sens!$M$9542/Sens!$M$9543</f>
        <v>0.30766752519293</v>
      </c>
      <c r="N9548" s="13" t="n">
        <f aca="false">Sens!$N$9542/Sens!$N$9543</f>
        <v>0.185979484737251</v>
      </c>
      <c r="O9548" s="13" t="n">
        <f aca="false">Sens!$O$9542/Sens!$O$9543</f>
        <v>0.174270432341096</v>
      </c>
    </row>
    <row r="9549" customFormat="false" ht="17.15" hidden="false" customHeight="false" outlineLevel="0" collapsed="false">
      <c r="A9549" s="0" t="s">
        <v>695</v>
      </c>
      <c r="B9549" s="0" t="s">
        <v>52</v>
      </c>
      <c r="C9549" s="13" t="n">
        <f aca="false">Sens!$C$9540/Sens!$C$9542</f>
        <v>0.0215795060896058</v>
      </c>
      <c r="D9549" s="13" t="n">
        <f aca="false">Sens!$D$9540/Sens!$D$9542</f>
        <v>0.0676152269462122</v>
      </c>
      <c r="E9549" s="13" t="n">
        <f aca="false">Sens!$E$9540/Sens!$E$9542</f>
        <v>0.106620641395783</v>
      </c>
      <c r="F9549" s="13" t="n">
        <f aca="false">Sens!$F$9540/Sens!$F$9542</f>
        <v>0.172523487401099</v>
      </c>
      <c r="G9549" s="13" t="n">
        <f aca="false">Sens!$G$9540/Sens!$G$9542</f>
        <v>0.140939911795589</v>
      </c>
      <c r="H9549" s="13" t="n">
        <f aca="false">Sens!$H$9540/Sens!$H$9542</f>
        <v>0.272018642937714</v>
      </c>
      <c r="I9549" s="13" t="n">
        <f aca="false">Sens!$I$9540/Sens!$I$9542</f>
        <v>0.362159512436497</v>
      </c>
      <c r="J9549" s="13" t="n">
        <f aca="false">Sens!$J$9540/Sens!$J$9542</f>
        <v>0.422151735934609</v>
      </c>
      <c r="K9549" s="13" t="n">
        <f aca="false">Sens!$K$9540/Sens!$K$9542</f>
        <v>0.45729531765871</v>
      </c>
      <c r="L9549" s="13" t="n">
        <f aca="false">Sens!$L$9540/Sens!$L$9542</f>
        <v>0.467639461055993</v>
      </c>
      <c r="M9549" s="13" t="n">
        <f aca="false">Sens!$M$9540/Sens!$M$9542</f>
        <v>0.460231990503268</v>
      </c>
      <c r="N9549" s="13" t="n">
        <f aca="false">Sens!$N$9540/Sens!$N$9542</f>
        <v>0.0506537999838362</v>
      </c>
      <c r="O9549" s="13" t="n">
        <f aca="false">Sens!$O$9540/Sens!$O$9542</f>
        <v>0.0824881615167056</v>
      </c>
    </row>
    <row r="9552" customFormat="false" ht="19.4" hidden="false" customHeight="false" outlineLevel="0" collapsed="false">
      <c r="A9552" s="31" t="s">
        <v>1324</v>
      </c>
    </row>
    <row r="9553" customFormat="false" ht="17.15" hidden="false" customHeight="false" outlineLevel="0" collapsed="false">
      <c r="A9553" s="6" t="s">
        <v>16</v>
      </c>
      <c r="B9553" s="6" t="s">
        <v>17</v>
      </c>
      <c r="C9553" s="20" t="s">
        <v>494</v>
      </c>
      <c r="D9553" s="20" t="s">
        <v>495</v>
      </c>
      <c r="E9553" s="20" t="s">
        <v>577</v>
      </c>
      <c r="F9553" s="20" t="s">
        <v>578</v>
      </c>
      <c r="G9553" s="20" t="s">
        <v>579</v>
      </c>
      <c r="H9553" s="20" t="s">
        <v>580</v>
      </c>
      <c r="I9553" s="20" t="s">
        <v>581</v>
      </c>
      <c r="J9553" s="20" t="s">
        <v>582</v>
      </c>
      <c r="K9553" s="20" t="s">
        <v>583</v>
      </c>
      <c r="L9553" s="20" t="s">
        <v>584</v>
      </c>
      <c r="M9553" s="20" t="s">
        <v>585</v>
      </c>
      <c r="N9553" s="20" t="s">
        <v>586</v>
      </c>
      <c r="O9553" s="20" t="s">
        <v>587</v>
      </c>
      <c r="P9553" s="6" t="s">
        <v>23</v>
      </c>
      <c r="R9553" s="20" t="n">
        <v>2023</v>
      </c>
      <c r="S9553" s="20" t="n">
        <v>2024</v>
      </c>
      <c r="T9553" s="20" t="n">
        <v>2025</v>
      </c>
      <c r="U9553" s="20" t="n">
        <v>2026</v>
      </c>
      <c r="V9553" s="20" t="n">
        <v>2027</v>
      </c>
      <c r="W9553" s="20" t="n">
        <v>2028</v>
      </c>
      <c r="X9553" s="20" t="n">
        <v>2029</v>
      </c>
      <c r="Y9553" s="20" t="n">
        <v>2030</v>
      </c>
      <c r="Z9553" s="20" t="n">
        <v>2031</v>
      </c>
      <c r="AA9553" s="20" t="n">
        <v>2032</v>
      </c>
    </row>
    <row r="9554" customFormat="false" ht="17.15" hidden="false" customHeight="false" outlineLevel="0" collapsed="false">
      <c r="A9554" s="1" t="s">
        <v>710</v>
      </c>
    </row>
    <row r="9555" customFormat="false" ht="15" hidden="false" customHeight="false" outlineLevel="0" collapsed="false">
      <c r="A9555" s="0" t="s">
        <v>516</v>
      </c>
      <c r="B9555" s="0" t="s">
        <v>86</v>
      </c>
      <c r="C9555" s="38" t="n">
        <f aca="false">Sens!$C$9462</f>
        <v>247.029</v>
      </c>
      <c r="D9555" s="38" t="n">
        <f aca="false">Sens!$D$9462</f>
        <v>269.287</v>
      </c>
      <c r="E9555" s="38" t="n">
        <f aca="false">Sens!$E$9462</f>
        <v>134.686</v>
      </c>
      <c r="F9555" s="38" t="n">
        <f aca="false">Sens!$F$9462</f>
        <v>158.293876822267</v>
      </c>
      <c r="G9555" s="38" t="n">
        <f aca="false">Sens!$G$9462</f>
        <v>292.979876822267</v>
      </c>
      <c r="H9555" s="38" t="n">
        <f aca="false">Sens!$H$9462</f>
        <v>318.184543087396</v>
      </c>
      <c r="I9555" s="38" t="n">
        <f aca="false">Sens!$I$9462</f>
        <v>341.736278761793</v>
      </c>
      <c r="J9555" s="38" t="n">
        <f aca="false">Sens!$J$9462</f>
        <v>362.927192787048</v>
      </c>
      <c r="K9555" s="38" t="n">
        <f aca="false">Sens!$K$9462</f>
        <v>381.0735524264</v>
      </c>
      <c r="L9555" s="38" t="n">
        <f aca="false">Sens!$L$9462</f>
        <v>400.12723004772</v>
      </c>
      <c r="M9555" s="38" t="n">
        <f aca="false">Sens!$M$9462</f>
        <v>420.133591550106</v>
      </c>
      <c r="N9555" s="38" t="n">
        <f aca="false">Sens!$N$9462</f>
        <v>118.892</v>
      </c>
      <c r="O9555" s="38" t="n">
        <f aca="false">Sens!$O$9462</f>
        <v>150.395</v>
      </c>
    </row>
    <row r="9556" customFormat="false" ht="15" hidden="false" customHeight="false" outlineLevel="0" collapsed="false">
      <c r="A9556" s="0" t="s">
        <v>517</v>
      </c>
      <c r="B9556" s="0" t="s">
        <v>86</v>
      </c>
      <c r="C9556" s="38" t="n">
        <f aca="false">Sens!$C$9464</f>
        <v>21.215</v>
      </c>
      <c r="D9556" s="38" t="n">
        <f aca="false">Sens!$D$9464</f>
        <v>22.561</v>
      </c>
      <c r="E9556" s="38" t="n">
        <f aca="false">Sens!$E$9464</f>
        <v>11.579</v>
      </c>
      <c r="F9556" s="38" t="n">
        <f aca="false">Sens!$F$9464</f>
        <v>11.5938724610325</v>
      </c>
      <c r="G9556" s="38" t="n">
        <f aca="false">Sens!$G$9464</f>
        <v>23.1728724610325</v>
      </c>
      <c r="H9556" s="38" t="n">
        <f aca="false">Sens!$H$9464</f>
        <v>24.353392759506</v>
      </c>
      <c r="I9556" s="38" t="n">
        <f aca="false">Sens!$I$9464</f>
        <v>25.4240338872015</v>
      </c>
      <c r="J9556" s="38" t="n">
        <f aca="false">Sens!$J$9464</f>
        <v>26.3642491017174</v>
      </c>
      <c r="K9556" s="38" t="n">
        <f aca="false">Sens!$K$9464</f>
        <v>27.155176574769</v>
      </c>
      <c r="L9556" s="38" t="n">
        <f aca="false">Sens!$L$9464</f>
        <v>27.969831872012</v>
      </c>
      <c r="M9556" s="38" t="n">
        <f aca="false">Sens!$M$9464</f>
        <v>28.8089268281724</v>
      </c>
      <c r="N9556" s="38" t="n">
        <f aca="false">Sens!$N$9464</f>
        <v>11.128</v>
      </c>
      <c r="O9556" s="38" t="n">
        <f aca="false">Sens!$O$9464</f>
        <v>11.433</v>
      </c>
    </row>
    <row r="9557" customFormat="false" ht="15" hidden="false" customHeight="false" outlineLevel="0" collapsed="false">
      <c r="A9557" s="0" t="s">
        <v>518</v>
      </c>
      <c r="B9557" s="0" t="s">
        <v>86</v>
      </c>
      <c r="C9557" s="38" t="n">
        <f aca="false">Sens!$C$9466</f>
        <v>156.146</v>
      </c>
      <c r="D9557" s="38" t="n">
        <f aca="false">Sens!$D$9466</f>
        <v>172.162</v>
      </c>
      <c r="E9557" s="38" t="n">
        <f aca="false">Sens!$E$9466</f>
        <v>88.358</v>
      </c>
      <c r="F9557" s="38" t="n">
        <f aca="false">Sens!$F$9466</f>
        <v>102.004388260171</v>
      </c>
      <c r="G9557" s="38" t="n">
        <f aca="false">Sens!$G$9466</f>
        <v>190.362388260171</v>
      </c>
      <c r="H9557" s="38" t="n">
        <f aca="false">Sens!$H$9466</f>
        <v>210.343106588311</v>
      </c>
      <c r="I9557" s="38" t="n">
        <f aca="false">Sens!$I$9466</f>
        <v>229.969728494648</v>
      </c>
      <c r="J9557" s="38" t="n">
        <f aca="false">Sens!$J$9466</f>
        <v>248.747636972598</v>
      </c>
      <c r="K9557" s="38" t="n">
        <f aca="false">Sens!$K$9466</f>
        <v>266.15997156068</v>
      </c>
      <c r="L9557" s="38" t="n">
        <f aca="false">Sens!$L$9466</f>
        <v>284.791169569927</v>
      </c>
      <c r="M9557" s="38" t="n">
        <f aca="false">Sens!$M$9466</f>
        <v>304.726551439822</v>
      </c>
      <c r="N9557" s="38" t="n">
        <f aca="false">Sens!$N$9466</f>
        <v>76.86</v>
      </c>
      <c r="O9557" s="38" t="n">
        <f aca="false">Sens!$O$9466</f>
        <v>95.302</v>
      </c>
    </row>
    <row r="9558" customFormat="false" ht="15" hidden="false" customHeight="false" outlineLevel="0" collapsed="false">
      <c r="A9558" s="0" t="s">
        <v>519</v>
      </c>
      <c r="B9558" s="0" t="s">
        <v>86</v>
      </c>
      <c r="C9558" s="38" t="n">
        <f aca="false">Sens!$C$9468</f>
        <v>56.214</v>
      </c>
      <c r="D9558" s="38" t="n">
        <f aca="false">Sens!$D$9468</f>
        <v>68.635</v>
      </c>
      <c r="E9558" s="38" t="n">
        <f aca="false">Sens!$E$9468</f>
        <v>37.052</v>
      </c>
      <c r="F9558" s="38" t="n">
        <f aca="false">Sens!$F$9468</f>
        <v>46.1572219944148</v>
      </c>
      <c r="G9558" s="38" t="n">
        <f aca="false">Sens!$G$9468</f>
        <v>83.2092219944148</v>
      </c>
      <c r="H9558" s="38" t="n">
        <f aca="false">Sens!$H$9468</f>
        <v>99.8969223878976</v>
      </c>
      <c r="I9558" s="38" t="n">
        <f aca="false">Sens!$I$9468</f>
        <v>116.583111095496</v>
      </c>
      <c r="J9558" s="38" t="n">
        <f aca="false">Sens!$J$9468</f>
        <v>132.148941941952</v>
      </c>
      <c r="K9558" s="38" t="n">
        <f aca="false">Sens!$K$9468</f>
        <v>145.363836136147</v>
      </c>
      <c r="L9558" s="38" t="n">
        <f aca="false">Sens!$L$9468</f>
        <v>159.900219749762</v>
      </c>
      <c r="M9558" s="38" t="n">
        <f aca="false">Sens!$M$9468</f>
        <v>175.890241724738</v>
      </c>
      <c r="N9558" s="38" t="n">
        <f aca="false">Sens!$N$9468</f>
        <v>29.615</v>
      </c>
      <c r="O9558" s="38" t="n">
        <f aca="false">Sens!$O$9468</f>
        <v>39.02</v>
      </c>
    </row>
    <row r="9559" customFormat="false" ht="15" hidden="false" customHeight="false" outlineLevel="0" collapsed="false">
      <c r="A9559" s="0" t="s">
        <v>520</v>
      </c>
      <c r="B9559" s="0" t="s">
        <v>86</v>
      </c>
      <c r="C9559" s="38" t="n">
        <f aca="false">Sens!$C$9470</f>
        <v>44.374</v>
      </c>
      <c r="D9559" s="38" t="n">
        <f aca="false">Sens!$D$9470</f>
        <v>49.619</v>
      </c>
      <c r="E9559" s="38" t="n">
        <f aca="false">Sens!$E$9470</f>
        <v>27.157</v>
      </c>
      <c r="F9559" s="38" t="n">
        <f aca="false">Sens!$F$9470</f>
        <v>27.7764165988154</v>
      </c>
      <c r="G9559" s="38" t="n">
        <f aca="false">Sens!$G$9470</f>
        <v>54.9334165988154</v>
      </c>
      <c r="H9559" s="38" t="n">
        <f aca="false">Sens!$H$9470</f>
        <v>61.1564112561829</v>
      </c>
      <c r="I9559" s="38" t="n">
        <f aca="false">Sens!$I$9470</f>
        <v>67.2020282103945</v>
      </c>
      <c r="J9559" s="38" t="n">
        <f aca="false">Sens!$J$9470</f>
        <v>72.8757274028885</v>
      </c>
      <c r="K9559" s="38" t="n">
        <f aca="false">Sens!$K$9470</f>
        <v>77.9770283210907</v>
      </c>
      <c r="L9559" s="38" t="n">
        <f aca="false">Sens!$L$9470</f>
        <v>83.4354203035671</v>
      </c>
      <c r="M9559" s="38" t="n">
        <f aca="false">Sens!$M$9470</f>
        <v>89.2758997248168</v>
      </c>
      <c r="N9559" s="38" t="n">
        <f aca="false">Sens!$N$9470</f>
        <v>23.923</v>
      </c>
      <c r="O9559" s="38" t="n">
        <f aca="false">Sens!$O$9470</f>
        <v>25.696</v>
      </c>
    </row>
    <row r="9560" customFormat="false" ht="15" hidden="false" customHeight="false" outlineLevel="0" collapsed="false">
      <c r="A9560" s="0" t="s">
        <v>521</v>
      </c>
      <c r="B9560" s="0" t="s">
        <v>86</v>
      </c>
      <c r="C9560" s="38" t="n">
        <f aca="false">Sens!$C$9472</f>
        <v>5.425</v>
      </c>
      <c r="D9560" s="38" t="n">
        <f aca="false">Sens!$D$9472</f>
        <v>5.935</v>
      </c>
      <c r="E9560" s="38" t="n">
        <f aca="false">Sens!$E$9472</f>
        <v>3.474</v>
      </c>
      <c r="F9560" s="38" t="n">
        <f aca="false">Sens!$F$9472</f>
        <v>3.22246550883619</v>
      </c>
      <c r="G9560" s="38" t="n">
        <f aca="false">Sens!$G$9472</f>
        <v>6.69646550883619</v>
      </c>
      <c r="H9560" s="38" t="n">
        <f aca="false">Sens!$H$9472</f>
        <v>7.16251344209196</v>
      </c>
      <c r="I9560" s="38" t="n">
        <f aca="false">Sens!$I$9472</f>
        <v>7.61421070299826</v>
      </c>
      <c r="J9560" s="38" t="n">
        <f aca="false">Sens!$J$9472</f>
        <v>8.04465753523932</v>
      </c>
      <c r="K9560" s="38" t="n">
        <f aca="false">Sens!$K$9472</f>
        <v>8.44689041200128</v>
      </c>
      <c r="L9560" s="38" t="n">
        <f aca="false">Sens!$L$9472</f>
        <v>8.86923493260135</v>
      </c>
      <c r="M9560" s="38" t="n">
        <f aca="false">Sens!$M$9472</f>
        <v>9.31269667923142</v>
      </c>
      <c r="N9560" s="38" t="n">
        <f aca="false">Sens!$N$9472</f>
        <v>2.811</v>
      </c>
      <c r="O9560" s="38" t="n">
        <f aca="false">Sens!$O$9472</f>
        <v>3.124</v>
      </c>
    </row>
    <row r="9561" customFormat="false" ht="17.15" hidden="false" customHeight="false" outlineLevel="0" collapsed="false">
      <c r="A9561" s="0" t="s">
        <v>711</v>
      </c>
      <c r="B9561" s="0" t="s">
        <v>86</v>
      </c>
      <c r="C9561" s="38" t="n">
        <f aca="false">Sens!$C$9542</f>
        <v>107.556</v>
      </c>
      <c r="D9561" s="38" t="n">
        <f aca="false">Sens!$D$9542</f>
        <v>128.725</v>
      </c>
      <c r="E9561" s="38" t="n">
        <f aca="false">Sens!$E$9542</f>
        <v>79.819</v>
      </c>
      <c r="F9561" s="38" t="n">
        <f aca="false">Sens!$F$9542</f>
        <v>86.7327334389669</v>
      </c>
      <c r="G9561" s="38" t="n">
        <f aca="false">Sens!$G$9542</f>
        <v>166.551733438967</v>
      </c>
      <c r="H9561" s="38" t="n">
        <f aca="false">Sens!$H$9542</f>
        <v>221.182967828978</v>
      </c>
      <c r="I9561" s="38" t="n">
        <f aca="false">Sens!$I$9542</f>
        <v>280.27345865789</v>
      </c>
      <c r="J9561" s="38" t="n">
        <f aca="false">Sens!$J$9542</f>
        <v>338.800945197185</v>
      </c>
      <c r="K9561" s="38" t="n">
        <f aca="false">Sens!$K$9542</f>
        <v>389.599699375015</v>
      </c>
      <c r="L9561" s="38" t="n">
        <f aca="false">Sens!$L$9542</f>
        <v>428.943490119887</v>
      </c>
      <c r="M9561" s="38" t="n">
        <f aca="false">Sens!$M$9542</f>
        <v>456.901465525587</v>
      </c>
      <c r="N9561" s="38" t="n">
        <f aca="false">Sens!$N$9542</f>
        <v>60.14</v>
      </c>
      <c r="O9561" s="38" t="n">
        <f aca="false">Sens!$O$9542</f>
        <v>68.585</v>
      </c>
    </row>
    <row r="9562" customFormat="false" ht="15" hidden="false" customHeight="false" outlineLevel="0" collapsed="false">
      <c r="A9562" s="1" t="s">
        <v>509</v>
      </c>
      <c r="B9562" s="8" t="s">
        <v>86</v>
      </c>
      <c r="C9562" s="38" t="n">
        <f aca="false">Sens!$C$9477</f>
        <v>387.497</v>
      </c>
      <c r="D9562" s="38" t="n">
        <f aca="false">Sens!$D$9477</f>
        <v>426.305</v>
      </c>
      <c r="E9562" s="38" t="n">
        <f aca="false">Sens!$E$9477</f>
        <v>220.32</v>
      </c>
      <c r="F9562" s="38" t="n">
        <f aca="false">Sens!$F$9477</f>
        <v>250.639773480586</v>
      </c>
      <c r="G9562" s="38" t="n">
        <f aca="false">Sens!$G$9477</f>
        <v>470.959773480586</v>
      </c>
      <c r="H9562" s="38" t="n">
        <f aca="false">Sens!$H$9477</f>
        <v>521.386990416437</v>
      </c>
      <c r="I9562" s="38" t="n">
        <f aca="false">Sens!$I$9477</f>
        <v>570.143862887555</v>
      </c>
      <c r="J9562" s="38" t="n">
        <f aca="false">Sens!$J$9477</f>
        <v>615.391435791933</v>
      </c>
      <c r="K9562" s="38" t="n">
        <f aca="false">Sens!$K$9477</f>
        <v>655.208227561543</v>
      </c>
      <c r="L9562" s="38" t="n">
        <f aca="false">Sens!$L$9477</f>
        <v>697.807739249767</v>
      </c>
      <c r="M9562" s="38" t="n">
        <f aca="false">Sens!$M$9477</f>
        <v>743.399328463592</v>
      </c>
      <c r="N9562" s="38" t="n">
        <f aca="false">Sens!$N$9477</f>
        <v>192.955</v>
      </c>
      <c r="O9562" s="38" t="n">
        <f aca="false">Sens!$O$9477</f>
        <v>233.35</v>
      </c>
    </row>
    <row r="9563" customFormat="false" ht="15" hidden="false" customHeight="false" outlineLevel="0" collapsed="false">
      <c r="A9563" s="1" t="s">
        <v>512</v>
      </c>
      <c r="B9563" s="8" t="s">
        <v>86</v>
      </c>
      <c r="C9563" s="38" t="n">
        <f aca="false">Sens!$C$9478</f>
        <v>142.906</v>
      </c>
      <c r="D9563" s="38" t="n">
        <f aca="false">Sens!$D$9478</f>
        <v>161.894</v>
      </c>
      <c r="E9563" s="38" t="n">
        <f aca="false">Sens!$E$9478</f>
        <v>81.986</v>
      </c>
      <c r="F9563" s="38" t="n">
        <f aca="false">Sens!$F$9478</f>
        <v>98.408468164951</v>
      </c>
      <c r="G9563" s="38" t="n">
        <f aca="false">Sens!$G$9478</f>
        <v>180.394468164951</v>
      </c>
      <c r="H9563" s="38" t="n">
        <f aca="false">Sens!$H$9478</f>
        <v>199.709899104949</v>
      </c>
      <c r="I9563" s="38" t="n">
        <f aca="false">Sens!$I$9478</f>
        <v>218.385528264976</v>
      </c>
      <c r="J9563" s="38" t="n">
        <f aca="false">Sens!$J$9478</f>
        <v>235.71696994951</v>
      </c>
      <c r="K9563" s="38" t="n">
        <f aca="false">Sens!$K$9478</f>
        <v>250.968227869545</v>
      </c>
      <c r="L9563" s="38" t="n">
        <f aca="false">Sens!$L$9478</f>
        <v>267.285367225822</v>
      </c>
      <c r="M9563" s="38" t="n">
        <f aca="false">Sens!$M$9478</f>
        <v>284.748579483295</v>
      </c>
      <c r="N9563" s="38" t="n">
        <f aca="false">Sens!$N$9478</f>
        <v>70.274</v>
      </c>
      <c r="O9563" s="38" t="n">
        <f aca="false">Sens!$O$9478</f>
        <v>91.62</v>
      </c>
    </row>
    <row r="9564" customFormat="false" ht="15" hidden="false" customHeight="false" outlineLevel="0" collapsed="false">
      <c r="A9564" s="1" t="s">
        <v>513</v>
      </c>
      <c r="B9564" s="8" t="s">
        <v>86</v>
      </c>
      <c r="C9564" s="38" t="n">
        <f aca="false">Sens!$C$9542</f>
        <v>107.556</v>
      </c>
      <c r="D9564" s="38" t="n">
        <f aca="false">Sens!$D$9542</f>
        <v>128.725</v>
      </c>
      <c r="E9564" s="38" t="n">
        <f aca="false">Sens!$E$9542</f>
        <v>79.819</v>
      </c>
      <c r="F9564" s="38" t="n">
        <f aca="false">Sens!$F$9542</f>
        <v>86.7327334389669</v>
      </c>
      <c r="G9564" s="38" t="n">
        <f aca="false">Sens!$G$9542</f>
        <v>166.551733438967</v>
      </c>
      <c r="H9564" s="38" t="n">
        <f aca="false">Sens!$H$9542</f>
        <v>221.182967828978</v>
      </c>
      <c r="I9564" s="38" t="n">
        <f aca="false">Sens!$I$9542</f>
        <v>280.27345865789</v>
      </c>
      <c r="J9564" s="38" t="n">
        <f aca="false">Sens!$J$9542</f>
        <v>338.800945197185</v>
      </c>
      <c r="K9564" s="38" t="n">
        <f aca="false">Sens!$K$9542</f>
        <v>389.599699375015</v>
      </c>
      <c r="L9564" s="38" t="n">
        <f aca="false">Sens!$L$9542</f>
        <v>428.943490119887</v>
      </c>
      <c r="M9564" s="38" t="n">
        <f aca="false">Sens!$M$9542</f>
        <v>456.901465525587</v>
      </c>
      <c r="N9564" s="38" t="n">
        <f aca="false">Sens!$N$9542</f>
        <v>60.14</v>
      </c>
      <c r="O9564" s="38" t="n">
        <f aca="false">Sens!$O$9542</f>
        <v>68.585</v>
      </c>
    </row>
    <row r="9565" customFormat="false" ht="17.15" hidden="false" customHeight="false" outlineLevel="0" collapsed="false">
      <c r="A9565" s="0" t="s">
        <v>685</v>
      </c>
      <c r="B9565" s="0" t="s">
        <v>86</v>
      </c>
      <c r="C9565" s="38" t="n">
        <f aca="false">Sens!$C$9540</f>
        <v>2.32100535697364</v>
      </c>
      <c r="D9565" s="38" t="n">
        <f aca="false">Sens!$D$9540</f>
        <v>8.70377008865116</v>
      </c>
      <c r="E9565" s="38" t="n">
        <f aca="false">Sens!$E$9540</f>
        <v>8.51035297557002</v>
      </c>
      <c r="F9565" s="38" t="n">
        <f aca="false">Sens!$F$9540</f>
        <v>14.9634336447205</v>
      </c>
      <c r="G9565" s="38" t="n">
        <f aca="false">Sens!$G$9540</f>
        <v>23.4737866202905</v>
      </c>
      <c r="H9565" s="38" t="n">
        <f aca="false">Sens!$H$9540</f>
        <v>60.1658907497746</v>
      </c>
      <c r="I9565" s="38" t="n">
        <f aca="false">Sens!$I$9540</f>
        <v>101.503699136432</v>
      </c>
      <c r="J9565" s="38" t="n">
        <f aca="false">Sens!$J$9540</f>
        <v>143.025407151278</v>
      </c>
      <c r="K9565" s="38" t="n">
        <f aca="false">Sens!$K$9540</f>
        <v>178.162118285436</v>
      </c>
      <c r="L9565" s="38" t="n">
        <f aca="false">Sens!$L$9540</f>
        <v>200.590902543141</v>
      </c>
      <c r="M9565" s="38" t="n">
        <f aca="false">Sens!$M$9540</f>
        <v>210.280670942702</v>
      </c>
      <c r="N9565" s="38" t="n">
        <f aca="false">Sens!$N$9540</f>
        <v>3.04631953102791</v>
      </c>
      <c r="O9565" s="38" t="n">
        <f aca="false">Sens!$O$9540</f>
        <v>5.65745055762326</v>
      </c>
    </row>
    <row r="9566" customFormat="false" ht="17.15" hidden="false" customHeight="false" outlineLevel="0" collapsed="false">
      <c r="A9566" s="0" t="s">
        <v>687</v>
      </c>
      <c r="B9566" s="0" t="s">
        <v>86</v>
      </c>
      <c r="C9566" s="38" t="n">
        <f aca="false">Sens!$C$9541</f>
        <v>105.234994643026</v>
      </c>
      <c r="D9566" s="38" t="n">
        <f aca="false">Sens!$D$9541</f>
        <v>120.021229911349</v>
      </c>
      <c r="E9566" s="38" t="n">
        <f aca="false">Sens!$E$9541</f>
        <v>71.30864702443</v>
      </c>
      <c r="F9566" s="38" t="n">
        <f aca="false">Sens!$F$9541</f>
        <v>71.7692997942464</v>
      </c>
      <c r="G9566" s="38" t="n">
        <f aca="false">Sens!$G$9541</f>
        <v>143.077946818676</v>
      </c>
      <c r="H9566" s="38" t="n">
        <f aca="false">Sens!$H$9541</f>
        <v>161.017077079203</v>
      </c>
      <c r="I9566" s="38" t="n">
        <f aca="false">Sens!$I$9541</f>
        <v>178.769759521457</v>
      </c>
      <c r="J9566" s="38" t="n">
        <f aca="false">Sens!$J$9541</f>
        <v>195.775538045907</v>
      </c>
      <c r="K9566" s="38" t="n">
        <f aca="false">Sens!$K$9541</f>
        <v>211.43758108958</v>
      </c>
      <c r="L9566" s="38" t="n">
        <f aca="false">Sens!$L$9541</f>
        <v>228.352587576746</v>
      </c>
      <c r="M9566" s="38" t="n">
        <f aca="false">Sens!$M$9541</f>
        <v>246.620794582886</v>
      </c>
      <c r="N9566" s="38" t="n">
        <f aca="false">Sens!$N$9541</f>
        <v>57.0936804689721</v>
      </c>
      <c r="O9566" s="38" t="n">
        <f aca="false">Sens!$O$9541</f>
        <v>62.9275494423768</v>
      </c>
    </row>
    <row r="9567" customFormat="false" ht="15" hidden="false" customHeight="false" outlineLevel="0" collapsed="false">
      <c r="A9567" s="3" t="s">
        <v>514</v>
      </c>
      <c r="B9567" s="8" t="s">
        <v>86</v>
      </c>
      <c r="C9567" s="38" t="n">
        <f aca="false">Sens!$C$9543</f>
        <v>637.959</v>
      </c>
      <c r="D9567" s="38" t="n">
        <f aca="false">Sens!$D$9543</f>
        <v>716.924</v>
      </c>
      <c r="E9567" s="38" t="n">
        <f aca="false">Sens!$E$9543</f>
        <v>382.125</v>
      </c>
      <c r="F9567" s="38" t="n">
        <f aca="false">Sens!$F$9543</f>
        <v>435.780975084504</v>
      </c>
      <c r="G9567" s="38" t="n">
        <f aca="false">Sens!$G$9543</f>
        <v>817.905975084504</v>
      </c>
      <c r="H9567" s="38" t="n">
        <f aca="false">Sens!$H$9543</f>
        <v>942.279857350364</v>
      </c>
      <c r="I9567" s="38" t="n">
        <f aca="false">Sens!$I$9543</f>
        <v>1068.80284981042</v>
      </c>
      <c r="J9567" s="38" t="n">
        <f aca="false">Sens!$J$9543</f>
        <v>1189.90935093863</v>
      </c>
      <c r="K9567" s="38" t="n">
        <f aca="false">Sens!$K$9543</f>
        <v>1295.7761548061</v>
      </c>
      <c r="L9567" s="38" t="n">
        <f aca="false">Sens!$L$9543</f>
        <v>1394.03659659548</v>
      </c>
      <c r="M9567" s="38" t="n">
        <f aca="false">Sens!$M$9543</f>
        <v>1485.04937347247</v>
      </c>
      <c r="N9567" s="38" t="n">
        <f aca="false">Sens!$N$9543</f>
        <v>323.369</v>
      </c>
      <c r="O9567" s="38" t="n">
        <f aca="false">Sens!$O$9543</f>
        <v>393.555</v>
      </c>
    </row>
    <row r="9568" customFormat="false" ht="17.15" hidden="false" customHeight="false" outlineLevel="0" collapsed="false">
      <c r="A9568" s="24" t="s">
        <v>697</v>
      </c>
      <c r="B9568" s="25" t="s">
        <v>86</v>
      </c>
      <c r="C9568" s="41" t="n">
        <f aca="false">Sens!$C$9555+Sens!$C$9556+Sens!$C$9557+Sens!$C$9558+Sens!$C$9559+Sens!$C$9560-(Sens!$C$9562+Sens!$C$9563)</f>
        <v>0</v>
      </c>
      <c r="D9568" s="41" t="n">
        <f aca="false">Sens!$D$9555+Sens!$D$9556+Sens!$D$9557+Sens!$D$9558+Sens!$D$9559+Sens!$D$9560-(Sens!$D$9562+Sens!$D$9563)</f>
        <v>0</v>
      </c>
      <c r="E9568" s="41" t="n">
        <f aca="false">Sens!$E$9555+Sens!$E$9556+Sens!$E$9557+Sens!$E$9558+Sens!$E$9559+Sens!$E$9560-(Sens!$E$9562+Sens!$E$9563)</f>
        <v>0</v>
      </c>
      <c r="F9568" s="41" t="n">
        <f aca="false">Sens!$F$9555+Sens!$F$9556+Sens!$F$9557+Sens!$F$9558+Sens!$F$9559+Sens!$F$9560-(Sens!$F$9562+Sens!$F$9563)</f>
        <v>0</v>
      </c>
      <c r="G9568" s="41" t="n">
        <f aca="false">Sens!$G$9555+Sens!$G$9556+Sens!$G$9557+Sens!$G$9558+Sens!$G$9559+Sens!$G$9560-(Sens!$G$9562+Sens!$G$9563)</f>
        <v>0</v>
      </c>
      <c r="H9568" s="41" t="n">
        <f aca="false">Sens!$H$9555+Sens!$H$9556+Sens!$H$9557+Sens!$H$9558+Sens!$H$9559+Sens!$H$9560-(Sens!$H$9562+Sens!$H$9563)</f>
        <v>0</v>
      </c>
      <c r="I9568" s="41" t="n">
        <f aca="false">Sens!$I$9555+Sens!$I$9556+Sens!$I$9557+Sens!$I$9558+Sens!$I$9559+Sens!$I$9560-(Sens!$I$9562+Sens!$I$9563)</f>
        <v>0</v>
      </c>
      <c r="J9568" s="41" t="n">
        <f aca="false">Sens!$J$9555+Sens!$J$9556+Sens!$J$9557+Sens!$J$9558+Sens!$J$9559+Sens!$J$9560-(Sens!$J$9562+Sens!$J$9563)</f>
        <v>0</v>
      </c>
      <c r="K9568" s="41" t="n">
        <f aca="false">Sens!$K$9555+Sens!$K$9556+Sens!$K$9557+Sens!$K$9558+Sens!$K$9559+Sens!$K$9560-(Sens!$K$9562+Sens!$K$9563)</f>
        <v>0</v>
      </c>
      <c r="L9568" s="41" t="n">
        <f aca="false">Sens!$L$9555+Sens!$L$9556+Sens!$L$9557+Sens!$L$9558+Sens!$L$9559+Sens!$L$9560-(Sens!$L$9562+Sens!$L$9563)</f>
        <v>0</v>
      </c>
      <c r="M9568" s="41" t="n">
        <f aca="false">Sens!$M$9555+Sens!$M$9556+Sens!$M$9557+Sens!$M$9558+Sens!$M$9559+Sens!$M$9560-(Sens!$M$9562+Sens!$M$9563)</f>
        <v>0</v>
      </c>
      <c r="N9568" s="41" t="n">
        <f aca="false">Sens!$N$9555+Sens!$N$9556+Sens!$N$9557+Sens!$N$9558+Sens!$N$9559+Sens!$N$9560-(Sens!$N$9562+Sens!$N$9563)</f>
        <v>0</v>
      </c>
      <c r="O9568" s="41" t="n">
        <f aca="false">Sens!$O$9555+Sens!$O$9556+Sens!$O$9557+Sens!$O$9558+Sens!$O$9559+Sens!$O$9560-(Sens!$O$9562+Sens!$O$9563)</f>
        <v>0</v>
      </c>
    </row>
    <row r="9569" customFormat="false" ht="17.15" hidden="false" customHeight="false" outlineLevel="0" collapsed="false">
      <c r="A9569" s="24" t="s">
        <v>698</v>
      </c>
      <c r="B9569" s="25" t="s">
        <v>86</v>
      </c>
      <c r="C9569" s="41" t="n">
        <f aca="false">Sens!$C$9565+Sens!$C$9566-Sens!$C$9564</f>
        <v>0</v>
      </c>
      <c r="D9569" s="41" t="n">
        <f aca="false">Sens!$D$9565+Sens!$D$9566-Sens!$D$9564</f>
        <v>0</v>
      </c>
      <c r="E9569" s="41" t="n">
        <f aca="false">Sens!$E$9565+Sens!$E$9566-Sens!$E$9564</f>
        <v>0</v>
      </c>
      <c r="F9569" s="41" t="n">
        <f aca="false">Sens!$F$9565+Sens!$F$9566-Sens!$F$9564</f>
        <v>0</v>
      </c>
      <c r="G9569" s="41" t="n">
        <f aca="false">Sens!$G$9565+Sens!$G$9566-Sens!$G$9564</f>
        <v>0</v>
      </c>
      <c r="H9569" s="41" t="n">
        <f aca="false">Sens!$H$9565+Sens!$H$9566-Sens!$H$9564</f>
        <v>0</v>
      </c>
      <c r="I9569" s="41" t="n">
        <f aca="false">Sens!$I$9565+Sens!$I$9566-Sens!$I$9564</f>
        <v>0</v>
      </c>
      <c r="J9569" s="41" t="n">
        <f aca="false">Sens!$J$9565+Sens!$J$9566-Sens!$J$9564</f>
        <v>0</v>
      </c>
      <c r="K9569" s="41" t="n">
        <f aca="false">Sens!$K$9565+Sens!$K$9566-Sens!$K$9564</f>
        <v>0</v>
      </c>
      <c r="L9569" s="41" t="n">
        <f aca="false">Sens!$L$9565+Sens!$L$9566-Sens!$L$9564</f>
        <v>0</v>
      </c>
      <c r="M9569" s="41" t="n">
        <f aca="false">Sens!$M$9565+Sens!$M$9566-Sens!$M$9564</f>
        <v>0</v>
      </c>
      <c r="N9569" s="41" t="n">
        <f aca="false">Sens!$N$9565+Sens!$N$9566-Sens!$N$9564</f>
        <v>0</v>
      </c>
      <c r="O9569" s="41" t="n">
        <f aca="false">Sens!$O$9565+Sens!$O$9566-Sens!$O$9564</f>
        <v>0</v>
      </c>
    </row>
    <row r="9570" customFormat="false" ht="17.15" hidden="false" customHeight="false" outlineLevel="0" collapsed="false">
      <c r="A9570" s="24" t="s">
        <v>757</v>
      </c>
      <c r="B9570" s="25" t="s">
        <v>86</v>
      </c>
      <c r="C9570" s="41" t="n">
        <f aca="false">Sens!$C$9555+Sens!$C$9556+Sens!$C$9557+Sens!$C$9558+Sens!$C$9559+Sens!$C$9560+Sens!$C$9561-Sens!$C$9567</f>
        <v>0</v>
      </c>
      <c r="D9570" s="41" t="n">
        <f aca="false">Sens!$D$9555+Sens!$D$9556+Sens!$D$9557+Sens!$D$9558+Sens!$D$9559+Sens!$D$9560+Sens!$D$9561-Sens!$D$9567</f>
        <v>0</v>
      </c>
      <c r="E9570" s="41" t="n">
        <f aca="false">Sens!$E$9555+Sens!$E$9556+Sens!$E$9557+Sens!$E$9558+Sens!$E$9559+Sens!$E$9560+Sens!$E$9561-Sens!$E$9567</f>
        <v>0</v>
      </c>
      <c r="F9570" s="41" t="n">
        <f aca="false">Sens!$F$9555+Sens!$F$9556+Sens!$F$9557+Sens!$F$9558+Sens!$F$9559+Sens!$F$9560+Sens!$F$9561-Sens!$F$9567</f>
        <v>0</v>
      </c>
      <c r="G9570" s="41" t="n">
        <f aca="false">Sens!$G$9555+Sens!$G$9556+Sens!$G$9557+Sens!$G$9558+Sens!$G$9559+Sens!$G$9560+Sens!$G$9561-Sens!$G$9567</f>
        <v>0</v>
      </c>
      <c r="H9570" s="41" t="n">
        <f aca="false">Sens!$H$9555+Sens!$H$9556+Sens!$H$9557+Sens!$H$9558+Sens!$H$9559+Sens!$H$9560+Sens!$H$9561-Sens!$H$9567</f>
        <v>0</v>
      </c>
      <c r="I9570" s="41" t="n">
        <f aca="false">Sens!$I$9555+Sens!$I$9556+Sens!$I$9557+Sens!$I$9558+Sens!$I$9559+Sens!$I$9560+Sens!$I$9561-Sens!$I$9567</f>
        <v>0</v>
      </c>
      <c r="J9570" s="41" t="n">
        <f aca="false">Sens!$J$9555+Sens!$J$9556+Sens!$J$9557+Sens!$J$9558+Sens!$J$9559+Sens!$J$9560+Sens!$J$9561-Sens!$J$9567</f>
        <v>0</v>
      </c>
      <c r="K9570" s="41" t="n">
        <f aca="false">Sens!$K$9555+Sens!$K$9556+Sens!$K$9557+Sens!$K$9558+Sens!$K$9559+Sens!$K$9560+Sens!$K$9561-Sens!$K$9567</f>
        <v>0</v>
      </c>
      <c r="L9570" s="41" t="n">
        <f aca="false">Sens!$L$9555+Sens!$L$9556+Sens!$L$9557+Sens!$L$9558+Sens!$L$9559+Sens!$L$9560+Sens!$L$9561-Sens!$L$9567</f>
        <v>0</v>
      </c>
      <c r="M9570" s="41" t="n">
        <f aca="false">Sens!$M$9555+Sens!$M$9556+Sens!$M$9557+Sens!$M$9558+Sens!$M$9559+Sens!$M$9560+Sens!$M$9561-Sens!$M$9567</f>
        <v>0</v>
      </c>
      <c r="N9570" s="41" t="n">
        <f aca="false">Sens!$N$9555+Sens!$N$9556+Sens!$N$9557+Sens!$N$9558+Sens!$N$9559+Sens!$N$9560+Sens!$N$9561-Sens!$N$9567</f>
        <v>0</v>
      </c>
      <c r="O9570" s="41" t="n">
        <f aca="false">Sens!$O$9555+Sens!$O$9556+Sens!$O$9557+Sens!$O$9558+Sens!$O$9559+Sens!$O$9560+Sens!$O$9561-Sens!$O$9567</f>
        <v>0</v>
      </c>
    </row>
    <row r="9571" customFormat="false" ht="17.15" hidden="false" customHeight="false" outlineLevel="0" collapsed="false">
      <c r="A9571" s="24" t="s">
        <v>699</v>
      </c>
      <c r="B9571" s="25" t="s">
        <v>86</v>
      </c>
      <c r="C9571" s="41" t="n">
        <f aca="false">Sens!$C$9562+Sens!$C$9563+Sens!$C$9564-Sens!$C$9567</f>
        <v>0</v>
      </c>
      <c r="D9571" s="41" t="n">
        <f aca="false">Sens!$D$9562+Sens!$D$9563+Sens!$D$9564-Sens!$D$9567</f>
        <v>0</v>
      </c>
      <c r="E9571" s="41" t="n">
        <f aca="false">Sens!$E$9562+Sens!$E$9563+Sens!$E$9564-Sens!$E$9567</f>
        <v>0</v>
      </c>
      <c r="F9571" s="41" t="n">
        <f aca="false">Sens!$F$9562+Sens!$F$9563+Sens!$F$9564-Sens!$F$9567</f>
        <v>0</v>
      </c>
      <c r="G9571" s="41" t="n">
        <f aca="false">Sens!$G$9562+Sens!$G$9563+Sens!$G$9564-Sens!$G$9567</f>
        <v>0</v>
      </c>
      <c r="H9571" s="41" t="n">
        <f aca="false">Sens!$H$9562+Sens!$H$9563+Sens!$H$9564-Sens!$H$9567</f>
        <v>0</v>
      </c>
      <c r="I9571" s="41" t="n">
        <f aca="false">Sens!$I$9562+Sens!$I$9563+Sens!$I$9564-Sens!$I$9567</f>
        <v>0</v>
      </c>
      <c r="J9571" s="41" t="n">
        <f aca="false">Sens!$J$9562+Sens!$J$9563+Sens!$J$9564-Sens!$J$9567</f>
        <v>0</v>
      </c>
      <c r="K9571" s="41" t="n">
        <f aca="false">Sens!$K$9562+Sens!$K$9563+Sens!$K$9564-Sens!$K$9567</f>
        <v>0</v>
      </c>
      <c r="L9571" s="41" t="n">
        <f aca="false">Sens!$L$9562+Sens!$L$9563+Sens!$L$9564-Sens!$L$9567</f>
        <v>0</v>
      </c>
      <c r="M9571" s="41" t="n">
        <f aca="false">Sens!$M$9562+Sens!$M$9563+Sens!$M$9564-Sens!$M$9567</f>
        <v>0</v>
      </c>
      <c r="N9571" s="41" t="n">
        <f aca="false">Sens!$N$9562+Sens!$N$9563+Sens!$N$9564-Sens!$N$9567</f>
        <v>0</v>
      </c>
      <c r="O9571" s="41" t="n">
        <f aca="false">Sens!$O$9562+Sens!$O$9563+Sens!$O$9564-Sens!$O$9567</f>
        <v>0</v>
      </c>
    </row>
    <row r="9572" customFormat="false" ht="17.15" hidden="false" customHeight="false" outlineLevel="0" collapsed="false">
      <c r="A9572" s="1" t="s">
        <v>713</v>
      </c>
    </row>
    <row r="9573" customFormat="false" ht="17.15" hidden="false" customHeight="false" outlineLevel="0" collapsed="false">
      <c r="A9573" s="0" t="s">
        <v>714</v>
      </c>
      <c r="B9573" s="0" t="s">
        <v>86</v>
      </c>
      <c r="C9573" s="38" t="n">
        <f aca="false">Sens!$C$9479*m_ad</f>
        <v>20.5341564414228</v>
      </c>
      <c r="D9573" s="38" t="n">
        <f aca="false">Sens!$D$9479*m_ad</f>
        <v>24.8720617299587</v>
      </c>
      <c r="E9573" s="38" t="n">
        <f aca="false">Sens!$E$9479*m_ad</f>
        <v>13.5017112462207</v>
      </c>
      <c r="F9573" s="38" t="n">
        <f aca="false">Sens!$F$9479*m_ad</f>
        <v>16.5719724165257</v>
      </c>
      <c r="G9573" s="38" t="n">
        <f aca="false">Sens!$G$9479*m_ad</f>
        <v>30.0820919220415</v>
      </c>
      <c r="H9573" s="38" t="n">
        <f aca="false">Sens!$H$9479*m_ad</f>
        <v>36.1150883276314</v>
      </c>
      <c r="I9573" s="38" t="n">
        <f aca="false">Sens!$I$9479*m_ad</f>
        <v>42.1475382231996</v>
      </c>
      <c r="J9573" s="38" t="n">
        <f aca="false">Sens!$J$9479*m_ad</f>
        <v>47.7749523864693</v>
      </c>
      <c r="K9573" s="38" t="n">
        <f aca="false">Sens!$K$9479*m_ad</f>
        <v>52.5524476251162</v>
      </c>
      <c r="L9573" s="38" t="n">
        <f aca="false">Sens!$L$9479*m_ad</f>
        <v>57.8076923876279</v>
      </c>
      <c r="M9573" s="38" t="n">
        <f aca="false">Sens!$M$9479*m_ad</f>
        <v>63.5884616263907</v>
      </c>
      <c r="N9573" s="38" t="n">
        <f aca="false">Sens!$N$9479*m_ad</f>
        <v>10.8543555706248</v>
      </c>
      <c r="O9573" s="38" t="n">
        <f aca="false">Sens!$O$9479*m_ad</f>
        <v>14.0094731821399</v>
      </c>
    </row>
    <row r="9574" customFormat="false" ht="17.15" hidden="false" customHeight="false" outlineLevel="0" collapsed="false">
      <c r="A9574" s="0" t="s">
        <v>715</v>
      </c>
      <c r="B9574" s="0" t="s">
        <v>86</v>
      </c>
      <c r="C9574" s="38" t="n">
        <f aca="false">Sens!$C$9477-Sens!$C$9479</f>
        <v>346.428687117154</v>
      </c>
      <c r="D9574" s="38" t="n">
        <f aca="false">Sens!$D$9477-Sens!$D$9479</f>
        <v>376.560876540083</v>
      </c>
      <c r="E9574" s="38" t="n">
        <f aca="false">Sens!$E$9477-Sens!$E$9479</f>
        <v>193.316577507559</v>
      </c>
      <c r="F9574" s="38" t="n">
        <f aca="false">Sens!$F$9477-Sens!$F$9479</f>
        <v>217.495828647535</v>
      </c>
      <c r="G9574" s="38" t="n">
        <f aca="false">Sens!$G$9477-Sens!$G$9479</f>
        <v>410.795589636503</v>
      </c>
      <c r="H9574" s="38" t="n">
        <f aca="false">Sens!$H$9477-Sens!$H$9479</f>
        <v>449.156813761174</v>
      </c>
      <c r="I9574" s="38" t="n">
        <f aca="false">Sens!$I$9477-Sens!$I$9479</f>
        <v>485.848786441156</v>
      </c>
      <c r="J9574" s="38" t="n">
        <f aca="false">Sens!$J$9477-Sens!$J$9479</f>
        <v>519.841531018994</v>
      </c>
      <c r="K9574" s="38" t="n">
        <f aca="false">Sens!$K$9477-Sens!$K$9479</f>
        <v>550.103332311311</v>
      </c>
      <c r="L9574" s="38" t="n">
        <f aca="false">Sens!$L$9477-Sens!$L$9479</f>
        <v>582.192354474511</v>
      </c>
      <c r="M9574" s="38" t="n">
        <f aca="false">Sens!$M$9477-Sens!$M$9479</f>
        <v>616.22240521081</v>
      </c>
      <c r="N9574" s="38" t="n">
        <f aca="false">Sens!$N$9477-Sens!$N$9479</f>
        <v>171.24628885875</v>
      </c>
      <c r="O9574" s="38" t="n">
        <f aca="false">Sens!$O$9477-Sens!$O$9479</f>
        <v>205.33105363572</v>
      </c>
    </row>
    <row r="9575" customFormat="false" ht="17.15" hidden="false" customHeight="false" outlineLevel="0" collapsed="false">
      <c r="A9575" s="0" t="s">
        <v>716</v>
      </c>
      <c r="B9575" s="0" t="s">
        <v>86</v>
      </c>
      <c r="C9575" s="38" t="n">
        <f aca="false">Sens!$C$9526*Sens!$C$9476</f>
        <v>0.123617442257179</v>
      </c>
      <c r="D9575" s="38" t="n">
        <f aca="false">Sens!$D$9526*Sens!$D$9476</f>
        <v>0.874366899302609</v>
      </c>
      <c r="E9575" s="38" t="n">
        <f aca="false">Sens!$E$9526*Sens!$E$9476</f>
        <v>1.29318830502574</v>
      </c>
      <c r="F9575" s="38" t="n">
        <f aca="false">Sens!$F$9526*Sens!$F$9476</f>
        <v>1.51802024162534</v>
      </c>
      <c r="G9575" s="38" t="n">
        <f aca="false">Sens!$G$9526*Sens!$G$9476</f>
        <v>2.81153363597665</v>
      </c>
      <c r="H9575" s="38" t="n">
        <f aca="false">Sens!$H$9526*Sens!$H$9476</f>
        <v>7.39027704264226</v>
      </c>
      <c r="I9575" s="38" t="n">
        <f aca="false">Sens!$I$9526*Sens!$I$9476</f>
        <v>12.899807643047</v>
      </c>
      <c r="J9575" s="38" t="n">
        <f aca="false">Sens!$J$9526*Sens!$J$9476</f>
        <v>18.5585322471382</v>
      </c>
      <c r="K9575" s="38" t="n">
        <f aca="false">Sens!$K$9526*Sens!$K$9476</f>
        <v>24.0864087305694</v>
      </c>
      <c r="L9575" s="38" t="n">
        <f aca="false">Sens!$L$9526*Sens!$L$9476</f>
        <v>27.5892536594053</v>
      </c>
      <c r="M9575" s="38" t="n">
        <f aca="false">Sens!$M$9526*Sens!$M$9476</f>
        <v>29.4625357556135</v>
      </c>
      <c r="N9575" s="38" t="n">
        <f aca="false">Sens!$N$9526*Sens!$N$9476</f>
        <v>0.389180508437431</v>
      </c>
      <c r="O9575" s="38" t="n">
        <f aca="false">Sens!$O$9526*Sens!$O$9476</f>
        <v>0.485052120082802</v>
      </c>
    </row>
    <row r="9576" customFormat="false" ht="17.15" hidden="false" customHeight="false" outlineLevel="0" collapsed="false">
      <c r="A9576" s="0" t="s">
        <v>717</v>
      </c>
      <c r="B9576" s="0" t="s">
        <v>52</v>
      </c>
      <c r="C9576" s="28" t="n">
        <f aca="false">(Sens!$C$9577-Sens!$C$9573+Sens!$C$9575)/Sens!$C$9574</f>
        <v>0.0131526665379575</v>
      </c>
      <c r="D9576" s="28" t="n">
        <f aca="false">(Sens!$D$9577-Sens!$D$9573+Sens!$D$9575)/Sens!$D$9574</f>
        <v>0.0149280116962589</v>
      </c>
      <c r="E9576" s="28" t="n">
        <f aca="false">(Sens!$E$9577-Sens!$E$9573+Sens!$E$9575)/Sens!$E$9574</f>
        <v>0.0268030663774938</v>
      </c>
      <c r="F9576" s="28" t="n">
        <f aca="false">Sens!$O$9576+(Sens!$E$9576-Sens!$N$9576)</f>
        <v>0.0232379346966962</v>
      </c>
      <c r="G9576" s="28" t="n">
        <f aca="false">(Sens!$G$9577-Sens!$G$9573+Sens!$G$9575)/Sens!$G$9574</f>
        <v>0.0248969268652583</v>
      </c>
      <c r="H9576" s="28" t="n">
        <f aca="false">Sens!$G$9576+step_na</f>
        <v>0.0278969268652583</v>
      </c>
      <c r="I9576" s="28" t="n">
        <f aca="false">Sens!$H$9576+step_na</f>
        <v>0.0308969268652583</v>
      </c>
      <c r="J9576" s="28" t="n">
        <f aca="false">Sens!$I$9576+step_na</f>
        <v>0.0338969268652583</v>
      </c>
      <c r="K9576" s="28" t="n">
        <f aca="false">Sens!$J$9576+step_na</f>
        <v>0.0368969268652584</v>
      </c>
      <c r="L9576" s="28" t="n">
        <f aca="false">Sens!$K$9576</f>
        <v>0.0368969268652584</v>
      </c>
      <c r="M9576" s="28" t="n">
        <f aca="false">Sens!$L$9576</f>
        <v>0.0368969268652584</v>
      </c>
      <c r="N9576" s="28" t="n">
        <f aca="false">(Sens!$N$9577-Sens!$N$9573+Sens!$N$9575)/Sens!$N$9574</f>
        <v>0.0168927744775755</v>
      </c>
      <c r="O9576" s="28" t="n">
        <f aca="false">(Sens!$O$9577-Sens!$O$9573+Sens!$O$9575)/Sens!$O$9574</f>
        <v>0.0133276427967779</v>
      </c>
      <c r="P9576" s="8" t="s">
        <v>718</v>
      </c>
    </row>
    <row r="9577" customFormat="false" ht="17.15" hidden="false" customHeight="false" outlineLevel="0" collapsed="false">
      <c r="A9577" s="1" t="s">
        <v>719</v>
      </c>
      <c r="B9577" s="8" t="s">
        <v>86</v>
      </c>
      <c r="C9577" s="38" t="n">
        <f aca="false">Q!$D$22</f>
        <v>24.967</v>
      </c>
      <c r="D9577" s="38" t="n">
        <f aca="false">Q!$E$22</f>
        <v>29.619</v>
      </c>
      <c r="E9577" s="38" t="n">
        <f aca="false">Q!$P$22</f>
        <v>17.39</v>
      </c>
      <c r="F9577" s="38" t="n">
        <f aca="false">Sens!$F$9573+Sens!$F$9574*Sens!$F$9576-Sens!$F$9575</f>
        <v>20.1081060378156</v>
      </c>
      <c r="G9577" s="38" t="n">
        <f aca="false">Sens!$E$9577+Sens!$F$9577</f>
        <v>37.4981060378156</v>
      </c>
      <c r="H9577" s="38" t="n">
        <f aca="false">Sens!$H$9573+Sens!$H$9574*Sens!$H$9576-Sens!$H$9575</f>
        <v>41.2549060695171</v>
      </c>
      <c r="I9577" s="38" t="n">
        <f aca="false">Sens!$I$9573+Sens!$I$9574*Sens!$I$9576-Sens!$I$9575</f>
        <v>44.2589650023995</v>
      </c>
      <c r="J9577" s="38" t="n">
        <f aca="false">Sens!$J$9573+Sens!$J$9574*Sens!$J$9576-Sens!$J$9575</f>
        <v>46.8374504978059</v>
      </c>
      <c r="K9577" s="38" t="n">
        <f aca="false">Sens!$K$9573+Sens!$K$9574*Sens!$K$9576-Sens!$K$9575</f>
        <v>48.7631613151722</v>
      </c>
      <c r="L9577" s="38" t="n">
        <f aca="false">Sens!$L$9573+Sens!$L$9574*Sens!$L$9576-Sens!$L$9575</f>
        <v>51.6995474527812</v>
      </c>
      <c r="M9577" s="38" t="n">
        <f aca="false">Sens!$M$9573+Sens!$M$9574*Sens!$M$9576-Sens!$M$9575</f>
        <v>56.8626388885741</v>
      </c>
      <c r="N9577" s="38" t="n">
        <f aca="false">Q!$N$22</f>
        <v>13.358</v>
      </c>
      <c r="O9577" s="38" t="n">
        <f aca="false">Q!$O$22</f>
        <v>16.261</v>
      </c>
    </row>
    <row r="9578" customFormat="false" ht="17.15" hidden="false" customHeight="false" outlineLevel="0" collapsed="false">
      <c r="A9578" s="0" t="s">
        <v>720</v>
      </c>
      <c r="B9578" s="0" t="s">
        <v>86</v>
      </c>
      <c r="C9578" s="38" t="n">
        <f aca="false">Sens!$C$9480*m_ad</f>
        <v>7.57284355857716</v>
      </c>
      <c r="D9578" s="38" t="n">
        <f aca="false">Sens!$D$9480*m_ad</f>
        <v>9.44543827004127</v>
      </c>
      <c r="E9578" s="38" t="n">
        <f aca="false">Sens!$E$9480*m_ad</f>
        <v>5.02428875377928</v>
      </c>
      <c r="F9578" s="38" t="n">
        <f aca="false">Sens!$F$9480*m_ad</f>
        <v>6.50663858068173</v>
      </c>
      <c r="G9578" s="38" t="n">
        <f aca="false">Sens!$G$9480*m_ad</f>
        <v>11.5225190751659</v>
      </c>
      <c r="H9578" s="38" t="n">
        <f aca="false">Sens!$H$9480*m_ad</f>
        <v>13.8333728663174</v>
      </c>
      <c r="I9578" s="38" t="n">
        <f aca="false">Sens!$I$9480*m_ad</f>
        <v>16.1440173245485</v>
      </c>
      <c r="J9578" s="38" t="n">
        <f aca="false">Sens!$J$9480*m_ad</f>
        <v>18.2995185845066</v>
      </c>
      <c r="K9578" s="38" t="n">
        <f aca="false">Sens!$K$9480*m_ad</f>
        <v>20.1294704429572</v>
      </c>
      <c r="L9578" s="38" t="n">
        <f aca="false">Sens!$L$9480*m_ad</f>
        <v>22.142417487253</v>
      </c>
      <c r="M9578" s="38" t="n">
        <f aca="false">Sens!$M$9480*m_ad</f>
        <v>24.3566592359783</v>
      </c>
      <c r="N9578" s="38" t="n">
        <f aca="false">Sens!$N$9480*m_ad</f>
        <v>3.95314442937518</v>
      </c>
      <c r="O9578" s="38" t="n">
        <f aca="false">Sens!$O$9480*m_ad</f>
        <v>5.50052681786011</v>
      </c>
    </row>
    <row r="9579" customFormat="false" ht="17.15" hidden="false" customHeight="false" outlineLevel="0" collapsed="false">
      <c r="A9579" s="0" t="s">
        <v>721</v>
      </c>
      <c r="B9579" s="0" t="s">
        <v>86</v>
      </c>
      <c r="C9579" s="38" t="n">
        <f aca="false">Sens!$C$9478-Sens!$C$9480</f>
        <v>127.760312882846</v>
      </c>
      <c r="D9579" s="38" t="n">
        <f aca="false">Sens!$D$9478-Sens!$D$9480</f>
        <v>143.003123459917</v>
      </c>
      <c r="E9579" s="38" t="n">
        <f aca="false">Sens!$E$9478-Sens!$E$9480</f>
        <v>71.9374224924414</v>
      </c>
      <c r="F9579" s="38" t="n">
        <f aca="false">Sens!$F$9478-Sens!$F$9480</f>
        <v>85.3951910035875</v>
      </c>
      <c r="G9579" s="38" t="n">
        <f aca="false">Sens!$G$9478-Sens!$G$9480</f>
        <v>157.349430014619</v>
      </c>
      <c r="H9579" s="38" t="n">
        <f aca="false">Sens!$H$9478-Sens!$H$9480</f>
        <v>172.043153372315</v>
      </c>
      <c r="I9579" s="38" t="n">
        <f aca="false">Sens!$I$9478-Sens!$I$9480</f>
        <v>186.097493615879</v>
      </c>
      <c r="J9579" s="38" t="n">
        <f aca="false">Sens!$J$9478-Sens!$J$9480</f>
        <v>199.117932780497</v>
      </c>
      <c r="K9579" s="38" t="n">
        <f aca="false">Sens!$K$9478-Sens!$K$9480</f>
        <v>210.70928698363</v>
      </c>
      <c r="L9579" s="38" t="n">
        <f aca="false">Sens!$L$9478-Sens!$L$9480</f>
        <v>223.000532251316</v>
      </c>
      <c r="M9579" s="38" t="n">
        <f aca="false">Sens!$M$9478-Sens!$M$9480</f>
        <v>236.035261011339</v>
      </c>
      <c r="N9579" s="38" t="n">
        <f aca="false">Sens!$N$9478-Sens!$N$9480</f>
        <v>62.3677111412496</v>
      </c>
      <c r="O9579" s="38" t="n">
        <f aca="false">Sens!$O$9478-Sens!$O$9480</f>
        <v>80.6189463642798</v>
      </c>
    </row>
    <row r="9580" customFormat="false" ht="17.15" hidden="false" customHeight="false" outlineLevel="0" collapsed="false">
      <c r="A9580" s="0" t="s">
        <v>722</v>
      </c>
      <c r="B9580" s="0" t="s">
        <v>86</v>
      </c>
      <c r="C9580" s="38" t="n">
        <f aca="false">Sens!$C$9526*(1-Sens!$C$9476)</f>
        <v>0.0455891896019953</v>
      </c>
      <c r="D9580" s="38" t="n">
        <f aca="false">Sens!$D$9526*(1-Sens!$D$9476)</f>
        <v>0.332050421167231</v>
      </c>
      <c r="E9580" s="38" t="n">
        <f aca="false">Sens!$E$9526*(1-Sens!$E$9476)</f>
        <v>0.481224293644882</v>
      </c>
      <c r="F9580" s="38" t="n">
        <f aca="false">Sens!$F$9526*(1-Sens!$F$9476)</f>
        <v>0.596018918096053</v>
      </c>
      <c r="G9580" s="38" t="n">
        <f aca="false">Sens!$G$9526*(1-Sens!$G$9476)</f>
        <v>1.07691812241537</v>
      </c>
      <c r="H9580" s="38" t="n">
        <f aca="false">Sens!$H$9526*(1-Sens!$H$9476)</f>
        <v>2.83074090775622</v>
      </c>
      <c r="I9580" s="38" t="n">
        <f aca="false">Sens!$I$9526*(1-Sens!$I$9476)</f>
        <v>4.94108853926048</v>
      </c>
      <c r="J9580" s="38" t="n">
        <f aca="false">Sens!$J$9526*(1-Sens!$J$9476)</f>
        <v>7.10858281993502</v>
      </c>
      <c r="K9580" s="38" t="n">
        <f aca="false">Sens!$K$9526*(1-Sens!$K$9476)</f>
        <v>9.22595758198829</v>
      </c>
      <c r="L9580" s="38" t="n">
        <f aca="false">Sens!$L$9526*(1-Sens!$L$9476)</f>
        <v>10.5676726998883</v>
      </c>
      <c r="M9580" s="38" t="n">
        <f aca="false">Sens!$M$9526*(1-Sens!$M$9476)</f>
        <v>11.2852068641566</v>
      </c>
      <c r="N9580" s="38" t="n">
        <f aca="false">Sens!$N$9526*(1-Sens!$N$9476)</f>
        <v>0.141739115596548</v>
      </c>
      <c r="O9580" s="38" t="n">
        <f aca="false">Sens!$O$9526*(1-Sens!$O$9476)</f>
        <v>0.190445576353059</v>
      </c>
    </row>
    <row r="9581" customFormat="false" ht="17.15" hidden="false" customHeight="false" outlineLevel="0" collapsed="false">
      <c r="A9581" s="0" t="s">
        <v>723</v>
      </c>
      <c r="B9581" s="0" t="s">
        <v>52</v>
      </c>
      <c r="C9581" s="28" t="n">
        <f aca="false">(Sens!$C$9582-Sens!$C$9578+Sens!$C$9580)/Sens!$C$9579</f>
        <v>-0.0292364215826579</v>
      </c>
      <c r="D9581" s="28" t="n">
        <f aca="false">(Sens!$D$9582-Sens!$D$9578+Sens!$D$9580)/Sens!$D$9579</f>
        <v>-0.0305125352740778</v>
      </c>
      <c r="E9581" s="28" t="n">
        <f aca="false">(Sens!$E$9582-Sens!$E$9578+Sens!$E$9580)/Sens!$E$9579</f>
        <v>-0.019490056934994</v>
      </c>
      <c r="F9581" s="28" t="n">
        <f aca="false">Sens!$O$9581+(Sens!$E$9581-Sens!$N$9581)</f>
        <v>-0.0367332293992226</v>
      </c>
      <c r="G9581" s="28" t="n">
        <f aca="false">(Sens!$G$9582-Sens!$G$9578+Sens!$G$9580)/Sens!$G$9579</f>
        <v>-0.0287946542321067</v>
      </c>
      <c r="H9581" s="28" t="n">
        <f aca="false">Sens!$G$9581+step_in</f>
        <v>-0.0287946542321067</v>
      </c>
      <c r="I9581" s="28" t="n">
        <f aca="false">Sens!$H$9581+step_in</f>
        <v>-0.0287946542321067</v>
      </c>
      <c r="J9581" s="28" t="n">
        <f aca="false">Sens!$I$9581+step_in</f>
        <v>-0.0287946542321067</v>
      </c>
      <c r="K9581" s="28" t="n">
        <f aca="false">Sens!$J$9581+step_in</f>
        <v>-0.0287946542321067</v>
      </c>
      <c r="L9581" s="28" t="n">
        <f aca="false">Sens!$K$9581</f>
        <v>-0.0287946542321067</v>
      </c>
      <c r="M9581" s="28" t="n">
        <f aca="false">Sens!$L$9581</f>
        <v>-0.0287946542321067</v>
      </c>
      <c r="N9581" s="28" t="n">
        <f aca="false">(Sens!$N$9582-Sens!$N$9578+Sens!$N$9580)/Sens!$N$9579</f>
        <v>-0.02085061789158</v>
      </c>
      <c r="O9581" s="28" t="n">
        <f aca="false">(Sens!$O$9582-Sens!$O$9578+Sens!$O$9580)/Sens!$O$9579</f>
        <v>-0.0380937903558086</v>
      </c>
      <c r="P9581" s="8" t="s">
        <v>718</v>
      </c>
    </row>
    <row r="9582" customFormat="false" ht="17.15" hidden="false" customHeight="false" outlineLevel="0" collapsed="false">
      <c r="A9582" s="1" t="s">
        <v>724</v>
      </c>
      <c r="B9582" s="8" t="s">
        <v>86</v>
      </c>
      <c r="C9582" s="38" t="n">
        <f aca="false">Q!$D$23</f>
        <v>3.792</v>
      </c>
      <c r="D9582" s="38" t="n">
        <f aca="false">Q!$E$23</f>
        <v>4.75</v>
      </c>
      <c r="E9582" s="38" t="n">
        <f aca="false">Q!$P$23</f>
        <v>3.141</v>
      </c>
      <c r="F9582" s="38" t="n">
        <f aca="false">Sens!$F$9578+Sens!$F$9579*Sens!$F$9581-Sens!$F$9580</f>
        <v>2.77377852186047</v>
      </c>
      <c r="G9582" s="38" t="n">
        <f aca="false">Sens!$E$9582+Sens!$F$9582</f>
        <v>5.91477852186047</v>
      </c>
      <c r="H9582" s="38" t="n">
        <f aca="false">Sens!$H$9578+Sens!$H$9579*Sens!$H$9581-Sens!$H$9580</f>
        <v>6.04870884420403</v>
      </c>
      <c r="I9582" s="38" t="n">
        <f aca="false">Sens!$I$9578+Sens!$I$9579*Sens!$I$9581-Sens!$I$9580</f>
        <v>5.84431580315713</v>
      </c>
      <c r="J9582" s="38" t="n">
        <f aca="false">Sens!$J$9578+Sens!$J$9579*Sens!$J$9581-Sens!$J$9580</f>
        <v>5.45740373874528</v>
      </c>
      <c r="K9582" s="38" t="n">
        <f aca="false">Sens!$K$9578+Sens!$K$9579*Sens!$K$9581-Sens!$K$9580</f>
        <v>4.83621179878157</v>
      </c>
      <c r="L9582" s="38" t="n">
        <f aca="false">Sens!$L$9578+Sens!$L$9579*Sens!$L$9581-Sens!$L$9580</f>
        <v>5.15352156761228</v>
      </c>
      <c r="M9582" s="38" t="n">
        <f aca="false">Sens!$M$9578+Sens!$M$9579*Sens!$M$9581-Sens!$M$9580</f>
        <v>6.2748986444151</v>
      </c>
      <c r="N9582" s="38" t="n">
        <f aca="false">Q!$N$23</f>
        <v>2.511</v>
      </c>
      <c r="O9582" s="38" t="n">
        <f aca="false">Q!$O$23</f>
        <v>2.239</v>
      </c>
    </row>
    <row r="9583" customFormat="false" ht="17.15" hidden="false" customHeight="false" outlineLevel="0" collapsed="false">
      <c r="A9583" s="0" t="s">
        <v>725</v>
      </c>
      <c r="B9583" s="0" t="s">
        <v>86</v>
      </c>
      <c r="C9583" s="38" t="n">
        <f aca="false">Sens!$C$9523</f>
        <v>1.64417882953695</v>
      </c>
      <c r="D9583" s="38" t="n">
        <f aca="false">Sens!$D$9523</f>
        <v>3.8781008067718</v>
      </c>
      <c r="E9583" s="38" t="n">
        <f aca="false">Sens!$E$9523</f>
        <v>1.41270258088753</v>
      </c>
      <c r="F9583" s="38" t="n">
        <f aca="false">Sens!$F$9523</f>
        <v>6.50727700583486</v>
      </c>
      <c r="G9583" s="38" t="n">
        <f aca="false">Sens!$G$9523</f>
        <v>7.9199795867224</v>
      </c>
      <c r="H9583" s="38" t="n">
        <f aca="false">Sens!$H$9523</f>
        <v>19.2818189481807</v>
      </c>
      <c r="I9583" s="38" t="n">
        <f aca="false">Sens!$I$9523</f>
        <v>30.140114407202</v>
      </c>
      <c r="J9583" s="38" t="n">
        <f aca="false">Sens!$J$9523</f>
        <v>40.3569468829854</v>
      </c>
      <c r="K9583" s="38" t="n">
        <f aca="false">Sens!$K$9523</f>
        <v>44.9126530352048</v>
      </c>
      <c r="L9583" s="38" t="n">
        <f aca="false">Sens!$L$9523</f>
        <v>47.9631971059665</v>
      </c>
      <c r="M9583" s="38" t="n">
        <f aca="false">Sens!$M$9523</f>
        <v>47.2897004636212</v>
      </c>
      <c r="N9583" s="38" t="n">
        <f aca="false">Sens!$N$9523</f>
        <v>0.92264103489199</v>
      </c>
      <c r="O9583" s="38" t="n">
        <f aca="false">Sens!$O$9523</f>
        <v>2.95545977187981</v>
      </c>
    </row>
    <row r="9584" customFormat="false" ht="17.15" hidden="false" customHeight="false" outlineLevel="0" collapsed="false">
      <c r="A9584" s="0" t="s">
        <v>643</v>
      </c>
      <c r="B9584" s="0" t="s">
        <v>86</v>
      </c>
      <c r="C9584" s="38" t="n">
        <f aca="false">Sens!$C$9528</f>
        <v>38.1898211704631</v>
      </c>
      <c r="D9584" s="38" t="n">
        <f aca="false">Sens!$D$9528</f>
        <v>41.7278991932282</v>
      </c>
      <c r="E9584" s="38" t="n">
        <f aca="false">Sens!$E$9528</f>
        <v>29.3692974191125</v>
      </c>
      <c r="F9584" s="38" t="n">
        <f aca="false">Sens!$F$9528</f>
        <v>26.8997276714137</v>
      </c>
      <c r="G9584" s="38" t="n">
        <f aca="false">Sens!$G$9528</f>
        <v>56.2690250905262</v>
      </c>
      <c r="H9584" s="38" t="n">
        <f aca="false">Sens!$H$9528</f>
        <v>60.3505333937343</v>
      </c>
      <c r="I9584" s="38" t="n">
        <f aca="false">Sens!$I$9528</f>
        <v>67.0043857303571</v>
      </c>
      <c r="J9584" s="38" t="n">
        <f aca="false">Sens!$J$9528</f>
        <v>73.3782922956925</v>
      </c>
      <c r="K9584" s="38" t="n">
        <f aca="false">Sens!$K$9528</f>
        <v>79.2485556793479</v>
      </c>
      <c r="L9584" s="38" t="n">
        <f aca="false">Sens!$L$9528</f>
        <v>85.5884401336958</v>
      </c>
      <c r="M9584" s="38" t="n">
        <f aca="false">Sens!$M$9528</f>
        <v>92.4355153443914</v>
      </c>
      <c r="N9584" s="38" t="n">
        <f aca="false">Sens!$N$9528</f>
        <v>20.784358965108</v>
      </c>
      <c r="O9584" s="38" t="n">
        <f aca="false">Sens!$O$9528</f>
        <v>20.9435402281202</v>
      </c>
    </row>
    <row r="9585" customFormat="false" ht="17.15" hidden="false" customHeight="false" outlineLevel="0" collapsed="false">
      <c r="A9585" s="1" t="s">
        <v>726</v>
      </c>
      <c r="B9585" s="8" t="s">
        <v>86</v>
      </c>
      <c r="C9585" s="38" t="n">
        <f aca="false">Q!$D$24</f>
        <v>39.834</v>
      </c>
      <c r="D9585" s="38" t="n">
        <f aca="false">Q!$E$24</f>
        <v>45.606</v>
      </c>
      <c r="E9585" s="38" t="n">
        <f aca="false">Q!$P$24</f>
        <v>30.782</v>
      </c>
      <c r="F9585" s="38" t="n">
        <f aca="false">Sens!$F$9583+Sens!$F$9584</f>
        <v>33.4070046772486</v>
      </c>
      <c r="G9585" s="38" t="n">
        <f aca="false">Sens!$G$9583+Sens!$G$9584</f>
        <v>64.1890046772486</v>
      </c>
      <c r="H9585" s="38" t="n">
        <f aca="false">Sens!$H$9583+Sens!$H$9584</f>
        <v>79.6323523419149</v>
      </c>
      <c r="I9585" s="38" t="n">
        <f aca="false">Sens!$I$9583+Sens!$I$9584</f>
        <v>97.1445001375591</v>
      </c>
      <c r="J9585" s="38" t="n">
        <f aca="false">Sens!$J$9583+Sens!$J$9584</f>
        <v>113.735239178678</v>
      </c>
      <c r="K9585" s="38" t="n">
        <f aca="false">Sens!$K$9583+Sens!$K$9584</f>
        <v>124.161208714553</v>
      </c>
      <c r="L9585" s="38" t="n">
        <f aca="false">Sens!$L$9583+Sens!$L$9584</f>
        <v>133.551637239662</v>
      </c>
      <c r="M9585" s="38" t="n">
        <f aca="false">Sens!$M$9583+Sens!$M$9584</f>
        <v>139.725215808013</v>
      </c>
      <c r="N9585" s="38" t="n">
        <f aca="false">Q!$N$24</f>
        <v>21.707</v>
      </c>
      <c r="O9585" s="38" t="n">
        <f aca="false">Q!$O$24</f>
        <v>23.899</v>
      </c>
    </row>
    <row r="9586" customFormat="false" ht="17.15" hidden="false" customHeight="false" outlineLevel="0" collapsed="false">
      <c r="A9586" s="5" t="s">
        <v>727</v>
      </c>
      <c r="B9586" s="0" t="s">
        <v>86</v>
      </c>
      <c r="C9586" s="38" t="n">
        <f aca="false">Q!$D$26</f>
        <v>0</v>
      </c>
      <c r="D9586" s="38" t="n">
        <f aca="false">Q!$E$26</f>
        <v>0</v>
      </c>
      <c r="E9586" s="38" t="n">
        <f aca="false">Q!$P$26</f>
        <v>0</v>
      </c>
      <c r="F9586" s="39" t="n">
        <v>0</v>
      </c>
      <c r="G9586" s="38" t="n">
        <f aca="false">Sens!$E$9586+Sens!$F$9586</f>
        <v>0</v>
      </c>
      <c r="H9586" s="39" t="n">
        <v>0</v>
      </c>
      <c r="I9586" s="39" t="n">
        <v>0</v>
      </c>
      <c r="J9586" s="39" t="n">
        <v>0</v>
      </c>
      <c r="K9586" s="39" t="n">
        <v>0</v>
      </c>
      <c r="L9586" s="39" t="n">
        <v>0</v>
      </c>
      <c r="M9586" s="39" t="n">
        <v>0</v>
      </c>
      <c r="N9586" s="38" t="n">
        <f aca="false">Q!$N$26</f>
        <v>0</v>
      </c>
      <c r="O9586" s="38" t="n">
        <f aca="false">Q!$O$26</f>
        <v>0</v>
      </c>
    </row>
    <row r="9587" customFormat="false" ht="15" hidden="false" customHeight="false" outlineLevel="0" collapsed="false">
      <c r="A9587" s="3" t="s">
        <v>531</v>
      </c>
      <c r="B9587" s="8" t="s">
        <v>86</v>
      </c>
      <c r="C9587" s="38" t="n">
        <f aca="false">Q!$D$25</f>
        <v>68.593</v>
      </c>
      <c r="D9587" s="38" t="n">
        <f aca="false">Q!$E$25</f>
        <v>79.975</v>
      </c>
      <c r="E9587" s="38" t="n">
        <f aca="false">Q!$P$25</f>
        <v>51.313</v>
      </c>
      <c r="F9587" s="38" t="n">
        <f aca="false">Sens!$F$9577+Sens!$F$9582+Sens!$F$9585+Sens!$F$9586</f>
        <v>56.2888892369246</v>
      </c>
      <c r="G9587" s="38" t="n">
        <f aca="false">Sens!$G$9577+Sens!$G$9582+Sens!$G$9585+Sens!$G$9586</f>
        <v>107.601889236925</v>
      </c>
      <c r="H9587" s="38" t="n">
        <f aca="false">Sens!$H$9577+Sens!$H$9582+Sens!$H$9585+Sens!$H$9586</f>
        <v>126.935967255636</v>
      </c>
      <c r="I9587" s="38" t="n">
        <f aca="false">Sens!$I$9577+Sens!$I$9582+Sens!$I$9585+Sens!$I$9586</f>
        <v>147.247780943116</v>
      </c>
      <c r="J9587" s="38" t="n">
        <f aca="false">Sens!$J$9577+Sens!$J$9582+Sens!$J$9585+Sens!$J$9586</f>
        <v>166.030093415229</v>
      </c>
      <c r="K9587" s="38" t="n">
        <f aca="false">Sens!$K$9577+Sens!$K$9582+Sens!$K$9585+Sens!$K$9586</f>
        <v>177.760581828506</v>
      </c>
      <c r="L9587" s="38" t="n">
        <f aca="false">Sens!$L$9577+Sens!$L$9582+Sens!$L$9585+Sens!$L$9586</f>
        <v>190.404706260056</v>
      </c>
      <c r="M9587" s="38" t="n">
        <f aca="false">Sens!$M$9577+Sens!$M$9582+Sens!$M$9585+Sens!$M$9586</f>
        <v>202.862753341002</v>
      </c>
      <c r="N9587" s="38" t="n">
        <f aca="false">Q!$N$25</f>
        <v>37.576</v>
      </c>
      <c r="O9587" s="38" t="n">
        <f aca="false">Q!$O$25</f>
        <v>42.399</v>
      </c>
    </row>
    <row r="9588" customFormat="false" ht="17.15" hidden="false" customHeight="false" outlineLevel="0" collapsed="false">
      <c r="A9588" s="24" t="s">
        <v>758</v>
      </c>
      <c r="B9588" s="25" t="s">
        <v>86</v>
      </c>
      <c r="C9588" s="41" t="n">
        <f aca="false">Sens!$C$9577+Sens!$C$9582+Sens!$C$9585+Sens!$C$9586-Sens!$C$9587</f>
        <v>0</v>
      </c>
      <c r="D9588" s="41" t="n">
        <f aca="false">Sens!$D$9577+Sens!$D$9582+Sens!$D$9585+Sens!$D$9586-Sens!$D$9587</f>
        <v>0</v>
      </c>
      <c r="E9588" s="41" t="n">
        <f aca="false">Sens!$E$9577+Sens!$E$9582+Sens!$E$9585+Sens!$E$9586-Sens!$E$9587</f>
        <v>0</v>
      </c>
      <c r="F9588" s="41" t="n">
        <f aca="false">Sens!$F$9577+Sens!$F$9582+Sens!$F$9585+Sens!$F$9586-Sens!$F$9587</f>
        <v>0</v>
      </c>
      <c r="G9588" s="41" t="n">
        <f aca="false">Sens!$G$9577+Sens!$G$9582+Sens!$G$9585+Sens!$G$9586-Sens!$G$9587</f>
        <v>0</v>
      </c>
      <c r="H9588" s="41" t="n">
        <f aca="false">Sens!$H$9577+Sens!$H$9582+Sens!$H$9585+Sens!$H$9586-Sens!$H$9587</f>
        <v>0</v>
      </c>
      <c r="I9588" s="41" t="n">
        <f aca="false">Sens!$I$9577+Sens!$I$9582+Sens!$I$9585+Sens!$I$9586-Sens!$I$9587</f>
        <v>0</v>
      </c>
      <c r="J9588" s="41" t="n">
        <f aca="false">Sens!$J$9577+Sens!$J$9582+Sens!$J$9585+Sens!$J$9586-Sens!$J$9587</f>
        <v>0</v>
      </c>
      <c r="K9588" s="41" t="n">
        <f aca="false">Sens!$K$9577+Sens!$K$9582+Sens!$K$9585+Sens!$K$9586-Sens!$K$9587</f>
        <v>0</v>
      </c>
      <c r="L9588" s="41" t="n">
        <f aca="false">Sens!$L$9577+Sens!$L$9582+Sens!$L$9585+Sens!$L$9586-Sens!$L$9587</f>
        <v>0</v>
      </c>
      <c r="M9588" s="41" t="n">
        <f aca="false">Sens!$M$9577+Sens!$M$9582+Sens!$M$9585+Sens!$M$9586-Sens!$M$9587</f>
        <v>0</v>
      </c>
      <c r="N9588" s="41" t="n">
        <f aca="false">Sens!$N$9577+Sens!$N$9582+Sens!$N$9585+Sens!$N$9586-Sens!$N$9587</f>
        <v>0</v>
      </c>
      <c r="O9588" s="41" t="n">
        <f aca="false">Sens!$O$9577+Sens!$O$9582+Sens!$O$9585+Sens!$O$9586-Sens!$O$9587</f>
        <v>0</v>
      </c>
    </row>
    <row r="9589" customFormat="false" ht="17.15" hidden="false" customHeight="false" outlineLevel="0" collapsed="false">
      <c r="A9589" s="5" t="s">
        <v>729</v>
      </c>
      <c r="B9589" s="0" t="s">
        <v>86</v>
      </c>
      <c r="C9589" s="38" t="n">
        <f aca="false">Sens!$C$9525</f>
        <v>0</v>
      </c>
      <c r="D9589" s="38" t="n">
        <f aca="false">Sens!$D$9525</f>
        <v>0</v>
      </c>
      <c r="E9589" s="38" t="n">
        <f aca="false">Sens!$E$9525</f>
        <v>0</v>
      </c>
      <c r="F9589" s="38" t="n">
        <f aca="false">Sens!$F$9525</f>
        <v>3.77122048175818</v>
      </c>
      <c r="G9589" s="38" t="n">
        <f aca="false">Sens!$G$9525</f>
        <v>3.77122048175818</v>
      </c>
      <c r="H9589" s="38" t="n">
        <f aca="false">Sens!$H$9525</f>
        <v>15.1635543609893</v>
      </c>
      <c r="I9589" s="38" t="n">
        <f aca="false">Sens!$I$9525</f>
        <v>25.5818843619889</v>
      </c>
      <c r="J9589" s="38" t="n">
        <f aca="false">Sens!$J$9525</f>
        <v>36.0465624179122</v>
      </c>
      <c r="K9589" s="38" t="n">
        <f aca="false">Sens!$K$9525</f>
        <v>44.9020355557576</v>
      </c>
      <c r="L9589" s="38" t="n">
        <f aca="false">Sens!$L$9525</f>
        <v>50.55474151763</v>
      </c>
      <c r="M9589" s="38" t="n">
        <f aca="false">Sens!$M$9525</f>
        <v>52.9968449759368</v>
      </c>
      <c r="N9589" s="38" t="n">
        <f aca="false">Sens!$N$9525</f>
        <v>0</v>
      </c>
      <c r="O9589" s="38" t="n">
        <f aca="false">Sens!$O$9525</f>
        <v>0</v>
      </c>
      <c r="P9589" s="5" t="s">
        <v>730</v>
      </c>
    </row>
    <row r="9590" customFormat="false" ht="17.15" hidden="false" customHeight="false" outlineLevel="0" collapsed="false">
      <c r="A9590" s="5" t="s">
        <v>731</v>
      </c>
      <c r="B9590" s="0" t="s">
        <v>86</v>
      </c>
      <c r="C9590" s="38" t="n">
        <f aca="false">Sens!$C$9587+Sens!$C$9589</f>
        <v>68.593</v>
      </c>
      <c r="D9590" s="38" t="n">
        <f aca="false">Sens!$D$9587+Sens!$D$9589</f>
        <v>79.975</v>
      </c>
      <c r="E9590" s="38" t="n">
        <f aca="false">Sens!$E$9587+Sens!$E$9589</f>
        <v>51.313</v>
      </c>
      <c r="F9590" s="38" t="n">
        <f aca="false">Sens!$F$9587+Sens!$F$9589</f>
        <v>60.0601097186828</v>
      </c>
      <c r="G9590" s="38" t="n">
        <f aca="false">Sens!$G$9587+Sens!$G$9589</f>
        <v>111.373109718683</v>
      </c>
      <c r="H9590" s="38" t="n">
        <f aca="false">Sens!$H$9587+Sens!$H$9589</f>
        <v>142.099521616625</v>
      </c>
      <c r="I9590" s="38" t="n">
        <f aca="false">Sens!$I$9587+Sens!$I$9589</f>
        <v>172.829665305105</v>
      </c>
      <c r="J9590" s="38" t="n">
        <f aca="false">Sens!$J$9587+Sens!$J$9589</f>
        <v>202.076655833141</v>
      </c>
      <c r="K9590" s="38" t="n">
        <f aca="false">Sens!$K$9587+Sens!$K$9589</f>
        <v>222.662617384264</v>
      </c>
      <c r="L9590" s="38" t="n">
        <f aca="false">Sens!$L$9587+Sens!$L$9589</f>
        <v>240.959447777686</v>
      </c>
      <c r="M9590" s="38" t="n">
        <f aca="false">Sens!$M$9587+Sens!$M$9589</f>
        <v>255.859598316939</v>
      </c>
      <c r="N9590" s="38" t="n">
        <f aca="false">Sens!$N$9587+Sens!$N$9589</f>
        <v>37.576</v>
      </c>
      <c r="O9590" s="38" t="n">
        <f aca="false">Sens!$O$9587+Sens!$O$9589</f>
        <v>42.399</v>
      </c>
    </row>
    <row r="9591" customFormat="false" ht="17.15" hidden="false" customHeight="false" outlineLevel="0" collapsed="false">
      <c r="A9591" s="0" t="s">
        <v>732</v>
      </c>
      <c r="B9591" s="0" t="s">
        <v>52</v>
      </c>
      <c r="C9591" s="13" t="n">
        <f aca="false">Sens!$C$9577/Sens!$C$9562</f>
        <v>0.0644314665661928</v>
      </c>
      <c r="D9591" s="13" t="n">
        <f aca="false">Sens!$D$9577/Sens!$D$9562</f>
        <v>0.0694784250712518</v>
      </c>
      <c r="E9591" s="13" t="n">
        <f aca="false">Sens!$E$9577/Sens!$E$9562</f>
        <v>0.0789306463326071</v>
      </c>
      <c r="F9591" s="13" t="n">
        <f aca="false">Sens!$F$9577/Sens!$F$9562</f>
        <v>0.0802271154277638</v>
      </c>
      <c r="G9591" s="13" t="n">
        <f aca="false">Sens!$G$9577/Sens!$G$9562</f>
        <v>0.0796206133714758</v>
      </c>
      <c r="H9591" s="13" t="n">
        <f aca="false">Sens!$H$9577/Sens!$H$9562</f>
        <v>0.0791253077422711</v>
      </c>
      <c r="I9591" s="13" t="n">
        <f aca="false">Sens!$I$9577/Sens!$I$9562</f>
        <v>0.0776277144828766</v>
      </c>
      <c r="J9591" s="13" t="n">
        <f aca="false">Sens!$J$9577/Sens!$J$9562</f>
        <v>0.0761100135193333</v>
      </c>
      <c r="K9591" s="13" t="n">
        <f aca="false">Sens!$K$9577/Sens!$K$9562</f>
        <v>0.0744239148165946</v>
      </c>
      <c r="L9591" s="13" t="n">
        <f aca="false">Sens!$L$9577/Sens!$L$9562</f>
        <v>0.0740885268890323</v>
      </c>
      <c r="M9591" s="13" t="n">
        <f aca="false">Sens!$M$9577/Sens!$M$9562</f>
        <v>0.0764900326263329</v>
      </c>
      <c r="N9591" s="13" t="n">
        <f aca="false">Sens!$N$9577/Sens!$N$9562</f>
        <v>0.069228576611127</v>
      </c>
      <c r="O9591" s="13" t="n">
        <f aca="false">Sens!$O$9577/Sens!$O$9562</f>
        <v>0.069685022498393</v>
      </c>
    </row>
    <row r="9592" customFormat="false" ht="17.15" hidden="false" customHeight="false" outlineLevel="0" collapsed="false">
      <c r="A9592" s="0" t="s">
        <v>733</v>
      </c>
      <c r="B9592" s="0" t="s">
        <v>52</v>
      </c>
      <c r="C9592" s="13" t="n">
        <f aca="false">Sens!$C$9582/Sens!$C$9563</f>
        <v>0.026534925055631</v>
      </c>
      <c r="D9592" s="13" t="n">
        <f aca="false">Sens!$D$9582/Sens!$D$9563</f>
        <v>0.0293401855535103</v>
      </c>
      <c r="E9592" s="13" t="n">
        <f aca="false">Sens!$E$9582/Sens!$E$9563</f>
        <v>0.03831141902276</v>
      </c>
      <c r="F9592" s="13" t="n">
        <f aca="false">Sens!$F$9582/Sens!$F$9563</f>
        <v>0.028186380436398</v>
      </c>
      <c r="G9592" s="13" t="n">
        <f aca="false">Sens!$G$9582/Sens!$G$9563</f>
        <v>0.0327880260521739</v>
      </c>
      <c r="H9592" s="13" t="n">
        <f aca="false">Sens!$H$9582/Sens!$H$9563</f>
        <v>0.0302874763409969</v>
      </c>
      <c r="I9592" s="13" t="n">
        <f aca="false">Sens!$I$9582/Sens!$I$9563</f>
        <v>0.0267614610253202</v>
      </c>
      <c r="J9592" s="13" t="n">
        <f aca="false">Sens!$J$9582/Sens!$J$9563</f>
        <v>0.0231523582706593</v>
      </c>
      <c r="K9592" s="13" t="n">
        <f aca="false">Sens!$K$9582/Sens!$K$9563</f>
        <v>0.0192702153568836</v>
      </c>
      <c r="L9592" s="13" t="n">
        <f aca="false">Sens!$L$9582/Sens!$L$9563</f>
        <v>0.019280971573944</v>
      </c>
      <c r="M9592" s="13" t="n">
        <f aca="false">Sens!$M$9582/Sens!$M$9563</f>
        <v>0.022036628438328</v>
      </c>
      <c r="N9592" s="13" t="n">
        <f aca="false">Sens!$N$9582/Sens!$N$9563</f>
        <v>0.0357315650169337</v>
      </c>
      <c r="O9592" s="13" t="n">
        <f aca="false">Sens!$O$9582/Sens!$O$9563</f>
        <v>0.0244378956559703</v>
      </c>
    </row>
    <row r="9593" customFormat="false" ht="17.15" hidden="false" customHeight="false" outlineLevel="0" collapsed="false">
      <c r="A9593" s="14" t="s">
        <v>734</v>
      </c>
      <c r="B9593" s="14" t="s">
        <v>52</v>
      </c>
      <c r="C9593" s="17" t="n">
        <f aca="false">Sens!$C$9585/Sens!$C$9564</f>
        <v>0.370355907620217</v>
      </c>
      <c r="D9593" s="17" t="n">
        <f aca="false">Sens!$D$9585/Sens!$D$9564</f>
        <v>0.35429015342785</v>
      </c>
      <c r="E9593" s="17" t="n">
        <f aca="false">Sens!$E$9585/Sens!$E$9564</f>
        <v>0.385647527531039</v>
      </c>
      <c r="F9593" s="17" t="n">
        <f aca="false">Sens!$F$9585/Sens!$F$9564</f>
        <v>0.385171818673936</v>
      </c>
      <c r="G9593" s="17" t="n">
        <f aca="false">Sens!$G$9585/Sens!$G$9564</f>
        <v>0.385399799520974</v>
      </c>
      <c r="H9593" s="17" t="n">
        <f aca="false">Sens!$H$9585/Sens!$H$9564</f>
        <v>0.360029314750347</v>
      </c>
      <c r="I9593" s="17" t="n">
        <f aca="false">Sens!$I$9585/Sens!$I$9564</f>
        <v>0.346606134604193</v>
      </c>
      <c r="J9593" s="17" t="n">
        <f aca="false">Sens!$J$9585/Sens!$J$9564</f>
        <v>0.335699297156574</v>
      </c>
      <c r="K9593" s="17" t="n">
        <f aca="false">Sens!$K$9585/Sens!$K$9564</f>
        <v>0.318689179980705</v>
      </c>
      <c r="L9593" s="17" t="n">
        <f aca="false">Sens!$L$9585/Sens!$L$9564</f>
        <v>0.311350190213483</v>
      </c>
      <c r="M9593" s="17" t="n">
        <f aca="false">Sens!$M$9585/Sens!$M$9564</f>
        <v>0.305810390971897</v>
      </c>
      <c r="N9593" s="17" t="n">
        <f aca="false">Sens!$N$9585/Sens!$N$9564</f>
        <v>0.360941137346192</v>
      </c>
      <c r="O9593" s="17" t="n">
        <f aca="false">Sens!$O$9585/Sens!$O$9564</f>
        <v>0.348458117664212</v>
      </c>
    </row>
    <row r="9594" customFormat="false" ht="17.15" hidden="false" customHeight="false" outlineLevel="0" collapsed="false">
      <c r="A9594" s="0" t="s">
        <v>735</v>
      </c>
      <c r="B9594" s="0" t="s">
        <v>52</v>
      </c>
      <c r="C9594" s="13" t="n">
        <f aca="false">Sens!$C$9583/Sens!$C$9565</f>
        <v>0.708390794789371</v>
      </c>
      <c r="D9594" s="13" t="n">
        <f aca="false">Sens!$D$9583/Sens!$D$9565</f>
        <v>0.445565630441968</v>
      </c>
      <c r="E9594" s="13" t="n">
        <f aca="false">Sens!$E$9583/Sens!$E$9565</f>
        <v>0.165998118402711</v>
      </c>
      <c r="F9594" s="13" t="n">
        <f aca="false">Sens!$F$9583/Sens!$F$9565</f>
        <v>0.434878595403858</v>
      </c>
      <c r="G9594" s="13" t="n">
        <f aca="false">Sens!$G$9583/Sens!$G$9565</f>
        <v>0.3373967615381</v>
      </c>
      <c r="H9594" s="13" t="n">
        <f aca="false">Sens!$H$9583/Sens!$H$9565</f>
        <v>0.320477578041224</v>
      </c>
      <c r="I9594" s="13" t="n">
        <f aca="false">Sens!$I$9583/Sens!$I$9565</f>
        <v>0.296936118226494</v>
      </c>
      <c r="J9594" s="13" t="n">
        <f aca="false">Sens!$J$9583/Sens!$J$9565</f>
        <v>0.282166278613001</v>
      </c>
      <c r="K9594" s="13" t="n">
        <f aca="false">Sens!$K$9583/Sens!$K$9565</f>
        <v>0.252088678937066</v>
      </c>
      <c r="L9594" s="13" t="n">
        <f aca="false">Sens!$L$9583/Sens!$L$9565</f>
        <v>0.239109533373036</v>
      </c>
      <c r="M9594" s="13" t="n">
        <f aca="false">Sens!$M$9583/Sens!$M$9565</f>
        <v>0.224888480009211</v>
      </c>
      <c r="N9594" s="13" t="n">
        <f aca="false">Sens!$N$9583/Sens!$N$9565</f>
        <v>0.302870734830849</v>
      </c>
      <c r="O9594" s="13" t="n">
        <f aca="false">Sens!$O$9583/Sens!$O$9565</f>
        <v>0.52240134346334</v>
      </c>
    </row>
    <row r="9595" customFormat="false" ht="15" hidden="false" customHeight="false" outlineLevel="0" collapsed="false">
      <c r="A9595" s="5" t="s">
        <v>736</v>
      </c>
      <c r="B9595" s="0" t="s">
        <v>52</v>
      </c>
      <c r="C9595" s="13" t="n">
        <f aca="false">Sens!$C$9587/Sens!$C$9567</f>
        <v>0.107519448742004</v>
      </c>
      <c r="D9595" s="13" t="n">
        <f aca="false">Sens!$D$9587/Sens!$D$9567</f>
        <v>0.111552967957552</v>
      </c>
      <c r="E9595" s="13" t="n">
        <f aca="false">Sens!$E$9587/Sens!$E$9567</f>
        <v>0.13428328426562</v>
      </c>
      <c r="F9595" s="13" t="n">
        <f aca="false">Sens!$F$9587/Sens!$F$9567</f>
        <v>0.129167844525589</v>
      </c>
      <c r="G9595" s="13" t="n">
        <f aca="false">Sens!$G$9587/Sens!$G$9567</f>
        <v>0.131557773771988</v>
      </c>
      <c r="H9595" s="13" t="n">
        <f aca="false">Sens!$H$9587/Sens!$H$9567</f>
        <v>0.134711536350329</v>
      </c>
      <c r="I9595" s="13" t="n">
        <f aca="false">Sens!$I$9587/Sens!$I$9567</f>
        <v>0.137768888779847</v>
      </c>
      <c r="J9595" s="13" t="n">
        <f aca="false">Sens!$J$9587/Sens!$J$9567</f>
        <v>0.139531715827143</v>
      </c>
      <c r="K9595" s="13" t="n">
        <f aca="false">Sens!$K$9587/Sens!$K$9567</f>
        <v>0.137184637307287</v>
      </c>
      <c r="L9595" s="13" t="n">
        <f aca="false">Sens!$L$9587/Sens!$L$9567</f>
        <v>0.136585156175285</v>
      </c>
      <c r="M9595" s="13" t="n">
        <f aca="false">Sens!$M$9587/Sens!$M$9567</f>
        <v>0.136603372901098</v>
      </c>
      <c r="N9595" s="13" t="n">
        <f aca="false">Sens!$N$9587/Sens!$N$9567</f>
        <v>0.116201614873411</v>
      </c>
      <c r="O9595" s="13" t="n">
        <f aca="false">Sens!$O$9587/Sens!$O$9567</f>
        <v>0.107733353660861</v>
      </c>
    </row>
    <row r="9596" customFormat="false" ht="17.15" hidden="false" customHeight="false" outlineLevel="0" collapsed="false">
      <c r="A9596" s="1" t="s">
        <v>737</v>
      </c>
    </row>
    <row r="9597" customFormat="false" ht="17.15" hidden="false" customHeight="false" outlineLevel="0" collapsed="false">
      <c r="A9597" s="5" t="s">
        <v>738</v>
      </c>
      <c r="B9597" s="0" t="s">
        <v>52</v>
      </c>
      <c r="D9597" s="28" t="n">
        <f aca="false">(Q!$E$29+Q!$E$30-(1-ext_sh)*Sens!$D$9519)/Sens!$D$9475</f>
        <v>0.0334674312393194</v>
      </c>
    </row>
    <row r="9598" customFormat="false" ht="17.15" hidden="false" customHeight="false" outlineLevel="0" collapsed="false">
      <c r="A9598" s="0" t="s">
        <v>535</v>
      </c>
      <c r="B9598" s="0" t="s">
        <v>86</v>
      </c>
      <c r="C9598" s="38" t="n">
        <f aca="false">Q!$D$29</f>
        <v>14.285</v>
      </c>
      <c r="D9598" s="38" t="n">
        <f aca="false">Q!$E$29</f>
        <v>15.503</v>
      </c>
      <c r="E9598" s="38" t="n">
        <f aca="false">Q!$P$29</f>
        <v>8.78</v>
      </c>
      <c r="F9598" s="38" t="n">
        <f aca="false">(Sens!$D$9597*Sens!$F$9475+(1-ext_sh)*Sens!$F$9519)*Sens!$F$9476</f>
        <v>9.32404990199157</v>
      </c>
      <c r="G9598" s="38" t="n">
        <f aca="false">Sens!$E$9598+Sens!$F$9598</f>
        <v>18.1040499019916</v>
      </c>
      <c r="H9598" s="38" t="n">
        <f aca="false">(Sens!$D$9597*Sens!$H$9475+(1-ext_sh)*Sens!$H$9519)*Sens!$H$9476</f>
        <v>22.5533556752937</v>
      </c>
      <c r="I9598" s="38" t="n">
        <f aca="false">(Sens!$D$9597*Sens!$I$9475+(1-ext_sh)*Sens!$I$9519)*Sens!$I$9476</f>
        <v>28.1941479903215</v>
      </c>
      <c r="J9598" s="38" t="n">
        <f aca="false">(Sens!$D$9597*Sens!$J$9475+(1-ext_sh)*Sens!$J$9519)*Sens!$J$9476</f>
        <v>33.8639126241465</v>
      </c>
      <c r="K9598" s="38" t="n">
        <f aca="false">(Sens!$D$9597*Sens!$K$9475+(1-ext_sh)*Sens!$K$9519)*Sens!$K$9476</f>
        <v>39.4516429979446</v>
      </c>
      <c r="L9598" s="38" t="n">
        <f aca="false">(Sens!$D$9597*Sens!$L$9475+(1-ext_sh)*Sens!$L$9519)*Sens!$L$9476</f>
        <v>43.5676722283904</v>
      </c>
      <c r="M9598" s="38" t="n">
        <f aca="false">(Sens!$D$9597*Sens!$M$9475+(1-ext_sh)*Sens!$M$9519)*Sens!$M$9476</f>
        <v>46.614944729655</v>
      </c>
      <c r="N9598" s="38" t="n">
        <f aca="false">Q!$N$29</f>
        <v>7.272</v>
      </c>
      <c r="O9598" s="38" t="n">
        <f aca="false">Q!$O$29</f>
        <v>8.231</v>
      </c>
    </row>
    <row r="9599" customFormat="false" ht="17.15" hidden="false" customHeight="false" outlineLevel="0" collapsed="false">
      <c r="A9599" s="0" t="s">
        <v>537</v>
      </c>
      <c r="B9599" s="0" t="s">
        <v>86</v>
      </c>
      <c r="C9599" s="38" t="n">
        <f aca="false">Q!$D$30</f>
        <v>4.462</v>
      </c>
      <c r="D9599" s="38" t="n">
        <f aca="false">Q!$E$30</f>
        <v>4.907</v>
      </c>
      <c r="E9599" s="38" t="n">
        <f aca="false">Q!$P$30</f>
        <v>2.57</v>
      </c>
      <c r="F9599" s="38" t="n">
        <f aca="false">(Sens!$D$9597*Sens!$F$9475+(1-ext_sh)*Sens!$F$9519)*(1-Sens!$F$9476)</f>
        <v>3.66089330199472</v>
      </c>
      <c r="G9599" s="38" t="n">
        <f aca="false">Sens!$E$9599+Sens!$F$9599</f>
        <v>6.23089330199472</v>
      </c>
      <c r="H9599" s="38" t="n">
        <f aca="false">(Sens!$D$9597*Sens!$H$9475+(1-ext_sh)*Sens!$H$9519)*(1-Sens!$H$9476)</f>
        <v>8.63874333111657</v>
      </c>
      <c r="I9599" s="38" t="n">
        <f aca="false">(Sens!$D$9597*Sens!$I$9475+(1-ext_sh)*Sens!$I$9519)*(1-Sens!$I$9476)</f>
        <v>10.7993689025494</v>
      </c>
      <c r="J9599" s="38" t="n">
        <f aca="false">(Sens!$D$9597*Sens!$J$9475+(1-ext_sh)*Sens!$J$9519)*(1-Sens!$J$9476)</f>
        <v>12.9710919101865</v>
      </c>
      <c r="K9599" s="38" t="n">
        <f aca="false">(Sens!$D$9597*Sens!$K$9475+(1-ext_sh)*Sens!$K$9519)*(1-Sens!$K$9476)</f>
        <v>15.1113928568702</v>
      </c>
      <c r="L9599" s="38" t="n">
        <f aca="false">(Sens!$D$9597*Sens!$L$9475+(1-ext_sh)*Sens!$L$9519)*(1-Sens!$L$9476)</f>
        <v>16.6879795332443</v>
      </c>
      <c r="M9599" s="38" t="n">
        <f aca="false">(Sens!$D$9597*Sens!$M$9475+(1-ext_sh)*Sens!$M$9519)*(1-Sens!$M$9476)</f>
        <v>17.8551940878054</v>
      </c>
      <c r="N9599" s="38" t="n">
        <f aca="false">Q!$N$30</f>
        <v>2.316</v>
      </c>
      <c r="O9599" s="38" t="n">
        <f aca="false">Q!$O$30</f>
        <v>2.591</v>
      </c>
    </row>
    <row r="9600" customFormat="false" ht="17.15" hidden="false" customHeight="false" outlineLevel="0" collapsed="false">
      <c r="A9600" s="0" t="s">
        <v>538</v>
      </c>
      <c r="B9600" s="0" t="s">
        <v>86</v>
      </c>
      <c r="C9600" s="38" t="n">
        <f aca="false">Sens!$C$9531</f>
        <v>13.32</v>
      </c>
      <c r="D9600" s="38" t="n">
        <f aca="false">Sens!$D$9531</f>
        <v>21.45</v>
      </c>
      <c r="E9600" s="38" t="n">
        <f aca="false">Sens!$E$9531</f>
        <v>15.353</v>
      </c>
      <c r="F9600" s="38" t="n">
        <f aca="false">Sens!$F$9531</f>
        <v>16.3063747611001</v>
      </c>
      <c r="G9600" s="38" t="n">
        <f aca="false">Sens!$G$9531</f>
        <v>31.6593747611001</v>
      </c>
      <c r="H9600" s="38" t="n">
        <f aca="false">Sens!$H$9531</f>
        <v>53.124242092105</v>
      </c>
      <c r="I9600" s="38" t="n">
        <f aca="false">Sens!$I$9531</f>
        <v>78.046828098133</v>
      </c>
      <c r="J9600" s="38" t="n">
        <f aca="false">Sens!$J$9531</f>
        <v>103.663976940352</v>
      </c>
      <c r="K9600" s="38" t="n">
        <f aca="false">Sens!$K$9531</f>
        <v>129.625086115469</v>
      </c>
      <c r="L9600" s="38" t="n">
        <f aca="false">Sens!$L$9531</f>
        <v>147.122996715819</v>
      </c>
      <c r="M9600" s="38" t="n">
        <f aca="false">Sens!$M$9531</f>
        <v>158.36358708023</v>
      </c>
      <c r="N9600" s="38" t="n">
        <f aca="false">Sens!$N$9531</f>
        <v>9.234</v>
      </c>
      <c r="O9600" s="38" t="n">
        <f aca="false">Sens!$O$9531</f>
        <v>12.216</v>
      </c>
    </row>
    <row r="9601" customFormat="false" ht="17.15" hidden="false" customHeight="false" outlineLevel="0" collapsed="false">
      <c r="A9601" s="5" t="s">
        <v>739</v>
      </c>
      <c r="B9601" s="0" t="s">
        <v>86</v>
      </c>
      <c r="C9601" s="38" t="n">
        <f aca="false">Sens!$C$9598+Sens!$C$9599+Sens!$C$9600</f>
        <v>32.067</v>
      </c>
      <c r="D9601" s="38" t="n">
        <f aca="false">Sens!$D$9598+Sens!$D$9599+Sens!$D$9600</f>
        <v>41.86</v>
      </c>
      <c r="E9601" s="38" t="n">
        <f aca="false">Sens!$E$9598+Sens!$E$9599+Sens!$E$9600</f>
        <v>26.703</v>
      </c>
      <c r="F9601" s="38" t="n">
        <f aca="false">Sens!$F$9598+Sens!$F$9599+Sens!$F$9600</f>
        <v>29.2913179650864</v>
      </c>
      <c r="G9601" s="38" t="n">
        <f aca="false">Sens!$G$9598+Sens!$G$9599+Sens!$G$9600</f>
        <v>55.9943179650864</v>
      </c>
      <c r="H9601" s="38" t="n">
        <f aca="false">Sens!$H$9598+Sens!$H$9599+Sens!$H$9600</f>
        <v>84.3163410985152</v>
      </c>
      <c r="I9601" s="38" t="n">
        <f aca="false">Sens!$I$9598+Sens!$I$9599+Sens!$I$9600</f>
        <v>117.040344991004</v>
      </c>
      <c r="J9601" s="38" t="n">
        <f aca="false">Sens!$J$9598+Sens!$J$9599+Sens!$J$9600</f>
        <v>150.498981474685</v>
      </c>
      <c r="K9601" s="38" t="n">
        <f aca="false">Sens!$K$9598+Sens!$K$9599+Sens!$K$9600</f>
        <v>184.188121970284</v>
      </c>
      <c r="L9601" s="38" t="n">
        <f aca="false">Sens!$L$9598+Sens!$L$9599+Sens!$L$9600</f>
        <v>207.378648477454</v>
      </c>
      <c r="M9601" s="38" t="n">
        <f aca="false">Sens!$M$9598+Sens!$M$9599+Sens!$M$9600</f>
        <v>222.833725897691</v>
      </c>
      <c r="N9601" s="38" t="n">
        <f aca="false">Sens!$N$9598+Sens!$N$9599+Sens!$N$9600</f>
        <v>18.822</v>
      </c>
      <c r="O9601" s="38" t="n">
        <f aca="false">Sens!$O$9598+Sens!$O$9599+Sens!$O$9600</f>
        <v>23.038</v>
      </c>
    </row>
    <row r="9602" customFormat="false" ht="17.15" hidden="false" customHeight="false" outlineLevel="0" collapsed="false">
      <c r="A9602" s="0" t="s">
        <v>740</v>
      </c>
      <c r="B9602" s="0" t="s">
        <v>86</v>
      </c>
      <c r="C9602" s="38" t="n">
        <f aca="false">Sens!$C$9573+Sens!$C$9578</f>
        <v>28.107</v>
      </c>
      <c r="D9602" s="38" t="n">
        <f aca="false">Sens!$D$9573+Sens!$D$9578</f>
        <v>34.3175</v>
      </c>
      <c r="E9602" s="38" t="n">
        <f aca="false">Sens!$E$9573+Sens!$E$9578</f>
        <v>18.526</v>
      </c>
      <c r="F9602" s="38" t="n">
        <f aca="false">Sens!$F$9573+Sens!$F$9578</f>
        <v>23.0786109972074</v>
      </c>
      <c r="G9602" s="38" t="n">
        <f aca="false">Sens!$G$9573+Sens!$G$9578</f>
        <v>41.6046109972074</v>
      </c>
      <c r="H9602" s="38" t="n">
        <f aca="false">Sens!$H$9573+Sens!$H$9578</f>
        <v>49.9484611939488</v>
      </c>
      <c r="I9602" s="38" t="n">
        <f aca="false">Sens!$I$9573+Sens!$I$9578</f>
        <v>58.2915555477481</v>
      </c>
      <c r="J9602" s="38" t="n">
        <f aca="false">Sens!$J$9573+Sens!$J$9578</f>
        <v>66.0744709709759</v>
      </c>
      <c r="K9602" s="38" t="n">
        <f aca="false">Sens!$K$9573+Sens!$K$9578</f>
        <v>72.6819180680735</v>
      </c>
      <c r="L9602" s="38" t="n">
        <f aca="false">Sens!$L$9573+Sens!$L$9578</f>
        <v>79.9501098748808</v>
      </c>
      <c r="M9602" s="38" t="n">
        <f aca="false">Sens!$M$9573+Sens!$M$9578</f>
        <v>87.9451208623689</v>
      </c>
      <c r="N9602" s="38" t="n">
        <f aca="false">Sens!$N$9573+Sens!$N$9578</f>
        <v>14.8075</v>
      </c>
      <c r="O9602" s="38" t="n">
        <f aca="false">Sens!$O$9573+Sens!$O$9578</f>
        <v>19.51</v>
      </c>
    </row>
    <row r="9603" customFormat="false" ht="17.15" hidden="false" customHeight="false" outlineLevel="0" collapsed="false">
      <c r="A9603" s="0" t="s">
        <v>741</v>
      </c>
      <c r="B9603" s="0" t="s">
        <v>86</v>
      </c>
      <c r="C9603" s="38" t="n">
        <f aca="false">Sens!$C$9577+Sens!$C$9582+Sens!$C$9598+Sens!$C$9599-Sens!$C$9602</f>
        <v>19.399</v>
      </c>
      <c r="D9603" s="38" t="n">
        <f aca="false">Sens!$D$9577+Sens!$D$9582+Sens!$D$9598+Sens!$D$9599-Sens!$D$9602</f>
        <v>20.4615</v>
      </c>
      <c r="E9603" s="38" t="n">
        <f aca="false">Sens!$E$9577+Sens!$E$9582+Sens!$E$9598+Sens!$E$9599-Sens!$E$9602</f>
        <v>13.355</v>
      </c>
      <c r="F9603" s="38" t="n">
        <f aca="false">Sens!$F$9577+Sens!$F$9582+Sens!$F$9598+Sens!$F$9599-Sens!$F$9602</f>
        <v>12.7882167664549</v>
      </c>
      <c r="G9603" s="38" t="n">
        <f aca="false">Sens!$G$9577+Sens!$G$9582+Sens!$G$9598+Sens!$G$9599-Sens!$G$9602</f>
        <v>26.1432167664549</v>
      </c>
      <c r="H9603" s="38" t="n">
        <f aca="false">Sens!$H$9577+Sens!$H$9582+Sens!$H$9598+Sens!$H$9599-Sens!$H$9602</f>
        <v>28.5472527261826</v>
      </c>
      <c r="I9603" s="38" t="n">
        <f aca="false">Sens!$I$9577+Sens!$I$9582+Sens!$I$9598+Sens!$I$9599-Sens!$I$9602</f>
        <v>30.8052421506794</v>
      </c>
      <c r="J9603" s="38" t="n">
        <f aca="false">Sens!$J$9577+Sens!$J$9582+Sens!$J$9598+Sens!$J$9599-Sens!$J$9602</f>
        <v>33.0553877999083</v>
      </c>
      <c r="K9603" s="38" t="n">
        <f aca="false">Sens!$K$9577+Sens!$K$9582+Sens!$K$9598+Sens!$K$9599-Sens!$K$9602</f>
        <v>35.4804909006951</v>
      </c>
      <c r="L9603" s="38" t="n">
        <f aca="false">Sens!$L$9577+Sens!$L$9582+Sens!$L$9598+Sens!$L$9599-Sens!$L$9602</f>
        <v>37.1586109071473</v>
      </c>
      <c r="M9603" s="38" t="n">
        <f aca="false">Sens!$M$9577+Sens!$M$9582+Sens!$M$9598+Sens!$M$9599-Sens!$M$9602</f>
        <v>39.6625554880806</v>
      </c>
      <c r="N9603" s="38" t="n">
        <f aca="false">Sens!$N$9577+Sens!$N$9582+Sens!$N$9598+Sens!$N$9599-Sens!$N$9602</f>
        <v>10.6495</v>
      </c>
      <c r="O9603" s="38" t="n">
        <f aca="false">Sens!$O$9577+Sens!$O$9582+Sens!$O$9598+Sens!$O$9599-Sens!$O$9602</f>
        <v>9.81200000000001</v>
      </c>
    </row>
    <row r="9604" customFormat="false" ht="17.15" hidden="false" customHeight="false" outlineLevel="0" collapsed="false">
      <c r="A9604" s="0" t="s">
        <v>742</v>
      </c>
      <c r="B9604" s="0" t="s">
        <v>86</v>
      </c>
      <c r="C9604" s="38" t="n">
        <f aca="false">Sens!$C$9584+Sens!$C$9600-ext_sh*Sens!$C$9519</f>
        <v>51.3470500115664</v>
      </c>
      <c r="D9604" s="38" t="n">
        <f aca="false">Sens!$D$9584+Sens!$D$9600-ext_sh*Sens!$D$9519</f>
        <v>60.2799375433739</v>
      </c>
      <c r="E9604" s="38" t="n">
        <f aca="false">Sens!$E$9584+Sens!$E$9600-ext_sh*Sens!$E$9519</f>
        <v>39.5095167090767</v>
      </c>
      <c r="F9604" s="38" t="n">
        <f aca="false">Sens!$F$9584+Sens!$F$9600-ext_sh*Sens!$F$9519</f>
        <v>37.993321722478</v>
      </c>
      <c r="G9604" s="38" t="n">
        <f aca="false">Sens!$G$9584+Sens!$G$9600-ext_sh*Sens!$G$9519</f>
        <v>77.5028384315548</v>
      </c>
      <c r="H9604" s="38" t="n">
        <f aca="false">Sens!$H$9584+Sens!$H$9600-ext_sh*Sens!$H$9519</f>
        <v>85.2394217279746</v>
      </c>
      <c r="I9604" s="38" t="n">
        <f aca="false">Sens!$I$9584+Sens!$I$9600-ext_sh*Sens!$I$9519</f>
        <v>94.6373589713254</v>
      </c>
      <c r="J9604" s="38" t="n">
        <f aca="false">Sens!$J$9584+Sens!$J$9600-ext_sh*Sens!$J$9519</f>
        <v>103.639899284146</v>
      </c>
      <c r="K9604" s="38" t="n">
        <f aca="false">Sens!$K$9584+Sens!$K$9600-ext_sh*Sens!$K$9519</f>
        <v>111.931091226878</v>
      </c>
      <c r="L9604" s="38" t="n">
        <f aca="false">Sens!$L$9584+Sens!$L$9600-ext_sh*Sens!$L$9519</f>
        <v>120.885578525028</v>
      </c>
      <c r="M9604" s="38" t="n">
        <f aca="false">Sens!$M$9584+Sens!$M$9600-ext_sh*Sens!$M$9519</f>
        <v>130.55642480703</v>
      </c>
      <c r="N9604" s="38" t="n">
        <f aca="false">Sens!$N$9584+Sens!$N$9600-ext_sh*Sens!$N$9519</f>
        <v>28.5693781401809</v>
      </c>
      <c r="O9604" s="38" t="n">
        <f aca="false">Sens!$O$9584+Sens!$O$9600-ext_sh*Sens!$O$9519</f>
        <v>31.7105594031931</v>
      </c>
    </row>
    <row r="9605" customFormat="false" ht="17.15" hidden="false" customHeight="false" outlineLevel="0" collapsed="false">
      <c r="A9605" s="0" t="s">
        <v>743</v>
      </c>
      <c r="B9605" s="0" t="s">
        <v>86</v>
      </c>
      <c r="C9605" s="38" t="n">
        <f aca="false">Sens!$C$9522</f>
        <v>1.80694998843362</v>
      </c>
      <c r="D9605" s="38" t="n">
        <f aca="false">Sens!$D$9522</f>
        <v>6.77606245662607</v>
      </c>
      <c r="E9605" s="38" t="n">
        <f aca="false">Sens!$E$9522</f>
        <v>6.62548329092326</v>
      </c>
      <c r="F9605" s="38" t="n">
        <f aca="false">Sens!$F$9522</f>
        <v>11.7200577158706</v>
      </c>
      <c r="G9605" s="38" t="n">
        <f aca="false">Sens!$G$9522</f>
        <v>18.3455410067939</v>
      </c>
      <c r="H9605" s="38" t="n">
        <f aca="false">Sens!$H$9522</f>
        <v>47.5171727060453</v>
      </c>
      <c r="I9605" s="38" t="n">
        <f aca="false">Sens!$I$9522</f>
        <v>80.5539692643667</v>
      </c>
      <c r="J9605" s="38" t="n">
        <f aca="false">Sens!$J$9522</f>
        <v>113.759316834883</v>
      </c>
      <c r="K9605" s="38" t="n">
        <f aca="false">Sens!$K$9522</f>
        <v>141.855203603144</v>
      </c>
      <c r="L9605" s="38" t="n">
        <f aca="false">Sens!$L$9522</f>
        <v>159.789055430453</v>
      </c>
      <c r="M9605" s="38" t="n">
        <f aca="false">Sens!$M$9522</f>
        <v>167.532378081213</v>
      </c>
      <c r="N9605" s="38" t="n">
        <f aca="false">Sens!$N$9522</f>
        <v>2.37162185981912</v>
      </c>
      <c r="O9605" s="38" t="n">
        <f aca="false">Sens!$O$9522</f>
        <v>4.40444059680694</v>
      </c>
    </row>
    <row r="9606" customFormat="false" ht="17.15" hidden="false" customHeight="false" outlineLevel="0" collapsed="false">
      <c r="A9606" s="0" t="s">
        <v>744</v>
      </c>
      <c r="B9606" s="0" t="s">
        <v>86</v>
      </c>
      <c r="C9606" s="38" t="n">
        <f aca="false">Sens!$C$9587+Sens!$C$9601</f>
        <v>100.66</v>
      </c>
      <c r="D9606" s="38" t="n">
        <f aca="false">Sens!$D$9587+Sens!$D$9601</f>
        <v>121.835</v>
      </c>
      <c r="E9606" s="38" t="n">
        <f aca="false">Sens!$E$9587+Sens!$E$9601</f>
        <v>78.016</v>
      </c>
      <c r="F9606" s="38" t="n">
        <f aca="false">Sens!$F$9587+Sens!$F$9601</f>
        <v>85.580207202011</v>
      </c>
      <c r="G9606" s="38" t="n">
        <f aca="false">Sens!$G$9587+Sens!$G$9601</f>
        <v>163.596207202011</v>
      </c>
      <c r="H9606" s="38" t="n">
        <f aca="false">Sens!$H$9587+Sens!$H$9601</f>
        <v>211.252308354151</v>
      </c>
      <c r="I9606" s="38" t="n">
        <f aca="false">Sens!$I$9587+Sens!$I$9601</f>
        <v>264.28812593412</v>
      </c>
      <c r="J9606" s="38" t="n">
        <f aca="false">Sens!$J$9587+Sens!$J$9601</f>
        <v>316.529074889914</v>
      </c>
      <c r="K9606" s="38" t="n">
        <f aca="false">Sens!$K$9587+Sens!$K$9601</f>
        <v>361.94870379879</v>
      </c>
      <c r="L9606" s="38" t="n">
        <f aca="false">Sens!$L$9587+Sens!$L$9601</f>
        <v>397.78335473751</v>
      </c>
      <c r="M9606" s="38" t="n">
        <f aca="false">Sens!$M$9587+Sens!$M$9601</f>
        <v>425.696479238693</v>
      </c>
      <c r="N9606" s="38" t="n">
        <f aca="false">Sens!$N$9587+Sens!$N$9601</f>
        <v>56.398</v>
      </c>
      <c r="O9606" s="38" t="n">
        <f aca="false">Sens!$O$9587+Sens!$O$9601</f>
        <v>65.437</v>
      </c>
    </row>
    <row r="9607" customFormat="false" ht="17.15" hidden="false" customHeight="false" outlineLevel="0" collapsed="false">
      <c r="A9607" s="1" t="s">
        <v>745</v>
      </c>
    </row>
    <row r="9608" customFormat="false" ht="15" hidden="false" customHeight="false" outlineLevel="0" collapsed="false">
      <c r="A9608" s="5" t="s">
        <v>541</v>
      </c>
      <c r="B9608" s="0" t="s">
        <v>86</v>
      </c>
      <c r="C9608" s="38" t="n">
        <f aca="false">Q!$D$34</f>
        <v>2.406</v>
      </c>
      <c r="D9608" s="38" t="n">
        <f aca="false">Q!$E$34</f>
        <v>2.274</v>
      </c>
      <c r="E9608" s="38" t="n">
        <f aca="false">Q!$P$34</f>
        <v>2.114</v>
      </c>
      <c r="F9608" s="38" t="n">
        <f aca="false">Sens!$F$9646</f>
        <v>3.24888962733561</v>
      </c>
      <c r="G9608" s="38" t="n">
        <f aca="false">Sens!$E$9608+Sens!$F$9608</f>
        <v>5.36288962733561</v>
      </c>
      <c r="H9608" s="38" t="n">
        <f aca="false">Sens!$H$9646</f>
        <v>7.42354172302123</v>
      </c>
      <c r="I9608" s="38" t="n">
        <f aca="false">Sens!$I$9646</f>
        <v>8.2931747618896</v>
      </c>
      <c r="J9608" s="38" t="n">
        <f aca="false">Sens!$J$9646</f>
        <v>9.27718179522602</v>
      </c>
      <c r="K9608" s="38" t="n">
        <f aca="false">Sens!$K$9646</f>
        <v>9.27718179522602</v>
      </c>
      <c r="L9608" s="38" t="n">
        <f aca="false">Sens!$L$9646</f>
        <v>9.27718179522602</v>
      </c>
      <c r="M9608" s="38" t="n">
        <f aca="false">Sens!$M$9646</f>
        <v>9.27718179522602</v>
      </c>
      <c r="N9608" s="38" t="n">
        <f aca="false">Q!$N$34</f>
        <v>1.057</v>
      </c>
      <c r="O9608" s="38" t="n">
        <f aca="false">Q!$O$34</f>
        <v>1.217</v>
      </c>
    </row>
    <row r="9609" customFormat="false" ht="15" hidden="false" customHeight="false" outlineLevel="0" collapsed="false">
      <c r="A9609" s="5" t="s">
        <v>746</v>
      </c>
      <c r="B9609" s="0" t="s">
        <v>86</v>
      </c>
      <c r="F9609" s="38" t="n">
        <f aca="false">Sens!$F$9647</f>
        <v>2.59</v>
      </c>
      <c r="H9609" s="38" t="n">
        <f aca="false">Sens!$H$9647</f>
        <v>3.80133635330174</v>
      </c>
      <c r="I9609" s="38" t="n">
        <f aca="false">Sens!$I$9647</f>
        <v>2.10589651022864</v>
      </c>
      <c r="J9609" s="38" t="n">
        <f aca="false">Sens!$J$9647</f>
        <v>2.10589651022864</v>
      </c>
      <c r="K9609" s="38" t="n">
        <f aca="false">Sens!$K$9647</f>
        <v>3.14850442073996</v>
      </c>
      <c r="L9609" s="38" t="n">
        <f aca="false">Sens!$L$9647</f>
        <v>8.36866949261808</v>
      </c>
      <c r="M9609" s="38" t="n">
        <f aca="false">Sens!$M$9647</f>
        <v>16.1461031736674</v>
      </c>
    </row>
    <row r="9610" customFormat="false" ht="17.15" hidden="false" customHeight="false" outlineLevel="0" collapsed="false">
      <c r="A9610" s="5" t="s">
        <v>747</v>
      </c>
      <c r="B9610" s="0" t="s">
        <v>86</v>
      </c>
      <c r="C9610" s="38" t="n">
        <f aca="false">Q!$D$39</f>
        <v>2.427</v>
      </c>
      <c r="D9610" s="38" t="n">
        <f aca="false">Q!$E$39</f>
        <v>19.61</v>
      </c>
      <c r="E9610" s="38" t="n">
        <f aca="false">Q!$P$39</f>
        <v>71.492</v>
      </c>
      <c r="F9610" s="39" t="n">
        <v>0</v>
      </c>
      <c r="G9610" s="38" t="n">
        <f aca="false">Sens!$E$9610+Sens!$F$9610</f>
        <v>71.492</v>
      </c>
      <c r="H9610" s="39" t="n">
        <v>0</v>
      </c>
      <c r="I9610" s="39" t="n">
        <v>0</v>
      </c>
      <c r="J9610" s="39" t="n">
        <v>0</v>
      </c>
      <c r="K9610" s="39" t="n">
        <v>0</v>
      </c>
      <c r="L9610" s="39" t="n">
        <v>0</v>
      </c>
      <c r="M9610" s="39" t="n">
        <v>0</v>
      </c>
      <c r="N9610" s="38" t="n">
        <f aca="false">Q!$N$39</f>
        <v>6.017</v>
      </c>
      <c r="O9610" s="38" t="n">
        <f aca="false">Q!$O$39</f>
        <v>13.593</v>
      </c>
      <c r="P9610" s="5" t="s">
        <v>748</v>
      </c>
    </row>
    <row r="9611" customFormat="false" ht="15" hidden="false" customHeight="false" outlineLevel="0" collapsed="false">
      <c r="A9611" s="5" t="s">
        <v>544</v>
      </c>
      <c r="B9611" s="0" t="s">
        <v>86</v>
      </c>
      <c r="C9611" s="38" t="n">
        <f aca="false">Q!$D$36</f>
        <v>68.614</v>
      </c>
      <c r="D9611" s="38" t="n">
        <f aca="false">Q!$E$36</f>
        <v>97.311</v>
      </c>
      <c r="E9611" s="38" t="n">
        <f aca="false">Q!$P$36</f>
        <v>120.691</v>
      </c>
      <c r="F9611" s="38" t="n">
        <f aca="false">Sens!$F$9587-Sens!$F$9608+Sens!$F$9609+Sens!$F$9610</f>
        <v>55.629999609589</v>
      </c>
      <c r="G9611" s="38" t="n">
        <f aca="false">Sens!$E$9611+Sens!$F$9611</f>
        <v>176.320999609589</v>
      </c>
      <c r="H9611" s="38" t="n">
        <f aca="false">Sens!$H$9587-Sens!$H$9608+Sens!$H$9609+Sens!$H$9610</f>
        <v>123.313761885917</v>
      </c>
      <c r="I9611" s="38" t="n">
        <f aca="false">Sens!$I$9587-Sens!$I$9608+Sens!$I$9609+Sens!$I$9610</f>
        <v>141.060502691455</v>
      </c>
      <c r="J9611" s="38" t="n">
        <f aca="false">Sens!$J$9587-Sens!$J$9608+Sens!$J$9609+Sens!$J$9610</f>
        <v>158.858808130232</v>
      </c>
      <c r="K9611" s="38" t="n">
        <f aca="false">Sens!$K$9587-Sens!$K$9608+Sens!$K$9609+Sens!$K$9610</f>
        <v>171.63190445402</v>
      </c>
      <c r="L9611" s="38" t="n">
        <f aca="false">Sens!$L$9587-Sens!$L$9608+Sens!$L$9609+Sens!$L$9610</f>
        <v>189.496193957448</v>
      </c>
      <c r="M9611" s="38" t="n">
        <f aca="false">Sens!$M$9587-Sens!$M$9608+Sens!$M$9609+Sens!$M$9610</f>
        <v>209.731674719443</v>
      </c>
      <c r="N9611" s="38" t="n">
        <f aca="false">Q!$N$36</f>
        <v>42.536</v>
      </c>
      <c r="O9611" s="38" t="n">
        <f aca="false">Q!$O$36</f>
        <v>54.775</v>
      </c>
    </row>
    <row r="9612" customFormat="false" ht="15" hidden="false" customHeight="false" outlineLevel="0" collapsed="false">
      <c r="A9612" s="5" t="s">
        <v>545</v>
      </c>
      <c r="B9612" s="0" t="s">
        <v>86</v>
      </c>
      <c r="C9612" s="38" t="n">
        <f aca="false">Q!$D$37</f>
        <v>9.265</v>
      </c>
      <c r="D9612" s="38" t="n">
        <f aca="false">Q!$E$37</f>
        <v>19.087</v>
      </c>
      <c r="E9612" s="38" t="n">
        <f aca="false">Q!$P$37</f>
        <v>27.759</v>
      </c>
      <c r="F9612" s="38" t="n">
        <f aca="false">Sens!$F$9611*tax</f>
        <v>9.65650714815835</v>
      </c>
      <c r="G9612" s="38" t="n">
        <f aca="false">Sens!$E$9612+Sens!$F$9612</f>
        <v>37.4155071481584</v>
      </c>
      <c r="H9612" s="38" t="n">
        <f aca="false">Sens!$H$9611*tax</f>
        <v>21.4053609828247</v>
      </c>
      <c r="I9612" s="38" t="n">
        <f aca="false">Sens!$I$9611*tax</f>
        <v>24.4859205846201</v>
      </c>
      <c r="J9612" s="38" t="n">
        <f aca="false">Sens!$J$9611*tax</f>
        <v>27.5754310088666</v>
      </c>
      <c r="K9612" s="38" t="n">
        <f aca="false">Sens!$K$9611*tax</f>
        <v>29.7926428877163</v>
      </c>
      <c r="L9612" s="38" t="n">
        <f aca="false">Sens!$L$9611*tax</f>
        <v>32.8936071245897</v>
      </c>
      <c r="M9612" s="38" t="n">
        <f aca="false">Sens!$M$9611*tax</f>
        <v>36.4061734736095</v>
      </c>
      <c r="N9612" s="38" t="n">
        <f aca="false">Q!$N$37</f>
        <v>7.231</v>
      </c>
      <c r="O9612" s="38" t="n">
        <f aca="false">Q!$O$37</f>
        <v>11.856</v>
      </c>
    </row>
    <row r="9613" customFormat="false" ht="15" hidden="false" customHeight="false" outlineLevel="0" collapsed="false">
      <c r="A9613" s="3" t="s">
        <v>546</v>
      </c>
      <c r="B9613" s="8" t="s">
        <v>86</v>
      </c>
      <c r="C9613" s="38" t="n">
        <f aca="false">Q!$D$38</f>
        <v>59.248</v>
      </c>
      <c r="D9613" s="38" t="n">
        <f aca="false">Q!$E$38</f>
        <v>77.67</v>
      </c>
      <c r="E9613" s="38" t="n">
        <f aca="false">Q!$P$38</f>
        <v>92.902</v>
      </c>
      <c r="F9613" s="38" t="n">
        <f aca="false">Sens!$F$9611-Sens!$F$9612</f>
        <v>45.9734924614306</v>
      </c>
      <c r="G9613" s="38" t="n">
        <f aca="false">Sens!$E$9613+Sens!$F$9613</f>
        <v>138.875492461431</v>
      </c>
      <c r="H9613" s="38" t="n">
        <f aca="false">Sens!$H$9611-Sens!$H$9612</f>
        <v>101.908400903092</v>
      </c>
      <c r="I9613" s="38" t="n">
        <f aca="false">Sens!$I$9611-Sens!$I$9612</f>
        <v>116.574582106835</v>
      </c>
      <c r="J9613" s="38" t="n">
        <f aca="false">Sens!$J$9611-Sens!$J$9612</f>
        <v>131.283377121365</v>
      </c>
      <c r="K9613" s="38" t="n">
        <f aca="false">Sens!$K$9611-Sens!$K$9612</f>
        <v>141.839261566304</v>
      </c>
      <c r="L9613" s="38" t="n">
        <f aca="false">Sens!$L$9611-Sens!$L$9612</f>
        <v>156.602586832858</v>
      </c>
      <c r="M9613" s="38" t="n">
        <f aca="false">Sens!$M$9611-Sens!$M$9612</f>
        <v>173.325501245834</v>
      </c>
      <c r="N9613" s="38" t="n">
        <f aca="false">Q!$N$38</f>
        <v>35.291</v>
      </c>
      <c r="O9613" s="38" t="n">
        <f aca="false">Q!$O$38</f>
        <v>42.379</v>
      </c>
    </row>
    <row r="9614" customFormat="false" ht="17.15" hidden="false" customHeight="false" outlineLevel="0" collapsed="false">
      <c r="A9614" s="5" t="s">
        <v>549</v>
      </c>
      <c r="B9614" s="5" t="s">
        <v>33</v>
      </c>
      <c r="C9614" s="22" t="n">
        <f aca="false">Q!$D$41</f>
        <v>10.721</v>
      </c>
      <c r="D9614" s="22" t="n">
        <f aca="false">Q!$E$41</f>
        <v>10.827</v>
      </c>
      <c r="E9614" s="22" t="n">
        <f aca="false">(Q!$L$41+Q!$M$41)/2</f>
        <v>10.8885</v>
      </c>
      <c r="F9614" s="22" t="n">
        <f aca="false">Sens!$G$9614</f>
        <v>10.924806</v>
      </c>
      <c r="G9614" s="22" t="n">
        <f aca="false">Q!$M$41*(1+sh_g*0.25)</f>
        <v>10.924806</v>
      </c>
      <c r="H9614" s="22" t="n">
        <f aca="false">Sens!$G$9614*(1+sh_g)</f>
        <v>11.012204448</v>
      </c>
      <c r="I9614" s="22" t="n">
        <f aca="false">Sens!$H$9614*(1+sh_g)</f>
        <v>11.100302083584</v>
      </c>
      <c r="J9614" s="22" t="n">
        <f aca="false">Sens!$I$9614*(1+sh_g)</f>
        <v>11.1891045002527</v>
      </c>
      <c r="K9614" s="22" t="n">
        <f aca="false">Sens!$J$9614*(1+sh_g)</f>
        <v>11.2786173362547</v>
      </c>
      <c r="L9614" s="22" t="n">
        <f aca="false">Sens!$K$9614*(1+sh_g)</f>
        <v>11.3688462749447</v>
      </c>
      <c r="M9614" s="22" t="n">
        <f aca="false">Sens!$L$9614*(1+sh_g)</f>
        <v>11.4597970451443</v>
      </c>
      <c r="P9614" s="5" t="s">
        <v>749</v>
      </c>
    </row>
    <row r="9615" customFormat="false" ht="17.15" hidden="false" customHeight="false" outlineLevel="0" collapsed="false">
      <c r="A9615" s="5" t="s">
        <v>750</v>
      </c>
      <c r="B9615" s="0" t="s">
        <v>86</v>
      </c>
      <c r="C9615" s="38" t="n">
        <f aca="false">Sens!$C$9613+Sens!$C$9589*(1-tax)</f>
        <v>59.248</v>
      </c>
      <c r="D9615" s="38" t="n">
        <f aca="false">Sens!$D$9613+Sens!$D$9589*(1-tax)</f>
        <v>77.67</v>
      </c>
      <c r="E9615" s="38" t="n">
        <f aca="false">Sens!$E$9613+Sens!$E$9589*(1-tax)</f>
        <v>92.902</v>
      </c>
      <c r="F9615" s="38" t="n">
        <f aca="false">Sens!$F$9613+Sens!$F$9589*(1-tax)</f>
        <v>49.0900874210793</v>
      </c>
      <c r="G9615" s="38" t="n">
        <f aca="false">Sens!$G$9613+Sens!$G$9589*(1-tax)</f>
        <v>141.992087421079</v>
      </c>
      <c r="H9615" s="38" t="n">
        <f aca="false">Sens!$H$9613+Sens!$H$9589*(1-tax)</f>
        <v>114.439796858437</v>
      </c>
      <c r="I9615" s="38" t="n">
        <f aca="false">Sens!$I$9613+Sens!$I$9589*(1-tax)</f>
        <v>137.715847181774</v>
      </c>
      <c r="J9615" s="38" t="n">
        <f aca="false">Sens!$J$9613+Sens!$J$9589*(1-tax)</f>
        <v>161.072814065649</v>
      </c>
      <c r="K9615" s="38" t="n">
        <f aca="false">Sens!$K$9613+Sens!$K$9589*(1-tax)</f>
        <v>178.946998535795</v>
      </c>
      <c r="L9615" s="38" t="n">
        <f aca="false">Sens!$L$9613+Sens!$L$9589*(1-tax)</f>
        <v>198.381807475702</v>
      </c>
      <c r="M9615" s="38" t="n">
        <f aca="false">Sens!$M$9613+Sens!$M$9589*(1-tax)</f>
        <v>217.122913974215</v>
      </c>
      <c r="N9615" s="38" t="n">
        <f aca="false">Sens!$N$9613+Sens!$N$9589*(1-tax)</f>
        <v>35.291</v>
      </c>
      <c r="O9615" s="38" t="n">
        <f aca="false">Sens!$O$9613+Sens!$O$9589*(1-tax)</f>
        <v>42.379</v>
      </c>
    </row>
    <row r="9616" customFormat="false" ht="17.15" hidden="false" customHeight="false" outlineLevel="0" collapsed="false">
      <c r="A9616" s="43" t="s">
        <v>751</v>
      </c>
      <c r="B9616" s="14" t="s">
        <v>27</v>
      </c>
      <c r="C9616" s="44" t="n">
        <f aca="false">Sens!$C$9615/Sens!$C$9614</f>
        <v>5.52635015390355</v>
      </c>
      <c r="D9616" s="44" t="n">
        <f aca="false">Sens!$D$9615/Sens!$D$9614</f>
        <v>7.1737323358271</v>
      </c>
      <c r="E9616" s="44" t="n">
        <f aca="false">Sens!$E$9615/Sens!$E$9614</f>
        <v>8.53212104513937</v>
      </c>
      <c r="F9616" s="14"/>
      <c r="G9616" s="44" t="n">
        <f aca="false">Sens!$G$9615/Sens!$G$9614</f>
        <v>12.9972182042481</v>
      </c>
      <c r="H9616" s="44" t="n">
        <f aca="false">Sens!$H$9615/Sens!$H$9614</f>
        <v>10.3920879237963</v>
      </c>
      <c r="I9616" s="44" t="n">
        <f aca="false">Sens!$I$9615/Sens!$I$9614</f>
        <v>12.4064954399249</v>
      </c>
      <c r="J9616" s="44" t="n">
        <f aca="false">Sens!$J$9615/Sens!$J$9614</f>
        <v>14.3955053831172</v>
      </c>
      <c r="K9616" s="44" t="n">
        <f aca="false">Sens!$K$9615/Sens!$K$9614</f>
        <v>15.8660404197398</v>
      </c>
      <c r="L9616" s="44" t="n">
        <f aca="false">Sens!$L$9615/Sens!$L$9614</f>
        <v>17.4495989019489</v>
      </c>
      <c r="M9616" s="44" t="n">
        <f aca="false">Sens!$M$9615/Sens!$M$9614</f>
        <v>18.9464885912804</v>
      </c>
      <c r="N9616" s="14"/>
      <c r="O9616" s="14"/>
    </row>
    <row r="9617" customFormat="false" ht="17.15" hidden="false" customHeight="false" outlineLevel="0" collapsed="false">
      <c r="A9617" s="0" t="s">
        <v>752</v>
      </c>
      <c r="B9617" s="0" t="s">
        <v>27</v>
      </c>
      <c r="C9617" s="30" t="n">
        <f aca="false">Sens!$C$9613/Sens!$C$9614</f>
        <v>5.52635015390355</v>
      </c>
      <c r="D9617" s="30" t="n">
        <f aca="false">Sens!$D$9613/Sens!$D$9614</f>
        <v>7.1737323358271</v>
      </c>
      <c r="E9617" s="30" t="n">
        <f aca="false">Sens!$E$9613/Sens!$E$9614</f>
        <v>8.53212104513937</v>
      </c>
      <c r="G9617" s="30" t="n">
        <f aca="false">Sens!$G$9613/Sens!$G$9614</f>
        <v>12.7119412886078</v>
      </c>
      <c r="H9617" s="30" t="n">
        <f aca="false">Sens!$H$9613/Sens!$H$9614</f>
        <v>9.25413266565353</v>
      </c>
      <c r="I9617" s="30" t="n">
        <f aca="false">Sens!$I$9613/Sens!$I$9614</f>
        <v>10.501928796986</v>
      </c>
      <c r="J9617" s="30" t="n">
        <f aca="false">Sens!$J$9613/Sens!$J$9614</f>
        <v>11.7331442492472</v>
      </c>
      <c r="K9617" s="30" t="n">
        <f aca="false">Sens!$K$9613/Sens!$K$9614</f>
        <v>12.5759441372629</v>
      </c>
      <c r="L9617" s="30" t="n">
        <f aca="false">Sens!$L$9613/Sens!$L$9614</f>
        <v>13.7747123186974</v>
      </c>
      <c r="M9617" s="30" t="n">
        <f aca="false">Sens!$M$9613/Sens!$M$9614</f>
        <v>15.1246571438431</v>
      </c>
    </row>
    <row r="9618" customFormat="false" ht="17.15" hidden="false" customHeight="false" outlineLevel="0" collapsed="false">
      <c r="A9618" s="0" t="s">
        <v>753</v>
      </c>
      <c r="B9618" s="0" t="s">
        <v>27</v>
      </c>
      <c r="C9618" s="30" t="n">
        <f aca="false">(Sens!$C$9613-Sens!$C$9610*(1-tax))/Sens!$C$9614</f>
        <v>5.33926775917445</v>
      </c>
      <c r="D9618" s="30" t="n">
        <f aca="false">(Sens!$D$9613-Sens!$D$9610*(1-tax))/Sens!$D$9614</f>
        <v>5.67691812755503</v>
      </c>
      <c r="E9618" s="30" t="n">
        <f aca="false">(Sens!$E$9613-Sens!$E$9610*(1-tax))/Sens!$E$9614</f>
        <v>3.10602057006846</v>
      </c>
      <c r="G9618" s="30" t="n">
        <f aca="false">(Sens!$G$9613-Sens!$G$9610*(1-tax))/Sens!$G$9614</f>
        <v>7.30387317071086</v>
      </c>
      <c r="H9618" s="30" t="n">
        <f aca="false">(Sens!$H$9613-Sens!$H$9610*(1-tax))/Sens!$H$9614</f>
        <v>9.25413266565353</v>
      </c>
      <c r="I9618" s="30" t="n">
        <f aca="false">(Sens!$I$9613-Sens!$I$9610*(1-tax))/Sens!$I$9614</f>
        <v>10.501928796986</v>
      </c>
      <c r="J9618" s="30" t="n">
        <f aca="false">(Sens!$J$9613-Sens!$J$9610*(1-tax))/Sens!$J$9614</f>
        <v>11.7331442492472</v>
      </c>
      <c r="K9618" s="30" t="n">
        <f aca="false">(Sens!$K$9613-Sens!$K$9610*(1-tax))/Sens!$K$9614</f>
        <v>12.5759441372629</v>
      </c>
      <c r="L9618" s="30" t="n">
        <f aca="false">(Sens!$L$9613-Sens!$L$9610*(1-tax))/Sens!$L$9614</f>
        <v>13.7747123186974</v>
      </c>
      <c r="M9618" s="30" t="n">
        <f aca="false">(Sens!$M$9613-Sens!$M$9610*(1-tax))/Sens!$M$9614</f>
        <v>15.1246571438431</v>
      </c>
      <c r="P9618" s="5" t="s">
        <v>754</v>
      </c>
    </row>
    <row r="9619" customFormat="false" ht="17.15" hidden="false" customHeight="false" outlineLevel="0" collapsed="false">
      <c r="A9619" s="0" t="s">
        <v>755</v>
      </c>
      <c r="B9619" s="0" t="s">
        <v>52</v>
      </c>
      <c r="H9619" s="13" t="n">
        <f aca="false">Sens!$H$9616/Sens!$G$9616-1</f>
        <v>-0.200437527439553</v>
      </c>
      <c r="I9619" s="13" t="n">
        <f aca="false">Sens!$I$9616/Sens!$H$9616-1</f>
        <v>0.193840499705158</v>
      </c>
      <c r="J9619" s="13" t="n">
        <f aca="false">Sens!$J$9616/Sens!$I$9616-1</f>
        <v>0.160320047899391</v>
      </c>
      <c r="K9619" s="13" t="n">
        <f aca="false">Sens!$K$9616/Sens!$J$9616-1</f>
        <v>0.102152373083559</v>
      </c>
      <c r="L9619" s="13" t="n">
        <f aca="false">Sens!$L$9616/Sens!$K$9616-1</f>
        <v>0.0998080453796744</v>
      </c>
      <c r="M9619" s="13" t="n">
        <f aca="false">Sens!$M$9616/Sens!$L$9616-1</f>
        <v>0.0857836158723522</v>
      </c>
    </row>
    <row r="9622" customFormat="false" ht="19.4" hidden="false" customHeight="false" outlineLevel="0" collapsed="false">
      <c r="A9622" s="31" t="s">
        <v>1325</v>
      </c>
    </row>
    <row r="9623" customFormat="false" ht="17.15" hidden="false" customHeight="false" outlineLevel="0" collapsed="false">
      <c r="A9623" s="6" t="s">
        <v>16</v>
      </c>
      <c r="B9623" s="6" t="s">
        <v>17</v>
      </c>
      <c r="C9623" s="20" t="s">
        <v>494</v>
      </c>
      <c r="D9623" s="20" t="s">
        <v>495</v>
      </c>
      <c r="E9623" s="20" t="s">
        <v>577</v>
      </c>
      <c r="F9623" s="20" t="s">
        <v>578</v>
      </c>
      <c r="G9623" s="20" t="s">
        <v>579</v>
      </c>
      <c r="H9623" s="20" t="s">
        <v>580</v>
      </c>
      <c r="I9623" s="20" t="s">
        <v>581</v>
      </c>
      <c r="J9623" s="20" t="s">
        <v>582</v>
      </c>
      <c r="K9623" s="20" t="s">
        <v>583</v>
      </c>
      <c r="L9623" s="20" t="s">
        <v>584</v>
      </c>
      <c r="M9623" s="20" t="s">
        <v>585</v>
      </c>
      <c r="N9623" s="20" t="s">
        <v>586</v>
      </c>
      <c r="O9623" s="20" t="s">
        <v>587</v>
      </c>
      <c r="P9623" s="6" t="s">
        <v>23</v>
      </c>
      <c r="R9623" s="20" t="n">
        <v>2023</v>
      </c>
      <c r="S9623" s="20" t="n">
        <v>2024</v>
      </c>
      <c r="T9623" s="20" t="n">
        <v>2025</v>
      </c>
      <c r="U9623" s="20" t="n">
        <v>2026</v>
      </c>
      <c r="V9623" s="20" t="n">
        <v>2027</v>
      </c>
      <c r="W9623" s="20" t="n">
        <v>2028</v>
      </c>
      <c r="X9623" s="20" t="n">
        <v>2029</v>
      </c>
      <c r="Y9623" s="20" t="n">
        <v>2030</v>
      </c>
      <c r="Z9623" s="20" t="n">
        <v>2031</v>
      </c>
      <c r="AA9623" s="20" t="n">
        <v>2032</v>
      </c>
    </row>
    <row r="9624" customFormat="false" ht="15" hidden="false" customHeight="false" outlineLevel="0" collapsed="false">
      <c r="A9624" s="5" t="s">
        <v>546</v>
      </c>
      <c r="B9624" s="0" t="s">
        <v>86</v>
      </c>
      <c r="C9624" s="38" t="n">
        <f aca="false">Sens!$C$9613</f>
        <v>59.248</v>
      </c>
      <c r="D9624" s="38" t="n">
        <f aca="false">Sens!$D$9613</f>
        <v>77.67</v>
      </c>
      <c r="E9624" s="38" t="n">
        <f aca="false">Sens!$E$9613</f>
        <v>92.902</v>
      </c>
      <c r="F9624" s="38" t="n">
        <f aca="false">Sens!$F$9613</f>
        <v>45.9734924614306</v>
      </c>
      <c r="G9624" s="38" t="n">
        <f aca="false">Sens!$G$9613</f>
        <v>138.875492461431</v>
      </c>
      <c r="H9624" s="38" t="n">
        <f aca="false">Sens!$H$9613</f>
        <v>101.908400903092</v>
      </c>
      <c r="I9624" s="38" t="n">
        <f aca="false">Sens!$I$9613</f>
        <v>116.574582106835</v>
      </c>
      <c r="J9624" s="38" t="n">
        <f aca="false">Sens!$J$9613</f>
        <v>131.283377121365</v>
      </c>
      <c r="K9624" s="38" t="n">
        <f aca="false">Sens!$K$9613</f>
        <v>141.839261566304</v>
      </c>
      <c r="L9624" s="38" t="n">
        <f aca="false">Sens!$L$9613</f>
        <v>156.602586832858</v>
      </c>
      <c r="M9624" s="38" t="n">
        <f aca="false">Sens!$M$9613</f>
        <v>173.325501245834</v>
      </c>
    </row>
    <row r="9625" customFormat="false" ht="17.15" hidden="false" customHeight="false" outlineLevel="0" collapsed="false">
      <c r="A9625" s="5" t="s">
        <v>778</v>
      </c>
      <c r="B9625" s="0" t="s">
        <v>86</v>
      </c>
      <c r="C9625" s="38" t="n">
        <f aca="false">Sens!$C$9601</f>
        <v>32.067</v>
      </c>
      <c r="D9625" s="38" t="n">
        <f aca="false">Sens!$D$9601</f>
        <v>41.86</v>
      </c>
      <c r="E9625" s="38" t="n">
        <f aca="false">Sens!$E$9601</f>
        <v>26.703</v>
      </c>
      <c r="F9625" s="38" t="n">
        <f aca="false">Sens!$F$9601</f>
        <v>29.2913179650864</v>
      </c>
      <c r="G9625" s="38" t="n">
        <f aca="false">Sens!$G$9601</f>
        <v>55.9943179650864</v>
      </c>
      <c r="H9625" s="38" t="n">
        <f aca="false">Sens!$H$9601</f>
        <v>84.3163410985152</v>
      </c>
      <c r="I9625" s="38" t="n">
        <f aca="false">Sens!$I$9601</f>
        <v>117.040344991004</v>
      </c>
      <c r="J9625" s="38" t="n">
        <f aca="false">Sens!$J$9601</f>
        <v>150.498981474685</v>
      </c>
      <c r="K9625" s="38" t="n">
        <f aca="false">Sens!$K$9601</f>
        <v>184.188121970284</v>
      </c>
      <c r="L9625" s="38" t="n">
        <f aca="false">Sens!$L$9601</f>
        <v>207.378648477454</v>
      </c>
      <c r="M9625" s="38" t="n">
        <f aca="false">Sens!$M$9601</f>
        <v>222.833725897691</v>
      </c>
    </row>
    <row r="9626" customFormat="false" ht="15" hidden="false" customHeight="false" outlineLevel="0" collapsed="false">
      <c r="A9626" s="5" t="s">
        <v>779</v>
      </c>
      <c r="B9626" s="0" t="s">
        <v>86</v>
      </c>
      <c r="C9626" s="38" t="n">
        <f aca="false">Q!$D$48</f>
        <v>22.011</v>
      </c>
      <c r="D9626" s="38" t="n">
        <f aca="false">Q!$E$48</f>
        <v>19.467</v>
      </c>
      <c r="E9626" s="38" t="n">
        <f aca="false">Q!$P$48</f>
        <v>10.07</v>
      </c>
      <c r="F9626" s="38" t="n">
        <f aca="false">sbc_r*Sens!$F$9543</f>
        <v>10.8507035798037</v>
      </c>
      <c r="G9626" s="38" t="n">
        <f aca="false">Sens!$E$9626+Sens!$F$9626</f>
        <v>20.9207035798037</v>
      </c>
      <c r="H9626" s="38" t="n">
        <f aca="false">sbc_r*Sens!$H$9543</f>
        <v>23.46224366345</v>
      </c>
      <c r="I9626" s="38" t="n">
        <f aca="false">sbc_r*Sens!$I$9543</f>
        <v>26.6125957111676</v>
      </c>
      <c r="J9626" s="38" t="n">
        <f aca="false">sbc_r*Sens!$J$9543</f>
        <v>29.6280801413323</v>
      </c>
      <c r="K9626" s="38" t="n">
        <f aca="false">sbc_r*Sens!$K$9543</f>
        <v>32.26410459716</v>
      </c>
      <c r="L9626" s="38" t="n">
        <f aca="false">sbc_r*Sens!$L$9543</f>
        <v>34.7107348734595</v>
      </c>
      <c r="M9626" s="38" t="n">
        <f aca="false">sbc_r*Sens!$M$9543</f>
        <v>36.9769023298878</v>
      </c>
    </row>
    <row r="9627" customFormat="false" ht="17.15" hidden="false" customHeight="false" outlineLevel="0" collapsed="false">
      <c r="A9627" s="5" t="s">
        <v>780</v>
      </c>
      <c r="B9627" s="0" t="s">
        <v>86</v>
      </c>
      <c r="C9627" s="38" t="n">
        <f aca="false">Q!$D$44-Sens!$C$9624-Sens!$C$9625-Sens!$C$9626</f>
        <v>2.551</v>
      </c>
      <c r="D9627" s="38" t="n">
        <f aca="false">Q!$E$44-Sens!$D$9624-Sens!$D$9625-Sens!$D$9626</f>
        <v>0.51700000000001</v>
      </c>
      <c r="E9627" s="38" t="n">
        <f aca="false">Q!$P$44-Sens!$E$9624-Sens!$E$9625-Sens!$E$9626</f>
        <v>-58.256</v>
      </c>
      <c r="F9627" s="38" t="n">
        <f aca="false">oth_r*Sens!$F$9543</f>
        <v>5.22265251035878</v>
      </c>
      <c r="G9627" s="38" t="n">
        <f aca="false">Sens!$E$9627+Sens!$F$9627</f>
        <v>-53.0333474896412</v>
      </c>
      <c r="H9627" s="38" t="n">
        <f aca="false">oth_r*Sens!$H$9543</f>
        <v>11.2928295263397</v>
      </c>
      <c r="I9627" s="38" t="n">
        <f aca="false">oth_r*Sens!$I$9543</f>
        <v>12.8091546115766</v>
      </c>
      <c r="J9627" s="38" t="n">
        <f aca="false">oth_r*Sens!$J$9543</f>
        <v>14.2605653162668</v>
      </c>
      <c r="K9627" s="38" t="n">
        <f aca="false">oth_r*Sens!$K$9543</f>
        <v>15.5293346306567</v>
      </c>
      <c r="L9627" s="38" t="n">
        <f aca="false">oth_r*Sens!$L$9543</f>
        <v>16.7069448805781</v>
      </c>
      <c r="M9627" s="38" t="n">
        <f aca="false">oth_r*Sens!$M$9543</f>
        <v>17.7976949013636</v>
      </c>
      <c r="P9627" s="8" t="s">
        <v>781</v>
      </c>
    </row>
    <row r="9628" customFormat="false" ht="15" hidden="false" customHeight="false" outlineLevel="0" collapsed="false">
      <c r="A9628" s="3" t="s">
        <v>552</v>
      </c>
      <c r="B9628" s="8" t="s">
        <v>86</v>
      </c>
      <c r="C9628" s="38" t="n">
        <f aca="false">Q!$D$44</f>
        <v>115.877</v>
      </c>
      <c r="D9628" s="38" t="n">
        <f aca="false">Q!$E$44</f>
        <v>139.514</v>
      </c>
      <c r="E9628" s="38" t="n">
        <f aca="false">Q!$P$44</f>
        <v>71.419</v>
      </c>
      <c r="F9628" s="38" t="n">
        <f aca="false">Sens!$F$9624+Sens!$F$9625+Sens!$F$9626+Sens!$F$9627</f>
        <v>91.3381665166794</v>
      </c>
      <c r="G9628" s="38" t="n">
        <f aca="false">Sens!$E$9628+Sens!$F$9628</f>
        <v>162.757166516679</v>
      </c>
      <c r="H9628" s="38" t="n">
        <f aca="false">Sens!$H$9624+Sens!$H$9625+Sens!$H$9626+Sens!$H$9627</f>
        <v>220.979815191397</v>
      </c>
      <c r="I9628" s="38" t="n">
        <f aca="false">Sens!$I$9624+Sens!$I$9625+Sens!$I$9626+Sens!$I$9627</f>
        <v>273.036677420583</v>
      </c>
      <c r="J9628" s="38" t="n">
        <f aca="false">Sens!$J$9624+Sens!$J$9625+Sens!$J$9626+Sens!$J$9627</f>
        <v>325.671004053649</v>
      </c>
      <c r="K9628" s="38" t="n">
        <f aca="false">Sens!$K$9624+Sens!$K$9625+Sens!$K$9626+Sens!$K$9627</f>
        <v>373.820822764405</v>
      </c>
      <c r="L9628" s="38" t="n">
        <f aca="false">Sens!$L$9624+Sens!$L$9625+Sens!$L$9626+Sens!$L$9627</f>
        <v>415.39891506435</v>
      </c>
      <c r="M9628" s="38" t="n">
        <f aca="false">Sens!$M$9624+Sens!$M$9625+Sens!$M$9626+Sens!$M$9627</f>
        <v>450.933824374776</v>
      </c>
    </row>
    <row r="9629" customFormat="false" ht="17.15" hidden="false" customHeight="false" outlineLevel="0" collapsed="false">
      <c r="A9629" s="5" t="s">
        <v>782</v>
      </c>
      <c r="B9629" s="0" t="s">
        <v>86</v>
      </c>
      <c r="C9629" s="38" t="n">
        <f aca="false">Sens!$C$9512</f>
        <v>25.2781053077374</v>
      </c>
      <c r="D9629" s="38" t="n">
        <f aca="false">Sens!$D$9512</f>
        <v>69.5686316310026</v>
      </c>
      <c r="E9629" s="38" t="n">
        <f aca="false">Sens!$E$9512</f>
        <v>64.1899206485108</v>
      </c>
      <c r="F9629" s="38" t="n">
        <f aca="false">Sens!$F$9512</f>
        <v>96.2481299895</v>
      </c>
      <c r="G9629" s="38" t="n">
        <f aca="false">Sens!$G$9512</f>
        <v>160.438050638011</v>
      </c>
      <c r="H9629" s="38" t="n">
        <f aca="false">Sens!$H$9512</f>
        <v>198.57136494475</v>
      </c>
      <c r="I9629" s="38" t="n">
        <f aca="false">Sens!$I$9512</f>
        <v>204.6464699105</v>
      </c>
      <c r="J9629" s="38" t="n">
        <f aca="false">Sens!$J$9512</f>
        <v>209.8832381105</v>
      </c>
      <c r="K9629" s="38" t="n">
        <f aca="false">Sens!$K$9512</f>
        <v>152.460428963578</v>
      </c>
      <c r="L9629" s="38" t="n">
        <f aca="false">Sens!$L$9512</f>
        <v>126.458229016657</v>
      </c>
      <c r="M9629" s="38" t="n">
        <f aca="false">Sens!$M$9512</f>
        <v>123.897112724985</v>
      </c>
    </row>
    <row r="9630" customFormat="false" ht="17.15" hidden="false" customHeight="false" outlineLevel="0" collapsed="false">
      <c r="A9630" s="5" t="s">
        <v>783</v>
      </c>
      <c r="B9630" s="0" t="s">
        <v>86</v>
      </c>
      <c r="C9630" s="38" t="n">
        <f aca="false">cx_awso*Sens!$C$9541</f>
        <v>21.0469989286053</v>
      </c>
      <c r="D9630" s="38" t="n">
        <f aca="false">cx_awso*Sens!$D$9541</f>
        <v>24.0042459822698</v>
      </c>
      <c r="E9630" s="38" t="n">
        <f aca="false">cx_awso*Sens!$E$9541</f>
        <v>14.261729404886</v>
      </c>
      <c r="F9630" s="38" t="n">
        <f aca="false">cx_awso*Sens!$F$9541</f>
        <v>14.3538599588493</v>
      </c>
      <c r="G9630" s="38" t="n">
        <f aca="false">Sens!$E$9630+Sens!$F$9630</f>
        <v>28.6155893637353</v>
      </c>
      <c r="H9630" s="38" t="n">
        <f aca="false">cx_awso*Sens!$H$9541</f>
        <v>32.2034154158406</v>
      </c>
      <c r="I9630" s="38" t="n">
        <f aca="false">cx_awso*Sens!$I$9541</f>
        <v>35.7539519042915</v>
      </c>
      <c r="J9630" s="38" t="n">
        <f aca="false">cx_awso*Sens!$J$9541</f>
        <v>39.1551076091815</v>
      </c>
      <c r="K9630" s="38" t="n">
        <f aca="false">cx_awso*Sens!$K$9541</f>
        <v>42.287516217916</v>
      </c>
      <c r="L9630" s="38" t="n">
        <f aca="false">cx_awso*Sens!$L$9541</f>
        <v>45.6705175153492</v>
      </c>
      <c r="M9630" s="38" t="n">
        <f aca="false">cx_awso*Sens!$M$9541</f>
        <v>49.3241589165772</v>
      </c>
    </row>
    <row r="9631" customFormat="false" ht="17.15" hidden="false" customHeight="false" outlineLevel="0" collapsed="false">
      <c r="A9631" s="5" t="s">
        <v>784</v>
      </c>
      <c r="B9631" s="0" t="s">
        <v>86</v>
      </c>
      <c r="C9631" s="38" t="n">
        <f aca="false">Q!$D$46-Sens!$C$9629-Sens!$C$9630</f>
        <v>31.3328957636573</v>
      </c>
      <c r="D9631" s="38" t="n">
        <f aca="false">Q!$E$46-Sens!$D$9629-Sens!$D$9630</f>
        <v>34.7471223867276</v>
      </c>
      <c r="E9631" s="38" t="n">
        <f aca="false">Q!$P$46-Sens!$E$9629-Sens!$E$9630</f>
        <v>17.8583499466032</v>
      </c>
      <c r="F9631" s="38" t="n">
        <f aca="false">cx_rt*Sens!$F$9475</f>
        <v>20.6195895799373</v>
      </c>
      <c r="G9631" s="38" t="n">
        <f aca="false">Sens!$E$9631+Sens!$F$9631</f>
        <v>38.4779395265405</v>
      </c>
      <c r="H9631" s="38" t="n">
        <f aca="false">cx_rt*Sens!$H$9475</f>
        <v>42.5978994743075</v>
      </c>
      <c r="I9631" s="38" t="n">
        <f aca="false">cx_rt*Sens!$I$9475</f>
        <v>46.5813904136335</v>
      </c>
      <c r="J9631" s="38" t="n">
        <f aca="false">cx_rt*Sens!$J$9475</f>
        <v>50.2781676586844</v>
      </c>
      <c r="K9631" s="38" t="n">
        <f aca="false">cx_rt*Sens!$K$9475</f>
        <v>53.5312440191755</v>
      </c>
      <c r="L9631" s="38" t="n">
        <f aca="false">cx_rt*Sens!$L$9475</f>
        <v>57.0116717051447</v>
      </c>
      <c r="M9631" s="38" t="n">
        <f aca="false">cx_rt*Sens!$M$9475</f>
        <v>60.7365554669226</v>
      </c>
    </row>
    <row r="9632" customFormat="false" ht="15" hidden="false" customHeight="false" outlineLevel="0" collapsed="false">
      <c r="A9632" s="3" t="s">
        <v>785</v>
      </c>
      <c r="B9632" s="8" t="s">
        <v>86</v>
      </c>
      <c r="C9632" s="38" t="n">
        <f aca="false">Q!$D$46</f>
        <v>77.658</v>
      </c>
      <c r="D9632" s="38" t="n">
        <f aca="false">Q!$E$46</f>
        <v>128.32</v>
      </c>
      <c r="E9632" s="38" t="n">
        <f aca="false">Q!$P$46</f>
        <v>96.31</v>
      </c>
      <c r="F9632" s="38" t="n">
        <f aca="false">Sens!$F$9629+Sens!$F$9630+Sens!$F$9631</f>
        <v>131.221579528287</v>
      </c>
      <c r="G9632" s="38" t="n">
        <f aca="false">Sens!$E$9632+Sens!$F$9632</f>
        <v>227.531579528287</v>
      </c>
      <c r="H9632" s="38" t="n">
        <f aca="false">Sens!$H$9629+Sens!$H$9630+Sens!$H$9631</f>
        <v>273.372679834898</v>
      </c>
      <c r="I9632" s="38" t="n">
        <f aca="false">Sens!$I$9629+Sens!$I$9630+Sens!$I$9631</f>
        <v>286.981812228425</v>
      </c>
      <c r="J9632" s="38" t="n">
        <f aca="false">Sens!$J$9629+Sens!$J$9630+Sens!$J$9631</f>
        <v>299.316513378366</v>
      </c>
      <c r="K9632" s="38" t="n">
        <f aca="false">Sens!$K$9629+Sens!$K$9630+Sens!$K$9631</f>
        <v>248.27918920067</v>
      </c>
      <c r="L9632" s="38" t="n">
        <f aca="false">Sens!$L$9629+Sens!$L$9630+Sens!$L$9631</f>
        <v>229.140418237151</v>
      </c>
      <c r="M9632" s="38" t="n">
        <f aca="false">Sens!$M$9629+Sens!$M$9630+Sens!$M$9631</f>
        <v>233.957827108485</v>
      </c>
    </row>
    <row r="9633" customFormat="false" ht="17.15" hidden="false" customHeight="false" outlineLevel="0" collapsed="false">
      <c r="A9633" s="5" t="s">
        <v>560</v>
      </c>
      <c r="B9633" s="0" t="s">
        <v>86</v>
      </c>
      <c r="C9633" s="38" t="n">
        <f aca="false">Q!$D$50</f>
        <v>2.043</v>
      </c>
      <c r="D9633" s="38" t="n">
        <f aca="false">Q!$E$50</f>
        <v>1.557</v>
      </c>
      <c r="E9633" s="38" t="n">
        <f aca="false">lease_pr/2</f>
        <v>0.8</v>
      </c>
      <c r="F9633" s="38" t="n">
        <f aca="false">lease_pr/2</f>
        <v>0.8</v>
      </c>
      <c r="G9633" s="38" t="n">
        <f aca="false">Sens!$E$9633+Sens!$F$9633</f>
        <v>1.6</v>
      </c>
      <c r="H9633" s="38" t="n">
        <f aca="false">lease_pr</f>
        <v>1.6</v>
      </c>
      <c r="I9633" s="38" t="n">
        <f aca="false">lease_pr</f>
        <v>1.6</v>
      </c>
      <c r="J9633" s="38" t="n">
        <f aca="false">lease_pr</f>
        <v>1.6</v>
      </c>
      <c r="K9633" s="38" t="n">
        <f aca="false">lease_pr</f>
        <v>1.6</v>
      </c>
      <c r="L9633" s="38" t="n">
        <f aca="false">lease_pr</f>
        <v>1.6</v>
      </c>
      <c r="M9633" s="38" t="n">
        <f aca="false">lease_pr</f>
        <v>1.6</v>
      </c>
      <c r="P9633" s="8" t="s">
        <v>786</v>
      </c>
    </row>
    <row r="9634" customFormat="false" ht="15" hidden="false" customHeight="false" outlineLevel="0" collapsed="false">
      <c r="A9634" s="47" t="s">
        <v>787</v>
      </c>
      <c r="B9634" s="14" t="s">
        <v>86</v>
      </c>
      <c r="C9634" s="48" t="n">
        <f aca="false">Sens!$C$9628-Sens!$C$9632-Sens!$C$9633</f>
        <v>36.176</v>
      </c>
      <c r="D9634" s="48" t="n">
        <f aca="false">Sens!$D$9628-Sens!$D$9632-Sens!$D$9633</f>
        <v>9.63700000000002</v>
      </c>
      <c r="E9634" s="48" t="n">
        <f aca="false">Sens!$E$9628-Sens!$E$9632-Sens!$E$9633</f>
        <v>-25.691</v>
      </c>
      <c r="F9634" s="48" t="n">
        <f aca="false">Sens!$F$9628-Sens!$F$9632-Sens!$F$9633</f>
        <v>-40.6834130116072</v>
      </c>
      <c r="G9634" s="48" t="n">
        <f aca="false">Sens!$G$9628-Sens!$G$9632-Sens!$G$9633</f>
        <v>-66.3744130116072</v>
      </c>
      <c r="H9634" s="48" t="n">
        <f aca="false">Sens!$H$9628-Sens!$H$9632-Sens!$H$9633</f>
        <v>-53.9928646435014</v>
      </c>
      <c r="I9634" s="48" t="n">
        <f aca="false">Sens!$I$9628-Sens!$I$9632-Sens!$I$9633</f>
        <v>-15.5451348078424</v>
      </c>
      <c r="J9634" s="48" t="n">
        <f aca="false">Sens!$J$9628-Sens!$J$9632-Sens!$J$9633</f>
        <v>24.754490675283</v>
      </c>
      <c r="K9634" s="48" t="n">
        <f aca="false">Sens!$K$9628-Sens!$K$9632-Sens!$K$9633</f>
        <v>123.941633563735</v>
      </c>
      <c r="L9634" s="48" t="n">
        <f aca="false">Sens!$L$9628-Sens!$L$9632-Sens!$L$9633</f>
        <v>184.658496827199</v>
      </c>
      <c r="M9634" s="48" t="n">
        <f aca="false">Sens!$M$9628-Sens!$M$9632-Sens!$M$9633</f>
        <v>215.375997266291</v>
      </c>
      <c r="N9634" s="14"/>
      <c r="O9634" s="14"/>
    </row>
    <row r="9635" customFormat="false" ht="17.15" hidden="false" customHeight="false" outlineLevel="0" collapsed="false">
      <c r="A9635" s="5" t="s">
        <v>788</v>
      </c>
      <c r="B9635" s="0" t="s">
        <v>86</v>
      </c>
      <c r="C9635" s="38" t="n">
        <f aca="false">dps*Sens!$C$9614</f>
        <v>0</v>
      </c>
      <c r="D9635" s="38" t="n">
        <f aca="false">dps*Sens!$D$9614</f>
        <v>0</v>
      </c>
      <c r="E9635" s="38" t="n">
        <f aca="false">dps*Sens!$E$9614</f>
        <v>0</v>
      </c>
      <c r="F9635" s="38" t="n">
        <f aca="false">0</f>
        <v>0</v>
      </c>
      <c r="G9635" s="38" t="n">
        <f aca="false">dps*Sens!$G$9614</f>
        <v>0</v>
      </c>
      <c r="H9635" s="38" t="n">
        <f aca="false">dps*Sens!$H$9614</f>
        <v>0</v>
      </c>
      <c r="I9635" s="38" t="n">
        <f aca="false">dps*Sens!$I$9614</f>
        <v>0</v>
      </c>
      <c r="J9635" s="38" t="n">
        <f aca="false">dps*Sens!$J$9614</f>
        <v>0</v>
      </c>
      <c r="K9635" s="38" t="n">
        <f aca="false">dps*Sens!$K$9614</f>
        <v>0</v>
      </c>
      <c r="L9635" s="38" t="n">
        <f aca="false">dps*Sens!$L$9614</f>
        <v>0</v>
      </c>
      <c r="M9635" s="38" t="n">
        <f aca="false">dps*Sens!$M$9614</f>
        <v>0</v>
      </c>
      <c r="P9635" s="8" t="s">
        <v>789</v>
      </c>
    </row>
    <row r="9636" customFormat="false" ht="17.15" hidden="false" customHeight="false" outlineLevel="0" collapsed="false">
      <c r="A9636" s="5" t="s">
        <v>790</v>
      </c>
      <c r="B9636" s="0" t="s">
        <v>86</v>
      </c>
      <c r="C9636" s="38" t="n">
        <f aca="false">0</f>
        <v>0</v>
      </c>
      <c r="D9636" s="38" t="n">
        <f aca="false">0</f>
        <v>0</v>
      </c>
      <c r="E9636" s="38" t="n">
        <f aca="false">0</f>
        <v>0</v>
      </c>
      <c r="F9636" s="38" t="n">
        <f aca="false">0</f>
        <v>0</v>
      </c>
      <c r="G9636" s="38" t="n">
        <f aca="false">0</f>
        <v>0</v>
      </c>
      <c r="H9636" s="38" t="n">
        <f aca="false">0</f>
        <v>0</v>
      </c>
      <c r="I9636" s="38" t="n">
        <f aca="false">0</f>
        <v>0</v>
      </c>
      <c r="J9636" s="38" t="n">
        <f aca="false">0</f>
        <v>0</v>
      </c>
      <c r="K9636" s="38" t="n">
        <f aca="false">0</f>
        <v>0</v>
      </c>
      <c r="L9636" s="38" t="n">
        <f aca="false">0</f>
        <v>0</v>
      </c>
      <c r="M9636" s="38" t="n">
        <f aca="false">0</f>
        <v>0</v>
      </c>
      <c r="P9636" s="8" t="s">
        <v>791</v>
      </c>
    </row>
    <row r="9637" customFormat="false" ht="15" hidden="false" customHeight="false" outlineLevel="0" collapsed="false">
      <c r="A9637" s="3" t="s">
        <v>792</v>
      </c>
      <c r="B9637" s="8" t="s">
        <v>86</v>
      </c>
      <c r="C9637" s="38" t="n">
        <f aca="false">Sens!$C$9634-Sens!$C$9635</f>
        <v>36.176</v>
      </c>
      <c r="D9637" s="38" t="n">
        <f aca="false">Sens!$D$9634-Sens!$D$9635</f>
        <v>9.63700000000002</v>
      </c>
      <c r="E9637" s="38" t="n">
        <f aca="false">Sens!$E$9634-Sens!$E$9635</f>
        <v>-25.691</v>
      </c>
      <c r="F9637" s="38" t="n">
        <f aca="false">Sens!$F$9634-Sens!$F$9635</f>
        <v>-40.6834130116072</v>
      </c>
      <c r="G9637" s="38" t="n">
        <f aca="false">Sens!$G$9634-Sens!$G$9635</f>
        <v>-66.3744130116072</v>
      </c>
      <c r="H9637" s="38" t="n">
        <f aca="false">Sens!$H$9634-Sens!$H$9635</f>
        <v>-53.9928646435014</v>
      </c>
      <c r="I9637" s="38" t="n">
        <f aca="false">Sens!$I$9634-Sens!$I$9635</f>
        <v>-15.5451348078424</v>
      </c>
      <c r="J9637" s="38" t="n">
        <f aca="false">Sens!$J$9634-Sens!$J$9635</f>
        <v>24.754490675283</v>
      </c>
      <c r="K9637" s="38" t="n">
        <f aca="false">Sens!$K$9634-Sens!$K$9635</f>
        <v>123.941633563735</v>
      </c>
      <c r="L9637" s="38" t="n">
        <f aca="false">Sens!$L$9634-Sens!$L$9635</f>
        <v>184.658496827199</v>
      </c>
      <c r="M9637" s="38" t="n">
        <f aca="false">Sens!$M$9634-Sens!$M$9635</f>
        <v>215.375997266291</v>
      </c>
    </row>
    <row r="9638" customFormat="false" ht="17.15" hidden="false" customHeight="false" outlineLevel="0" collapsed="false">
      <c r="A9638" s="5" t="s">
        <v>793</v>
      </c>
      <c r="B9638" s="0" t="s">
        <v>86</v>
      </c>
      <c r="E9638" s="38" t="n">
        <f aca="false">Q!$P$53</f>
        <v>39.767</v>
      </c>
      <c r="F9638" s="38" t="n">
        <f aca="false">inv_2h26</f>
        <v>21.3</v>
      </c>
      <c r="G9638" s="38" t="n">
        <f aca="false">Sens!$E$9638+Sens!$F$9638</f>
        <v>61.067</v>
      </c>
      <c r="H9638" s="39" t="n">
        <v>0</v>
      </c>
      <c r="I9638" s="39" t="n">
        <v>0</v>
      </c>
      <c r="J9638" s="39" t="n">
        <v>0</v>
      </c>
      <c r="K9638" s="39" t="n">
        <v>0</v>
      </c>
      <c r="L9638" s="39" t="n">
        <v>0</v>
      </c>
      <c r="M9638" s="39" t="n">
        <v>0</v>
      </c>
    </row>
    <row r="9639" customFormat="false" ht="17.15" hidden="false" customHeight="false" outlineLevel="0" collapsed="false">
      <c r="A9639" s="5" t="s">
        <v>794</v>
      </c>
      <c r="B9639" s="0" t="s">
        <v>86</v>
      </c>
      <c r="F9639" s="38" t="n">
        <f aca="false">iss_2h26</f>
        <v>29.249999</v>
      </c>
      <c r="G9639" s="38" t="n">
        <f aca="false">Sens!$F$9639</f>
        <v>29.249999</v>
      </c>
      <c r="H9639" s="39" t="n">
        <v>0</v>
      </c>
      <c r="I9639" s="39" t="n">
        <v>0</v>
      </c>
      <c r="J9639" s="39" t="n">
        <v>0</v>
      </c>
      <c r="K9639" s="39" t="n">
        <v>0</v>
      </c>
      <c r="L9639" s="39" t="n">
        <v>0</v>
      </c>
      <c r="M9639" s="39" t="n">
        <v>0</v>
      </c>
    </row>
    <row r="9640" customFormat="false" ht="17.15" hidden="false" customHeight="false" outlineLevel="0" collapsed="false">
      <c r="A9640" s="5" t="s">
        <v>795</v>
      </c>
      <c r="B9640" s="0" t="s">
        <v>86</v>
      </c>
      <c r="F9640" s="38" t="n">
        <f aca="false">cash_q2</f>
        <v>122.988</v>
      </c>
      <c r="G9640" s="38" t="n">
        <f aca="false">cash_q2</f>
        <v>122.988</v>
      </c>
      <c r="H9640" s="38" t="n">
        <f aca="false">Sens!$G$9643</f>
        <v>90.2545859883928</v>
      </c>
      <c r="I9640" s="38" t="n">
        <f aca="false">Sens!$H$9643</f>
        <v>50</v>
      </c>
      <c r="J9640" s="38" t="n">
        <f aca="false">Sens!$I$9643</f>
        <v>50</v>
      </c>
      <c r="K9640" s="38" t="n">
        <f aca="false">Sens!$J$9643</f>
        <v>74.7544906752831</v>
      </c>
      <c r="L9640" s="38" t="n">
        <f aca="false">Sens!$K$9643</f>
        <v>198.696124239018</v>
      </c>
      <c r="M9640" s="38" t="n">
        <f aca="false">Sens!$L$9643</f>
        <v>383.354621066217</v>
      </c>
    </row>
    <row r="9641" customFormat="false" ht="15" hidden="false" customHeight="false" outlineLevel="0" collapsed="false">
      <c r="A9641" s="5" t="s">
        <v>796</v>
      </c>
      <c r="B9641" s="0" t="s">
        <v>86</v>
      </c>
      <c r="F9641" s="38" t="n">
        <f aca="false">Sens!$F$9640+Sens!$F$9637-Sens!$F$9636-Sens!$F$9638+Sens!$F$9639</f>
        <v>90.2545859883928</v>
      </c>
      <c r="H9641" s="38" t="n">
        <f aca="false">Sens!$H$9640+Sens!$H$9637-Sens!$H$9636-Sens!$H$9638+Sens!$H$9639</f>
        <v>36.2617213448915</v>
      </c>
      <c r="I9641" s="38" t="n">
        <f aca="false">Sens!$I$9640+Sens!$I$9637-Sens!$I$9636-Sens!$I$9638+Sens!$I$9639</f>
        <v>34.4548651921577</v>
      </c>
      <c r="J9641" s="38" t="n">
        <f aca="false">Sens!$J$9640+Sens!$J$9637-Sens!$J$9636-Sens!$J$9638+Sens!$J$9639</f>
        <v>74.7544906752831</v>
      </c>
      <c r="K9641" s="38" t="n">
        <f aca="false">Sens!$K$9640+Sens!$K$9637-Sens!$K$9636-Sens!$K$9638+Sens!$K$9639</f>
        <v>198.696124239018</v>
      </c>
      <c r="L9641" s="38" t="n">
        <f aca="false">Sens!$L$9640+Sens!$L$9637-Sens!$L$9636-Sens!$L$9638+Sens!$L$9639</f>
        <v>383.354621066217</v>
      </c>
      <c r="M9641" s="38" t="n">
        <f aca="false">Sens!$M$9640+Sens!$M$9637-Sens!$M$9636-Sens!$M$9638+Sens!$M$9639</f>
        <v>598.730618332508</v>
      </c>
    </row>
    <row r="9642" customFormat="false" ht="17.15" hidden="false" customHeight="false" outlineLevel="0" collapsed="false">
      <c r="A9642" s="5" t="s">
        <v>797</v>
      </c>
      <c r="B9642" s="0" t="s">
        <v>86</v>
      </c>
      <c r="F9642" s="38" t="n">
        <f aca="false">MAX(0,min_cash-Sens!$F$9641)</f>
        <v>0</v>
      </c>
      <c r="G9642" s="38" t="n">
        <f aca="false">Sens!$F$9642</f>
        <v>0</v>
      </c>
      <c r="H9642" s="38" t="n">
        <f aca="false">MAX(0,min_cash-Sens!$H$9641)</f>
        <v>13.7382786551085</v>
      </c>
      <c r="I9642" s="38" t="n">
        <f aca="false">MAX(0,min_cash-Sens!$I$9641)</f>
        <v>15.5451348078424</v>
      </c>
      <c r="J9642" s="38" t="n">
        <f aca="false">MAX(0,min_cash-Sens!$J$9641)</f>
        <v>0</v>
      </c>
      <c r="K9642" s="38" t="n">
        <f aca="false">MAX(0,min_cash-Sens!$K$9641)</f>
        <v>0</v>
      </c>
      <c r="L9642" s="38" t="n">
        <f aca="false">MAX(0,min_cash-Sens!$L$9641)</f>
        <v>0</v>
      </c>
      <c r="M9642" s="38" t="n">
        <f aca="false">MAX(0,min_cash-Sens!$M$9641)</f>
        <v>0</v>
      </c>
      <c r="P9642" s="5" t="s">
        <v>798</v>
      </c>
    </row>
    <row r="9643" customFormat="false" ht="15" hidden="false" customHeight="false" outlineLevel="0" collapsed="false">
      <c r="A9643" s="5" t="s">
        <v>799</v>
      </c>
      <c r="B9643" s="0" t="s">
        <v>86</v>
      </c>
      <c r="D9643" s="38" t="n">
        <f aca="false">Q!$E$61</f>
        <v>123.029</v>
      </c>
      <c r="E9643" s="38" t="n">
        <f aca="false">Q!$M$61</f>
        <v>122.988</v>
      </c>
      <c r="F9643" s="38" t="n">
        <f aca="false">Sens!$F$9641+Sens!$F$9642</f>
        <v>90.2545859883928</v>
      </c>
      <c r="G9643" s="38" t="n">
        <f aca="false">Sens!$F$9643</f>
        <v>90.2545859883928</v>
      </c>
      <c r="H9643" s="38" t="n">
        <f aca="false">Sens!$H$9641+Sens!$H$9642</f>
        <v>50</v>
      </c>
      <c r="I9643" s="38" t="n">
        <f aca="false">Sens!$I$9641+Sens!$I$9642</f>
        <v>50</v>
      </c>
      <c r="J9643" s="38" t="n">
        <f aca="false">Sens!$J$9641+Sens!$J$9642</f>
        <v>74.7544906752831</v>
      </c>
      <c r="K9643" s="38" t="n">
        <f aca="false">Sens!$K$9641+Sens!$K$9642</f>
        <v>198.696124239018</v>
      </c>
      <c r="L9643" s="38" t="n">
        <f aca="false">Sens!$L$9641+Sens!$L$9642</f>
        <v>383.354621066217</v>
      </c>
      <c r="M9643" s="38" t="n">
        <f aca="false">Sens!$M$9641+Sens!$M$9642</f>
        <v>598.730618332508</v>
      </c>
    </row>
    <row r="9644" customFormat="false" ht="15" hidden="false" customHeight="false" outlineLevel="0" collapsed="false">
      <c r="A9644" s="5" t="s">
        <v>800</v>
      </c>
      <c r="B9644" s="0" t="s">
        <v>86</v>
      </c>
      <c r="D9644" s="38" t="n">
        <f aca="false">Q!$E$62</f>
        <v>68.836</v>
      </c>
      <c r="E9644" s="38" t="n">
        <f aca="false">Q!$M$62</f>
        <v>132.995</v>
      </c>
      <c r="F9644" s="38" t="n">
        <f aca="false">debt_q2+Sens!$F$9639+Sens!$F$9642</f>
        <v>162.244999</v>
      </c>
      <c r="G9644" s="38" t="n">
        <f aca="false">Sens!$F$9644</f>
        <v>162.244999</v>
      </c>
      <c r="H9644" s="38" t="n">
        <f aca="false">Sens!$G$9644+Sens!$H$9642</f>
        <v>175.983277655109</v>
      </c>
      <c r="I9644" s="38" t="n">
        <f aca="false">Sens!$H$9644+Sens!$I$9642</f>
        <v>191.528412462951</v>
      </c>
      <c r="J9644" s="38" t="n">
        <f aca="false">Sens!$I$9644+Sens!$J$9642</f>
        <v>191.528412462951</v>
      </c>
      <c r="K9644" s="38" t="n">
        <f aca="false">Sens!$J$9644+Sens!$K$9642</f>
        <v>191.528412462951</v>
      </c>
      <c r="L9644" s="38" t="n">
        <f aca="false">Sens!$K$9644+Sens!$L$9642</f>
        <v>191.528412462951</v>
      </c>
      <c r="M9644" s="38" t="n">
        <f aca="false">Sens!$L$9644+Sens!$M$9642</f>
        <v>191.528412462951</v>
      </c>
    </row>
    <row r="9645" customFormat="false" ht="15" hidden="false" customHeight="false" outlineLevel="0" collapsed="false">
      <c r="A9645" s="5" t="s">
        <v>801</v>
      </c>
      <c r="B9645" s="0" t="s">
        <v>86</v>
      </c>
      <c r="D9645" s="38" t="n">
        <f aca="false">Sens!$D$9644-Sens!$D$9643</f>
        <v>-54.193</v>
      </c>
      <c r="E9645" s="38" t="n">
        <f aca="false">Sens!$E$9644-Sens!$E$9643</f>
        <v>10.007</v>
      </c>
      <c r="F9645" s="38" t="n">
        <f aca="false">Sens!$F$9644-Sens!$F$9643</f>
        <v>71.9904130116072</v>
      </c>
      <c r="G9645" s="38" t="n">
        <f aca="false">Sens!$G$9644-Sens!$G$9643</f>
        <v>71.9904130116072</v>
      </c>
      <c r="H9645" s="38" t="n">
        <f aca="false">Sens!$H$9644-Sens!$H$9643</f>
        <v>125.983277655109</v>
      </c>
      <c r="I9645" s="38" t="n">
        <f aca="false">Sens!$I$9644-Sens!$I$9643</f>
        <v>141.528412462951</v>
      </c>
      <c r="J9645" s="38" t="n">
        <f aca="false">Sens!$J$9644-Sens!$J$9643</f>
        <v>116.773921787668</v>
      </c>
      <c r="K9645" s="38" t="n">
        <f aca="false">Sens!$K$9644-Sens!$K$9643</f>
        <v>-7.16771177606697</v>
      </c>
      <c r="L9645" s="38" t="n">
        <f aca="false">Sens!$L$9644-Sens!$L$9643</f>
        <v>-191.826208603266</v>
      </c>
      <c r="M9645" s="38" t="n">
        <f aca="false">Sens!$M$9644-Sens!$M$9643</f>
        <v>-407.202205869557</v>
      </c>
    </row>
    <row r="9646" customFormat="false" ht="17.15" hidden="false" customHeight="false" outlineLevel="0" collapsed="false">
      <c r="A9646" s="5" t="s">
        <v>802</v>
      </c>
      <c r="B9646" s="0" t="s">
        <v>86</v>
      </c>
      <c r="F9646" s="38" t="n">
        <f aca="false">debt_q2*kd_book*0.5+iss_2h26*kd_new*iss_t</f>
        <v>3.24888962733561</v>
      </c>
      <c r="H9646" s="38" t="n">
        <f aca="false">debt_q2*kd_book+(Sens!$G$9644-debt_q2)*kd_new</f>
        <v>7.42354172302123</v>
      </c>
      <c r="I9646" s="38" t="n">
        <f aca="false">debt_q2*kd_book+(Sens!$H$9644-debt_q2)*kd_new</f>
        <v>8.2931747618896</v>
      </c>
      <c r="J9646" s="38" t="n">
        <f aca="false">debt_q2*kd_book+(Sens!$I$9644-debt_q2)*kd_new</f>
        <v>9.27718179522602</v>
      </c>
      <c r="K9646" s="38" t="n">
        <f aca="false">debt_q2*kd_book+(Sens!$J$9644-debt_q2)*kd_new</f>
        <v>9.27718179522602</v>
      </c>
      <c r="L9646" s="38" t="n">
        <f aca="false">debt_q2*kd_book+(Sens!$K$9644-debt_q2)*kd_new</f>
        <v>9.27718179522602</v>
      </c>
      <c r="M9646" s="38" t="n">
        <f aca="false">debt_q2*kd_book+(Sens!$L$9644-debt_q2)*kd_new</f>
        <v>9.27718179522602</v>
      </c>
    </row>
    <row r="9647" customFormat="false" ht="17.15" hidden="false" customHeight="false" outlineLevel="0" collapsed="false">
      <c r="A9647" s="5" t="s">
        <v>803</v>
      </c>
      <c r="B9647" s="0" t="s">
        <v>86</v>
      </c>
      <c r="F9647" s="38" t="n">
        <f aca="false">cash_q2*y_cash*0.5</f>
        <v>2.59</v>
      </c>
      <c r="H9647" s="38" t="n">
        <f aca="false">Sens!$G$9643*y_cash</f>
        <v>3.80133635330174</v>
      </c>
      <c r="I9647" s="38" t="n">
        <f aca="false">Sens!$H$9643*y_cash</f>
        <v>2.10589651022864</v>
      </c>
      <c r="J9647" s="38" t="n">
        <f aca="false">Sens!$I$9643*y_cash</f>
        <v>2.10589651022864</v>
      </c>
      <c r="K9647" s="38" t="n">
        <f aca="false">Sens!$J$9643*y_cash</f>
        <v>3.14850442073996</v>
      </c>
      <c r="L9647" s="38" t="n">
        <f aca="false">Sens!$K$9643*y_cash</f>
        <v>8.36866949261808</v>
      </c>
      <c r="M9647" s="38" t="n">
        <f aca="false">Sens!$L$9643*y_cash</f>
        <v>16.1461031736674</v>
      </c>
    </row>
    <row r="9648" customFormat="false" ht="17.15" hidden="false" customHeight="false" outlineLevel="0" collapsed="false">
      <c r="A9648" s="47" t="s">
        <v>804</v>
      </c>
      <c r="B9648" s="14" t="s">
        <v>86</v>
      </c>
      <c r="C9648" s="14"/>
      <c r="D9648" s="14"/>
      <c r="E9648" s="14"/>
      <c r="F9648" s="14"/>
      <c r="G9648" s="48" t="n">
        <f aca="false">SUM(Sens!$G$9637:$K$9637)</f>
        <v>12.783711776067</v>
      </c>
      <c r="H9648" s="14"/>
      <c r="I9648" s="14"/>
      <c r="J9648" s="14"/>
      <c r="K9648" s="14"/>
      <c r="L9648" s="14"/>
      <c r="M9648" s="14"/>
      <c r="N9648" s="14"/>
      <c r="O9648" s="14"/>
    </row>
    <row r="9649" customFormat="false" ht="17.15" hidden="false" customHeight="false" outlineLevel="0" collapsed="false">
      <c r="A9649" s="0" t="s">
        <v>770</v>
      </c>
      <c r="B9649" s="0" t="s">
        <v>86</v>
      </c>
      <c r="G9649" s="38" t="n">
        <f aca="false">SUM(Sens!$G$9642:$K$9642)</f>
        <v>29.2834134629509</v>
      </c>
    </row>
    <row r="9650" customFormat="false" ht="17.15" hidden="false" customHeight="false" outlineLevel="0" collapsed="false">
      <c r="A9650" s="24" t="s">
        <v>807</v>
      </c>
      <c r="B9650" s="25" t="s">
        <v>86</v>
      </c>
      <c r="C9650" s="25"/>
      <c r="D9650" s="25"/>
      <c r="E9650" s="25"/>
      <c r="F9650" s="25"/>
      <c r="G9650" s="41" t="n">
        <f aca="false">Sens!$G$9648-(Sens!$G$9637+Sens!$H$9637+Sens!$I$9637+Sens!$J$9637+Sens!$K$9637)</f>
        <v>0</v>
      </c>
      <c r="H9650" s="25"/>
      <c r="I9650" s="25"/>
      <c r="J9650" s="25"/>
      <c r="K9650" s="25"/>
      <c r="L9650" s="25"/>
      <c r="M9650" s="25"/>
      <c r="N9650" s="25"/>
      <c r="O9650" s="25"/>
    </row>
    <row r="9653" customFormat="false" ht="19.4" hidden="false" customHeight="false" outlineLevel="0" collapsed="false">
      <c r="A9653" s="31" t="s">
        <v>1326</v>
      </c>
    </row>
    <row r="9654" customFormat="false" ht="17.15" hidden="false" customHeight="false" outlineLevel="0" collapsed="false">
      <c r="A9654" s="6" t="s">
        <v>16</v>
      </c>
      <c r="B9654" s="6" t="s">
        <v>17</v>
      </c>
      <c r="C9654" s="20" t="s">
        <v>494</v>
      </c>
      <c r="D9654" s="20" t="s">
        <v>495</v>
      </c>
      <c r="E9654" s="20" t="s">
        <v>577</v>
      </c>
      <c r="F9654" s="20" t="s">
        <v>578</v>
      </c>
      <c r="G9654" s="20" t="s">
        <v>579</v>
      </c>
      <c r="H9654" s="20" t="s">
        <v>580</v>
      </c>
      <c r="I9654" s="20" t="s">
        <v>581</v>
      </c>
      <c r="J9654" s="20" t="s">
        <v>582</v>
      </c>
      <c r="K9654" s="20" t="s">
        <v>583</v>
      </c>
      <c r="L9654" s="20" t="s">
        <v>584</v>
      </c>
      <c r="M9654" s="20" t="s">
        <v>585</v>
      </c>
      <c r="N9654" s="20" t="s">
        <v>586</v>
      </c>
      <c r="O9654" s="20" t="s">
        <v>587</v>
      </c>
      <c r="P9654" s="6" t="s">
        <v>23</v>
      </c>
      <c r="R9654" s="20" t="n">
        <v>2023</v>
      </c>
      <c r="S9654" s="20" t="n">
        <v>2024</v>
      </c>
      <c r="T9654" s="20" t="n">
        <v>2025</v>
      </c>
      <c r="U9654" s="20" t="n">
        <v>2026</v>
      </c>
      <c r="V9654" s="20" t="n">
        <v>2027</v>
      </c>
      <c r="W9654" s="20" t="n">
        <v>2028</v>
      </c>
      <c r="X9654" s="20" t="n">
        <v>2029</v>
      </c>
      <c r="Y9654" s="20" t="n">
        <v>2030</v>
      </c>
      <c r="Z9654" s="20" t="n">
        <v>2031</v>
      </c>
      <c r="AA9654" s="20" t="n">
        <v>2032</v>
      </c>
    </row>
    <row r="9655" customFormat="false" ht="17.15" hidden="false" customHeight="false" outlineLevel="0" collapsed="false">
      <c r="A9655" s="1" t="s">
        <v>909</v>
      </c>
    </row>
    <row r="9656" customFormat="false" ht="17.15" hidden="false" customHeight="false" outlineLevel="0" collapsed="false">
      <c r="A9656" s="0" t="s">
        <v>910</v>
      </c>
      <c r="B9656" s="0" t="s">
        <v>86</v>
      </c>
      <c r="H9656" s="38" t="n">
        <f aca="false">Sens!$H$9590*(1-tax)</f>
        <v>117.433243423729</v>
      </c>
      <c r="I9656" s="38" t="n">
        <f aca="false">Sens!$I$9590*(1-tax)</f>
        <v>142.829109667048</v>
      </c>
      <c r="J9656" s="38" t="n">
        <f aca="false">Sens!$J$9590*(1-tax)</f>
        <v>166.999275189185</v>
      </c>
      <c r="K9656" s="38" t="n">
        <f aca="false">Sens!$K$9590*(1-tax)</f>
        <v>184.011832349418</v>
      </c>
      <c r="L9656" s="38" t="n">
        <f aca="false">Sens!$L$9590*(1-tax)</f>
        <v>199.132616100332</v>
      </c>
      <c r="M9656" s="38" t="n">
        <f aca="false">Sens!$M$9590*(1-tax)</f>
        <v>211.446331061647</v>
      </c>
    </row>
    <row r="9657" customFormat="false" ht="15" hidden="false" customHeight="false" outlineLevel="0" collapsed="false">
      <c r="A9657" s="5" t="s">
        <v>911</v>
      </c>
      <c r="B9657" s="0" t="s">
        <v>86</v>
      </c>
      <c r="H9657" s="38" t="n">
        <f aca="false">Sens!$H$9601</f>
        <v>84.3163410985152</v>
      </c>
      <c r="I9657" s="38" t="n">
        <f aca="false">Sens!$I$9601</f>
        <v>117.040344991004</v>
      </c>
      <c r="J9657" s="38" t="n">
        <f aca="false">Sens!$J$9601</f>
        <v>150.498981474685</v>
      </c>
      <c r="K9657" s="38" t="n">
        <f aca="false">Sens!$K$9601</f>
        <v>184.188121970284</v>
      </c>
      <c r="L9657" s="38" t="n">
        <f aca="false">Sens!$L$9601</f>
        <v>207.378648477454</v>
      </c>
      <c r="M9657" s="38" t="n">
        <f aca="false">Sens!$M$9601</f>
        <v>222.833725897691</v>
      </c>
    </row>
    <row r="9658" customFormat="false" ht="15" hidden="false" customHeight="false" outlineLevel="0" collapsed="false">
      <c r="A9658" s="5" t="s">
        <v>912</v>
      </c>
      <c r="B9658" s="0" t="s">
        <v>86</v>
      </c>
      <c r="H9658" s="38" t="n">
        <f aca="false">Sens!$H$9632</f>
        <v>273.372679834898</v>
      </c>
      <c r="I9658" s="38" t="n">
        <f aca="false">Sens!$I$9632</f>
        <v>286.981812228425</v>
      </c>
      <c r="J9658" s="38" t="n">
        <f aca="false">Sens!$J$9632</f>
        <v>299.316513378366</v>
      </c>
      <c r="K9658" s="38" t="n">
        <f aca="false">Sens!$K$9632</f>
        <v>248.27918920067</v>
      </c>
      <c r="L9658" s="38" t="n">
        <f aca="false">Sens!$L$9632</f>
        <v>229.140418237151</v>
      </c>
      <c r="M9658" s="38" t="n">
        <f aca="false">Sens!$M$9632</f>
        <v>233.957827108485</v>
      </c>
    </row>
    <row r="9659" customFormat="false" ht="15" hidden="false" customHeight="false" outlineLevel="0" collapsed="false">
      <c r="A9659" s="5" t="s">
        <v>913</v>
      </c>
      <c r="B9659" s="0" t="s">
        <v>86</v>
      </c>
      <c r="H9659" s="38" t="n">
        <f aca="false">Sens!$H$9633</f>
        <v>1.6</v>
      </c>
      <c r="I9659" s="38" t="n">
        <f aca="false">Sens!$I$9633</f>
        <v>1.6</v>
      </c>
      <c r="J9659" s="38" t="n">
        <f aca="false">Sens!$J$9633</f>
        <v>1.6</v>
      </c>
      <c r="K9659" s="38" t="n">
        <f aca="false">Sens!$K$9633</f>
        <v>1.6</v>
      </c>
      <c r="L9659" s="38" t="n">
        <f aca="false">Sens!$L$9633</f>
        <v>1.6</v>
      </c>
      <c r="M9659" s="38" t="n">
        <f aca="false">Sens!$M$9633</f>
        <v>1.6</v>
      </c>
    </row>
    <row r="9660" customFormat="false" ht="15" hidden="false" customHeight="false" outlineLevel="0" collapsed="false">
      <c r="A9660" s="5" t="s">
        <v>914</v>
      </c>
      <c r="B9660" s="0" t="s">
        <v>86</v>
      </c>
      <c r="H9660" s="38" t="n">
        <f aca="false">Sens!$H$9627</f>
        <v>11.2928295263397</v>
      </c>
      <c r="I9660" s="38" t="n">
        <f aca="false">Sens!$I$9627</f>
        <v>12.8091546115766</v>
      </c>
      <c r="J9660" s="38" t="n">
        <f aca="false">Sens!$J$9627</f>
        <v>14.2605653162668</v>
      </c>
      <c r="K9660" s="38" t="n">
        <f aca="false">Sens!$K$9627</f>
        <v>15.5293346306567</v>
      </c>
      <c r="L9660" s="38" t="n">
        <f aca="false">Sens!$L$9627</f>
        <v>16.7069448805781</v>
      </c>
      <c r="M9660" s="38" t="n">
        <f aca="false">Sens!$M$9627</f>
        <v>17.7976949013636</v>
      </c>
    </row>
    <row r="9661" customFormat="false" ht="17.15" hidden="false" customHeight="false" outlineLevel="0" collapsed="false">
      <c r="A9661" s="1" t="s">
        <v>915</v>
      </c>
      <c r="B9661" s="8" t="s">
        <v>86</v>
      </c>
      <c r="H9661" s="38" t="n">
        <f aca="false">Sens!$H$9656+Sens!$H$9657-Sens!$H$9658-Sens!$H$9659+Sens!$H$9660</f>
        <v>-61.930265786314</v>
      </c>
      <c r="I9661" s="38" t="n">
        <f aca="false">Sens!$I$9656+Sens!$I$9657-Sens!$I$9658-Sens!$I$9659+Sens!$I$9660</f>
        <v>-15.9032029587969</v>
      </c>
      <c r="J9661" s="38" t="n">
        <f aca="false">Sens!$J$9656+Sens!$J$9657-Sens!$J$9658-Sens!$J$9659+Sens!$J$9660</f>
        <v>30.8423086017711</v>
      </c>
      <c r="K9661" s="38" t="n">
        <f aca="false">Sens!$K$9656+Sens!$K$9657-Sens!$K$9658-Sens!$K$9659+Sens!$K$9660</f>
        <v>133.850099749689</v>
      </c>
      <c r="L9661" s="38" t="n">
        <f aca="false">Sens!$L$9656+Sens!$L$9657-Sens!$L$9658-Sens!$L$9659+Sens!$L$9660</f>
        <v>192.477791221214</v>
      </c>
      <c r="M9661" s="38" t="n">
        <f aca="false">Sens!$M$9656+Sens!$M$9657-Sens!$M$9658-Sens!$M$9659+Sens!$M$9660</f>
        <v>216.519924752217</v>
      </c>
    </row>
    <row r="9662" customFormat="false" ht="15" hidden="false" customHeight="false" outlineLevel="0" collapsed="false">
      <c r="A9662" s="5" t="s">
        <v>916</v>
      </c>
      <c r="B9662" s="0" t="s">
        <v>57</v>
      </c>
      <c r="H9662" s="40" t="n">
        <f aca="false">1/(1+(wacc+0.01))^(2027-2026-0.5)</f>
        <v>0.943523276903728</v>
      </c>
      <c r="I9662" s="40" t="n">
        <f aca="false">1/(1+(wacc+0.01))^(2028-2026-0.5)</f>
        <v>0.839958552166526</v>
      </c>
      <c r="J9662" s="40" t="n">
        <f aca="false">1/(1+(wacc+0.01))^(2029-2026-0.5)</f>
        <v>0.747761487848991</v>
      </c>
      <c r="K9662" s="40" t="n">
        <f aca="false">1/(1+(wacc+0.01))^(2030-2026-0.5)</f>
        <v>0.665684326051463</v>
      </c>
      <c r="L9662" s="40" t="n">
        <f aca="false">1/(1+(wacc+0.01))^(2031-2026-0.5)</f>
        <v>0.592616267555198</v>
      </c>
      <c r="M9662" s="40" t="n">
        <f aca="false">1/(1+(wacc+0.01))^(2032-2026-0.5)</f>
        <v>0.527568438713552</v>
      </c>
    </row>
    <row r="9663" customFormat="false" ht="15" hidden="false" customHeight="false" outlineLevel="0" collapsed="false">
      <c r="A9663" s="5" t="s">
        <v>917</v>
      </c>
      <c r="B9663" s="0" t="s">
        <v>86</v>
      </c>
      <c r="H9663" s="38" t="n">
        <f aca="false">Sens!$H$9661*Sens!$H$9662</f>
        <v>-58.4326473142218</v>
      </c>
      <c r="I9663" s="38" t="n">
        <f aca="false">Sens!$I$9661*Sens!$I$9662</f>
        <v>-13.3580313320814</v>
      </c>
      <c r="J9663" s="38" t="n">
        <f aca="false">Sens!$J$9661*Sens!$J$9662</f>
        <v>23.0626905687581</v>
      </c>
      <c r="K9663" s="38" t="n">
        <f aca="false">Sens!$K$9661*Sens!$K$9662</f>
        <v>89.1019134437926</v>
      </c>
      <c r="L9663" s="38" t="n">
        <f aca="false">Sens!$L$9661*Sens!$L$9662</f>
        <v>114.065470220784</v>
      </c>
      <c r="M9663" s="38" t="n">
        <f aca="false">Sens!$M$9661*Sens!$M$9662</f>
        <v>114.229078651903</v>
      </c>
    </row>
    <row r="9664" customFormat="false" ht="15" hidden="false" customHeight="false" outlineLevel="0" collapsed="false">
      <c r="A9664" s="5" t="s">
        <v>918</v>
      </c>
      <c r="B9664" s="0" t="s">
        <v>86</v>
      </c>
      <c r="C9664" s="38" t="n">
        <f aca="false">SUM(Sens!$H$9663:$M$9663)</f>
        <v>268.668474238935</v>
      </c>
    </row>
    <row r="9665" customFormat="false" ht="17.15" hidden="false" customHeight="false" outlineLevel="0" collapsed="false">
      <c r="A9665" s="5" t="s">
        <v>919</v>
      </c>
      <c r="B9665" s="0" t="s">
        <v>86</v>
      </c>
      <c r="C9665" s="38" t="n">
        <f aca="false">Sens!$M$9656*(1+tg_lo)*(1-tg_lo/ronic)/((wacc+0.01)-tg_lo)</f>
        <v>1719.3348077014</v>
      </c>
    </row>
    <row r="9666" customFormat="false" ht="15" hidden="false" customHeight="false" outlineLevel="0" collapsed="false">
      <c r="A9666" s="5" t="s">
        <v>920</v>
      </c>
      <c r="B9666" s="0" t="s">
        <v>86</v>
      </c>
      <c r="C9666" s="38" t="n">
        <f aca="false">Sens!$C$9665/(1+(wacc+0.01))^6</f>
        <v>855.838620753952</v>
      </c>
    </row>
    <row r="9667" customFormat="false" ht="17.15" hidden="false" customHeight="false" outlineLevel="0" collapsed="false">
      <c r="A9667" s="5" t="s">
        <v>921</v>
      </c>
      <c r="B9667" s="0" t="s">
        <v>86</v>
      </c>
      <c r="C9667" s="38" t="n">
        <f aca="false">Sens!$C$9664+Sens!$C$9666</f>
        <v>1124.50709499289</v>
      </c>
    </row>
    <row r="9668" customFormat="false" ht="17.15" hidden="false" customHeight="false" outlineLevel="0" collapsed="false">
      <c r="A9668" s="5" t="s">
        <v>922</v>
      </c>
      <c r="B9668" s="0" t="s">
        <v>52</v>
      </c>
      <c r="C9668" s="13" t="n">
        <f aca="false">Sens!$C$9666/Sens!$C$9667</f>
        <v>0.761078898092116</v>
      </c>
    </row>
    <row r="9669" customFormat="false" ht="17.15" hidden="false" customHeight="false" outlineLevel="0" collapsed="false">
      <c r="A9669" s="5" t="s">
        <v>923</v>
      </c>
      <c r="B9669" s="0" t="s">
        <v>86</v>
      </c>
      <c r="C9669" s="38" t="n">
        <f aca="false">Sens!$G$9645+fin_debt</f>
        <v>96.5114130116072</v>
      </c>
    </row>
    <row r="9670" customFormat="false" ht="17.15" hidden="false" customHeight="false" outlineLevel="0" collapsed="false">
      <c r="A9670" s="5" t="s">
        <v>924</v>
      </c>
      <c r="B9670" s="0" t="s">
        <v>86</v>
      </c>
      <c r="C9670" s="38" t="n">
        <f aca="false">(ant_val*ant_sh+oai_val*oai_sh)*(1-liq_disc)</f>
        <v>178.944</v>
      </c>
    </row>
    <row r="9671" customFormat="false" ht="15" hidden="false" customHeight="false" outlineLevel="0" collapsed="false">
      <c r="A9671" s="5" t="s">
        <v>925</v>
      </c>
      <c r="B9671" s="0" t="s">
        <v>86</v>
      </c>
      <c r="C9671" s="38" t="n">
        <f aca="false">Sens!$C$9667-Sens!$C$9669+Sens!$C$9670</f>
        <v>1206.93968198128</v>
      </c>
    </row>
    <row r="9672" customFormat="false" ht="17.15" hidden="false" customHeight="false" outlineLevel="0" collapsed="false">
      <c r="A9672" s="5" t="s">
        <v>926</v>
      </c>
      <c r="B9672" s="0" t="s">
        <v>27</v>
      </c>
      <c r="C9672" s="30" t="n">
        <f aca="false">Sens!$C$9671/sh_out</f>
        <v>111.895470684543</v>
      </c>
    </row>
    <row r="9673" customFormat="false" ht="17.15" hidden="false" customHeight="false" outlineLevel="0" collapsed="false">
      <c r="A9673" s="1" t="s">
        <v>927</v>
      </c>
      <c r="B9673" s="8" t="s">
        <v>27</v>
      </c>
      <c r="C9673" s="30" t="n">
        <f aca="false">Sens!$C$9672*(1+ke)^tp_yf-dps*tp_yf</f>
        <v>122.566812649465</v>
      </c>
    </row>
    <row r="9674" customFormat="false" ht="17.15" hidden="false" customHeight="false" outlineLevel="0" collapsed="false">
      <c r="A9674" s="3" t="s">
        <v>928</v>
      </c>
    </row>
    <row r="9675" customFormat="false" ht="17.15" hidden="false" customHeight="false" outlineLevel="0" collapsed="false">
      <c r="A9675" s="5" t="s">
        <v>929</v>
      </c>
      <c r="B9675" s="0" t="s">
        <v>86</v>
      </c>
      <c r="C9675" s="38" t="n">
        <f aca="false">(1-tp_yf)*(Sens!$H$9602+Sens!$H$9626*Sens!$H$9468/Sens!$H$9543)+tp_yf*(Sens!$I$9602+Sens!$I$9626*Sens!$I$9468/Sens!$I$9543)</f>
        <v>59.634664536349</v>
      </c>
    </row>
    <row r="9676" customFormat="false" ht="15" hidden="false" customHeight="false" outlineLevel="0" collapsed="false">
      <c r="A9676" s="5" t="s">
        <v>930</v>
      </c>
      <c r="B9676" s="0" t="s">
        <v>57</v>
      </c>
      <c r="C9676" s="30" t="n">
        <f aca="false">m_ads*m_x</f>
        <v>9.11</v>
      </c>
    </row>
    <row r="9677" customFormat="false" ht="17.15" hidden="false" customHeight="false" outlineLevel="0" collapsed="false">
      <c r="A9677" s="5" t="s">
        <v>931</v>
      </c>
      <c r="B9677" s="0" t="s">
        <v>86</v>
      </c>
      <c r="C9677" s="38" t="n">
        <f aca="false">Sens!$C$9675*Sens!$C$9676</f>
        <v>543.271793926139</v>
      </c>
    </row>
    <row r="9678" customFormat="false" ht="17.15" hidden="false" customHeight="false" outlineLevel="0" collapsed="false">
      <c r="A9678" s="5" t="s">
        <v>932</v>
      </c>
      <c r="B9678" s="0" t="s">
        <v>86</v>
      </c>
      <c r="C9678" s="38" t="n">
        <f aca="false">(1-tp_yf)*(Sens!$H$9603+Sens!$H$9626*(Sens!$H$9475-Sens!$H$9468)/Sens!$H$9543+IF(internal_ai_reading=2,1,0)*(1-ext_sh)*Sens!$H$9505)+tp_yf*(Sens!$I$9603+Sens!$I$9626*(Sens!$I$9475-Sens!$I$9468)/Sens!$I$9543+IF(internal_ai_reading=2,1,0)*(1-ext_sh)*Sens!$I$9505)</f>
        <v>51.7770728324773</v>
      </c>
    </row>
    <row r="9679" customFormat="false" ht="17.15" hidden="false" customHeight="false" outlineLevel="0" collapsed="false">
      <c r="A9679" s="5" t="s">
        <v>933</v>
      </c>
      <c r="B9679" s="0" t="s">
        <v>57</v>
      </c>
      <c r="C9679" s="30" t="n">
        <f aca="false">m_retail*m_x</f>
        <v>17.72</v>
      </c>
    </row>
    <row r="9680" customFormat="false" ht="17.15" hidden="false" customHeight="false" outlineLevel="0" collapsed="false">
      <c r="A9680" s="5" t="s">
        <v>934</v>
      </c>
      <c r="B9680" s="0" t="s">
        <v>86</v>
      </c>
      <c r="C9680" s="38" t="n">
        <f aca="false">Sens!$C$9678*Sens!$C$9679</f>
        <v>917.489730591498</v>
      </c>
    </row>
    <row r="9681" customFormat="false" ht="17.15" hidden="false" customHeight="false" outlineLevel="0" collapsed="false">
      <c r="A9681" s="0" t="s">
        <v>935</v>
      </c>
      <c r="B9681" s="0" t="s">
        <v>86</v>
      </c>
      <c r="C9681" s="38" t="n">
        <f aca="false">(1-tp_yf)*(Sens!$H$9604+Sens!$H$9626*Sens!$H$9541/Sens!$H$9543)+tp_yf*(Sens!$I$9604+Sens!$I$9626*Sens!$I$9541/Sens!$I$9543)</f>
        <v>97.3363031479074</v>
      </c>
    </row>
    <row r="9682" customFormat="false" ht="17.15" hidden="false" customHeight="false" outlineLevel="0" collapsed="false">
      <c r="A9682" s="0" t="s">
        <v>936</v>
      </c>
      <c r="B9682" s="0" t="s">
        <v>57</v>
      </c>
      <c r="C9682" s="30" t="n">
        <f aca="false">m_cloud*m_x</f>
        <v>13.82</v>
      </c>
    </row>
    <row r="9683" customFormat="false" ht="17.15" hidden="false" customHeight="false" outlineLevel="0" collapsed="false">
      <c r="A9683" s="0" t="s">
        <v>937</v>
      </c>
      <c r="B9683" s="0" t="s">
        <v>86</v>
      </c>
      <c r="C9683" s="38" t="n">
        <f aca="false">Sens!$C$9681*Sens!$C$9682</f>
        <v>1345.18770950408</v>
      </c>
    </row>
    <row r="9684" customFormat="false" ht="17.15" hidden="false" customHeight="false" outlineLevel="0" collapsed="false">
      <c r="A9684" s="0" t="s">
        <v>938</v>
      </c>
      <c r="B9684" s="0" t="s">
        <v>86</v>
      </c>
      <c r="H9684" s="38" t="n">
        <f aca="false">Sens!$H$9522-tax*Sens!$H$9523-ext_sh*Sens!$H$9512</f>
        <v>-114.686944664267</v>
      </c>
      <c r="I9684" s="38" t="n">
        <f aca="false">Sens!$I$9522-tax*Sens!$I$9523-ext_sh*Sens!$I$9512</f>
        <v>-88.3950641557111</v>
      </c>
      <c r="J9684" s="38" t="n">
        <f aca="false">Sens!$J$9522-tax*Sens!$J$9523-ext_sh*Sens!$J$9512</f>
        <v>-61.1526151740695</v>
      </c>
      <c r="K9684" s="38" t="n">
        <f aca="false">Sens!$K$9522-tax*Sens!$K$9523-ext_sh*Sens!$K$9512</f>
        <v>12.0907188158706</v>
      </c>
      <c r="L9684" s="38" t="n">
        <f aca="false">Sens!$L$9522-tax*Sens!$L$9523-ext_sh*Sens!$L$9512</f>
        <v>50.296803352258</v>
      </c>
      <c r="M9684" s="38" t="n">
        <f aca="false">Sens!$M$9522-tax*Sens!$M$9523-ext_sh*Sens!$M$9512</f>
        <v>60.2059276321968</v>
      </c>
    </row>
    <row r="9685" customFormat="false" ht="17.15" hidden="false" customHeight="false" outlineLevel="0" collapsed="false">
      <c r="A9685" s="5" t="s">
        <v>939</v>
      </c>
      <c r="B9685" s="0" t="s">
        <v>86</v>
      </c>
      <c r="H9685" s="38" t="n">
        <f aca="false">Sens!$H$9684*Sens!$H$9662</f>
        <v>-108.209801847706</v>
      </c>
      <c r="I9685" s="38" t="n">
        <f aca="false">Sens!$I$9684*Sens!$I$9662</f>
        <v>-74.2481901068983</v>
      </c>
      <c r="J9685" s="38" t="n">
        <f aca="false">Sens!$J$9684*Sens!$J$9662</f>
        <v>-45.727570508419</v>
      </c>
      <c r="K9685" s="38" t="n">
        <f aca="false">Sens!$K$9684*Sens!$K$9662</f>
        <v>8.04860200642058</v>
      </c>
      <c r="L9685" s="38" t="n">
        <f aca="false">Sens!$L$9684*Sens!$L$9662</f>
        <v>29.8067038725729</v>
      </c>
      <c r="M9685" s="38" t="n">
        <f aca="false">Sens!$M$9684*Sens!$M$9662</f>
        <v>31.7627472422192</v>
      </c>
    </row>
    <row r="9686" customFormat="false" ht="17.15" hidden="false" customHeight="false" outlineLevel="0" collapsed="false">
      <c r="A9686" s="5" t="s">
        <v>940</v>
      </c>
      <c r="B9686" s="0" t="s">
        <v>86</v>
      </c>
      <c r="C9686" s="38" t="n">
        <f aca="false">Sens!$M$9523*(1-tax)*(1+tg_lo)*(1-tg_lo/ronic)/((wacc+0.01)-tg_lo)</f>
        <v>317.779081135586</v>
      </c>
    </row>
    <row r="9687" customFormat="false" ht="17.15" hidden="false" customHeight="false" outlineLevel="0" collapsed="false">
      <c r="A9687" s="0" t="s">
        <v>941</v>
      </c>
      <c r="B9687" s="0" t="s">
        <v>86</v>
      </c>
      <c r="C9687" s="38" t="n">
        <f aca="false">(SUM(Sens!$H$9685:$M$9685)+Sens!$C$9686/(1+(wacc+0.01))^6)*(1+(wacc+0.01))^tp_yf</f>
        <v>-0.424300699338967</v>
      </c>
    </row>
    <row r="9688" customFormat="false" ht="17.15" hidden="false" customHeight="false" outlineLevel="0" collapsed="false">
      <c r="A9688" s="5" t="s">
        <v>942</v>
      </c>
      <c r="B9688" s="0" t="s">
        <v>86</v>
      </c>
      <c r="C9688" s="38" t="n">
        <f aca="false">(1-tp_yf)*(Sens!$H$9605)+tp_yf*(Sens!$I$9605)</f>
        <v>74.6707041238437</v>
      </c>
    </row>
    <row r="9689" customFormat="false" ht="17.15" hidden="false" customHeight="false" outlineLevel="0" collapsed="false">
      <c r="A9689" s="5" t="s">
        <v>943</v>
      </c>
      <c r="B9689" s="0" t="s">
        <v>86</v>
      </c>
      <c r="C9689" s="38" t="n">
        <f aca="false">Sens!$C$9688*m_ai</f>
        <v>448.024224743062</v>
      </c>
    </row>
    <row r="9690" customFormat="false" ht="17.15" hidden="false" customHeight="false" outlineLevel="0" collapsed="false">
      <c r="A9690" s="0" t="s">
        <v>944</v>
      </c>
      <c r="B9690" s="0" t="s">
        <v>86</v>
      </c>
      <c r="C9690" s="38" t="n">
        <f aca="false">IF(ai_leg=1,Sens!$C$9687,Sens!$C$9689)</f>
        <v>-0.424300699338967</v>
      </c>
    </row>
    <row r="9691" customFormat="false" ht="17.15" hidden="false" customHeight="false" outlineLevel="0" collapsed="false">
      <c r="A9691" s="5" t="s">
        <v>945</v>
      </c>
      <c r="B9691" s="0" t="s">
        <v>86</v>
      </c>
      <c r="C9691" s="38" t="n">
        <f aca="false">Sens!$C$9677+Sens!$C$9680+Sens!$C$9683+Sens!$C$9690</f>
        <v>2805.52493332238</v>
      </c>
    </row>
    <row r="9692" customFormat="false" ht="17.15" hidden="false" customHeight="false" outlineLevel="0" collapsed="false">
      <c r="A9692" s="5" t="s">
        <v>946</v>
      </c>
      <c r="B9692" s="0" t="s">
        <v>86</v>
      </c>
      <c r="C9692" s="38" t="n">
        <f aca="false">Sens!$H$9645+fin_debt</f>
        <v>150.504277655109</v>
      </c>
    </row>
    <row r="9693" customFormat="false" ht="15" hidden="false" customHeight="false" outlineLevel="0" collapsed="false">
      <c r="A9693" s="5" t="s">
        <v>947</v>
      </c>
      <c r="B9693" s="0" t="s">
        <v>86</v>
      </c>
      <c r="C9693" s="38" t="n">
        <f aca="false">Sens!$C$9691-Sens!$C$9692+Sens!$C$9670</f>
        <v>2833.96465566727</v>
      </c>
    </row>
    <row r="9694" customFormat="false" ht="15" hidden="false" customHeight="false" outlineLevel="0" collapsed="false">
      <c r="A9694" s="3" t="s">
        <v>948</v>
      </c>
      <c r="B9694" s="8" t="s">
        <v>27</v>
      </c>
      <c r="C9694" s="30" t="n">
        <f aca="false">Sens!$C$9693/sh_val</f>
        <v>256.925111621235</v>
      </c>
    </row>
    <row r="9695" customFormat="false" ht="17.15" hidden="false" customHeight="false" outlineLevel="0" collapsed="false">
      <c r="A9695" s="47" t="s">
        <v>949</v>
      </c>
      <c r="B9695" s="14" t="s">
        <v>27</v>
      </c>
      <c r="C9695" s="44" t="n">
        <f aca="false">w_dcf*Sens!$C$9673+(1-w_dcf)*Sens!$C$9694</f>
        <v>189.74596213535</v>
      </c>
      <c r="D9695" s="14"/>
      <c r="E9695" s="14"/>
      <c r="F9695" s="14"/>
      <c r="G9695" s="14"/>
      <c r="H9695" s="14"/>
      <c r="I9695" s="14"/>
      <c r="J9695" s="14"/>
      <c r="K9695" s="14"/>
      <c r="L9695" s="14"/>
      <c r="M9695" s="14"/>
      <c r="N9695" s="14"/>
      <c r="O9695" s="14"/>
    </row>
    <row r="9696" customFormat="false" ht="17.15" hidden="false" customHeight="false" outlineLevel="0" collapsed="false">
      <c r="A9696" s="5" t="s">
        <v>950</v>
      </c>
      <c r="B9696" s="0" t="s">
        <v>27</v>
      </c>
      <c r="C9696" s="30" t="n">
        <f aca="false">v022_wdcf*Sens!$C$9673+(1-v022_wdcf)*Sens!$C$9694</f>
        <v>196.463877083938</v>
      </c>
    </row>
    <row r="9697" customFormat="false" ht="17.15" hidden="false" customHeight="false" outlineLevel="0" collapsed="false">
      <c r="A9697" s="5" t="s">
        <v>951</v>
      </c>
      <c r="B9697" s="0" t="s">
        <v>27</v>
      </c>
      <c r="C9697" s="30" t="n">
        <f aca="false">(Sens!$C$9693-Sens!$C$9690+Sens!$C$9689)/sh_val</f>
        <v>297.581118824874</v>
      </c>
    </row>
    <row r="9700" customFormat="false" ht="19.4" hidden="false" customHeight="false" outlineLevel="0" collapsed="false">
      <c r="A9700" s="31" t="s">
        <v>1327</v>
      </c>
    </row>
    <row r="9701" customFormat="false" ht="17.15" hidden="false" customHeight="false" outlineLevel="0" collapsed="false">
      <c r="A9701" s="6" t="s">
        <v>16</v>
      </c>
      <c r="B9701" s="6" t="s">
        <v>17</v>
      </c>
      <c r="C9701" s="20" t="s">
        <v>494</v>
      </c>
      <c r="D9701" s="20" t="s">
        <v>495</v>
      </c>
      <c r="E9701" s="20" t="s">
        <v>577</v>
      </c>
      <c r="F9701" s="20" t="s">
        <v>578</v>
      </c>
      <c r="G9701" s="20" t="s">
        <v>579</v>
      </c>
      <c r="H9701" s="20" t="s">
        <v>580</v>
      </c>
      <c r="I9701" s="20" t="s">
        <v>581</v>
      </c>
      <c r="J9701" s="20" t="s">
        <v>582</v>
      </c>
      <c r="K9701" s="20" t="s">
        <v>583</v>
      </c>
      <c r="L9701" s="20" t="s">
        <v>584</v>
      </c>
      <c r="M9701" s="20" t="s">
        <v>585</v>
      </c>
      <c r="N9701" s="20" t="s">
        <v>586</v>
      </c>
      <c r="O9701" s="20" t="s">
        <v>587</v>
      </c>
      <c r="P9701" s="6" t="s">
        <v>23</v>
      </c>
      <c r="R9701" s="20" t="n">
        <v>2023</v>
      </c>
      <c r="S9701" s="20" t="n">
        <v>2024</v>
      </c>
      <c r="T9701" s="20" t="n">
        <v>2025</v>
      </c>
      <c r="U9701" s="20" t="n">
        <v>2026</v>
      </c>
      <c r="V9701" s="20" t="n">
        <v>2027</v>
      </c>
      <c r="W9701" s="20" t="n">
        <v>2028</v>
      </c>
      <c r="X9701" s="20" t="n">
        <v>2029</v>
      </c>
      <c r="Y9701" s="20" t="n">
        <v>2030</v>
      </c>
      <c r="Z9701" s="20" t="n">
        <v>2031</v>
      </c>
      <c r="AA9701" s="20" t="n">
        <v>2032</v>
      </c>
    </row>
    <row r="9702" customFormat="false" ht="17.15" hidden="false" customHeight="false" outlineLevel="0" collapsed="false">
      <c r="A9702" s="1" t="s">
        <v>660</v>
      </c>
    </row>
    <row r="9703" customFormat="false" ht="17.15" hidden="false" customHeight="false" outlineLevel="0" collapsed="false">
      <c r="A9703" s="0" t="s">
        <v>516</v>
      </c>
      <c r="B9703" s="0" t="s">
        <v>86</v>
      </c>
      <c r="C9703" s="38" t="n">
        <f aca="false">Q!$D$10</f>
        <v>247.029</v>
      </c>
      <c r="D9703" s="38" t="n">
        <f aca="false">Q!$E$10</f>
        <v>269.287</v>
      </c>
      <c r="E9703" s="38" t="n">
        <f aca="false">Q!$P$10</f>
        <v>134.686</v>
      </c>
      <c r="F9703" s="38" t="n">
        <f aca="false">Sens!$O$9703*(1+Sens!$F$9704)*Sens!$F$9715</f>
        <v>158.293876822267</v>
      </c>
      <c r="G9703" s="38" t="n">
        <f aca="false">Sens!$E$9703+Sens!$F$9703</f>
        <v>292.979876822267</v>
      </c>
      <c r="H9703" s="38" t="n">
        <f aca="false">Sens!$G$9703*(1+Sens!$H$9704)</f>
        <v>318.184543087396</v>
      </c>
      <c r="I9703" s="38" t="n">
        <f aca="false">Sens!$H$9703*(1+Sens!$I$9704)</f>
        <v>341.736278761793</v>
      </c>
      <c r="J9703" s="38" t="n">
        <f aca="false">Sens!$I$9703*(1+Sens!$J$9704)</f>
        <v>362.927192787048</v>
      </c>
      <c r="K9703" s="38" t="n">
        <f aca="false">Sens!$J$9703*(1+Sens!$K$9704)</f>
        <v>381.0735524264</v>
      </c>
      <c r="L9703" s="38" t="n">
        <f aca="false">Sens!$K$9703*(1+Sens!$L$9704)</f>
        <v>400.12723004772</v>
      </c>
      <c r="M9703" s="38" t="n">
        <f aca="false">Sens!$L$9703*(1+Sens!$M$9704)</f>
        <v>420.133591550106</v>
      </c>
      <c r="N9703" s="38" t="n">
        <f aca="false">Q!$N$10</f>
        <v>118.892</v>
      </c>
      <c r="O9703" s="38" t="n">
        <f aca="false">Q!$O$10</f>
        <v>150.395</v>
      </c>
      <c r="P9703" s="8" t="s">
        <v>661</v>
      </c>
    </row>
    <row r="9704" customFormat="false" ht="17.15" hidden="false" customHeight="false" outlineLevel="0" collapsed="false">
      <c r="A9704" s="0" t="s">
        <v>662</v>
      </c>
      <c r="B9704" s="0" t="s">
        <v>52</v>
      </c>
      <c r="E9704" s="13" t="n">
        <f aca="false">Sens!$E$9703/Sens!$N$9703-1</f>
        <v>0.132843252699929</v>
      </c>
      <c r="F9704" s="13" t="n">
        <f aca="false">Sens!$O$9703/(Q!$F$10+Q!$G$10)-1</f>
        <v>0.0980382135842941</v>
      </c>
      <c r="G9704" s="13" t="n">
        <f aca="false">Sens!$G$9703/Sens!$D$9703-1</f>
        <v>0.0879837378791657</v>
      </c>
      <c r="H9704" s="13" t="n">
        <f aca="false">Sens!$F$9704+(g_os-Sens!$F$9704)*1/4</f>
        <v>0.0860286601882206</v>
      </c>
      <c r="I9704" s="13" t="n">
        <f aca="false">Sens!$F$9704+(g_os-Sens!$F$9704)*2/4</f>
        <v>0.074019106792147</v>
      </c>
      <c r="J9704" s="13" t="n">
        <f aca="false">Sens!$F$9704+(g_os-Sens!$F$9704)*3/4</f>
        <v>0.0620095533960735</v>
      </c>
      <c r="K9704" s="13" t="n">
        <f aca="false">Sens!$F$9704+(g_os-Sens!$F$9704)*4/4</f>
        <v>0.05</v>
      </c>
      <c r="L9704" s="13" t="n">
        <f aca="false">g_os</f>
        <v>0.05</v>
      </c>
      <c r="M9704" s="13" t="n">
        <f aca="false">g_os</f>
        <v>0.05</v>
      </c>
      <c r="P9704" s="8" t="s">
        <v>663</v>
      </c>
    </row>
    <row r="9705" customFormat="false" ht="17.15" hidden="false" customHeight="false" outlineLevel="0" collapsed="false">
      <c r="A9705" s="0" t="s">
        <v>517</v>
      </c>
      <c r="B9705" s="0" t="s">
        <v>86</v>
      </c>
      <c r="C9705" s="38" t="n">
        <f aca="false">Q!$D$11</f>
        <v>21.215</v>
      </c>
      <c r="D9705" s="38" t="n">
        <f aca="false">Q!$E$11</f>
        <v>22.561</v>
      </c>
      <c r="E9705" s="38" t="n">
        <f aca="false">Q!$P$11</f>
        <v>11.579</v>
      </c>
      <c r="F9705" s="38" t="n">
        <f aca="false">Sens!$O$9705*(1+Sens!$F$9706)*Sens!$F$9715</f>
        <v>11.5938724610325</v>
      </c>
      <c r="G9705" s="38" t="n">
        <f aca="false">Sens!$E$9705+Sens!$F$9705</f>
        <v>23.1728724610325</v>
      </c>
      <c r="H9705" s="38" t="n">
        <f aca="false">Sens!$G$9705*(1+Sens!$H$9706)</f>
        <v>24.353392759506</v>
      </c>
      <c r="I9705" s="38" t="n">
        <f aca="false">Sens!$H$9705*(1+Sens!$I$9706)</f>
        <v>25.4240338872015</v>
      </c>
      <c r="J9705" s="38" t="n">
        <f aca="false">Sens!$I$9705*(1+Sens!$J$9706)</f>
        <v>26.3642491017174</v>
      </c>
      <c r="K9705" s="38" t="n">
        <f aca="false">Sens!$J$9705*(1+Sens!$K$9706)</f>
        <v>27.155176574769</v>
      </c>
      <c r="L9705" s="38" t="n">
        <f aca="false">Sens!$K$9705*(1+Sens!$L$9706)</f>
        <v>27.969831872012</v>
      </c>
      <c r="M9705" s="38" t="n">
        <f aca="false">Sens!$L$9705*(1+Sens!$M$9706)</f>
        <v>28.8089268281724</v>
      </c>
      <c r="N9705" s="38" t="n">
        <f aca="false">Q!$N$11</f>
        <v>11.128</v>
      </c>
      <c r="O9705" s="38" t="n">
        <f aca="false">Q!$O$11</f>
        <v>11.433</v>
      </c>
      <c r="P9705" s="8" t="s">
        <v>661</v>
      </c>
    </row>
    <row r="9706" customFormat="false" ht="17.15" hidden="false" customHeight="false" outlineLevel="0" collapsed="false">
      <c r="A9706" s="0" t="s">
        <v>664</v>
      </c>
      <c r="B9706" s="0" t="s">
        <v>52</v>
      </c>
      <c r="E9706" s="13" t="n">
        <f aca="false">Sens!$E$9705/Sens!$N$9705-1</f>
        <v>0.0405283968368082</v>
      </c>
      <c r="F9706" s="13" t="n">
        <f aca="false">Sens!$O$9705/(Q!$F$11+Q!$G$11)-1</f>
        <v>0.0579254187100955</v>
      </c>
      <c r="G9706" s="13" t="n">
        <f aca="false">Sens!$G$9705/Sens!$D$9705-1</f>
        <v>0.0271208040881397</v>
      </c>
      <c r="H9706" s="13" t="n">
        <f aca="false">Sens!$F$9706+(g_ps-Sens!$F$9706)*1/4</f>
        <v>0.0509440640325716</v>
      </c>
      <c r="I9706" s="13" t="n">
        <f aca="false">Sens!$F$9706+(g_ps-Sens!$F$9706)*2/4</f>
        <v>0.0439627093550477</v>
      </c>
      <c r="J9706" s="13" t="n">
        <f aca="false">Sens!$F$9706+(g_ps-Sens!$F$9706)*3/4</f>
        <v>0.0369813546775239</v>
      </c>
      <c r="K9706" s="13" t="n">
        <f aca="false">Sens!$F$9706+(g_ps-Sens!$F$9706)*4/4</f>
        <v>0.03</v>
      </c>
      <c r="L9706" s="13" t="n">
        <f aca="false">g_ps</f>
        <v>0.03</v>
      </c>
      <c r="M9706" s="13" t="n">
        <f aca="false">g_ps</f>
        <v>0.03</v>
      </c>
      <c r="P9706" s="8" t="s">
        <v>665</v>
      </c>
    </row>
    <row r="9707" customFormat="false" ht="17.15" hidden="false" customHeight="false" outlineLevel="0" collapsed="false">
      <c r="A9707" s="0" t="s">
        <v>518</v>
      </c>
      <c r="B9707" s="0" t="s">
        <v>86</v>
      </c>
      <c r="C9707" s="38" t="n">
        <f aca="false">Q!$D$12</f>
        <v>156.146</v>
      </c>
      <c r="D9707" s="38" t="n">
        <f aca="false">Q!$E$12</f>
        <v>172.162</v>
      </c>
      <c r="E9707" s="38" t="n">
        <f aca="false">Q!$P$12</f>
        <v>88.358</v>
      </c>
      <c r="F9707" s="38" t="n">
        <f aca="false">Sens!$O$9707*(1+Sens!$F$9708)*Sens!$F$9715</f>
        <v>102.004388260171</v>
      </c>
      <c r="G9707" s="38" t="n">
        <f aca="false">Sens!$E$9707+Sens!$F$9707</f>
        <v>190.362388260171</v>
      </c>
      <c r="H9707" s="38" t="n">
        <f aca="false">Sens!$G$9707*(1+Sens!$H$9708)</f>
        <v>210.343106588311</v>
      </c>
      <c r="I9707" s="38" t="n">
        <f aca="false">Sens!$H$9707*(1+Sens!$I$9708)</f>
        <v>229.969728494648</v>
      </c>
      <c r="J9707" s="38" t="n">
        <f aca="false">Sens!$I$9707*(1+Sens!$J$9708)</f>
        <v>248.747636972598</v>
      </c>
      <c r="K9707" s="38" t="n">
        <f aca="false">Sens!$J$9707*(1+Sens!$K$9708)</f>
        <v>266.15997156068</v>
      </c>
      <c r="L9707" s="38" t="n">
        <f aca="false">Sens!$K$9707*(1+Sens!$L$9708)</f>
        <v>284.791169569927</v>
      </c>
      <c r="M9707" s="38" t="n">
        <f aca="false">Sens!$L$9707*(1+Sens!$M$9708)</f>
        <v>304.726551439822</v>
      </c>
      <c r="N9707" s="38" t="n">
        <f aca="false">Q!$N$12</f>
        <v>76.86</v>
      </c>
      <c r="O9707" s="38" t="n">
        <f aca="false">Q!$O$12</f>
        <v>95.302</v>
      </c>
      <c r="P9707" s="8" t="s">
        <v>661</v>
      </c>
    </row>
    <row r="9708" customFormat="false" ht="17.15" hidden="false" customHeight="false" outlineLevel="0" collapsed="false">
      <c r="A9708" s="0" t="s">
        <v>666</v>
      </c>
      <c r="B9708" s="0" t="s">
        <v>52</v>
      </c>
      <c r="E9708" s="13" t="n">
        <f aca="false">Sens!$E$9707/Sens!$N$9707-1</f>
        <v>0.1495966692688</v>
      </c>
      <c r="F9708" s="13" t="n">
        <f aca="false">Sens!$O$9707/(Q!$F$12+Q!$G$12)-1</f>
        <v>0.11661530890813</v>
      </c>
      <c r="G9708" s="13" t="n">
        <f aca="false">Sens!$G$9707/Sens!$D$9707-1</f>
        <v>0.105716640490767</v>
      </c>
      <c r="H9708" s="13" t="n">
        <f aca="false">Sens!$F$9708+(g_sp-Sens!$F$9708)*1/4</f>
        <v>0.104961481681098</v>
      </c>
      <c r="I9708" s="13" t="n">
        <f aca="false">Sens!$F$9708+(g_sp-Sens!$F$9708)*2/4</f>
        <v>0.0933076544540651</v>
      </c>
      <c r="J9708" s="13" t="n">
        <f aca="false">Sens!$F$9708+(g_sp-Sens!$F$9708)*3/4</f>
        <v>0.0816538272270325</v>
      </c>
      <c r="K9708" s="13" t="n">
        <f aca="false">Sens!$F$9708+(g_sp-Sens!$F$9708)*4/4</f>
        <v>0.07</v>
      </c>
      <c r="L9708" s="13" t="n">
        <f aca="false">g_sp</f>
        <v>0.07</v>
      </c>
      <c r="M9708" s="13" t="n">
        <f aca="false">g_sp</f>
        <v>0.07</v>
      </c>
      <c r="P9708" s="8" t="s">
        <v>667</v>
      </c>
    </row>
    <row r="9709" customFormat="false" ht="17.15" hidden="false" customHeight="false" outlineLevel="0" collapsed="false">
      <c r="A9709" s="0" t="s">
        <v>519</v>
      </c>
      <c r="B9709" s="0" t="s">
        <v>86</v>
      </c>
      <c r="C9709" s="38" t="n">
        <f aca="false">Q!$D$13</f>
        <v>56.214</v>
      </c>
      <c r="D9709" s="38" t="n">
        <f aca="false">Q!$E$13</f>
        <v>68.635</v>
      </c>
      <c r="E9709" s="38" t="n">
        <f aca="false">Q!$P$13</f>
        <v>37.052</v>
      </c>
      <c r="F9709" s="38" t="n">
        <f aca="false">Sens!$O$9709*(1+Sens!$F$9710)*Sens!$F$9715</f>
        <v>46.1572219944148</v>
      </c>
      <c r="G9709" s="38" t="n">
        <f aca="false">Sens!$E$9709+Sens!$F$9709</f>
        <v>83.2092219944148</v>
      </c>
      <c r="H9709" s="38" t="n">
        <f aca="false">Sens!$G$9709*(1+Sens!$H$9710)</f>
        <v>99.8969223878976</v>
      </c>
      <c r="I9709" s="38" t="n">
        <f aca="false">Sens!$H$9709*(1+Sens!$I$9710)</f>
        <v>116.583111095496</v>
      </c>
      <c r="J9709" s="38" t="n">
        <f aca="false">Sens!$I$9709*(1+Sens!$J$9710)</f>
        <v>132.148941941952</v>
      </c>
      <c r="K9709" s="38" t="n">
        <f aca="false">Sens!$J$9709*(1+Sens!$K$9710)</f>
        <v>145.363836136147</v>
      </c>
      <c r="L9709" s="38" t="n">
        <f aca="false">Sens!$K$9709*(1+Sens!$L$9710)</f>
        <v>159.900219749762</v>
      </c>
      <c r="M9709" s="38" t="n">
        <f aca="false">Sens!$L$9709*(1+Sens!$M$9710)</f>
        <v>175.890241724738</v>
      </c>
      <c r="N9709" s="38" t="n">
        <f aca="false">Q!$N$13</f>
        <v>29.615</v>
      </c>
      <c r="O9709" s="38" t="n">
        <f aca="false">Q!$O$13</f>
        <v>39.02</v>
      </c>
      <c r="P9709" s="8" t="s">
        <v>661</v>
      </c>
    </row>
    <row r="9710" customFormat="false" ht="17.15" hidden="false" customHeight="false" outlineLevel="0" collapsed="false">
      <c r="A9710" s="0" t="s">
        <v>668</v>
      </c>
      <c r="B9710" s="0" t="s">
        <v>52</v>
      </c>
      <c r="E9710" s="13" t="n">
        <f aca="false">Sens!$E$9709/Sens!$N$9709-1</f>
        <v>0.25112274185379</v>
      </c>
      <c r="F9710" s="13" t="n">
        <f aca="false">Sens!$O$9709/(Q!$F$13+Q!$G$13)-1</f>
        <v>0.234068123596572</v>
      </c>
      <c r="G9710" s="13" t="n">
        <f aca="false">Sens!$G$9709/Sens!$D$9709-1</f>
        <v>0.212343876949294</v>
      </c>
      <c r="H9710" s="13" t="n">
        <f aca="false">Sens!$F$9710+(g_ad-Sens!$F$9710)*1/4</f>
        <v>0.200551092697429</v>
      </c>
      <c r="I9710" s="13" t="n">
        <f aca="false">Sens!$F$9710+(g_ad-Sens!$F$9710)*2/4</f>
        <v>0.167034061798286</v>
      </c>
      <c r="J9710" s="13" t="n">
        <f aca="false">Sens!$F$9710+(g_ad-Sens!$F$9710)*3/4</f>
        <v>0.133517030899143</v>
      </c>
      <c r="K9710" s="13" t="n">
        <f aca="false">Sens!$F$9710+(g_ad-Sens!$F$9710)*4/4</f>
        <v>0.1</v>
      </c>
      <c r="L9710" s="13" t="n">
        <f aca="false">g_ad</f>
        <v>0.1</v>
      </c>
      <c r="M9710" s="13" t="n">
        <f aca="false">g_ad</f>
        <v>0.1</v>
      </c>
      <c r="P9710" s="8" t="s">
        <v>669</v>
      </c>
    </row>
    <row r="9711" customFormat="false" ht="17.15" hidden="false" customHeight="false" outlineLevel="0" collapsed="false">
      <c r="A9711" s="0" t="s">
        <v>520</v>
      </c>
      <c r="B9711" s="0" t="s">
        <v>86</v>
      </c>
      <c r="C9711" s="38" t="n">
        <f aca="false">Q!$D$14</f>
        <v>44.374</v>
      </c>
      <c r="D9711" s="38" t="n">
        <f aca="false">Q!$E$14</f>
        <v>49.619</v>
      </c>
      <c r="E9711" s="38" t="n">
        <f aca="false">Q!$P$14</f>
        <v>27.157</v>
      </c>
      <c r="F9711" s="38" t="n">
        <f aca="false">Sens!$O$9711*(1+Sens!$F$9712)*Sens!$F$9715</f>
        <v>27.7764165988154</v>
      </c>
      <c r="G9711" s="38" t="n">
        <f aca="false">Sens!$E$9711+Sens!$F$9711</f>
        <v>54.9334165988154</v>
      </c>
      <c r="H9711" s="38" t="n">
        <f aca="false">Sens!$G$9711*(1+Sens!$H$9712)</f>
        <v>61.1564112561829</v>
      </c>
      <c r="I9711" s="38" t="n">
        <f aca="false">Sens!$H$9711*(1+Sens!$I$9712)</f>
        <v>67.2020282103945</v>
      </c>
      <c r="J9711" s="38" t="n">
        <f aca="false">Sens!$I$9711*(1+Sens!$J$9712)</f>
        <v>72.8757274028885</v>
      </c>
      <c r="K9711" s="38" t="n">
        <f aca="false">Sens!$J$9711*(1+Sens!$K$9712)</f>
        <v>77.9770283210907</v>
      </c>
      <c r="L9711" s="38" t="n">
        <f aca="false">Sens!$K$9711*(1+Sens!$L$9712)</f>
        <v>83.4354203035671</v>
      </c>
      <c r="M9711" s="38" t="n">
        <f aca="false">Sens!$L$9711*(1+Sens!$M$9712)</f>
        <v>89.2758997248168</v>
      </c>
      <c r="N9711" s="38" t="n">
        <f aca="false">Q!$N$14</f>
        <v>23.923</v>
      </c>
      <c r="O9711" s="38" t="n">
        <f aca="false">Q!$O$14</f>
        <v>25.696</v>
      </c>
      <c r="P9711" s="8" t="s">
        <v>661</v>
      </c>
    </row>
    <row r="9712" customFormat="false" ht="17.15" hidden="false" customHeight="false" outlineLevel="0" collapsed="false">
      <c r="A9712" s="0" t="s">
        <v>670</v>
      </c>
      <c r="B9712" s="0" t="s">
        <v>52</v>
      </c>
      <c r="E9712" s="13" t="n">
        <f aca="false">Sens!$E$9711/Sens!$N$9711-1</f>
        <v>0.135183714417088</v>
      </c>
      <c r="F9712" s="13" t="n">
        <f aca="false">Sens!$O$9711/(Q!$F$14+Q!$G$14)-1</f>
        <v>0.127709997366804</v>
      </c>
      <c r="G9712" s="13" t="n">
        <f aca="false">Sens!$G$9711/Sens!$D$9711-1</f>
        <v>0.107104468022641</v>
      </c>
      <c r="H9712" s="13" t="n">
        <f aca="false">Sens!$F$9712+(g_sub-Sens!$F$9712)*1/4</f>
        <v>0.113282498025103</v>
      </c>
      <c r="I9712" s="13" t="n">
        <f aca="false">Sens!$F$9712+(g_sub-Sens!$F$9712)*2/4</f>
        <v>0.0988549986834021</v>
      </c>
      <c r="J9712" s="13" t="n">
        <f aca="false">Sens!$F$9712+(g_sub-Sens!$F$9712)*3/4</f>
        <v>0.084427499341701</v>
      </c>
      <c r="K9712" s="13" t="n">
        <f aca="false">Sens!$F$9712+(g_sub-Sens!$F$9712)*4/4</f>
        <v>0.07</v>
      </c>
      <c r="L9712" s="13" t="n">
        <f aca="false">g_sub</f>
        <v>0.07</v>
      </c>
      <c r="M9712" s="13" t="n">
        <f aca="false">g_sub</f>
        <v>0.07</v>
      </c>
      <c r="P9712" s="8" t="s">
        <v>671</v>
      </c>
    </row>
    <row r="9713" customFormat="false" ht="17.15" hidden="false" customHeight="false" outlineLevel="0" collapsed="false">
      <c r="A9713" s="0" t="s">
        <v>521</v>
      </c>
      <c r="B9713" s="0" t="s">
        <v>86</v>
      </c>
      <c r="C9713" s="38" t="n">
        <f aca="false">Q!$D$15</f>
        <v>5.425</v>
      </c>
      <c r="D9713" s="38" t="n">
        <f aca="false">Q!$E$15</f>
        <v>5.935</v>
      </c>
      <c r="E9713" s="38" t="n">
        <f aca="false">Q!$P$15</f>
        <v>3.474</v>
      </c>
      <c r="F9713" s="38" t="n">
        <f aca="false">Sens!$O$9713*(1+Sens!$F$9714)*Sens!$F$9715</f>
        <v>3.22246550883619</v>
      </c>
      <c r="G9713" s="38" t="n">
        <f aca="false">Sens!$E$9713+Sens!$F$9713</f>
        <v>6.69646550883619</v>
      </c>
      <c r="H9713" s="38" t="n">
        <f aca="false">Sens!$G$9713*(1+Sens!$H$9714)</f>
        <v>7.16251344209196</v>
      </c>
      <c r="I9713" s="38" t="n">
        <f aca="false">Sens!$H$9713*(1+Sens!$I$9714)</f>
        <v>7.61421070299826</v>
      </c>
      <c r="J9713" s="38" t="n">
        <f aca="false">Sens!$I$9713*(1+Sens!$J$9714)</f>
        <v>8.04465753523932</v>
      </c>
      <c r="K9713" s="38" t="n">
        <f aca="false">Sens!$J$9713*(1+Sens!$K$9714)</f>
        <v>8.44689041200128</v>
      </c>
      <c r="L9713" s="38" t="n">
        <f aca="false">Sens!$K$9713*(1+Sens!$L$9714)</f>
        <v>8.86923493260135</v>
      </c>
      <c r="M9713" s="38" t="n">
        <f aca="false">Sens!$L$9713*(1+Sens!$M$9714)</f>
        <v>9.31269667923142</v>
      </c>
      <c r="N9713" s="38" t="n">
        <f aca="false">Q!$N$15</f>
        <v>2.811</v>
      </c>
      <c r="O9713" s="38" t="n">
        <f aca="false">Q!$O$15</f>
        <v>3.124</v>
      </c>
      <c r="P9713" s="8" t="s">
        <v>661</v>
      </c>
    </row>
    <row r="9714" customFormat="false" ht="17.15" hidden="false" customHeight="false" outlineLevel="0" collapsed="false">
      <c r="A9714" s="0" t="s">
        <v>672</v>
      </c>
      <c r="B9714" s="0" t="s">
        <v>52</v>
      </c>
      <c r="E9714" s="13" t="n">
        <f aca="false">Sens!$E$9713/Sens!$N$9713-1</f>
        <v>0.235859124866596</v>
      </c>
      <c r="F9714" s="13" t="n">
        <f aca="false">Sens!$O$9713/(Q!$F$15+Q!$G$15)-1</f>
        <v>0.0761281433000345</v>
      </c>
      <c r="G9714" s="13" t="n">
        <f aca="false">Sens!$G$9713/Sens!$D$9713-1</f>
        <v>0.128300843948811</v>
      </c>
      <c r="H9714" s="13" t="n">
        <f aca="false">Sens!$F$9714+(g_ot-Sens!$F$9714)*1/4</f>
        <v>0.0695961074750259</v>
      </c>
      <c r="I9714" s="13" t="n">
        <f aca="false">Sens!$F$9714+(g_ot-Sens!$F$9714)*2/4</f>
        <v>0.0630640716500172</v>
      </c>
      <c r="J9714" s="13" t="n">
        <f aca="false">Sens!$F$9714+(g_ot-Sens!$F$9714)*3/4</f>
        <v>0.0565320358250086</v>
      </c>
      <c r="K9714" s="13" t="n">
        <f aca="false">Sens!$F$9714+(g_ot-Sens!$F$9714)*4/4</f>
        <v>0.05</v>
      </c>
      <c r="L9714" s="13" t="n">
        <f aca="false">g_ot</f>
        <v>0.05</v>
      </c>
      <c r="M9714" s="13" t="n">
        <f aca="false">g_ot</f>
        <v>0.05</v>
      </c>
      <c r="P9714" s="8" t="s">
        <v>673</v>
      </c>
    </row>
    <row r="9715" customFormat="false" ht="17.15" hidden="false" customHeight="false" outlineLevel="0" collapsed="false">
      <c r="A9715" s="0" t="s">
        <v>674</v>
      </c>
      <c r="B9715" s="0" t="s">
        <v>57</v>
      </c>
      <c r="F9715" s="40" t="n">
        <f aca="false">(g26q3_mid*Q!$O$8/Q!$J$8-Sens!$F$9744-Sens!$F$9748)/(Sens!$O$9703*(1+Sens!$F$9704)+Sens!$O$9705*(1+Sens!$F$9706)+Sens!$O$9707*(1+Sens!$F$9708)+Sens!$O$9709*(1+Sens!$F$9710)+Sens!$O$9711*(1+Sens!$F$9712)+Sens!$O$9713*(1+Sens!$F$9714))</f>
        <v>0.958546670622329</v>
      </c>
      <c r="P9715" s="8" t="s">
        <v>675</v>
      </c>
    </row>
    <row r="9716" customFormat="false" ht="17.15" hidden="false" customHeight="false" outlineLevel="0" collapsed="false">
      <c r="A9716" s="3" t="s">
        <v>676</v>
      </c>
      <c r="B9716" s="8" t="s">
        <v>86</v>
      </c>
      <c r="C9716" s="38" t="n">
        <f aca="false">Sens!$C$9703+Sens!$C$9705+Sens!$C$9707+Sens!$C$9709+Sens!$C$9711+Sens!$C$9713</f>
        <v>530.403</v>
      </c>
      <c r="D9716" s="38" t="n">
        <f aca="false">Sens!$D$9703+Sens!$D$9705+Sens!$D$9707+Sens!$D$9709+Sens!$D$9711+Sens!$D$9713</f>
        <v>588.199</v>
      </c>
      <c r="E9716" s="38" t="n">
        <f aca="false">Sens!$E$9703+Sens!$E$9705+Sens!$E$9707+Sens!$E$9709+Sens!$E$9711+Sens!$E$9713</f>
        <v>302.306</v>
      </c>
      <c r="F9716" s="38" t="n">
        <f aca="false">Sens!$F$9703+Sens!$F$9705+Sens!$F$9707+Sens!$F$9709+Sens!$F$9711+Sens!$F$9713</f>
        <v>349.048241645537</v>
      </c>
      <c r="G9716" s="38" t="n">
        <f aca="false">Sens!$G$9703+Sens!$G$9705+Sens!$G$9707+Sens!$G$9709+Sens!$G$9711+Sens!$G$9713</f>
        <v>651.354241645537</v>
      </c>
      <c r="H9716" s="38" t="n">
        <f aca="false">Sens!$H$9703+Sens!$H$9705+Sens!$H$9707+Sens!$H$9709+Sens!$H$9711+Sens!$H$9713</f>
        <v>721.096889521386</v>
      </c>
      <c r="I9716" s="38" t="n">
        <f aca="false">Sens!$I$9703+Sens!$I$9705+Sens!$I$9707+Sens!$I$9709+Sens!$I$9711+Sens!$I$9713</f>
        <v>788.529391152531</v>
      </c>
      <c r="J9716" s="38" t="n">
        <f aca="false">Sens!$J$9703+Sens!$J$9705+Sens!$J$9707+Sens!$J$9709+Sens!$J$9711+Sens!$J$9713</f>
        <v>851.108405741443</v>
      </c>
      <c r="K9716" s="38" t="n">
        <f aca="false">Sens!$K$9703+Sens!$K$9705+Sens!$K$9707+Sens!$K$9709+Sens!$K$9711+Sens!$K$9713</f>
        <v>906.176455431088</v>
      </c>
      <c r="L9716" s="38" t="n">
        <f aca="false">Sens!$L$9703+Sens!$L$9705+Sens!$L$9707+Sens!$L$9709+Sens!$L$9711+Sens!$L$9713</f>
        <v>965.093106475589</v>
      </c>
      <c r="M9716" s="38" t="n">
        <f aca="false">Sens!$M$9703+Sens!$M$9705+Sens!$M$9707+Sens!$M$9709+Sens!$M$9711+Sens!$M$9713</f>
        <v>1028.14790794689</v>
      </c>
      <c r="N9716" s="38" t="n">
        <f aca="false">Sens!$N$9703+Sens!$N$9705+Sens!$N$9707+Sens!$N$9709+Sens!$N$9711+Sens!$N$9713</f>
        <v>263.229</v>
      </c>
      <c r="O9716" s="38" t="n">
        <f aca="false">Sens!$O$9703+Sens!$O$9705+Sens!$O$9707+Sens!$O$9709+Sens!$O$9711+Sens!$O$9713</f>
        <v>324.97</v>
      </c>
    </row>
    <row r="9717" customFormat="false" ht="17.15" hidden="false" customHeight="false" outlineLevel="0" collapsed="false">
      <c r="A9717" s="5" t="s">
        <v>677</v>
      </c>
      <c r="B9717" s="0" t="s">
        <v>52</v>
      </c>
      <c r="C9717" s="13" t="n">
        <f aca="false">Q!$D$5/(Q!$D$5+Q!$D$6)</f>
        <v>0.730570905519011</v>
      </c>
      <c r="D9717" s="13" t="n">
        <f aca="false">Q!$E$5/(Q!$E$5+Q!$E$6)</f>
        <v>0.724763217890544</v>
      </c>
      <c r="E9717" s="13" t="n">
        <f aca="false">Q!$P$5/(Q!$P$5+Q!$P$6)</f>
        <v>0.728797972914861</v>
      </c>
      <c r="F9717" s="13" t="n">
        <f aca="false">Sens!$O$9717</f>
        <v>0.718066283041511</v>
      </c>
      <c r="G9717" s="13" t="n">
        <f aca="false">Sens!$G$9718/Sens!$G$9716</f>
        <v>0.723047066202847</v>
      </c>
      <c r="H9717" s="13" t="n">
        <f aca="false">Sens!$G$9717</f>
        <v>0.723047066202847</v>
      </c>
      <c r="I9717" s="13" t="n">
        <f aca="false">Sens!$G$9717</f>
        <v>0.723047066202847</v>
      </c>
      <c r="J9717" s="13" t="n">
        <f aca="false">Sens!$G$9717</f>
        <v>0.723047066202847</v>
      </c>
      <c r="K9717" s="13" t="n">
        <f aca="false">Sens!$G$9717</f>
        <v>0.723047066202847</v>
      </c>
      <c r="L9717" s="13" t="n">
        <f aca="false">Sens!$G$9717</f>
        <v>0.723047066202847</v>
      </c>
      <c r="M9717" s="13" t="n">
        <f aca="false">Sens!$G$9717</f>
        <v>0.723047066202847</v>
      </c>
      <c r="N9717" s="13" t="n">
        <f aca="false">Q!$N$5/(Q!$N$5+Q!$N$6)</f>
        <v>0.733030935041352</v>
      </c>
      <c r="O9717" s="13" t="n">
        <f aca="false">Q!$O$5/(Q!$O$5+Q!$O$6)</f>
        <v>0.718066283041511</v>
      </c>
      <c r="P9717" s="8" t="s">
        <v>678</v>
      </c>
    </row>
    <row r="9718" customFormat="false" ht="17.15" hidden="false" customHeight="false" outlineLevel="0" collapsed="false">
      <c r="A9718" s="1" t="s">
        <v>509</v>
      </c>
      <c r="B9718" s="8" t="s">
        <v>86</v>
      </c>
      <c r="C9718" s="38" t="n">
        <f aca="false">Q!$D$5</f>
        <v>387.497</v>
      </c>
      <c r="D9718" s="38" t="n">
        <f aca="false">Q!$E$5</f>
        <v>426.305</v>
      </c>
      <c r="E9718" s="38" t="n">
        <f aca="false">Q!$P$5</f>
        <v>220.32</v>
      </c>
      <c r="F9718" s="38" t="n">
        <f aca="false">Sens!$F$9716*Sens!$F$9717</f>
        <v>250.639773480586</v>
      </c>
      <c r="G9718" s="38" t="n">
        <f aca="false">Sens!$E$9718+Sens!$F$9718</f>
        <v>470.959773480586</v>
      </c>
      <c r="H9718" s="38" t="n">
        <f aca="false">Sens!$H$9716*Sens!$H$9717</f>
        <v>521.386990416437</v>
      </c>
      <c r="I9718" s="38" t="n">
        <f aca="false">Sens!$I$9716*Sens!$I$9717</f>
        <v>570.143862887555</v>
      </c>
      <c r="J9718" s="38" t="n">
        <f aca="false">Sens!$J$9716*Sens!$J$9717</f>
        <v>615.391435791933</v>
      </c>
      <c r="K9718" s="38" t="n">
        <f aca="false">Sens!$K$9716*Sens!$K$9717</f>
        <v>655.208227561543</v>
      </c>
      <c r="L9718" s="38" t="n">
        <f aca="false">Sens!$L$9716*Sens!$L$9717</f>
        <v>697.807739249767</v>
      </c>
      <c r="M9718" s="38" t="n">
        <f aca="false">Sens!$M$9716*Sens!$M$9717</f>
        <v>743.399328463592</v>
      </c>
      <c r="N9718" s="38" t="n">
        <f aca="false">Q!$N$5</f>
        <v>192.955</v>
      </c>
      <c r="O9718" s="38" t="n">
        <f aca="false">Q!$O$5</f>
        <v>233.35</v>
      </c>
      <c r="P9718" s="5" t="s">
        <v>679</v>
      </c>
    </row>
    <row r="9719" customFormat="false" ht="17.15" hidden="false" customHeight="false" outlineLevel="0" collapsed="false">
      <c r="A9719" s="1" t="s">
        <v>512</v>
      </c>
      <c r="B9719" s="8" t="s">
        <v>86</v>
      </c>
      <c r="C9719" s="38" t="n">
        <f aca="false">Q!$D$6</f>
        <v>142.906</v>
      </c>
      <c r="D9719" s="38" t="n">
        <f aca="false">Q!$E$6</f>
        <v>161.894</v>
      </c>
      <c r="E9719" s="38" t="n">
        <f aca="false">Q!$P$6</f>
        <v>81.986</v>
      </c>
      <c r="F9719" s="38" t="n">
        <f aca="false">Sens!$F$9716*(1-Sens!$F$9717)</f>
        <v>98.408468164951</v>
      </c>
      <c r="G9719" s="38" t="n">
        <f aca="false">Sens!$E$9719+Sens!$F$9719</f>
        <v>180.394468164951</v>
      </c>
      <c r="H9719" s="38" t="n">
        <f aca="false">Sens!$H$9716*(1-Sens!$H$9717)</f>
        <v>199.709899104949</v>
      </c>
      <c r="I9719" s="38" t="n">
        <f aca="false">Sens!$I$9716*(1-Sens!$I$9717)</f>
        <v>218.385528264976</v>
      </c>
      <c r="J9719" s="38" t="n">
        <f aca="false">Sens!$J$9716*(1-Sens!$J$9717)</f>
        <v>235.71696994951</v>
      </c>
      <c r="K9719" s="38" t="n">
        <f aca="false">Sens!$K$9716*(1-Sens!$K$9717)</f>
        <v>250.968227869545</v>
      </c>
      <c r="L9719" s="38" t="n">
        <f aca="false">Sens!$L$9716*(1-Sens!$L$9717)</f>
        <v>267.285367225822</v>
      </c>
      <c r="M9719" s="38" t="n">
        <f aca="false">Sens!$M$9716*(1-Sens!$M$9717)</f>
        <v>284.748579483295</v>
      </c>
      <c r="N9719" s="38" t="n">
        <f aca="false">Q!$N$6</f>
        <v>70.274</v>
      </c>
      <c r="O9719" s="38" t="n">
        <f aca="false">Q!$O$6</f>
        <v>91.62</v>
      </c>
      <c r="P9719" s="5" t="s">
        <v>680</v>
      </c>
    </row>
    <row r="9720" customFormat="false" ht="17.15" hidden="false" customHeight="false" outlineLevel="0" collapsed="false">
      <c r="A9720" s="5" t="s">
        <v>681</v>
      </c>
      <c r="B9720" s="0" t="s">
        <v>86</v>
      </c>
      <c r="C9720" s="38" t="n">
        <f aca="false">Sens!$C$9709*Sens!$C$9717</f>
        <v>41.0683128828457</v>
      </c>
      <c r="D9720" s="38" t="n">
        <f aca="false">Sens!$D$9709*Sens!$D$9717</f>
        <v>49.7441234599175</v>
      </c>
      <c r="E9720" s="38" t="n">
        <f aca="false">Sens!$E$9709*Sens!$E$9717</f>
        <v>27.0034224924414</v>
      </c>
      <c r="F9720" s="38" t="n">
        <f aca="false">Sens!$F$9709*Sens!$F$9717</f>
        <v>33.1439448330513</v>
      </c>
      <c r="G9720" s="38" t="n">
        <f aca="false">Sens!$G$9709*Sens!$G$9717</f>
        <v>60.164183844083</v>
      </c>
      <c r="H9720" s="38" t="n">
        <f aca="false">Sens!$H$9709*Sens!$H$9717</f>
        <v>72.2301766552629</v>
      </c>
      <c r="I9720" s="38" t="n">
        <f aca="false">Sens!$I$9709*Sens!$I$9717</f>
        <v>84.2950764463991</v>
      </c>
      <c r="J9720" s="38" t="n">
        <f aca="false">Sens!$J$9709*Sens!$J$9717</f>
        <v>95.5499047729386</v>
      </c>
      <c r="K9720" s="38" t="n">
        <f aca="false">Sens!$K$9709*Sens!$K$9717</f>
        <v>105.104895250232</v>
      </c>
      <c r="L9720" s="38" t="n">
        <f aca="false">Sens!$L$9709*Sens!$L$9717</f>
        <v>115.615384775256</v>
      </c>
      <c r="M9720" s="38" t="n">
        <f aca="false">Sens!$M$9709*Sens!$M$9717</f>
        <v>127.176923252781</v>
      </c>
      <c r="N9720" s="38" t="n">
        <f aca="false">Sens!$N$9709*Sens!$N$9717</f>
        <v>21.7087111412496</v>
      </c>
      <c r="O9720" s="38" t="n">
        <f aca="false">Sens!$O$9709*Sens!$O$9717</f>
        <v>28.0189463642798</v>
      </c>
      <c r="P9720" s="5" t="s">
        <v>682</v>
      </c>
    </row>
    <row r="9721" customFormat="false" ht="15" hidden="false" customHeight="false" outlineLevel="0" collapsed="false">
      <c r="A9721" s="5" t="s">
        <v>683</v>
      </c>
      <c r="B9721" s="0" t="s">
        <v>86</v>
      </c>
      <c r="C9721" s="38" t="n">
        <f aca="false">Sens!$C$9709-Sens!$C$9720</f>
        <v>15.1456871171543</v>
      </c>
      <c r="D9721" s="38" t="n">
        <f aca="false">Sens!$D$9709-Sens!$D$9720</f>
        <v>18.8908765400825</v>
      </c>
      <c r="E9721" s="38" t="n">
        <f aca="false">Sens!$E$9709-Sens!$E$9720</f>
        <v>10.0485775075586</v>
      </c>
      <c r="F9721" s="38" t="n">
        <f aca="false">Sens!$F$9709-Sens!$F$9720</f>
        <v>13.0132771613635</v>
      </c>
      <c r="G9721" s="38" t="n">
        <f aca="false">Sens!$G$9709-Sens!$G$9720</f>
        <v>23.0450381503318</v>
      </c>
      <c r="H9721" s="38" t="n">
        <f aca="false">Sens!$H$9709-Sens!$H$9720</f>
        <v>27.6667457326347</v>
      </c>
      <c r="I9721" s="38" t="n">
        <f aca="false">Sens!$I$9709-Sens!$I$9720</f>
        <v>32.2880346490971</v>
      </c>
      <c r="J9721" s="38" t="n">
        <f aca="false">Sens!$J$9709-Sens!$J$9720</f>
        <v>36.5990371690132</v>
      </c>
      <c r="K9721" s="38" t="n">
        <f aca="false">Sens!$K$9709-Sens!$K$9720</f>
        <v>40.2589408859145</v>
      </c>
      <c r="L9721" s="38" t="n">
        <f aca="false">Sens!$L$9709-Sens!$L$9720</f>
        <v>44.2848349745059</v>
      </c>
      <c r="M9721" s="38" t="n">
        <f aca="false">Sens!$M$9709-Sens!$M$9720</f>
        <v>48.7133184719565</v>
      </c>
      <c r="N9721" s="38" t="n">
        <f aca="false">Sens!$N$9709-Sens!$N$9720</f>
        <v>7.90628885875037</v>
      </c>
      <c r="O9721" s="38" t="n">
        <f aca="false">Sens!$O$9709-Sens!$O$9720</f>
        <v>11.0010536357202</v>
      </c>
    </row>
    <row r="9722" customFormat="false" ht="19.4" hidden="false" customHeight="false" outlineLevel="0" collapsed="false">
      <c r="A9722" s="31" t="s">
        <v>1328</v>
      </c>
    </row>
    <row r="9723" customFormat="false" ht="17.15" hidden="false" customHeight="false" outlineLevel="0" collapsed="false">
      <c r="A9723" s="6" t="s">
        <v>16</v>
      </c>
      <c r="B9723" s="6" t="s">
        <v>17</v>
      </c>
      <c r="C9723" s="20" t="s">
        <v>494</v>
      </c>
      <c r="D9723" s="20" t="s">
        <v>495</v>
      </c>
      <c r="E9723" s="20" t="s">
        <v>577</v>
      </c>
      <c r="F9723" s="20" t="s">
        <v>578</v>
      </c>
      <c r="G9723" s="20" t="s">
        <v>579</v>
      </c>
      <c r="H9723" s="20" t="s">
        <v>580</v>
      </c>
      <c r="I9723" s="20" t="s">
        <v>581</v>
      </c>
      <c r="J9723" s="20" t="s">
        <v>582</v>
      </c>
      <c r="K9723" s="20" t="s">
        <v>583</v>
      </c>
      <c r="L9723" s="20" t="s">
        <v>584</v>
      </c>
      <c r="M9723" s="20" t="s">
        <v>585</v>
      </c>
      <c r="N9723" s="20" t="s">
        <v>586</v>
      </c>
      <c r="O9723" s="20" t="s">
        <v>587</v>
      </c>
      <c r="P9723" s="6" t="s">
        <v>23</v>
      </c>
      <c r="R9723" s="20" t="n">
        <v>2023</v>
      </c>
      <c r="S9723" s="20" t="n">
        <v>2024</v>
      </c>
      <c r="T9723" s="20" t="n">
        <v>2025</v>
      </c>
      <c r="U9723" s="20" t="n">
        <v>2026</v>
      </c>
      <c r="V9723" s="20" t="n">
        <v>2027</v>
      </c>
      <c r="W9723" s="20" t="n">
        <v>2028</v>
      </c>
      <c r="X9723" s="20" t="n">
        <v>2029</v>
      </c>
      <c r="Y9723" s="20" t="n">
        <v>2030</v>
      </c>
      <c r="Z9723" s="20" t="n">
        <v>2031</v>
      </c>
      <c r="AA9723" s="20" t="n">
        <v>2032</v>
      </c>
    </row>
    <row r="9724" customFormat="false" ht="17.15" hidden="false" customHeight="false" outlineLevel="0" collapsed="false">
      <c r="A9724" s="1" t="s">
        <v>588</v>
      </c>
    </row>
    <row r="9725" customFormat="false" ht="17.15" hidden="false" customHeight="false" outlineLevel="0" collapsed="false">
      <c r="A9725" s="5" t="s">
        <v>589</v>
      </c>
      <c r="B9725" s="0" t="s">
        <v>144</v>
      </c>
      <c r="H9725" s="32" t="n">
        <f aca="false">pace_B</f>
        <v>3634.3</v>
      </c>
      <c r="I9725" s="32" t="n">
        <f aca="false">pace_B</f>
        <v>3634.3</v>
      </c>
      <c r="J9725" s="32" t="n">
        <f aca="false">pace_B</f>
        <v>3634.3</v>
      </c>
      <c r="K9725" s="32" t="n">
        <f aca="false">pace_B+(Sens!$J$9726*tg-pace_B)*1/3</f>
        <v>2570.86716666667</v>
      </c>
      <c r="L9725" s="32" t="n">
        <f aca="false">pace_B+(Sens!$J$9726*tg-pace_B)*2/3</f>
        <v>1507.43433333333</v>
      </c>
      <c r="M9725" s="32" t="n">
        <f aca="false">pace_B+(Sens!$J$9726*tg-pace_B)*3/3</f>
        <v>444.0015</v>
      </c>
      <c r="P9725" s="5" t="s">
        <v>590</v>
      </c>
    </row>
    <row r="9726" customFormat="false" ht="17.15" hidden="false" customHeight="false" outlineLevel="0" collapsed="false">
      <c r="A9726" s="15" t="s">
        <v>591</v>
      </c>
      <c r="B9726" s="14" t="s">
        <v>129</v>
      </c>
      <c r="C9726" s="33" t="n">
        <f aca="false">mw_ye24</f>
        <v>360</v>
      </c>
      <c r="D9726" s="33" t="n">
        <f aca="false">mw_ye25</f>
        <v>1440</v>
      </c>
      <c r="E9726" s="33" t="n">
        <f aca="false">mw_open</f>
        <v>2080</v>
      </c>
      <c r="F9726" s="33" t="n">
        <f aca="false">Sens!$E$9726+pace_B*0.5</f>
        <v>3897.15</v>
      </c>
      <c r="G9726" s="33" t="n">
        <f aca="false">Sens!$F$9726</f>
        <v>3897.15</v>
      </c>
      <c r="H9726" s="33" t="n">
        <f aca="false">Sens!$G$9726+Sens!$H$9725</f>
        <v>7531.45</v>
      </c>
      <c r="I9726" s="33" t="n">
        <f aca="false">Sens!$H$9726+Sens!$I$9725</f>
        <v>11165.75</v>
      </c>
      <c r="J9726" s="33" t="n">
        <f aca="false">Sens!$I$9726+Sens!$J$9725</f>
        <v>14800.05</v>
      </c>
      <c r="K9726" s="33" t="n">
        <f aca="false">Sens!$J$9726+Sens!$K$9725</f>
        <v>17370.9171666667</v>
      </c>
      <c r="L9726" s="33" t="n">
        <f aca="false">Sens!$K$9726+Sens!$L$9725</f>
        <v>18878.3515</v>
      </c>
      <c r="M9726" s="33" t="n">
        <f aca="false">Sens!$L$9726+Sens!$M$9725</f>
        <v>19322.353</v>
      </c>
      <c r="N9726" s="33" t="n">
        <f aca="false">(mw_ye24+mw_ye25)/2</f>
        <v>900</v>
      </c>
      <c r="O9726" s="33" t="n">
        <f aca="false">mw_ye25</f>
        <v>1440</v>
      </c>
      <c r="P9726" s="5" t="s">
        <v>592</v>
      </c>
    </row>
    <row r="9727" customFormat="false" ht="17.15" hidden="false" customHeight="false" outlineLevel="0" collapsed="false">
      <c r="A9727" s="5" t="s">
        <v>593</v>
      </c>
      <c r="B9727" s="0" t="s">
        <v>129</v>
      </c>
      <c r="C9727" s="32" t="n">
        <f aca="false">(mw_ye23+mw_ye24)/2</f>
        <v>240</v>
      </c>
      <c r="D9727" s="32" t="n">
        <f aca="false">(Sens!$C$9726+Sens!$D$9726)/2</f>
        <v>900</v>
      </c>
      <c r="E9727" s="32" t="n">
        <f aca="false">(Sens!$D$9726+Sens!$E$9726)/2</f>
        <v>1760</v>
      </c>
      <c r="F9727" s="32" t="n">
        <f aca="false">(Sens!$E$9726+Sens!$F$9726)/2</f>
        <v>2988.575</v>
      </c>
      <c r="G9727" s="32" t="n">
        <f aca="false">(Sens!$E$9727+Sens!$F$9727)/2</f>
        <v>2374.2875</v>
      </c>
      <c r="H9727" s="32" t="n">
        <f aca="false">(Sens!$G$9726+Sens!$H$9726)/2</f>
        <v>5714.3</v>
      </c>
      <c r="I9727" s="32" t="n">
        <f aca="false">(Sens!$H$9726+Sens!$I$9726)/2</f>
        <v>9348.6</v>
      </c>
      <c r="J9727" s="32" t="n">
        <f aca="false">(Sens!$I$9726+Sens!$J$9726)/2</f>
        <v>12982.9</v>
      </c>
      <c r="K9727" s="32" t="n">
        <f aca="false">(Sens!$J$9726+Sens!$K$9726)/2</f>
        <v>16085.4835833333</v>
      </c>
      <c r="L9727" s="32" t="n">
        <f aca="false">(Sens!$K$9726+Sens!$L$9726)/2</f>
        <v>18124.6343333333</v>
      </c>
      <c r="M9727" s="32" t="n">
        <f aca="false">(Sens!$L$9726+Sens!$M$9726)/2</f>
        <v>19100.35225</v>
      </c>
      <c r="N9727" s="32" t="n">
        <f aca="false">(Sens!$C$9726+Sens!$N$9726)/2</f>
        <v>630</v>
      </c>
      <c r="O9727" s="32" t="n">
        <f aca="false">(Sens!$N$9726+Sens!$O$9726)/2</f>
        <v>1170</v>
      </c>
    </row>
    <row r="9728" customFormat="false" ht="15" hidden="false" customHeight="false" outlineLevel="0" collapsed="false">
      <c r="A9728" s="5" t="s">
        <v>594</v>
      </c>
      <c r="B9728" s="5" t="s">
        <v>123</v>
      </c>
      <c r="C9728" s="34" t="n">
        <v>1</v>
      </c>
      <c r="D9728" s="34" t="n">
        <v>1</v>
      </c>
      <c r="E9728" s="34" t="n">
        <v>0.5</v>
      </c>
      <c r="F9728" s="34" t="n">
        <v>0.5</v>
      </c>
      <c r="G9728" s="34" t="n">
        <v>1</v>
      </c>
      <c r="H9728" s="34" t="n">
        <v>1</v>
      </c>
      <c r="I9728" s="34" t="n">
        <v>1</v>
      </c>
      <c r="J9728" s="34" t="n">
        <v>1</v>
      </c>
      <c r="K9728" s="34" t="n">
        <v>1</v>
      </c>
      <c r="L9728" s="34" t="n">
        <v>1</v>
      </c>
      <c r="M9728" s="34" t="n">
        <v>1</v>
      </c>
      <c r="N9728" s="34" t="n">
        <v>0.5</v>
      </c>
      <c r="O9728" s="34" t="n">
        <v>0.5</v>
      </c>
    </row>
    <row r="9729" customFormat="false" ht="17.15" hidden="false" customHeight="false" outlineLevel="0" collapsed="false">
      <c r="A9729" s="5" t="s">
        <v>595</v>
      </c>
      <c r="B9729" s="0" t="s">
        <v>129</v>
      </c>
      <c r="C9729" s="32" t="n">
        <f aca="false">Sens!$C$9726-mw_ye23</f>
        <v>240</v>
      </c>
      <c r="D9729" s="32" t="n">
        <f aca="false">Sens!$D$9726-Sens!$C$9726</f>
        <v>1080</v>
      </c>
      <c r="E9729" s="32" t="n">
        <f aca="false">Sens!$E$9726-Sens!$D$9726</f>
        <v>640</v>
      </c>
      <c r="F9729" s="32" t="n">
        <f aca="false">Sens!$F$9726-Sens!$E$9726</f>
        <v>1817.15</v>
      </c>
      <c r="G9729" s="32" t="n">
        <f aca="false">Sens!$E$9729+Sens!$F$9729</f>
        <v>2457.15</v>
      </c>
      <c r="H9729" s="32" t="n">
        <f aca="false">Sens!$H$9726-Sens!$G$9726</f>
        <v>3634.3</v>
      </c>
      <c r="I9729" s="32" t="n">
        <f aca="false">Sens!$I$9726-Sens!$H$9726</f>
        <v>3634.3</v>
      </c>
      <c r="J9729" s="32" t="n">
        <f aca="false">Sens!$J$9726-Sens!$I$9726</f>
        <v>3634.3</v>
      </c>
      <c r="K9729" s="32" t="n">
        <f aca="false">Sens!$K$9726-Sens!$J$9726</f>
        <v>2570.86716666667</v>
      </c>
      <c r="L9729" s="32" t="n">
        <f aca="false">Sens!$L$9726-Sens!$K$9726</f>
        <v>1507.43433333333</v>
      </c>
      <c r="M9729" s="32" t="n">
        <f aca="false">Sens!$M$9726-Sens!$L$9726</f>
        <v>444.001499999999</v>
      </c>
      <c r="N9729" s="32" t="n">
        <f aca="false">Sens!$N$9726-Sens!$C$9726</f>
        <v>540</v>
      </c>
      <c r="O9729" s="32" t="n">
        <f aca="false">Sens!$O$9726-Sens!$N$9726</f>
        <v>540</v>
      </c>
    </row>
    <row r="9730" customFormat="false" ht="17.15" hidden="false" customHeight="false" outlineLevel="0" collapsed="false">
      <c r="A9730" s="5" t="s">
        <v>596</v>
      </c>
      <c r="B9730" s="0" t="s">
        <v>129</v>
      </c>
      <c r="C9730" s="32" t="n">
        <f aca="false">Sens!$C$9729/ext_sh</f>
        <v>300</v>
      </c>
      <c r="D9730" s="32" t="n">
        <f aca="false">Sens!$D$9729/ext_sh</f>
        <v>1350</v>
      </c>
      <c r="E9730" s="32" t="n">
        <f aca="false">Sens!$E$9729/ext_sh</f>
        <v>800</v>
      </c>
      <c r="F9730" s="32" t="n">
        <f aca="false">Sens!$F$9729/ext_sh</f>
        <v>2271.4375</v>
      </c>
      <c r="G9730" s="32" t="n">
        <f aca="false">Sens!$G$9729/ext_sh</f>
        <v>3071.4375</v>
      </c>
      <c r="H9730" s="32" t="n">
        <f aca="false">Sens!$H$9729/ext_sh</f>
        <v>4542.875</v>
      </c>
      <c r="I9730" s="32" t="n">
        <f aca="false">Sens!$I$9729/ext_sh</f>
        <v>4542.875</v>
      </c>
      <c r="J9730" s="32" t="n">
        <f aca="false">Sens!$J$9729/ext_sh</f>
        <v>4542.875</v>
      </c>
      <c r="K9730" s="32" t="n">
        <f aca="false">Sens!$K$9729/ext_sh</f>
        <v>3213.58395833333</v>
      </c>
      <c r="L9730" s="32" t="n">
        <f aca="false">Sens!$L$9729/ext_sh</f>
        <v>1884.29291666667</v>
      </c>
      <c r="M9730" s="32" t="n">
        <f aca="false">Sens!$M$9729/ext_sh</f>
        <v>555.001874999998</v>
      </c>
      <c r="N9730" s="32" t="n">
        <f aca="false">Sens!$N$9729/ext_sh</f>
        <v>675</v>
      </c>
      <c r="O9730" s="32" t="n">
        <f aca="false">Sens!$O$9729/ext_sh</f>
        <v>675</v>
      </c>
      <c r="P9730" s="8" t="s">
        <v>597</v>
      </c>
      <c r="R9730" s="32" t="n">
        <f aca="false">mw_ye23/ext_sh</f>
        <v>150</v>
      </c>
      <c r="S9730" s="32" t="n">
        <f aca="false">Sens!$C$9730</f>
        <v>300</v>
      </c>
      <c r="T9730" s="32" t="n">
        <f aca="false">Sens!$D$9730</f>
        <v>1350</v>
      </c>
      <c r="U9730" s="32" t="n">
        <f aca="false">Sens!$G$9730</f>
        <v>3071.4375</v>
      </c>
      <c r="V9730" s="32" t="n">
        <f aca="false">Sens!$H$9730</f>
        <v>4542.875</v>
      </c>
      <c r="W9730" s="32" t="n">
        <f aca="false">Sens!$I$9730</f>
        <v>4542.875</v>
      </c>
      <c r="X9730" s="32" t="n">
        <f aca="false">Sens!$J$9730</f>
        <v>4542.875</v>
      </c>
      <c r="Y9730" s="32" t="n">
        <f aca="false">Sens!$K$9730</f>
        <v>3213.58395833333</v>
      </c>
      <c r="Z9730" s="32" t="n">
        <f aca="false">Sens!$L$9730</f>
        <v>1884.29291666667</v>
      </c>
      <c r="AA9730" s="32" t="n">
        <f aca="false">Sens!$M$9730</f>
        <v>555.001874999998</v>
      </c>
    </row>
    <row r="9731" customFormat="false" ht="17.15" hidden="false" customHeight="false" outlineLevel="0" collapsed="false">
      <c r="A9731" s="1" t="s">
        <v>598</v>
      </c>
    </row>
    <row r="9732" customFormat="false" ht="17.15" hidden="false" customHeight="false" outlineLevel="0" collapsed="false">
      <c r="A9732" s="0" t="s">
        <v>599</v>
      </c>
      <c r="B9732" s="0" t="s">
        <v>52</v>
      </c>
      <c r="F9732" s="35" t="n">
        <f aca="false">na_vr26</f>
        <v>0</v>
      </c>
      <c r="G9732" s="35" t="n">
        <f aca="false">na_vr26</f>
        <v>0</v>
      </c>
      <c r="H9732" s="35" t="n">
        <f aca="false">na_vr27</f>
        <v>0.5</v>
      </c>
      <c r="I9732" s="35" t="n">
        <f aca="false">na_vr28</f>
        <v>1</v>
      </c>
      <c r="J9732" s="35" t="n">
        <f aca="false">na_vr28</f>
        <v>1</v>
      </c>
      <c r="K9732" s="35" t="n">
        <f aca="false">na_vr28</f>
        <v>1</v>
      </c>
      <c r="L9732" s="35" t="n">
        <f aca="false">na_vr28</f>
        <v>1</v>
      </c>
      <c r="M9732" s="35" t="n">
        <f aca="false">na_vr28</f>
        <v>1</v>
      </c>
    </row>
    <row r="9733" customFormat="false" ht="17.15" hidden="false" customHeight="false" outlineLevel="0" collapsed="false">
      <c r="A9733" s="5" t="s">
        <v>600</v>
      </c>
      <c r="B9733" s="0" t="s">
        <v>173</v>
      </c>
      <c r="F9733" s="36" t="n">
        <f aca="false">cust_sh*tk_he_gb300*cf_chip+(1-cust_sh)*((1-Sens!$F$9732)*tk_he_gb300+Sens!$F$9732*tk_he_vr200)</f>
        <v>10.8864110021101</v>
      </c>
      <c r="G9733" s="36" t="n">
        <f aca="false">cust_sh*tk_he_gb300*cf_chip+(1-cust_sh)*((1-Sens!$G$9732)*tk_he_gb300+Sens!$G$9732*tk_he_vr200)</f>
        <v>10.8864110021101</v>
      </c>
      <c r="H9733" s="36" t="n">
        <f aca="false">cust_sh*tk_he_gb300*cf_chip+(1-cust_sh)*((1-Sens!$H$9732)*tk_he_gb300+Sens!$H$9732*tk_he_vr200)</f>
        <v>11.2211760027286</v>
      </c>
      <c r="I9733" s="36" t="n">
        <f aca="false">cust_sh*tk_he_gb300*cf_chip+(1-cust_sh)*((1-Sens!$I$9732)*tk_he_gb300+Sens!$I$9732*tk_he_vr200)</f>
        <v>11.5559410033471</v>
      </c>
      <c r="J9733" s="36" t="n">
        <f aca="false">cust_sh*tk_he_gb300*cf_chip+(1-cust_sh)*((1-Sens!$J$9732)*tk_he_gb300+Sens!$J$9732*tk_he_vr200)</f>
        <v>11.5559410033471</v>
      </c>
      <c r="K9733" s="36" t="n">
        <f aca="false">cust_sh*tk_he_gb300*cf_chip+(1-cust_sh)*((1-Sens!$K$9732)*tk_he_gb300+Sens!$K$9732*tk_he_vr200)</f>
        <v>11.5559410033471</v>
      </c>
      <c r="L9733" s="36" t="n">
        <f aca="false">cust_sh*tk_he_gb300*cf_chip+(1-cust_sh)*((1-Sens!$L$9732)*tk_he_gb300+Sens!$L$9732*tk_he_vr200)</f>
        <v>11.5559410033471</v>
      </c>
      <c r="M9733" s="36" t="n">
        <f aca="false">cust_sh*tk_he_gb300*cf_chip+(1-cust_sh)*((1-Sens!$M$9732)*tk_he_gb300+Sens!$M$9732*tk_he_vr200)</f>
        <v>11.5559410033471</v>
      </c>
    </row>
    <row r="9734" customFormat="false" ht="17.15" hidden="false" customHeight="false" outlineLevel="0" collapsed="false">
      <c r="A9734" s="5" t="s">
        <v>601</v>
      </c>
      <c r="B9734" s="0" t="s">
        <v>173</v>
      </c>
      <c r="F9734" s="36" t="n">
        <f aca="false">cust_sh*tk_ox_gb300+(1-cust_sh)*((1-Sens!$F$9732)*tk_ox_gb300+Sens!$F$9732*tk_ox_vr200)</f>
        <v>1.98263481314457</v>
      </c>
      <c r="G9734" s="36" t="n">
        <f aca="false">cust_sh*tk_ox_gb300+(1-cust_sh)*((1-Sens!$G$9732)*tk_ox_gb300+Sens!$G$9732*tk_ox_vr200)</f>
        <v>1.98263481314457</v>
      </c>
      <c r="H9734" s="36" t="n">
        <f aca="false">cust_sh*tk_ox_gb300+(1-cust_sh)*((1-Sens!$H$9732)*tk_ox_gb300+Sens!$H$9732*tk_ox_vr200)</f>
        <v>2.01034999693694</v>
      </c>
      <c r="I9734" s="36" t="n">
        <f aca="false">cust_sh*tk_ox_gb300+(1-cust_sh)*((1-Sens!$I$9732)*tk_ox_gb300+Sens!$I$9732*tk_ox_vr200)</f>
        <v>2.0380651807293</v>
      </c>
      <c r="J9734" s="36" t="n">
        <f aca="false">cust_sh*tk_ox_gb300+(1-cust_sh)*((1-Sens!$J$9732)*tk_ox_gb300+Sens!$J$9732*tk_ox_vr200)</f>
        <v>2.0380651807293</v>
      </c>
      <c r="K9734" s="36" t="n">
        <f aca="false">cust_sh*tk_ox_gb300+(1-cust_sh)*((1-Sens!$K$9732)*tk_ox_gb300+Sens!$K$9732*tk_ox_vr200)</f>
        <v>2.0380651807293</v>
      </c>
      <c r="L9734" s="36" t="n">
        <f aca="false">cust_sh*tk_ox_gb300+(1-cust_sh)*((1-Sens!$L$9732)*tk_ox_gb300+Sens!$L$9732*tk_ox_vr200)</f>
        <v>2.0380651807293</v>
      </c>
      <c r="M9734" s="36" t="n">
        <f aca="false">cust_sh*tk_ox_gb300+(1-cust_sh)*((1-Sens!$M$9732)*tk_ox_gb300+Sens!$M$9732*tk_ox_vr200)</f>
        <v>2.0380651807293</v>
      </c>
    </row>
    <row r="9735" customFormat="false" ht="17.15" hidden="false" customHeight="false" outlineLevel="0" collapsed="false">
      <c r="A9735" s="5" t="s">
        <v>602</v>
      </c>
      <c r="B9735" s="0" t="s">
        <v>192</v>
      </c>
      <c r="F9735" s="36" t="n">
        <f aca="false">cust_sh*tk_cx_gb300*cf_cx+(1-cust_sh)*((1-Sens!$F$9732)*tk_cx_gb300+Sens!$F$9732*tk_cx_vr200)</f>
        <v>32.237224</v>
      </c>
      <c r="G9735" s="36" t="n">
        <f aca="false">cust_sh*tk_cx_gb300*cf_cx+(1-cust_sh)*((1-Sens!$G$9732)*tk_cx_gb300+Sens!$G$9732*tk_cx_vr200)</f>
        <v>32.237224</v>
      </c>
      <c r="H9735" s="36" t="n">
        <f aca="false">cust_sh*tk_cx_gb300*cf_cx+(1-cust_sh)*((1-Sens!$H$9732)*tk_cx_gb300+Sens!$H$9732*tk_cx_vr200)</f>
        <v>33.574506</v>
      </c>
      <c r="I9735" s="36" t="n">
        <f aca="false">cust_sh*tk_cx_gb300*cf_cx+(1-cust_sh)*((1-Sens!$I$9732)*tk_cx_gb300+Sens!$I$9732*tk_cx_vr200)</f>
        <v>34.911788</v>
      </c>
      <c r="J9735" s="36" t="n">
        <f aca="false">cust_sh*tk_cx_gb300*cf_cx+(1-cust_sh)*((1-Sens!$J$9732)*tk_cx_gb300+Sens!$J$9732*tk_cx_vr200)</f>
        <v>34.911788</v>
      </c>
      <c r="K9735" s="36" t="n">
        <f aca="false">cust_sh*tk_cx_gb300*cf_cx+(1-cust_sh)*((1-Sens!$K$9732)*tk_cx_gb300+Sens!$K$9732*tk_cx_vr200)</f>
        <v>34.911788</v>
      </c>
      <c r="L9735" s="36" t="n">
        <f aca="false">cust_sh*tk_cx_gb300*cf_cx+(1-cust_sh)*((1-Sens!$L$9732)*tk_cx_gb300+Sens!$L$9732*tk_cx_vr200)</f>
        <v>34.911788</v>
      </c>
      <c r="M9735" s="36" t="n">
        <f aca="false">cust_sh*tk_cx_gb300*cf_cx+(1-cust_sh)*((1-Sens!$M$9732)*tk_cx_gb300+Sens!$M$9732*tk_cx_vr200)</f>
        <v>34.911788</v>
      </c>
    </row>
    <row r="9736" customFormat="false" ht="17.15" hidden="false" customHeight="false" outlineLevel="0" collapsed="false">
      <c r="A9736" s="5" t="s">
        <v>603</v>
      </c>
      <c r="B9736" s="0" t="s">
        <v>129</v>
      </c>
      <c r="F9736" s="32" t="n">
        <f aca="false">Sens!$F$9726-mw_open</f>
        <v>1817.15</v>
      </c>
      <c r="G9736" s="32" t="n">
        <f aca="false">Sens!$F$9736</f>
        <v>1817.15</v>
      </c>
      <c r="H9736" s="32" t="n">
        <f aca="false">Sens!$H$9726-mw_open</f>
        <v>5451.45</v>
      </c>
      <c r="I9736" s="32" t="n">
        <f aca="false">Sens!$I$9726-mw_open</f>
        <v>9085.75</v>
      </c>
      <c r="J9736" s="32" t="n">
        <f aca="false">Sens!$J$9726-mw_open</f>
        <v>12720.05</v>
      </c>
      <c r="K9736" s="32" t="n">
        <f aca="false">Sens!$K$9726-mw_open</f>
        <v>15290.9171666667</v>
      </c>
      <c r="L9736" s="32" t="n">
        <f aca="false">Sens!$L$9726-mw_open</f>
        <v>16798.3515</v>
      </c>
      <c r="M9736" s="32" t="n">
        <f aca="false">Sens!$M$9726-mw_open</f>
        <v>17242.353</v>
      </c>
    </row>
    <row r="9737" customFormat="false" ht="17.15" hidden="false" customHeight="false" outlineLevel="0" collapsed="false">
      <c r="A9737" s="0" t="s">
        <v>604</v>
      </c>
      <c r="B9737" s="0" t="s">
        <v>605</v>
      </c>
      <c r="F9737" s="32" t="n">
        <f aca="false">Sens!$F$9729*Sens!$F$9733</f>
        <v>19782.2417524844</v>
      </c>
      <c r="G9737" s="32" t="n">
        <f aca="false">Sens!$F$9737</f>
        <v>19782.2417524844</v>
      </c>
      <c r="H9737" s="32" t="n">
        <f aca="false">Sens!$G$9737+Sens!$H$9729*Sens!$H$9733</f>
        <v>60563.3616992009</v>
      </c>
      <c r="I9737" s="32" t="n">
        <f aca="false">Sens!$H$9737+Sens!$I$9729*Sens!$I$9733</f>
        <v>102561.118087665</v>
      </c>
      <c r="J9737" s="32" t="n">
        <f aca="false">Sens!$I$9737+Sens!$J$9729*Sens!$J$9733</f>
        <v>144558.87447613</v>
      </c>
      <c r="K9737" s="32" t="n">
        <f aca="false">Sens!$J$9737+Sens!$K$9729*Sens!$K$9733</f>
        <v>174267.663781572</v>
      </c>
      <c r="L9737" s="32" t="n">
        <f aca="false">Sens!$K$9737+Sens!$L$9729*Sens!$L$9733</f>
        <v>191687.486003992</v>
      </c>
      <c r="M9737" s="32" t="n">
        <f aca="false">Sens!$L$9737+Sens!$M$9729*Sens!$M$9733</f>
        <v>196818.341143389</v>
      </c>
    </row>
    <row r="9738" customFormat="false" ht="17.15" hidden="false" customHeight="false" outlineLevel="0" collapsed="false">
      <c r="A9738" s="0" t="s">
        <v>606</v>
      </c>
      <c r="B9738" s="0" t="s">
        <v>605</v>
      </c>
      <c r="F9738" s="32" t="n">
        <f aca="false">Sens!$F$9729*Sens!$F$9734</f>
        <v>3602.74485070566</v>
      </c>
      <c r="G9738" s="32" t="n">
        <f aca="false">Sens!$F$9738</f>
        <v>3602.74485070566</v>
      </c>
      <c r="H9738" s="32" t="n">
        <f aca="false">Sens!$G$9738+Sens!$H$9729*Sens!$H$9734</f>
        <v>10908.9598445736</v>
      </c>
      <c r="I9738" s="32" t="n">
        <f aca="false">Sens!$H$9738+Sens!$I$9729*Sens!$I$9734</f>
        <v>18315.9001308981</v>
      </c>
      <c r="J9738" s="32" t="n">
        <f aca="false">Sens!$I$9738+Sens!$J$9729*Sens!$J$9734</f>
        <v>25722.8404172225</v>
      </c>
      <c r="K9738" s="32" t="n">
        <f aca="false">Sens!$J$9738+Sens!$K$9729*Sens!$K$9734</f>
        <v>30962.4352738861</v>
      </c>
      <c r="L9738" s="32" t="n">
        <f aca="false">Sens!$K$9738+Sens!$L$9729*Sens!$L$9734</f>
        <v>34034.6847008886</v>
      </c>
      <c r="M9738" s="32" t="n">
        <f aca="false">Sens!$L$9738+Sens!$M$9729*Sens!$M$9734</f>
        <v>34939.5886982302</v>
      </c>
    </row>
    <row r="9739" customFormat="false" ht="17.15" hidden="false" customHeight="false" outlineLevel="0" collapsed="false">
      <c r="A9739" s="5" t="s">
        <v>607</v>
      </c>
      <c r="B9739" s="0" t="s">
        <v>173</v>
      </c>
      <c r="F9739" s="36" t="n">
        <f aca="false">IF(Sens!$F$9736&gt;0,Sens!$F$9737/Sens!$F$9736,Sens!$F$9733)</f>
        <v>10.8864110021101</v>
      </c>
      <c r="G9739" s="36" t="n">
        <f aca="false">IF(Sens!$G$9736&gt;0,Sens!$G$9737/Sens!$G$9736,Sens!$G$9733)</f>
        <v>10.8864110021101</v>
      </c>
      <c r="H9739" s="36" t="n">
        <f aca="false">IF(Sens!$H$9736&gt;0,Sens!$H$9737/Sens!$H$9736,Sens!$H$9733)</f>
        <v>11.1095876691891</v>
      </c>
      <c r="I9739" s="36" t="n">
        <f aca="false">IF(Sens!$I$9736&gt;0,Sens!$I$9737/Sens!$I$9736,Sens!$I$9733)</f>
        <v>11.2881290028523</v>
      </c>
      <c r="J9739" s="36" t="n">
        <f aca="false">IF(Sens!$J$9736&gt;0,Sens!$J$9737/Sens!$J$9736,Sens!$J$9733)</f>
        <v>11.3646467172794</v>
      </c>
      <c r="K9739" s="36" t="n">
        <f aca="false">IF(Sens!$K$9736&gt;0,Sens!$K$9737/Sens!$K$9736,Sens!$K$9733)</f>
        <v>11.3968090914432</v>
      </c>
      <c r="L9739" s="36" t="n">
        <f aca="false">IF(Sens!$L$9736&gt;0,Sens!$L$9737/Sens!$L$9736,Sens!$L$9733)</f>
        <v>11.4110891181192</v>
      </c>
      <c r="M9739" s="36" t="n">
        <f aca="false">IF(Sens!$M$9736&gt;0,Sens!$M$9737/Sens!$M$9736,Sens!$M$9733)</f>
        <v>11.4148191458201</v>
      </c>
    </row>
    <row r="9740" customFormat="false" ht="17.15" hidden="false" customHeight="false" outlineLevel="0" collapsed="false">
      <c r="A9740" s="5" t="s">
        <v>608</v>
      </c>
      <c r="B9740" s="0" t="s">
        <v>173</v>
      </c>
      <c r="F9740" s="36" t="n">
        <f aca="false">IF(Sens!$F$9736&gt;0,Sens!$F$9738/Sens!$F$9736,Sens!$F$9734)</f>
        <v>1.98263481314457</v>
      </c>
      <c r="G9740" s="36" t="n">
        <f aca="false">IF(Sens!$G$9736&gt;0,Sens!$G$9738/Sens!$G$9736,Sens!$G$9734)</f>
        <v>1.98263481314457</v>
      </c>
      <c r="H9740" s="36" t="n">
        <f aca="false">IF(Sens!$H$9736&gt;0,Sens!$H$9738/Sens!$H$9736,Sens!$H$9734)</f>
        <v>2.00111160233948</v>
      </c>
      <c r="I9740" s="36" t="n">
        <f aca="false">IF(Sens!$I$9736&gt;0,Sens!$I$9738/Sens!$I$9736,Sens!$I$9734)</f>
        <v>2.01589303369541</v>
      </c>
      <c r="J9740" s="36" t="n">
        <f aca="false">IF(Sens!$J$9736&gt;0,Sens!$J$9738/Sens!$J$9736,Sens!$J$9734)</f>
        <v>2.02222793284795</v>
      </c>
      <c r="K9740" s="36" t="n">
        <f aca="false">IF(Sens!$K$9736&gt;0,Sens!$K$9738/Sens!$K$9736,Sens!$K$9734)</f>
        <v>2.02489065478573</v>
      </c>
      <c r="L9740" s="36" t="n">
        <f aca="false">IF(Sens!$L$9736&gt;0,Sens!$L$9738/Sens!$L$9736,Sens!$L$9734)</f>
        <v>2.0260728977417</v>
      </c>
      <c r="M9740" s="36" t="n">
        <f aca="false">IF(Sens!$M$9736&gt;0,Sens!$M$9738/Sens!$M$9736,Sens!$M$9734)</f>
        <v>2.02638170661685</v>
      </c>
    </row>
    <row r="9741" customFormat="false" ht="17.15" hidden="false" customHeight="false" outlineLevel="0" collapsed="false">
      <c r="A9741" s="15" t="s">
        <v>609</v>
      </c>
      <c r="B9741" s="14" t="s">
        <v>173</v>
      </c>
      <c r="C9741" s="14"/>
      <c r="D9741" s="14"/>
      <c r="E9741" s="14"/>
      <c r="F9741" s="37" t="n">
        <f aca="false">Sens!$F$9739*k_B</f>
        <v>10.7987645808025</v>
      </c>
      <c r="G9741" s="37" t="n">
        <f aca="false">Sens!$G$9739*k_B</f>
        <v>10.7987645808025</v>
      </c>
      <c r="H9741" s="37" t="n">
        <f aca="false">Sens!$H$9739*k_B</f>
        <v>11.0201444540452</v>
      </c>
      <c r="I9741" s="37" t="n">
        <f aca="false">Sens!$I$9739*k_B</f>
        <v>11.1972483526393</v>
      </c>
      <c r="J9741" s="37" t="n">
        <f aca="false">Sens!$J$9739*k_B</f>
        <v>11.2731500234653</v>
      </c>
      <c r="K9741" s="37" t="n">
        <f aca="false">Sens!$K$9739*k_B</f>
        <v>11.3050534585724</v>
      </c>
      <c r="L9741" s="37" t="n">
        <f aca="false">Sens!$L$9739*k_B</f>
        <v>11.3192185168503</v>
      </c>
      <c r="M9741" s="37" t="n">
        <f aca="false">Sens!$M$9739*k_B</f>
        <v>11.3229185141234</v>
      </c>
      <c r="N9741" s="14"/>
      <c r="O9741" s="14"/>
      <c r="P9741" s="5" t="s">
        <v>610</v>
      </c>
    </row>
    <row r="9742" customFormat="false" ht="17.15" hidden="false" customHeight="false" outlineLevel="0" collapsed="false">
      <c r="A9742" s="5" t="s">
        <v>611</v>
      </c>
      <c r="B9742" s="0" t="s">
        <v>129</v>
      </c>
      <c r="F9742" s="32" t="n">
        <f aca="false">Sens!$F$9736/2</f>
        <v>908.575</v>
      </c>
      <c r="H9742" s="32" t="n">
        <f aca="false">(Sens!$G$9736+Sens!$H$9736)/2</f>
        <v>3634.3</v>
      </c>
      <c r="I9742" s="32" t="n">
        <f aca="false">(Sens!$H$9736+Sens!$I$9736)/2</f>
        <v>7268.6</v>
      </c>
      <c r="J9742" s="32" t="n">
        <f aca="false">(Sens!$I$9736+Sens!$J$9736)/2</f>
        <v>10902.9</v>
      </c>
      <c r="K9742" s="32" t="n">
        <f aca="false">(Sens!$J$9736+Sens!$K$9736)/2</f>
        <v>14005.4835833333</v>
      </c>
      <c r="L9742" s="32" t="n">
        <f aca="false">(Sens!$K$9736+Sens!$L$9736)/2</f>
        <v>16044.6343333333</v>
      </c>
      <c r="M9742" s="32" t="n">
        <f aca="false">(Sens!$L$9736+Sens!$M$9736)/2</f>
        <v>17020.35225</v>
      </c>
    </row>
    <row r="9743" customFormat="false" ht="17.15" hidden="false" customHeight="false" outlineLevel="0" collapsed="false">
      <c r="A9743" s="1" t="s">
        <v>612</v>
      </c>
    </row>
    <row r="9744" customFormat="false" ht="17.15" hidden="false" customHeight="false" outlineLevel="0" collapsed="false">
      <c r="A9744" s="1" t="s">
        <v>613</v>
      </c>
      <c r="B9744" s="8" t="s">
        <v>86</v>
      </c>
      <c r="C9744" s="38" t="n">
        <f aca="false">Sens!$C$9727*rpm_open*Sens!$C$9728/1000</f>
        <v>2.32100535697364</v>
      </c>
      <c r="D9744" s="38" t="n">
        <f aca="false">Sens!$D$9727*rpm_open*Sens!$D$9728/1000</f>
        <v>8.70377008865116</v>
      </c>
      <c r="E9744" s="38" t="n">
        <f aca="false">Sens!$E$9727*rpm_open*Sens!$E$9728/1000</f>
        <v>8.51035297557002</v>
      </c>
      <c r="F9744" s="38" t="n">
        <f aca="false">(mw_open*rpm_open+Sens!$F$9742*Sens!$F$9741)*Sens!$F$9728/1000</f>
        <v>14.9634336447205</v>
      </c>
      <c r="G9744" s="38" t="n">
        <f aca="false">Sens!$E$9744+Sens!$F$9744</f>
        <v>23.4737866202905</v>
      </c>
      <c r="H9744" s="38" t="n">
        <f aca="false">(mw_open*rpm_open+Sens!$H$9742*Sens!$H$9741)/1000</f>
        <v>60.1658907497746</v>
      </c>
      <c r="I9744" s="38" t="n">
        <f aca="false">(mw_open*rpm_open+Sens!$I$9742*Sens!$I$9741)/1000</f>
        <v>101.503699136432</v>
      </c>
      <c r="J9744" s="38" t="n">
        <f aca="false">(mw_open*rpm_open+Sens!$J$9742*Sens!$J$9741)/1000</f>
        <v>143.025407151278</v>
      </c>
      <c r="K9744" s="38" t="n">
        <f aca="false">(mw_open*rpm_open+Sens!$K$9742*Sens!$K$9741)/1000</f>
        <v>178.44812038318</v>
      </c>
      <c r="L9744" s="38" t="n">
        <f aca="false">(mw_open*rpm_open+Sens!$L$9742*Sens!$L$9741)/1000</f>
        <v>201.728101802396</v>
      </c>
      <c r="M9744" s="38" t="n">
        <f aca="false">(mw_open*rpm_open+Sens!$M$9742*Sens!$M$9741)/1000</f>
        <v>212.835441368865</v>
      </c>
      <c r="N9744" s="38" t="n">
        <f aca="false">Sens!$N$9727*rpm_open*Sens!$N$9728/1000</f>
        <v>3.04631953102791</v>
      </c>
      <c r="O9744" s="38" t="n">
        <f aca="false">Sens!$O$9727*rpm_open*Sens!$O$9728/1000</f>
        <v>5.65745055762326</v>
      </c>
      <c r="P9744" s="5" t="s">
        <v>614</v>
      </c>
    </row>
    <row r="9745" customFormat="false" ht="17.15" hidden="false" customHeight="false" outlineLevel="0" collapsed="false">
      <c r="A9745" s="5" t="s">
        <v>615</v>
      </c>
      <c r="B9745" s="0" t="s">
        <v>173</v>
      </c>
      <c r="C9745" s="36" t="n">
        <f aca="false">Sens!$C$9744*1000/(Sens!$C$9727*Sens!$C$9728)</f>
        <v>9.67085565405685</v>
      </c>
      <c r="D9745" s="36" t="n">
        <f aca="false">Sens!$D$9744*1000/(Sens!$D$9727*Sens!$D$9728)</f>
        <v>9.67085565405685</v>
      </c>
      <c r="E9745" s="36" t="n">
        <f aca="false">Sens!$E$9744*1000/(Sens!$E$9727*Sens!$E$9728)</f>
        <v>9.67085565405685</v>
      </c>
      <c r="F9745" s="36" t="n">
        <f aca="false">Sens!$F$9744*1000/(Sens!$F$9727*Sens!$F$9728)</f>
        <v>10.0137581588017</v>
      </c>
      <c r="G9745" s="36" t="n">
        <f aca="false">Sens!$G$9744*1000/(Sens!$G$9727*Sens!$G$9728)</f>
        <v>9.88666562928478</v>
      </c>
      <c r="H9745" s="36" t="n">
        <f aca="false">Sens!$H$9744*1000/(Sens!$H$9727*Sens!$H$9728)</f>
        <v>10.5290045586992</v>
      </c>
      <c r="I9745" s="36" t="n">
        <f aca="false">Sens!$I$9744*1000/(Sens!$I$9727*Sens!$I$9728)</f>
        <v>10.8576363451674</v>
      </c>
      <c r="J9745" s="36" t="n">
        <f aca="false">Sens!$J$9744*1000/(Sens!$J$9727*Sens!$J$9728)</f>
        <v>11.0164452588619</v>
      </c>
      <c r="K9745" s="36" t="n">
        <f aca="false">Sens!$K$9744*1000/(Sens!$K$9727*Sens!$K$9728)</f>
        <v>11.0937367508227</v>
      </c>
      <c r="L9745" s="36" t="n">
        <f aca="false">Sens!$L$9744*1000/(Sens!$L$9727*Sens!$L$9728)</f>
        <v>11.1300508519168</v>
      </c>
      <c r="M9745" s="36" t="n">
        <f aca="false">Sens!$M$9744*1000/(Sens!$M$9727*Sens!$M$9728)</f>
        <v>11.1430113216297</v>
      </c>
      <c r="N9745" s="36" t="n">
        <f aca="false">Sens!$N$9744*1000/(Sens!$N$9727*Sens!$N$9728)</f>
        <v>9.67085565405685</v>
      </c>
      <c r="O9745" s="36" t="n">
        <f aca="false">Sens!$O$9744*1000/(Sens!$O$9727*Sens!$O$9728)</f>
        <v>9.67085565405685</v>
      </c>
    </row>
    <row r="9746" customFormat="false" ht="17.15" hidden="false" customHeight="false" outlineLevel="0" collapsed="false">
      <c r="A9746" s="0" t="s">
        <v>616</v>
      </c>
      <c r="B9746" s="0" t="s">
        <v>86</v>
      </c>
      <c r="C9746" s="38" t="n">
        <f aca="false">Sens!$C$9727/ext_sh*(ox_open+rent_mw)*Sens!$C$9728/1000</f>
        <v>0.642569210675032</v>
      </c>
      <c r="D9746" s="38" t="n">
        <f aca="false">Sens!$D$9727/ext_sh*(ox_open+rent_mw)*Sens!$D$9728/1000</f>
        <v>2.40963454003137</v>
      </c>
      <c r="E9746" s="38" t="n">
        <f aca="false">Sens!$E$9727/ext_sh*(ox_open+rent_mw)*Sens!$E$9728/1000</f>
        <v>2.35608710580845</v>
      </c>
      <c r="F9746" s="38" t="n">
        <f aca="false">((mw_open*ox_open+Sens!$F$9742*Sens!$F$9740)/ext_sh+Sens!$F$9727/ext_sh*rent_mw)*Sens!$F$9728/1000</f>
        <v>4.05421991106232</v>
      </c>
      <c r="G9746" s="38" t="n">
        <f aca="false">Sens!$E$9746+Sens!$F$9746</f>
        <v>6.41030701687077</v>
      </c>
      <c r="H9746" s="38" t="n">
        <f aca="false">((mw_open*ox_open+Sens!$H$9742*Sens!$H$9740)/ext_sh+Sens!$H$9727/ext_sh*rent_mw)*Sens!$H$9728/1000</f>
        <v>15.8108975546616</v>
      </c>
      <c r="I9746" s="38" t="n">
        <f aca="false">((mw_open*ox_open+Sens!$I$9742*Sens!$I$9740)/ext_sh+Sens!$I$9727/ext_sh*rent_mw)*Sens!$I$9728/1000</f>
        <v>26.1871623400817</v>
      </c>
      <c r="J9746" s="38" t="n">
        <f aca="false">((mw_open*ox_open+Sens!$J$9742*Sens!$J$9740)/ext_sh+Sens!$J$9727/ext_sh*rent_mw)*Sens!$J$9728/1000</f>
        <v>36.5826128954935</v>
      </c>
      <c r="K9746" s="38" t="n">
        <f aca="false">((mw_open*ox_open+Sens!$K$9742*Sens!$K$9740)/ext_sh+Sens!$K$9727/ext_sh*rent_mw)*Sens!$K$9728/1000</f>
        <v>45.4546361137628</v>
      </c>
      <c r="L9746" s="38" t="n">
        <f aca="false">((mw_open*ox_open+Sens!$L$9742*Sens!$L$9740)/ext_sh+Sens!$L$9727/ext_sh*rent_mw)*Sens!$L$9728/1000</f>
        <v>51.2855695554452</v>
      </c>
      <c r="M9746" s="38" t="n">
        <f aca="false">((mw_open*ox_open+Sens!$M$9742*Sens!$M$9740)/ext_sh+Sens!$M$9727/ext_sh*rent_mw)*Sens!$M$9728/1000</f>
        <v>54.0722927838398</v>
      </c>
      <c r="N9746" s="38" t="n">
        <f aca="false">Sens!$N$9727/ext_sh*(ox_open+rent_mw)*Sens!$N$9728/1000</f>
        <v>0.84337208901098</v>
      </c>
      <c r="O9746" s="38" t="n">
        <f aca="false">Sens!$O$9727/ext_sh*(ox_open+rent_mw)*Sens!$O$9728/1000</f>
        <v>1.56626245102039</v>
      </c>
    </row>
    <row r="9747" customFormat="false" ht="17.15" hidden="false" customHeight="false" outlineLevel="0" collapsed="false">
      <c r="A9747" s="0" t="s">
        <v>617</v>
      </c>
      <c r="B9747" s="0" t="s">
        <v>86</v>
      </c>
      <c r="C9747" s="38" t="n">
        <f aca="false">Q!$D$7</f>
        <v>107.556</v>
      </c>
      <c r="D9747" s="38" t="n">
        <f aca="false">Q!$E$7</f>
        <v>128.725</v>
      </c>
      <c r="E9747" s="38" t="n">
        <f aca="false">Q!$P$7</f>
        <v>79.819</v>
      </c>
      <c r="N9747" s="38" t="n">
        <f aca="false">Q!$N$7</f>
        <v>60.14</v>
      </c>
      <c r="O9747" s="38" t="n">
        <f aca="false">Q!$O$7</f>
        <v>68.585</v>
      </c>
    </row>
    <row r="9748" customFormat="false" ht="17.15" hidden="false" customHeight="false" outlineLevel="0" collapsed="false">
      <c r="A9748" s="1" t="s">
        <v>618</v>
      </c>
      <c r="B9748" s="8" t="s">
        <v>86</v>
      </c>
      <c r="C9748" s="38" t="n">
        <f aca="false">Sens!$C$9747-Sens!$C$9744</f>
        <v>105.234994643026</v>
      </c>
      <c r="D9748" s="38" t="n">
        <f aca="false">Sens!$D$9747-Sens!$D$9744</f>
        <v>120.021229911349</v>
      </c>
      <c r="E9748" s="38" t="n">
        <f aca="false">Sens!$E$9747-Sens!$E$9744</f>
        <v>71.30864702443</v>
      </c>
      <c r="F9748" s="38" t="n">
        <f aca="false">Sens!$O$9748*(1+Sens!$F$9749)</f>
        <v>71.7692997942464</v>
      </c>
      <c r="G9748" s="38" t="n">
        <f aca="false">Sens!$E$9748+Sens!$F$9748</f>
        <v>143.077946818676</v>
      </c>
      <c r="H9748" s="38" t="n">
        <f aca="false">Sens!$G$9748*(1+Sens!$H$9749)</f>
        <v>161.017077079203</v>
      </c>
      <c r="I9748" s="38" t="n">
        <f aca="false">Sens!$H$9748*(1+Sens!$I$9749)</f>
        <v>178.769759521457</v>
      </c>
      <c r="J9748" s="38" t="n">
        <f aca="false">Sens!$I$9748*(1+Sens!$J$9749)</f>
        <v>195.775538045907</v>
      </c>
      <c r="K9748" s="38" t="n">
        <f aca="false">Sens!$J$9748*(1+Sens!$K$9749)</f>
        <v>211.43758108958</v>
      </c>
      <c r="L9748" s="38" t="n">
        <f aca="false">Sens!$K$9748*(1+Sens!$L$9749)</f>
        <v>228.352587576746</v>
      </c>
      <c r="M9748" s="38" t="n">
        <f aca="false">Sens!$L$9748*(1+Sens!$M$9749)</f>
        <v>246.620794582886</v>
      </c>
      <c r="N9748" s="38" t="n">
        <f aca="false">Sens!$N$9747-Sens!$N$9744</f>
        <v>57.0936804689721</v>
      </c>
      <c r="O9748" s="38" t="n">
        <f aca="false">Sens!$O$9747-Sens!$O$9744</f>
        <v>62.9275494423768</v>
      </c>
      <c r="P9748" s="5" t="s">
        <v>619</v>
      </c>
    </row>
    <row r="9749" customFormat="false" ht="17.15" hidden="false" customHeight="false" outlineLevel="0" collapsed="false">
      <c r="A9749" s="0" t="s">
        <v>620</v>
      </c>
      <c r="B9749" s="0" t="s">
        <v>52</v>
      </c>
      <c r="D9749" s="13" t="n">
        <f aca="false">Sens!$D$9748/Sens!$C$9748-1</f>
        <v>0.140506827776062</v>
      </c>
      <c r="E9749" s="13" t="n">
        <f aca="false">Sens!$E$9748/Sens!$N$9748-1</f>
        <v>0.248976181579029</v>
      </c>
      <c r="F9749" s="13" t="n">
        <f aca="false">Sens!$D$9749</f>
        <v>0.140506827776062</v>
      </c>
      <c r="G9749" s="13" t="n">
        <f aca="false">Sens!$G$9748/Sens!$D$9748-1</f>
        <v>0.19210532106993</v>
      </c>
      <c r="H9749" s="13" t="n">
        <f aca="false">Sens!$F$9749+(g_awso_lt-Sens!$F$9749)*1/4</f>
        <v>0.125380120832046</v>
      </c>
      <c r="I9749" s="13" t="n">
        <f aca="false">Sens!$F$9749+(g_awso_lt-Sens!$F$9749)*2/4</f>
        <v>0.110253413888031</v>
      </c>
      <c r="J9749" s="13" t="n">
        <f aca="false">Sens!$F$9749+(g_awso_lt-Sens!$F$9749)*3/4</f>
        <v>0.0951267069440154</v>
      </c>
      <c r="K9749" s="13" t="n">
        <f aca="false">Sens!$F$9749+(g_awso_lt-Sens!$F$9749)*4/4</f>
        <v>0.08</v>
      </c>
      <c r="L9749" s="13" t="n">
        <f aca="false">g_awso_lt</f>
        <v>0.08</v>
      </c>
      <c r="M9749" s="13" t="n">
        <f aca="false">g_awso_lt</f>
        <v>0.08</v>
      </c>
      <c r="P9749" s="5" t="s">
        <v>621</v>
      </c>
    </row>
    <row r="9750" customFormat="false" ht="17.15" hidden="false" customHeight="false" outlineLevel="0" collapsed="false">
      <c r="A9750" s="1" t="s">
        <v>622</v>
      </c>
    </row>
    <row r="9751" customFormat="false" ht="17.15" hidden="false" customHeight="false" outlineLevel="0" collapsed="false">
      <c r="A9751" s="0" t="s">
        <v>623</v>
      </c>
      <c r="B9751" s="0" t="s">
        <v>86</v>
      </c>
      <c r="F9751" s="38" t="n">
        <f aca="false">cx_rt*Sens!$F$9716+cx_awso*Sens!$F$9748</f>
        <v>34.9734495387866</v>
      </c>
    </row>
    <row r="9752" customFormat="false" ht="17.15" hidden="false" customHeight="false" outlineLevel="0" collapsed="false">
      <c r="A9752" s="0" t="s">
        <v>624</v>
      </c>
      <c r="B9752" s="0" t="s">
        <v>52</v>
      </c>
      <c r="C9752" s="13" t="n">
        <f aca="false">tk_cx_h100/(tk_cx_h100+tk_fac*(1-colo_sh))</f>
        <v>0.730756458006641</v>
      </c>
      <c r="D9752" s="13" t="n">
        <f aca="false">tk_cx_h100/(tk_cx_h100+tk_fac*(1-colo_sh))</f>
        <v>0.730756458006641</v>
      </c>
      <c r="E9752" s="13" t="n">
        <f aca="false">Sens!$F$9752</f>
        <v>0.760792334328868</v>
      </c>
      <c r="F9752" s="13" t="n">
        <f aca="false">Sens!$F$9735/(Sens!$F$9735+tk_fac*(1-colo_sh))</f>
        <v>0.760792334328868</v>
      </c>
      <c r="G9752" s="13" t="n">
        <f aca="false">Sens!$G$9735/(Sens!$G$9735+tk_fac*(1-colo_sh))</f>
        <v>0.760792334328868</v>
      </c>
      <c r="H9752" s="13" t="n">
        <f aca="false">Sens!$H$9735/(Sens!$H$9735+tk_fac*(1-colo_sh))</f>
        <v>0.768110668862996</v>
      </c>
      <c r="I9752" s="13" t="n">
        <f aca="false">Sens!$I$9735/(Sens!$I$9735+tk_fac*(1-colo_sh))</f>
        <v>0.77499450139483</v>
      </c>
      <c r="J9752" s="13" t="n">
        <f aca="false">Sens!$J$9735/(Sens!$J$9735+tk_fac*(1-colo_sh))</f>
        <v>0.77499450139483</v>
      </c>
      <c r="K9752" s="13" t="n">
        <f aca="false">Sens!$K$9735/(Sens!$K$9735+tk_fac*(1-colo_sh))</f>
        <v>0.77499450139483</v>
      </c>
      <c r="L9752" s="13" t="n">
        <f aca="false">Sens!$L$9735/(Sens!$L$9735+tk_fac*(1-colo_sh))</f>
        <v>0.77499450139483</v>
      </c>
      <c r="M9752" s="13" t="n">
        <f aca="false">Sens!$M$9735/(Sens!$M$9735+tk_fac*(1-colo_sh))</f>
        <v>0.77499450139483</v>
      </c>
    </row>
    <row r="9753" customFormat="false" ht="17.15" hidden="false" customHeight="false" outlineLevel="0" collapsed="false">
      <c r="A9753" s="1" t="s">
        <v>625</v>
      </c>
      <c r="B9753" s="8" t="s">
        <v>86</v>
      </c>
      <c r="C9753" s="38" t="n">
        <f aca="false">Q!$D$46-cx_rt*Q!$D$16-cx_awso*Sens!$C$9748</f>
        <v>25.2781053077374</v>
      </c>
      <c r="D9753" s="38" t="n">
        <f aca="false">Q!$E$46-cx_rt*Q!$E$16-cx_awso*Sens!$D$9748</f>
        <v>69.5686316310026</v>
      </c>
      <c r="E9753" s="38" t="n">
        <f aca="false">Q!$P$46-cx_rt*Q!$P$16-cx_awso*Sens!$E$9748</f>
        <v>64.1899206485108</v>
      </c>
      <c r="F9753" s="38" t="n">
        <f aca="false">MAX(Sens!$F$9730*(Sens!$F$9735+tk_fac*(1-colo_sh))/1000,capex_g26-Q!$P$46-Sens!$F$9751)</f>
        <v>96.2481299895</v>
      </c>
      <c r="G9753" s="38" t="n">
        <f aca="false">Sens!$E$9753+Sens!$F$9753</f>
        <v>160.438050638011</v>
      </c>
      <c r="H9753" s="38" t="n">
        <f aca="false">Sens!$H$9730*(Sens!$H$9735+tk_fac*(1-colo_sh))/1000+Sens!$H$9754</f>
        <v>198.57136494475</v>
      </c>
      <c r="I9753" s="38" t="n">
        <f aca="false">Sens!$I$9730*(Sens!$I$9735+tk_fac*(1-colo_sh))/1000+Sens!$I$9754</f>
        <v>204.6464699105</v>
      </c>
      <c r="J9753" s="38" t="n">
        <f aca="false">Sens!$J$9730*(Sens!$J$9735+tk_fac*(1-colo_sh))/1000+Sens!$J$9754</f>
        <v>209.8832381105</v>
      </c>
      <c r="K9753" s="38" t="n">
        <f aca="false">Sens!$K$9730*(Sens!$K$9735+tk_fac*(1-colo_sh))/1000+Sens!$K$9754</f>
        <v>155.238385275201</v>
      </c>
      <c r="L9753" s="38" t="n">
        <f aca="false">Sens!$L$9730*(Sens!$L$9735+tk_fac*(1-colo_sh))/1000+Sens!$L$9754</f>
        <v>132.014141639902</v>
      </c>
      <c r="M9753" s="38" t="n">
        <f aca="false">Sens!$M$9730*(Sens!$M$9735+tk_fac*(1-colo_sh))/1000+Sens!$M$9754</f>
        <v>132.230981659852</v>
      </c>
      <c r="P9753" s="5" t="s">
        <v>626</v>
      </c>
      <c r="R9753" s="38" t="n">
        <f aca="false">Q!$C$46-cx_rt*Q!$C$16-cx_awso*(Q!$C$7-mw_ye23/2*rpm_open/1000)</f>
        <v>1.50429979529945</v>
      </c>
      <c r="S9753" s="38" t="n">
        <f aca="false">Sens!$C$9753</f>
        <v>25.2781053077374</v>
      </c>
      <c r="T9753" s="38" t="n">
        <f aca="false">Sens!$D$9753</f>
        <v>69.5686316310026</v>
      </c>
      <c r="U9753" s="38" t="n">
        <f aca="false">Sens!$G$9753</f>
        <v>160.438050638011</v>
      </c>
      <c r="V9753" s="38" t="n">
        <f aca="false">Sens!$H$9753</f>
        <v>198.57136494475</v>
      </c>
      <c r="W9753" s="38" t="n">
        <f aca="false">Sens!$I$9753</f>
        <v>204.6464699105</v>
      </c>
      <c r="X9753" s="38" t="n">
        <f aca="false">Sens!$J$9753</f>
        <v>209.8832381105</v>
      </c>
      <c r="Y9753" s="38" t="n">
        <f aca="false">Sens!$K$9753</f>
        <v>155.238385275201</v>
      </c>
      <c r="Z9753" s="38" t="n">
        <f aca="false">Sens!$L$9753</f>
        <v>132.014141639902</v>
      </c>
      <c r="AA9753" s="38" t="n">
        <f aca="false">Sens!$M$9753</f>
        <v>132.230981659852</v>
      </c>
    </row>
    <row r="9754" customFormat="false" ht="17.15" hidden="false" customHeight="false" outlineLevel="0" collapsed="false">
      <c r="A9754" s="0" t="s">
        <v>627</v>
      </c>
      <c r="B9754" s="0" t="s">
        <v>86</v>
      </c>
      <c r="H9754" s="38" t="n">
        <f aca="false">SUMPRODUCT(--(Sens!$R$9723:$AA$9723=2027-tk_life),Sens!$R$9730:$AA$9730)*Sens!$H$9735/1000</f>
        <v>0</v>
      </c>
      <c r="I9754" s="38" t="n">
        <f aca="false">SUMPRODUCT(--(Sens!$R$9723:$AA$9723=2028-tk_life),Sens!$R$9730:$AA$9730)*Sens!$I$9735/1000</f>
        <v>0</v>
      </c>
      <c r="J9754" s="38" t="n">
        <f aca="false">SUMPRODUCT(--(Sens!$R$9723:$AA$9723=2029-tk_life),Sens!$R$9730:$AA$9730)*Sens!$J$9735/1000</f>
        <v>5.2367682</v>
      </c>
      <c r="K9754" s="38" t="n">
        <f aca="false">SUMPRODUCT(--(Sens!$R$9723:$AA$9723=2030-tk_life),Sens!$R$9730:$AA$9730)*Sens!$K$9735/1000</f>
        <v>10.4735364</v>
      </c>
      <c r="L9754" s="38" t="n">
        <f aca="false">SUMPRODUCT(--(Sens!$R$9723:$AA$9723=2031-tk_life),Sens!$R$9730:$AA$9730)*Sens!$L$9735/1000</f>
        <v>47.1309138</v>
      </c>
      <c r="M9754" s="38" t="n">
        <f aca="false">SUMPRODUCT(--(Sens!$R$9723:$AA$9723=2032-tk_life),Sens!$R$9730:$AA$9730)*Sens!$M$9735/1000</f>
        <v>107.22937485525</v>
      </c>
    </row>
    <row r="9755" customFormat="false" ht="17.15" hidden="false" customHeight="false" outlineLevel="0" collapsed="false">
      <c r="A9755" s="5" t="s">
        <v>628</v>
      </c>
      <c r="B9755" s="0" t="s">
        <v>86</v>
      </c>
      <c r="C9755" s="38" t="n">
        <f aca="false">Sens!$C$9753*Sens!$C$9752</f>
        <v>18.472138699801</v>
      </c>
      <c r="D9755" s="38" t="n">
        <f aca="false">Sens!$D$9753*Sens!$D$9752</f>
        <v>50.8377268390402</v>
      </c>
      <c r="E9755" s="38" t="n">
        <f aca="false">Sens!$E$9753*Sens!$E$9752</f>
        <v>48.8351995705653</v>
      </c>
      <c r="F9755" s="38" t="n">
        <f aca="false">Sens!$F$9753*Sens!$F$9752</f>
        <v>73.2248394895</v>
      </c>
      <c r="G9755" s="38" t="n">
        <f aca="false">Sens!$E$9755+Sens!$F$9755</f>
        <v>122.060039060065</v>
      </c>
      <c r="H9755" s="38" t="n">
        <f aca="false">(Sens!$H$9753-Sens!$H$9754)*Sens!$H$9752+Sens!$H$9754</f>
        <v>152.52478394475</v>
      </c>
      <c r="I9755" s="38" t="n">
        <f aca="false">(Sens!$I$9753-Sens!$I$9754)*Sens!$I$9752+Sens!$I$9754</f>
        <v>158.5998889105</v>
      </c>
      <c r="J9755" s="38" t="n">
        <f aca="false">(Sens!$J$9753-Sens!$J$9754)*Sens!$J$9752+Sens!$J$9754</f>
        <v>163.8366571105</v>
      </c>
      <c r="K9755" s="38" t="n">
        <f aca="false">(Sens!$K$9753-Sens!$K$9754)*Sens!$K$9752+Sens!$K$9754</f>
        <v>122.665498273534</v>
      </c>
      <c r="L9755" s="38" t="n">
        <f aca="false">(Sens!$L$9753-Sens!$L$9754)*Sens!$L$9752+Sens!$L$9754</f>
        <v>112.914948636568</v>
      </c>
      <c r="M9755" s="38" t="n">
        <f aca="false">(Sens!$M$9753-Sens!$M$9754)*Sens!$M$9752+Sens!$M$9754</f>
        <v>126.605482654852</v>
      </c>
      <c r="R9755" s="38" t="n">
        <f aca="false">Sens!$R$9753*Sens!$C$9752</f>
        <v>1.09927679019314</v>
      </c>
      <c r="S9755" s="38" t="n">
        <f aca="false">Sens!$C$9755</f>
        <v>18.472138699801</v>
      </c>
      <c r="T9755" s="38" t="n">
        <f aca="false">Sens!$D$9755</f>
        <v>50.8377268390402</v>
      </c>
      <c r="U9755" s="38" t="n">
        <f aca="false">Sens!$G$9755</f>
        <v>122.060039060065</v>
      </c>
      <c r="V9755" s="38" t="n">
        <f aca="false">Sens!$H$9755</f>
        <v>152.52478394475</v>
      </c>
      <c r="W9755" s="38" t="n">
        <f aca="false">Sens!$I$9755</f>
        <v>158.5998889105</v>
      </c>
      <c r="X9755" s="38" t="n">
        <f aca="false">Sens!$J$9755</f>
        <v>163.8366571105</v>
      </c>
      <c r="Y9755" s="38" t="n">
        <f aca="false">Sens!$K$9755</f>
        <v>122.665498273534</v>
      </c>
      <c r="Z9755" s="38" t="n">
        <f aca="false">Sens!$L$9755</f>
        <v>112.914948636568</v>
      </c>
      <c r="AA9755" s="38" t="n">
        <f aca="false">Sens!$M$9755</f>
        <v>126.605482654852</v>
      </c>
    </row>
    <row r="9756" customFormat="false" ht="15" hidden="false" customHeight="false" outlineLevel="0" collapsed="false">
      <c r="A9756" s="5" t="s">
        <v>629</v>
      </c>
      <c r="B9756" s="0" t="s">
        <v>86</v>
      </c>
      <c r="C9756" s="38" t="n">
        <f aca="false">Sens!$C$9753-Sens!$C$9755</f>
        <v>6.80596660793636</v>
      </c>
      <c r="D9756" s="38" t="n">
        <f aca="false">Sens!$D$9753-Sens!$D$9755</f>
        <v>18.7309047919624</v>
      </c>
      <c r="E9756" s="38" t="n">
        <f aca="false">Sens!$E$9753-Sens!$E$9755</f>
        <v>15.3547210779455</v>
      </c>
      <c r="F9756" s="38" t="n">
        <f aca="false">Sens!$F$9753-Sens!$F$9755</f>
        <v>23.0232905</v>
      </c>
      <c r="G9756" s="38" t="n">
        <f aca="false">Sens!$G$9753-Sens!$G$9755</f>
        <v>38.3780115779455</v>
      </c>
      <c r="H9756" s="38" t="n">
        <f aca="false">Sens!$H$9753-Sens!$H$9755</f>
        <v>46.046581</v>
      </c>
      <c r="I9756" s="38" t="n">
        <f aca="false">Sens!$I$9753-Sens!$I$9755</f>
        <v>46.046581</v>
      </c>
      <c r="J9756" s="38" t="n">
        <f aca="false">Sens!$J$9753-Sens!$J$9755</f>
        <v>46.046581</v>
      </c>
      <c r="K9756" s="38" t="n">
        <f aca="false">Sens!$K$9753-Sens!$K$9755</f>
        <v>32.5728870016667</v>
      </c>
      <c r="L9756" s="38" t="n">
        <f aca="false">Sens!$L$9753-Sens!$L$9755</f>
        <v>19.0991930033334</v>
      </c>
      <c r="M9756" s="38" t="n">
        <f aca="false">Sens!$M$9753-Sens!$M$9755</f>
        <v>5.62549900499998</v>
      </c>
      <c r="R9756" s="38" t="n">
        <f aca="false">Sens!$R$9753-Sens!$R$9755</f>
        <v>0.405023005106309</v>
      </c>
      <c r="S9756" s="38" t="n">
        <f aca="false">Sens!$S$9753-Sens!$S$9755</f>
        <v>6.80596660793636</v>
      </c>
      <c r="T9756" s="38" t="n">
        <f aca="false">Sens!$T$9753-Sens!$T$9755</f>
        <v>18.7309047919624</v>
      </c>
      <c r="U9756" s="38" t="n">
        <f aca="false">Sens!$U$9753-Sens!$U$9755</f>
        <v>38.3780115779455</v>
      </c>
      <c r="V9756" s="38" t="n">
        <f aca="false">Sens!$V$9753-Sens!$V$9755</f>
        <v>46.046581</v>
      </c>
      <c r="W9756" s="38" t="n">
        <f aca="false">Sens!$W$9753-Sens!$W$9755</f>
        <v>46.046581</v>
      </c>
      <c r="X9756" s="38" t="n">
        <f aca="false">Sens!$X$9753-Sens!$X$9755</f>
        <v>46.046581</v>
      </c>
      <c r="Y9756" s="38" t="n">
        <f aca="false">Sens!$Y$9753-Sens!$Y$9755</f>
        <v>32.5728870016667</v>
      </c>
      <c r="Z9756" s="38" t="n">
        <f aca="false">Sens!$Z$9753-Sens!$Z$9755</f>
        <v>19.0991930033334</v>
      </c>
      <c r="AA9756" s="38" t="n">
        <f aca="false">Sens!$AA$9753-Sens!$AA$9755</f>
        <v>5.62549900499998</v>
      </c>
    </row>
    <row r="9757" customFormat="false" ht="17.15" hidden="false" customHeight="false" outlineLevel="0" collapsed="false">
      <c r="A9757" s="0" t="s">
        <v>630</v>
      </c>
      <c r="B9757" s="0" t="s">
        <v>52</v>
      </c>
      <c r="C9757" s="13" t="n">
        <f aca="false">Sens!$C$9753/Sens!$C$9873</f>
        <v>0.325505489553393</v>
      </c>
      <c r="D9757" s="13" t="n">
        <f aca="false">Sens!$D$9753/Sens!$D$9873</f>
        <v>0.54214956071542</v>
      </c>
      <c r="E9757" s="13" t="n">
        <f aca="false">Sens!$E$9753/Sens!$E$9873</f>
        <v>0.666492790452817</v>
      </c>
      <c r="F9757" s="13" t="n">
        <f aca="false">Sens!$F$9753/Sens!$F$9873</f>
        <v>0.733477910687338</v>
      </c>
      <c r="G9757" s="13" t="n">
        <f aca="false">Sens!$G$9753/Sens!$G$9873</f>
        <v>0.705124321514523</v>
      </c>
      <c r="H9757" s="13" t="n">
        <f aca="false">Sens!$H$9753/Sens!$H$9873</f>
        <v>0.726376041178204</v>
      </c>
      <c r="I9757" s="13" t="n">
        <f aca="false">Sens!$I$9753/Sens!$I$9873</f>
        <v>0.713099092661699</v>
      </c>
      <c r="J9757" s="13" t="n">
        <f aca="false">Sens!$J$9753/Sens!$J$9873</f>
        <v>0.701208348786245</v>
      </c>
      <c r="K9757" s="13" t="n">
        <f aca="false">Sens!$K$9753/Sens!$K$9873</f>
        <v>0.618338844562383</v>
      </c>
      <c r="L9757" s="13" t="n">
        <f aca="false">Sens!$L$9753/Sens!$L$9873</f>
        <v>0.562489158462506</v>
      </c>
      <c r="M9757" s="13" t="n">
        <f aca="false">Sens!$M$9753/Sens!$M$9873</f>
        <v>0.545751190895923</v>
      </c>
    </row>
    <row r="9758" customFormat="false" ht="17.15" hidden="false" customHeight="false" outlineLevel="0" collapsed="false">
      <c r="A9758" s="0" t="s">
        <v>631</v>
      </c>
      <c r="B9758" s="0" t="s">
        <v>86</v>
      </c>
      <c r="C9758" s="38" t="n">
        <f aca="false">Sens!$S$9758</f>
        <v>0.183212798365523</v>
      </c>
      <c r="D9758" s="38" t="n">
        <f aca="false">Sens!$T$9758</f>
        <v>3.2619025816657</v>
      </c>
      <c r="E9758" s="38" t="n">
        <f aca="false">Sens!$G$9758/2</f>
        <v>5.86742852741953</v>
      </c>
      <c r="F9758" s="38" t="n">
        <f aca="false">Sens!$G$9758/2</f>
        <v>5.86742852741953</v>
      </c>
      <c r="G9758" s="38" t="n">
        <f aca="false">Sens!$U$9758</f>
        <v>11.7348570548391</v>
      </c>
      <c r="H9758" s="38" t="n">
        <f aca="false">Sens!$V$9758</f>
        <v>32.0781968981833</v>
      </c>
      <c r="I9758" s="38" t="n">
        <f aca="false">Sens!$W$9758</f>
        <v>57.4989942223083</v>
      </c>
      <c r="J9758" s="38" t="n">
        <f aca="false">Sens!$X$9758</f>
        <v>83.932309040725</v>
      </c>
      <c r="K9758" s="38" t="n">
        <f aca="false">Sens!$Y$9758</f>
        <v>111.055205760776</v>
      </c>
      <c r="L9758" s="38" t="n">
        <f aca="false">Sens!$Z$9758</f>
        <v>128.420765689732</v>
      </c>
      <c r="M9758" s="38" t="n">
        <f aca="false">Sens!$AA$9758</f>
        <v>138.766969322653</v>
      </c>
      <c r="N9758" s="38" t="n">
        <f aca="false">Sens!$D$9758/2</f>
        <v>1.63095129083285</v>
      </c>
      <c r="O9758" s="38" t="n">
        <f aca="false">Sens!$D$9758/2</f>
        <v>1.63095129083285</v>
      </c>
      <c r="R9758" s="38" t="n">
        <f aca="false">SUMPRODUCT(--(Sens!$R$9723:$AA$9723&lt;Sens!R$9723),--(Sens!$R$9723:$AA$9723&gt;=Sens!R$9723-tk_life),Sens!$R$9755:$AA$9755)/tk_life</f>
        <v>0</v>
      </c>
      <c r="S9758" s="38" t="n">
        <f aca="false">SUMPRODUCT(--(Sens!$R$9723:$AA$9723&lt;Sens!S$9723),--(Sens!$R$9723:$AA$9723&gt;=Sens!S$9723-tk_life),Sens!$R$9755:$AA$9755)/tk_life</f>
        <v>0.183212798365523</v>
      </c>
      <c r="T9758" s="38" t="n">
        <f aca="false">SUMPRODUCT(--(Sens!$R$9723:$AA$9723&lt;Sens!T$9723),--(Sens!$R$9723:$AA$9723&gt;=Sens!T$9723-tk_life),Sens!$R$9755:$AA$9755)/tk_life</f>
        <v>3.2619025816657</v>
      </c>
      <c r="U9758" s="38" t="n">
        <f aca="false">SUMPRODUCT(--(Sens!$R$9723:$AA$9723&lt;Sens!U$9723),--(Sens!$R$9723:$AA$9723&gt;=Sens!U$9723-tk_life),Sens!$R$9755:$AA$9755)/tk_life</f>
        <v>11.7348570548391</v>
      </c>
      <c r="V9758" s="38" t="n">
        <f aca="false">SUMPRODUCT(--(Sens!$R$9723:$AA$9723&lt;Sens!V$9723),--(Sens!$R$9723:$AA$9723&gt;=Sens!V$9723-tk_life),Sens!$R$9755:$AA$9755)/tk_life</f>
        <v>32.0781968981833</v>
      </c>
      <c r="W9758" s="38" t="n">
        <f aca="false">SUMPRODUCT(--(Sens!$R$9723:$AA$9723&lt;Sens!W$9723),--(Sens!$R$9723:$AA$9723&gt;=Sens!W$9723-tk_life),Sens!$R$9755:$AA$9755)/tk_life</f>
        <v>57.4989942223083</v>
      </c>
      <c r="X9758" s="38" t="n">
        <f aca="false">SUMPRODUCT(--(Sens!$R$9723:$AA$9723&lt;Sens!X$9723),--(Sens!$R$9723:$AA$9723&gt;=Sens!X$9723-tk_life),Sens!$R$9755:$AA$9755)/tk_life</f>
        <v>83.932309040725</v>
      </c>
      <c r="Y9758" s="38" t="n">
        <f aca="false">SUMPRODUCT(--(Sens!$R$9723:$AA$9723&lt;Sens!Y$9723),--(Sens!$R$9723:$AA$9723&gt;=Sens!Y$9723-tk_life),Sens!$R$9755:$AA$9755)/tk_life</f>
        <v>111.055205760776</v>
      </c>
      <c r="Z9758" s="38" t="n">
        <f aca="false">SUMPRODUCT(--(Sens!$R$9723:$AA$9723&lt;Sens!Z$9723),--(Sens!$R$9723:$AA$9723&gt;=Sens!Z$9723-tk_life),Sens!$R$9755:$AA$9755)/tk_life</f>
        <v>128.420765689732</v>
      </c>
      <c r="AA9758" s="38" t="n">
        <f aca="false">SUMPRODUCT(--(Sens!$R$9723:$AA$9723&lt;Sens!AA$9723),--(Sens!$R$9723:$AA$9723&gt;=Sens!AA$9723-tk_life),Sens!$R$9755:$AA$9755)/tk_life</f>
        <v>138.766969322653</v>
      </c>
    </row>
    <row r="9759" customFormat="false" ht="17.15" hidden="false" customHeight="false" outlineLevel="0" collapsed="false">
      <c r="A9759" s="0" t="s">
        <v>632</v>
      </c>
      <c r="B9759" s="0" t="s">
        <v>86</v>
      </c>
      <c r="C9759" s="38" t="n">
        <f aca="false">Sens!$S$9759</f>
        <v>0.0202511502553155</v>
      </c>
      <c r="D9759" s="38" t="n">
        <f aca="false">Sens!$T$9759</f>
        <v>0.360549480652134</v>
      </c>
      <c r="E9759" s="38" t="n">
        <f aca="false">Sens!$G$9759/2</f>
        <v>0.648547360125127</v>
      </c>
      <c r="F9759" s="38" t="n">
        <f aca="false">Sens!$G$9759/2</f>
        <v>0.648547360125127</v>
      </c>
      <c r="G9759" s="38" t="n">
        <f aca="false">Sens!$U$9759</f>
        <v>1.29709472025025</v>
      </c>
      <c r="H9759" s="38" t="n">
        <f aca="false">Sens!$V$9759</f>
        <v>3.21599529914753</v>
      </c>
      <c r="I9759" s="38" t="n">
        <f aca="false">Sens!$W$9759</f>
        <v>5.51832434914753</v>
      </c>
      <c r="J9759" s="38" t="n">
        <f aca="false">Sens!$X$9759</f>
        <v>7.82065339914753</v>
      </c>
      <c r="K9759" s="38" t="n">
        <f aca="false">Sens!$Y$9759</f>
        <v>10.1229824491475</v>
      </c>
      <c r="L9759" s="38" t="n">
        <f aca="false">Sens!$Z$9759</f>
        <v>11.7516267992309</v>
      </c>
      <c r="M9759" s="38" t="n">
        <f aca="false">Sens!$AA$9759</f>
        <v>12.7065864493975</v>
      </c>
      <c r="N9759" s="38" t="n">
        <f aca="false">Sens!$D$9759/2</f>
        <v>0.180274740326067</v>
      </c>
      <c r="O9759" s="38" t="n">
        <f aca="false">Sens!$D$9759/2</f>
        <v>0.180274740326067</v>
      </c>
      <c r="R9759" s="38" t="n">
        <f aca="false">SUMPRODUCT(--(Sens!$R$9723:$AA$9723&lt;Sens!R$9723),Sens!$R$9756:$AA$9756)/fac_life</f>
        <v>0</v>
      </c>
      <c r="S9759" s="38" t="n">
        <f aca="false">SUMPRODUCT(--(Sens!$R$9723:$AA$9723&lt;Sens!S$9723),Sens!$R$9756:$AA$9756)/fac_life</f>
        <v>0.0202511502553155</v>
      </c>
      <c r="T9759" s="38" t="n">
        <f aca="false">SUMPRODUCT(--(Sens!$R$9723:$AA$9723&lt;Sens!T$9723),Sens!$R$9756:$AA$9756)/fac_life</f>
        <v>0.360549480652134</v>
      </c>
      <c r="U9759" s="38" t="n">
        <f aca="false">SUMPRODUCT(--(Sens!$R$9723:$AA$9723&lt;Sens!U$9723),Sens!$R$9756:$AA$9756)/fac_life</f>
        <v>1.29709472025025</v>
      </c>
      <c r="V9759" s="38" t="n">
        <f aca="false">SUMPRODUCT(--(Sens!$R$9723:$AA$9723&lt;Sens!V$9723),Sens!$R$9756:$AA$9756)/fac_life</f>
        <v>3.21599529914753</v>
      </c>
      <c r="W9759" s="38" t="n">
        <f aca="false">SUMPRODUCT(--(Sens!$R$9723:$AA$9723&lt;Sens!W$9723),Sens!$R$9756:$AA$9756)/fac_life</f>
        <v>5.51832434914753</v>
      </c>
      <c r="X9759" s="38" t="n">
        <f aca="false">SUMPRODUCT(--(Sens!$R$9723:$AA$9723&lt;Sens!X$9723),Sens!$R$9756:$AA$9756)/fac_life</f>
        <v>7.82065339914753</v>
      </c>
      <c r="Y9759" s="38" t="n">
        <f aca="false">SUMPRODUCT(--(Sens!$R$9723:$AA$9723&lt;Sens!Y$9723),Sens!$R$9756:$AA$9756)/fac_life</f>
        <v>10.1229824491475</v>
      </c>
      <c r="Z9759" s="38" t="n">
        <f aca="false">SUMPRODUCT(--(Sens!$R$9723:$AA$9723&lt;Sens!Z$9723),Sens!$R$9756:$AA$9756)/fac_life</f>
        <v>11.7516267992309</v>
      </c>
      <c r="AA9759" s="38" t="n">
        <f aca="false">SUMPRODUCT(--(Sens!$R$9723:$AA$9723&lt;Sens!AA$9723),Sens!$R$9756:$AA$9756)/fac_life</f>
        <v>12.7065864493975</v>
      </c>
    </row>
    <row r="9760" customFormat="false" ht="17.15" hidden="false" customHeight="false" outlineLevel="0" collapsed="false">
      <c r="A9760" s="1" t="s">
        <v>633</v>
      </c>
      <c r="B9760" s="8" t="s">
        <v>86</v>
      </c>
      <c r="C9760" s="38" t="n">
        <f aca="false">Sens!$C$9758+Sens!$C$9759</f>
        <v>0.203463948620839</v>
      </c>
      <c r="D9760" s="38" t="n">
        <f aca="false">Sens!$D$9758+Sens!$D$9759</f>
        <v>3.62245206231783</v>
      </c>
      <c r="E9760" s="38" t="n">
        <f aca="false">Sens!$E$9758+Sens!$E$9759</f>
        <v>6.51597588754466</v>
      </c>
      <c r="F9760" s="38" t="n">
        <f aca="false">Sens!$F$9758+Sens!$F$9759</f>
        <v>6.51597588754466</v>
      </c>
      <c r="G9760" s="38" t="n">
        <f aca="false">Sens!$G$9758+Sens!$G$9759</f>
        <v>13.0319517750893</v>
      </c>
      <c r="H9760" s="38" t="n">
        <f aca="false">Sens!$H$9758+Sens!$H$9759</f>
        <v>35.2941921973308</v>
      </c>
      <c r="I9760" s="38" t="n">
        <f aca="false">Sens!$I$9758+Sens!$I$9759</f>
        <v>63.0173185714558</v>
      </c>
      <c r="J9760" s="38" t="n">
        <f aca="false">Sens!$J$9758+Sens!$J$9759</f>
        <v>91.7529624398725</v>
      </c>
      <c r="K9760" s="38" t="n">
        <f aca="false">Sens!$K$9758+Sens!$K$9759</f>
        <v>121.178188209924</v>
      </c>
      <c r="L9760" s="38" t="n">
        <f aca="false">Sens!$L$9758+Sens!$L$9759</f>
        <v>140.172392488963</v>
      </c>
      <c r="M9760" s="38" t="n">
        <f aca="false">Sens!$M$9758+Sens!$M$9759</f>
        <v>151.473555772051</v>
      </c>
      <c r="N9760" s="38" t="n">
        <f aca="false">Sens!$N$9758+Sens!$N$9759</f>
        <v>1.81122603115892</v>
      </c>
      <c r="O9760" s="38" t="n">
        <f aca="false">Sens!$O$9758+Sens!$O$9759</f>
        <v>1.81122603115892</v>
      </c>
      <c r="R9760" s="38" t="n">
        <f aca="false">Sens!$R$9758+Sens!$R$9759</f>
        <v>0</v>
      </c>
      <c r="S9760" s="38" t="n">
        <f aca="false">Sens!$S$9758+Sens!$S$9759</f>
        <v>0.203463948620839</v>
      </c>
      <c r="T9760" s="38" t="n">
        <f aca="false">Sens!$T$9758+Sens!$T$9759</f>
        <v>3.62245206231783</v>
      </c>
      <c r="U9760" s="38" t="n">
        <f aca="false">Sens!$U$9758+Sens!$U$9759</f>
        <v>13.0319517750893</v>
      </c>
      <c r="V9760" s="38" t="n">
        <f aca="false">Sens!$V$9758+Sens!$V$9759</f>
        <v>35.2941921973308</v>
      </c>
      <c r="W9760" s="38" t="n">
        <f aca="false">Sens!$W$9758+Sens!$W$9759</f>
        <v>63.0173185714558</v>
      </c>
      <c r="X9760" s="38" t="n">
        <f aca="false">Sens!$X$9758+Sens!$X$9759</f>
        <v>91.7529624398725</v>
      </c>
      <c r="Y9760" s="38" t="n">
        <f aca="false">Sens!$Y$9758+Sens!$Y$9759</f>
        <v>121.178188209924</v>
      </c>
      <c r="Z9760" s="38" t="n">
        <f aca="false">Sens!$Z$9758+Sens!$Z$9759</f>
        <v>140.172392488963</v>
      </c>
      <c r="AA9760" s="38" t="n">
        <f aca="false">Sens!$AA$9758+Sens!$AA$9759</f>
        <v>151.473555772051</v>
      </c>
    </row>
    <row r="9761" customFormat="false" ht="17.15" hidden="false" customHeight="false" outlineLevel="0" collapsed="false">
      <c r="A9761" s="0" t="s">
        <v>634</v>
      </c>
      <c r="B9761" s="0" t="s">
        <v>86</v>
      </c>
      <c r="C9761" s="38" t="n">
        <f aca="false">Sens!$S$9761</f>
        <v>26.578941154416</v>
      </c>
      <c r="D9761" s="38" t="n">
        <f aca="false">Sens!$T$9761</f>
        <v>92.5251207231008</v>
      </c>
      <c r="G9761" s="38" t="n">
        <f aca="false">Sens!$U$9761</f>
        <v>239.931219586022</v>
      </c>
      <c r="H9761" s="38" t="n">
        <f aca="false">Sens!$V$9761</f>
        <v>403.208392333442</v>
      </c>
      <c r="I9761" s="38" t="n">
        <f aca="false">Sens!$W$9761</f>
        <v>544.837543672486</v>
      </c>
      <c r="J9761" s="38" t="n">
        <f aca="false">Sens!$X$9761</f>
        <v>662.967819343113</v>
      </c>
      <c r="K9761" s="38" t="n">
        <f aca="false">Sens!$Y$9761</f>
        <v>697.028016408391</v>
      </c>
      <c r="L9761" s="38" t="n">
        <f aca="false">Sens!$Z$9761</f>
        <v>688.86976555933</v>
      </c>
      <c r="M9761" s="38" t="n">
        <f aca="false">Sens!$AA$9761</f>
        <v>669.627191447132</v>
      </c>
      <c r="R9761" s="38" t="n">
        <f aca="false">SUM(Sens!$R$9753:$R$9753)-SUM(Sens!$R$9760:$R$9760)</f>
        <v>1.50429979529945</v>
      </c>
      <c r="S9761" s="38" t="n">
        <f aca="false">SUM(Sens!$R$9753:$S$9753)-SUM(Sens!$R$9760:$S$9760)</f>
        <v>26.578941154416</v>
      </c>
      <c r="T9761" s="38" t="n">
        <f aca="false">SUM(Sens!$R$9753:$T$9753)-SUM(Sens!$R$9760:$T$9760)</f>
        <v>92.5251207231008</v>
      </c>
      <c r="U9761" s="38" t="n">
        <f aca="false">SUM(Sens!$R$9753:$U$9753)-SUM(Sens!$R$9760:$U$9760)</f>
        <v>239.931219586022</v>
      </c>
      <c r="V9761" s="38" t="n">
        <f aca="false">SUM(Sens!$R$9753:$V$9753)-SUM(Sens!$R$9760:$V$9760)</f>
        <v>403.208392333442</v>
      </c>
      <c r="W9761" s="38" t="n">
        <f aca="false">SUM(Sens!$R$9753:$W$9753)-SUM(Sens!$R$9760:$W$9760)</f>
        <v>544.837543672486</v>
      </c>
      <c r="X9761" s="38" t="n">
        <f aca="false">SUM(Sens!$R$9753:$X$9753)-SUM(Sens!$R$9760:$X$9760)</f>
        <v>662.967819343113</v>
      </c>
      <c r="Y9761" s="38" t="n">
        <f aca="false">SUM(Sens!$R$9753:$Y$9753)-SUM(Sens!$R$9760:$Y$9760)</f>
        <v>697.028016408391</v>
      </c>
      <c r="Z9761" s="38" t="n">
        <f aca="false">SUM(Sens!$R$9753:$Z$9753)-SUM(Sens!$R$9760:$Z$9760)</f>
        <v>688.86976555933</v>
      </c>
      <c r="AA9761" s="38" t="n">
        <f aca="false">SUM(Sens!$R$9753:$AA$9753)-SUM(Sens!$R$9760:$AA$9760)</f>
        <v>669.627191447132</v>
      </c>
    </row>
    <row r="9762" customFormat="false" ht="17.15" hidden="false" customHeight="false" outlineLevel="0" collapsed="false">
      <c r="A9762" s="1" t="s">
        <v>635</v>
      </c>
    </row>
    <row r="9763" customFormat="false" ht="17.15" hidden="false" customHeight="false" outlineLevel="0" collapsed="false">
      <c r="A9763" s="0" t="s">
        <v>636</v>
      </c>
      <c r="B9763" s="0" t="s">
        <v>86</v>
      </c>
      <c r="C9763" s="38" t="n">
        <f aca="false">Sens!$C$9744-ext_sh*Sens!$C$9746</f>
        <v>1.80694998843362</v>
      </c>
      <c r="D9763" s="38" t="n">
        <f aca="false">Sens!$D$9744-ext_sh*Sens!$D$9746</f>
        <v>6.77606245662607</v>
      </c>
      <c r="E9763" s="38" t="n">
        <f aca="false">Sens!$E$9744-ext_sh*Sens!$E$9746</f>
        <v>6.62548329092326</v>
      </c>
      <c r="F9763" s="38" t="n">
        <f aca="false">Sens!$F$9744-ext_sh*Sens!$F$9746</f>
        <v>11.7200577158706</v>
      </c>
      <c r="G9763" s="38" t="n">
        <f aca="false">Sens!$G$9744-ext_sh*Sens!$G$9746</f>
        <v>18.3455410067939</v>
      </c>
      <c r="H9763" s="38" t="n">
        <f aca="false">Sens!$H$9744-ext_sh*Sens!$H$9746</f>
        <v>47.5171727060453</v>
      </c>
      <c r="I9763" s="38" t="n">
        <f aca="false">Sens!$I$9744-ext_sh*Sens!$I$9746</f>
        <v>80.5539692643667</v>
      </c>
      <c r="J9763" s="38" t="n">
        <f aca="false">Sens!$J$9744-ext_sh*Sens!$J$9746</f>
        <v>113.759316834883</v>
      </c>
      <c r="K9763" s="38" t="n">
        <f aca="false">Sens!$K$9744-ext_sh*Sens!$K$9746</f>
        <v>142.084411492169</v>
      </c>
      <c r="L9763" s="38" t="n">
        <f aca="false">Sens!$L$9744-ext_sh*Sens!$L$9746</f>
        <v>160.69964615804</v>
      </c>
      <c r="M9763" s="38" t="n">
        <f aca="false">Sens!$M$9744-ext_sh*Sens!$M$9746</f>
        <v>169.577607141793</v>
      </c>
      <c r="N9763" s="38" t="n">
        <f aca="false">Sens!$N$9744-ext_sh*Sens!$N$9746</f>
        <v>2.37162185981912</v>
      </c>
      <c r="O9763" s="38" t="n">
        <f aca="false">Sens!$O$9744-ext_sh*Sens!$O$9746</f>
        <v>4.40444059680694</v>
      </c>
    </row>
    <row r="9764" customFormat="false" ht="17.15" hidden="false" customHeight="false" outlineLevel="0" collapsed="false">
      <c r="A9764" s="1" t="s">
        <v>637</v>
      </c>
      <c r="B9764" s="8" t="s">
        <v>86</v>
      </c>
      <c r="C9764" s="38" t="n">
        <f aca="false">Sens!$C$9763-ext_sh*Sens!$C$9760</f>
        <v>1.64417882953695</v>
      </c>
      <c r="D9764" s="38" t="n">
        <f aca="false">Sens!$D$9763-ext_sh*Sens!$D$9760</f>
        <v>3.8781008067718</v>
      </c>
      <c r="E9764" s="38" t="n">
        <f aca="false">Sens!$E$9763-ext_sh*Sens!$E$9760</f>
        <v>1.41270258088753</v>
      </c>
      <c r="F9764" s="38" t="n">
        <f aca="false">Sens!$F$9763-ext_sh*Sens!$F$9760</f>
        <v>6.50727700583486</v>
      </c>
      <c r="G9764" s="38" t="n">
        <f aca="false">Sens!$G$9763-ext_sh*Sens!$G$9760</f>
        <v>7.9199795867224</v>
      </c>
      <c r="H9764" s="38" t="n">
        <f aca="false">Sens!$H$9763-ext_sh*Sens!$H$9760</f>
        <v>19.2818189481807</v>
      </c>
      <c r="I9764" s="38" t="n">
        <f aca="false">Sens!$I$9763-ext_sh*Sens!$I$9760</f>
        <v>30.140114407202</v>
      </c>
      <c r="J9764" s="38" t="n">
        <f aca="false">Sens!$J$9763-ext_sh*Sens!$J$9760</f>
        <v>40.3569468829854</v>
      </c>
      <c r="K9764" s="38" t="n">
        <f aca="false">Sens!$K$9763-ext_sh*Sens!$K$9760</f>
        <v>45.1418609242305</v>
      </c>
      <c r="L9764" s="38" t="n">
        <f aca="false">Sens!$L$9763-ext_sh*Sens!$L$9760</f>
        <v>48.5617321668703</v>
      </c>
      <c r="M9764" s="38" t="n">
        <f aca="false">Sens!$M$9763-ext_sh*Sens!$M$9760</f>
        <v>48.3987625241529</v>
      </c>
      <c r="N9764" s="38" t="n">
        <f aca="false">Sens!$N$9763-ext_sh*Sens!$N$9760</f>
        <v>0.92264103489199</v>
      </c>
      <c r="O9764" s="38" t="n">
        <f aca="false">Sens!$O$9763-ext_sh*Sens!$O$9760</f>
        <v>2.95545977187981</v>
      </c>
    </row>
    <row r="9765" customFormat="false" ht="17.15" hidden="false" customHeight="false" outlineLevel="0" collapsed="false">
      <c r="A9765" s="0" t="s">
        <v>638</v>
      </c>
      <c r="B9765" s="0" t="s">
        <v>52</v>
      </c>
      <c r="C9765" s="13" t="n">
        <f aca="false">Sens!$C$9764/Sens!$C$9744</f>
        <v>0.708390794789371</v>
      </c>
      <c r="D9765" s="13" t="n">
        <f aca="false">Sens!$D$9764/Sens!$D$9744</f>
        <v>0.445565630441968</v>
      </c>
      <c r="E9765" s="13" t="n">
        <f aca="false">Sens!$E$9764/Sens!$E$9744</f>
        <v>0.165998118402711</v>
      </c>
      <c r="F9765" s="13" t="n">
        <f aca="false">Sens!$F$9764/Sens!$F$9744</f>
        <v>0.434878595403858</v>
      </c>
      <c r="G9765" s="13" t="n">
        <f aca="false">Sens!$G$9764/Sens!$G$9744</f>
        <v>0.3373967615381</v>
      </c>
      <c r="H9765" s="13" t="n">
        <f aca="false">Sens!$H$9764/Sens!$H$9744</f>
        <v>0.320477578041224</v>
      </c>
      <c r="I9765" s="13" t="n">
        <f aca="false">Sens!$I$9764/Sens!$I$9744</f>
        <v>0.296936118226494</v>
      </c>
      <c r="J9765" s="13" t="n">
        <f aca="false">Sens!$J$9764/Sens!$J$9744</f>
        <v>0.282166278613001</v>
      </c>
      <c r="K9765" s="13" t="n">
        <f aca="false">Sens!$K$9764/Sens!$K$9744</f>
        <v>0.252969102881543</v>
      </c>
      <c r="L9765" s="13" t="n">
        <f aca="false">Sens!$L$9764/Sens!$L$9744</f>
        <v>0.240728642826566</v>
      </c>
      <c r="M9765" s="13" t="n">
        <f aca="false">Sens!$M$9764/Sens!$M$9744</f>
        <v>0.227399920863147</v>
      </c>
      <c r="N9765" s="13" t="n">
        <f aca="false">Sens!$N$9764/Sens!$N$9744</f>
        <v>0.302870734830849</v>
      </c>
      <c r="O9765" s="13" t="n">
        <f aca="false">Sens!$O$9764/Sens!$O$9744</f>
        <v>0.52240134346334</v>
      </c>
    </row>
    <row r="9766" customFormat="false" ht="17.15" hidden="false" customHeight="false" outlineLevel="0" collapsed="false">
      <c r="A9766" s="5" t="s">
        <v>639</v>
      </c>
      <c r="B9766" s="0" t="s">
        <v>86</v>
      </c>
      <c r="C9766" s="39" t="n">
        <v>0</v>
      </c>
      <c r="D9766" s="39" t="n">
        <v>0</v>
      </c>
      <c r="E9766" s="39" t="n">
        <v>0</v>
      </c>
      <c r="F9766" s="38" t="n">
        <f aca="false">IF(internal_ai_reading=2,1,0)*(1-ext_sh)/ext_sh*(mw_open*he_open+Sens!$F$9742*Sens!$F$9739)*Sens!$F$9728/1000</f>
        <v>3.77122048175818</v>
      </c>
      <c r="G9766" s="38" t="n">
        <f aca="false">Sens!$E$9766+Sens!$F$9766</f>
        <v>3.77122048175818</v>
      </c>
      <c r="H9766" s="38" t="n">
        <f aca="false">IF(internal_ai_reading=2,1,0)*(1-ext_sh)/ext_sh*(mw_open*he_open+Sens!$H$9742*Sens!$H$9739)*Sens!$H$9728/1000</f>
        <v>15.1635543609893</v>
      </c>
      <c r="I9766" s="38" t="n">
        <f aca="false">IF(internal_ai_reading=2,1,0)*(1-ext_sh)/ext_sh*(mw_open*he_open+Sens!$I$9742*Sens!$I$9739)*Sens!$I$9728/1000</f>
        <v>25.5818843619889</v>
      </c>
      <c r="J9766" s="38" t="n">
        <f aca="false">IF(internal_ai_reading=2,1,0)*(1-ext_sh)/ext_sh*(mw_open*he_open+Sens!$J$9742*Sens!$J$9739)*Sens!$J$9728/1000</f>
        <v>36.0465624179122</v>
      </c>
      <c r="K9766" s="38" t="n">
        <f aca="false">IF(internal_ai_reading=2,1,0)*(1-ext_sh)/ext_sh*(mw_open*he_open+Sens!$K$9742*Sens!$K$9739)*Sens!$K$9728/1000</f>
        <v>44.9741164026038</v>
      </c>
      <c r="L9766" s="38" t="n">
        <f aca="false">IF(internal_ai_reading=2,1,0)*(1-ext_sh)/ext_sh*(mw_open*he_open+Sens!$L$9742*Sens!$L$9739)*Sens!$L$9728/1000</f>
        <v>50.8413488057813</v>
      </c>
      <c r="M9766" s="38" t="n">
        <f aca="false">IF(internal_ai_reading=2,1,0)*(1-ext_sh)/ext_sh*(mw_open*he_open+Sens!$M$9742*Sens!$M$9739)*Sens!$M$9728/1000</f>
        <v>53.6407214274315</v>
      </c>
      <c r="N9766" s="39" t="n">
        <v>0</v>
      </c>
      <c r="O9766" s="39" t="n">
        <v>0</v>
      </c>
      <c r="P9766" s="8" t="s">
        <v>640</v>
      </c>
    </row>
    <row r="9767" customFormat="false" ht="17.15" hidden="false" customHeight="false" outlineLevel="0" collapsed="false">
      <c r="A9767" s="5" t="s">
        <v>641</v>
      </c>
      <c r="B9767" s="0" t="s">
        <v>86</v>
      </c>
      <c r="C9767" s="38" t="n">
        <f aca="false">(1-ext_sh)*(Sens!$C$9746+Sens!$C$9760)</f>
        <v>0.169206631859174</v>
      </c>
      <c r="D9767" s="38" t="n">
        <f aca="false">(1-ext_sh)*(Sens!$D$9746+Sens!$D$9760)</f>
        <v>1.20641732046984</v>
      </c>
      <c r="E9767" s="38" t="n">
        <f aca="false">(1-ext_sh)*(Sens!$E$9746+Sens!$E$9760)</f>
        <v>1.77441259867062</v>
      </c>
      <c r="F9767" s="38" t="n">
        <f aca="false">(1-ext_sh)*(Sens!$F$9746+Sens!$F$9760)</f>
        <v>2.1140391597214</v>
      </c>
      <c r="G9767" s="38" t="n">
        <f aca="false">(1-ext_sh)*(Sens!$G$9746+Sens!$G$9760)</f>
        <v>3.88845175839202</v>
      </c>
      <c r="H9767" s="38" t="n">
        <f aca="false">(1-ext_sh)*(Sens!$H$9746+Sens!$H$9760)</f>
        <v>10.2210179503985</v>
      </c>
      <c r="I9767" s="38" t="n">
        <f aca="false">(1-ext_sh)*(Sens!$I$9746+Sens!$I$9760)</f>
        <v>17.8408961823075</v>
      </c>
      <c r="J9767" s="38" t="n">
        <f aca="false">(1-ext_sh)*(Sens!$J$9746+Sens!$J$9760)</f>
        <v>25.6671150670732</v>
      </c>
      <c r="K9767" s="38" t="n">
        <f aca="false">(1-ext_sh)*(Sens!$K$9746+Sens!$K$9760)</f>
        <v>33.3265648647373</v>
      </c>
      <c r="L9767" s="38" t="n">
        <f aca="false">(1-ext_sh)*(Sens!$L$9746+Sens!$L$9760)</f>
        <v>38.2915924088815</v>
      </c>
      <c r="M9767" s="38" t="n">
        <f aca="false">(1-ext_sh)*(Sens!$M$9746+Sens!$M$9760)</f>
        <v>41.1091697111781</v>
      </c>
      <c r="N9767" s="38" t="n">
        <f aca="false">(1-ext_sh)*(Sens!$N$9746+Sens!$N$9760)</f>
        <v>0.530919624033979</v>
      </c>
      <c r="O9767" s="38" t="n">
        <f aca="false">(1-ext_sh)*(Sens!$O$9746+Sens!$O$9760)</f>
        <v>0.675497696435861</v>
      </c>
    </row>
    <row r="9768" customFormat="false" ht="17.15" hidden="false" customHeight="false" outlineLevel="0" collapsed="false">
      <c r="A9768" s="0" t="s">
        <v>642</v>
      </c>
      <c r="B9768" s="0" t="s">
        <v>86</v>
      </c>
      <c r="C9768" s="38" t="n">
        <f aca="false">Q!$D$24</f>
        <v>39.834</v>
      </c>
      <c r="D9768" s="38" t="n">
        <f aca="false">Q!$E$24</f>
        <v>45.606</v>
      </c>
      <c r="E9768" s="38" t="n">
        <f aca="false">Q!$P$24</f>
        <v>30.782</v>
      </c>
      <c r="N9768" s="38" t="n">
        <f aca="false">Q!$N$24</f>
        <v>21.707</v>
      </c>
      <c r="O9768" s="38" t="n">
        <f aca="false">Q!$O$24</f>
        <v>23.899</v>
      </c>
    </row>
    <row r="9769" customFormat="false" ht="17.15" hidden="false" customHeight="false" outlineLevel="0" collapsed="false">
      <c r="A9769" s="0" t="s">
        <v>643</v>
      </c>
      <c r="B9769" s="0" t="s">
        <v>86</v>
      </c>
      <c r="C9769" s="38" t="n">
        <f aca="false">Sens!$C$9768-Sens!$C$9764</f>
        <v>38.1898211704631</v>
      </c>
      <c r="D9769" s="38" t="n">
        <f aca="false">Sens!$D$9768-Sens!$D$9764</f>
        <v>41.7278991932282</v>
      </c>
      <c r="E9769" s="38" t="n">
        <f aca="false">Sens!$E$9768-Sens!$E$9764</f>
        <v>29.3692974191125</v>
      </c>
      <c r="F9769" s="38" t="n">
        <f aca="false">Sens!$F$9748*Sens!$F$9770</f>
        <v>26.8997276714137</v>
      </c>
      <c r="G9769" s="38" t="n">
        <f aca="false">Sens!$E$9769+Sens!$F$9769</f>
        <v>56.2690250905262</v>
      </c>
      <c r="H9769" s="38" t="n">
        <f aca="false">Sens!$H$9748*Sens!$H$9770</f>
        <v>60.3505333937343</v>
      </c>
      <c r="I9769" s="38" t="n">
        <f aca="false">Sens!$I$9748*Sens!$I$9770</f>
        <v>67.0043857303571</v>
      </c>
      <c r="J9769" s="38" t="n">
        <f aca="false">Sens!$J$9748*Sens!$J$9770</f>
        <v>73.3782922956925</v>
      </c>
      <c r="K9769" s="38" t="n">
        <f aca="false">Sens!$K$9748*Sens!$K$9770</f>
        <v>79.2485556793479</v>
      </c>
      <c r="L9769" s="38" t="n">
        <f aca="false">Sens!$L$9748*Sens!$L$9770</f>
        <v>85.5884401336958</v>
      </c>
      <c r="M9769" s="38" t="n">
        <f aca="false">Sens!$M$9748*Sens!$M$9770</f>
        <v>92.4355153443914</v>
      </c>
      <c r="N9769" s="38" t="n">
        <f aca="false">Sens!$N$9768-Sens!$N$9764</f>
        <v>20.784358965108</v>
      </c>
      <c r="O9769" s="38" t="n">
        <f aca="false">Sens!$O$9768-Sens!$O$9764</f>
        <v>20.9435402281202</v>
      </c>
      <c r="P9769" s="5" t="s">
        <v>644</v>
      </c>
    </row>
    <row r="9770" customFormat="false" ht="17.15" hidden="false" customHeight="false" outlineLevel="0" collapsed="false">
      <c r="A9770" s="0" t="s">
        <v>645</v>
      </c>
      <c r="B9770" s="0" t="s">
        <v>52</v>
      </c>
      <c r="C9770" s="13" t="n">
        <f aca="false">Sens!$C$9769/Sens!$C$9748</f>
        <v>0.362900395443635</v>
      </c>
      <c r="D9770" s="13" t="n">
        <f aca="false">Sens!$D$9769/Sens!$D$9748</f>
        <v>0.34767098474203</v>
      </c>
      <c r="E9770" s="13" t="n">
        <f aca="false">Sens!$E$9769/Sens!$E$9748</f>
        <v>0.411861655558416</v>
      </c>
      <c r="F9770" s="13" t="n">
        <f aca="false">(Sens!$O$9769+Sens!$E$9769)/(Sens!$O$9748+Sens!$E$9748)</f>
        <v>0.37480827803158</v>
      </c>
      <c r="G9770" s="13" t="n">
        <f aca="false">Sens!$G$9769/Sens!$G$9748</f>
        <v>0.393275318395757</v>
      </c>
      <c r="H9770" s="13" t="n">
        <f aca="false">Sens!$F$9770</f>
        <v>0.37480827803158</v>
      </c>
      <c r="I9770" s="13" t="n">
        <f aca="false">Sens!$F$9770</f>
        <v>0.37480827803158</v>
      </c>
      <c r="J9770" s="13" t="n">
        <f aca="false">Sens!$F$9770</f>
        <v>0.37480827803158</v>
      </c>
      <c r="K9770" s="13" t="n">
        <f aca="false">Sens!$F$9770</f>
        <v>0.37480827803158</v>
      </c>
      <c r="L9770" s="13" t="n">
        <f aca="false">Sens!$F$9770</f>
        <v>0.37480827803158</v>
      </c>
      <c r="M9770" s="13" t="n">
        <f aca="false">Sens!$F$9770</f>
        <v>0.37480827803158</v>
      </c>
      <c r="N9770" s="13" t="n">
        <f aca="false">Sens!$N$9769/Sens!$N$9748</f>
        <v>0.364039571356823</v>
      </c>
      <c r="O9770" s="13" t="n">
        <f aca="false">Sens!$O$9769/Sens!$O$9748</f>
        <v>0.332819892300086</v>
      </c>
      <c r="P9770" s="8" t="s">
        <v>646</v>
      </c>
    </row>
    <row r="9771" customFormat="false" ht="17.15" hidden="false" customHeight="false" outlineLevel="0" collapsed="false">
      <c r="A9771" s="0" t="s">
        <v>647</v>
      </c>
      <c r="B9771" s="0" t="s">
        <v>52</v>
      </c>
      <c r="D9771" s="13" t="n">
        <f aca="false">(Q!$E$31-ext_sh*Sens!$D$9760)/Sens!$D$9748</f>
        <v>0.154572973163571</v>
      </c>
    </row>
    <row r="9772" customFormat="false" ht="17.15" hidden="false" customHeight="false" outlineLevel="0" collapsed="false">
      <c r="A9772" s="0" t="s">
        <v>648</v>
      </c>
      <c r="B9772" s="0" t="s">
        <v>86</v>
      </c>
      <c r="C9772" s="38" t="n">
        <f aca="false">Q!$D$31</f>
        <v>13.32</v>
      </c>
      <c r="D9772" s="38" t="n">
        <f aca="false">Q!$E$31</f>
        <v>21.45</v>
      </c>
      <c r="E9772" s="38" t="n">
        <f aca="false">Q!$P$31</f>
        <v>15.353</v>
      </c>
      <c r="F9772" s="38" t="n">
        <f aca="false">ext_sh*Sens!$F$9760+Sens!$D$9771*Sens!$F$9748</f>
        <v>16.3063747611001</v>
      </c>
      <c r="G9772" s="38" t="n">
        <f aca="false">Sens!$E$9772+Sens!$F$9772</f>
        <v>31.6593747611001</v>
      </c>
      <c r="H9772" s="38" t="n">
        <f aca="false">ext_sh*Sens!$H$9760+Sens!$D$9771*Sens!$H$9748</f>
        <v>53.124242092105</v>
      </c>
      <c r="I9772" s="38" t="n">
        <f aca="false">ext_sh*Sens!$I$9760+Sens!$D$9771*Sens!$I$9748</f>
        <v>78.046828098133</v>
      </c>
      <c r="J9772" s="38" t="n">
        <f aca="false">ext_sh*Sens!$J$9760+Sens!$D$9771*Sens!$J$9748</f>
        <v>103.663976940352</v>
      </c>
      <c r="K9772" s="38" t="n">
        <f aca="false">ext_sh*Sens!$K$9760+Sens!$D$9771*Sens!$K$9748</f>
        <v>129.625086115469</v>
      </c>
      <c r="L9772" s="38" t="n">
        <f aca="false">ext_sh*Sens!$L$9760+Sens!$D$9771*Sens!$L$9748</f>
        <v>147.435052382502</v>
      </c>
      <c r="M9772" s="38" t="n">
        <f aca="false">ext_sh*Sens!$M$9760+Sens!$D$9771*Sens!$M$9748</f>
        <v>159.299754080279</v>
      </c>
      <c r="N9772" s="38" t="n">
        <f aca="false">Q!$N$31</f>
        <v>9.234</v>
      </c>
      <c r="O9772" s="38" t="n">
        <f aca="false">Q!$O$31</f>
        <v>12.216</v>
      </c>
    </row>
    <row r="9773" customFormat="false" ht="17.15" hidden="false" customHeight="false" outlineLevel="0" collapsed="false">
      <c r="A9773" s="1" t="s">
        <v>649</v>
      </c>
    </row>
    <row r="9774" customFormat="false" ht="17.15" hidden="false" customHeight="false" outlineLevel="0" collapsed="false">
      <c r="A9774" s="15" t="s">
        <v>650</v>
      </c>
      <c r="B9774" s="14" t="s">
        <v>52</v>
      </c>
      <c r="C9774" s="14"/>
      <c r="D9774" s="14"/>
      <c r="E9774" s="14"/>
      <c r="F9774" s="14"/>
      <c r="G9774" s="17" t="n">
        <f aca="false">Sens!$G$9764*(1-tax)/(ext_sh*(Sens!$D$9761+Sens!$G$9761)/2)</f>
        <v>0.0492184452944045</v>
      </c>
      <c r="H9774" s="17" t="n">
        <f aca="false">Sens!$H$9764*(1-tax)/(ext_sh*(Sens!$G$9761+Sens!$H$9761)/2)</f>
        <v>0.0619414246858107</v>
      </c>
      <c r="I9774" s="17" t="n">
        <f aca="false">Sens!$I$9764*(1-tax)/(ext_sh*(Sens!$H$9761+Sens!$I$9761)/2)</f>
        <v>0.0656831488051666</v>
      </c>
      <c r="J9774" s="17" t="n">
        <f aca="false">Sens!$J$9764*(1-tax)/(ext_sh*(Sens!$I$9761+Sens!$J$9761)/2)</f>
        <v>0.0690334849962116</v>
      </c>
      <c r="K9774" s="17" t="n">
        <f aca="false">Sens!$K$9764*(1-tax)/(ext_sh*(Sens!$J$9761+Sens!$K$9761)/2)</f>
        <v>0.0685772915331967</v>
      </c>
      <c r="L9774" s="17" t="n">
        <f aca="false">Sens!$L$9764*(1-tax)/(ext_sh*(Sens!$K$9761+Sens!$L$9761)/2)</f>
        <v>0.0723938074635756</v>
      </c>
      <c r="M9774" s="17" t="n">
        <f aca="false">Sens!$M$9764*(1-tax)/(ext_sh*(Sens!$L$9761+Sens!$M$9761)/2)</f>
        <v>0.0736061388214139</v>
      </c>
      <c r="N9774" s="14"/>
      <c r="O9774" s="14"/>
      <c r="P9774" s="8" t="s">
        <v>651</v>
      </c>
    </row>
    <row r="9775" customFormat="false" ht="17.15" hidden="false" customHeight="false" outlineLevel="0" collapsed="false">
      <c r="A9775" s="5" t="s">
        <v>652</v>
      </c>
      <c r="B9775" s="0" t="s">
        <v>57</v>
      </c>
      <c r="H9775" s="36" t="n">
        <f aca="false">Sens!$H$9744*1000/(mw_open*he_open+Sens!$H$9742*Sens!$H$9739)</f>
        <v>0.991949006767191</v>
      </c>
      <c r="I9775" s="36" t="n">
        <f aca="false">Sens!$I$9744*1000/(mw_open*he_open+Sens!$I$9742*Sens!$I$9739)</f>
        <v>0.991949006767191</v>
      </c>
      <c r="J9775" s="36" t="n">
        <f aca="false">Sens!$J$9744*1000/(mw_open*he_open+Sens!$J$9742*Sens!$J$9739)</f>
        <v>0.991949006767191</v>
      </c>
      <c r="K9775" s="36" t="n">
        <f aca="false">Sens!$K$9744*1000/(mw_open*he_open+Sens!$K$9742*Sens!$K$9739)</f>
        <v>0.991949006767191</v>
      </c>
      <c r="L9775" s="36" t="n">
        <f aca="false">Sens!$L$9744*1000/(mw_open*he_open+Sens!$L$9742*Sens!$L$9739)</f>
        <v>0.991949006767191</v>
      </c>
      <c r="M9775" s="36" t="n">
        <f aca="false">Sens!$M$9744*1000/(mw_open*he_open+Sens!$M$9742*Sens!$M$9739)</f>
        <v>0.991949006767191</v>
      </c>
    </row>
    <row r="9776" customFormat="false" ht="17.15" hidden="false" customHeight="false" outlineLevel="0" collapsed="false">
      <c r="A9776" s="5" t="s">
        <v>653</v>
      </c>
      <c r="B9776" s="0" t="s">
        <v>57</v>
      </c>
      <c r="H9776" s="36" t="n">
        <f aca="false">Sens!$H$9775*(Sens!$H$9744+(wacc+0.01)*ext_sh*(Sens!$G$9761+Sens!$H$9761)/2/(1-tax)-Sens!$H$9764)/Sens!$H$9744</f>
        <v>1.30684188026537</v>
      </c>
      <c r="I9776" s="36" t="n">
        <f aca="false">Sens!$I$9775*(Sens!$I$9744+(wacc+0.01)*ext_sh*(Sens!$H$9761+Sens!$I$9761)/2/(1-tax)-Sens!$I$9764)/Sens!$I$9744</f>
        <v>1.25031092654298</v>
      </c>
      <c r="J9776" s="36" t="n">
        <f aca="false">Sens!$J$9775*(Sens!$J$9744+(wacc+0.01)*ext_sh*(Sens!$I$9761+Sens!$J$9761)/2/(1-tax)-Sens!$J$9764)/Sens!$J$9744</f>
        <v>1.2119608022736</v>
      </c>
      <c r="K9776" s="36" t="n">
        <f aca="false">Sens!$K$9775*(Sens!$K$9744+(wacc+0.01)*ext_sh*(Sens!$J$9761+Sens!$K$9761)/2/(1-tax)-Sens!$K$9764)/Sens!$K$9744</f>
        <v>1.19217646273596</v>
      </c>
      <c r="L9776" s="36" t="n">
        <f aca="false">Sens!$L$9775*(Sens!$L$9744+(wacc+0.01)*ext_sh*(Sens!$K$9761+Sens!$L$9761)/2/(1-tax)-Sens!$L$9764)/Sens!$L$9744</f>
        <v>1.15985427553108</v>
      </c>
      <c r="M9776" s="36" t="n">
        <f aca="false">Sens!$M$9775*(Sens!$M$9744+(wacc+0.01)*ext_sh*(Sens!$L$9761+Sens!$M$9761)/2/(1-tax)-Sens!$M$9764)/Sens!$M$9744</f>
        <v>1.14423004823201</v>
      </c>
    </row>
    <row r="9777" customFormat="false" ht="17.15" hidden="false" customHeight="false" outlineLevel="0" collapsed="false">
      <c r="A9777" s="5" t="s">
        <v>654</v>
      </c>
      <c r="B9777" s="0" t="s">
        <v>52</v>
      </c>
      <c r="C9777" s="13" t="n">
        <f aca="false">Sens!$C$9745/tk_pq</f>
        <v>0.195316432429398</v>
      </c>
      <c r="D9777" s="13" t="n">
        <f aca="false">Sens!$D$9745/tk_pq</f>
        <v>0.195316432429398</v>
      </c>
      <c r="E9777" s="13" t="n">
        <f aca="false">Sens!$E$9745/tk_pq</f>
        <v>0.195316432429398</v>
      </c>
      <c r="F9777" s="13" t="n">
        <f aca="false">Sens!$F$9745/tk_pq</f>
        <v>0.202241827274866</v>
      </c>
      <c r="G9777" s="13" t="n">
        <f aca="false">Sens!$G$9745/tk_pq</f>
        <v>0.199675016194063</v>
      </c>
      <c r="H9777" s="13" t="n">
        <f aca="false">Sens!$H$9745/tk_pq</f>
        <v>0.212647947710325</v>
      </c>
      <c r="I9777" s="13" t="n">
        <f aca="false">Sens!$I$9745/tk_pq</f>
        <v>0.219285125475351</v>
      </c>
      <c r="J9777" s="13" t="n">
        <f aca="false">Sens!$J$9745/tk_pq</f>
        <v>0.222492493217189</v>
      </c>
      <c r="K9777" s="13" t="n">
        <f aca="false">Sens!$K$9745/tk_pq</f>
        <v>0.224053502812094</v>
      </c>
      <c r="L9777" s="13" t="n">
        <f aca="false">Sens!$L$9745/tk_pq</f>
        <v>0.224786916785614</v>
      </c>
      <c r="M9777" s="13" t="n">
        <f aca="false">Sens!$M$9745/tk_pq</f>
        <v>0.225048671566937</v>
      </c>
      <c r="N9777" s="13" t="n">
        <f aca="false">Sens!$N$9745/tk_pq</f>
        <v>0.195316432429398</v>
      </c>
      <c r="O9777" s="13" t="n">
        <f aca="false">Sens!$O$9745/tk_pq</f>
        <v>0.195316432429398</v>
      </c>
      <c r="P9777" s="5" t="s">
        <v>655</v>
      </c>
    </row>
    <row r="9780" customFormat="false" ht="17.15" hidden="false" customHeight="false" outlineLevel="0" collapsed="false">
      <c r="A9780" s="1" t="s">
        <v>684</v>
      </c>
    </row>
    <row r="9781" customFormat="false" ht="17.15" hidden="false" customHeight="false" outlineLevel="0" collapsed="false">
      <c r="A9781" s="0" t="s">
        <v>685</v>
      </c>
      <c r="B9781" s="0" t="s">
        <v>86</v>
      </c>
      <c r="C9781" s="38" t="n">
        <f aca="false">Sens!$C$9744</f>
        <v>2.32100535697364</v>
      </c>
      <c r="D9781" s="38" t="n">
        <f aca="false">Sens!$D$9744</f>
        <v>8.70377008865116</v>
      </c>
      <c r="E9781" s="38" t="n">
        <f aca="false">Sens!$E$9744</f>
        <v>8.51035297557002</v>
      </c>
      <c r="F9781" s="38" t="n">
        <f aca="false">Sens!$F$9744</f>
        <v>14.9634336447205</v>
      </c>
      <c r="G9781" s="38" t="n">
        <f aca="false">Sens!$G$9744</f>
        <v>23.4737866202905</v>
      </c>
      <c r="H9781" s="38" t="n">
        <f aca="false">Sens!$H$9744</f>
        <v>60.1658907497746</v>
      </c>
      <c r="I9781" s="38" t="n">
        <f aca="false">Sens!$I$9744</f>
        <v>101.503699136432</v>
      </c>
      <c r="J9781" s="38" t="n">
        <f aca="false">Sens!$J$9744</f>
        <v>143.025407151278</v>
      </c>
      <c r="K9781" s="38" t="n">
        <f aca="false">Sens!$K$9744</f>
        <v>178.44812038318</v>
      </c>
      <c r="L9781" s="38" t="n">
        <f aca="false">Sens!$L$9744</f>
        <v>201.728101802396</v>
      </c>
      <c r="M9781" s="38" t="n">
        <f aca="false">Sens!$M$9744</f>
        <v>212.835441368865</v>
      </c>
      <c r="N9781" s="38" t="n">
        <f aca="false">Sens!$N$9744</f>
        <v>3.04631953102791</v>
      </c>
      <c r="O9781" s="38" t="n">
        <f aca="false">Sens!$O$9744</f>
        <v>5.65745055762326</v>
      </c>
      <c r="P9781" s="8" t="s">
        <v>686</v>
      </c>
    </row>
    <row r="9782" customFormat="false" ht="17.15" hidden="false" customHeight="false" outlineLevel="0" collapsed="false">
      <c r="A9782" s="0" t="s">
        <v>687</v>
      </c>
      <c r="B9782" s="0" t="s">
        <v>86</v>
      </c>
      <c r="C9782" s="38" t="n">
        <f aca="false">Sens!$C$9748</f>
        <v>105.234994643026</v>
      </c>
      <c r="D9782" s="38" t="n">
        <f aca="false">Sens!$D$9748</f>
        <v>120.021229911349</v>
      </c>
      <c r="E9782" s="38" t="n">
        <f aca="false">Sens!$E$9748</f>
        <v>71.30864702443</v>
      </c>
      <c r="F9782" s="38" t="n">
        <f aca="false">Sens!$F$9748</f>
        <v>71.7692997942464</v>
      </c>
      <c r="G9782" s="38" t="n">
        <f aca="false">Sens!$G$9748</f>
        <v>143.077946818676</v>
      </c>
      <c r="H9782" s="38" t="n">
        <f aca="false">Sens!$H$9748</f>
        <v>161.017077079203</v>
      </c>
      <c r="I9782" s="38" t="n">
        <f aca="false">Sens!$I$9748</f>
        <v>178.769759521457</v>
      </c>
      <c r="J9782" s="38" t="n">
        <f aca="false">Sens!$J$9748</f>
        <v>195.775538045907</v>
      </c>
      <c r="K9782" s="38" t="n">
        <f aca="false">Sens!$K$9748</f>
        <v>211.43758108958</v>
      </c>
      <c r="L9782" s="38" t="n">
        <f aca="false">Sens!$L$9748</f>
        <v>228.352587576746</v>
      </c>
      <c r="M9782" s="38" t="n">
        <f aca="false">Sens!$M$9748</f>
        <v>246.620794582886</v>
      </c>
      <c r="N9782" s="38" t="n">
        <f aca="false">Sens!$N$9748</f>
        <v>57.0936804689721</v>
      </c>
      <c r="O9782" s="38" t="n">
        <f aca="false">Sens!$O$9748</f>
        <v>62.9275494423768</v>
      </c>
      <c r="P9782" s="8" t="s">
        <v>686</v>
      </c>
    </row>
    <row r="9783" customFormat="false" ht="17.15" hidden="false" customHeight="false" outlineLevel="0" collapsed="false">
      <c r="A9783" s="1" t="s">
        <v>513</v>
      </c>
      <c r="B9783" s="8" t="s">
        <v>86</v>
      </c>
      <c r="C9783" s="38" t="n">
        <f aca="false">Q!$D$7</f>
        <v>107.556</v>
      </c>
      <c r="D9783" s="38" t="n">
        <f aca="false">Q!$E$7</f>
        <v>128.725</v>
      </c>
      <c r="E9783" s="38" t="n">
        <f aca="false">Q!$P$7</f>
        <v>79.819</v>
      </c>
      <c r="F9783" s="38" t="n">
        <f aca="false">Sens!$F$9781+Sens!$F$9782</f>
        <v>86.7327334389669</v>
      </c>
      <c r="G9783" s="38" t="n">
        <f aca="false">Sens!$G$9781+Sens!$G$9782</f>
        <v>166.551733438967</v>
      </c>
      <c r="H9783" s="38" t="n">
        <f aca="false">Sens!$H$9781+Sens!$H$9782</f>
        <v>221.182967828978</v>
      </c>
      <c r="I9783" s="38" t="n">
        <f aca="false">Sens!$I$9781+Sens!$I$9782</f>
        <v>280.27345865789</v>
      </c>
      <c r="J9783" s="38" t="n">
        <f aca="false">Sens!$J$9781+Sens!$J$9782</f>
        <v>338.800945197185</v>
      </c>
      <c r="K9783" s="38" t="n">
        <f aca="false">Sens!$K$9781+Sens!$K$9782</f>
        <v>389.88570147276</v>
      </c>
      <c r="L9783" s="38" t="n">
        <f aca="false">Sens!$L$9781+Sens!$L$9782</f>
        <v>430.080689379143</v>
      </c>
      <c r="M9783" s="38" t="n">
        <f aca="false">Sens!$M$9781+Sens!$M$9782</f>
        <v>459.456235951751</v>
      </c>
      <c r="N9783" s="38" t="n">
        <f aca="false">Q!$N$7</f>
        <v>60.14</v>
      </c>
      <c r="O9783" s="38" t="n">
        <f aca="false">Q!$O$7</f>
        <v>68.585</v>
      </c>
      <c r="P9783" s="5" t="s">
        <v>688</v>
      </c>
    </row>
    <row r="9784" customFormat="false" ht="15" hidden="false" customHeight="false" outlineLevel="0" collapsed="false">
      <c r="A9784" s="3" t="s">
        <v>689</v>
      </c>
      <c r="B9784" s="8" t="s">
        <v>86</v>
      </c>
      <c r="C9784" s="38" t="n">
        <f aca="false">Q!$D$8</f>
        <v>637.959</v>
      </c>
      <c r="D9784" s="38" t="n">
        <f aca="false">Q!$E$8</f>
        <v>716.924</v>
      </c>
      <c r="E9784" s="38" t="n">
        <f aca="false">Q!$P$8</f>
        <v>382.125</v>
      </c>
      <c r="F9784" s="38" t="n">
        <f aca="false">Sens!$F$9716+Sens!$F$9783</f>
        <v>435.780975084504</v>
      </c>
      <c r="G9784" s="38" t="n">
        <f aca="false">Sens!$G$9716+Sens!$G$9783</f>
        <v>817.905975084504</v>
      </c>
      <c r="H9784" s="38" t="n">
        <f aca="false">Sens!$H$9716+Sens!$H$9783</f>
        <v>942.279857350364</v>
      </c>
      <c r="I9784" s="38" t="n">
        <f aca="false">Sens!$I$9716+Sens!$I$9783</f>
        <v>1068.80284981042</v>
      </c>
      <c r="J9784" s="38" t="n">
        <f aca="false">Sens!$J$9716+Sens!$J$9783</f>
        <v>1189.90935093863</v>
      </c>
      <c r="K9784" s="38" t="n">
        <f aca="false">Sens!$K$9716+Sens!$K$9783</f>
        <v>1296.06215690385</v>
      </c>
      <c r="L9784" s="38" t="n">
        <f aca="false">Sens!$L$9716+Sens!$L$9783</f>
        <v>1395.17379585473</v>
      </c>
      <c r="M9784" s="38" t="n">
        <f aca="false">Sens!$M$9716+Sens!$M$9783</f>
        <v>1487.60414389864</v>
      </c>
      <c r="N9784" s="38" t="n">
        <f aca="false">Q!$N$8</f>
        <v>323.369</v>
      </c>
      <c r="O9784" s="38" t="n">
        <f aca="false">Q!$O$8</f>
        <v>393.555</v>
      </c>
    </row>
    <row r="9785" customFormat="false" ht="17.15" hidden="false" customHeight="false" outlineLevel="0" collapsed="false">
      <c r="A9785" s="24" t="s">
        <v>697</v>
      </c>
      <c r="B9785" s="25" t="s">
        <v>86</v>
      </c>
      <c r="C9785" s="41" t="n">
        <f aca="false">Sens!$C$9716-(Sens!$C$9718+Sens!$C$9719)</f>
        <v>0</v>
      </c>
      <c r="D9785" s="41" t="n">
        <f aca="false">Sens!$D$9716-(Sens!$D$9718+Sens!$D$9719)</f>
        <v>0</v>
      </c>
      <c r="E9785" s="41" t="n">
        <f aca="false">Sens!$E$9716-(Sens!$E$9718+Sens!$E$9719)</f>
        <v>0</v>
      </c>
      <c r="F9785" s="41" t="n">
        <f aca="false">Sens!$F$9716-(Sens!$F$9718+Sens!$F$9719)</f>
        <v>0</v>
      </c>
      <c r="G9785" s="41" t="n">
        <f aca="false">Sens!$G$9716-(Sens!$G$9718+Sens!$G$9719)</f>
        <v>0</v>
      </c>
      <c r="H9785" s="41" t="n">
        <f aca="false">Sens!$H$9716-(Sens!$H$9718+Sens!$H$9719)</f>
        <v>0</v>
      </c>
      <c r="I9785" s="41" t="n">
        <f aca="false">Sens!$I$9716-(Sens!$I$9718+Sens!$I$9719)</f>
        <v>0</v>
      </c>
      <c r="J9785" s="41" t="n">
        <f aca="false">Sens!$J$9716-(Sens!$J$9718+Sens!$J$9719)</f>
        <v>0</v>
      </c>
      <c r="K9785" s="41" t="n">
        <f aca="false">Sens!$K$9716-(Sens!$K$9718+Sens!$K$9719)</f>
        <v>0</v>
      </c>
      <c r="L9785" s="41" t="n">
        <f aca="false">Sens!$L$9716-(Sens!$L$9718+Sens!$L$9719)</f>
        <v>0</v>
      </c>
      <c r="M9785" s="41" t="n">
        <f aca="false">Sens!$M$9716-(Sens!$M$9718+Sens!$M$9719)</f>
        <v>0</v>
      </c>
      <c r="N9785" s="41" t="n">
        <f aca="false">Sens!$N$9716-(Sens!$N$9718+Sens!$N$9719)</f>
        <v>0</v>
      </c>
      <c r="O9785" s="41" t="n">
        <f aca="false">Sens!$O$9716-(Sens!$O$9718+Sens!$O$9719)</f>
        <v>0</v>
      </c>
    </row>
    <row r="9786" customFormat="false" ht="17.15" hidden="false" customHeight="false" outlineLevel="0" collapsed="false">
      <c r="A9786" s="24" t="s">
        <v>698</v>
      </c>
      <c r="B9786" s="25" t="s">
        <v>86</v>
      </c>
      <c r="C9786" s="41" t="n">
        <f aca="false">Sens!$C$9781+Sens!$C$9782-Sens!$C$9783</f>
        <v>0</v>
      </c>
      <c r="D9786" s="41" t="n">
        <f aca="false">Sens!$D$9781+Sens!$D$9782-Sens!$D$9783</f>
        <v>0</v>
      </c>
      <c r="E9786" s="41" t="n">
        <f aca="false">Sens!$E$9781+Sens!$E$9782-Sens!$E$9783</f>
        <v>0</v>
      </c>
      <c r="F9786" s="41" t="n">
        <f aca="false">Sens!$F$9781+Sens!$F$9782-Sens!$F$9783</f>
        <v>0</v>
      </c>
      <c r="G9786" s="41" t="n">
        <f aca="false">Sens!$G$9781+Sens!$G$9782-Sens!$G$9783</f>
        <v>0</v>
      </c>
      <c r="H9786" s="41" t="n">
        <f aca="false">Sens!$H$9781+Sens!$H$9782-Sens!$H$9783</f>
        <v>0</v>
      </c>
      <c r="I9786" s="41" t="n">
        <f aca="false">Sens!$I$9781+Sens!$I$9782-Sens!$I$9783</f>
        <v>0</v>
      </c>
      <c r="J9786" s="41" t="n">
        <f aca="false">Sens!$J$9781+Sens!$J$9782-Sens!$J$9783</f>
        <v>0</v>
      </c>
      <c r="K9786" s="41" t="n">
        <f aca="false">Sens!$K$9781+Sens!$K$9782-Sens!$K$9783</f>
        <v>0</v>
      </c>
      <c r="L9786" s="41" t="n">
        <f aca="false">Sens!$L$9781+Sens!$L$9782-Sens!$L$9783</f>
        <v>0</v>
      </c>
      <c r="M9786" s="41" t="n">
        <f aca="false">Sens!$M$9781+Sens!$M$9782-Sens!$M$9783</f>
        <v>0</v>
      </c>
      <c r="N9786" s="41" t="n">
        <f aca="false">Sens!$N$9781+Sens!$N$9782-Sens!$N$9783</f>
        <v>0</v>
      </c>
      <c r="O9786" s="41" t="n">
        <f aca="false">Sens!$O$9781+Sens!$O$9782-Sens!$O$9783</f>
        <v>0</v>
      </c>
    </row>
    <row r="9787" customFormat="false" ht="17.15" hidden="false" customHeight="false" outlineLevel="0" collapsed="false">
      <c r="A9787" s="24" t="s">
        <v>699</v>
      </c>
      <c r="B9787" s="25" t="s">
        <v>86</v>
      </c>
      <c r="C9787" s="41" t="n">
        <f aca="false">Sens!$C$9718+Sens!$C$9719+Sens!$C$9783-Sens!$C$9784</f>
        <v>0</v>
      </c>
      <c r="D9787" s="41" t="n">
        <f aca="false">Sens!$D$9718+Sens!$D$9719+Sens!$D$9783-Sens!$D$9784</f>
        <v>0</v>
      </c>
      <c r="E9787" s="41" t="n">
        <f aca="false">Sens!$E$9718+Sens!$E$9719+Sens!$E$9783-Sens!$E$9784</f>
        <v>0</v>
      </c>
      <c r="F9787" s="41" t="n">
        <f aca="false">Sens!$F$9718+Sens!$F$9719+Sens!$F$9783-Sens!$F$9784</f>
        <v>0</v>
      </c>
      <c r="G9787" s="41" t="n">
        <f aca="false">Sens!$G$9718+Sens!$G$9719+Sens!$G$9783-Sens!$G$9784</f>
        <v>0</v>
      </c>
      <c r="H9787" s="41" t="n">
        <f aca="false">Sens!$H$9718+Sens!$H$9719+Sens!$H$9783-Sens!$H$9784</f>
        <v>0</v>
      </c>
      <c r="I9787" s="41" t="n">
        <f aca="false">Sens!$I$9718+Sens!$I$9719+Sens!$I$9783-Sens!$I$9784</f>
        <v>0</v>
      </c>
      <c r="J9787" s="41" t="n">
        <f aca="false">Sens!$J$9718+Sens!$J$9719+Sens!$J$9783-Sens!$J$9784</f>
        <v>0</v>
      </c>
      <c r="K9787" s="41" t="n">
        <f aca="false">Sens!$K$9718+Sens!$K$9719+Sens!$K$9783-Sens!$K$9784</f>
        <v>0</v>
      </c>
      <c r="L9787" s="41" t="n">
        <f aca="false">Sens!$L$9718+Sens!$L$9719+Sens!$L$9783-Sens!$L$9784</f>
        <v>0</v>
      </c>
      <c r="M9787" s="41" t="n">
        <f aca="false">Sens!$M$9718+Sens!$M$9719+Sens!$M$9783-Sens!$M$9784</f>
        <v>0</v>
      </c>
      <c r="N9787" s="41" t="n">
        <f aca="false">Sens!$N$9718+Sens!$N$9719+Sens!$N$9783-Sens!$N$9784</f>
        <v>0</v>
      </c>
      <c r="O9787" s="41" t="n">
        <f aca="false">Sens!$O$9718+Sens!$O$9719+Sens!$O$9783-Sens!$O$9784</f>
        <v>0</v>
      </c>
    </row>
    <row r="9788" customFormat="false" ht="15" hidden="false" customHeight="false" outlineLevel="0" collapsed="false">
      <c r="A9788" s="5" t="s">
        <v>693</v>
      </c>
      <c r="B9788" s="0" t="s">
        <v>52</v>
      </c>
      <c r="G9788" s="13" t="n">
        <f aca="false">Sens!$G$9784/Sens!$D$9784-1</f>
        <v>0.140854504918937</v>
      </c>
      <c r="H9788" s="13" t="n">
        <f aca="false">Sens!$H$9784/Sens!$G$9784-1</f>
        <v>0.152063789793209</v>
      </c>
      <c r="I9788" s="13" t="n">
        <f aca="false">Sens!$I$9784/Sens!$H$9784-1</f>
        <v>0.134273264437417</v>
      </c>
      <c r="J9788" s="13" t="n">
        <f aca="false">Sens!$J$9784/Sens!$I$9784-1</f>
        <v>0.113310421234083</v>
      </c>
      <c r="K9788" s="13" t="n">
        <f aca="false">Sens!$K$9784/Sens!$J$9784-1</f>
        <v>0.0892108343223652</v>
      </c>
      <c r="L9788" s="13" t="n">
        <f aca="false">Sens!$L$9784/Sens!$K$9784-1</f>
        <v>0.076471362444261</v>
      </c>
      <c r="M9788" s="13" t="n">
        <f aca="false">Sens!$M$9784/Sens!$L$9784-1</f>
        <v>0.066250060256672</v>
      </c>
    </row>
    <row r="9789" customFormat="false" ht="17.15" hidden="false" customHeight="false" outlineLevel="0" collapsed="false">
      <c r="A9789" s="0" t="s">
        <v>694</v>
      </c>
      <c r="B9789" s="0" t="s">
        <v>52</v>
      </c>
      <c r="C9789" s="13" t="n">
        <f aca="false">Sens!$C$9783/Sens!$C$9784</f>
        <v>0.168593906504964</v>
      </c>
      <c r="D9789" s="13" t="n">
        <f aca="false">Sens!$D$9783/Sens!$D$9784</f>
        <v>0.179551807444025</v>
      </c>
      <c r="E9789" s="13" t="n">
        <f aca="false">Sens!$E$9783/Sens!$E$9784</f>
        <v>0.208881910369643</v>
      </c>
      <c r="F9789" s="13" t="n">
        <f aca="false">Sens!$F$9783/Sens!$F$9784</f>
        <v>0.199028269699356</v>
      </c>
      <c r="G9789" s="13" t="n">
        <f aca="false">Sens!$G$9783/Sens!$G$9784</f>
        <v>0.203631882529968</v>
      </c>
      <c r="H9789" s="13" t="n">
        <f aca="false">Sens!$H$9783/Sens!$H$9784</f>
        <v>0.234731715958496</v>
      </c>
      <c r="I9789" s="13" t="n">
        <f aca="false">Sens!$I$9783/Sens!$I$9784</f>
        <v>0.262231204480418</v>
      </c>
      <c r="J9789" s="13" t="n">
        <f aca="false">Sens!$J$9783/Sens!$J$9784</f>
        <v>0.284728366013706</v>
      </c>
      <c r="K9789" s="13" t="n">
        <f aca="false">Sens!$K$9783/Sens!$K$9784</f>
        <v>0.300823304959505</v>
      </c>
      <c r="L9789" s="13" t="n">
        <f aca="false">Sens!$L$9783/Sens!$L$9784</f>
        <v>0.308263164529735</v>
      </c>
      <c r="M9789" s="13" t="n">
        <f aca="false">Sens!$M$9783/Sens!$M$9784</f>
        <v>0.308856517936036</v>
      </c>
      <c r="N9789" s="13" t="n">
        <f aca="false">Sens!$N$9783/Sens!$N$9784</f>
        <v>0.185979484737251</v>
      </c>
      <c r="O9789" s="13" t="n">
        <f aca="false">Sens!$O$9783/Sens!$O$9784</f>
        <v>0.174270432341096</v>
      </c>
    </row>
    <row r="9790" customFormat="false" ht="17.15" hidden="false" customHeight="false" outlineLevel="0" collapsed="false">
      <c r="A9790" s="0" t="s">
        <v>695</v>
      </c>
      <c r="B9790" s="0" t="s">
        <v>52</v>
      </c>
      <c r="C9790" s="13" t="n">
        <f aca="false">Sens!$C$9781/Sens!$C$9783</f>
        <v>0.0215795060896058</v>
      </c>
      <c r="D9790" s="13" t="n">
        <f aca="false">Sens!$D$9781/Sens!$D$9783</f>
        <v>0.0676152269462122</v>
      </c>
      <c r="E9790" s="13" t="n">
        <f aca="false">Sens!$E$9781/Sens!$E$9783</f>
        <v>0.106620641395783</v>
      </c>
      <c r="F9790" s="13" t="n">
        <f aca="false">Sens!$F$9781/Sens!$F$9783</f>
        <v>0.172523487401099</v>
      </c>
      <c r="G9790" s="13" t="n">
        <f aca="false">Sens!$G$9781/Sens!$G$9783</f>
        <v>0.140939911795589</v>
      </c>
      <c r="H9790" s="13" t="n">
        <f aca="false">Sens!$H$9781/Sens!$H$9783</f>
        <v>0.272018642937714</v>
      </c>
      <c r="I9790" s="13" t="n">
        <f aca="false">Sens!$I$9781/Sens!$I$9783</f>
        <v>0.362159512436497</v>
      </c>
      <c r="J9790" s="13" t="n">
        <f aca="false">Sens!$J$9781/Sens!$J$9783</f>
        <v>0.422151735934609</v>
      </c>
      <c r="K9790" s="13" t="n">
        <f aca="false">Sens!$K$9781/Sens!$K$9783</f>
        <v>0.45769342068485</v>
      </c>
      <c r="L9790" s="13" t="n">
        <f aca="false">Sens!$L$9781/Sens!$L$9783</f>
        <v>0.469047103913472</v>
      </c>
      <c r="M9790" s="13" t="n">
        <f aca="false">Sens!$M$9781/Sens!$M$9783</f>
        <v>0.463233328258093</v>
      </c>
      <c r="N9790" s="13" t="n">
        <f aca="false">Sens!$N$9781/Sens!$N$9783</f>
        <v>0.0506537999838362</v>
      </c>
      <c r="O9790" s="13" t="n">
        <f aca="false">Sens!$O$9781/Sens!$O$9783</f>
        <v>0.0824881615167056</v>
      </c>
    </row>
    <row r="9793" customFormat="false" ht="19.4" hidden="false" customHeight="false" outlineLevel="0" collapsed="false">
      <c r="A9793" s="31" t="s">
        <v>1329</v>
      </c>
    </row>
    <row r="9794" customFormat="false" ht="17.15" hidden="false" customHeight="false" outlineLevel="0" collapsed="false">
      <c r="A9794" s="6" t="s">
        <v>16</v>
      </c>
      <c r="B9794" s="6" t="s">
        <v>17</v>
      </c>
      <c r="C9794" s="20" t="s">
        <v>494</v>
      </c>
      <c r="D9794" s="20" t="s">
        <v>495</v>
      </c>
      <c r="E9794" s="20" t="s">
        <v>577</v>
      </c>
      <c r="F9794" s="20" t="s">
        <v>578</v>
      </c>
      <c r="G9794" s="20" t="s">
        <v>579</v>
      </c>
      <c r="H9794" s="20" t="s">
        <v>580</v>
      </c>
      <c r="I9794" s="20" t="s">
        <v>581</v>
      </c>
      <c r="J9794" s="20" t="s">
        <v>582</v>
      </c>
      <c r="K9794" s="20" t="s">
        <v>583</v>
      </c>
      <c r="L9794" s="20" t="s">
        <v>584</v>
      </c>
      <c r="M9794" s="20" t="s">
        <v>585</v>
      </c>
      <c r="N9794" s="20" t="s">
        <v>586</v>
      </c>
      <c r="O9794" s="20" t="s">
        <v>587</v>
      </c>
      <c r="P9794" s="6" t="s">
        <v>23</v>
      </c>
      <c r="R9794" s="20" t="n">
        <v>2023</v>
      </c>
      <c r="S9794" s="20" t="n">
        <v>2024</v>
      </c>
      <c r="T9794" s="20" t="n">
        <v>2025</v>
      </c>
      <c r="U9794" s="20" t="n">
        <v>2026</v>
      </c>
      <c r="V9794" s="20" t="n">
        <v>2027</v>
      </c>
      <c r="W9794" s="20" t="n">
        <v>2028</v>
      </c>
      <c r="X9794" s="20" t="n">
        <v>2029</v>
      </c>
      <c r="Y9794" s="20" t="n">
        <v>2030</v>
      </c>
      <c r="Z9794" s="20" t="n">
        <v>2031</v>
      </c>
      <c r="AA9794" s="20" t="n">
        <v>2032</v>
      </c>
    </row>
    <row r="9795" customFormat="false" ht="17.15" hidden="false" customHeight="false" outlineLevel="0" collapsed="false">
      <c r="A9795" s="1" t="s">
        <v>710</v>
      </c>
    </row>
    <row r="9796" customFormat="false" ht="15" hidden="false" customHeight="false" outlineLevel="0" collapsed="false">
      <c r="A9796" s="0" t="s">
        <v>516</v>
      </c>
      <c r="B9796" s="0" t="s">
        <v>86</v>
      </c>
      <c r="C9796" s="38" t="n">
        <f aca="false">Sens!$C$9703</f>
        <v>247.029</v>
      </c>
      <c r="D9796" s="38" t="n">
        <f aca="false">Sens!$D$9703</f>
        <v>269.287</v>
      </c>
      <c r="E9796" s="38" t="n">
        <f aca="false">Sens!$E$9703</f>
        <v>134.686</v>
      </c>
      <c r="F9796" s="38" t="n">
        <f aca="false">Sens!$F$9703</f>
        <v>158.293876822267</v>
      </c>
      <c r="G9796" s="38" t="n">
        <f aca="false">Sens!$G$9703</f>
        <v>292.979876822267</v>
      </c>
      <c r="H9796" s="38" t="n">
        <f aca="false">Sens!$H$9703</f>
        <v>318.184543087396</v>
      </c>
      <c r="I9796" s="38" t="n">
        <f aca="false">Sens!$I$9703</f>
        <v>341.736278761793</v>
      </c>
      <c r="J9796" s="38" t="n">
        <f aca="false">Sens!$J$9703</f>
        <v>362.927192787048</v>
      </c>
      <c r="K9796" s="38" t="n">
        <f aca="false">Sens!$K$9703</f>
        <v>381.0735524264</v>
      </c>
      <c r="L9796" s="38" t="n">
        <f aca="false">Sens!$L$9703</f>
        <v>400.12723004772</v>
      </c>
      <c r="M9796" s="38" t="n">
        <f aca="false">Sens!$M$9703</f>
        <v>420.133591550106</v>
      </c>
      <c r="N9796" s="38" t="n">
        <f aca="false">Sens!$N$9703</f>
        <v>118.892</v>
      </c>
      <c r="O9796" s="38" t="n">
        <f aca="false">Sens!$O$9703</f>
        <v>150.395</v>
      </c>
    </row>
    <row r="9797" customFormat="false" ht="15" hidden="false" customHeight="false" outlineLevel="0" collapsed="false">
      <c r="A9797" s="0" t="s">
        <v>517</v>
      </c>
      <c r="B9797" s="0" t="s">
        <v>86</v>
      </c>
      <c r="C9797" s="38" t="n">
        <f aca="false">Sens!$C$9705</f>
        <v>21.215</v>
      </c>
      <c r="D9797" s="38" t="n">
        <f aca="false">Sens!$D$9705</f>
        <v>22.561</v>
      </c>
      <c r="E9797" s="38" t="n">
        <f aca="false">Sens!$E$9705</f>
        <v>11.579</v>
      </c>
      <c r="F9797" s="38" t="n">
        <f aca="false">Sens!$F$9705</f>
        <v>11.5938724610325</v>
      </c>
      <c r="G9797" s="38" t="n">
        <f aca="false">Sens!$G$9705</f>
        <v>23.1728724610325</v>
      </c>
      <c r="H9797" s="38" t="n">
        <f aca="false">Sens!$H$9705</f>
        <v>24.353392759506</v>
      </c>
      <c r="I9797" s="38" t="n">
        <f aca="false">Sens!$I$9705</f>
        <v>25.4240338872015</v>
      </c>
      <c r="J9797" s="38" t="n">
        <f aca="false">Sens!$J$9705</f>
        <v>26.3642491017174</v>
      </c>
      <c r="K9797" s="38" t="n">
        <f aca="false">Sens!$K$9705</f>
        <v>27.155176574769</v>
      </c>
      <c r="L9797" s="38" t="n">
        <f aca="false">Sens!$L$9705</f>
        <v>27.969831872012</v>
      </c>
      <c r="M9797" s="38" t="n">
        <f aca="false">Sens!$M$9705</f>
        <v>28.8089268281724</v>
      </c>
      <c r="N9797" s="38" t="n">
        <f aca="false">Sens!$N$9705</f>
        <v>11.128</v>
      </c>
      <c r="O9797" s="38" t="n">
        <f aca="false">Sens!$O$9705</f>
        <v>11.433</v>
      </c>
    </row>
    <row r="9798" customFormat="false" ht="15" hidden="false" customHeight="false" outlineLevel="0" collapsed="false">
      <c r="A9798" s="0" t="s">
        <v>518</v>
      </c>
      <c r="B9798" s="0" t="s">
        <v>86</v>
      </c>
      <c r="C9798" s="38" t="n">
        <f aca="false">Sens!$C$9707</f>
        <v>156.146</v>
      </c>
      <c r="D9798" s="38" t="n">
        <f aca="false">Sens!$D$9707</f>
        <v>172.162</v>
      </c>
      <c r="E9798" s="38" t="n">
        <f aca="false">Sens!$E$9707</f>
        <v>88.358</v>
      </c>
      <c r="F9798" s="38" t="n">
        <f aca="false">Sens!$F$9707</f>
        <v>102.004388260171</v>
      </c>
      <c r="G9798" s="38" t="n">
        <f aca="false">Sens!$G$9707</f>
        <v>190.362388260171</v>
      </c>
      <c r="H9798" s="38" t="n">
        <f aca="false">Sens!$H$9707</f>
        <v>210.343106588311</v>
      </c>
      <c r="I9798" s="38" t="n">
        <f aca="false">Sens!$I$9707</f>
        <v>229.969728494648</v>
      </c>
      <c r="J9798" s="38" t="n">
        <f aca="false">Sens!$J$9707</f>
        <v>248.747636972598</v>
      </c>
      <c r="K9798" s="38" t="n">
        <f aca="false">Sens!$K$9707</f>
        <v>266.15997156068</v>
      </c>
      <c r="L9798" s="38" t="n">
        <f aca="false">Sens!$L$9707</f>
        <v>284.791169569927</v>
      </c>
      <c r="M9798" s="38" t="n">
        <f aca="false">Sens!$M$9707</f>
        <v>304.726551439822</v>
      </c>
      <c r="N9798" s="38" t="n">
        <f aca="false">Sens!$N$9707</f>
        <v>76.86</v>
      </c>
      <c r="O9798" s="38" t="n">
        <f aca="false">Sens!$O$9707</f>
        <v>95.302</v>
      </c>
    </row>
    <row r="9799" customFormat="false" ht="15" hidden="false" customHeight="false" outlineLevel="0" collapsed="false">
      <c r="A9799" s="0" t="s">
        <v>519</v>
      </c>
      <c r="B9799" s="0" t="s">
        <v>86</v>
      </c>
      <c r="C9799" s="38" t="n">
        <f aca="false">Sens!$C$9709</f>
        <v>56.214</v>
      </c>
      <c r="D9799" s="38" t="n">
        <f aca="false">Sens!$D$9709</f>
        <v>68.635</v>
      </c>
      <c r="E9799" s="38" t="n">
        <f aca="false">Sens!$E$9709</f>
        <v>37.052</v>
      </c>
      <c r="F9799" s="38" t="n">
        <f aca="false">Sens!$F$9709</f>
        <v>46.1572219944148</v>
      </c>
      <c r="G9799" s="38" t="n">
        <f aca="false">Sens!$G$9709</f>
        <v>83.2092219944148</v>
      </c>
      <c r="H9799" s="38" t="n">
        <f aca="false">Sens!$H$9709</f>
        <v>99.8969223878976</v>
      </c>
      <c r="I9799" s="38" t="n">
        <f aca="false">Sens!$I$9709</f>
        <v>116.583111095496</v>
      </c>
      <c r="J9799" s="38" t="n">
        <f aca="false">Sens!$J$9709</f>
        <v>132.148941941952</v>
      </c>
      <c r="K9799" s="38" t="n">
        <f aca="false">Sens!$K$9709</f>
        <v>145.363836136147</v>
      </c>
      <c r="L9799" s="38" t="n">
        <f aca="false">Sens!$L$9709</f>
        <v>159.900219749762</v>
      </c>
      <c r="M9799" s="38" t="n">
        <f aca="false">Sens!$M$9709</f>
        <v>175.890241724738</v>
      </c>
      <c r="N9799" s="38" t="n">
        <f aca="false">Sens!$N$9709</f>
        <v>29.615</v>
      </c>
      <c r="O9799" s="38" t="n">
        <f aca="false">Sens!$O$9709</f>
        <v>39.02</v>
      </c>
    </row>
    <row r="9800" customFormat="false" ht="15" hidden="false" customHeight="false" outlineLevel="0" collapsed="false">
      <c r="A9800" s="0" t="s">
        <v>520</v>
      </c>
      <c r="B9800" s="0" t="s">
        <v>86</v>
      </c>
      <c r="C9800" s="38" t="n">
        <f aca="false">Sens!$C$9711</f>
        <v>44.374</v>
      </c>
      <c r="D9800" s="38" t="n">
        <f aca="false">Sens!$D$9711</f>
        <v>49.619</v>
      </c>
      <c r="E9800" s="38" t="n">
        <f aca="false">Sens!$E$9711</f>
        <v>27.157</v>
      </c>
      <c r="F9800" s="38" t="n">
        <f aca="false">Sens!$F$9711</f>
        <v>27.7764165988154</v>
      </c>
      <c r="G9800" s="38" t="n">
        <f aca="false">Sens!$G$9711</f>
        <v>54.9334165988154</v>
      </c>
      <c r="H9800" s="38" t="n">
        <f aca="false">Sens!$H$9711</f>
        <v>61.1564112561829</v>
      </c>
      <c r="I9800" s="38" t="n">
        <f aca="false">Sens!$I$9711</f>
        <v>67.2020282103945</v>
      </c>
      <c r="J9800" s="38" t="n">
        <f aca="false">Sens!$J$9711</f>
        <v>72.8757274028885</v>
      </c>
      <c r="K9800" s="38" t="n">
        <f aca="false">Sens!$K$9711</f>
        <v>77.9770283210907</v>
      </c>
      <c r="L9800" s="38" t="n">
        <f aca="false">Sens!$L$9711</f>
        <v>83.4354203035671</v>
      </c>
      <c r="M9800" s="38" t="n">
        <f aca="false">Sens!$M$9711</f>
        <v>89.2758997248168</v>
      </c>
      <c r="N9800" s="38" t="n">
        <f aca="false">Sens!$N$9711</f>
        <v>23.923</v>
      </c>
      <c r="O9800" s="38" t="n">
        <f aca="false">Sens!$O$9711</f>
        <v>25.696</v>
      </c>
    </row>
    <row r="9801" customFormat="false" ht="15" hidden="false" customHeight="false" outlineLevel="0" collapsed="false">
      <c r="A9801" s="0" t="s">
        <v>521</v>
      </c>
      <c r="B9801" s="0" t="s">
        <v>86</v>
      </c>
      <c r="C9801" s="38" t="n">
        <f aca="false">Sens!$C$9713</f>
        <v>5.425</v>
      </c>
      <c r="D9801" s="38" t="n">
        <f aca="false">Sens!$D$9713</f>
        <v>5.935</v>
      </c>
      <c r="E9801" s="38" t="n">
        <f aca="false">Sens!$E$9713</f>
        <v>3.474</v>
      </c>
      <c r="F9801" s="38" t="n">
        <f aca="false">Sens!$F$9713</f>
        <v>3.22246550883619</v>
      </c>
      <c r="G9801" s="38" t="n">
        <f aca="false">Sens!$G$9713</f>
        <v>6.69646550883619</v>
      </c>
      <c r="H9801" s="38" t="n">
        <f aca="false">Sens!$H$9713</f>
        <v>7.16251344209196</v>
      </c>
      <c r="I9801" s="38" t="n">
        <f aca="false">Sens!$I$9713</f>
        <v>7.61421070299826</v>
      </c>
      <c r="J9801" s="38" t="n">
        <f aca="false">Sens!$J$9713</f>
        <v>8.04465753523932</v>
      </c>
      <c r="K9801" s="38" t="n">
        <f aca="false">Sens!$K$9713</f>
        <v>8.44689041200128</v>
      </c>
      <c r="L9801" s="38" t="n">
        <f aca="false">Sens!$L$9713</f>
        <v>8.86923493260135</v>
      </c>
      <c r="M9801" s="38" t="n">
        <f aca="false">Sens!$M$9713</f>
        <v>9.31269667923142</v>
      </c>
      <c r="N9801" s="38" t="n">
        <f aca="false">Sens!$N$9713</f>
        <v>2.811</v>
      </c>
      <c r="O9801" s="38" t="n">
        <f aca="false">Sens!$O$9713</f>
        <v>3.124</v>
      </c>
    </row>
    <row r="9802" customFormat="false" ht="17.15" hidden="false" customHeight="false" outlineLevel="0" collapsed="false">
      <c r="A9802" s="0" t="s">
        <v>711</v>
      </c>
      <c r="B9802" s="0" t="s">
        <v>86</v>
      </c>
      <c r="C9802" s="38" t="n">
        <f aca="false">Sens!$C$9783</f>
        <v>107.556</v>
      </c>
      <c r="D9802" s="38" t="n">
        <f aca="false">Sens!$D$9783</f>
        <v>128.725</v>
      </c>
      <c r="E9802" s="38" t="n">
        <f aca="false">Sens!$E$9783</f>
        <v>79.819</v>
      </c>
      <c r="F9802" s="38" t="n">
        <f aca="false">Sens!$F$9783</f>
        <v>86.7327334389669</v>
      </c>
      <c r="G9802" s="38" t="n">
        <f aca="false">Sens!$G$9783</f>
        <v>166.551733438967</v>
      </c>
      <c r="H9802" s="38" t="n">
        <f aca="false">Sens!$H$9783</f>
        <v>221.182967828978</v>
      </c>
      <c r="I9802" s="38" t="n">
        <f aca="false">Sens!$I$9783</f>
        <v>280.27345865789</v>
      </c>
      <c r="J9802" s="38" t="n">
        <f aca="false">Sens!$J$9783</f>
        <v>338.800945197185</v>
      </c>
      <c r="K9802" s="38" t="n">
        <f aca="false">Sens!$K$9783</f>
        <v>389.88570147276</v>
      </c>
      <c r="L9802" s="38" t="n">
        <f aca="false">Sens!$L$9783</f>
        <v>430.080689379143</v>
      </c>
      <c r="M9802" s="38" t="n">
        <f aca="false">Sens!$M$9783</f>
        <v>459.456235951751</v>
      </c>
      <c r="N9802" s="38" t="n">
        <f aca="false">Sens!$N$9783</f>
        <v>60.14</v>
      </c>
      <c r="O9802" s="38" t="n">
        <f aca="false">Sens!$O$9783</f>
        <v>68.585</v>
      </c>
    </row>
    <row r="9803" customFormat="false" ht="15" hidden="false" customHeight="false" outlineLevel="0" collapsed="false">
      <c r="A9803" s="1" t="s">
        <v>509</v>
      </c>
      <c r="B9803" s="8" t="s">
        <v>86</v>
      </c>
      <c r="C9803" s="38" t="n">
        <f aca="false">Sens!$C$9718</f>
        <v>387.497</v>
      </c>
      <c r="D9803" s="38" t="n">
        <f aca="false">Sens!$D$9718</f>
        <v>426.305</v>
      </c>
      <c r="E9803" s="38" t="n">
        <f aca="false">Sens!$E$9718</f>
        <v>220.32</v>
      </c>
      <c r="F9803" s="38" t="n">
        <f aca="false">Sens!$F$9718</f>
        <v>250.639773480586</v>
      </c>
      <c r="G9803" s="38" t="n">
        <f aca="false">Sens!$G$9718</f>
        <v>470.959773480586</v>
      </c>
      <c r="H9803" s="38" t="n">
        <f aca="false">Sens!$H$9718</f>
        <v>521.386990416437</v>
      </c>
      <c r="I9803" s="38" t="n">
        <f aca="false">Sens!$I$9718</f>
        <v>570.143862887555</v>
      </c>
      <c r="J9803" s="38" t="n">
        <f aca="false">Sens!$J$9718</f>
        <v>615.391435791933</v>
      </c>
      <c r="K9803" s="38" t="n">
        <f aca="false">Sens!$K$9718</f>
        <v>655.208227561543</v>
      </c>
      <c r="L9803" s="38" t="n">
        <f aca="false">Sens!$L$9718</f>
        <v>697.807739249767</v>
      </c>
      <c r="M9803" s="38" t="n">
        <f aca="false">Sens!$M$9718</f>
        <v>743.399328463592</v>
      </c>
      <c r="N9803" s="38" t="n">
        <f aca="false">Sens!$N$9718</f>
        <v>192.955</v>
      </c>
      <c r="O9803" s="38" t="n">
        <f aca="false">Sens!$O$9718</f>
        <v>233.35</v>
      </c>
    </row>
    <row r="9804" customFormat="false" ht="15" hidden="false" customHeight="false" outlineLevel="0" collapsed="false">
      <c r="A9804" s="1" t="s">
        <v>512</v>
      </c>
      <c r="B9804" s="8" t="s">
        <v>86</v>
      </c>
      <c r="C9804" s="38" t="n">
        <f aca="false">Sens!$C$9719</f>
        <v>142.906</v>
      </c>
      <c r="D9804" s="38" t="n">
        <f aca="false">Sens!$D$9719</f>
        <v>161.894</v>
      </c>
      <c r="E9804" s="38" t="n">
        <f aca="false">Sens!$E$9719</f>
        <v>81.986</v>
      </c>
      <c r="F9804" s="38" t="n">
        <f aca="false">Sens!$F$9719</f>
        <v>98.408468164951</v>
      </c>
      <c r="G9804" s="38" t="n">
        <f aca="false">Sens!$G$9719</f>
        <v>180.394468164951</v>
      </c>
      <c r="H9804" s="38" t="n">
        <f aca="false">Sens!$H$9719</f>
        <v>199.709899104949</v>
      </c>
      <c r="I9804" s="38" t="n">
        <f aca="false">Sens!$I$9719</f>
        <v>218.385528264976</v>
      </c>
      <c r="J9804" s="38" t="n">
        <f aca="false">Sens!$J$9719</f>
        <v>235.71696994951</v>
      </c>
      <c r="K9804" s="38" t="n">
        <f aca="false">Sens!$K$9719</f>
        <v>250.968227869545</v>
      </c>
      <c r="L9804" s="38" t="n">
        <f aca="false">Sens!$L$9719</f>
        <v>267.285367225822</v>
      </c>
      <c r="M9804" s="38" t="n">
        <f aca="false">Sens!$M$9719</f>
        <v>284.748579483295</v>
      </c>
      <c r="N9804" s="38" t="n">
        <f aca="false">Sens!$N$9719</f>
        <v>70.274</v>
      </c>
      <c r="O9804" s="38" t="n">
        <f aca="false">Sens!$O$9719</f>
        <v>91.62</v>
      </c>
    </row>
    <row r="9805" customFormat="false" ht="15" hidden="false" customHeight="false" outlineLevel="0" collapsed="false">
      <c r="A9805" s="1" t="s">
        <v>513</v>
      </c>
      <c r="B9805" s="8" t="s">
        <v>86</v>
      </c>
      <c r="C9805" s="38" t="n">
        <f aca="false">Sens!$C$9783</f>
        <v>107.556</v>
      </c>
      <c r="D9805" s="38" t="n">
        <f aca="false">Sens!$D$9783</f>
        <v>128.725</v>
      </c>
      <c r="E9805" s="38" t="n">
        <f aca="false">Sens!$E$9783</f>
        <v>79.819</v>
      </c>
      <c r="F9805" s="38" t="n">
        <f aca="false">Sens!$F$9783</f>
        <v>86.7327334389669</v>
      </c>
      <c r="G9805" s="38" t="n">
        <f aca="false">Sens!$G$9783</f>
        <v>166.551733438967</v>
      </c>
      <c r="H9805" s="38" t="n">
        <f aca="false">Sens!$H$9783</f>
        <v>221.182967828978</v>
      </c>
      <c r="I9805" s="38" t="n">
        <f aca="false">Sens!$I$9783</f>
        <v>280.27345865789</v>
      </c>
      <c r="J9805" s="38" t="n">
        <f aca="false">Sens!$J$9783</f>
        <v>338.800945197185</v>
      </c>
      <c r="K9805" s="38" t="n">
        <f aca="false">Sens!$K$9783</f>
        <v>389.88570147276</v>
      </c>
      <c r="L9805" s="38" t="n">
        <f aca="false">Sens!$L$9783</f>
        <v>430.080689379143</v>
      </c>
      <c r="M9805" s="38" t="n">
        <f aca="false">Sens!$M$9783</f>
        <v>459.456235951751</v>
      </c>
      <c r="N9805" s="38" t="n">
        <f aca="false">Sens!$N$9783</f>
        <v>60.14</v>
      </c>
      <c r="O9805" s="38" t="n">
        <f aca="false">Sens!$O$9783</f>
        <v>68.585</v>
      </c>
    </row>
    <row r="9806" customFormat="false" ht="17.15" hidden="false" customHeight="false" outlineLevel="0" collapsed="false">
      <c r="A9806" s="0" t="s">
        <v>685</v>
      </c>
      <c r="B9806" s="0" t="s">
        <v>86</v>
      </c>
      <c r="C9806" s="38" t="n">
        <f aca="false">Sens!$C$9781</f>
        <v>2.32100535697364</v>
      </c>
      <c r="D9806" s="38" t="n">
        <f aca="false">Sens!$D$9781</f>
        <v>8.70377008865116</v>
      </c>
      <c r="E9806" s="38" t="n">
        <f aca="false">Sens!$E$9781</f>
        <v>8.51035297557002</v>
      </c>
      <c r="F9806" s="38" t="n">
        <f aca="false">Sens!$F$9781</f>
        <v>14.9634336447205</v>
      </c>
      <c r="G9806" s="38" t="n">
        <f aca="false">Sens!$G$9781</f>
        <v>23.4737866202905</v>
      </c>
      <c r="H9806" s="38" t="n">
        <f aca="false">Sens!$H$9781</f>
        <v>60.1658907497746</v>
      </c>
      <c r="I9806" s="38" t="n">
        <f aca="false">Sens!$I$9781</f>
        <v>101.503699136432</v>
      </c>
      <c r="J9806" s="38" t="n">
        <f aca="false">Sens!$J$9781</f>
        <v>143.025407151278</v>
      </c>
      <c r="K9806" s="38" t="n">
        <f aca="false">Sens!$K$9781</f>
        <v>178.44812038318</v>
      </c>
      <c r="L9806" s="38" t="n">
        <f aca="false">Sens!$L$9781</f>
        <v>201.728101802396</v>
      </c>
      <c r="M9806" s="38" t="n">
        <f aca="false">Sens!$M$9781</f>
        <v>212.835441368865</v>
      </c>
      <c r="N9806" s="38" t="n">
        <f aca="false">Sens!$N$9781</f>
        <v>3.04631953102791</v>
      </c>
      <c r="O9806" s="38" t="n">
        <f aca="false">Sens!$O$9781</f>
        <v>5.65745055762326</v>
      </c>
    </row>
    <row r="9807" customFormat="false" ht="17.15" hidden="false" customHeight="false" outlineLevel="0" collapsed="false">
      <c r="A9807" s="0" t="s">
        <v>687</v>
      </c>
      <c r="B9807" s="0" t="s">
        <v>86</v>
      </c>
      <c r="C9807" s="38" t="n">
        <f aca="false">Sens!$C$9782</f>
        <v>105.234994643026</v>
      </c>
      <c r="D9807" s="38" t="n">
        <f aca="false">Sens!$D$9782</f>
        <v>120.021229911349</v>
      </c>
      <c r="E9807" s="38" t="n">
        <f aca="false">Sens!$E$9782</f>
        <v>71.30864702443</v>
      </c>
      <c r="F9807" s="38" t="n">
        <f aca="false">Sens!$F$9782</f>
        <v>71.7692997942464</v>
      </c>
      <c r="G9807" s="38" t="n">
        <f aca="false">Sens!$G$9782</f>
        <v>143.077946818676</v>
      </c>
      <c r="H9807" s="38" t="n">
        <f aca="false">Sens!$H$9782</f>
        <v>161.017077079203</v>
      </c>
      <c r="I9807" s="38" t="n">
        <f aca="false">Sens!$I$9782</f>
        <v>178.769759521457</v>
      </c>
      <c r="J9807" s="38" t="n">
        <f aca="false">Sens!$J$9782</f>
        <v>195.775538045907</v>
      </c>
      <c r="K9807" s="38" t="n">
        <f aca="false">Sens!$K$9782</f>
        <v>211.43758108958</v>
      </c>
      <c r="L9807" s="38" t="n">
        <f aca="false">Sens!$L$9782</f>
        <v>228.352587576746</v>
      </c>
      <c r="M9807" s="38" t="n">
        <f aca="false">Sens!$M$9782</f>
        <v>246.620794582886</v>
      </c>
      <c r="N9807" s="38" t="n">
        <f aca="false">Sens!$N$9782</f>
        <v>57.0936804689721</v>
      </c>
      <c r="O9807" s="38" t="n">
        <f aca="false">Sens!$O$9782</f>
        <v>62.9275494423768</v>
      </c>
    </row>
    <row r="9808" customFormat="false" ht="15" hidden="false" customHeight="false" outlineLevel="0" collapsed="false">
      <c r="A9808" s="3" t="s">
        <v>514</v>
      </c>
      <c r="B9808" s="8" t="s">
        <v>86</v>
      </c>
      <c r="C9808" s="38" t="n">
        <f aca="false">Sens!$C$9784</f>
        <v>637.959</v>
      </c>
      <c r="D9808" s="38" t="n">
        <f aca="false">Sens!$D$9784</f>
        <v>716.924</v>
      </c>
      <c r="E9808" s="38" t="n">
        <f aca="false">Sens!$E$9784</f>
        <v>382.125</v>
      </c>
      <c r="F9808" s="38" t="n">
        <f aca="false">Sens!$F$9784</f>
        <v>435.780975084504</v>
      </c>
      <c r="G9808" s="38" t="n">
        <f aca="false">Sens!$G$9784</f>
        <v>817.905975084504</v>
      </c>
      <c r="H9808" s="38" t="n">
        <f aca="false">Sens!$H$9784</f>
        <v>942.279857350364</v>
      </c>
      <c r="I9808" s="38" t="n">
        <f aca="false">Sens!$I$9784</f>
        <v>1068.80284981042</v>
      </c>
      <c r="J9808" s="38" t="n">
        <f aca="false">Sens!$J$9784</f>
        <v>1189.90935093863</v>
      </c>
      <c r="K9808" s="38" t="n">
        <f aca="false">Sens!$K$9784</f>
        <v>1296.06215690385</v>
      </c>
      <c r="L9808" s="38" t="n">
        <f aca="false">Sens!$L$9784</f>
        <v>1395.17379585473</v>
      </c>
      <c r="M9808" s="38" t="n">
        <f aca="false">Sens!$M$9784</f>
        <v>1487.60414389864</v>
      </c>
      <c r="N9808" s="38" t="n">
        <f aca="false">Sens!$N$9784</f>
        <v>323.369</v>
      </c>
      <c r="O9808" s="38" t="n">
        <f aca="false">Sens!$O$9784</f>
        <v>393.555</v>
      </c>
    </row>
    <row r="9809" customFormat="false" ht="17.15" hidden="false" customHeight="false" outlineLevel="0" collapsed="false">
      <c r="A9809" s="24" t="s">
        <v>697</v>
      </c>
      <c r="B9809" s="25" t="s">
        <v>86</v>
      </c>
      <c r="C9809" s="41" t="n">
        <f aca="false">Sens!$C$9796+Sens!$C$9797+Sens!$C$9798+Sens!$C$9799+Sens!$C$9800+Sens!$C$9801-(Sens!$C$9803+Sens!$C$9804)</f>
        <v>0</v>
      </c>
      <c r="D9809" s="41" t="n">
        <f aca="false">Sens!$D$9796+Sens!$D$9797+Sens!$D$9798+Sens!$D$9799+Sens!$D$9800+Sens!$D$9801-(Sens!$D$9803+Sens!$D$9804)</f>
        <v>0</v>
      </c>
      <c r="E9809" s="41" t="n">
        <f aca="false">Sens!$E$9796+Sens!$E$9797+Sens!$E$9798+Sens!$E$9799+Sens!$E$9800+Sens!$E$9801-(Sens!$E$9803+Sens!$E$9804)</f>
        <v>0</v>
      </c>
      <c r="F9809" s="41" t="n">
        <f aca="false">Sens!$F$9796+Sens!$F$9797+Sens!$F$9798+Sens!$F$9799+Sens!$F$9800+Sens!$F$9801-(Sens!$F$9803+Sens!$F$9804)</f>
        <v>0</v>
      </c>
      <c r="G9809" s="41" t="n">
        <f aca="false">Sens!$G$9796+Sens!$G$9797+Sens!$G$9798+Sens!$G$9799+Sens!$G$9800+Sens!$G$9801-(Sens!$G$9803+Sens!$G$9804)</f>
        <v>0</v>
      </c>
      <c r="H9809" s="41" t="n">
        <f aca="false">Sens!$H$9796+Sens!$H$9797+Sens!$H$9798+Sens!$H$9799+Sens!$H$9800+Sens!$H$9801-(Sens!$H$9803+Sens!$H$9804)</f>
        <v>0</v>
      </c>
      <c r="I9809" s="41" t="n">
        <f aca="false">Sens!$I$9796+Sens!$I$9797+Sens!$I$9798+Sens!$I$9799+Sens!$I$9800+Sens!$I$9801-(Sens!$I$9803+Sens!$I$9804)</f>
        <v>0</v>
      </c>
      <c r="J9809" s="41" t="n">
        <f aca="false">Sens!$J$9796+Sens!$J$9797+Sens!$J$9798+Sens!$J$9799+Sens!$J$9800+Sens!$J$9801-(Sens!$J$9803+Sens!$J$9804)</f>
        <v>0</v>
      </c>
      <c r="K9809" s="41" t="n">
        <f aca="false">Sens!$K$9796+Sens!$K$9797+Sens!$K$9798+Sens!$K$9799+Sens!$K$9800+Sens!$K$9801-(Sens!$K$9803+Sens!$K$9804)</f>
        <v>0</v>
      </c>
      <c r="L9809" s="41" t="n">
        <f aca="false">Sens!$L$9796+Sens!$L$9797+Sens!$L$9798+Sens!$L$9799+Sens!$L$9800+Sens!$L$9801-(Sens!$L$9803+Sens!$L$9804)</f>
        <v>0</v>
      </c>
      <c r="M9809" s="41" t="n">
        <f aca="false">Sens!$M$9796+Sens!$M$9797+Sens!$M$9798+Sens!$M$9799+Sens!$M$9800+Sens!$M$9801-(Sens!$M$9803+Sens!$M$9804)</f>
        <v>0</v>
      </c>
      <c r="N9809" s="41" t="n">
        <f aca="false">Sens!$N$9796+Sens!$N$9797+Sens!$N$9798+Sens!$N$9799+Sens!$N$9800+Sens!$N$9801-(Sens!$N$9803+Sens!$N$9804)</f>
        <v>0</v>
      </c>
      <c r="O9809" s="41" t="n">
        <f aca="false">Sens!$O$9796+Sens!$O$9797+Sens!$O$9798+Sens!$O$9799+Sens!$O$9800+Sens!$O$9801-(Sens!$O$9803+Sens!$O$9804)</f>
        <v>0</v>
      </c>
    </row>
    <row r="9810" customFormat="false" ht="17.15" hidden="false" customHeight="false" outlineLevel="0" collapsed="false">
      <c r="A9810" s="24" t="s">
        <v>698</v>
      </c>
      <c r="B9810" s="25" t="s">
        <v>86</v>
      </c>
      <c r="C9810" s="41" t="n">
        <f aca="false">Sens!$C$9806+Sens!$C$9807-Sens!$C$9805</f>
        <v>0</v>
      </c>
      <c r="D9810" s="41" t="n">
        <f aca="false">Sens!$D$9806+Sens!$D$9807-Sens!$D$9805</f>
        <v>0</v>
      </c>
      <c r="E9810" s="41" t="n">
        <f aca="false">Sens!$E$9806+Sens!$E$9807-Sens!$E$9805</f>
        <v>0</v>
      </c>
      <c r="F9810" s="41" t="n">
        <f aca="false">Sens!$F$9806+Sens!$F$9807-Sens!$F$9805</f>
        <v>0</v>
      </c>
      <c r="G9810" s="41" t="n">
        <f aca="false">Sens!$G$9806+Sens!$G$9807-Sens!$G$9805</f>
        <v>0</v>
      </c>
      <c r="H9810" s="41" t="n">
        <f aca="false">Sens!$H$9806+Sens!$H$9807-Sens!$H$9805</f>
        <v>0</v>
      </c>
      <c r="I9810" s="41" t="n">
        <f aca="false">Sens!$I$9806+Sens!$I$9807-Sens!$I$9805</f>
        <v>0</v>
      </c>
      <c r="J9810" s="41" t="n">
        <f aca="false">Sens!$J$9806+Sens!$J$9807-Sens!$J$9805</f>
        <v>0</v>
      </c>
      <c r="K9810" s="41" t="n">
        <f aca="false">Sens!$K$9806+Sens!$K$9807-Sens!$K$9805</f>
        <v>0</v>
      </c>
      <c r="L9810" s="41" t="n">
        <f aca="false">Sens!$L$9806+Sens!$L$9807-Sens!$L$9805</f>
        <v>0</v>
      </c>
      <c r="M9810" s="41" t="n">
        <f aca="false">Sens!$M$9806+Sens!$M$9807-Sens!$M$9805</f>
        <v>0</v>
      </c>
      <c r="N9810" s="41" t="n">
        <f aca="false">Sens!$N$9806+Sens!$N$9807-Sens!$N$9805</f>
        <v>0</v>
      </c>
      <c r="O9810" s="41" t="n">
        <f aca="false">Sens!$O$9806+Sens!$O$9807-Sens!$O$9805</f>
        <v>0</v>
      </c>
    </row>
    <row r="9811" customFormat="false" ht="17.15" hidden="false" customHeight="false" outlineLevel="0" collapsed="false">
      <c r="A9811" s="24" t="s">
        <v>757</v>
      </c>
      <c r="B9811" s="25" t="s">
        <v>86</v>
      </c>
      <c r="C9811" s="41" t="n">
        <f aca="false">Sens!$C$9796+Sens!$C$9797+Sens!$C$9798+Sens!$C$9799+Sens!$C$9800+Sens!$C$9801+Sens!$C$9802-Sens!$C$9808</f>
        <v>0</v>
      </c>
      <c r="D9811" s="41" t="n">
        <f aca="false">Sens!$D$9796+Sens!$D$9797+Sens!$D$9798+Sens!$D$9799+Sens!$D$9800+Sens!$D$9801+Sens!$D$9802-Sens!$D$9808</f>
        <v>0</v>
      </c>
      <c r="E9811" s="41" t="n">
        <f aca="false">Sens!$E$9796+Sens!$E$9797+Sens!$E$9798+Sens!$E$9799+Sens!$E$9800+Sens!$E$9801+Sens!$E$9802-Sens!$E$9808</f>
        <v>0</v>
      </c>
      <c r="F9811" s="41" t="n">
        <f aca="false">Sens!$F$9796+Sens!$F$9797+Sens!$F$9798+Sens!$F$9799+Sens!$F$9800+Sens!$F$9801+Sens!$F$9802-Sens!$F$9808</f>
        <v>0</v>
      </c>
      <c r="G9811" s="41" t="n">
        <f aca="false">Sens!$G$9796+Sens!$G$9797+Sens!$G$9798+Sens!$G$9799+Sens!$G$9800+Sens!$G$9801+Sens!$G$9802-Sens!$G$9808</f>
        <v>0</v>
      </c>
      <c r="H9811" s="41" t="n">
        <f aca="false">Sens!$H$9796+Sens!$H$9797+Sens!$H$9798+Sens!$H$9799+Sens!$H$9800+Sens!$H$9801+Sens!$H$9802-Sens!$H$9808</f>
        <v>0</v>
      </c>
      <c r="I9811" s="41" t="n">
        <f aca="false">Sens!$I$9796+Sens!$I$9797+Sens!$I$9798+Sens!$I$9799+Sens!$I$9800+Sens!$I$9801+Sens!$I$9802-Sens!$I$9808</f>
        <v>0</v>
      </c>
      <c r="J9811" s="41" t="n">
        <f aca="false">Sens!$J$9796+Sens!$J$9797+Sens!$J$9798+Sens!$J$9799+Sens!$J$9800+Sens!$J$9801+Sens!$J$9802-Sens!$J$9808</f>
        <v>0</v>
      </c>
      <c r="K9811" s="41" t="n">
        <f aca="false">Sens!$K$9796+Sens!$K$9797+Sens!$K$9798+Sens!$K$9799+Sens!$K$9800+Sens!$K$9801+Sens!$K$9802-Sens!$K$9808</f>
        <v>0</v>
      </c>
      <c r="L9811" s="41" t="n">
        <f aca="false">Sens!$L$9796+Sens!$L$9797+Sens!$L$9798+Sens!$L$9799+Sens!$L$9800+Sens!$L$9801+Sens!$L$9802-Sens!$L$9808</f>
        <v>0</v>
      </c>
      <c r="M9811" s="41" t="n">
        <f aca="false">Sens!$M$9796+Sens!$M$9797+Sens!$M$9798+Sens!$M$9799+Sens!$M$9800+Sens!$M$9801+Sens!$M$9802-Sens!$M$9808</f>
        <v>0</v>
      </c>
      <c r="N9811" s="41" t="n">
        <f aca="false">Sens!$N$9796+Sens!$N$9797+Sens!$N$9798+Sens!$N$9799+Sens!$N$9800+Sens!$N$9801+Sens!$N$9802-Sens!$N$9808</f>
        <v>0</v>
      </c>
      <c r="O9811" s="41" t="n">
        <f aca="false">Sens!$O$9796+Sens!$O$9797+Sens!$O$9798+Sens!$O$9799+Sens!$O$9800+Sens!$O$9801+Sens!$O$9802-Sens!$O$9808</f>
        <v>0</v>
      </c>
    </row>
    <row r="9812" customFormat="false" ht="17.15" hidden="false" customHeight="false" outlineLevel="0" collapsed="false">
      <c r="A9812" s="24" t="s">
        <v>699</v>
      </c>
      <c r="B9812" s="25" t="s">
        <v>86</v>
      </c>
      <c r="C9812" s="41" t="n">
        <f aca="false">Sens!$C$9803+Sens!$C$9804+Sens!$C$9805-Sens!$C$9808</f>
        <v>0</v>
      </c>
      <c r="D9812" s="41" t="n">
        <f aca="false">Sens!$D$9803+Sens!$D$9804+Sens!$D$9805-Sens!$D$9808</f>
        <v>0</v>
      </c>
      <c r="E9812" s="41" t="n">
        <f aca="false">Sens!$E$9803+Sens!$E$9804+Sens!$E$9805-Sens!$E$9808</f>
        <v>0</v>
      </c>
      <c r="F9812" s="41" t="n">
        <f aca="false">Sens!$F$9803+Sens!$F$9804+Sens!$F$9805-Sens!$F$9808</f>
        <v>0</v>
      </c>
      <c r="G9812" s="41" t="n">
        <f aca="false">Sens!$G$9803+Sens!$G$9804+Sens!$G$9805-Sens!$G$9808</f>
        <v>0</v>
      </c>
      <c r="H9812" s="41" t="n">
        <f aca="false">Sens!$H$9803+Sens!$H$9804+Sens!$H$9805-Sens!$H$9808</f>
        <v>0</v>
      </c>
      <c r="I9812" s="41" t="n">
        <f aca="false">Sens!$I$9803+Sens!$I$9804+Sens!$I$9805-Sens!$I$9808</f>
        <v>0</v>
      </c>
      <c r="J9812" s="41" t="n">
        <f aca="false">Sens!$J$9803+Sens!$J$9804+Sens!$J$9805-Sens!$J$9808</f>
        <v>0</v>
      </c>
      <c r="K9812" s="41" t="n">
        <f aca="false">Sens!$K$9803+Sens!$K$9804+Sens!$K$9805-Sens!$K$9808</f>
        <v>0</v>
      </c>
      <c r="L9812" s="41" t="n">
        <f aca="false">Sens!$L$9803+Sens!$L$9804+Sens!$L$9805-Sens!$L$9808</f>
        <v>0</v>
      </c>
      <c r="M9812" s="41" t="n">
        <f aca="false">Sens!$M$9803+Sens!$M$9804+Sens!$M$9805-Sens!$M$9808</f>
        <v>0</v>
      </c>
      <c r="N9812" s="41" t="n">
        <f aca="false">Sens!$N$9803+Sens!$N$9804+Sens!$N$9805-Sens!$N$9808</f>
        <v>0</v>
      </c>
      <c r="O9812" s="41" t="n">
        <f aca="false">Sens!$O$9803+Sens!$O$9804+Sens!$O$9805-Sens!$O$9808</f>
        <v>0</v>
      </c>
    </row>
    <row r="9813" customFormat="false" ht="17.15" hidden="false" customHeight="false" outlineLevel="0" collapsed="false">
      <c r="A9813" s="1" t="s">
        <v>713</v>
      </c>
    </row>
    <row r="9814" customFormat="false" ht="17.15" hidden="false" customHeight="false" outlineLevel="0" collapsed="false">
      <c r="A9814" s="0" t="s">
        <v>714</v>
      </c>
      <c r="B9814" s="0" t="s">
        <v>86</v>
      </c>
      <c r="C9814" s="38" t="n">
        <f aca="false">Sens!$C$9720*m_ad</f>
        <v>20.5341564414228</v>
      </c>
      <c r="D9814" s="38" t="n">
        <f aca="false">Sens!$D$9720*m_ad</f>
        <v>24.8720617299587</v>
      </c>
      <c r="E9814" s="38" t="n">
        <f aca="false">Sens!$E$9720*m_ad</f>
        <v>13.5017112462207</v>
      </c>
      <c r="F9814" s="38" t="n">
        <f aca="false">Sens!$F$9720*m_ad</f>
        <v>16.5719724165257</v>
      </c>
      <c r="G9814" s="38" t="n">
        <f aca="false">Sens!$G$9720*m_ad</f>
        <v>30.0820919220415</v>
      </c>
      <c r="H9814" s="38" t="n">
        <f aca="false">Sens!$H$9720*m_ad</f>
        <v>36.1150883276314</v>
      </c>
      <c r="I9814" s="38" t="n">
        <f aca="false">Sens!$I$9720*m_ad</f>
        <v>42.1475382231996</v>
      </c>
      <c r="J9814" s="38" t="n">
        <f aca="false">Sens!$J$9720*m_ad</f>
        <v>47.7749523864693</v>
      </c>
      <c r="K9814" s="38" t="n">
        <f aca="false">Sens!$K$9720*m_ad</f>
        <v>52.5524476251162</v>
      </c>
      <c r="L9814" s="38" t="n">
        <f aca="false">Sens!$L$9720*m_ad</f>
        <v>57.8076923876279</v>
      </c>
      <c r="M9814" s="38" t="n">
        <f aca="false">Sens!$M$9720*m_ad</f>
        <v>63.5884616263907</v>
      </c>
      <c r="N9814" s="38" t="n">
        <f aca="false">Sens!$N$9720*m_ad</f>
        <v>10.8543555706248</v>
      </c>
      <c r="O9814" s="38" t="n">
        <f aca="false">Sens!$O$9720*m_ad</f>
        <v>14.0094731821399</v>
      </c>
    </row>
    <row r="9815" customFormat="false" ht="17.15" hidden="false" customHeight="false" outlineLevel="0" collapsed="false">
      <c r="A9815" s="0" t="s">
        <v>715</v>
      </c>
      <c r="B9815" s="0" t="s">
        <v>86</v>
      </c>
      <c r="C9815" s="38" t="n">
        <f aca="false">Sens!$C$9718-Sens!$C$9720</f>
        <v>346.428687117154</v>
      </c>
      <c r="D9815" s="38" t="n">
        <f aca="false">Sens!$D$9718-Sens!$D$9720</f>
        <v>376.560876540083</v>
      </c>
      <c r="E9815" s="38" t="n">
        <f aca="false">Sens!$E$9718-Sens!$E$9720</f>
        <v>193.316577507559</v>
      </c>
      <c r="F9815" s="38" t="n">
        <f aca="false">Sens!$F$9718-Sens!$F$9720</f>
        <v>217.495828647535</v>
      </c>
      <c r="G9815" s="38" t="n">
        <f aca="false">Sens!$G$9718-Sens!$G$9720</f>
        <v>410.795589636503</v>
      </c>
      <c r="H9815" s="38" t="n">
        <f aca="false">Sens!$H$9718-Sens!$H$9720</f>
        <v>449.156813761174</v>
      </c>
      <c r="I9815" s="38" t="n">
        <f aca="false">Sens!$I$9718-Sens!$I$9720</f>
        <v>485.848786441156</v>
      </c>
      <c r="J9815" s="38" t="n">
        <f aca="false">Sens!$J$9718-Sens!$J$9720</f>
        <v>519.841531018994</v>
      </c>
      <c r="K9815" s="38" t="n">
        <f aca="false">Sens!$K$9718-Sens!$K$9720</f>
        <v>550.103332311311</v>
      </c>
      <c r="L9815" s="38" t="n">
        <f aca="false">Sens!$L$9718-Sens!$L$9720</f>
        <v>582.192354474511</v>
      </c>
      <c r="M9815" s="38" t="n">
        <f aca="false">Sens!$M$9718-Sens!$M$9720</f>
        <v>616.22240521081</v>
      </c>
      <c r="N9815" s="38" t="n">
        <f aca="false">Sens!$N$9718-Sens!$N$9720</f>
        <v>171.24628885875</v>
      </c>
      <c r="O9815" s="38" t="n">
        <f aca="false">Sens!$O$9718-Sens!$O$9720</f>
        <v>205.33105363572</v>
      </c>
    </row>
    <row r="9816" customFormat="false" ht="17.15" hidden="false" customHeight="false" outlineLevel="0" collapsed="false">
      <c r="A9816" s="0" t="s">
        <v>716</v>
      </c>
      <c r="B9816" s="0" t="s">
        <v>86</v>
      </c>
      <c r="C9816" s="38" t="n">
        <f aca="false">Sens!$C$9767*Sens!$C$9717</f>
        <v>0.123617442257179</v>
      </c>
      <c r="D9816" s="38" t="n">
        <f aca="false">Sens!$D$9767*Sens!$D$9717</f>
        <v>0.874366899302609</v>
      </c>
      <c r="E9816" s="38" t="n">
        <f aca="false">Sens!$E$9767*Sens!$E$9717</f>
        <v>1.29318830502574</v>
      </c>
      <c r="F9816" s="38" t="n">
        <f aca="false">Sens!$F$9767*Sens!$F$9717</f>
        <v>1.51802024162534</v>
      </c>
      <c r="G9816" s="38" t="n">
        <f aca="false">Sens!$G$9767*Sens!$G$9717</f>
        <v>2.81153363597665</v>
      </c>
      <c r="H9816" s="38" t="n">
        <f aca="false">Sens!$H$9767*Sens!$H$9717</f>
        <v>7.39027704264226</v>
      </c>
      <c r="I9816" s="38" t="n">
        <f aca="false">Sens!$I$9767*Sens!$I$9717</f>
        <v>12.899807643047</v>
      </c>
      <c r="J9816" s="38" t="n">
        <f aca="false">Sens!$J$9767*Sens!$J$9717</f>
        <v>18.5585322471382</v>
      </c>
      <c r="K9816" s="38" t="n">
        <f aca="false">Sens!$K$9767*Sens!$K$9717</f>
        <v>24.0966749520672</v>
      </c>
      <c r="L9816" s="38" t="n">
        <f aca="false">Sens!$L$9767*Sens!$L$9717</f>
        <v>27.686623551477</v>
      </c>
      <c r="M9816" s="38" t="n">
        <f aca="false">Sens!$M$9767*Sens!$M$9717</f>
        <v>29.7238645537022</v>
      </c>
      <c r="N9816" s="38" t="n">
        <f aca="false">Sens!$N$9767*Sens!$N$9717</f>
        <v>0.389180508437431</v>
      </c>
      <c r="O9816" s="38" t="n">
        <f aca="false">Sens!$O$9767*Sens!$O$9717</f>
        <v>0.485052120082802</v>
      </c>
    </row>
    <row r="9817" customFormat="false" ht="17.15" hidden="false" customHeight="false" outlineLevel="0" collapsed="false">
      <c r="A9817" s="0" t="s">
        <v>717</v>
      </c>
      <c r="B9817" s="0" t="s">
        <v>52</v>
      </c>
      <c r="C9817" s="28" t="n">
        <f aca="false">(Sens!$C$9818-Sens!$C$9814+Sens!$C$9816)/Sens!$C$9815</f>
        <v>0.0131526665379575</v>
      </c>
      <c r="D9817" s="28" t="n">
        <f aca="false">(Sens!$D$9818-Sens!$D$9814+Sens!$D$9816)/Sens!$D$9815</f>
        <v>0.0149280116962589</v>
      </c>
      <c r="E9817" s="28" t="n">
        <f aca="false">(Sens!$E$9818-Sens!$E$9814+Sens!$E$9816)/Sens!$E$9815</f>
        <v>0.0268030663774938</v>
      </c>
      <c r="F9817" s="28" t="n">
        <f aca="false">Sens!$O$9817+(Sens!$E$9817-Sens!$N$9817)</f>
        <v>0.0232379346966962</v>
      </c>
      <c r="G9817" s="28" t="n">
        <f aca="false">(Sens!$G$9818-Sens!$G$9814+Sens!$G$9816)/Sens!$G$9815</f>
        <v>0.0248969268652583</v>
      </c>
      <c r="H9817" s="28" t="n">
        <f aca="false">Sens!$G$9817+step_na</f>
        <v>0.0278969268652583</v>
      </c>
      <c r="I9817" s="28" t="n">
        <f aca="false">Sens!$H$9817+step_na</f>
        <v>0.0308969268652583</v>
      </c>
      <c r="J9817" s="28" t="n">
        <f aca="false">Sens!$I$9817+step_na</f>
        <v>0.0338969268652583</v>
      </c>
      <c r="K9817" s="28" t="n">
        <f aca="false">Sens!$J$9817+step_na</f>
        <v>0.0368969268652584</v>
      </c>
      <c r="L9817" s="28" t="n">
        <f aca="false">Sens!$K$9817</f>
        <v>0.0368969268652584</v>
      </c>
      <c r="M9817" s="28" t="n">
        <f aca="false">Sens!$L$9817</f>
        <v>0.0368969268652584</v>
      </c>
      <c r="N9817" s="28" t="n">
        <f aca="false">(Sens!$N$9818-Sens!$N$9814+Sens!$N$9816)/Sens!$N$9815</f>
        <v>0.0168927744775755</v>
      </c>
      <c r="O9817" s="28" t="n">
        <f aca="false">(Sens!$O$9818-Sens!$O$9814+Sens!$O$9816)/Sens!$O$9815</f>
        <v>0.0133276427967779</v>
      </c>
      <c r="P9817" s="8" t="s">
        <v>718</v>
      </c>
    </row>
    <row r="9818" customFormat="false" ht="17.15" hidden="false" customHeight="false" outlineLevel="0" collapsed="false">
      <c r="A9818" s="1" t="s">
        <v>719</v>
      </c>
      <c r="B9818" s="8" t="s">
        <v>86</v>
      </c>
      <c r="C9818" s="38" t="n">
        <f aca="false">Q!$D$22</f>
        <v>24.967</v>
      </c>
      <c r="D9818" s="38" t="n">
        <f aca="false">Q!$E$22</f>
        <v>29.619</v>
      </c>
      <c r="E9818" s="38" t="n">
        <f aca="false">Q!$P$22</f>
        <v>17.39</v>
      </c>
      <c r="F9818" s="38" t="n">
        <f aca="false">Sens!$F$9814+Sens!$F$9815*Sens!$F$9817-Sens!$F$9816</f>
        <v>20.1081060378156</v>
      </c>
      <c r="G9818" s="38" t="n">
        <f aca="false">Sens!$E$9818+Sens!$F$9818</f>
        <v>37.4981060378156</v>
      </c>
      <c r="H9818" s="38" t="n">
        <f aca="false">Sens!$H$9814+Sens!$H$9815*Sens!$H$9817-Sens!$H$9816</f>
        <v>41.2549060695171</v>
      </c>
      <c r="I9818" s="38" t="n">
        <f aca="false">Sens!$I$9814+Sens!$I$9815*Sens!$I$9817-Sens!$I$9816</f>
        <v>44.2589650023995</v>
      </c>
      <c r="J9818" s="38" t="n">
        <f aca="false">Sens!$J$9814+Sens!$J$9815*Sens!$J$9817-Sens!$J$9816</f>
        <v>46.8374504978059</v>
      </c>
      <c r="K9818" s="38" t="n">
        <f aca="false">Sens!$K$9814+Sens!$K$9815*Sens!$K$9817-Sens!$K$9816</f>
        <v>48.7528950936744</v>
      </c>
      <c r="L9818" s="38" t="n">
        <f aca="false">Sens!$L$9814+Sens!$L$9815*Sens!$L$9817-Sens!$L$9816</f>
        <v>51.6021775607095</v>
      </c>
      <c r="M9818" s="38" t="n">
        <f aca="false">Sens!$M$9814+Sens!$M$9815*Sens!$M$9817-Sens!$M$9816</f>
        <v>56.6013100904853</v>
      </c>
      <c r="N9818" s="38" t="n">
        <f aca="false">Q!$N$22</f>
        <v>13.358</v>
      </c>
      <c r="O9818" s="38" t="n">
        <f aca="false">Q!$O$22</f>
        <v>16.261</v>
      </c>
    </row>
    <row r="9819" customFormat="false" ht="17.15" hidden="false" customHeight="false" outlineLevel="0" collapsed="false">
      <c r="A9819" s="0" t="s">
        <v>720</v>
      </c>
      <c r="B9819" s="0" t="s">
        <v>86</v>
      </c>
      <c r="C9819" s="38" t="n">
        <f aca="false">Sens!$C$9721*m_ad</f>
        <v>7.57284355857716</v>
      </c>
      <c r="D9819" s="38" t="n">
        <f aca="false">Sens!$D$9721*m_ad</f>
        <v>9.44543827004127</v>
      </c>
      <c r="E9819" s="38" t="n">
        <f aca="false">Sens!$E$9721*m_ad</f>
        <v>5.02428875377928</v>
      </c>
      <c r="F9819" s="38" t="n">
        <f aca="false">Sens!$F$9721*m_ad</f>
        <v>6.50663858068173</v>
      </c>
      <c r="G9819" s="38" t="n">
        <f aca="false">Sens!$G$9721*m_ad</f>
        <v>11.5225190751659</v>
      </c>
      <c r="H9819" s="38" t="n">
        <f aca="false">Sens!$H$9721*m_ad</f>
        <v>13.8333728663174</v>
      </c>
      <c r="I9819" s="38" t="n">
        <f aca="false">Sens!$I$9721*m_ad</f>
        <v>16.1440173245485</v>
      </c>
      <c r="J9819" s="38" t="n">
        <f aca="false">Sens!$J$9721*m_ad</f>
        <v>18.2995185845066</v>
      </c>
      <c r="K9819" s="38" t="n">
        <f aca="false">Sens!$K$9721*m_ad</f>
        <v>20.1294704429572</v>
      </c>
      <c r="L9819" s="38" t="n">
        <f aca="false">Sens!$L$9721*m_ad</f>
        <v>22.142417487253</v>
      </c>
      <c r="M9819" s="38" t="n">
        <f aca="false">Sens!$M$9721*m_ad</f>
        <v>24.3566592359783</v>
      </c>
      <c r="N9819" s="38" t="n">
        <f aca="false">Sens!$N$9721*m_ad</f>
        <v>3.95314442937518</v>
      </c>
      <c r="O9819" s="38" t="n">
        <f aca="false">Sens!$O$9721*m_ad</f>
        <v>5.50052681786011</v>
      </c>
    </row>
    <row r="9820" customFormat="false" ht="17.15" hidden="false" customHeight="false" outlineLevel="0" collapsed="false">
      <c r="A9820" s="0" t="s">
        <v>721</v>
      </c>
      <c r="B9820" s="0" t="s">
        <v>86</v>
      </c>
      <c r="C9820" s="38" t="n">
        <f aca="false">Sens!$C$9719-Sens!$C$9721</f>
        <v>127.760312882846</v>
      </c>
      <c r="D9820" s="38" t="n">
        <f aca="false">Sens!$D$9719-Sens!$D$9721</f>
        <v>143.003123459917</v>
      </c>
      <c r="E9820" s="38" t="n">
        <f aca="false">Sens!$E$9719-Sens!$E$9721</f>
        <v>71.9374224924414</v>
      </c>
      <c r="F9820" s="38" t="n">
        <f aca="false">Sens!$F$9719-Sens!$F$9721</f>
        <v>85.3951910035875</v>
      </c>
      <c r="G9820" s="38" t="n">
        <f aca="false">Sens!$G$9719-Sens!$G$9721</f>
        <v>157.349430014619</v>
      </c>
      <c r="H9820" s="38" t="n">
        <f aca="false">Sens!$H$9719-Sens!$H$9721</f>
        <v>172.043153372315</v>
      </c>
      <c r="I9820" s="38" t="n">
        <f aca="false">Sens!$I$9719-Sens!$I$9721</f>
        <v>186.097493615879</v>
      </c>
      <c r="J9820" s="38" t="n">
        <f aca="false">Sens!$J$9719-Sens!$J$9721</f>
        <v>199.117932780497</v>
      </c>
      <c r="K9820" s="38" t="n">
        <f aca="false">Sens!$K$9719-Sens!$K$9721</f>
        <v>210.70928698363</v>
      </c>
      <c r="L9820" s="38" t="n">
        <f aca="false">Sens!$L$9719-Sens!$L$9721</f>
        <v>223.000532251316</v>
      </c>
      <c r="M9820" s="38" t="n">
        <f aca="false">Sens!$M$9719-Sens!$M$9721</f>
        <v>236.035261011339</v>
      </c>
      <c r="N9820" s="38" t="n">
        <f aca="false">Sens!$N$9719-Sens!$N$9721</f>
        <v>62.3677111412496</v>
      </c>
      <c r="O9820" s="38" t="n">
        <f aca="false">Sens!$O$9719-Sens!$O$9721</f>
        <v>80.6189463642798</v>
      </c>
    </row>
    <row r="9821" customFormat="false" ht="17.15" hidden="false" customHeight="false" outlineLevel="0" collapsed="false">
      <c r="A9821" s="0" t="s">
        <v>722</v>
      </c>
      <c r="B9821" s="0" t="s">
        <v>86</v>
      </c>
      <c r="C9821" s="38" t="n">
        <f aca="false">Sens!$C$9767*(1-Sens!$C$9717)</f>
        <v>0.0455891896019953</v>
      </c>
      <c r="D9821" s="38" t="n">
        <f aca="false">Sens!$D$9767*(1-Sens!$D$9717)</f>
        <v>0.332050421167231</v>
      </c>
      <c r="E9821" s="38" t="n">
        <f aca="false">Sens!$E$9767*(1-Sens!$E$9717)</f>
        <v>0.481224293644882</v>
      </c>
      <c r="F9821" s="38" t="n">
        <f aca="false">Sens!$F$9767*(1-Sens!$F$9717)</f>
        <v>0.596018918096053</v>
      </c>
      <c r="G9821" s="38" t="n">
        <f aca="false">Sens!$G$9767*(1-Sens!$G$9717)</f>
        <v>1.07691812241537</v>
      </c>
      <c r="H9821" s="38" t="n">
        <f aca="false">Sens!$H$9767*(1-Sens!$H$9717)</f>
        <v>2.83074090775622</v>
      </c>
      <c r="I9821" s="38" t="n">
        <f aca="false">Sens!$I$9767*(1-Sens!$I$9717)</f>
        <v>4.94108853926048</v>
      </c>
      <c r="J9821" s="38" t="n">
        <f aca="false">Sens!$J$9767*(1-Sens!$J$9717)</f>
        <v>7.10858281993502</v>
      </c>
      <c r="K9821" s="38" t="n">
        <f aca="false">Sens!$K$9767*(1-Sens!$K$9717)</f>
        <v>9.2298899126701</v>
      </c>
      <c r="L9821" s="38" t="n">
        <f aca="false">Sens!$L$9767*(1-Sens!$L$9717)</f>
        <v>10.6049688574045</v>
      </c>
      <c r="M9821" s="38" t="n">
        <f aca="false">Sens!$M$9767*(1-Sens!$M$9717)</f>
        <v>11.3853051574758</v>
      </c>
      <c r="N9821" s="38" t="n">
        <f aca="false">Sens!$N$9767*(1-Sens!$N$9717)</f>
        <v>0.141739115596548</v>
      </c>
      <c r="O9821" s="38" t="n">
        <f aca="false">Sens!$O$9767*(1-Sens!$O$9717)</f>
        <v>0.190445576353059</v>
      </c>
    </row>
    <row r="9822" customFormat="false" ht="17.15" hidden="false" customHeight="false" outlineLevel="0" collapsed="false">
      <c r="A9822" s="0" t="s">
        <v>723</v>
      </c>
      <c r="B9822" s="0" t="s">
        <v>52</v>
      </c>
      <c r="C9822" s="28" t="n">
        <f aca="false">(Sens!$C$9823-Sens!$C$9819+Sens!$C$9821)/Sens!$C$9820</f>
        <v>-0.0292364215826579</v>
      </c>
      <c r="D9822" s="28" t="n">
        <f aca="false">(Sens!$D$9823-Sens!$D$9819+Sens!$D$9821)/Sens!$D$9820</f>
        <v>-0.0305125352740778</v>
      </c>
      <c r="E9822" s="28" t="n">
        <f aca="false">(Sens!$E$9823-Sens!$E$9819+Sens!$E$9821)/Sens!$E$9820</f>
        <v>-0.019490056934994</v>
      </c>
      <c r="F9822" s="28" t="n">
        <f aca="false">Sens!$O$9822+(Sens!$E$9822-Sens!$N$9822)</f>
        <v>-0.0367332293992226</v>
      </c>
      <c r="G9822" s="28" t="n">
        <f aca="false">(Sens!$G$9823-Sens!$G$9819+Sens!$G$9821)/Sens!$G$9820</f>
        <v>-0.0287946542321067</v>
      </c>
      <c r="H9822" s="28" t="n">
        <f aca="false">Sens!$G$9822+step_in</f>
        <v>-0.0287946542321067</v>
      </c>
      <c r="I9822" s="28" t="n">
        <f aca="false">Sens!$H$9822+step_in</f>
        <v>-0.0287946542321067</v>
      </c>
      <c r="J9822" s="28" t="n">
        <f aca="false">Sens!$I$9822+step_in</f>
        <v>-0.0287946542321067</v>
      </c>
      <c r="K9822" s="28" t="n">
        <f aca="false">Sens!$J$9822+step_in</f>
        <v>-0.0287946542321067</v>
      </c>
      <c r="L9822" s="28" t="n">
        <f aca="false">Sens!$K$9822</f>
        <v>-0.0287946542321067</v>
      </c>
      <c r="M9822" s="28" t="n">
        <f aca="false">Sens!$L$9822</f>
        <v>-0.0287946542321067</v>
      </c>
      <c r="N9822" s="28" t="n">
        <f aca="false">(Sens!$N$9823-Sens!$N$9819+Sens!$N$9821)/Sens!$N$9820</f>
        <v>-0.02085061789158</v>
      </c>
      <c r="O9822" s="28" t="n">
        <f aca="false">(Sens!$O$9823-Sens!$O$9819+Sens!$O$9821)/Sens!$O$9820</f>
        <v>-0.0380937903558086</v>
      </c>
      <c r="P9822" s="8" t="s">
        <v>718</v>
      </c>
    </row>
    <row r="9823" customFormat="false" ht="17.15" hidden="false" customHeight="false" outlineLevel="0" collapsed="false">
      <c r="A9823" s="1" t="s">
        <v>724</v>
      </c>
      <c r="B9823" s="8" t="s">
        <v>86</v>
      </c>
      <c r="C9823" s="38" t="n">
        <f aca="false">Q!$D$23</f>
        <v>3.792</v>
      </c>
      <c r="D9823" s="38" t="n">
        <f aca="false">Q!$E$23</f>
        <v>4.75</v>
      </c>
      <c r="E9823" s="38" t="n">
        <f aca="false">Q!$P$23</f>
        <v>3.141</v>
      </c>
      <c r="F9823" s="38" t="n">
        <f aca="false">Sens!$F$9819+Sens!$F$9820*Sens!$F$9822-Sens!$F$9821</f>
        <v>2.77377852186047</v>
      </c>
      <c r="G9823" s="38" t="n">
        <f aca="false">Sens!$E$9823+Sens!$F$9823</f>
        <v>5.91477852186047</v>
      </c>
      <c r="H9823" s="38" t="n">
        <f aca="false">Sens!$H$9819+Sens!$H$9820*Sens!$H$9822-Sens!$H$9821</f>
        <v>6.04870884420403</v>
      </c>
      <c r="I9823" s="38" t="n">
        <f aca="false">Sens!$I$9819+Sens!$I$9820*Sens!$I$9822-Sens!$I$9821</f>
        <v>5.84431580315713</v>
      </c>
      <c r="J9823" s="38" t="n">
        <f aca="false">Sens!$J$9819+Sens!$J$9820*Sens!$J$9822-Sens!$J$9821</f>
        <v>5.45740373874528</v>
      </c>
      <c r="K9823" s="38" t="n">
        <f aca="false">Sens!$K$9819+Sens!$K$9820*Sens!$K$9822-Sens!$K$9821</f>
        <v>4.83227946809976</v>
      </c>
      <c r="L9823" s="38" t="n">
        <f aca="false">Sens!$L$9819+Sens!$L$9820*Sens!$L$9822-Sens!$L$9821</f>
        <v>5.11622541009601</v>
      </c>
      <c r="M9823" s="38" t="n">
        <f aca="false">Sens!$M$9819+Sens!$M$9820*Sens!$M$9822-Sens!$M$9821</f>
        <v>6.17480035109588</v>
      </c>
      <c r="N9823" s="38" t="n">
        <f aca="false">Q!$N$23</f>
        <v>2.511</v>
      </c>
      <c r="O9823" s="38" t="n">
        <f aca="false">Q!$O$23</f>
        <v>2.239</v>
      </c>
    </row>
    <row r="9824" customFormat="false" ht="17.15" hidden="false" customHeight="false" outlineLevel="0" collapsed="false">
      <c r="A9824" s="0" t="s">
        <v>725</v>
      </c>
      <c r="B9824" s="0" t="s">
        <v>86</v>
      </c>
      <c r="C9824" s="38" t="n">
        <f aca="false">Sens!$C$9764</f>
        <v>1.64417882953695</v>
      </c>
      <c r="D9824" s="38" t="n">
        <f aca="false">Sens!$D$9764</f>
        <v>3.8781008067718</v>
      </c>
      <c r="E9824" s="38" t="n">
        <f aca="false">Sens!$E$9764</f>
        <v>1.41270258088753</v>
      </c>
      <c r="F9824" s="38" t="n">
        <f aca="false">Sens!$F$9764</f>
        <v>6.50727700583486</v>
      </c>
      <c r="G9824" s="38" t="n">
        <f aca="false">Sens!$G$9764</f>
        <v>7.9199795867224</v>
      </c>
      <c r="H9824" s="38" t="n">
        <f aca="false">Sens!$H$9764</f>
        <v>19.2818189481807</v>
      </c>
      <c r="I9824" s="38" t="n">
        <f aca="false">Sens!$I$9764</f>
        <v>30.140114407202</v>
      </c>
      <c r="J9824" s="38" t="n">
        <f aca="false">Sens!$J$9764</f>
        <v>40.3569468829854</v>
      </c>
      <c r="K9824" s="38" t="n">
        <f aca="false">Sens!$K$9764</f>
        <v>45.1418609242305</v>
      </c>
      <c r="L9824" s="38" t="n">
        <f aca="false">Sens!$L$9764</f>
        <v>48.5617321668703</v>
      </c>
      <c r="M9824" s="38" t="n">
        <f aca="false">Sens!$M$9764</f>
        <v>48.3987625241529</v>
      </c>
      <c r="N9824" s="38" t="n">
        <f aca="false">Sens!$N$9764</f>
        <v>0.92264103489199</v>
      </c>
      <c r="O9824" s="38" t="n">
        <f aca="false">Sens!$O$9764</f>
        <v>2.95545977187981</v>
      </c>
    </row>
    <row r="9825" customFormat="false" ht="17.15" hidden="false" customHeight="false" outlineLevel="0" collapsed="false">
      <c r="A9825" s="0" t="s">
        <v>643</v>
      </c>
      <c r="B9825" s="0" t="s">
        <v>86</v>
      </c>
      <c r="C9825" s="38" t="n">
        <f aca="false">Sens!$C$9769</f>
        <v>38.1898211704631</v>
      </c>
      <c r="D9825" s="38" t="n">
        <f aca="false">Sens!$D$9769</f>
        <v>41.7278991932282</v>
      </c>
      <c r="E9825" s="38" t="n">
        <f aca="false">Sens!$E$9769</f>
        <v>29.3692974191125</v>
      </c>
      <c r="F9825" s="38" t="n">
        <f aca="false">Sens!$F$9769</f>
        <v>26.8997276714137</v>
      </c>
      <c r="G9825" s="38" t="n">
        <f aca="false">Sens!$G$9769</f>
        <v>56.2690250905262</v>
      </c>
      <c r="H9825" s="38" t="n">
        <f aca="false">Sens!$H$9769</f>
        <v>60.3505333937343</v>
      </c>
      <c r="I9825" s="38" t="n">
        <f aca="false">Sens!$I$9769</f>
        <v>67.0043857303571</v>
      </c>
      <c r="J9825" s="38" t="n">
        <f aca="false">Sens!$J$9769</f>
        <v>73.3782922956925</v>
      </c>
      <c r="K9825" s="38" t="n">
        <f aca="false">Sens!$K$9769</f>
        <v>79.2485556793479</v>
      </c>
      <c r="L9825" s="38" t="n">
        <f aca="false">Sens!$L$9769</f>
        <v>85.5884401336958</v>
      </c>
      <c r="M9825" s="38" t="n">
        <f aca="false">Sens!$M$9769</f>
        <v>92.4355153443914</v>
      </c>
      <c r="N9825" s="38" t="n">
        <f aca="false">Sens!$N$9769</f>
        <v>20.784358965108</v>
      </c>
      <c r="O9825" s="38" t="n">
        <f aca="false">Sens!$O$9769</f>
        <v>20.9435402281202</v>
      </c>
    </row>
    <row r="9826" customFormat="false" ht="17.15" hidden="false" customHeight="false" outlineLevel="0" collapsed="false">
      <c r="A9826" s="1" t="s">
        <v>726</v>
      </c>
      <c r="B9826" s="8" t="s">
        <v>86</v>
      </c>
      <c r="C9826" s="38" t="n">
        <f aca="false">Q!$D$24</f>
        <v>39.834</v>
      </c>
      <c r="D9826" s="38" t="n">
        <f aca="false">Q!$E$24</f>
        <v>45.606</v>
      </c>
      <c r="E9826" s="38" t="n">
        <f aca="false">Q!$P$24</f>
        <v>30.782</v>
      </c>
      <c r="F9826" s="38" t="n">
        <f aca="false">Sens!$F$9824+Sens!$F$9825</f>
        <v>33.4070046772486</v>
      </c>
      <c r="G9826" s="38" t="n">
        <f aca="false">Sens!$G$9824+Sens!$G$9825</f>
        <v>64.1890046772486</v>
      </c>
      <c r="H9826" s="38" t="n">
        <f aca="false">Sens!$H$9824+Sens!$H$9825</f>
        <v>79.6323523419149</v>
      </c>
      <c r="I9826" s="38" t="n">
        <f aca="false">Sens!$I$9824+Sens!$I$9825</f>
        <v>97.1445001375591</v>
      </c>
      <c r="J9826" s="38" t="n">
        <f aca="false">Sens!$J$9824+Sens!$J$9825</f>
        <v>113.735239178678</v>
      </c>
      <c r="K9826" s="38" t="n">
        <f aca="false">Sens!$K$9824+Sens!$K$9825</f>
        <v>124.390416603578</v>
      </c>
      <c r="L9826" s="38" t="n">
        <f aca="false">Sens!$L$9824+Sens!$L$9825</f>
        <v>134.150172300566</v>
      </c>
      <c r="M9826" s="38" t="n">
        <f aca="false">Sens!$M$9824+Sens!$M$9825</f>
        <v>140.834277868544</v>
      </c>
      <c r="N9826" s="38" t="n">
        <f aca="false">Q!$N$24</f>
        <v>21.707</v>
      </c>
      <c r="O9826" s="38" t="n">
        <f aca="false">Q!$O$24</f>
        <v>23.899</v>
      </c>
    </row>
    <row r="9827" customFormat="false" ht="17.15" hidden="false" customHeight="false" outlineLevel="0" collapsed="false">
      <c r="A9827" s="5" t="s">
        <v>727</v>
      </c>
      <c r="B9827" s="0" t="s">
        <v>86</v>
      </c>
      <c r="C9827" s="38" t="n">
        <f aca="false">Q!$D$26</f>
        <v>0</v>
      </c>
      <c r="D9827" s="38" t="n">
        <f aca="false">Q!$E$26</f>
        <v>0</v>
      </c>
      <c r="E9827" s="38" t="n">
        <f aca="false">Q!$P$26</f>
        <v>0</v>
      </c>
      <c r="F9827" s="39" t="n">
        <v>0</v>
      </c>
      <c r="G9827" s="38" t="n">
        <f aca="false">Sens!$E$9827+Sens!$F$9827</f>
        <v>0</v>
      </c>
      <c r="H9827" s="39" t="n">
        <v>0</v>
      </c>
      <c r="I9827" s="39" t="n">
        <v>0</v>
      </c>
      <c r="J9827" s="39" t="n">
        <v>0</v>
      </c>
      <c r="K9827" s="39" t="n">
        <v>0</v>
      </c>
      <c r="L9827" s="39" t="n">
        <v>0</v>
      </c>
      <c r="M9827" s="39" t="n">
        <v>0</v>
      </c>
      <c r="N9827" s="38" t="n">
        <f aca="false">Q!$N$26</f>
        <v>0</v>
      </c>
      <c r="O9827" s="38" t="n">
        <f aca="false">Q!$O$26</f>
        <v>0</v>
      </c>
    </row>
    <row r="9828" customFormat="false" ht="15" hidden="false" customHeight="false" outlineLevel="0" collapsed="false">
      <c r="A9828" s="3" t="s">
        <v>531</v>
      </c>
      <c r="B9828" s="8" t="s">
        <v>86</v>
      </c>
      <c r="C9828" s="38" t="n">
        <f aca="false">Q!$D$25</f>
        <v>68.593</v>
      </c>
      <c r="D9828" s="38" t="n">
        <f aca="false">Q!$E$25</f>
        <v>79.975</v>
      </c>
      <c r="E9828" s="38" t="n">
        <f aca="false">Q!$P$25</f>
        <v>51.313</v>
      </c>
      <c r="F9828" s="38" t="n">
        <f aca="false">Sens!$F$9818+Sens!$F$9823+Sens!$F$9826+Sens!$F$9827</f>
        <v>56.2888892369246</v>
      </c>
      <c r="G9828" s="38" t="n">
        <f aca="false">Sens!$G$9818+Sens!$G$9823+Sens!$G$9826+Sens!$G$9827</f>
        <v>107.601889236925</v>
      </c>
      <c r="H9828" s="38" t="n">
        <f aca="false">Sens!$H$9818+Sens!$H$9823+Sens!$H$9826+Sens!$H$9827</f>
        <v>126.935967255636</v>
      </c>
      <c r="I9828" s="38" t="n">
        <f aca="false">Sens!$I$9818+Sens!$I$9823+Sens!$I$9826+Sens!$I$9827</f>
        <v>147.247780943116</v>
      </c>
      <c r="J9828" s="38" t="n">
        <f aca="false">Sens!$J$9818+Sens!$J$9823+Sens!$J$9826+Sens!$J$9827</f>
        <v>166.030093415229</v>
      </c>
      <c r="K9828" s="38" t="n">
        <f aca="false">Sens!$K$9818+Sens!$K$9823+Sens!$K$9826+Sens!$K$9827</f>
        <v>177.975591165353</v>
      </c>
      <c r="L9828" s="38" t="n">
        <f aca="false">Sens!$L$9818+Sens!$L$9823+Sens!$L$9826+Sens!$L$9827</f>
        <v>190.868575271371</v>
      </c>
      <c r="M9828" s="38" t="n">
        <f aca="false">Sens!$M$9818+Sens!$M$9823+Sens!$M$9826+Sens!$M$9827</f>
        <v>203.610388310126</v>
      </c>
      <c r="N9828" s="38" t="n">
        <f aca="false">Q!$N$25</f>
        <v>37.576</v>
      </c>
      <c r="O9828" s="38" t="n">
        <f aca="false">Q!$O$25</f>
        <v>42.399</v>
      </c>
    </row>
    <row r="9829" customFormat="false" ht="17.15" hidden="false" customHeight="false" outlineLevel="0" collapsed="false">
      <c r="A9829" s="24" t="s">
        <v>758</v>
      </c>
      <c r="B9829" s="25" t="s">
        <v>86</v>
      </c>
      <c r="C9829" s="41" t="n">
        <f aca="false">Sens!$C$9818+Sens!$C$9823+Sens!$C$9826+Sens!$C$9827-Sens!$C$9828</f>
        <v>0</v>
      </c>
      <c r="D9829" s="41" t="n">
        <f aca="false">Sens!$D$9818+Sens!$D$9823+Sens!$D$9826+Sens!$D$9827-Sens!$D$9828</f>
        <v>0</v>
      </c>
      <c r="E9829" s="41" t="n">
        <f aca="false">Sens!$E$9818+Sens!$E$9823+Sens!$E$9826+Sens!$E$9827-Sens!$E$9828</f>
        <v>0</v>
      </c>
      <c r="F9829" s="41" t="n">
        <f aca="false">Sens!$F$9818+Sens!$F$9823+Sens!$F$9826+Sens!$F$9827-Sens!$F$9828</f>
        <v>0</v>
      </c>
      <c r="G9829" s="41" t="n">
        <f aca="false">Sens!$G$9818+Sens!$G$9823+Sens!$G$9826+Sens!$G$9827-Sens!$G$9828</f>
        <v>0</v>
      </c>
      <c r="H9829" s="41" t="n">
        <f aca="false">Sens!$H$9818+Sens!$H$9823+Sens!$H$9826+Sens!$H$9827-Sens!$H$9828</f>
        <v>0</v>
      </c>
      <c r="I9829" s="41" t="n">
        <f aca="false">Sens!$I$9818+Sens!$I$9823+Sens!$I$9826+Sens!$I$9827-Sens!$I$9828</f>
        <v>0</v>
      </c>
      <c r="J9829" s="41" t="n">
        <f aca="false">Sens!$J$9818+Sens!$J$9823+Sens!$J$9826+Sens!$J$9827-Sens!$J$9828</f>
        <v>0</v>
      </c>
      <c r="K9829" s="41" t="n">
        <f aca="false">Sens!$K$9818+Sens!$K$9823+Sens!$K$9826+Sens!$K$9827-Sens!$K$9828</f>
        <v>0</v>
      </c>
      <c r="L9829" s="41" t="n">
        <f aca="false">Sens!$L$9818+Sens!$L$9823+Sens!$L$9826+Sens!$L$9827-Sens!$L$9828</f>
        <v>0</v>
      </c>
      <c r="M9829" s="41" t="n">
        <f aca="false">Sens!$M$9818+Sens!$M$9823+Sens!$M$9826+Sens!$M$9827-Sens!$M$9828</f>
        <v>0</v>
      </c>
      <c r="N9829" s="41" t="n">
        <f aca="false">Sens!$N$9818+Sens!$N$9823+Sens!$N$9826+Sens!$N$9827-Sens!$N$9828</f>
        <v>0</v>
      </c>
      <c r="O9829" s="41" t="n">
        <f aca="false">Sens!$O$9818+Sens!$O$9823+Sens!$O$9826+Sens!$O$9827-Sens!$O$9828</f>
        <v>0</v>
      </c>
    </row>
    <row r="9830" customFormat="false" ht="17.15" hidden="false" customHeight="false" outlineLevel="0" collapsed="false">
      <c r="A9830" s="5" t="s">
        <v>729</v>
      </c>
      <c r="B9830" s="0" t="s">
        <v>86</v>
      </c>
      <c r="C9830" s="38" t="n">
        <f aca="false">Sens!$C$9766</f>
        <v>0</v>
      </c>
      <c r="D9830" s="38" t="n">
        <f aca="false">Sens!$D$9766</f>
        <v>0</v>
      </c>
      <c r="E9830" s="38" t="n">
        <f aca="false">Sens!$E$9766</f>
        <v>0</v>
      </c>
      <c r="F9830" s="38" t="n">
        <f aca="false">Sens!$F$9766</f>
        <v>3.77122048175818</v>
      </c>
      <c r="G9830" s="38" t="n">
        <f aca="false">Sens!$G$9766</f>
        <v>3.77122048175818</v>
      </c>
      <c r="H9830" s="38" t="n">
        <f aca="false">Sens!$H$9766</f>
        <v>15.1635543609893</v>
      </c>
      <c r="I9830" s="38" t="n">
        <f aca="false">Sens!$I$9766</f>
        <v>25.5818843619889</v>
      </c>
      <c r="J9830" s="38" t="n">
        <f aca="false">Sens!$J$9766</f>
        <v>36.0465624179122</v>
      </c>
      <c r="K9830" s="38" t="n">
        <f aca="false">Sens!$K$9766</f>
        <v>44.9741164026038</v>
      </c>
      <c r="L9830" s="38" t="n">
        <f aca="false">Sens!$L$9766</f>
        <v>50.8413488057813</v>
      </c>
      <c r="M9830" s="38" t="n">
        <f aca="false">Sens!$M$9766</f>
        <v>53.6407214274315</v>
      </c>
      <c r="N9830" s="38" t="n">
        <f aca="false">Sens!$N$9766</f>
        <v>0</v>
      </c>
      <c r="O9830" s="38" t="n">
        <f aca="false">Sens!$O$9766</f>
        <v>0</v>
      </c>
      <c r="P9830" s="5" t="s">
        <v>730</v>
      </c>
    </row>
    <row r="9831" customFormat="false" ht="17.15" hidden="false" customHeight="false" outlineLevel="0" collapsed="false">
      <c r="A9831" s="5" t="s">
        <v>731</v>
      </c>
      <c r="B9831" s="0" t="s">
        <v>86</v>
      </c>
      <c r="C9831" s="38" t="n">
        <f aca="false">Sens!$C$9828+Sens!$C$9830</f>
        <v>68.593</v>
      </c>
      <c r="D9831" s="38" t="n">
        <f aca="false">Sens!$D$9828+Sens!$D$9830</f>
        <v>79.975</v>
      </c>
      <c r="E9831" s="38" t="n">
        <f aca="false">Sens!$E$9828+Sens!$E$9830</f>
        <v>51.313</v>
      </c>
      <c r="F9831" s="38" t="n">
        <f aca="false">Sens!$F$9828+Sens!$F$9830</f>
        <v>60.0601097186828</v>
      </c>
      <c r="G9831" s="38" t="n">
        <f aca="false">Sens!$G$9828+Sens!$G$9830</f>
        <v>111.373109718683</v>
      </c>
      <c r="H9831" s="38" t="n">
        <f aca="false">Sens!$H$9828+Sens!$H$9830</f>
        <v>142.099521616625</v>
      </c>
      <c r="I9831" s="38" t="n">
        <f aca="false">Sens!$I$9828+Sens!$I$9830</f>
        <v>172.829665305105</v>
      </c>
      <c r="J9831" s="38" t="n">
        <f aca="false">Sens!$J$9828+Sens!$J$9830</f>
        <v>202.076655833141</v>
      </c>
      <c r="K9831" s="38" t="n">
        <f aca="false">Sens!$K$9828+Sens!$K$9830</f>
        <v>222.949707567956</v>
      </c>
      <c r="L9831" s="38" t="n">
        <f aca="false">Sens!$L$9828+Sens!$L$9830</f>
        <v>241.709924077153</v>
      </c>
      <c r="M9831" s="38" t="n">
        <f aca="false">Sens!$M$9828+Sens!$M$9830</f>
        <v>257.251109737557</v>
      </c>
      <c r="N9831" s="38" t="n">
        <f aca="false">Sens!$N$9828+Sens!$N$9830</f>
        <v>37.576</v>
      </c>
      <c r="O9831" s="38" t="n">
        <f aca="false">Sens!$O$9828+Sens!$O$9830</f>
        <v>42.399</v>
      </c>
    </row>
    <row r="9832" customFormat="false" ht="17.15" hidden="false" customHeight="false" outlineLevel="0" collapsed="false">
      <c r="A9832" s="0" t="s">
        <v>732</v>
      </c>
      <c r="B9832" s="0" t="s">
        <v>52</v>
      </c>
      <c r="C9832" s="13" t="n">
        <f aca="false">Sens!$C$9818/Sens!$C$9803</f>
        <v>0.0644314665661928</v>
      </c>
      <c r="D9832" s="13" t="n">
        <f aca="false">Sens!$D$9818/Sens!$D$9803</f>
        <v>0.0694784250712518</v>
      </c>
      <c r="E9832" s="13" t="n">
        <f aca="false">Sens!$E$9818/Sens!$E$9803</f>
        <v>0.0789306463326071</v>
      </c>
      <c r="F9832" s="13" t="n">
        <f aca="false">Sens!$F$9818/Sens!$F$9803</f>
        <v>0.0802271154277638</v>
      </c>
      <c r="G9832" s="13" t="n">
        <f aca="false">Sens!$G$9818/Sens!$G$9803</f>
        <v>0.0796206133714758</v>
      </c>
      <c r="H9832" s="13" t="n">
        <f aca="false">Sens!$H$9818/Sens!$H$9803</f>
        <v>0.0791253077422711</v>
      </c>
      <c r="I9832" s="13" t="n">
        <f aca="false">Sens!$I$9818/Sens!$I$9803</f>
        <v>0.0776277144828766</v>
      </c>
      <c r="J9832" s="13" t="n">
        <f aca="false">Sens!$J$9818/Sens!$J$9803</f>
        <v>0.0761100135193333</v>
      </c>
      <c r="K9832" s="13" t="n">
        <f aca="false">Sens!$K$9818/Sens!$K$9803</f>
        <v>0.074408246177121</v>
      </c>
      <c r="L9832" s="13" t="n">
        <f aca="false">Sens!$L$9818/Sens!$L$9803</f>
        <v>0.0739489900415671</v>
      </c>
      <c r="M9832" s="13" t="n">
        <f aca="false">Sens!$M$9818/Sens!$M$9803</f>
        <v>0.076138500430805</v>
      </c>
      <c r="N9832" s="13" t="n">
        <f aca="false">Sens!$N$9818/Sens!$N$9803</f>
        <v>0.069228576611127</v>
      </c>
      <c r="O9832" s="13" t="n">
        <f aca="false">Sens!$O$9818/Sens!$O$9803</f>
        <v>0.069685022498393</v>
      </c>
    </row>
    <row r="9833" customFormat="false" ht="17.15" hidden="false" customHeight="false" outlineLevel="0" collapsed="false">
      <c r="A9833" s="0" t="s">
        <v>733</v>
      </c>
      <c r="B9833" s="0" t="s">
        <v>52</v>
      </c>
      <c r="C9833" s="13" t="n">
        <f aca="false">Sens!$C$9823/Sens!$C$9804</f>
        <v>0.026534925055631</v>
      </c>
      <c r="D9833" s="13" t="n">
        <f aca="false">Sens!$D$9823/Sens!$D$9804</f>
        <v>0.0293401855535103</v>
      </c>
      <c r="E9833" s="13" t="n">
        <f aca="false">Sens!$E$9823/Sens!$E$9804</f>
        <v>0.03831141902276</v>
      </c>
      <c r="F9833" s="13" t="n">
        <f aca="false">Sens!$F$9823/Sens!$F$9804</f>
        <v>0.028186380436398</v>
      </c>
      <c r="G9833" s="13" t="n">
        <f aca="false">Sens!$G$9823/Sens!$G$9804</f>
        <v>0.0327880260521739</v>
      </c>
      <c r="H9833" s="13" t="n">
        <f aca="false">Sens!$H$9823/Sens!$H$9804</f>
        <v>0.0302874763409969</v>
      </c>
      <c r="I9833" s="13" t="n">
        <f aca="false">Sens!$I$9823/Sens!$I$9804</f>
        <v>0.0267614610253202</v>
      </c>
      <c r="J9833" s="13" t="n">
        <f aca="false">Sens!$J$9823/Sens!$J$9804</f>
        <v>0.0231523582706593</v>
      </c>
      <c r="K9833" s="13" t="n">
        <f aca="false">Sens!$K$9823/Sens!$K$9804</f>
        <v>0.0192545467174101</v>
      </c>
      <c r="L9833" s="13" t="n">
        <f aca="false">Sens!$L$9823/Sens!$L$9804</f>
        <v>0.0191414347264789</v>
      </c>
      <c r="M9833" s="13" t="n">
        <f aca="false">Sens!$M$9823/Sens!$M$9804</f>
        <v>0.0216850962428001</v>
      </c>
      <c r="N9833" s="13" t="n">
        <f aca="false">Sens!$N$9823/Sens!$N$9804</f>
        <v>0.0357315650169337</v>
      </c>
      <c r="O9833" s="13" t="n">
        <f aca="false">Sens!$O$9823/Sens!$O$9804</f>
        <v>0.0244378956559703</v>
      </c>
    </row>
    <row r="9834" customFormat="false" ht="17.15" hidden="false" customHeight="false" outlineLevel="0" collapsed="false">
      <c r="A9834" s="14" t="s">
        <v>734</v>
      </c>
      <c r="B9834" s="14" t="s">
        <v>52</v>
      </c>
      <c r="C9834" s="17" t="n">
        <f aca="false">Sens!$C$9826/Sens!$C$9805</f>
        <v>0.370355907620217</v>
      </c>
      <c r="D9834" s="17" t="n">
        <f aca="false">Sens!$D$9826/Sens!$D$9805</f>
        <v>0.35429015342785</v>
      </c>
      <c r="E9834" s="17" t="n">
        <f aca="false">Sens!$E$9826/Sens!$E$9805</f>
        <v>0.385647527531039</v>
      </c>
      <c r="F9834" s="17" t="n">
        <f aca="false">Sens!$F$9826/Sens!$F$9805</f>
        <v>0.385171818673936</v>
      </c>
      <c r="G9834" s="17" t="n">
        <f aca="false">Sens!$G$9826/Sens!$G$9805</f>
        <v>0.385399799520974</v>
      </c>
      <c r="H9834" s="17" t="n">
        <f aca="false">Sens!$H$9826/Sens!$H$9805</f>
        <v>0.360029314750347</v>
      </c>
      <c r="I9834" s="17" t="n">
        <f aca="false">Sens!$I$9826/Sens!$I$9805</f>
        <v>0.346606134604193</v>
      </c>
      <c r="J9834" s="17" t="n">
        <f aca="false">Sens!$J$9826/Sens!$J$9805</f>
        <v>0.335699297156574</v>
      </c>
      <c r="K9834" s="17" t="n">
        <f aca="false">Sens!$K$9826/Sens!$K$9805</f>
        <v>0.319043289183739</v>
      </c>
      <c r="L9834" s="17" t="n">
        <f aca="false">Sens!$L$9826/Sens!$L$9805</f>
        <v>0.311918613444893</v>
      </c>
      <c r="M9834" s="17" t="n">
        <f aca="false">Sens!$M$9826/Sens!$M$9805</f>
        <v>0.306523814127389</v>
      </c>
      <c r="N9834" s="17" t="n">
        <f aca="false">Sens!$N$9826/Sens!$N$9805</f>
        <v>0.360941137346192</v>
      </c>
      <c r="O9834" s="17" t="n">
        <f aca="false">Sens!$O$9826/Sens!$O$9805</f>
        <v>0.348458117664212</v>
      </c>
    </row>
    <row r="9835" customFormat="false" ht="17.15" hidden="false" customHeight="false" outlineLevel="0" collapsed="false">
      <c r="A9835" s="0" t="s">
        <v>735</v>
      </c>
      <c r="B9835" s="0" t="s">
        <v>52</v>
      </c>
      <c r="C9835" s="13" t="n">
        <f aca="false">Sens!$C$9824/Sens!$C$9806</f>
        <v>0.708390794789371</v>
      </c>
      <c r="D9835" s="13" t="n">
        <f aca="false">Sens!$D$9824/Sens!$D$9806</f>
        <v>0.445565630441968</v>
      </c>
      <c r="E9835" s="13" t="n">
        <f aca="false">Sens!$E$9824/Sens!$E$9806</f>
        <v>0.165998118402711</v>
      </c>
      <c r="F9835" s="13" t="n">
        <f aca="false">Sens!$F$9824/Sens!$F$9806</f>
        <v>0.434878595403858</v>
      </c>
      <c r="G9835" s="13" t="n">
        <f aca="false">Sens!$G$9824/Sens!$G$9806</f>
        <v>0.3373967615381</v>
      </c>
      <c r="H9835" s="13" t="n">
        <f aca="false">Sens!$H$9824/Sens!$H$9806</f>
        <v>0.320477578041224</v>
      </c>
      <c r="I9835" s="13" t="n">
        <f aca="false">Sens!$I$9824/Sens!$I$9806</f>
        <v>0.296936118226494</v>
      </c>
      <c r="J9835" s="13" t="n">
        <f aca="false">Sens!$J$9824/Sens!$J$9806</f>
        <v>0.282166278613001</v>
      </c>
      <c r="K9835" s="13" t="n">
        <f aca="false">Sens!$K$9824/Sens!$K$9806</f>
        <v>0.252969102881543</v>
      </c>
      <c r="L9835" s="13" t="n">
        <f aca="false">Sens!$L$9824/Sens!$L$9806</f>
        <v>0.240728642826566</v>
      </c>
      <c r="M9835" s="13" t="n">
        <f aca="false">Sens!$M$9824/Sens!$M$9806</f>
        <v>0.227399920863147</v>
      </c>
      <c r="N9835" s="13" t="n">
        <f aca="false">Sens!$N$9824/Sens!$N$9806</f>
        <v>0.302870734830849</v>
      </c>
      <c r="O9835" s="13" t="n">
        <f aca="false">Sens!$O$9824/Sens!$O$9806</f>
        <v>0.52240134346334</v>
      </c>
    </row>
    <row r="9836" customFormat="false" ht="15" hidden="false" customHeight="false" outlineLevel="0" collapsed="false">
      <c r="A9836" s="5" t="s">
        <v>736</v>
      </c>
      <c r="B9836" s="0" t="s">
        <v>52</v>
      </c>
      <c r="C9836" s="13" t="n">
        <f aca="false">Sens!$C$9828/Sens!$C$9808</f>
        <v>0.107519448742004</v>
      </c>
      <c r="D9836" s="13" t="n">
        <f aca="false">Sens!$D$9828/Sens!$D$9808</f>
        <v>0.111552967957552</v>
      </c>
      <c r="E9836" s="13" t="n">
        <f aca="false">Sens!$E$9828/Sens!$E$9808</f>
        <v>0.13428328426562</v>
      </c>
      <c r="F9836" s="13" t="n">
        <f aca="false">Sens!$F$9828/Sens!$F$9808</f>
        <v>0.129167844525589</v>
      </c>
      <c r="G9836" s="13" t="n">
        <f aca="false">Sens!$G$9828/Sens!$G$9808</f>
        <v>0.131557773771988</v>
      </c>
      <c r="H9836" s="13" t="n">
        <f aca="false">Sens!$H$9828/Sens!$H$9808</f>
        <v>0.134711536350329</v>
      </c>
      <c r="I9836" s="13" t="n">
        <f aca="false">Sens!$I$9828/Sens!$I$9808</f>
        <v>0.137768888779847</v>
      </c>
      <c r="J9836" s="13" t="n">
        <f aca="false">Sens!$J$9828/Sens!$J$9808</f>
        <v>0.139531715827143</v>
      </c>
      <c r="K9836" s="13" t="n">
        <f aca="false">Sens!$K$9828/Sens!$K$9808</f>
        <v>0.137320259076553</v>
      </c>
      <c r="L9836" s="13" t="n">
        <f aca="false">Sens!$L$9828/Sens!$L$9808</f>
        <v>0.136806307456799</v>
      </c>
      <c r="M9836" s="13" t="n">
        <f aca="false">Sens!$M$9828/Sens!$M$9808</f>
        <v>0.136871350584245</v>
      </c>
      <c r="N9836" s="13" t="n">
        <f aca="false">Sens!$N$9828/Sens!$N$9808</f>
        <v>0.116201614873411</v>
      </c>
      <c r="O9836" s="13" t="n">
        <f aca="false">Sens!$O$9828/Sens!$O$9808</f>
        <v>0.107733353660861</v>
      </c>
    </row>
    <row r="9837" customFormat="false" ht="17.15" hidden="false" customHeight="false" outlineLevel="0" collapsed="false">
      <c r="A9837" s="1" t="s">
        <v>737</v>
      </c>
    </row>
    <row r="9838" customFormat="false" ht="17.15" hidden="false" customHeight="false" outlineLevel="0" collapsed="false">
      <c r="A9838" s="5" t="s">
        <v>738</v>
      </c>
      <c r="B9838" s="0" t="s">
        <v>52</v>
      </c>
      <c r="D9838" s="28" t="n">
        <f aca="false">(Q!$E$29+Q!$E$30-(1-ext_sh)*Sens!$D$9760)/Sens!$D$9716</f>
        <v>0.0334674312393194</v>
      </c>
    </row>
    <row r="9839" customFormat="false" ht="17.15" hidden="false" customHeight="false" outlineLevel="0" collapsed="false">
      <c r="A9839" s="0" t="s">
        <v>535</v>
      </c>
      <c r="B9839" s="0" t="s">
        <v>86</v>
      </c>
      <c r="C9839" s="38" t="n">
        <f aca="false">Q!$D$29</f>
        <v>14.285</v>
      </c>
      <c r="D9839" s="38" t="n">
        <f aca="false">Q!$E$29</f>
        <v>15.503</v>
      </c>
      <c r="E9839" s="38" t="n">
        <f aca="false">Q!$P$29</f>
        <v>8.78</v>
      </c>
      <c r="F9839" s="38" t="n">
        <f aca="false">(Sens!$D$9838*Sens!$F$9716+(1-ext_sh)*Sens!$F$9760)*Sens!$F$9717</f>
        <v>9.32404990199157</v>
      </c>
      <c r="G9839" s="38" t="n">
        <f aca="false">Sens!$E$9839+Sens!$F$9839</f>
        <v>18.1040499019916</v>
      </c>
      <c r="H9839" s="38" t="n">
        <f aca="false">(Sens!$D$9838*Sens!$H$9716+(1-ext_sh)*Sens!$H$9760)*Sens!$H$9717</f>
        <v>22.5533556752937</v>
      </c>
      <c r="I9839" s="38" t="n">
        <f aca="false">(Sens!$D$9838*Sens!$I$9716+(1-ext_sh)*Sens!$I$9760)*Sens!$I$9717</f>
        <v>28.1941479903215</v>
      </c>
      <c r="J9839" s="38" t="n">
        <f aca="false">(Sens!$D$9838*Sens!$J$9716+(1-ext_sh)*Sens!$J$9760)*Sens!$J$9717</f>
        <v>33.8639126241465</v>
      </c>
      <c r="K9839" s="38" t="n">
        <f aca="false">(Sens!$D$9838*Sens!$K$9716+(1-ext_sh)*Sens!$K$9760)*Sens!$K$9717</f>
        <v>39.4516429979446</v>
      </c>
      <c r="L9839" s="38" t="n">
        <f aca="false">(Sens!$D$9838*Sens!$L$9716+(1-ext_sh)*Sens!$L$9760)*Sens!$L$9717</f>
        <v>43.6240799619622</v>
      </c>
      <c r="M9839" s="38" t="n">
        <f aca="false">(Sens!$D$9838*Sens!$M$9716+(1-ext_sh)*Sens!$M$9760)*Sens!$M$9717</f>
        <v>46.7841679303704</v>
      </c>
      <c r="N9839" s="38" t="n">
        <f aca="false">Q!$N$29</f>
        <v>7.272</v>
      </c>
      <c r="O9839" s="38" t="n">
        <f aca="false">Q!$O$29</f>
        <v>8.231</v>
      </c>
    </row>
    <row r="9840" customFormat="false" ht="17.15" hidden="false" customHeight="false" outlineLevel="0" collapsed="false">
      <c r="A9840" s="0" t="s">
        <v>537</v>
      </c>
      <c r="B9840" s="0" t="s">
        <v>86</v>
      </c>
      <c r="C9840" s="38" t="n">
        <f aca="false">Q!$D$30</f>
        <v>4.462</v>
      </c>
      <c r="D9840" s="38" t="n">
        <f aca="false">Q!$E$30</f>
        <v>4.907</v>
      </c>
      <c r="E9840" s="38" t="n">
        <f aca="false">Q!$P$30</f>
        <v>2.57</v>
      </c>
      <c r="F9840" s="38" t="n">
        <f aca="false">(Sens!$D$9838*Sens!$F$9716+(1-ext_sh)*Sens!$F$9760)*(1-Sens!$F$9717)</f>
        <v>3.66089330199472</v>
      </c>
      <c r="G9840" s="38" t="n">
        <f aca="false">Sens!$E$9840+Sens!$F$9840</f>
        <v>6.23089330199472</v>
      </c>
      <c r="H9840" s="38" t="n">
        <f aca="false">(Sens!$D$9838*Sens!$H$9716+(1-ext_sh)*Sens!$H$9760)*(1-Sens!$H$9717)</f>
        <v>8.63874333111657</v>
      </c>
      <c r="I9840" s="38" t="n">
        <f aca="false">(Sens!$D$9838*Sens!$I$9716+(1-ext_sh)*Sens!$I$9760)*(1-Sens!$I$9717)</f>
        <v>10.7993689025494</v>
      </c>
      <c r="J9840" s="38" t="n">
        <f aca="false">(Sens!$D$9838*Sens!$J$9716+(1-ext_sh)*Sens!$J$9760)*(1-Sens!$J$9717)</f>
        <v>12.9710919101865</v>
      </c>
      <c r="K9840" s="38" t="n">
        <f aca="false">(Sens!$D$9838*Sens!$K$9716+(1-ext_sh)*Sens!$K$9760)*(1-Sens!$K$9717)</f>
        <v>15.1113928568702</v>
      </c>
      <c r="L9840" s="38" t="n">
        <f aca="false">(Sens!$D$9838*Sens!$L$9716+(1-ext_sh)*Sens!$L$9760)*(1-Sens!$L$9717)</f>
        <v>16.7095857163433</v>
      </c>
      <c r="M9840" s="38" t="n">
        <f aca="false">(Sens!$D$9838*Sens!$M$9716+(1-ext_sh)*Sens!$M$9760)*(1-Sens!$M$9717)</f>
        <v>17.9200126371023</v>
      </c>
      <c r="N9840" s="38" t="n">
        <f aca="false">Q!$N$30</f>
        <v>2.316</v>
      </c>
      <c r="O9840" s="38" t="n">
        <f aca="false">Q!$O$30</f>
        <v>2.591</v>
      </c>
    </row>
    <row r="9841" customFormat="false" ht="17.15" hidden="false" customHeight="false" outlineLevel="0" collapsed="false">
      <c r="A9841" s="0" t="s">
        <v>538</v>
      </c>
      <c r="B9841" s="0" t="s">
        <v>86</v>
      </c>
      <c r="C9841" s="38" t="n">
        <f aca="false">Sens!$C$9772</f>
        <v>13.32</v>
      </c>
      <c r="D9841" s="38" t="n">
        <f aca="false">Sens!$D$9772</f>
        <v>21.45</v>
      </c>
      <c r="E9841" s="38" t="n">
        <f aca="false">Sens!$E$9772</f>
        <v>15.353</v>
      </c>
      <c r="F9841" s="38" t="n">
        <f aca="false">Sens!$F$9772</f>
        <v>16.3063747611001</v>
      </c>
      <c r="G9841" s="38" t="n">
        <f aca="false">Sens!$G$9772</f>
        <v>31.6593747611001</v>
      </c>
      <c r="H9841" s="38" t="n">
        <f aca="false">Sens!$H$9772</f>
        <v>53.124242092105</v>
      </c>
      <c r="I9841" s="38" t="n">
        <f aca="false">Sens!$I$9772</f>
        <v>78.046828098133</v>
      </c>
      <c r="J9841" s="38" t="n">
        <f aca="false">Sens!$J$9772</f>
        <v>103.663976940352</v>
      </c>
      <c r="K9841" s="38" t="n">
        <f aca="false">Sens!$K$9772</f>
        <v>129.625086115469</v>
      </c>
      <c r="L9841" s="38" t="n">
        <f aca="false">Sens!$L$9772</f>
        <v>147.435052382502</v>
      </c>
      <c r="M9841" s="38" t="n">
        <f aca="false">Sens!$M$9772</f>
        <v>159.299754080279</v>
      </c>
      <c r="N9841" s="38" t="n">
        <f aca="false">Sens!$N$9772</f>
        <v>9.234</v>
      </c>
      <c r="O9841" s="38" t="n">
        <f aca="false">Sens!$O$9772</f>
        <v>12.216</v>
      </c>
    </row>
    <row r="9842" customFormat="false" ht="17.15" hidden="false" customHeight="false" outlineLevel="0" collapsed="false">
      <c r="A9842" s="5" t="s">
        <v>739</v>
      </c>
      <c r="B9842" s="0" t="s">
        <v>86</v>
      </c>
      <c r="C9842" s="38" t="n">
        <f aca="false">Sens!$C$9839+Sens!$C$9840+Sens!$C$9841</f>
        <v>32.067</v>
      </c>
      <c r="D9842" s="38" t="n">
        <f aca="false">Sens!$D$9839+Sens!$D$9840+Sens!$D$9841</f>
        <v>41.86</v>
      </c>
      <c r="E9842" s="38" t="n">
        <f aca="false">Sens!$E$9839+Sens!$E$9840+Sens!$E$9841</f>
        <v>26.703</v>
      </c>
      <c r="F9842" s="38" t="n">
        <f aca="false">Sens!$F$9839+Sens!$F$9840+Sens!$F$9841</f>
        <v>29.2913179650864</v>
      </c>
      <c r="G9842" s="38" t="n">
        <f aca="false">Sens!$G$9839+Sens!$G$9840+Sens!$G$9841</f>
        <v>55.9943179650864</v>
      </c>
      <c r="H9842" s="38" t="n">
        <f aca="false">Sens!$H$9839+Sens!$H$9840+Sens!$H$9841</f>
        <v>84.3163410985152</v>
      </c>
      <c r="I9842" s="38" t="n">
        <f aca="false">Sens!$I$9839+Sens!$I$9840+Sens!$I$9841</f>
        <v>117.040344991004</v>
      </c>
      <c r="J9842" s="38" t="n">
        <f aca="false">Sens!$J$9839+Sens!$J$9840+Sens!$J$9841</f>
        <v>150.498981474685</v>
      </c>
      <c r="K9842" s="38" t="n">
        <f aca="false">Sens!$K$9839+Sens!$K$9840+Sens!$K$9841</f>
        <v>184.188121970284</v>
      </c>
      <c r="L9842" s="38" t="n">
        <f aca="false">Sens!$L$9839+Sens!$L$9840+Sens!$L$9841</f>
        <v>207.768718060808</v>
      </c>
      <c r="M9842" s="38" t="n">
        <f aca="false">Sens!$M$9839+Sens!$M$9840+Sens!$M$9841</f>
        <v>224.003934647752</v>
      </c>
      <c r="N9842" s="38" t="n">
        <f aca="false">Sens!$N$9839+Sens!$N$9840+Sens!$N$9841</f>
        <v>18.822</v>
      </c>
      <c r="O9842" s="38" t="n">
        <f aca="false">Sens!$O$9839+Sens!$O$9840+Sens!$O$9841</f>
        <v>23.038</v>
      </c>
    </row>
    <row r="9843" customFormat="false" ht="17.15" hidden="false" customHeight="false" outlineLevel="0" collapsed="false">
      <c r="A9843" s="0" t="s">
        <v>740</v>
      </c>
      <c r="B9843" s="0" t="s">
        <v>86</v>
      </c>
      <c r="C9843" s="38" t="n">
        <f aca="false">Sens!$C$9814+Sens!$C$9819</f>
        <v>28.107</v>
      </c>
      <c r="D9843" s="38" t="n">
        <f aca="false">Sens!$D$9814+Sens!$D$9819</f>
        <v>34.3175</v>
      </c>
      <c r="E9843" s="38" t="n">
        <f aca="false">Sens!$E$9814+Sens!$E$9819</f>
        <v>18.526</v>
      </c>
      <c r="F9843" s="38" t="n">
        <f aca="false">Sens!$F$9814+Sens!$F$9819</f>
        <v>23.0786109972074</v>
      </c>
      <c r="G9843" s="38" t="n">
        <f aca="false">Sens!$G$9814+Sens!$G$9819</f>
        <v>41.6046109972074</v>
      </c>
      <c r="H9843" s="38" t="n">
        <f aca="false">Sens!$H$9814+Sens!$H$9819</f>
        <v>49.9484611939488</v>
      </c>
      <c r="I9843" s="38" t="n">
        <f aca="false">Sens!$I$9814+Sens!$I$9819</f>
        <v>58.2915555477481</v>
      </c>
      <c r="J9843" s="38" t="n">
        <f aca="false">Sens!$J$9814+Sens!$J$9819</f>
        <v>66.0744709709759</v>
      </c>
      <c r="K9843" s="38" t="n">
        <f aca="false">Sens!$K$9814+Sens!$K$9819</f>
        <v>72.6819180680735</v>
      </c>
      <c r="L9843" s="38" t="n">
        <f aca="false">Sens!$L$9814+Sens!$L$9819</f>
        <v>79.9501098748808</v>
      </c>
      <c r="M9843" s="38" t="n">
        <f aca="false">Sens!$M$9814+Sens!$M$9819</f>
        <v>87.9451208623689</v>
      </c>
      <c r="N9843" s="38" t="n">
        <f aca="false">Sens!$N$9814+Sens!$N$9819</f>
        <v>14.8075</v>
      </c>
      <c r="O9843" s="38" t="n">
        <f aca="false">Sens!$O$9814+Sens!$O$9819</f>
        <v>19.51</v>
      </c>
    </row>
    <row r="9844" customFormat="false" ht="17.15" hidden="false" customHeight="false" outlineLevel="0" collapsed="false">
      <c r="A9844" s="0" t="s">
        <v>741</v>
      </c>
      <c r="B9844" s="0" t="s">
        <v>86</v>
      </c>
      <c r="C9844" s="38" t="n">
        <f aca="false">Sens!$C$9818+Sens!$C$9823+Sens!$C$9839+Sens!$C$9840-Sens!$C$9843</f>
        <v>19.399</v>
      </c>
      <c r="D9844" s="38" t="n">
        <f aca="false">Sens!$D$9818+Sens!$D$9823+Sens!$D$9839+Sens!$D$9840-Sens!$D$9843</f>
        <v>20.4615</v>
      </c>
      <c r="E9844" s="38" t="n">
        <f aca="false">Sens!$E$9818+Sens!$E$9823+Sens!$E$9839+Sens!$E$9840-Sens!$E$9843</f>
        <v>13.355</v>
      </c>
      <c r="F9844" s="38" t="n">
        <f aca="false">Sens!$F$9818+Sens!$F$9823+Sens!$F$9839+Sens!$F$9840-Sens!$F$9843</f>
        <v>12.7882167664549</v>
      </c>
      <c r="G9844" s="38" t="n">
        <f aca="false">Sens!$G$9818+Sens!$G$9823+Sens!$G$9839+Sens!$G$9840-Sens!$G$9843</f>
        <v>26.1432167664549</v>
      </c>
      <c r="H9844" s="38" t="n">
        <f aca="false">Sens!$H$9818+Sens!$H$9823+Sens!$H$9839+Sens!$H$9840-Sens!$H$9843</f>
        <v>28.5472527261826</v>
      </c>
      <c r="I9844" s="38" t="n">
        <f aca="false">Sens!$I$9818+Sens!$I$9823+Sens!$I$9839+Sens!$I$9840-Sens!$I$9843</f>
        <v>30.8052421506794</v>
      </c>
      <c r="J9844" s="38" t="n">
        <f aca="false">Sens!$J$9818+Sens!$J$9823+Sens!$J$9839+Sens!$J$9840-Sens!$J$9843</f>
        <v>33.0553877999083</v>
      </c>
      <c r="K9844" s="38" t="n">
        <f aca="false">Sens!$K$9818+Sens!$K$9823+Sens!$K$9839+Sens!$K$9840-Sens!$K$9843</f>
        <v>35.4662923485155</v>
      </c>
      <c r="L9844" s="38" t="n">
        <f aca="false">Sens!$L$9818+Sens!$L$9823+Sens!$L$9839+Sens!$L$9840-Sens!$L$9843</f>
        <v>37.1019587742301</v>
      </c>
      <c r="M9844" s="38" t="n">
        <f aca="false">Sens!$M$9818+Sens!$M$9823+Sens!$M$9839+Sens!$M$9840-Sens!$M$9843</f>
        <v>39.5351701466849</v>
      </c>
      <c r="N9844" s="38" t="n">
        <f aca="false">Sens!$N$9818+Sens!$N$9823+Sens!$N$9839+Sens!$N$9840-Sens!$N$9843</f>
        <v>10.6495</v>
      </c>
      <c r="O9844" s="38" t="n">
        <f aca="false">Sens!$O$9818+Sens!$O$9823+Sens!$O$9839+Sens!$O$9840-Sens!$O$9843</f>
        <v>9.81200000000001</v>
      </c>
    </row>
    <row r="9845" customFormat="false" ht="17.15" hidden="false" customHeight="false" outlineLevel="0" collapsed="false">
      <c r="A9845" s="0" t="s">
        <v>742</v>
      </c>
      <c r="B9845" s="0" t="s">
        <v>86</v>
      </c>
      <c r="C9845" s="38" t="n">
        <f aca="false">Sens!$C$9825+Sens!$C$9841-ext_sh*Sens!$C$9760</f>
        <v>51.3470500115664</v>
      </c>
      <c r="D9845" s="38" t="n">
        <f aca="false">Sens!$D$9825+Sens!$D$9841-ext_sh*Sens!$D$9760</f>
        <v>60.2799375433739</v>
      </c>
      <c r="E9845" s="38" t="n">
        <f aca="false">Sens!$E$9825+Sens!$E$9841-ext_sh*Sens!$E$9760</f>
        <v>39.5095167090767</v>
      </c>
      <c r="F9845" s="38" t="n">
        <f aca="false">Sens!$F$9825+Sens!$F$9841-ext_sh*Sens!$F$9760</f>
        <v>37.993321722478</v>
      </c>
      <c r="G9845" s="38" t="n">
        <f aca="false">Sens!$G$9825+Sens!$G$9841-ext_sh*Sens!$G$9760</f>
        <v>77.5028384315548</v>
      </c>
      <c r="H9845" s="38" t="n">
        <f aca="false">Sens!$H$9825+Sens!$H$9841-ext_sh*Sens!$H$9760</f>
        <v>85.2394217279746</v>
      </c>
      <c r="I9845" s="38" t="n">
        <f aca="false">Sens!$I$9825+Sens!$I$9841-ext_sh*Sens!$I$9760</f>
        <v>94.6373589713254</v>
      </c>
      <c r="J9845" s="38" t="n">
        <f aca="false">Sens!$J$9825+Sens!$J$9841-ext_sh*Sens!$J$9760</f>
        <v>103.639899284146</v>
      </c>
      <c r="K9845" s="38" t="n">
        <f aca="false">Sens!$K$9825+Sens!$K$9841-ext_sh*Sens!$K$9760</f>
        <v>111.931091226878</v>
      </c>
      <c r="L9845" s="38" t="n">
        <f aca="false">Sens!$L$9825+Sens!$L$9841-ext_sh*Sens!$L$9760</f>
        <v>120.885578525028</v>
      </c>
      <c r="M9845" s="38" t="n">
        <f aca="false">Sens!$M$9825+Sens!$M$9841-ext_sh*Sens!$M$9760</f>
        <v>130.55642480703</v>
      </c>
      <c r="N9845" s="38" t="n">
        <f aca="false">Sens!$N$9825+Sens!$N$9841-ext_sh*Sens!$N$9760</f>
        <v>28.5693781401809</v>
      </c>
      <c r="O9845" s="38" t="n">
        <f aca="false">Sens!$O$9825+Sens!$O$9841-ext_sh*Sens!$O$9760</f>
        <v>31.7105594031931</v>
      </c>
    </row>
    <row r="9846" customFormat="false" ht="17.15" hidden="false" customHeight="false" outlineLevel="0" collapsed="false">
      <c r="A9846" s="0" t="s">
        <v>743</v>
      </c>
      <c r="B9846" s="0" t="s">
        <v>86</v>
      </c>
      <c r="C9846" s="38" t="n">
        <f aca="false">Sens!$C$9763</f>
        <v>1.80694998843362</v>
      </c>
      <c r="D9846" s="38" t="n">
        <f aca="false">Sens!$D$9763</f>
        <v>6.77606245662607</v>
      </c>
      <c r="E9846" s="38" t="n">
        <f aca="false">Sens!$E$9763</f>
        <v>6.62548329092326</v>
      </c>
      <c r="F9846" s="38" t="n">
        <f aca="false">Sens!$F$9763</f>
        <v>11.7200577158706</v>
      </c>
      <c r="G9846" s="38" t="n">
        <f aca="false">Sens!$G$9763</f>
        <v>18.3455410067939</v>
      </c>
      <c r="H9846" s="38" t="n">
        <f aca="false">Sens!$H$9763</f>
        <v>47.5171727060453</v>
      </c>
      <c r="I9846" s="38" t="n">
        <f aca="false">Sens!$I$9763</f>
        <v>80.5539692643667</v>
      </c>
      <c r="J9846" s="38" t="n">
        <f aca="false">Sens!$J$9763</f>
        <v>113.759316834883</v>
      </c>
      <c r="K9846" s="38" t="n">
        <f aca="false">Sens!$K$9763</f>
        <v>142.084411492169</v>
      </c>
      <c r="L9846" s="38" t="n">
        <f aca="false">Sens!$L$9763</f>
        <v>160.69964615804</v>
      </c>
      <c r="M9846" s="38" t="n">
        <f aca="false">Sens!$M$9763</f>
        <v>169.577607141793</v>
      </c>
      <c r="N9846" s="38" t="n">
        <f aca="false">Sens!$N$9763</f>
        <v>2.37162185981912</v>
      </c>
      <c r="O9846" s="38" t="n">
        <f aca="false">Sens!$O$9763</f>
        <v>4.40444059680694</v>
      </c>
    </row>
    <row r="9847" customFormat="false" ht="17.15" hidden="false" customHeight="false" outlineLevel="0" collapsed="false">
      <c r="A9847" s="0" t="s">
        <v>744</v>
      </c>
      <c r="B9847" s="0" t="s">
        <v>86</v>
      </c>
      <c r="C9847" s="38" t="n">
        <f aca="false">Sens!$C$9828+Sens!$C$9842</f>
        <v>100.66</v>
      </c>
      <c r="D9847" s="38" t="n">
        <f aca="false">Sens!$D$9828+Sens!$D$9842</f>
        <v>121.835</v>
      </c>
      <c r="E9847" s="38" t="n">
        <f aca="false">Sens!$E$9828+Sens!$E$9842</f>
        <v>78.016</v>
      </c>
      <c r="F9847" s="38" t="n">
        <f aca="false">Sens!$F$9828+Sens!$F$9842</f>
        <v>85.580207202011</v>
      </c>
      <c r="G9847" s="38" t="n">
        <f aca="false">Sens!$G$9828+Sens!$G$9842</f>
        <v>163.596207202011</v>
      </c>
      <c r="H9847" s="38" t="n">
        <f aca="false">Sens!$H$9828+Sens!$H$9842</f>
        <v>211.252308354151</v>
      </c>
      <c r="I9847" s="38" t="n">
        <f aca="false">Sens!$I$9828+Sens!$I$9842</f>
        <v>264.28812593412</v>
      </c>
      <c r="J9847" s="38" t="n">
        <f aca="false">Sens!$J$9828+Sens!$J$9842</f>
        <v>316.529074889914</v>
      </c>
      <c r="K9847" s="38" t="n">
        <f aca="false">Sens!$K$9828+Sens!$K$9842</f>
        <v>362.163713135636</v>
      </c>
      <c r="L9847" s="38" t="n">
        <f aca="false">Sens!$L$9828+Sens!$L$9842</f>
        <v>398.637293332179</v>
      </c>
      <c r="M9847" s="38" t="n">
        <f aca="false">Sens!$M$9828+Sens!$M$9842</f>
        <v>427.614322957878</v>
      </c>
      <c r="N9847" s="38" t="n">
        <f aca="false">Sens!$N$9828+Sens!$N$9842</f>
        <v>56.398</v>
      </c>
      <c r="O9847" s="38" t="n">
        <f aca="false">Sens!$O$9828+Sens!$O$9842</f>
        <v>65.437</v>
      </c>
    </row>
    <row r="9848" customFormat="false" ht="17.15" hidden="false" customHeight="false" outlineLevel="0" collapsed="false">
      <c r="A9848" s="1" t="s">
        <v>745</v>
      </c>
    </row>
    <row r="9849" customFormat="false" ht="15" hidden="false" customHeight="false" outlineLevel="0" collapsed="false">
      <c r="A9849" s="5" t="s">
        <v>541</v>
      </c>
      <c r="B9849" s="0" t="s">
        <v>86</v>
      </c>
      <c r="C9849" s="38" t="n">
        <f aca="false">Q!$D$34</f>
        <v>2.406</v>
      </c>
      <c r="D9849" s="38" t="n">
        <f aca="false">Q!$E$34</f>
        <v>2.274</v>
      </c>
      <c r="E9849" s="38" t="n">
        <f aca="false">Q!$P$34</f>
        <v>2.114</v>
      </c>
      <c r="F9849" s="38" t="n">
        <f aca="false">Sens!$F$9887</f>
        <v>3.24888962733561</v>
      </c>
      <c r="G9849" s="38" t="n">
        <f aca="false">Sens!$E$9849+Sens!$F$9849</f>
        <v>5.36288962733561</v>
      </c>
      <c r="H9849" s="38" t="n">
        <f aca="false">Sens!$H$9887</f>
        <v>7.42354172302123</v>
      </c>
      <c r="I9849" s="38" t="n">
        <f aca="false">Sens!$I$9887</f>
        <v>8.2931747618896</v>
      </c>
      <c r="J9849" s="38" t="n">
        <f aca="false">Sens!$J$9887</f>
        <v>9.27718179522602</v>
      </c>
      <c r="K9849" s="38" t="n">
        <f aca="false">Sens!$K$9887</f>
        <v>9.27718179522602</v>
      </c>
      <c r="L9849" s="38" t="n">
        <f aca="false">Sens!$L$9887</f>
        <v>9.27718179522602</v>
      </c>
      <c r="M9849" s="38" t="n">
        <f aca="false">Sens!$M$9887</f>
        <v>9.27718179522602</v>
      </c>
      <c r="N9849" s="38" t="n">
        <f aca="false">Q!$N$34</f>
        <v>1.057</v>
      </c>
      <c r="O9849" s="38" t="n">
        <f aca="false">Q!$O$34</f>
        <v>1.217</v>
      </c>
    </row>
    <row r="9850" customFormat="false" ht="15" hidden="false" customHeight="false" outlineLevel="0" collapsed="false">
      <c r="A9850" s="5" t="s">
        <v>746</v>
      </c>
      <c r="B9850" s="0" t="s">
        <v>86</v>
      </c>
      <c r="F9850" s="38" t="n">
        <f aca="false">Sens!$F$9888</f>
        <v>2.59</v>
      </c>
      <c r="H9850" s="38" t="n">
        <f aca="false">Sens!$H$9888</f>
        <v>3.80133635330174</v>
      </c>
      <c r="I9850" s="38" t="n">
        <f aca="false">Sens!$I$9888</f>
        <v>2.10589651022864</v>
      </c>
      <c r="J9850" s="38" t="n">
        <f aca="false">Sens!$J$9888</f>
        <v>2.10589651022864</v>
      </c>
      <c r="K9850" s="38" t="n">
        <f aca="false">Sens!$K$9888</f>
        <v>3.14850442073996</v>
      </c>
      <c r="L9850" s="38" t="n">
        <f aca="false">Sens!$L$9888</f>
        <v>8.25959583122945</v>
      </c>
      <c r="M9850" s="38" t="n">
        <f aca="false">Sens!$M$9888</f>
        <v>15.8335708401143</v>
      </c>
    </row>
    <row r="9851" customFormat="false" ht="17.15" hidden="false" customHeight="false" outlineLevel="0" collapsed="false">
      <c r="A9851" s="5" t="s">
        <v>747</v>
      </c>
      <c r="B9851" s="0" t="s">
        <v>86</v>
      </c>
      <c r="C9851" s="38" t="n">
        <f aca="false">Q!$D$39</f>
        <v>2.427</v>
      </c>
      <c r="D9851" s="38" t="n">
        <f aca="false">Q!$E$39</f>
        <v>19.61</v>
      </c>
      <c r="E9851" s="38" t="n">
        <f aca="false">Q!$P$39</f>
        <v>71.492</v>
      </c>
      <c r="F9851" s="39" t="n">
        <v>0</v>
      </c>
      <c r="G9851" s="38" t="n">
        <f aca="false">Sens!$E$9851+Sens!$F$9851</f>
        <v>71.492</v>
      </c>
      <c r="H9851" s="39" t="n">
        <v>0</v>
      </c>
      <c r="I9851" s="39" t="n">
        <v>0</v>
      </c>
      <c r="J9851" s="39" t="n">
        <v>0</v>
      </c>
      <c r="K9851" s="39" t="n">
        <v>0</v>
      </c>
      <c r="L9851" s="39" t="n">
        <v>0</v>
      </c>
      <c r="M9851" s="39" t="n">
        <v>0</v>
      </c>
      <c r="N9851" s="38" t="n">
        <f aca="false">Q!$N$39</f>
        <v>6.017</v>
      </c>
      <c r="O9851" s="38" t="n">
        <f aca="false">Q!$O$39</f>
        <v>13.593</v>
      </c>
      <c r="P9851" s="5" t="s">
        <v>748</v>
      </c>
    </row>
    <row r="9852" customFormat="false" ht="15" hidden="false" customHeight="false" outlineLevel="0" collapsed="false">
      <c r="A9852" s="5" t="s">
        <v>544</v>
      </c>
      <c r="B9852" s="0" t="s">
        <v>86</v>
      </c>
      <c r="C9852" s="38" t="n">
        <f aca="false">Q!$D$36</f>
        <v>68.614</v>
      </c>
      <c r="D9852" s="38" t="n">
        <f aca="false">Q!$E$36</f>
        <v>97.311</v>
      </c>
      <c r="E9852" s="38" t="n">
        <f aca="false">Q!$P$36</f>
        <v>120.691</v>
      </c>
      <c r="F9852" s="38" t="n">
        <f aca="false">Sens!$F$9828-Sens!$F$9849+Sens!$F$9850+Sens!$F$9851</f>
        <v>55.629999609589</v>
      </c>
      <c r="G9852" s="38" t="n">
        <f aca="false">Sens!$E$9852+Sens!$F$9852</f>
        <v>176.320999609589</v>
      </c>
      <c r="H9852" s="38" t="n">
        <f aca="false">Sens!$H$9828-Sens!$H$9849+Sens!$H$9850+Sens!$H$9851</f>
        <v>123.313761885917</v>
      </c>
      <c r="I9852" s="38" t="n">
        <f aca="false">Sens!$I$9828-Sens!$I$9849+Sens!$I$9850+Sens!$I$9851</f>
        <v>141.060502691455</v>
      </c>
      <c r="J9852" s="38" t="n">
        <f aca="false">Sens!$J$9828-Sens!$J$9849+Sens!$J$9850+Sens!$J$9851</f>
        <v>158.858808130232</v>
      </c>
      <c r="K9852" s="38" t="n">
        <f aca="false">Sens!$K$9828-Sens!$K$9849+Sens!$K$9850+Sens!$K$9851</f>
        <v>171.846913790867</v>
      </c>
      <c r="L9852" s="38" t="n">
        <f aca="false">Sens!$L$9828-Sens!$L$9849+Sens!$L$9850+Sens!$L$9851</f>
        <v>189.850989307375</v>
      </c>
      <c r="M9852" s="38" t="n">
        <f aca="false">Sens!$M$9828-Sens!$M$9849+Sens!$M$9850+Sens!$M$9851</f>
        <v>210.166777355014</v>
      </c>
      <c r="N9852" s="38" t="n">
        <f aca="false">Q!$N$36</f>
        <v>42.536</v>
      </c>
      <c r="O9852" s="38" t="n">
        <f aca="false">Q!$O$36</f>
        <v>54.775</v>
      </c>
    </row>
    <row r="9853" customFormat="false" ht="15" hidden="false" customHeight="false" outlineLevel="0" collapsed="false">
      <c r="A9853" s="5" t="s">
        <v>545</v>
      </c>
      <c r="B9853" s="0" t="s">
        <v>86</v>
      </c>
      <c r="C9853" s="38" t="n">
        <f aca="false">Q!$D$37</f>
        <v>9.265</v>
      </c>
      <c r="D9853" s="38" t="n">
        <f aca="false">Q!$E$37</f>
        <v>19.087</v>
      </c>
      <c r="E9853" s="38" t="n">
        <f aca="false">Q!$P$37</f>
        <v>27.759</v>
      </c>
      <c r="F9853" s="38" t="n">
        <f aca="false">Sens!$F$9852*tax</f>
        <v>9.65650714815835</v>
      </c>
      <c r="G9853" s="38" t="n">
        <f aca="false">Sens!$E$9853+Sens!$F$9853</f>
        <v>37.4155071481584</v>
      </c>
      <c r="H9853" s="38" t="n">
        <f aca="false">Sens!$H$9852*tax</f>
        <v>21.4053609828247</v>
      </c>
      <c r="I9853" s="38" t="n">
        <f aca="false">Sens!$I$9852*tax</f>
        <v>24.4859205846201</v>
      </c>
      <c r="J9853" s="38" t="n">
        <f aca="false">Sens!$J$9852*tax</f>
        <v>27.5754310088666</v>
      </c>
      <c r="K9853" s="38" t="n">
        <f aca="false">Sens!$K$9852*tax</f>
        <v>29.8299651816718</v>
      </c>
      <c r="L9853" s="38" t="n">
        <f aca="false">Sens!$L$9852*tax</f>
        <v>32.9551941074541</v>
      </c>
      <c r="M9853" s="38" t="n">
        <f aca="false">Sens!$M$9852*tax</f>
        <v>36.4817005586366</v>
      </c>
      <c r="N9853" s="38" t="n">
        <f aca="false">Q!$N$37</f>
        <v>7.231</v>
      </c>
      <c r="O9853" s="38" t="n">
        <f aca="false">Q!$O$37</f>
        <v>11.856</v>
      </c>
    </row>
    <row r="9854" customFormat="false" ht="15" hidden="false" customHeight="false" outlineLevel="0" collapsed="false">
      <c r="A9854" s="3" t="s">
        <v>546</v>
      </c>
      <c r="B9854" s="8" t="s">
        <v>86</v>
      </c>
      <c r="C9854" s="38" t="n">
        <f aca="false">Q!$D$38</f>
        <v>59.248</v>
      </c>
      <c r="D9854" s="38" t="n">
        <f aca="false">Q!$E$38</f>
        <v>77.67</v>
      </c>
      <c r="E9854" s="38" t="n">
        <f aca="false">Q!$P$38</f>
        <v>92.902</v>
      </c>
      <c r="F9854" s="38" t="n">
        <f aca="false">Sens!$F$9852-Sens!$F$9853</f>
        <v>45.9734924614306</v>
      </c>
      <c r="G9854" s="38" t="n">
        <f aca="false">Sens!$E$9854+Sens!$F$9854</f>
        <v>138.875492461431</v>
      </c>
      <c r="H9854" s="38" t="n">
        <f aca="false">Sens!$H$9852-Sens!$H$9853</f>
        <v>101.908400903092</v>
      </c>
      <c r="I9854" s="38" t="n">
        <f aca="false">Sens!$I$9852-Sens!$I$9853</f>
        <v>116.574582106835</v>
      </c>
      <c r="J9854" s="38" t="n">
        <f aca="false">Sens!$J$9852-Sens!$J$9853</f>
        <v>131.283377121365</v>
      </c>
      <c r="K9854" s="38" t="n">
        <f aca="false">Sens!$K$9852-Sens!$K$9853</f>
        <v>142.016948609195</v>
      </c>
      <c r="L9854" s="38" t="n">
        <f aca="false">Sens!$L$9852-Sens!$L$9853</f>
        <v>156.895795199921</v>
      </c>
      <c r="M9854" s="38" t="n">
        <f aca="false">Sens!$M$9852-Sens!$M$9853</f>
        <v>173.685076796377</v>
      </c>
      <c r="N9854" s="38" t="n">
        <f aca="false">Q!$N$38</f>
        <v>35.291</v>
      </c>
      <c r="O9854" s="38" t="n">
        <f aca="false">Q!$O$38</f>
        <v>42.379</v>
      </c>
    </row>
    <row r="9855" customFormat="false" ht="17.15" hidden="false" customHeight="false" outlineLevel="0" collapsed="false">
      <c r="A9855" s="5" t="s">
        <v>549</v>
      </c>
      <c r="B9855" s="5" t="s">
        <v>33</v>
      </c>
      <c r="C9855" s="22" t="n">
        <f aca="false">Q!$D$41</f>
        <v>10.721</v>
      </c>
      <c r="D9855" s="22" t="n">
        <f aca="false">Q!$E$41</f>
        <v>10.827</v>
      </c>
      <c r="E9855" s="22" t="n">
        <f aca="false">(Q!$L$41+Q!$M$41)/2</f>
        <v>10.8885</v>
      </c>
      <c r="F9855" s="22" t="n">
        <f aca="false">Sens!$G$9855</f>
        <v>10.924806</v>
      </c>
      <c r="G9855" s="22" t="n">
        <f aca="false">Q!$M$41*(1+sh_g*0.25)</f>
        <v>10.924806</v>
      </c>
      <c r="H9855" s="22" t="n">
        <f aca="false">Sens!$G$9855*(1+sh_g)</f>
        <v>11.012204448</v>
      </c>
      <c r="I9855" s="22" t="n">
        <f aca="false">Sens!$H$9855*(1+sh_g)</f>
        <v>11.100302083584</v>
      </c>
      <c r="J9855" s="22" t="n">
        <f aca="false">Sens!$I$9855*(1+sh_g)</f>
        <v>11.1891045002527</v>
      </c>
      <c r="K9855" s="22" t="n">
        <f aca="false">Sens!$J$9855*(1+sh_g)</f>
        <v>11.2786173362547</v>
      </c>
      <c r="L9855" s="22" t="n">
        <f aca="false">Sens!$K$9855*(1+sh_g)</f>
        <v>11.3688462749447</v>
      </c>
      <c r="M9855" s="22" t="n">
        <f aca="false">Sens!$L$9855*(1+sh_g)</f>
        <v>11.4597970451443</v>
      </c>
      <c r="P9855" s="5" t="s">
        <v>749</v>
      </c>
    </row>
    <row r="9856" customFormat="false" ht="17.15" hidden="false" customHeight="false" outlineLevel="0" collapsed="false">
      <c r="A9856" s="5" t="s">
        <v>750</v>
      </c>
      <c r="B9856" s="0" t="s">
        <v>86</v>
      </c>
      <c r="C9856" s="38" t="n">
        <f aca="false">Sens!$C$9854+Sens!$C$9830*(1-tax)</f>
        <v>59.248</v>
      </c>
      <c r="D9856" s="38" t="n">
        <f aca="false">Sens!$D$9854+Sens!$D$9830*(1-tax)</f>
        <v>77.67</v>
      </c>
      <c r="E9856" s="38" t="n">
        <f aca="false">Sens!$E$9854+Sens!$E$9830*(1-tax)</f>
        <v>92.902</v>
      </c>
      <c r="F9856" s="38" t="n">
        <f aca="false">Sens!$F$9854+Sens!$F$9830*(1-tax)</f>
        <v>49.0900874210793</v>
      </c>
      <c r="G9856" s="38" t="n">
        <f aca="false">Sens!$G$9854+Sens!$G$9830*(1-tax)</f>
        <v>141.992087421079</v>
      </c>
      <c r="H9856" s="38" t="n">
        <f aca="false">Sens!$H$9854+Sens!$H$9830*(1-tax)</f>
        <v>114.439796858437</v>
      </c>
      <c r="I9856" s="38" t="n">
        <f aca="false">Sens!$I$9854+Sens!$I$9830*(1-tax)</f>
        <v>137.715847181774</v>
      </c>
      <c r="J9856" s="38" t="n">
        <f aca="false">Sens!$J$9854+Sens!$J$9830*(1-tax)</f>
        <v>161.072814065649</v>
      </c>
      <c r="K9856" s="38" t="n">
        <f aca="false">Sens!$K$9854+Sens!$K$9830*(1-tax)</f>
        <v>179.184254305854</v>
      </c>
      <c r="L9856" s="38" t="n">
        <f aca="false">Sens!$L$9854+Sens!$L$9830*(1-tax)</f>
        <v>198.911872540476</v>
      </c>
      <c r="M9856" s="38" t="n">
        <f aca="false">Sens!$M$9854+Sens!$M$9830*(1-tax)</f>
        <v>218.014598987218</v>
      </c>
      <c r="N9856" s="38" t="n">
        <f aca="false">Sens!$N$9854+Sens!$N$9830*(1-tax)</f>
        <v>35.291</v>
      </c>
      <c r="O9856" s="38" t="n">
        <f aca="false">Sens!$O$9854+Sens!$O$9830*(1-tax)</f>
        <v>42.379</v>
      </c>
    </row>
    <row r="9857" customFormat="false" ht="17.15" hidden="false" customHeight="false" outlineLevel="0" collapsed="false">
      <c r="A9857" s="43" t="s">
        <v>751</v>
      </c>
      <c r="B9857" s="14" t="s">
        <v>27</v>
      </c>
      <c r="C9857" s="44" t="n">
        <f aca="false">Sens!$C$9856/Sens!$C$9855</f>
        <v>5.52635015390355</v>
      </c>
      <c r="D9857" s="44" t="n">
        <f aca="false">Sens!$D$9856/Sens!$D$9855</f>
        <v>7.1737323358271</v>
      </c>
      <c r="E9857" s="44" t="n">
        <f aca="false">Sens!$E$9856/Sens!$E$9855</f>
        <v>8.53212104513937</v>
      </c>
      <c r="F9857" s="14"/>
      <c r="G9857" s="44" t="n">
        <f aca="false">Sens!$G$9856/Sens!$G$9855</f>
        <v>12.9972182042481</v>
      </c>
      <c r="H9857" s="44" t="n">
        <f aca="false">Sens!$H$9856/Sens!$H$9855</f>
        <v>10.3920879237963</v>
      </c>
      <c r="I9857" s="44" t="n">
        <f aca="false">Sens!$I$9856/Sens!$I$9855</f>
        <v>12.4064954399249</v>
      </c>
      <c r="J9857" s="44" t="n">
        <f aca="false">Sens!$J$9856/Sens!$J$9855</f>
        <v>14.3955053831172</v>
      </c>
      <c r="K9857" s="44" t="n">
        <f aca="false">Sens!$K$9856/Sens!$K$9855</f>
        <v>15.8870763111957</v>
      </c>
      <c r="L9857" s="44" t="n">
        <f aca="false">Sens!$L$9856/Sens!$L$9855</f>
        <v>17.4962232516811</v>
      </c>
      <c r="M9857" s="44" t="n">
        <f aca="false">Sens!$M$9856/Sens!$M$9855</f>
        <v>19.0242984346389</v>
      </c>
      <c r="N9857" s="14"/>
      <c r="O9857" s="14"/>
    </row>
    <row r="9858" customFormat="false" ht="17.15" hidden="false" customHeight="false" outlineLevel="0" collapsed="false">
      <c r="A9858" s="0" t="s">
        <v>752</v>
      </c>
      <c r="B9858" s="0" t="s">
        <v>27</v>
      </c>
      <c r="C9858" s="30" t="n">
        <f aca="false">Sens!$C$9854/Sens!$C$9855</f>
        <v>5.52635015390355</v>
      </c>
      <c r="D9858" s="30" t="n">
        <f aca="false">Sens!$D$9854/Sens!$D$9855</f>
        <v>7.1737323358271</v>
      </c>
      <c r="E9858" s="30" t="n">
        <f aca="false">Sens!$E$9854/Sens!$E$9855</f>
        <v>8.53212104513937</v>
      </c>
      <c r="G9858" s="30" t="n">
        <f aca="false">Sens!$G$9854/Sens!$G$9855</f>
        <v>12.7119412886078</v>
      </c>
      <c r="H9858" s="30" t="n">
        <f aca="false">Sens!$H$9854/Sens!$H$9855</f>
        <v>9.25413266565353</v>
      </c>
      <c r="I9858" s="30" t="n">
        <f aca="false">Sens!$I$9854/Sens!$I$9855</f>
        <v>10.501928796986</v>
      </c>
      <c r="J9858" s="30" t="n">
        <f aca="false">Sens!$J$9854/Sens!$J$9855</f>
        <v>11.7331442492472</v>
      </c>
      <c r="K9858" s="30" t="n">
        <f aca="false">Sens!$K$9854/Sens!$K$9855</f>
        <v>12.5916984657939</v>
      </c>
      <c r="L9858" s="30" t="n">
        <f aca="false">Sens!$L$9854/Sens!$L$9855</f>
        <v>13.8005028307662</v>
      </c>
      <c r="M9858" s="30" t="n">
        <f aca="false">Sens!$M$9854/Sens!$M$9855</f>
        <v>15.1560342746184</v>
      </c>
    </row>
    <row r="9859" customFormat="false" ht="17.15" hidden="false" customHeight="false" outlineLevel="0" collapsed="false">
      <c r="A9859" s="0" t="s">
        <v>753</v>
      </c>
      <c r="B9859" s="0" t="s">
        <v>27</v>
      </c>
      <c r="C9859" s="30" t="n">
        <f aca="false">(Sens!$C$9854-Sens!$C$9851*(1-tax))/Sens!$C$9855</f>
        <v>5.33926775917445</v>
      </c>
      <c r="D9859" s="30" t="n">
        <f aca="false">(Sens!$D$9854-Sens!$D$9851*(1-tax))/Sens!$D$9855</f>
        <v>5.67691812755503</v>
      </c>
      <c r="E9859" s="30" t="n">
        <f aca="false">(Sens!$E$9854-Sens!$E$9851*(1-tax))/Sens!$E$9855</f>
        <v>3.10602057006846</v>
      </c>
      <c r="G9859" s="30" t="n">
        <f aca="false">(Sens!$G$9854-Sens!$G$9851*(1-tax))/Sens!$G$9855</f>
        <v>7.30387317071086</v>
      </c>
      <c r="H9859" s="30" t="n">
        <f aca="false">(Sens!$H$9854-Sens!$H$9851*(1-tax))/Sens!$H$9855</f>
        <v>9.25413266565353</v>
      </c>
      <c r="I9859" s="30" t="n">
        <f aca="false">(Sens!$I$9854-Sens!$I$9851*(1-tax))/Sens!$I$9855</f>
        <v>10.501928796986</v>
      </c>
      <c r="J9859" s="30" t="n">
        <f aca="false">(Sens!$J$9854-Sens!$J$9851*(1-tax))/Sens!$J$9855</f>
        <v>11.7331442492472</v>
      </c>
      <c r="K9859" s="30" t="n">
        <f aca="false">(Sens!$K$9854-Sens!$K$9851*(1-tax))/Sens!$K$9855</f>
        <v>12.5916984657939</v>
      </c>
      <c r="L9859" s="30" t="n">
        <f aca="false">(Sens!$L$9854-Sens!$L$9851*(1-tax))/Sens!$L$9855</f>
        <v>13.8005028307662</v>
      </c>
      <c r="M9859" s="30" t="n">
        <f aca="false">(Sens!$M$9854-Sens!$M$9851*(1-tax))/Sens!$M$9855</f>
        <v>15.1560342746184</v>
      </c>
      <c r="P9859" s="5" t="s">
        <v>754</v>
      </c>
    </row>
    <row r="9860" customFormat="false" ht="17.15" hidden="false" customHeight="false" outlineLevel="0" collapsed="false">
      <c r="A9860" s="0" t="s">
        <v>755</v>
      </c>
      <c r="B9860" s="0" t="s">
        <v>52</v>
      </c>
      <c r="H9860" s="13" t="n">
        <f aca="false">Sens!$H$9857/Sens!$G$9857-1</f>
        <v>-0.200437527439553</v>
      </c>
      <c r="I9860" s="13" t="n">
        <f aca="false">Sens!$I$9857/Sens!$H$9857-1</f>
        <v>0.193840499705158</v>
      </c>
      <c r="J9860" s="13" t="n">
        <f aca="false">Sens!$J$9857/Sens!$I$9857-1</f>
        <v>0.160320047899391</v>
      </c>
      <c r="K9860" s="13" t="n">
        <f aca="false">Sens!$K$9857/Sens!$J$9857-1</f>
        <v>0.103613654983436</v>
      </c>
      <c r="L9860" s="13" t="n">
        <f aca="false">Sens!$L$9857/Sens!$K$9857-1</f>
        <v>0.101286536865904</v>
      </c>
      <c r="M9860" s="13" t="n">
        <f aca="false">Sens!$M$9857/Sens!$L$9857-1</f>
        <v>0.0873374305400994</v>
      </c>
    </row>
    <row r="9863" customFormat="false" ht="19.4" hidden="false" customHeight="false" outlineLevel="0" collapsed="false">
      <c r="A9863" s="31" t="s">
        <v>1330</v>
      </c>
    </row>
    <row r="9864" customFormat="false" ht="17.15" hidden="false" customHeight="false" outlineLevel="0" collapsed="false">
      <c r="A9864" s="6" t="s">
        <v>16</v>
      </c>
      <c r="B9864" s="6" t="s">
        <v>17</v>
      </c>
      <c r="C9864" s="20" t="s">
        <v>494</v>
      </c>
      <c r="D9864" s="20" t="s">
        <v>495</v>
      </c>
      <c r="E9864" s="20" t="s">
        <v>577</v>
      </c>
      <c r="F9864" s="20" t="s">
        <v>578</v>
      </c>
      <c r="G9864" s="20" t="s">
        <v>579</v>
      </c>
      <c r="H9864" s="20" t="s">
        <v>580</v>
      </c>
      <c r="I9864" s="20" t="s">
        <v>581</v>
      </c>
      <c r="J9864" s="20" t="s">
        <v>582</v>
      </c>
      <c r="K9864" s="20" t="s">
        <v>583</v>
      </c>
      <c r="L9864" s="20" t="s">
        <v>584</v>
      </c>
      <c r="M9864" s="20" t="s">
        <v>585</v>
      </c>
      <c r="N9864" s="20" t="s">
        <v>586</v>
      </c>
      <c r="O9864" s="20" t="s">
        <v>587</v>
      </c>
      <c r="P9864" s="6" t="s">
        <v>23</v>
      </c>
      <c r="R9864" s="20" t="n">
        <v>2023</v>
      </c>
      <c r="S9864" s="20" t="n">
        <v>2024</v>
      </c>
      <c r="T9864" s="20" t="n">
        <v>2025</v>
      </c>
      <c r="U9864" s="20" t="n">
        <v>2026</v>
      </c>
      <c r="V9864" s="20" t="n">
        <v>2027</v>
      </c>
      <c r="W9864" s="20" t="n">
        <v>2028</v>
      </c>
      <c r="X9864" s="20" t="n">
        <v>2029</v>
      </c>
      <c r="Y9864" s="20" t="n">
        <v>2030</v>
      </c>
      <c r="Z9864" s="20" t="n">
        <v>2031</v>
      </c>
      <c r="AA9864" s="20" t="n">
        <v>2032</v>
      </c>
    </row>
    <row r="9865" customFormat="false" ht="15" hidden="false" customHeight="false" outlineLevel="0" collapsed="false">
      <c r="A9865" s="5" t="s">
        <v>546</v>
      </c>
      <c r="B9865" s="0" t="s">
        <v>86</v>
      </c>
      <c r="C9865" s="38" t="n">
        <f aca="false">Sens!$C$9854</f>
        <v>59.248</v>
      </c>
      <c r="D9865" s="38" t="n">
        <f aca="false">Sens!$D$9854</f>
        <v>77.67</v>
      </c>
      <c r="E9865" s="38" t="n">
        <f aca="false">Sens!$E$9854</f>
        <v>92.902</v>
      </c>
      <c r="F9865" s="38" t="n">
        <f aca="false">Sens!$F$9854</f>
        <v>45.9734924614306</v>
      </c>
      <c r="G9865" s="38" t="n">
        <f aca="false">Sens!$G$9854</f>
        <v>138.875492461431</v>
      </c>
      <c r="H9865" s="38" t="n">
        <f aca="false">Sens!$H$9854</f>
        <v>101.908400903092</v>
      </c>
      <c r="I9865" s="38" t="n">
        <f aca="false">Sens!$I$9854</f>
        <v>116.574582106835</v>
      </c>
      <c r="J9865" s="38" t="n">
        <f aca="false">Sens!$J$9854</f>
        <v>131.283377121365</v>
      </c>
      <c r="K9865" s="38" t="n">
        <f aca="false">Sens!$K$9854</f>
        <v>142.016948609195</v>
      </c>
      <c r="L9865" s="38" t="n">
        <f aca="false">Sens!$L$9854</f>
        <v>156.895795199921</v>
      </c>
      <c r="M9865" s="38" t="n">
        <f aca="false">Sens!$M$9854</f>
        <v>173.685076796377</v>
      </c>
    </row>
    <row r="9866" customFormat="false" ht="17.15" hidden="false" customHeight="false" outlineLevel="0" collapsed="false">
      <c r="A9866" s="5" t="s">
        <v>778</v>
      </c>
      <c r="B9866" s="0" t="s">
        <v>86</v>
      </c>
      <c r="C9866" s="38" t="n">
        <f aca="false">Sens!$C$9842</f>
        <v>32.067</v>
      </c>
      <c r="D9866" s="38" t="n">
        <f aca="false">Sens!$D$9842</f>
        <v>41.86</v>
      </c>
      <c r="E9866" s="38" t="n">
        <f aca="false">Sens!$E$9842</f>
        <v>26.703</v>
      </c>
      <c r="F9866" s="38" t="n">
        <f aca="false">Sens!$F$9842</f>
        <v>29.2913179650864</v>
      </c>
      <c r="G9866" s="38" t="n">
        <f aca="false">Sens!$G$9842</f>
        <v>55.9943179650864</v>
      </c>
      <c r="H9866" s="38" t="n">
        <f aca="false">Sens!$H$9842</f>
        <v>84.3163410985152</v>
      </c>
      <c r="I9866" s="38" t="n">
        <f aca="false">Sens!$I$9842</f>
        <v>117.040344991004</v>
      </c>
      <c r="J9866" s="38" t="n">
        <f aca="false">Sens!$J$9842</f>
        <v>150.498981474685</v>
      </c>
      <c r="K9866" s="38" t="n">
        <f aca="false">Sens!$K$9842</f>
        <v>184.188121970284</v>
      </c>
      <c r="L9866" s="38" t="n">
        <f aca="false">Sens!$L$9842</f>
        <v>207.768718060808</v>
      </c>
      <c r="M9866" s="38" t="n">
        <f aca="false">Sens!$M$9842</f>
        <v>224.003934647752</v>
      </c>
    </row>
    <row r="9867" customFormat="false" ht="15" hidden="false" customHeight="false" outlineLevel="0" collapsed="false">
      <c r="A9867" s="5" t="s">
        <v>779</v>
      </c>
      <c r="B9867" s="0" t="s">
        <v>86</v>
      </c>
      <c r="C9867" s="38" t="n">
        <f aca="false">Q!$D$48</f>
        <v>22.011</v>
      </c>
      <c r="D9867" s="38" t="n">
        <f aca="false">Q!$E$48</f>
        <v>19.467</v>
      </c>
      <c r="E9867" s="38" t="n">
        <f aca="false">Q!$P$48</f>
        <v>10.07</v>
      </c>
      <c r="F9867" s="38" t="n">
        <f aca="false">sbc_r*Sens!$F$9784</f>
        <v>10.8507035798037</v>
      </c>
      <c r="G9867" s="38" t="n">
        <f aca="false">Sens!$E$9867+Sens!$F$9867</f>
        <v>20.9207035798037</v>
      </c>
      <c r="H9867" s="38" t="n">
        <f aca="false">sbc_r*Sens!$H$9784</f>
        <v>23.46224366345</v>
      </c>
      <c r="I9867" s="38" t="n">
        <f aca="false">sbc_r*Sens!$I$9784</f>
        <v>26.6125957111676</v>
      </c>
      <c r="J9867" s="38" t="n">
        <f aca="false">sbc_r*Sens!$J$9784</f>
        <v>29.6280801413323</v>
      </c>
      <c r="K9867" s="38" t="n">
        <f aca="false">sbc_r*Sens!$K$9784</f>
        <v>32.2712258901105</v>
      </c>
      <c r="L9867" s="38" t="n">
        <f aca="false">sbc_r*Sens!$L$9784</f>
        <v>34.7390505016737</v>
      </c>
      <c r="M9867" s="38" t="n">
        <f aca="false">sbc_r*Sens!$M$9784</f>
        <v>37.0405146906692</v>
      </c>
    </row>
    <row r="9868" customFormat="false" ht="17.15" hidden="false" customHeight="false" outlineLevel="0" collapsed="false">
      <c r="A9868" s="5" t="s">
        <v>780</v>
      </c>
      <c r="B9868" s="0" t="s">
        <v>86</v>
      </c>
      <c r="C9868" s="38" t="n">
        <f aca="false">Q!$D$44-Sens!$C$9865-Sens!$C$9866-Sens!$C$9867</f>
        <v>2.551</v>
      </c>
      <c r="D9868" s="38" t="n">
        <f aca="false">Q!$E$44-Sens!$D$9865-Sens!$D$9866-Sens!$D$9867</f>
        <v>0.51700000000001</v>
      </c>
      <c r="E9868" s="38" t="n">
        <f aca="false">Q!$P$44-Sens!$E$9865-Sens!$E$9866-Sens!$E$9867</f>
        <v>-58.256</v>
      </c>
      <c r="F9868" s="38" t="n">
        <f aca="false">oth_r*Sens!$F$9784</f>
        <v>5.22265251035878</v>
      </c>
      <c r="G9868" s="38" t="n">
        <f aca="false">Sens!$E$9868+Sens!$F$9868</f>
        <v>-53.0333474896412</v>
      </c>
      <c r="H9868" s="38" t="n">
        <f aca="false">oth_r*Sens!$H$9784</f>
        <v>11.2928295263397</v>
      </c>
      <c r="I9868" s="38" t="n">
        <f aca="false">oth_r*Sens!$I$9784</f>
        <v>12.8091546115766</v>
      </c>
      <c r="J9868" s="38" t="n">
        <f aca="false">oth_r*Sens!$J$9784</f>
        <v>14.2605653162668</v>
      </c>
      <c r="K9868" s="38" t="n">
        <f aca="false">oth_r*Sens!$K$9784</f>
        <v>15.5327622460396</v>
      </c>
      <c r="L9868" s="38" t="n">
        <f aca="false">oth_r*Sens!$L$9784</f>
        <v>16.720573737517</v>
      </c>
      <c r="M9868" s="38" t="n">
        <f aca="false">oth_r*Sens!$M$9784</f>
        <v>17.8283127551536</v>
      </c>
      <c r="P9868" s="8" t="s">
        <v>781</v>
      </c>
    </row>
    <row r="9869" customFormat="false" ht="15" hidden="false" customHeight="false" outlineLevel="0" collapsed="false">
      <c r="A9869" s="3" t="s">
        <v>552</v>
      </c>
      <c r="B9869" s="8" t="s">
        <v>86</v>
      </c>
      <c r="C9869" s="38" t="n">
        <f aca="false">Q!$D$44</f>
        <v>115.877</v>
      </c>
      <c r="D9869" s="38" t="n">
        <f aca="false">Q!$E$44</f>
        <v>139.514</v>
      </c>
      <c r="E9869" s="38" t="n">
        <f aca="false">Q!$P$44</f>
        <v>71.419</v>
      </c>
      <c r="F9869" s="38" t="n">
        <f aca="false">Sens!$F$9865+Sens!$F$9866+Sens!$F$9867+Sens!$F$9868</f>
        <v>91.3381665166794</v>
      </c>
      <c r="G9869" s="38" t="n">
        <f aca="false">Sens!$E$9869+Sens!$F$9869</f>
        <v>162.757166516679</v>
      </c>
      <c r="H9869" s="38" t="n">
        <f aca="false">Sens!$H$9865+Sens!$H$9866+Sens!$H$9867+Sens!$H$9868</f>
        <v>220.979815191397</v>
      </c>
      <c r="I9869" s="38" t="n">
        <f aca="false">Sens!$I$9865+Sens!$I$9866+Sens!$I$9867+Sens!$I$9868</f>
        <v>273.036677420583</v>
      </c>
      <c r="J9869" s="38" t="n">
        <f aca="false">Sens!$J$9865+Sens!$J$9866+Sens!$J$9867+Sens!$J$9868</f>
        <v>325.671004053649</v>
      </c>
      <c r="K9869" s="38" t="n">
        <f aca="false">Sens!$K$9865+Sens!$K$9866+Sens!$K$9867+Sens!$K$9868</f>
        <v>374.009058715629</v>
      </c>
      <c r="L9869" s="38" t="n">
        <f aca="false">Sens!$L$9865+Sens!$L$9866+Sens!$L$9867+Sens!$L$9868</f>
        <v>416.124137499919</v>
      </c>
      <c r="M9869" s="38" t="n">
        <f aca="false">Sens!$M$9865+Sens!$M$9866+Sens!$M$9867+Sens!$M$9868</f>
        <v>452.557838889952</v>
      </c>
    </row>
    <row r="9870" customFormat="false" ht="17.15" hidden="false" customHeight="false" outlineLevel="0" collapsed="false">
      <c r="A9870" s="5" t="s">
        <v>782</v>
      </c>
      <c r="B9870" s="0" t="s">
        <v>86</v>
      </c>
      <c r="C9870" s="38" t="n">
        <f aca="false">Sens!$C$9753</f>
        <v>25.2781053077374</v>
      </c>
      <c r="D9870" s="38" t="n">
        <f aca="false">Sens!$D$9753</f>
        <v>69.5686316310026</v>
      </c>
      <c r="E9870" s="38" t="n">
        <f aca="false">Sens!$E$9753</f>
        <v>64.1899206485108</v>
      </c>
      <c r="F9870" s="38" t="n">
        <f aca="false">Sens!$F$9753</f>
        <v>96.2481299895</v>
      </c>
      <c r="G9870" s="38" t="n">
        <f aca="false">Sens!$G$9753</f>
        <v>160.438050638011</v>
      </c>
      <c r="H9870" s="38" t="n">
        <f aca="false">Sens!$H$9753</f>
        <v>198.57136494475</v>
      </c>
      <c r="I9870" s="38" t="n">
        <f aca="false">Sens!$I$9753</f>
        <v>204.6464699105</v>
      </c>
      <c r="J9870" s="38" t="n">
        <f aca="false">Sens!$J$9753</f>
        <v>209.8832381105</v>
      </c>
      <c r="K9870" s="38" t="n">
        <f aca="false">Sens!$K$9753</f>
        <v>155.238385275201</v>
      </c>
      <c r="L9870" s="38" t="n">
        <f aca="false">Sens!$L$9753</f>
        <v>132.014141639902</v>
      </c>
      <c r="M9870" s="38" t="n">
        <f aca="false">Sens!$M$9753</f>
        <v>132.230981659852</v>
      </c>
    </row>
    <row r="9871" customFormat="false" ht="17.15" hidden="false" customHeight="false" outlineLevel="0" collapsed="false">
      <c r="A9871" s="5" t="s">
        <v>783</v>
      </c>
      <c r="B9871" s="0" t="s">
        <v>86</v>
      </c>
      <c r="C9871" s="38" t="n">
        <f aca="false">cx_awso*Sens!$C$9782</f>
        <v>21.0469989286053</v>
      </c>
      <c r="D9871" s="38" t="n">
        <f aca="false">cx_awso*Sens!$D$9782</f>
        <v>24.0042459822698</v>
      </c>
      <c r="E9871" s="38" t="n">
        <f aca="false">cx_awso*Sens!$E$9782</f>
        <v>14.261729404886</v>
      </c>
      <c r="F9871" s="38" t="n">
        <f aca="false">cx_awso*Sens!$F$9782</f>
        <v>14.3538599588493</v>
      </c>
      <c r="G9871" s="38" t="n">
        <f aca="false">Sens!$E$9871+Sens!$F$9871</f>
        <v>28.6155893637353</v>
      </c>
      <c r="H9871" s="38" t="n">
        <f aca="false">cx_awso*Sens!$H$9782</f>
        <v>32.2034154158406</v>
      </c>
      <c r="I9871" s="38" t="n">
        <f aca="false">cx_awso*Sens!$I$9782</f>
        <v>35.7539519042915</v>
      </c>
      <c r="J9871" s="38" t="n">
        <f aca="false">cx_awso*Sens!$J$9782</f>
        <v>39.1551076091815</v>
      </c>
      <c r="K9871" s="38" t="n">
        <f aca="false">cx_awso*Sens!$K$9782</f>
        <v>42.287516217916</v>
      </c>
      <c r="L9871" s="38" t="n">
        <f aca="false">cx_awso*Sens!$L$9782</f>
        <v>45.6705175153492</v>
      </c>
      <c r="M9871" s="38" t="n">
        <f aca="false">cx_awso*Sens!$M$9782</f>
        <v>49.3241589165772</v>
      </c>
    </row>
    <row r="9872" customFormat="false" ht="17.15" hidden="false" customHeight="false" outlineLevel="0" collapsed="false">
      <c r="A9872" s="5" t="s">
        <v>784</v>
      </c>
      <c r="B9872" s="0" t="s">
        <v>86</v>
      </c>
      <c r="C9872" s="38" t="n">
        <f aca="false">Q!$D$46-Sens!$C$9870-Sens!$C$9871</f>
        <v>31.3328957636573</v>
      </c>
      <c r="D9872" s="38" t="n">
        <f aca="false">Q!$E$46-Sens!$D$9870-Sens!$D$9871</f>
        <v>34.7471223867276</v>
      </c>
      <c r="E9872" s="38" t="n">
        <f aca="false">Q!$P$46-Sens!$E$9870-Sens!$E$9871</f>
        <v>17.8583499466032</v>
      </c>
      <c r="F9872" s="38" t="n">
        <f aca="false">cx_rt*Sens!$F$9716</f>
        <v>20.6195895799373</v>
      </c>
      <c r="G9872" s="38" t="n">
        <f aca="false">Sens!$E$9872+Sens!$F$9872</f>
        <v>38.4779395265405</v>
      </c>
      <c r="H9872" s="38" t="n">
        <f aca="false">cx_rt*Sens!$H$9716</f>
        <v>42.5978994743075</v>
      </c>
      <c r="I9872" s="38" t="n">
        <f aca="false">cx_rt*Sens!$I$9716</f>
        <v>46.5813904136335</v>
      </c>
      <c r="J9872" s="38" t="n">
        <f aca="false">cx_rt*Sens!$J$9716</f>
        <v>50.2781676586844</v>
      </c>
      <c r="K9872" s="38" t="n">
        <f aca="false">cx_rt*Sens!$K$9716</f>
        <v>53.5312440191755</v>
      </c>
      <c r="L9872" s="38" t="n">
        <f aca="false">cx_rt*Sens!$L$9716</f>
        <v>57.0116717051447</v>
      </c>
      <c r="M9872" s="38" t="n">
        <f aca="false">cx_rt*Sens!$M$9716</f>
        <v>60.7365554669226</v>
      </c>
    </row>
    <row r="9873" customFormat="false" ht="15" hidden="false" customHeight="false" outlineLevel="0" collapsed="false">
      <c r="A9873" s="3" t="s">
        <v>785</v>
      </c>
      <c r="B9873" s="8" t="s">
        <v>86</v>
      </c>
      <c r="C9873" s="38" t="n">
        <f aca="false">Q!$D$46</f>
        <v>77.658</v>
      </c>
      <c r="D9873" s="38" t="n">
        <f aca="false">Q!$E$46</f>
        <v>128.32</v>
      </c>
      <c r="E9873" s="38" t="n">
        <f aca="false">Q!$P$46</f>
        <v>96.31</v>
      </c>
      <c r="F9873" s="38" t="n">
        <f aca="false">Sens!$F$9870+Sens!$F$9871+Sens!$F$9872</f>
        <v>131.221579528287</v>
      </c>
      <c r="G9873" s="38" t="n">
        <f aca="false">Sens!$E$9873+Sens!$F$9873</f>
        <v>227.531579528287</v>
      </c>
      <c r="H9873" s="38" t="n">
        <f aca="false">Sens!$H$9870+Sens!$H$9871+Sens!$H$9872</f>
        <v>273.372679834898</v>
      </c>
      <c r="I9873" s="38" t="n">
        <f aca="false">Sens!$I$9870+Sens!$I$9871+Sens!$I$9872</f>
        <v>286.981812228425</v>
      </c>
      <c r="J9873" s="38" t="n">
        <f aca="false">Sens!$J$9870+Sens!$J$9871+Sens!$J$9872</f>
        <v>299.316513378366</v>
      </c>
      <c r="K9873" s="38" t="n">
        <f aca="false">Sens!$K$9870+Sens!$K$9871+Sens!$K$9872</f>
        <v>251.057145512292</v>
      </c>
      <c r="L9873" s="38" t="n">
        <f aca="false">Sens!$L$9870+Sens!$L$9871+Sens!$L$9872</f>
        <v>234.696330860396</v>
      </c>
      <c r="M9873" s="38" t="n">
        <f aca="false">Sens!$M$9870+Sens!$M$9871+Sens!$M$9872</f>
        <v>242.291696043352</v>
      </c>
    </row>
    <row r="9874" customFormat="false" ht="17.15" hidden="false" customHeight="false" outlineLevel="0" collapsed="false">
      <c r="A9874" s="5" t="s">
        <v>560</v>
      </c>
      <c r="B9874" s="0" t="s">
        <v>86</v>
      </c>
      <c r="C9874" s="38" t="n">
        <f aca="false">Q!$D$50</f>
        <v>2.043</v>
      </c>
      <c r="D9874" s="38" t="n">
        <f aca="false">Q!$E$50</f>
        <v>1.557</v>
      </c>
      <c r="E9874" s="38" t="n">
        <f aca="false">lease_pr/2</f>
        <v>0.8</v>
      </c>
      <c r="F9874" s="38" t="n">
        <f aca="false">lease_pr/2</f>
        <v>0.8</v>
      </c>
      <c r="G9874" s="38" t="n">
        <f aca="false">Sens!$E$9874+Sens!$F$9874</f>
        <v>1.6</v>
      </c>
      <c r="H9874" s="38" t="n">
        <f aca="false">lease_pr</f>
        <v>1.6</v>
      </c>
      <c r="I9874" s="38" t="n">
        <f aca="false">lease_pr</f>
        <v>1.6</v>
      </c>
      <c r="J9874" s="38" t="n">
        <f aca="false">lease_pr</f>
        <v>1.6</v>
      </c>
      <c r="K9874" s="38" t="n">
        <f aca="false">lease_pr</f>
        <v>1.6</v>
      </c>
      <c r="L9874" s="38" t="n">
        <f aca="false">lease_pr</f>
        <v>1.6</v>
      </c>
      <c r="M9874" s="38" t="n">
        <f aca="false">lease_pr</f>
        <v>1.6</v>
      </c>
      <c r="P9874" s="8" t="s">
        <v>786</v>
      </c>
    </row>
    <row r="9875" customFormat="false" ht="15" hidden="false" customHeight="false" outlineLevel="0" collapsed="false">
      <c r="A9875" s="47" t="s">
        <v>787</v>
      </c>
      <c r="B9875" s="14" t="s">
        <v>86</v>
      </c>
      <c r="C9875" s="48" t="n">
        <f aca="false">Sens!$C$9869-Sens!$C$9873-Sens!$C$9874</f>
        <v>36.176</v>
      </c>
      <c r="D9875" s="48" t="n">
        <f aca="false">Sens!$D$9869-Sens!$D$9873-Sens!$D$9874</f>
        <v>9.63700000000002</v>
      </c>
      <c r="E9875" s="48" t="n">
        <f aca="false">Sens!$E$9869-Sens!$E$9873-Sens!$E$9874</f>
        <v>-25.691</v>
      </c>
      <c r="F9875" s="48" t="n">
        <f aca="false">Sens!$F$9869-Sens!$F$9873-Sens!$F$9874</f>
        <v>-40.6834130116072</v>
      </c>
      <c r="G9875" s="48" t="n">
        <f aca="false">Sens!$G$9869-Sens!$G$9873-Sens!$G$9874</f>
        <v>-66.3744130116072</v>
      </c>
      <c r="H9875" s="48" t="n">
        <f aca="false">Sens!$H$9869-Sens!$H$9873-Sens!$H$9874</f>
        <v>-53.9928646435014</v>
      </c>
      <c r="I9875" s="48" t="n">
        <f aca="false">Sens!$I$9869-Sens!$I$9873-Sens!$I$9874</f>
        <v>-15.5451348078424</v>
      </c>
      <c r="J9875" s="48" t="n">
        <f aca="false">Sens!$J$9869-Sens!$J$9873-Sens!$J$9874</f>
        <v>24.754490675283</v>
      </c>
      <c r="K9875" s="48" t="n">
        <f aca="false">Sens!$K$9869-Sens!$K$9873-Sens!$K$9874</f>
        <v>121.351913203336</v>
      </c>
      <c r="L9875" s="48" t="n">
        <f aca="false">Sens!$L$9869-Sens!$L$9873-Sens!$L$9874</f>
        <v>179.827806639524</v>
      </c>
      <c r="M9875" s="48" t="n">
        <f aca="false">Sens!$M$9869-Sens!$M$9873-Sens!$M$9874</f>
        <v>208.6661428466</v>
      </c>
      <c r="N9875" s="14"/>
      <c r="O9875" s="14"/>
    </row>
    <row r="9876" customFormat="false" ht="17.15" hidden="false" customHeight="false" outlineLevel="0" collapsed="false">
      <c r="A9876" s="5" t="s">
        <v>788</v>
      </c>
      <c r="B9876" s="0" t="s">
        <v>86</v>
      </c>
      <c r="C9876" s="38" t="n">
        <f aca="false">dps*Sens!$C$9855</f>
        <v>0</v>
      </c>
      <c r="D9876" s="38" t="n">
        <f aca="false">dps*Sens!$D$9855</f>
        <v>0</v>
      </c>
      <c r="E9876" s="38" t="n">
        <f aca="false">dps*Sens!$E$9855</f>
        <v>0</v>
      </c>
      <c r="F9876" s="38" t="n">
        <f aca="false">0</f>
        <v>0</v>
      </c>
      <c r="G9876" s="38" t="n">
        <f aca="false">dps*Sens!$G$9855</f>
        <v>0</v>
      </c>
      <c r="H9876" s="38" t="n">
        <f aca="false">dps*Sens!$H$9855</f>
        <v>0</v>
      </c>
      <c r="I9876" s="38" t="n">
        <f aca="false">dps*Sens!$I$9855</f>
        <v>0</v>
      </c>
      <c r="J9876" s="38" t="n">
        <f aca="false">dps*Sens!$J$9855</f>
        <v>0</v>
      </c>
      <c r="K9876" s="38" t="n">
        <f aca="false">dps*Sens!$K$9855</f>
        <v>0</v>
      </c>
      <c r="L9876" s="38" t="n">
        <f aca="false">dps*Sens!$L$9855</f>
        <v>0</v>
      </c>
      <c r="M9876" s="38" t="n">
        <f aca="false">dps*Sens!$M$9855</f>
        <v>0</v>
      </c>
      <c r="P9876" s="8" t="s">
        <v>789</v>
      </c>
    </row>
    <row r="9877" customFormat="false" ht="17.15" hidden="false" customHeight="false" outlineLevel="0" collapsed="false">
      <c r="A9877" s="5" t="s">
        <v>790</v>
      </c>
      <c r="B9877" s="0" t="s">
        <v>86</v>
      </c>
      <c r="C9877" s="38" t="n">
        <f aca="false">0</f>
        <v>0</v>
      </c>
      <c r="D9877" s="38" t="n">
        <f aca="false">0</f>
        <v>0</v>
      </c>
      <c r="E9877" s="38" t="n">
        <f aca="false">0</f>
        <v>0</v>
      </c>
      <c r="F9877" s="38" t="n">
        <f aca="false">0</f>
        <v>0</v>
      </c>
      <c r="G9877" s="38" t="n">
        <f aca="false">0</f>
        <v>0</v>
      </c>
      <c r="H9877" s="38" t="n">
        <f aca="false">0</f>
        <v>0</v>
      </c>
      <c r="I9877" s="38" t="n">
        <f aca="false">0</f>
        <v>0</v>
      </c>
      <c r="J9877" s="38" t="n">
        <f aca="false">0</f>
        <v>0</v>
      </c>
      <c r="K9877" s="38" t="n">
        <f aca="false">0</f>
        <v>0</v>
      </c>
      <c r="L9877" s="38" t="n">
        <f aca="false">0</f>
        <v>0</v>
      </c>
      <c r="M9877" s="38" t="n">
        <f aca="false">0</f>
        <v>0</v>
      </c>
      <c r="P9877" s="8" t="s">
        <v>791</v>
      </c>
    </row>
    <row r="9878" customFormat="false" ht="15" hidden="false" customHeight="false" outlineLevel="0" collapsed="false">
      <c r="A9878" s="3" t="s">
        <v>792</v>
      </c>
      <c r="B9878" s="8" t="s">
        <v>86</v>
      </c>
      <c r="C9878" s="38" t="n">
        <f aca="false">Sens!$C$9875-Sens!$C$9876</f>
        <v>36.176</v>
      </c>
      <c r="D9878" s="38" t="n">
        <f aca="false">Sens!$D$9875-Sens!$D$9876</f>
        <v>9.63700000000002</v>
      </c>
      <c r="E9878" s="38" t="n">
        <f aca="false">Sens!$E$9875-Sens!$E$9876</f>
        <v>-25.691</v>
      </c>
      <c r="F9878" s="38" t="n">
        <f aca="false">Sens!$F$9875-Sens!$F$9876</f>
        <v>-40.6834130116072</v>
      </c>
      <c r="G9878" s="38" t="n">
        <f aca="false">Sens!$G$9875-Sens!$G$9876</f>
        <v>-66.3744130116072</v>
      </c>
      <c r="H9878" s="38" t="n">
        <f aca="false">Sens!$H$9875-Sens!$H$9876</f>
        <v>-53.9928646435014</v>
      </c>
      <c r="I9878" s="38" t="n">
        <f aca="false">Sens!$I$9875-Sens!$I$9876</f>
        <v>-15.5451348078424</v>
      </c>
      <c r="J9878" s="38" t="n">
        <f aca="false">Sens!$J$9875-Sens!$J$9876</f>
        <v>24.754490675283</v>
      </c>
      <c r="K9878" s="38" t="n">
        <f aca="false">Sens!$K$9875-Sens!$K$9876</f>
        <v>121.351913203336</v>
      </c>
      <c r="L9878" s="38" t="n">
        <f aca="false">Sens!$L$9875-Sens!$L$9876</f>
        <v>179.827806639524</v>
      </c>
      <c r="M9878" s="38" t="n">
        <f aca="false">Sens!$M$9875-Sens!$M$9876</f>
        <v>208.6661428466</v>
      </c>
    </row>
    <row r="9879" customFormat="false" ht="17.15" hidden="false" customHeight="false" outlineLevel="0" collapsed="false">
      <c r="A9879" s="5" t="s">
        <v>793</v>
      </c>
      <c r="B9879" s="0" t="s">
        <v>86</v>
      </c>
      <c r="E9879" s="38" t="n">
        <f aca="false">Q!$P$53</f>
        <v>39.767</v>
      </c>
      <c r="F9879" s="38" t="n">
        <f aca="false">inv_2h26</f>
        <v>21.3</v>
      </c>
      <c r="G9879" s="38" t="n">
        <f aca="false">Sens!$E$9879+Sens!$F$9879</f>
        <v>61.067</v>
      </c>
      <c r="H9879" s="39" t="n">
        <v>0</v>
      </c>
      <c r="I9879" s="39" t="n">
        <v>0</v>
      </c>
      <c r="J9879" s="39" t="n">
        <v>0</v>
      </c>
      <c r="K9879" s="39" t="n">
        <v>0</v>
      </c>
      <c r="L9879" s="39" t="n">
        <v>0</v>
      </c>
      <c r="M9879" s="39" t="n">
        <v>0</v>
      </c>
    </row>
    <row r="9880" customFormat="false" ht="17.15" hidden="false" customHeight="false" outlineLevel="0" collapsed="false">
      <c r="A9880" s="5" t="s">
        <v>794</v>
      </c>
      <c r="B9880" s="0" t="s">
        <v>86</v>
      </c>
      <c r="F9880" s="38" t="n">
        <f aca="false">iss_2h26</f>
        <v>29.249999</v>
      </c>
      <c r="G9880" s="38" t="n">
        <f aca="false">Sens!$F$9880</f>
        <v>29.249999</v>
      </c>
      <c r="H9880" s="39" t="n">
        <v>0</v>
      </c>
      <c r="I9880" s="39" t="n">
        <v>0</v>
      </c>
      <c r="J9880" s="39" t="n">
        <v>0</v>
      </c>
      <c r="K9880" s="39" t="n">
        <v>0</v>
      </c>
      <c r="L9880" s="39" t="n">
        <v>0</v>
      </c>
      <c r="M9880" s="39" t="n">
        <v>0</v>
      </c>
    </row>
    <row r="9881" customFormat="false" ht="17.15" hidden="false" customHeight="false" outlineLevel="0" collapsed="false">
      <c r="A9881" s="5" t="s">
        <v>795</v>
      </c>
      <c r="B9881" s="0" t="s">
        <v>86</v>
      </c>
      <c r="F9881" s="38" t="n">
        <f aca="false">cash_q2</f>
        <v>122.988</v>
      </c>
      <c r="G9881" s="38" t="n">
        <f aca="false">cash_q2</f>
        <v>122.988</v>
      </c>
      <c r="H9881" s="38" t="n">
        <f aca="false">Sens!$G$9884</f>
        <v>90.2545859883928</v>
      </c>
      <c r="I9881" s="38" t="n">
        <f aca="false">Sens!$H$9884</f>
        <v>50</v>
      </c>
      <c r="J9881" s="38" t="n">
        <f aca="false">Sens!$I$9884</f>
        <v>50</v>
      </c>
      <c r="K9881" s="38" t="n">
        <f aca="false">Sens!$J$9884</f>
        <v>74.7544906752831</v>
      </c>
      <c r="L9881" s="38" t="n">
        <f aca="false">Sens!$K$9884</f>
        <v>196.106403878619</v>
      </c>
      <c r="M9881" s="38" t="n">
        <f aca="false">Sens!$L$9884</f>
        <v>375.934210518143</v>
      </c>
    </row>
    <row r="9882" customFormat="false" ht="15" hidden="false" customHeight="false" outlineLevel="0" collapsed="false">
      <c r="A9882" s="5" t="s">
        <v>796</v>
      </c>
      <c r="B9882" s="0" t="s">
        <v>86</v>
      </c>
      <c r="F9882" s="38" t="n">
        <f aca="false">Sens!$F$9881+Sens!$F$9878-Sens!$F$9877-Sens!$F$9879+Sens!$F$9880</f>
        <v>90.2545859883928</v>
      </c>
      <c r="H9882" s="38" t="n">
        <f aca="false">Sens!$H$9881+Sens!$H$9878-Sens!$H$9877-Sens!$H$9879+Sens!$H$9880</f>
        <v>36.2617213448915</v>
      </c>
      <c r="I9882" s="38" t="n">
        <f aca="false">Sens!$I$9881+Sens!$I$9878-Sens!$I$9877-Sens!$I$9879+Sens!$I$9880</f>
        <v>34.4548651921577</v>
      </c>
      <c r="J9882" s="38" t="n">
        <f aca="false">Sens!$J$9881+Sens!$J$9878-Sens!$J$9877-Sens!$J$9879+Sens!$J$9880</f>
        <v>74.7544906752831</v>
      </c>
      <c r="K9882" s="38" t="n">
        <f aca="false">Sens!$K$9881+Sens!$K$9878-Sens!$K$9877-Sens!$K$9879+Sens!$K$9880</f>
        <v>196.106403878619</v>
      </c>
      <c r="L9882" s="38" t="n">
        <f aca="false">Sens!$L$9881+Sens!$L$9878-Sens!$L$9877-Sens!$L$9879+Sens!$L$9880</f>
        <v>375.934210518143</v>
      </c>
      <c r="M9882" s="38" t="n">
        <f aca="false">Sens!$M$9881+Sens!$M$9878-Sens!$M$9877-Sens!$M$9879+Sens!$M$9880</f>
        <v>584.600353364743</v>
      </c>
    </row>
    <row r="9883" customFormat="false" ht="17.15" hidden="false" customHeight="false" outlineLevel="0" collapsed="false">
      <c r="A9883" s="5" t="s">
        <v>797</v>
      </c>
      <c r="B9883" s="0" t="s">
        <v>86</v>
      </c>
      <c r="F9883" s="38" t="n">
        <f aca="false">MAX(0,min_cash-Sens!$F$9882)</f>
        <v>0</v>
      </c>
      <c r="G9883" s="38" t="n">
        <f aca="false">Sens!$F$9883</f>
        <v>0</v>
      </c>
      <c r="H9883" s="38" t="n">
        <f aca="false">MAX(0,min_cash-Sens!$H$9882)</f>
        <v>13.7382786551085</v>
      </c>
      <c r="I9883" s="38" t="n">
        <f aca="false">MAX(0,min_cash-Sens!$I$9882)</f>
        <v>15.5451348078424</v>
      </c>
      <c r="J9883" s="38" t="n">
        <f aca="false">MAX(0,min_cash-Sens!$J$9882)</f>
        <v>0</v>
      </c>
      <c r="K9883" s="38" t="n">
        <f aca="false">MAX(0,min_cash-Sens!$K$9882)</f>
        <v>0</v>
      </c>
      <c r="L9883" s="38" t="n">
        <f aca="false">MAX(0,min_cash-Sens!$L$9882)</f>
        <v>0</v>
      </c>
      <c r="M9883" s="38" t="n">
        <f aca="false">MAX(0,min_cash-Sens!$M$9882)</f>
        <v>0</v>
      </c>
      <c r="P9883" s="5" t="s">
        <v>798</v>
      </c>
    </row>
    <row r="9884" customFormat="false" ht="15" hidden="false" customHeight="false" outlineLevel="0" collapsed="false">
      <c r="A9884" s="5" t="s">
        <v>799</v>
      </c>
      <c r="B9884" s="0" t="s">
        <v>86</v>
      </c>
      <c r="D9884" s="38" t="n">
        <f aca="false">Q!$E$61</f>
        <v>123.029</v>
      </c>
      <c r="E9884" s="38" t="n">
        <f aca="false">Q!$M$61</f>
        <v>122.988</v>
      </c>
      <c r="F9884" s="38" t="n">
        <f aca="false">Sens!$F$9882+Sens!$F$9883</f>
        <v>90.2545859883928</v>
      </c>
      <c r="G9884" s="38" t="n">
        <f aca="false">Sens!$F$9884</f>
        <v>90.2545859883928</v>
      </c>
      <c r="H9884" s="38" t="n">
        <f aca="false">Sens!$H$9882+Sens!$H$9883</f>
        <v>50</v>
      </c>
      <c r="I9884" s="38" t="n">
        <f aca="false">Sens!$I$9882+Sens!$I$9883</f>
        <v>50</v>
      </c>
      <c r="J9884" s="38" t="n">
        <f aca="false">Sens!$J$9882+Sens!$J$9883</f>
        <v>74.7544906752831</v>
      </c>
      <c r="K9884" s="38" t="n">
        <f aca="false">Sens!$K$9882+Sens!$K$9883</f>
        <v>196.106403878619</v>
      </c>
      <c r="L9884" s="38" t="n">
        <f aca="false">Sens!$L$9882+Sens!$L$9883</f>
        <v>375.934210518143</v>
      </c>
      <c r="M9884" s="38" t="n">
        <f aca="false">Sens!$M$9882+Sens!$M$9883</f>
        <v>584.600353364743</v>
      </c>
    </row>
    <row r="9885" customFormat="false" ht="15" hidden="false" customHeight="false" outlineLevel="0" collapsed="false">
      <c r="A9885" s="5" t="s">
        <v>800</v>
      </c>
      <c r="B9885" s="0" t="s">
        <v>86</v>
      </c>
      <c r="D9885" s="38" t="n">
        <f aca="false">Q!$E$62</f>
        <v>68.836</v>
      </c>
      <c r="E9885" s="38" t="n">
        <f aca="false">Q!$M$62</f>
        <v>132.995</v>
      </c>
      <c r="F9885" s="38" t="n">
        <f aca="false">debt_q2+Sens!$F$9880+Sens!$F$9883</f>
        <v>162.244999</v>
      </c>
      <c r="G9885" s="38" t="n">
        <f aca="false">Sens!$F$9885</f>
        <v>162.244999</v>
      </c>
      <c r="H9885" s="38" t="n">
        <f aca="false">Sens!$G$9885+Sens!$H$9883</f>
        <v>175.983277655109</v>
      </c>
      <c r="I9885" s="38" t="n">
        <f aca="false">Sens!$H$9885+Sens!$I$9883</f>
        <v>191.528412462951</v>
      </c>
      <c r="J9885" s="38" t="n">
        <f aca="false">Sens!$I$9885+Sens!$J$9883</f>
        <v>191.528412462951</v>
      </c>
      <c r="K9885" s="38" t="n">
        <f aca="false">Sens!$J$9885+Sens!$K$9883</f>
        <v>191.528412462951</v>
      </c>
      <c r="L9885" s="38" t="n">
        <f aca="false">Sens!$K$9885+Sens!$L$9883</f>
        <v>191.528412462951</v>
      </c>
      <c r="M9885" s="38" t="n">
        <f aca="false">Sens!$L$9885+Sens!$M$9883</f>
        <v>191.528412462951</v>
      </c>
    </row>
    <row r="9886" customFormat="false" ht="15" hidden="false" customHeight="false" outlineLevel="0" collapsed="false">
      <c r="A9886" s="5" t="s">
        <v>801</v>
      </c>
      <c r="B9886" s="0" t="s">
        <v>86</v>
      </c>
      <c r="D9886" s="38" t="n">
        <f aca="false">Sens!$D$9885-Sens!$D$9884</f>
        <v>-54.193</v>
      </c>
      <c r="E9886" s="38" t="n">
        <f aca="false">Sens!$E$9885-Sens!$E$9884</f>
        <v>10.007</v>
      </c>
      <c r="F9886" s="38" t="n">
        <f aca="false">Sens!$F$9885-Sens!$F$9884</f>
        <v>71.9904130116072</v>
      </c>
      <c r="G9886" s="38" t="n">
        <f aca="false">Sens!$G$9885-Sens!$G$9884</f>
        <v>71.9904130116072</v>
      </c>
      <c r="H9886" s="38" t="n">
        <f aca="false">Sens!$H$9885-Sens!$H$9884</f>
        <v>125.983277655109</v>
      </c>
      <c r="I9886" s="38" t="n">
        <f aca="false">Sens!$I$9885-Sens!$I$9884</f>
        <v>141.528412462951</v>
      </c>
      <c r="J9886" s="38" t="n">
        <f aca="false">Sens!$J$9885-Sens!$J$9884</f>
        <v>116.773921787668</v>
      </c>
      <c r="K9886" s="38" t="n">
        <f aca="false">Sens!$K$9885-Sens!$K$9884</f>
        <v>-4.57799141566841</v>
      </c>
      <c r="L9886" s="38" t="n">
        <f aca="false">Sens!$L$9885-Sens!$L$9884</f>
        <v>-184.405798055192</v>
      </c>
      <c r="M9886" s="38" t="n">
        <f aca="false">Sens!$M$9885-Sens!$M$9884</f>
        <v>-393.071940901792</v>
      </c>
    </row>
    <row r="9887" customFormat="false" ht="17.15" hidden="false" customHeight="false" outlineLevel="0" collapsed="false">
      <c r="A9887" s="5" t="s">
        <v>802</v>
      </c>
      <c r="B9887" s="0" t="s">
        <v>86</v>
      </c>
      <c r="F9887" s="38" t="n">
        <f aca="false">debt_q2*kd_book*0.5+iss_2h26*kd_new*iss_t</f>
        <v>3.24888962733561</v>
      </c>
      <c r="H9887" s="38" t="n">
        <f aca="false">debt_q2*kd_book+(Sens!$G$9885-debt_q2)*kd_new</f>
        <v>7.42354172302123</v>
      </c>
      <c r="I9887" s="38" t="n">
        <f aca="false">debt_q2*kd_book+(Sens!$H$9885-debt_q2)*kd_new</f>
        <v>8.2931747618896</v>
      </c>
      <c r="J9887" s="38" t="n">
        <f aca="false">debt_q2*kd_book+(Sens!$I$9885-debt_q2)*kd_new</f>
        <v>9.27718179522602</v>
      </c>
      <c r="K9887" s="38" t="n">
        <f aca="false">debt_q2*kd_book+(Sens!$J$9885-debt_q2)*kd_new</f>
        <v>9.27718179522602</v>
      </c>
      <c r="L9887" s="38" t="n">
        <f aca="false">debt_q2*kd_book+(Sens!$K$9885-debt_q2)*kd_new</f>
        <v>9.27718179522602</v>
      </c>
      <c r="M9887" s="38" t="n">
        <f aca="false">debt_q2*kd_book+(Sens!$L$9885-debt_q2)*kd_new</f>
        <v>9.27718179522602</v>
      </c>
    </row>
    <row r="9888" customFormat="false" ht="17.15" hidden="false" customHeight="false" outlineLevel="0" collapsed="false">
      <c r="A9888" s="5" t="s">
        <v>803</v>
      </c>
      <c r="B9888" s="0" t="s">
        <v>86</v>
      </c>
      <c r="F9888" s="38" t="n">
        <f aca="false">cash_q2*y_cash*0.5</f>
        <v>2.59</v>
      </c>
      <c r="H9888" s="38" t="n">
        <f aca="false">Sens!$G$9884*y_cash</f>
        <v>3.80133635330174</v>
      </c>
      <c r="I9888" s="38" t="n">
        <f aca="false">Sens!$H$9884*y_cash</f>
        <v>2.10589651022864</v>
      </c>
      <c r="J9888" s="38" t="n">
        <f aca="false">Sens!$I$9884*y_cash</f>
        <v>2.10589651022864</v>
      </c>
      <c r="K9888" s="38" t="n">
        <f aca="false">Sens!$J$9884*y_cash</f>
        <v>3.14850442073996</v>
      </c>
      <c r="L9888" s="38" t="n">
        <f aca="false">Sens!$K$9884*y_cash</f>
        <v>8.25959583122945</v>
      </c>
      <c r="M9888" s="38" t="n">
        <f aca="false">Sens!$L$9884*y_cash</f>
        <v>15.8335708401143</v>
      </c>
    </row>
    <row r="9889" customFormat="false" ht="17.15" hidden="false" customHeight="false" outlineLevel="0" collapsed="false">
      <c r="A9889" s="47" t="s">
        <v>804</v>
      </c>
      <c r="B9889" s="14" t="s">
        <v>86</v>
      </c>
      <c r="C9889" s="14"/>
      <c r="D9889" s="14"/>
      <c r="E9889" s="14"/>
      <c r="F9889" s="14"/>
      <c r="G9889" s="48" t="n">
        <f aca="false">SUM(Sens!$G$9878:$K$9878)</f>
        <v>10.1939914156684</v>
      </c>
      <c r="H9889" s="14"/>
      <c r="I9889" s="14"/>
      <c r="J9889" s="14"/>
      <c r="K9889" s="14"/>
      <c r="L9889" s="14"/>
      <c r="M9889" s="14"/>
      <c r="N9889" s="14"/>
      <c r="O9889" s="14"/>
    </row>
    <row r="9890" customFormat="false" ht="17.15" hidden="false" customHeight="false" outlineLevel="0" collapsed="false">
      <c r="A9890" s="0" t="s">
        <v>770</v>
      </c>
      <c r="B9890" s="0" t="s">
        <v>86</v>
      </c>
      <c r="G9890" s="38" t="n">
        <f aca="false">SUM(Sens!$G$9883:$K$9883)</f>
        <v>29.2834134629509</v>
      </c>
    </row>
    <row r="9891" customFormat="false" ht="17.15" hidden="false" customHeight="false" outlineLevel="0" collapsed="false">
      <c r="A9891" s="24" t="s">
        <v>807</v>
      </c>
      <c r="B9891" s="25" t="s">
        <v>86</v>
      </c>
      <c r="C9891" s="25"/>
      <c r="D9891" s="25"/>
      <c r="E9891" s="25"/>
      <c r="F9891" s="25"/>
      <c r="G9891" s="41" t="n">
        <f aca="false">Sens!$G$9889-(Sens!$G$9878+Sens!$H$9878+Sens!$I$9878+Sens!$J$9878+Sens!$K$9878)</f>
        <v>0</v>
      </c>
      <c r="H9891" s="25"/>
      <c r="I9891" s="25"/>
      <c r="J9891" s="25"/>
      <c r="K9891" s="25"/>
      <c r="L9891" s="25"/>
      <c r="M9891" s="25"/>
      <c r="N9891" s="25"/>
      <c r="O9891" s="25"/>
    </row>
    <row r="9894" customFormat="false" ht="19.4" hidden="false" customHeight="false" outlineLevel="0" collapsed="false">
      <c r="A9894" s="31" t="s">
        <v>1331</v>
      </c>
    </row>
    <row r="9895" customFormat="false" ht="17.15" hidden="false" customHeight="false" outlineLevel="0" collapsed="false">
      <c r="A9895" s="6" t="s">
        <v>16</v>
      </c>
      <c r="B9895" s="6" t="s">
        <v>17</v>
      </c>
      <c r="C9895" s="20" t="s">
        <v>494</v>
      </c>
      <c r="D9895" s="20" t="s">
        <v>495</v>
      </c>
      <c r="E9895" s="20" t="s">
        <v>577</v>
      </c>
      <c r="F9895" s="20" t="s">
        <v>578</v>
      </c>
      <c r="G9895" s="20" t="s">
        <v>579</v>
      </c>
      <c r="H9895" s="20" t="s">
        <v>580</v>
      </c>
      <c r="I9895" s="20" t="s">
        <v>581</v>
      </c>
      <c r="J9895" s="20" t="s">
        <v>582</v>
      </c>
      <c r="K9895" s="20" t="s">
        <v>583</v>
      </c>
      <c r="L9895" s="20" t="s">
        <v>584</v>
      </c>
      <c r="M9895" s="20" t="s">
        <v>585</v>
      </c>
      <c r="N9895" s="20" t="s">
        <v>586</v>
      </c>
      <c r="O9895" s="20" t="s">
        <v>587</v>
      </c>
      <c r="P9895" s="6" t="s">
        <v>23</v>
      </c>
      <c r="R9895" s="20" t="n">
        <v>2023</v>
      </c>
      <c r="S9895" s="20" t="n">
        <v>2024</v>
      </c>
      <c r="T9895" s="20" t="n">
        <v>2025</v>
      </c>
      <c r="U9895" s="20" t="n">
        <v>2026</v>
      </c>
      <c r="V9895" s="20" t="n">
        <v>2027</v>
      </c>
      <c r="W9895" s="20" t="n">
        <v>2028</v>
      </c>
      <c r="X9895" s="20" t="n">
        <v>2029</v>
      </c>
      <c r="Y9895" s="20" t="n">
        <v>2030</v>
      </c>
      <c r="Z9895" s="20" t="n">
        <v>2031</v>
      </c>
      <c r="AA9895" s="20" t="n">
        <v>2032</v>
      </c>
    </row>
    <row r="9896" customFormat="false" ht="17.15" hidden="false" customHeight="false" outlineLevel="0" collapsed="false">
      <c r="A9896" s="1" t="s">
        <v>909</v>
      </c>
    </row>
    <row r="9897" customFormat="false" ht="17.15" hidden="false" customHeight="false" outlineLevel="0" collapsed="false">
      <c r="A9897" s="0" t="s">
        <v>910</v>
      </c>
      <c r="B9897" s="0" t="s">
        <v>86</v>
      </c>
      <c r="H9897" s="38" t="n">
        <f aca="false">Sens!$H$9831*(1-tax)</f>
        <v>117.433243423729</v>
      </c>
      <c r="I9897" s="38" t="n">
        <f aca="false">Sens!$I$9831*(1-tax)</f>
        <v>142.829109667048</v>
      </c>
      <c r="J9897" s="38" t="n">
        <f aca="false">Sens!$J$9831*(1-tax)</f>
        <v>166.999275189185</v>
      </c>
      <c r="K9897" s="38" t="n">
        <f aca="false">Sens!$K$9831*(1-tax)</f>
        <v>184.249088119477</v>
      </c>
      <c r="L9897" s="38" t="n">
        <f aca="false">Sens!$L$9831*(1-tax)</f>
        <v>199.752821326616</v>
      </c>
      <c r="M9897" s="38" t="n">
        <f aca="false">Sens!$M$9831*(1-tax)</f>
        <v>212.59629763103</v>
      </c>
    </row>
    <row r="9898" customFormat="false" ht="15" hidden="false" customHeight="false" outlineLevel="0" collapsed="false">
      <c r="A9898" s="5" t="s">
        <v>911</v>
      </c>
      <c r="B9898" s="0" t="s">
        <v>86</v>
      </c>
      <c r="H9898" s="38" t="n">
        <f aca="false">Sens!$H$9842</f>
        <v>84.3163410985152</v>
      </c>
      <c r="I9898" s="38" t="n">
        <f aca="false">Sens!$I$9842</f>
        <v>117.040344991004</v>
      </c>
      <c r="J9898" s="38" t="n">
        <f aca="false">Sens!$J$9842</f>
        <v>150.498981474685</v>
      </c>
      <c r="K9898" s="38" t="n">
        <f aca="false">Sens!$K$9842</f>
        <v>184.188121970284</v>
      </c>
      <c r="L9898" s="38" t="n">
        <f aca="false">Sens!$L$9842</f>
        <v>207.768718060808</v>
      </c>
      <c r="M9898" s="38" t="n">
        <f aca="false">Sens!$M$9842</f>
        <v>224.003934647752</v>
      </c>
    </row>
    <row r="9899" customFormat="false" ht="15" hidden="false" customHeight="false" outlineLevel="0" collapsed="false">
      <c r="A9899" s="5" t="s">
        <v>912</v>
      </c>
      <c r="B9899" s="0" t="s">
        <v>86</v>
      </c>
      <c r="H9899" s="38" t="n">
        <f aca="false">Sens!$H$9873</f>
        <v>273.372679834898</v>
      </c>
      <c r="I9899" s="38" t="n">
        <f aca="false">Sens!$I$9873</f>
        <v>286.981812228425</v>
      </c>
      <c r="J9899" s="38" t="n">
        <f aca="false">Sens!$J$9873</f>
        <v>299.316513378366</v>
      </c>
      <c r="K9899" s="38" t="n">
        <f aca="false">Sens!$K$9873</f>
        <v>251.057145512292</v>
      </c>
      <c r="L9899" s="38" t="n">
        <f aca="false">Sens!$L$9873</f>
        <v>234.696330860396</v>
      </c>
      <c r="M9899" s="38" t="n">
        <f aca="false">Sens!$M$9873</f>
        <v>242.291696043352</v>
      </c>
    </row>
    <row r="9900" customFormat="false" ht="15" hidden="false" customHeight="false" outlineLevel="0" collapsed="false">
      <c r="A9900" s="5" t="s">
        <v>913</v>
      </c>
      <c r="B9900" s="0" t="s">
        <v>86</v>
      </c>
      <c r="H9900" s="38" t="n">
        <f aca="false">Sens!$H$9874</f>
        <v>1.6</v>
      </c>
      <c r="I9900" s="38" t="n">
        <f aca="false">Sens!$I$9874</f>
        <v>1.6</v>
      </c>
      <c r="J9900" s="38" t="n">
        <f aca="false">Sens!$J$9874</f>
        <v>1.6</v>
      </c>
      <c r="K9900" s="38" t="n">
        <f aca="false">Sens!$K$9874</f>
        <v>1.6</v>
      </c>
      <c r="L9900" s="38" t="n">
        <f aca="false">Sens!$L$9874</f>
        <v>1.6</v>
      </c>
      <c r="M9900" s="38" t="n">
        <f aca="false">Sens!$M$9874</f>
        <v>1.6</v>
      </c>
    </row>
    <row r="9901" customFormat="false" ht="15" hidden="false" customHeight="false" outlineLevel="0" collapsed="false">
      <c r="A9901" s="5" t="s">
        <v>914</v>
      </c>
      <c r="B9901" s="0" t="s">
        <v>86</v>
      </c>
      <c r="H9901" s="38" t="n">
        <f aca="false">Sens!$H$9868</f>
        <v>11.2928295263397</v>
      </c>
      <c r="I9901" s="38" t="n">
        <f aca="false">Sens!$I$9868</f>
        <v>12.8091546115766</v>
      </c>
      <c r="J9901" s="38" t="n">
        <f aca="false">Sens!$J$9868</f>
        <v>14.2605653162668</v>
      </c>
      <c r="K9901" s="38" t="n">
        <f aca="false">Sens!$K$9868</f>
        <v>15.5327622460396</v>
      </c>
      <c r="L9901" s="38" t="n">
        <f aca="false">Sens!$L$9868</f>
        <v>16.720573737517</v>
      </c>
      <c r="M9901" s="38" t="n">
        <f aca="false">Sens!$M$9868</f>
        <v>17.8283127551536</v>
      </c>
    </row>
    <row r="9902" customFormat="false" ht="17.15" hidden="false" customHeight="false" outlineLevel="0" collapsed="false">
      <c r="A9902" s="1" t="s">
        <v>915</v>
      </c>
      <c r="B9902" s="8" t="s">
        <v>86</v>
      </c>
      <c r="H9902" s="38" t="n">
        <f aca="false">Sens!$H$9897+Sens!$H$9898-Sens!$H$9899-Sens!$H$9900+Sens!$H$9901</f>
        <v>-61.930265786314</v>
      </c>
      <c r="I9902" s="38" t="n">
        <f aca="false">Sens!$I$9897+Sens!$I$9898-Sens!$I$9899-Sens!$I$9900+Sens!$I$9901</f>
        <v>-15.9032029587969</v>
      </c>
      <c r="J9902" s="38" t="n">
        <f aca="false">Sens!$J$9897+Sens!$J$9898-Sens!$J$9899-Sens!$J$9900+Sens!$J$9901</f>
        <v>30.8423086017711</v>
      </c>
      <c r="K9902" s="38" t="n">
        <f aca="false">Sens!$K$9897+Sens!$K$9898-Sens!$K$9899-Sens!$K$9900+Sens!$K$9901</f>
        <v>131.312826823508</v>
      </c>
      <c r="L9902" s="38" t="n">
        <f aca="false">Sens!$L$9897+Sens!$L$9898-Sens!$L$9899-Sens!$L$9900+Sens!$L$9901</f>
        <v>187.945782264545</v>
      </c>
      <c r="M9902" s="38" t="n">
        <f aca="false">Sens!$M$9897+Sens!$M$9898-Sens!$M$9899-Sens!$M$9900+Sens!$M$9901</f>
        <v>210.536848990583</v>
      </c>
    </row>
    <row r="9903" customFormat="false" ht="15" hidden="false" customHeight="false" outlineLevel="0" collapsed="false">
      <c r="A9903" s="5" t="s">
        <v>916</v>
      </c>
      <c r="B9903" s="0" t="s">
        <v>57</v>
      </c>
      <c r="H9903" s="40" t="n">
        <f aca="false">1/(1+(wacc+0.01))^(2027-2026-0.5)</f>
        <v>0.943523276903728</v>
      </c>
      <c r="I9903" s="40" t="n">
        <f aca="false">1/(1+(wacc+0.01))^(2028-2026-0.5)</f>
        <v>0.839958552166526</v>
      </c>
      <c r="J9903" s="40" t="n">
        <f aca="false">1/(1+(wacc+0.01))^(2029-2026-0.5)</f>
        <v>0.747761487848991</v>
      </c>
      <c r="K9903" s="40" t="n">
        <f aca="false">1/(1+(wacc+0.01))^(2030-2026-0.5)</f>
        <v>0.665684326051463</v>
      </c>
      <c r="L9903" s="40" t="n">
        <f aca="false">1/(1+(wacc+0.01))^(2031-2026-0.5)</f>
        <v>0.592616267555198</v>
      </c>
      <c r="M9903" s="40" t="n">
        <f aca="false">1/(1+(wacc+0.01))^(2032-2026-0.5)</f>
        <v>0.527568438713552</v>
      </c>
    </row>
    <row r="9904" customFormat="false" ht="15" hidden="false" customHeight="false" outlineLevel="0" collapsed="false">
      <c r="A9904" s="5" t="s">
        <v>917</v>
      </c>
      <c r="B9904" s="0" t="s">
        <v>86</v>
      </c>
      <c r="H9904" s="38" t="n">
        <f aca="false">Sens!$H$9902*Sens!$H$9903</f>
        <v>-58.4326473142218</v>
      </c>
      <c r="I9904" s="38" t="n">
        <f aca="false">Sens!$I$9902*Sens!$I$9903</f>
        <v>-13.3580313320814</v>
      </c>
      <c r="J9904" s="38" t="n">
        <f aca="false">Sens!$J$9902*Sens!$J$9903</f>
        <v>23.0626905687581</v>
      </c>
      <c r="K9904" s="38" t="n">
        <f aca="false">Sens!$K$9902*Sens!$K$9903</f>
        <v>87.4128906259191</v>
      </c>
      <c r="L9904" s="38" t="n">
        <f aca="false">Sens!$L$9902*Sens!$L$9903</f>
        <v>111.379727988357</v>
      </c>
      <c r="M9904" s="38" t="n">
        <f aca="false">Sens!$M$9902*Sens!$M$9903</f>
        <v>111.072596713633</v>
      </c>
    </row>
    <row r="9905" customFormat="false" ht="15" hidden="false" customHeight="false" outlineLevel="0" collapsed="false">
      <c r="A9905" s="5" t="s">
        <v>918</v>
      </c>
      <c r="B9905" s="0" t="s">
        <v>86</v>
      </c>
      <c r="C9905" s="38" t="n">
        <f aca="false">SUM(Sens!$H$9904:$M$9904)</f>
        <v>261.137227250363</v>
      </c>
    </row>
    <row r="9906" customFormat="false" ht="17.15" hidden="false" customHeight="false" outlineLevel="0" collapsed="false">
      <c r="A9906" s="5" t="s">
        <v>919</v>
      </c>
      <c r="B9906" s="0" t="s">
        <v>86</v>
      </c>
      <c r="C9906" s="38" t="n">
        <f aca="false">Sens!$M$9897*(1+tg)*(1-tg/ronic)/((wacc+0.01)-tg)</f>
        <v>1725.57884652593</v>
      </c>
    </row>
    <row r="9907" customFormat="false" ht="15" hidden="false" customHeight="false" outlineLevel="0" collapsed="false">
      <c r="A9907" s="5" t="s">
        <v>920</v>
      </c>
      <c r="B9907" s="0" t="s">
        <v>86</v>
      </c>
      <c r="C9907" s="38" t="n">
        <f aca="false">Sens!$C$9906/(1+(wacc+0.01))^6</f>
        <v>858.946735329182</v>
      </c>
    </row>
    <row r="9908" customFormat="false" ht="17.15" hidden="false" customHeight="false" outlineLevel="0" collapsed="false">
      <c r="A9908" s="5" t="s">
        <v>921</v>
      </c>
      <c r="B9908" s="0" t="s">
        <v>86</v>
      </c>
      <c r="C9908" s="38" t="n">
        <f aca="false">Sens!$C$9905+Sens!$C$9907</f>
        <v>1120.08396257955</v>
      </c>
    </row>
    <row r="9909" customFormat="false" ht="17.15" hidden="false" customHeight="false" outlineLevel="0" collapsed="false">
      <c r="A9909" s="5" t="s">
        <v>922</v>
      </c>
      <c r="B9909" s="0" t="s">
        <v>52</v>
      </c>
      <c r="C9909" s="13" t="n">
        <f aca="false">Sens!$C$9907/Sens!$C$9908</f>
        <v>0.766859239151174</v>
      </c>
    </row>
    <row r="9910" customFormat="false" ht="17.15" hidden="false" customHeight="false" outlineLevel="0" collapsed="false">
      <c r="A9910" s="5" t="s">
        <v>923</v>
      </c>
      <c r="B9910" s="0" t="s">
        <v>86</v>
      </c>
      <c r="C9910" s="38" t="n">
        <f aca="false">Sens!$G$9886+fin_debt</f>
        <v>96.5114130116072</v>
      </c>
    </row>
    <row r="9911" customFormat="false" ht="17.15" hidden="false" customHeight="false" outlineLevel="0" collapsed="false">
      <c r="A9911" s="5" t="s">
        <v>924</v>
      </c>
      <c r="B9911" s="0" t="s">
        <v>86</v>
      </c>
      <c r="C9911" s="38" t="n">
        <f aca="false">(ant_val*ant_sh+oai_val*oai_sh)*(1-liq_disc)</f>
        <v>178.944</v>
      </c>
    </row>
    <row r="9912" customFormat="false" ht="15" hidden="false" customHeight="false" outlineLevel="0" collapsed="false">
      <c r="A9912" s="5" t="s">
        <v>925</v>
      </c>
      <c r="B9912" s="0" t="s">
        <v>86</v>
      </c>
      <c r="C9912" s="38" t="n">
        <f aca="false">Sens!$C$9908-Sens!$C$9910+Sens!$C$9911</f>
        <v>1202.51654956794</v>
      </c>
    </row>
    <row r="9913" customFormat="false" ht="17.15" hidden="false" customHeight="false" outlineLevel="0" collapsed="false">
      <c r="A9913" s="5" t="s">
        <v>926</v>
      </c>
      <c r="B9913" s="0" t="s">
        <v>27</v>
      </c>
      <c r="C9913" s="30" t="n">
        <f aca="false">Sens!$C$9912/sh_out</f>
        <v>111.485401738531</v>
      </c>
    </row>
    <row r="9914" customFormat="false" ht="17.15" hidden="false" customHeight="false" outlineLevel="0" collapsed="false">
      <c r="A9914" s="1" t="s">
        <v>927</v>
      </c>
      <c r="B9914" s="8" t="s">
        <v>27</v>
      </c>
      <c r="C9914" s="30" t="n">
        <f aca="false">Sens!$C$9913*(1+ke)^tp_yf-dps*tp_yf</f>
        <v>122.117635901096</v>
      </c>
    </row>
    <row r="9915" customFormat="false" ht="17.15" hidden="false" customHeight="false" outlineLevel="0" collapsed="false">
      <c r="A9915" s="3" t="s">
        <v>928</v>
      </c>
    </row>
    <row r="9916" customFormat="false" ht="17.15" hidden="false" customHeight="false" outlineLevel="0" collapsed="false">
      <c r="A9916" s="5" t="s">
        <v>929</v>
      </c>
      <c r="B9916" s="0" t="s">
        <v>86</v>
      </c>
      <c r="C9916" s="38" t="n">
        <f aca="false">(1-tp_yf)*(Sens!$H$9843+Sens!$H$9867*Sens!$H$9709/Sens!$H$9784)+tp_yf*(Sens!$I$9843+Sens!$I$9867*Sens!$I$9709/Sens!$I$9784)</f>
        <v>59.634664536349</v>
      </c>
    </row>
    <row r="9917" customFormat="false" ht="15" hidden="false" customHeight="false" outlineLevel="0" collapsed="false">
      <c r="A9917" s="5" t="s">
        <v>930</v>
      </c>
      <c r="B9917" s="0" t="s">
        <v>57</v>
      </c>
      <c r="C9917" s="30" t="n">
        <f aca="false">m_ads*m_x</f>
        <v>9.11</v>
      </c>
    </row>
    <row r="9918" customFormat="false" ht="17.15" hidden="false" customHeight="false" outlineLevel="0" collapsed="false">
      <c r="A9918" s="5" t="s">
        <v>931</v>
      </c>
      <c r="B9918" s="0" t="s">
        <v>86</v>
      </c>
      <c r="C9918" s="38" t="n">
        <f aca="false">Sens!$C$9916*Sens!$C$9917</f>
        <v>543.271793926139</v>
      </c>
    </row>
    <row r="9919" customFormat="false" ht="17.15" hidden="false" customHeight="false" outlineLevel="0" collapsed="false">
      <c r="A9919" s="5" t="s">
        <v>932</v>
      </c>
      <c r="B9919" s="0" t="s">
        <v>86</v>
      </c>
      <c r="C9919" s="38" t="n">
        <f aca="false">(1-tp_yf)*(Sens!$H$9844+Sens!$H$9867*(Sens!$H$9716-Sens!$H$9709)/Sens!$H$9784+IF(internal_ai_reading=2,1,0)*(1-ext_sh)*Sens!$H$9746)+tp_yf*(Sens!$I$9844+Sens!$I$9867*(Sens!$I$9716-Sens!$I$9709)/Sens!$I$9784+IF(internal_ai_reading=2,1,0)*(1-ext_sh)*Sens!$I$9746)</f>
        <v>51.7770728324773</v>
      </c>
    </row>
    <row r="9920" customFormat="false" ht="17.15" hidden="false" customHeight="false" outlineLevel="0" collapsed="false">
      <c r="A9920" s="5" t="s">
        <v>933</v>
      </c>
      <c r="B9920" s="0" t="s">
        <v>57</v>
      </c>
      <c r="C9920" s="30" t="n">
        <f aca="false">m_retail*m_x</f>
        <v>17.72</v>
      </c>
    </row>
    <row r="9921" customFormat="false" ht="17.15" hidden="false" customHeight="false" outlineLevel="0" collapsed="false">
      <c r="A9921" s="5" t="s">
        <v>934</v>
      </c>
      <c r="B9921" s="0" t="s">
        <v>86</v>
      </c>
      <c r="C9921" s="38" t="n">
        <f aca="false">Sens!$C$9919*Sens!$C$9920</f>
        <v>917.489730591498</v>
      </c>
    </row>
    <row r="9922" customFormat="false" ht="17.15" hidden="false" customHeight="false" outlineLevel="0" collapsed="false">
      <c r="A9922" s="0" t="s">
        <v>935</v>
      </c>
      <c r="B9922" s="0" t="s">
        <v>86</v>
      </c>
      <c r="C9922" s="38" t="n">
        <f aca="false">(1-tp_yf)*(Sens!$H$9845+Sens!$H$9867*Sens!$H$9782/Sens!$H$9784)+tp_yf*(Sens!$I$9845+Sens!$I$9867*Sens!$I$9782/Sens!$I$9784)</f>
        <v>97.3363031479074</v>
      </c>
    </row>
    <row r="9923" customFormat="false" ht="17.15" hidden="false" customHeight="false" outlineLevel="0" collapsed="false">
      <c r="A9923" s="0" t="s">
        <v>936</v>
      </c>
      <c r="B9923" s="0" t="s">
        <v>57</v>
      </c>
      <c r="C9923" s="30" t="n">
        <f aca="false">m_cloud*m_x</f>
        <v>13.82</v>
      </c>
    </row>
    <row r="9924" customFormat="false" ht="17.15" hidden="false" customHeight="false" outlineLevel="0" collapsed="false">
      <c r="A9924" s="0" t="s">
        <v>937</v>
      </c>
      <c r="B9924" s="0" t="s">
        <v>86</v>
      </c>
      <c r="C9924" s="38" t="n">
        <f aca="false">Sens!$C$9922*Sens!$C$9923</f>
        <v>1345.18770950408</v>
      </c>
    </row>
    <row r="9925" customFormat="false" ht="17.15" hidden="false" customHeight="false" outlineLevel="0" collapsed="false">
      <c r="A9925" s="0" t="s">
        <v>938</v>
      </c>
      <c r="B9925" s="0" t="s">
        <v>86</v>
      </c>
      <c r="H9925" s="38" t="n">
        <f aca="false">Sens!$H$9763-tax*Sens!$H$9764-ext_sh*Sens!$H$9753</f>
        <v>-114.686944664267</v>
      </c>
      <c r="I9925" s="38" t="n">
        <f aca="false">Sens!$I$9763-tax*Sens!$I$9764-ext_sh*Sens!$I$9753</f>
        <v>-88.3950641557111</v>
      </c>
      <c r="J9925" s="38" t="n">
        <f aca="false">Sens!$J$9763-tax*Sens!$J$9764-ext_sh*Sens!$J$9753</f>
        <v>-61.1526151740695</v>
      </c>
      <c r="K9925" s="38" t="n">
        <f aca="false">Sens!$K$9763-tax*Sens!$K$9764-ext_sh*Sens!$K$9753</f>
        <v>10.057774712684</v>
      </c>
      <c r="L9925" s="38" t="n">
        <f aca="false">Sens!$L$9763-tax*Sens!$L$9764-ext_sh*Sens!$L$9753</f>
        <v>46.6587675560356</v>
      </c>
      <c r="M9925" s="38" t="n">
        <f aca="false">Sens!$M$9763-tax*Sens!$M$9764-ext_sh*Sens!$M$9753</f>
        <v>55.3915455321129</v>
      </c>
    </row>
    <row r="9926" customFormat="false" ht="17.15" hidden="false" customHeight="false" outlineLevel="0" collapsed="false">
      <c r="A9926" s="5" t="s">
        <v>939</v>
      </c>
      <c r="B9926" s="0" t="s">
        <v>86</v>
      </c>
      <c r="H9926" s="38" t="n">
        <f aca="false">Sens!$H$9925*Sens!$H$9903</f>
        <v>-108.209801847706</v>
      </c>
      <c r="I9926" s="38" t="n">
        <f aca="false">Sens!$I$9925*Sens!$I$9903</f>
        <v>-74.2481901068983</v>
      </c>
      <c r="J9926" s="38" t="n">
        <f aca="false">Sens!$J$9925*Sens!$J$9903</f>
        <v>-45.727570508419</v>
      </c>
      <c r="K9926" s="38" t="n">
        <f aca="false">Sens!$K$9925*Sens!$K$9903</f>
        <v>6.69530298119047</v>
      </c>
      <c r="L9926" s="38" t="n">
        <f aca="false">Sens!$L$9925*Sens!$L$9903</f>
        <v>27.6507446777834</v>
      </c>
      <c r="M9926" s="38" t="n">
        <f aca="false">Sens!$M$9925*Sens!$M$9903</f>
        <v>29.2228311943074</v>
      </c>
    </row>
    <row r="9927" customFormat="false" ht="17.15" hidden="false" customHeight="false" outlineLevel="0" collapsed="false">
      <c r="A9927" s="5" t="s">
        <v>940</v>
      </c>
      <c r="B9927" s="0" t="s">
        <v>86</v>
      </c>
      <c r="C9927" s="38" t="n">
        <f aca="false">Sens!$M$9764*(1-tax)*(1+tg)*(1-tg/ronic)/((wacc+0.01)-tg)</f>
        <v>324.647310151203</v>
      </c>
    </row>
    <row r="9928" customFormat="false" ht="17.15" hidden="false" customHeight="false" outlineLevel="0" collapsed="false">
      <c r="A9928" s="0" t="s">
        <v>941</v>
      </c>
      <c r="B9928" s="0" t="s">
        <v>86</v>
      </c>
      <c r="C9928" s="38" t="n">
        <f aca="false">(SUM(Sens!$H$9926:$M$9926)+Sens!$C$9927/(1+(wacc+0.01))^6)*(1+(wacc+0.01))^tp_yf</f>
        <v>-3.31842277075215</v>
      </c>
    </row>
    <row r="9929" customFormat="false" ht="17.15" hidden="false" customHeight="false" outlineLevel="0" collapsed="false">
      <c r="A9929" s="5" t="s">
        <v>942</v>
      </c>
      <c r="B9929" s="0" t="s">
        <v>86</v>
      </c>
      <c r="C9929" s="38" t="n">
        <f aca="false">(1-tp_yf)*(Sens!$H$9846)+tp_yf*(Sens!$I$9846)</f>
        <v>74.6707041238437</v>
      </c>
    </row>
    <row r="9930" customFormat="false" ht="17.15" hidden="false" customHeight="false" outlineLevel="0" collapsed="false">
      <c r="A9930" s="5" t="s">
        <v>943</v>
      </c>
      <c r="B9930" s="0" t="s">
        <v>86</v>
      </c>
      <c r="C9930" s="38" t="n">
        <f aca="false">Sens!$C$9929*m_ai</f>
        <v>448.024224743062</v>
      </c>
    </row>
    <row r="9931" customFormat="false" ht="17.15" hidden="false" customHeight="false" outlineLevel="0" collapsed="false">
      <c r="A9931" s="0" t="s">
        <v>944</v>
      </c>
      <c r="B9931" s="0" t="s">
        <v>86</v>
      </c>
      <c r="C9931" s="38" t="n">
        <f aca="false">IF(ai_leg=1,Sens!$C$9928,Sens!$C$9930)</f>
        <v>-3.31842277075215</v>
      </c>
    </row>
    <row r="9932" customFormat="false" ht="17.15" hidden="false" customHeight="false" outlineLevel="0" collapsed="false">
      <c r="A9932" s="5" t="s">
        <v>945</v>
      </c>
      <c r="B9932" s="0" t="s">
        <v>86</v>
      </c>
      <c r="C9932" s="38" t="n">
        <f aca="false">Sens!$C$9918+Sens!$C$9921+Sens!$C$9924+Sens!$C$9931</f>
        <v>2802.63081125097</v>
      </c>
    </row>
    <row r="9933" customFormat="false" ht="17.15" hidden="false" customHeight="false" outlineLevel="0" collapsed="false">
      <c r="A9933" s="5" t="s">
        <v>946</v>
      </c>
      <c r="B9933" s="0" t="s">
        <v>86</v>
      </c>
      <c r="C9933" s="38" t="n">
        <f aca="false">Sens!$H$9886+fin_debt</f>
        <v>150.504277655109</v>
      </c>
    </row>
    <row r="9934" customFormat="false" ht="15" hidden="false" customHeight="false" outlineLevel="0" collapsed="false">
      <c r="A9934" s="5" t="s">
        <v>947</v>
      </c>
      <c r="B9934" s="0" t="s">
        <v>86</v>
      </c>
      <c r="C9934" s="38" t="n">
        <f aca="false">Sens!$C$9932-Sens!$C$9933+Sens!$C$9911</f>
        <v>2831.07053359586</v>
      </c>
    </row>
    <row r="9935" customFormat="false" ht="15" hidden="false" customHeight="false" outlineLevel="0" collapsed="false">
      <c r="A9935" s="3" t="s">
        <v>948</v>
      </c>
      <c r="B9935" s="8" t="s">
        <v>27</v>
      </c>
      <c r="C9935" s="30" t="n">
        <f aca="false">Sens!$C$9934/sh_val</f>
        <v>256.66273268339</v>
      </c>
    </row>
    <row r="9936" customFormat="false" ht="17.15" hidden="false" customHeight="false" outlineLevel="0" collapsed="false">
      <c r="A9936" s="47" t="s">
        <v>949</v>
      </c>
      <c r="B9936" s="14" t="s">
        <v>27</v>
      </c>
      <c r="C9936" s="44" t="n">
        <f aca="false">w_dcf*Sens!$C$9914+(1-w_dcf)*Sens!$C$9935</f>
        <v>189.390184292243</v>
      </c>
      <c r="D9936" s="14"/>
      <c r="E9936" s="14"/>
      <c r="F9936" s="14"/>
      <c r="G9936" s="14"/>
      <c r="H9936" s="14"/>
      <c r="I9936" s="14"/>
      <c r="J9936" s="14"/>
      <c r="K9936" s="14"/>
      <c r="L9936" s="14"/>
      <c r="M9936" s="14"/>
      <c r="N9936" s="14"/>
      <c r="O9936" s="14"/>
    </row>
    <row r="9937" customFormat="false" ht="17.15" hidden="false" customHeight="false" outlineLevel="0" collapsed="false">
      <c r="A9937" s="5" t="s">
        <v>950</v>
      </c>
      <c r="B9937" s="0" t="s">
        <v>27</v>
      </c>
      <c r="C9937" s="30" t="n">
        <f aca="false">v022_wdcf*Sens!$C$9914+(1-v022_wdcf)*Sens!$C$9935</f>
        <v>196.117439131358</v>
      </c>
    </row>
    <row r="9938" customFormat="false" ht="17.15" hidden="false" customHeight="false" outlineLevel="0" collapsed="false">
      <c r="A9938" s="5" t="s">
        <v>951</v>
      </c>
      <c r="B9938" s="0" t="s">
        <v>27</v>
      </c>
      <c r="C9938" s="30" t="n">
        <f aca="false">(Sens!$C$9934-Sens!$C$9931+Sens!$C$9930)/sh_val</f>
        <v>297.581118824874</v>
      </c>
    </row>
    <row r="9941" customFormat="false" ht="19.4" hidden="false" customHeight="false" outlineLevel="0" collapsed="false">
      <c r="A9941" s="31" t="s">
        <v>1332</v>
      </c>
    </row>
    <row r="9942" customFormat="false" ht="17.15" hidden="false" customHeight="false" outlineLevel="0" collapsed="false">
      <c r="A9942" s="6" t="s">
        <v>16</v>
      </c>
      <c r="B9942" s="6" t="s">
        <v>17</v>
      </c>
      <c r="C9942" s="20" t="s">
        <v>494</v>
      </c>
      <c r="D9942" s="20" t="s">
        <v>495</v>
      </c>
      <c r="E9942" s="20" t="s">
        <v>577</v>
      </c>
      <c r="F9942" s="20" t="s">
        <v>578</v>
      </c>
      <c r="G9942" s="20" t="s">
        <v>579</v>
      </c>
      <c r="H9942" s="20" t="s">
        <v>580</v>
      </c>
      <c r="I9942" s="20" t="s">
        <v>581</v>
      </c>
      <c r="J9942" s="20" t="s">
        <v>582</v>
      </c>
      <c r="K9942" s="20" t="s">
        <v>583</v>
      </c>
      <c r="L9942" s="20" t="s">
        <v>584</v>
      </c>
      <c r="M9942" s="20" t="s">
        <v>585</v>
      </c>
      <c r="N9942" s="20" t="s">
        <v>586</v>
      </c>
      <c r="O9942" s="20" t="s">
        <v>587</v>
      </c>
      <c r="P9942" s="6" t="s">
        <v>23</v>
      </c>
      <c r="R9942" s="20" t="n">
        <v>2023</v>
      </c>
      <c r="S9942" s="20" t="n">
        <v>2024</v>
      </c>
      <c r="T9942" s="20" t="n">
        <v>2025</v>
      </c>
      <c r="U9942" s="20" t="n">
        <v>2026</v>
      </c>
      <c r="V9942" s="20" t="n">
        <v>2027</v>
      </c>
      <c r="W9942" s="20" t="n">
        <v>2028</v>
      </c>
      <c r="X9942" s="20" t="n">
        <v>2029</v>
      </c>
      <c r="Y9942" s="20" t="n">
        <v>2030</v>
      </c>
      <c r="Z9942" s="20" t="n">
        <v>2031</v>
      </c>
      <c r="AA9942" s="20" t="n">
        <v>2032</v>
      </c>
    </row>
    <row r="9943" customFormat="false" ht="17.15" hidden="false" customHeight="false" outlineLevel="0" collapsed="false">
      <c r="A9943" s="1" t="s">
        <v>660</v>
      </c>
    </row>
    <row r="9944" customFormat="false" ht="17.15" hidden="false" customHeight="false" outlineLevel="0" collapsed="false">
      <c r="A9944" s="0" t="s">
        <v>516</v>
      </c>
      <c r="B9944" s="0" t="s">
        <v>86</v>
      </c>
      <c r="C9944" s="38" t="n">
        <f aca="false">Q!$D$10</f>
        <v>247.029</v>
      </c>
      <c r="D9944" s="38" t="n">
        <f aca="false">Q!$E$10</f>
        <v>269.287</v>
      </c>
      <c r="E9944" s="38" t="n">
        <f aca="false">Q!$P$10</f>
        <v>134.686</v>
      </c>
      <c r="F9944" s="38" t="n">
        <f aca="false">Sens!$O$9944*(1+Sens!$F$9945)*Sens!$F$9956</f>
        <v>158.293876822267</v>
      </c>
      <c r="G9944" s="38" t="n">
        <f aca="false">Sens!$E$9944+Sens!$F$9944</f>
        <v>292.979876822267</v>
      </c>
      <c r="H9944" s="38" t="n">
        <f aca="false">Sens!$G$9944*(1+Sens!$H$9945)</f>
        <v>318.184543087396</v>
      </c>
      <c r="I9944" s="38" t="n">
        <f aca="false">Sens!$H$9944*(1+Sens!$I$9945)</f>
        <v>341.736278761793</v>
      </c>
      <c r="J9944" s="38" t="n">
        <f aca="false">Sens!$I$9944*(1+Sens!$J$9945)</f>
        <v>362.927192787048</v>
      </c>
      <c r="K9944" s="38" t="n">
        <f aca="false">Sens!$J$9944*(1+Sens!$K$9945)</f>
        <v>381.0735524264</v>
      </c>
      <c r="L9944" s="38" t="n">
        <f aca="false">Sens!$K$9944*(1+Sens!$L$9945)</f>
        <v>400.12723004772</v>
      </c>
      <c r="M9944" s="38" t="n">
        <f aca="false">Sens!$L$9944*(1+Sens!$M$9945)</f>
        <v>420.133591550106</v>
      </c>
      <c r="N9944" s="38" t="n">
        <f aca="false">Q!$N$10</f>
        <v>118.892</v>
      </c>
      <c r="O9944" s="38" t="n">
        <f aca="false">Q!$O$10</f>
        <v>150.395</v>
      </c>
      <c r="P9944" s="8" t="s">
        <v>661</v>
      </c>
    </row>
    <row r="9945" customFormat="false" ht="17.15" hidden="false" customHeight="false" outlineLevel="0" collapsed="false">
      <c r="A9945" s="0" t="s">
        <v>662</v>
      </c>
      <c r="B9945" s="0" t="s">
        <v>52</v>
      </c>
      <c r="E9945" s="13" t="n">
        <f aca="false">Sens!$E$9944/Sens!$N$9944-1</f>
        <v>0.132843252699929</v>
      </c>
      <c r="F9945" s="13" t="n">
        <f aca="false">Sens!$O$9944/(Q!$F$10+Q!$G$10)-1</f>
        <v>0.0980382135842941</v>
      </c>
      <c r="G9945" s="13" t="n">
        <f aca="false">Sens!$G$9944/Sens!$D$9944-1</f>
        <v>0.0879837378791657</v>
      </c>
      <c r="H9945" s="13" t="n">
        <f aca="false">Sens!$F$9945+(g_os-Sens!$F$9945)*1/4</f>
        <v>0.0860286601882206</v>
      </c>
      <c r="I9945" s="13" t="n">
        <f aca="false">Sens!$F$9945+(g_os-Sens!$F$9945)*2/4</f>
        <v>0.074019106792147</v>
      </c>
      <c r="J9945" s="13" t="n">
        <f aca="false">Sens!$F$9945+(g_os-Sens!$F$9945)*3/4</f>
        <v>0.0620095533960735</v>
      </c>
      <c r="K9945" s="13" t="n">
        <f aca="false">Sens!$F$9945+(g_os-Sens!$F$9945)*4/4</f>
        <v>0.05</v>
      </c>
      <c r="L9945" s="13" t="n">
        <f aca="false">g_os</f>
        <v>0.05</v>
      </c>
      <c r="M9945" s="13" t="n">
        <f aca="false">g_os</f>
        <v>0.05</v>
      </c>
      <c r="P9945" s="8" t="s">
        <v>663</v>
      </c>
    </row>
    <row r="9946" customFormat="false" ht="17.15" hidden="false" customHeight="false" outlineLevel="0" collapsed="false">
      <c r="A9946" s="0" t="s">
        <v>517</v>
      </c>
      <c r="B9946" s="0" t="s">
        <v>86</v>
      </c>
      <c r="C9946" s="38" t="n">
        <f aca="false">Q!$D$11</f>
        <v>21.215</v>
      </c>
      <c r="D9946" s="38" t="n">
        <f aca="false">Q!$E$11</f>
        <v>22.561</v>
      </c>
      <c r="E9946" s="38" t="n">
        <f aca="false">Q!$P$11</f>
        <v>11.579</v>
      </c>
      <c r="F9946" s="38" t="n">
        <f aca="false">Sens!$O$9946*(1+Sens!$F$9947)*Sens!$F$9956</f>
        <v>11.5938724610325</v>
      </c>
      <c r="G9946" s="38" t="n">
        <f aca="false">Sens!$E$9946+Sens!$F$9946</f>
        <v>23.1728724610325</v>
      </c>
      <c r="H9946" s="38" t="n">
        <f aca="false">Sens!$G$9946*(1+Sens!$H$9947)</f>
        <v>24.353392759506</v>
      </c>
      <c r="I9946" s="38" t="n">
        <f aca="false">Sens!$H$9946*(1+Sens!$I$9947)</f>
        <v>25.4240338872015</v>
      </c>
      <c r="J9946" s="38" t="n">
        <f aca="false">Sens!$I$9946*(1+Sens!$J$9947)</f>
        <v>26.3642491017174</v>
      </c>
      <c r="K9946" s="38" t="n">
        <f aca="false">Sens!$J$9946*(1+Sens!$K$9947)</f>
        <v>27.155176574769</v>
      </c>
      <c r="L9946" s="38" t="n">
        <f aca="false">Sens!$K$9946*(1+Sens!$L$9947)</f>
        <v>27.969831872012</v>
      </c>
      <c r="M9946" s="38" t="n">
        <f aca="false">Sens!$L$9946*(1+Sens!$M$9947)</f>
        <v>28.8089268281724</v>
      </c>
      <c r="N9946" s="38" t="n">
        <f aca="false">Q!$N$11</f>
        <v>11.128</v>
      </c>
      <c r="O9946" s="38" t="n">
        <f aca="false">Q!$O$11</f>
        <v>11.433</v>
      </c>
      <c r="P9946" s="8" t="s">
        <v>661</v>
      </c>
    </row>
    <row r="9947" customFormat="false" ht="17.15" hidden="false" customHeight="false" outlineLevel="0" collapsed="false">
      <c r="A9947" s="0" t="s">
        <v>664</v>
      </c>
      <c r="B9947" s="0" t="s">
        <v>52</v>
      </c>
      <c r="E9947" s="13" t="n">
        <f aca="false">Sens!$E$9946/Sens!$N$9946-1</f>
        <v>0.0405283968368082</v>
      </c>
      <c r="F9947" s="13" t="n">
        <f aca="false">Sens!$O$9946/(Q!$F$11+Q!$G$11)-1</f>
        <v>0.0579254187100955</v>
      </c>
      <c r="G9947" s="13" t="n">
        <f aca="false">Sens!$G$9946/Sens!$D$9946-1</f>
        <v>0.0271208040881397</v>
      </c>
      <c r="H9947" s="13" t="n">
        <f aca="false">Sens!$F$9947+(g_ps-Sens!$F$9947)*1/4</f>
        <v>0.0509440640325716</v>
      </c>
      <c r="I9947" s="13" t="n">
        <f aca="false">Sens!$F$9947+(g_ps-Sens!$F$9947)*2/4</f>
        <v>0.0439627093550477</v>
      </c>
      <c r="J9947" s="13" t="n">
        <f aca="false">Sens!$F$9947+(g_ps-Sens!$F$9947)*3/4</f>
        <v>0.0369813546775239</v>
      </c>
      <c r="K9947" s="13" t="n">
        <f aca="false">Sens!$F$9947+(g_ps-Sens!$F$9947)*4/4</f>
        <v>0.03</v>
      </c>
      <c r="L9947" s="13" t="n">
        <f aca="false">g_ps</f>
        <v>0.03</v>
      </c>
      <c r="M9947" s="13" t="n">
        <f aca="false">g_ps</f>
        <v>0.03</v>
      </c>
      <c r="P9947" s="8" t="s">
        <v>665</v>
      </c>
    </row>
    <row r="9948" customFormat="false" ht="17.15" hidden="false" customHeight="false" outlineLevel="0" collapsed="false">
      <c r="A9948" s="0" t="s">
        <v>518</v>
      </c>
      <c r="B9948" s="0" t="s">
        <v>86</v>
      </c>
      <c r="C9948" s="38" t="n">
        <f aca="false">Q!$D$12</f>
        <v>156.146</v>
      </c>
      <c r="D9948" s="38" t="n">
        <f aca="false">Q!$E$12</f>
        <v>172.162</v>
      </c>
      <c r="E9948" s="38" t="n">
        <f aca="false">Q!$P$12</f>
        <v>88.358</v>
      </c>
      <c r="F9948" s="38" t="n">
        <f aca="false">Sens!$O$9948*(1+Sens!$F$9949)*Sens!$F$9956</f>
        <v>102.004388260171</v>
      </c>
      <c r="G9948" s="38" t="n">
        <f aca="false">Sens!$E$9948+Sens!$F$9948</f>
        <v>190.362388260171</v>
      </c>
      <c r="H9948" s="38" t="n">
        <f aca="false">Sens!$G$9948*(1+Sens!$H$9949)</f>
        <v>210.343106588311</v>
      </c>
      <c r="I9948" s="38" t="n">
        <f aca="false">Sens!$H$9948*(1+Sens!$I$9949)</f>
        <v>229.969728494648</v>
      </c>
      <c r="J9948" s="38" t="n">
        <f aca="false">Sens!$I$9948*(1+Sens!$J$9949)</f>
        <v>248.747636972598</v>
      </c>
      <c r="K9948" s="38" t="n">
        <f aca="false">Sens!$J$9948*(1+Sens!$K$9949)</f>
        <v>266.15997156068</v>
      </c>
      <c r="L9948" s="38" t="n">
        <f aca="false">Sens!$K$9948*(1+Sens!$L$9949)</f>
        <v>284.791169569927</v>
      </c>
      <c r="M9948" s="38" t="n">
        <f aca="false">Sens!$L$9948*(1+Sens!$M$9949)</f>
        <v>304.726551439822</v>
      </c>
      <c r="N9948" s="38" t="n">
        <f aca="false">Q!$N$12</f>
        <v>76.86</v>
      </c>
      <c r="O9948" s="38" t="n">
        <f aca="false">Q!$O$12</f>
        <v>95.302</v>
      </c>
      <c r="P9948" s="8" t="s">
        <v>661</v>
      </c>
    </row>
    <row r="9949" customFormat="false" ht="17.15" hidden="false" customHeight="false" outlineLevel="0" collapsed="false">
      <c r="A9949" s="0" t="s">
        <v>666</v>
      </c>
      <c r="B9949" s="0" t="s">
        <v>52</v>
      </c>
      <c r="E9949" s="13" t="n">
        <f aca="false">Sens!$E$9948/Sens!$N$9948-1</f>
        <v>0.1495966692688</v>
      </c>
      <c r="F9949" s="13" t="n">
        <f aca="false">Sens!$O$9948/(Q!$F$12+Q!$G$12)-1</f>
        <v>0.11661530890813</v>
      </c>
      <c r="G9949" s="13" t="n">
        <f aca="false">Sens!$G$9948/Sens!$D$9948-1</f>
        <v>0.105716640490767</v>
      </c>
      <c r="H9949" s="13" t="n">
        <f aca="false">Sens!$F$9949+(g_sp-Sens!$F$9949)*1/4</f>
        <v>0.104961481681098</v>
      </c>
      <c r="I9949" s="13" t="n">
        <f aca="false">Sens!$F$9949+(g_sp-Sens!$F$9949)*2/4</f>
        <v>0.0933076544540651</v>
      </c>
      <c r="J9949" s="13" t="n">
        <f aca="false">Sens!$F$9949+(g_sp-Sens!$F$9949)*3/4</f>
        <v>0.0816538272270325</v>
      </c>
      <c r="K9949" s="13" t="n">
        <f aca="false">Sens!$F$9949+(g_sp-Sens!$F$9949)*4/4</f>
        <v>0.07</v>
      </c>
      <c r="L9949" s="13" t="n">
        <f aca="false">g_sp</f>
        <v>0.07</v>
      </c>
      <c r="M9949" s="13" t="n">
        <f aca="false">g_sp</f>
        <v>0.07</v>
      </c>
      <c r="P9949" s="8" t="s">
        <v>667</v>
      </c>
    </row>
    <row r="9950" customFormat="false" ht="17.15" hidden="false" customHeight="false" outlineLevel="0" collapsed="false">
      <c r="A9950" s="0" t="s">
        <v>519</v>
      </c>
      <c r="B9950" s="0" t="s">
        <v>86</v>
      </c>
      <c r="C9950" s="38" t="n">
        <f aca="false">Q!$D$13</f>
        <v>56.214</v>
      </c>
      <c r="D9950" s="38" t="n">
        <f aca="false">Q!$E$13</f>
        <v>68.635</v>
      </c>
      <c r="E9950" s="38" t="n">
        <f aca="false">Q!$P$13</f>
        <v>37.052</v>
      </c>
      <c r="F9950" s="38" t="n">
        <f aca="false">Sens!$O$9950*(1+Sens!$F$9951)*Sens!$F$9956</f>
        <v>46.1572219944148</v>
      </c>
      <c r="G9950" s="38" t="n">
        <f aca="false">Sens!$E$9950+Sens!$F$9950</f>
        <v>83.2092219944148</v>
      </c>
      <c r="H9950" s="38" t="n">
        <f aca="false">Sens!$G$9950*(1+Sens!$H$9951)</f>
        <v>99.8969223878976</v>
      </c>
      <c r="I9950" s="38" t="n">
        <f aca="false">Sens!$H$9950*(1+Sens!$I$9951)</f>
        <v>116.583111095496</v>
      </c>
      <c r="J9950" s="38" t="n">
        <f aca="false">Sens!$I$9950*(1+Sens!$J$9951)</f>
        <v>132.148941941952</v>
      </c>
      <c r="K9950" s="38" t="n">
        <f aca="false">Sens!$J$9950*(1+Sens!$K$9951)</f>
        <v>145.363836136147</v>
      </c>
      <c r="L9950" s="38" t="n">
        <f aca="false">Sens!$K$9950*(1+Sens!$L$9951)</f>
        <v>159.900219749762</v>
      </c>
      <c r="M9950" s="38" t="n">
        <f aca="false">Sens!$L$9950*(1+Sens!$M$9951)</f>
        <v>175.890241724738</v>
      </c>
      <c r="N9950" s="38" t="n">
        <f aca="false">Q!$N$13</f>
        <v>29.615</v>
      </c>
      <c r="O9950" s="38" t="n">
        <f aca="false">Q!$O$13</f>
        <v>39.02</v>
      </c>
      <c r="P9950" s="8" t="s">
        <v>661</v>
      </c>
    </row>
    <row r="9951" customFormat="false" ht="17.15" hidden="false" customHeight="false" outlineLevel="0" collapsed="false">
      <c r="A9951" s="0" t="s">
        <v>668</v>
      </c>
      <c r="B9951" s="0" t="s">
        <v>52</v>
      </c>
      <c r="E9951" s="13" t="n">
        <f aca="false">Sens!$E$9950/Sens!$N$9950-1</f>
        <v>0.25112274185379</v>
      </c>
      <c r="F9951" s="13" t="n">
        <f aca="false">Sens!$O$9950/(Q!$F$13+Q!$G$13)-1</f>
        <v>0.234068123596572</v>
      </c>
      <c r="G9951" s="13" t="n">
        <f aca="false">Sens!$G$9950/Sens!$D$9950-1</f>
        <v>0.212343876949294</v>
      </c>
      <c r="H9951" s="13" t="n">
        <f aca="false">Sens!$F$9951+(g_ad-Sens!$F$9951)*1/4</f>
        <v>0.200551092697429</v>
      </c>
      <c r="I9951" s="13" t="n">
        <f aca="false">Sens!$F$9951+(g_ad-Sens!$F$9951)*2/4</f>
        <v>0.167034061798286</v>
      </c>
      <c r="J9951" s="13" t="n">
        <f aca="false">Sens!$F$9951+(g_ad-Sens!$F$9951)*3/4</f>
        <v>0.133517030899143</v>
      </c>
      <c r="K9951" s="13" t="n">
        <f aca="false">Sens!$F$9951+(g_ad-Sens!$F$9951)*4/4</f>
        <v>0.1</v>
      </c>
      <c r="L9951" s="13" t="n">
        <f aca="false">g_ad</f>
        <v>0.1</v>
      </c>
      <c r="M9951" s="13" t="n">
        <f aca="false">g_ad</f>
        <v>0.1</v>
      </c>
      <c r="P9951" s="8" t="s">
        <v>669</v>
      </c>
    </row>
    <row r="9952" customFormat="false" ht="17.15" hidden="false" customHeight="false" outlineLevel="0" collapsed="false">
      <c r="A9952" s="0" t="s">
        <v>520</v>
      </c>
      <c r="B9952" s="0" t="s">
        <v>86</v>
      </c>
      <c r="C9952" s="38" t="n">
        <f aca="false">Q!$D$14</f>
        <v>44.374</v>
      </c>
      <c r="D9952" s="38" t="n">
        <f aca="false">Q!$E$14</f>
        <v>49.619</v>
      </c>
      <c r="E9952" s="38" t="n">
        <f aca="false">Q!$P$14</f>
        <v>27.157</v>
      </c>
      <c r="F9952" s="38" t="n">
        <f aca="false">Sens!$O$9952*(1+Sens!$F$9953)*Sens!$F$9956</f>
        <v>27.7764165988154</v>
      </c>
      <c r="G9952" s="38" t="n">
        <f aca="false">Sens!$E$9952+Sens!$F$9952</f>
        <v>54.9334165988154</v>
      </c>
      <c r="H9952" s="38" t="n">
        <f aca="false">Sens!$G$9952*(1+Sens!$H$9953)</f>
        <v>61.1564112561829</v>
      </c>
      <c r="I9952" s="38" t="n">
        <f aca="false">Sens!$H$9952*(1+Sens!$I$9953)</f>
        <v>67.2020282103945</v>
      </c>
      <c r="J9952" s="38" t="n">
        <f aca="false">Sens!$I$9952*(1+Sens!$J$9953)</f>
        <v>72.8757274028885</v>
      </c>
      <c r="K9952" s="38" t="n">
        <f aca="false">Sens!$J$9952*(1+Sens!$K$9953)</f>
        <v>77.9770283210907</v>
      </c>
      <c r="L9952" s="38" t="n">
        <f aca="false">Sens!$K$9952*(1+Sens!$L$9953)</f>
        <v>83.4354203035671</v>
      </c>
      <c r="M9952" s="38" t="n">
        <f aca="false">Sens!$L$9952*(1+Sens!$M$9953)</f>
        <v>89.2758997248168</v>
      </c>
      <c r="N9952" s="38" t="n">
        <f aca="false">Q!$N$14</f>
        <v>23.923</v>
      </c>
      <c r="O9952" s="38" t="n">
        <f aca="false">Q!$O$14</f>
        <v>25.696</v>
      </c>
      <c r="P9952" s="8" t="s">
        <v>661</v>
      </c>
    </row>
    <row r="9953" customFormat="false" ht="17.15" hidden="false" customHeight="false" outlineLevel="0" collapsed="false">
      <c r="A9953" s="0" t="s">
        <v>670</v>
      </c>
      <c r="B9953" s="0" t="s">
        <v>52</v>
      </c>
      <c r="E9953" s="13" t="n">
        <f aca="false">Sens!$E$9952/Sens!$N$9952-1</f>
        <v>0.135183714417088</v>
      </c>
      <c r="F9953" s="13" t="n">
        <f aca="false">Sens!$O$9952/(Q!$F$14+Q!$G$14)-1</f>
        <v>0.127709997366804</v>
      </c>
      <c r="G9953" s="13" t="n">
        <f aca="false">Sens!$G$9952/Sens!$D$9952-1</f>
        <v>0.107104468022641</v>
      </c>
      <c r="H9953" s="13" t="n">
        <f aca="false">Sens!$F$9953+(g_sub-Sens!$F$9953)*1/4</f>
        <v>0.113282498025103</v>
      </c>
      <c r="I9953" s="13" t="n">
        <f aca="false">Sens!$F$9953+(g_sub-Sens!$F$9953)*2/4</f>
        <v>0.0988549986834021</v>
      </c>
      <c r="J9953" s="13" t="n">
        <f aca="false">Sens!$F$9953+(g_sub-Sens!$F$9953)*3/4</f>
        <v>0.084427499341701</v>
      </c>
      <c r="K9953" s="13" t="n">
        <f aca="false">Sens!$F$9953+(g_sub-Sens!$F$9953)*4/4</f>
        <v>0.07</v>
      </c>
      <c r="L9953" s="13" t="n">
        <f aca="false">g_sub</f>
        <v>0.07</v>
      </c>
      <c r="M9953" s="13" t="n">
        <f aca="false">g_sub</f>
        <v>0.07</v>
      </c>
      <c r="P9953" s="8" t="s">
        <v>671</v>
      </c>
    </row>
    <row r="9954" customFormat="false" ht="17.15" hidden="false" customHeight="false" outlineLevel="0" collapsed="false">
      <c r="A9954" s="0" t="s">
        <v>521</v>
      </c>
      <c r="B9954" s="0" t="s">
        <v>86</v>
      </c>
      <c r="C9954" s="38" t="n">
        <f aca="false">Q!$D$15</f>
        <v>5.425</v>
      </c>
      <c r="D9954" s="38" t="n">
        <f aca="false">Q!$E$15</f>
        <v>5.935</v>
      </c>
      <c r="E9954" s="38" t="n">
        <f aca="false">Q!$P$15</f>
        <v>3.474</v>
      </c>
      <c r="F9954" s="38" t="n">
        <f aca="false">Sens!$O$9954*(1+Sens!$F$9955)*Sens!$F$9956</f>
        <v>3.22246550883619</v>
      </c>
      <c r="G9954" s="38" t="n">
        <f aca="false">Sens!$E$9954+Sens!$F$9954</f>
        <v>6.69646550883619</v>
      </c>
      <c r="H9954" s="38" t="n">
        <f aca="false">Sens!$G$9954*(1+Sens!$H$9955)</f>
        <v>7.16251344209196</v>
      </c>
      <c r="I9954" s="38" t="n">
        <f aca="false">Sens!$H$9954*(1+Sens!$I$9955)</f>
        <v>7.61421070299826</v>
      </c>
      <c r="J9954" s="38" t="n">
        <f aca="false">Sens!$I$9954*(1+Sens!$J$9955)</f>
        <v>8.04465753523932</v>
      </c>
      <c r="K9954" s="38" t="n">
        <f aca="false">Sens!$J$9954*(1+Sens!$K$9955)</f>
        <v>8.44689041200128</v>
      </c>
      <c r="L9954" s="38" t="n">
        <f aca="false">Sens!$K$9954*(1+Sens!$L$9955)</f>
        <v>8.86923493260135</v>
      </c>
      <c r="M9954" s="38" t="n">
        <f aca="false">Sens!$L$9954*(1+Sens!$M$9955)</f>
        <v>9.31269667923142</v>
      </c>
      <c r="N9954" s="38" t="n">
        <f aca="false">Q!$N$15</f>
        <v>2.811</v>
      </c>
      <c r="O9954" s="38" t="n">
        <f aca="false">Q!$O$15</f>
        <v>3.124</v>
      </c>
      <c r="P9954" s="8" t="s">
        <v>661</v>
      </c>
    </row>
    <row r="9955" customFormat="false" ht="17.15" hidden="false" customHeight="false" outlineLevel="0" collapsed="false">
      <c r="A9955" s="0" t="s">
        <v>672</v>
      </c>
      <c r="B9955" s="0" t="s">
        <v>52</v>
      </c>
      <c r="E9955" s="13" t="n">
        <f aca="false">Sens!$E$9954/Sens!$N$9954-1</f>
        <v>0.235859124866596</v>
      </c>
      <c r="F9955" s="13" t="n">
        <f aca="false">Sens!$O$9954/(Q!$F$15+Q!$G$15)-1</f>
        <v>0.0761281433000345</v>
      </c>
      <c r="G9955" s="13" t="n">
        <f aca="false">Sens!$G$9954/Sens!$D$9954-1</f>
        <v>0.128300843948811</v>
      </c>
      <c r="H9955" s="13" t="n">
        <f aca="false">Sens!$F$9955+(g_ot-Sens!$F$9955)*1/4</f>
        <v>0.0695961074750259</v>
      </c>
      <c r="I9955" s="13" t="n">
        <f aca="false">Sens!$F$9955+(g_ot-Sens!$F$9955)*2/4</f>
        <v>0.0630640716500172</v>
      </c>
      <c r="J9955" s="13" t="n">
        <f aca="false">Sens!$F$9955+(g_ot-Sens!$F$9955)*3/4</f>
        <v>0.0565320358250086</v>
      </c>
      <c r="K9955" s="13" t="n">
        <f aca="false">Sens!$F$9955+(g_ot-Sens!$F$9955)*4/4</f>
        <v>0.05</v>
      </c>
      <c r="L9955" s="13" t="n">
        <f aca="false">g_ot</f>
        <v>0.05</v>
      </c>
      <c r="M9955" s="13" t="n">
        <f aca="false">g_ot</f>
        <v>0.05</v>
      </c>
      <c r="P9955" s="8" t="s">
        <v>673</v>
      </c>
    </row>
    <row r="9956" customFormat="false" ht="17.15" hidden="false" customHeight="false" outlineLevel="0" collapsed="false">
      <c r="A9956" s="0" t="s">
        <v>674</v>
      </c>
      <c r="B9956" s="0" t="s">
        <v>57</v>
      </c>
      <c r="F9956" s="40" t="n">
        <f aca="false">(g26q3_mid*Q!$O$8/Q!$J$8-Sens!$F$9985-Sens!$F$9989)/(Sens!$O$9944*(1+Sens!$F$9945)+Sens!$O$9946*(1+Sens!$F$9947)+Sens!$O$9948*(1+Sens!$F$9949)+Sens!$O$9950*(1+Sens!$F$9951)+Sens!$O$9952*(1+Sens!$F$9953)+Sens!$O$9954*(1+Sens!$F$9955))</f>
        <v>0.958546670622329</v>
      </c>
      <c r="P9956" s="8" t="s">
        <v>675</v>
      </c>
    </row>
    <row r="9957" customFormat="false" ht="17.15" hidden="false" customHeight="false" outlineLevel="0" collapsed="false">
      <c r="A9957" s="3" t="s">
        <v>676</v>
      </c>
      <c r="B9957" s="8" t="s">
        <v>86</v>
      </c>
      <c r="C9957" s="38" t="n">
        <f aca="false">Sens!$C$9944+Sens!$C$9946+Sens!$C$9948+Sens!$C$9950+Sens!$C$9952+Sens!$C$9954</f>
        <v>530.403</v>
      </c>
      <c r="D9957" s="38" t="n">
        <f aca="false">Sens!$D$9944+Sens!$D$9946+Sens!$D$9948+Sens!$D$9950+Sens!$D$9952+Sens!$D$9954</f>
        <v>588.199</v>
      </c>
      <c r="E9957" s="38" t="n">
        <f aca="false">Sens!$E$9944+Sens!$E$9946+Sens!$E$9948+Sens!$E$9950+Sens!$E$9952+Sens!$E$9954</f>
        <v>302.306</v>
      </c>
      <c r="F9957" s="38" t="n">
        <f aca="false">Sens!$F$9944+Sens!$F$9946+Sens!$F$9948+Sens!$F$9950+Sens!$F$9952+Sens!$F$9954</f>
        <v>349.048241645537</v>
      </c>
      <c r="G9957" s="38" t="n">
        <f aca="false">Sens!$G$9944+Sens!$G$9946+Sens!$G$9948+Sens!$G$9950+Sens!$G$9952+Sens!$G$9954</f>
        <v>651.354241645537</v>
      </c>
      <c r="H9957" s="38" t="n">
        <f aca="false">Sens!$H$9944+Sens!$H$9946+Sens!$H$9948+Sens!$H$9950+Sens!$H$9952+Sens!$H$9954</f>
        <v>721.096889521386</v>
      </c>
      <c r="I9957" s="38" t="n">
        <f aca="false">Sens!$I$9944+Sens!$I$9946+Sens!$I$9948+Sens!$I$9950+Sens!$I$9952+Sens!$I$9954</f>
        <v>788.529391152531</v>
      </c>
      <c r="J9957" s="38" t="n">
        <f aca="false">Sens!$J$9944+Sens!$J$9946+Sens!$J$9948+Sens!$J$9950+Sens!$J$9952+Sens!$J$9954</f>
        <v>851.108405741443</v>
      </c>
      <c r="K9957" s="38" t="n">
        <f aca="false">Sens!$K$9944+Sens!$K$9946+Sens!$K$9948+Sens!$K$9950+Sens!$K$9952+Sens!$K$9954</f>
        <v>906.176455431088</v>
      </c>
      <c r="L9957" s="38" t="n">
        <f aca="false">Sens!$L$9944+Sens!$L$9946+Sens!$L$9948+Sens!$L$9950+Sens!$L$9952+Sens!$L$9954</f>
        <v>965.093106475589</v>
      </c>
      <c r="M9957" s="38" t="n">
        <f aca="false">Sens!$M$9944+Sens!$M$9946+Sens!$M$9948+Sens!$M$9950+Sens!$M$9952+Sens!$M$9954</f>
        <v>1028.14790794689</v>
      </c>
      <c r="N9957" s="38" t="n">
        <f aca="false">Sens!$N$9944+Sens!$N$9946+Sens!$N$9948+Sens!$N$9950+Sens!$N$9952+Sens!$N$9954</f>
        <v>263.229</v>
      </c>
      <c r="O9957" s="38" t="n">
        <f aca="false">Sens!$O$9944+Sens!$O$9946+Sens!$O$9948+Sens!$O$9950+Sens!$O$9952+Sens!$O$9954</f>
        <v>324.97</v>
      </c>
    </row>
    <row r="9958" customFormat="false" ht="17.15" hidden="false" customHeight="false" outlineLevel="0" collapsed="false">
      <c r="A9958" s="5" t="s">
        <v>677</v>
      </c>
      <c r="B9958" s="0" t="s">
        <v>52</v>
      </c>
      <c r="C9958" s="13" t="n">
        <f aca="false">Q!$D$5/(Q!$D$5+Q!$D$6)</f>
        <v>0.730570905519011</v>
      </c>
      <c r="D9958" s="13" t="n">
        <f aca="false">Q!$E$5/(Q!$E$5+Q!$E$6)</f>
        <v>0.724763217890544</v>
      </c>
      <c r="E9958" s="13" t="n">
        <f aca="false">Q!$P$5/(Q!$P$5+Q!$P$6)</f>
        <v>0.728797972914861</v>
      </c>
      <c r="F9958" s="13" t="n">
        <f aca="false">Sens!$O$9958</f>
        <v>0.718066283041511</v>
      </c>
      <c r="G9958" s="13" t="n">
        <f aca="false">Sens!$G$9959/Sens!$G$9957</f>
        <v>0.723047066202847</v>
      </c>
      <c r="H9958" s="13" t="n">
        <f aca="false">Sens!$G$9958</f>
        <v>0.723047066202847</v>
      </c>
      <c r="I9958" s="13" t="n">
        <f aca="false">Sens!$G$9958</f>
        <v>0.723047066202847</v>
      </c>
      <c r="J9958" s="13" t="n">
        <f aca="false">Sens!$G$9958</f>
        <v>0.723047066202847</v>
      </c>
      <c r="K9958" s="13" t="n">
        <f aca="false">Sens!$G$9958</f>
        <v>0.723047066202847</v>
      </c>
      <c r="L9958" s="13" t="n">
        <f aca="false">Sens!$G$9958</f>
        <v>0.723047066202847</v>
      </c>
      <c r="M9958" s="13" t="n">
        <f aca="false">Sens!$G$9958</f>
        <v>0.723047066202847</v>
      </c>
      <c r="N9958" s="13" t="n">
        <f aca="false">Q!$N$5/(Q!$N$5+Q!$N$6)</f>
        <v>0.733030935041352</v>
      </c>
      <c r="O9958" s="13" t="n">
        <f aca="false">Q!$O$5/(Q!$O$5+Q!$O$6)</f>
        <v>0.718066283041511</v>
      </c>
      <c r="P9958" s="8" t="s">
        <v>678</v>
      </c>
    </row>
    <row r="9959" customFormat="false" ht="17.15" hidden="false" customHeight="false" outlineLevel="0" collapsed="false">
      <c r="A9959" s="1" t="s">
        <v>509</v>
      </c>
      <c r="B9959" s="8" t="s">
        <v>86</v>
      </c>
      <c r="C9959" s="38" t="n">
        <f aca="false">Q!$D$5</f>
        <v>387.497</v>
      </c>
      <c r="D9959" s="38" t="n">
        <f aca="false">Q!$E$5</f>
        <v>426.305</v>
      </c>
      <c r="E9959" s="38" t="n">
        <f aca="false">Q!$P$5</f>
        <v>220.32</v>
      </c>
      <c r="F9959" s="38" t="n">
        <f aca="false">Sens!$F$9957*Sens!$F$9958</f>
        <v>250.639773480586</v>
      </c>
      <c r="G9959" s="38" t="n">
        <f aca="false">Sens!$E$9959+Sens!$F$9959</f>
        <v>470.959773480586</v>
      </c>
      <c r="H9959" s="38" t="n">
        <f aca="false">Sens!$H$9957*Sens!$H$9958</f>
        <v>521.386990416437</v>
      </c>
      <c r="I9959" s="38" t="n">
        <f aca="false">Sens!$I$9957*Sens!$I$9958</f>
        <v>570.143862887555</v>
      </c>
      <c r="J9959" s="38" t="n">
        <f aca="false">Sens!$J$9957*Sens!$J$9958</f>
        <v>615.391435791933</v>
      </c>
      <c r="K9959" s="38" t="n">
        <f aca="false">Sens!$K$9957*Sens!$K$9958</f>
        <v>655.208227561543</v>
      </c>
      <c r="L9959" s="38" t="n">
        <f aca="false">Sens!$L$9957*Sens!$L$9958</f>
        <v>697.807739249767</v>
      </c>
      <c r="M9959" s="38" t="n">
        <f aca="false">Sens!$M$9957*Sens!$M$9958</f>
        <v>743.399328463592</v>
      </c>
      <c r="N9959" s="38" t="n">
        <f aca="false">Q!$N$5</f>
        <v>192.955</v>
      </c>
      <c r="O9959" s="38" t="n">
        <f aca="false">Q!$O$5</f>
        <v>233.35</v>
      </c>
      <c r="P9959" s="5" t="s">
        <v>679</v>
      </c>
    </row>
    <row r="9960" customFormat="false" ht="17.15" hidden="false" customHeight="false" outlineLevel="0" collapsed="false">
      <c r="A9960" s="1" t="s">
        <v>512</v>
      </c>
      <c r="B9960" s="8" t="s">
        <v>86</v>
      </c>
      <c r="C9960" s="38" t="n">
        <f aca="false">Q!$D$6</f>
        <v>142.906</v>
      </c>
      <c r="D9960" s="38" t="n">
        <f aca="false">Q!$E$6</f>
        <v>161.894</v>
      </c>
      <c r="E9960" s="38" t="n">
        <f aca="false">Q!$P$6</f>
        <v>81.986</v>
      </c>
      <c r="F9960" s="38" t="n">
        <f aca="false">Sens!$F$9957*(1-Sens!$F$9958)</f>
        <v>98.408468164951</v>
      </c>
      <c r="G9960" s="38" t="n">
        <f aca="false">Sens!$E$9960+Sens!$F$9960</f>
        <v>180.394468164951</v>
      </c>
      <c r="H9960" s="38" t="n">
        <f aca="false">Sens!$H$9957*(1-Sens!$H$9958)</f>
        <v>199.709899104949</v>
      </c>
      <c r="I9960" s="38" t="n">
        <f aca="false">Sens!$I$9957*(1-Sens!$I$9958)</f>
        <v>218.385528264976</v>
      </c>
      <c r="J9960" s="38" t="n">
        <f aca="false">Sens!$J$9957*(1-Sens!$J$9958)</f>
        <v>235.71696994951</v>
      </c>
      <c r="K9960" s="38" t="n">
        <f aca="false">Sens!$K$9957*(1-Sens!$K$9958)</f>
        <v>250.968227869545</v>
      </c>
      <c r="L9960" s="38" t="n">
        <f aca="false">Sens!$L$9957*(1-Sens!$L$9958)</f>
        <v>267.285367225822</v>
      </c>
      <c r="M9960" s="38" t="n">
        <f aca="false">Sens!$M$9957*(1-Sens!$M$9958)</f>
        <v>284.748579483295</v>
      </c>
      <c r="N9960" s="38" t="n">
        <f aca="false">Q!$N$6</f>
        <v>70.274</v>
      </c>
      <c r="O9960" s="38" t="n">
        <f aca="false">Q!$O$6</f>
        <v>91.62</v>
      </c>
      <c r="P9960" s="5" t="s">
        <v>680</v>
      </c>
    </row>
    <row r="9961" customFormat="false" ht="17.15" hidden="false" customHeight="false" outlineLevel="0" collapsed="false">
      <c r="A9961" s="5" t="s">
        <v>681</v>
      </c>
      <c r="B9961" s="0" t="s">
        <v>86</v>
      </c>
      <c r="C9961" s="38" t="n">
        <f aca="false">Sens!$C$9950*Sens!$C$9958</f>
        <v>41.0683128828457</v>
      </c>
      <c r="D9961" s="38" t="n">
        <f aca="false">Sens!$D$9950*Sens!$D$9958</f>
        <v>49.7441234599175</v>
      </c>
      <c r="E9961" s="38" t="n">
        <f aca="false">Sens!$E$9950*Sens!$E$9958</f>
        <v>27.0034224924414</v>
      </c>
      <c r="F9961" s="38" t="n">
        <f aca="false">Sens!$F$9950*Sens!$F$9958</f>
        <v>33.1439448330513</v>
      </c>
      <c r="G9961" s="38" t="n">
        <f aca="false">Sens!$G$9950*Sens!$G$9958</f>
        <v>60.164183844083</v>
      </c>
      <c r="H9961" s="38" t="n">
        <f aca="false">Sens!$H$9950*Sens!$H$9958</f>
        <v>72.2301766552629</v>
      </c>
      <c r="I9961" s="38" t="n">
        <f aca="false">Sens!$I$9950*Sens!$I$9958</f>
        <v>84.2950764463991</v>
      </c>
      <c r="J9961" s="38" t="n">
        <f aca="false">Sens!$J$9950*Sens!$J$9958</f>
        <v>95.5499047729386</v>
      </c>
      <c r="K9961" s="38" t="n">
        <f aca="false">Sens!$K$9950*Sens!$K$9958</f>
        <v>105.104895250232</v>
      </c>
      <c r="L9961" s="38" t="n">
        <f aca="false">Sens!$L$9950*Sens!$L$9958</f>
        <v>115.615384775256</v>
      </c>
      <c r="M9961" s="38" t="n">
        <f aca="false">Sens!$M$9950*Sens!$M$9958</f>
        <v>127.176923252781</v>
      </c>
      <c r="N9961" s="38" t="n">
        <f aca="false">Sens!$N$9950*Sens!$N$9958</f>
        <v>21.7087111412496</v>
      </c>
      <c r="O9961" s="38" t="n">
        <f aca="false">Sens!$O$9950*Sens!$O$9958</f>
        <v>28.0189463642798</v>
      </c>
      <c r="P9961" s="5" t="s">
        <v>682</v>
      </c>
    </row>
    <row r="9962" customFormat="false" ht="15" hidden="false" customHeight="false" outlineLevel="0" collapsed="false">
      <c r="A9962" s="5" t="s">
        <v>683</v>
      </c>
      <c r="B9962" s="0" t="s">
        <v>86</v>
      </c>
      <c r="C9962" s="38" t="n">
        <f aca="false">Sens!$C$9950-Sens!$C$9961</f>
        <v>15.1456871171543</v>
      </c>
      <c r="D9962" s="38" t="n">
        <f aca="false">Sens!$D$9950-Sens!$D$9961</f>
        <v>18.8908765400825</v>
      </c>
      <c r="E9962" s="38" t="n">
        <f aca="false">Sens!$E$9950-Sens!$E$9961</f>
        <v>10.0485775075586</v>
      </c>
      <c r="F9962" s="38" t="n">
        <f aca="false">Sens!$F$9950-Sens!$F$9961</f>
        <v>13.0132771613635</v>
      </c>
      <c r="G9962" s="38" t="n">
        <f aca="false">Sens!$G$9950-Sens!$G$9961</f>
        <v>23.0450381503318</v>
      </c>
      <c r="H9962" s="38" t="n">
        <f aca="false">Sens!$H$9950-Sens!$H$9961</f>
        <v>27.6667457326347</v>
      </c>
      <c r="I9962" s="38" t="n">
        <f aca="false">Sens!$I$9950-Sens!$I$9961</f>
        <v>32.2880346490971</v>
      </c>
      <c r="J9962" s="38" t="n">
        <f aca="false">Sens!$J$9950-Sens!$J$9961</f>
        <v>36.5990371690132</v>
      </c>
      <c r="K9962" s="38" t="n">
        <f aca="false">Sens!$K$9950-Sens!$K$9961</f>
        <v>40.2589408859145</v>
      </c>
      <c r="L9962" s="38" t="n">
        <f aca="false">Sens!$L$9950-Sens!$L$9961</f>
        <v>44.2848349745059</v>
      </c>
      <c r="M9962" s="38" t="n">
        <f aca="false">Sens!$M$9950-Sens!$M$9961</f>
        <v>48.7133184719565</v>
      </c>
      <c r="N9962" s="38" t="n">
        <f aca="false">Sens!$N$9950-Sens!$N$9961</f>
        <v>7.90628885875037</v>
      </c>
      <c r="O9962" s="38" t="n">
        <f aca="false">Sens!$O$9950-Sens!$O$9961</f>
        <v>11.0010536357202</v>
      </c>
    </row>
    <row r="9963" customFormat="false" ht="19.4" hidden="false" customHeight="false" outlineLevel="0" collapsed="false">
      <c r="A9963" s="31" t="s">
        <v>1333</v>
      </c>
    </row>
    <row r="9964" customFormat="false" ht="17.15" hidden="false" customHeight="false" outlineLevel="0" collapsed="false">
      <c r="A9964" s="6" t="s">
        <v>16</v>
      </c>
      <c r="B9964" s="6" t="s">
        <v>17</v>
      </c>
      <c r="C9964" s="20" t="s">
        <v>494</v>
      </c>
      <c r="D9964" s="20" t="s">
        <v>495</v>
      </c>
      <c r="E9964" s="20" t="s">
        <v>577</v>
      </c>
      <c r="F9964" s="20" t="s">
        <v>578</v>
      </c>
      <c r="G9964" s="20" t="s">
        <v>579</v>
      </c>
      <c r="H9964" s="20" t="s">
        <v>580</v>
      </c>
      <c r="I9964" s="20" t="s">
        <v>581</v>
      </c>
      <c r="J9964" s="20" t="s">
        <v>582</v>
      </c>
      <c r="K9964" s="20" t="s">
        <v>583</v>
      </c>
      <c r="L9964" s="20" t="s">
        <v>584</v>
      </c>
      <c r="M9964" s="20" t="s">
        <v>585</v>
      </c>
      <c r="N9964" s="20" t="s">
        <v>586</v>
      </c>
      <c r="O9964" s="20" t="s">
        <v>587</v>
      </c>
      <c r="P9964" s="6" t="s">
        <v>23</v>
      </c>
      <c r="R9964" s="20" t="n">
        <v>2023</v>
      </c>
      <c r="S9964" s="20" t="n">
        <v>2024</v>
      </c>
      <c r="T9964" s="20" t="n">
        <v>2025</v>
      </c>
      <c r="U9964" s="20" t="n">
        <v>2026</v>
      </c>
      <c r="V9964" s="20" t="n">
        <v>2027</v>
      </c>
      <c r="W9964" s="20" t="n">
        <v>2028</v>
      </c>
      <c r="X9964" s="20" t="n">
        <v>2029</v>
      </c>
      <c r="Y9964" s="20" t="n">
        <v>2030</v>
      </c>
      <c r="Z9964" s="20" t="n">
        <v>2031</v>
      </c>
      <c r="AA9964" s="20" t="n">
        <v>2032</v>
      </c>
    </row>
    <row r="9965" customFormat="false" ht="17.15" hidden="false" customHeight="false" outlineLevel="0" collapsed="false">
      <c r="A9965" s="1" t="s">
        <v>588</v>
      </c>
    </row>
    <row r="9966" customFormat="false" ht="17.15" hidden="false" customHeight="false" outlineLevel="0" collapsed="false">
      <c r="A9966" s="5" t="s">
        <v>589</v>
      </c>
      <c r="B9966" s="0" t="s">
        <v>144</v>
      </c>
      <c r="H9966" s="32" t="n">
        <f aca="false">pace_B</f>
        <v>3634.3</v>
      </c>
      <c r="I9966" s="32" t="n">
        <f aca="false">pace_B</f>
        <v>3634.3</v>
      </c>
      <c r="J9966" s="32" t="n">
        <f aca="false">pace_B</f>
        <v>3634.3</v>
      </c>
      <c r="K9966" s="32" t="n">
        <f aca="false">pace_B+(Sens!$J$9967*tg_hi-pace_B)*1/3</f>
        <v>2620.20066666667</v>
      </c>
      <c r="L9966" s="32" t="n">
        <f aca="false">pace_B+(Sens!$J$9967*tg_hi-pace_B)*2/3</f>
        <v>1606.10133333333</v>
      </c>
      <c r="M9966" s="32" t="n">
        <f aca="false">pace_B+(Sens!$J$9967*tg_hi-pace_B)*3/3</f>
        <v>592.002</v>
      </c>
      <c r="P9966" s="5" t="s">
        <v>590</v>
      </c>
    </row>
    <row r="9967" customFormat="false" ht="17.15" hidden="false" customHeight="false" outlineLevel="0" collapsed="false">
      <c r="A9967" s="15" t="s">
        <v>591</v>
      </c>
      <c r="B9967" s="14" t="s">
        <v>129</v>
      </c>
      <c r="C9967" s="33" t="n">
        <f aca="false">mw_ye24</f>
        <v>360</v>
      </c>
      <c r="D9967" s="33" t="n">
        <f aca="false">mw_ye25</f>
        <v>1440</v>
      </c>
      <c r="E9967" s="33" t="n">
        <f aca="false">mw_open</f>
        <v>2080</v>
      </c>
      <c r="F9967" s="33" t="n">
        <f aca="false">Sens!$E$9967+pace_B*0.5</f>
        <v>3897.15</v>
      </c>
      <c r="G9967" s="33" t="n">
        <f aca="false">Sens!$F$9967</f>
        <v>3897.15</v>
      </c>
      <c r="H9967" s="33" t="n">
        <f aca="false">Sens!$G$9967+Sens!$H$9966</f>
        <v>7531.45</v>
      </c>
      <c r="I9967" s="33" t="n">
        <f aca="false">Sens!$H$9967+Sens!$I$9966</f>
        <v>11165.75</v>
      </c>
      <c r="J9967" s="33" t="n">
        <f aca="false">Sens!$I$9967+Sens!$J$9966</f>
        <v>14800.05</v>
      </c>
      <c r="K9967" s="33" t="n">
        <f aca="false">Sens!$J$9967+Sens!$K$9966</f>
        <v>17420.2506666667</v>
      </c>
      <c r="L9967" s="33" t="n">
        <f aca="false">Sens!$K$9967+Sens!$L$9966</f>
        <v>19026.352</v>
      </c>
      <c r="M9967" s="33" t="n">
        <f aca="false">Sens!$L$9967+Sens!$M$9966</f>
        <v>19618.354</v>
      </c>
      <c r="N9967" s="33" t="n">
        <f aca="false">(mw_ye24+mw_ye25)/2</f>
        <v>900</v>
      </c>
      <c r="O9967" s="33" t="n">
        <f aca="false">mw_ye25</f>
        <v>1440</v>
      </c>
      <c r="P9967" s="5" t="s">
        <v>592</v>
      </c>
    </row>
    <row r="9968" customFormat="false" ht="17.15" hidden="false" customHeight="false" outlineLevel="0" collapsed="false">
      <c r="A9968" s="5" t="s">
        <v>593</v>
      </c>
      <c r="B9968" s="0" t="s">
        <v>129</v>
      </c>
      <c r="C9968" s="32" t="n">
        <f aca="false">(mw_ye23+mw_ye24)/2</f>
        <v>240</v>
      </c>
      <c r="D9968" s="32" t="n">
        <f aca="false">(Sens!$C$9967+Sens!$D$9967)/2</f>
        <v>900</v>
      </c>
      <c r="E9968" s="32" t="n">
        <f aca="false">(Sens!$D$9967+Sens!$E$9967)/2</f>
        <v>1760</v>
      </c>
      <c r="F9968" s="32" t="n">
        <f aca="false">(Sens!$E$9967+Sens!$F$9967)/2</f>
        <v>2988.575</v>
      </c>
      <c r="G9968" s="32" t="n">
        <f aca="false">(Sens!$E$9968+Sens!$F$9968)/2</f>
        <v>2374.2875</v>
      </c>
      <c r="H9968" s="32" t="n">
        <f aca="false">(Sens!$G$9967+Sens!$H$9967)/2</f>
        <v>5714.3</v>
      </c>
      <c r="I9968" s="32" t="n">
        <f aca="false">(Sens!$H$9967+Sens!$I$9967)/2</f>
        <v>9348.6</v>
      </c>
      <c r="J9968" s="32" t="n">
        <f aca="false">(Sens!$I$9967+Sens!$J$9967)/2</f>
        <v>12982.9</v>
      </c>
      <c r="K9968" s="32" t="n">
        <f aca="false">(Sens!$J$9967+Sens!$K$9967)/2</f>
        <v>16110.1503333333</v>
      </c>
      <c r="L9968" s="32" t="n">
        <f aca="false">(Sens!$K$9967+Sens!$L$9967)/2</f>
        <v>18223.3013333333</v>
      </c>
      <c r="M9968" s="32" t="n">
        <f aca="false">(Sens!$L$9967+Sens!$M$9967)/2</f>
        <v>19322.353</v>
      </c>
      <c r="N9968" s="32" t="n">
        <f aca="false">(Sens!$C$9967+Sens!$N$9967)/2</f>
        <v>630</v>
      </c>
      <c r="O9968" s="32" t="n">
        <f aca="false">(Sens!$N$9967+Sens!$O$9967)/2</f>
        <v>1170</v>
      </c>
    </row>
    <row r="9969" customFormat="false" ht="15" hidden="false" customHeight="false" outlineLevel="0" collapsed="false">
      <c r="A9969" s="5" t="s">
        <v>594</v>
      </c>
      <c r="B9969" s="5" t="s">
        <v>123</v>
      </c>
      <c r="C9969" s="34" t="n">
        <v>1</v>
      </c>
      <c r="D9969" s="34" t="n">
        <v>1</v>
      </c>
      <c r="E9969" s="34" t="n">
        <v>0.5</v>
      </c>
      <c r="F9969" s="34" t="n">
        <v>0.5</v>
      </c>
      <c r="G9969" s="34" t="n">
        <v>1</v>
      </c>
      <c r="H9969" s="34" t="n">
        <v>1</v>
      </c>
      <c r="I9969" s="34" t="n">
        <v>1</v>
      </c>
      <c r="J9969" s="34" t="n">
        <v>1</v>
      </c>
      <c r="K9969" s="34" t="n">
        <v>1</v>
      </c>
      <c r="L9969" s="34" t="n">
        <v>1</v>
      </c>
      <c r="M9969" s="34" t="n">
        <v>1</v>
      </c>
      <c r="N9969" s="34" t="n">
        <v>0.5</v>
      </c>
      <c r="O9969" s="34" t="n">
        <v>0.5</v>
      </c>
    </row>
    <row r="9970" customFormat="false" ht="17.15" hidden="false" customHeight="false" outlineLevel="0" collapsed="false">
      <c r="A9970" s="5" t="s">
        <v>595</v>
      </c>
      <c r="B9970" s="0" t="s">
        <v>129</v>
      </c>
      <c r="C9970" s="32" t="n">
        <f aca="false">Sens!$C$9967-mw_ye23</f>
        <v>240</v>
      </c>
      <c r="D9970" s="32" t="n">
        <f aca="false">Sens!$D$9967-Sens!$C$9967</f>
        <v>1080</v>
      </c>
      <c r="E9970" s="32" t="n">
        <f aca="false">Sens!$E$9967-Sens!$D$9967</f>
        <v>640</v>
      </c>
      <c r="F9970" s="32" t="n">
        <f aca="false">Sens!$F$9967-Sens!$E$9967</f>
        <v>1817.15</v>
      </c>
      <c r="G9970" s="32" t="n">
        <f aca="false">Sens!$E$9970+Sens!$F$9970</f>
        <v>2457.15</v>
      </c>
      <c r="H9970" s="32" t="n">
        <f aca="false">Sens!$H$9967-Sens!$G$9967</f>
        <v>3634.3</v>
      </c>
      <c r="I9970" s="32" t="n">
        <f aca="false">Sens!$I$9967-Sens!$H$9967</f>
        <v>3634.3</v>
      </c>
      <c r="J9970" s="32" t="n">
        <f aca="false">Sens!$J$9967-Sens!$I$9967</f>
        <v>3634.3</v>
      </c>
      <c r="K9970" s="32" t="n">
        <f aca="false">Sens!$K$9967-Sens!$J$9967</f>
        <v>2620.20066666667</v>
      </c>
      <c r="L9970" s="32" t="n">
        <f aca="false">Sens!$L$9967-Sens!$K$9967</f>
        <v>1606.10133333333</v>
      </c>
      <c r="M9970" s="32" t="n">
        <f aca="false">Sens!$M$9967-Sens!$L$9967</f>
        <v>592.002</v>
      </c>
      <c r="N9970" s="32" t="n">
        <f aca="false">Sens!$N$9967-Sens!$C$9967</f>
        <v>540</v>
      </c>
      <c r="O9970" s="32" t="n">
        <f aca="false">Sens!$O$9967-Sens!$N$9967</f>
        <v>540</v>
      </c>
    </row>
    <row r="9971" customFormat="false" ht="17.15" hidden="false" customHeight="false" outlineLevel="0" collapsed="false">
      <c r="A9971" s="5" t="s">
        <v>596</v>
      </c>
      <c r="B9971" s="0" t="s">
        <v>129</v>
      </c>
      <c r="C9971" s="32" t="n">
        <f aca="false">Sens!$C$9970/ext_sh</f>
        <v>300</v>
      </c>
      <c r="D9971" s="32" t="n">
        <f aca="false">Sens!$D$9970/ext_sh</f>
        <v>1350</v>
      </c>
      <c r="E9971" s="32" t="n">
        <f aca="false">Sens!$E$9970/ext_sh</f>
        <v>800</v>
      </c>
      <c r="F9971" s="32" t="n">
        <f aca="false">Sens!$F$9970/ext_sh</f>
        <v>2271.4375</v>
      </c>
      <c r="G9971" s="32" t="n">
        <f aca="false">Sens!$G$9970/ext_sh</f>
        <v>3071.4375</v>
      </c>
      <c r="H9971" s="32" t="n">
        <f aca="false">Sens!$H$9970/ext_sh</f>
        <v>4542.875</v>
      </c>
      <c r="I9971" s="32" t="n">
        <f aca="false">Sens!$I$9970/ext_sh</f>
        <v>4542.875</v>
      </c>
      <c r="J9971" s="32" t="n">
        <f aca="false">Sens!$J$9970/ext_sh</f>
        <v>4542.875</v>
      </c>
      <c r="K9971" s="32" t="n">
        <f aca="false">Sens!$K$9970/ext_sh</f>
        <v>3275.25083333333</v>
      </c>
      <c r="L9971" s="32" t="n">
        <f aca="false">Sens!$L$9970/ext_sh</f>
        <v>2007.62666666667</v>
      </c>
      <c r="M9971" s="32" t="n">
        <f aca="false">Sens!$M$9970/ext_sh</f>
        <v>740.002500000001</v>
      </c>
      <c r="N9971" s="32" t="n">
        <f aca="false">Sens!$N$9970/ext_sh</f>
        <v>675</v>
      </c>
      <c r="O9971" s="32" t="n">
        <f aca="false">Sens!$O$9970/ext_sh</f>
        <v>675</v>
      </c>
      <c r="P9971" s="8" t="s">
        <v>597</v>
      </c>
      <c r="R9971" s="32" t="n">
        <f aca="false">mw_ye23/ext_sh</f>
        <v>150</v>
      </c>
      <c r="S9971" s="32" t="n">
        <f aca="false">Sens!$C$9971</f>
        <v>300</v>
      </c>
      <c r="T9971" s="32" t="n">
        <f aca="false">Sens!$D$9971</f>
        <v>1350</v>
      </c>
      <c r="U9971" s="32" t="n">
        <f aca="false">Sens!$G$9971</f>
        <v>3071.4375</v>
      </c>
      <c r="V9971" s="32" t="n">
        <f aca="false">Sens!$H$9971</f>
        <v>4542.875</v>
      </c>
      <c r="W9971" s="32" t="n">
        <f aca="false">Sens!$I$9971</f>
        <v>4542.875</v>
      </c>
      <c r="X9971" s="32" t="n">
        <f aca="false">Sens!$J$9971</f>
        <v>4542.875</v>
      </c>
      <c r="Y9971" s="32" t="n">
        <f aca="false">Sens!$K$9971</f>
        <v>3275.25083333333</v>
      </c>
      <c r="Z9971" s="32" t="n">
        <f aca="false">Sens!$L$9971</f>
        <v>2007.62666666667</v>
      </c>
      <c r="AA9971" s="32" t="n">
        <f aca="false">Sens!$M$9971</f>
        <v>740.002500000001</v>
      </c>
    </row>
    <row r="9972" customFormat="false" ht="17.15" hidden="false" customHeight="false" outlineLevel="0" collapsed="false">
      <c r="A9972" s="1" t="s">
        <v>598</v>
      </c>
    </row>
    <row r="9973" customFormat="false" ht="17.15" hidden="false" customHeight="false" outlineLevel="0" collapsed="false">
      <c r="A9973" s="0" t="s">
        <v>599</v>
      </c>
      <c r="B9973" s="0" t="s">
        <v>52</v>
      </c>
      <c r="F9973" s="35" t="n">
        <f aca="false">na_vr26</f>
        <v>0</v>
      </c>
      <c r="G9973" s="35" t="n">
        <f aca="false">na_vr26</f>
        <v>0</v>
      </c>
      <c r="H9973" s="35" t="n">
        <f aca="false">na_vr27</f>
        <v>0.5</v>
      </c>
      <c r="I9973" s="35" t="n">
        <f aca="false">na_vr28</f>
        <v>1</v>
      </c>
      <c r="J9973" s="35" t="n">
        <f aca="false">na_vr28</f>
        <v>1</v>
      </c>
      <c r="K9973" s="35" t="n">
        <f aca="false">na_vr28</f>
        <v>1</v>
      </c>
      <c r="L9973" s="35" t="n">
        <f aca="false">na_vr28</f>
        <v>1</v>
      </c>
      <c r="M9973" s="35" t="n">
        <f aca="false">na_vr28</f>
        <v>1</v>
      </c>
    </row>
    <row r="9974" customFormat="false" ht="17.15" hidden="false" customHeight="false" outlineLevel="0" collapsed="false">
      <c r="A9974" s="5" t="s">
        <v>600</v>
      </c>
      <c r="B9974" s="0" t="s">
        <v>173</v>
      </c>
      <c r="F9974" s="36" t="n">
        <f aca="false">cust_sh*tk_he_gb300*cf_chip+(1-cust_sh)*((1-Sens!$F$9973)*tk_he_gb300+Sens!$F$9973*tk_he_vr200)</f>
        <v>10.8864110021101</v>
      </c>
      <c r="G9974" s="36" t="n">
        <f aca="false">cust_sh*tk_he_gb300*cf_chip+(1-cust_sh)*((1-Sens!$G$9973)*tk_he_gb300+Sens!$G$9973*tk_he_vr200)</f>
        <v>10.8864110021101</v>
      </c>
      <c r="H9974" s="36" t="n">
        <f aca="false">cust_sh*tk_he_gb300*cf_chip+(1-cust_sh)*((1-Sens!$H$9973)*tk_he_gb300+Sens!$H$9973*tk_he_vr200)</f>
        <v>11.2211760027286</v>
      </c>
      <c r="I9974" s="36" t="n">
        <f aca="false">cust_sh*tk_he_gb300*cf_chip+(1-cust_sh)*((1-Sens!$I$9973)*tk_he_gb300+Sens!$I$9973*tk_he_vr200)</f>
        <v>11.5559410033471</v>
      </c>
      <c r="J9974" s="36" t="n">
        <f aca="false">cust_sh*tk_he_gb300*cf_chip+(1-cust_sh)*((1-Sens!$J$9973)*tk_he_gb300+Sens!$J$9973*tk_he_vr200)</f>
        <v>11.5559410033471</v>
      </c>
      <c r="K9974" s="36" t="n">
        <f aca="false">cust_sh*tk_he_gb300*cf_chip+(1-cust_sh)*((1-Sens!$K$9973)*tk_he_gb300+Sens!$K$9973*tk_he_vr200)</f>
        <v>11.5559410033471</v>
      </c>
      <c r="L9974" s="36" t="n">
        <f aca="false">cust_sh*tk_he_gb300*cf_chip+(1-cust_sh)*((1-Sens!$L$9973)*tk_he_gb300+Sens!$L$9973*tk_he_vr200)</f>
        <v>11.5559410033471</v>
      </c>
      <c r="M9974" s="36" t="n">
        <f aca="false">cust_sh*tk_he_gb300*cf_chip+(1-cust_sh)*((1-Sens!$M$9973)*tk_he_gb300+Sens!$M$9973*tk_he_vr200)</f>
        <v>11.5559410033471</v>
      </c>
    </row>
    <row r="9975" customFormat="false" ht="17.15" hidden="false" customHeight="false" outlineLevel="0" collapsed="false">
      <c r="A9975" s="5" t="s">
        <v>601</v>
      </c>
      <c r="B9975" s="0" t="s">
        <v>173</v>
      </c>
      <c r="F9975" s="36" t="n">
        <f aca="false">cust_sh*tk_ox_gb300+(1-cust_sh)*((1-Sens!$F$9973)*tk_ox_gb300+Sens!$F$9973*tk_ox_vr200)</f>
        <v>1.98263481314457</v>
      </c>
      <c r="G9975" s="36" t="n">
        <f aca="false">cust_sh*tk_ox_gb300+(1-cust_sh)*((1-Sens!$G$9973)*tk_ox_gb300+Sens!$G$9973*tk_ox_vr200)</f>
        <v>1.98263481314457</v>
      </c>
      <c r="H9975" s="36" t="n">
        <f aca="false">cust_sh*tk_ox_gb300+(1-cust_sh)*((1-Sens!$H$9973)*tk_ox_gb300+Sens!$H$9973*tk_ox_vr200)</f>
        <v>2.01034999693694</v>
      </c>
      <c r="I9975" s="36" t="n">
        <f aca="false">cust_sh*tk_ox_gb300+(1-cust_sh)*((1-Sens!$I$9973)*tk_ox_gb300+Sens!$I$9973*tk_ox_vr200)</f>
        <v>2.0380651807293</v>
      </c>
      <c r="J9975" s="36" t="n">
        <f aca="false">cust_sh*tk_ox_gb300+(1-cust_sh)*((1-Sens!$J$9973)*tk_ox_gb300+Sens!$J$9973*tk_ox_vr200)</f>
        <v>2.0380651807293</v>
      </c>
      <c r="K9975" s="36" t="n">
        <f aca="false">cust_sh*tk_ox_gb300+(1-cust_sh)*((1-Sens!$K$9973)*tk_ox_gb300+Sens!$K$9973*tk_ox_vr200)</f>
        <v>2.0380651807293</v>
      </c>
      <c r="L9975" s="36" t="n">
        <f aca="false">cust_sh*tk_ox_gb300+(1-cust_sh)*((1-Sens!$L$9973)*tk_ox_gb300+Sens!$L$9973*tk_ox_vr200)</f>
        <v>2.0380651807293</v>
      </c>
      <c r="M9975" s="36" t="n">
        <f aca="false">cust_sh*tk_ox_gb300+(1-cust_sh)*((1-Sens!$M$9973)*tk_ox_gb300+Sens!$M$9973*tk_ox_vr200)</f>
        <v>2.0380651807293</v>
      </c>
    </row>
    <row r="9976" customFormat="false" ht="17.15" hidden="false" customHeight="false" outlineLevel="0" collapsed="false">
      <c r="A9976" s="5" t="s">
        <v>602</v>
      </c>
      <c r="B9976" s="0" t="s">
        <v>192</v>
      </c>
      <c r="F9976" s="36" t="n">
        <f aca="false">cust_sh*tk_cx_gb300*cf_cx+(1-cust_sh)*((1-Sens!$F$9973)*tk_cx_gb300+Sens!$F$9973*tk_cx_vr200)</f>
        <v>32.237224</v>
      </c>
      <c r="G9976" s="36" t="n">
        <f aca="false">cust_sh*tk_cx_gb300*cf_cx+(1-cust_sh)*((1-Sens!$G$9973)*tk_cx_gb300+Sens!$G$9973*tk_cx_vr200)</f>
        <v>32.237224</v>
      </c>
      <c r="H9976" s="36" t="n">
        <f aca="false">cust_sh*tk_cx_gb300*cf_cx+(1-cust_sh)*((1-Sens!$H$9973)*tk_cx_gb300+Sens!$H$9973*tk_cx_vr200)</f>
        <v>33.574506</v>
      </c>
      <c r="I9976" s="36" t="n">
        <f aca="false">cust_sh*tk_cx_gb300*cf_cx+(1-cust_sh)*((1-Sens!$I$9973)*tk_cx_gb300+Sens!$I$9973*tk_cx_vr200)</f>
        <v>34.911788</v>
      </c>
      <c r="J9976" s="36" t="n">
        <f aca="false">cust_sh*tk_cx_gb300*cf_cx+(1-cust_sh)*((1-Sens!$J$9973)*tk_cx_gb300+Sens!$J$9973*tk_cx_vr200)</f>
        <v>34.911788</v>
      </c>
      <c r="K9976" s="36" t="n">
        <f aca="false">cust_sh*tk_cx_gb300*cf_cx+(1-cust_sh)*((1-Sens!$K$9973)*tk_cx_gb300+Sens!$K$9973*tk_cx_vr200)</f>
        <v>34.911788</v>
      </c>
      <c r="L9976" s="36" t="n">
        <f aca="false">cust_sh*tk_cx_gb300*cf_cx+(1-cust_sh)*((1-Sens!$L$9973)*tk_cx_gb300+Sens!$L$9973*tk_cx_vr200)</f>
        <v>34.911788</v>
      </c>
      <c r="M9976" s="36" t="n">
        <f aca="false">cust_sh*tk_cx_gb300*cf_cx+(1-cust_sh)*((1-Sens!$M$9973)*tk_cx_gb300+Sens!$M$9973*tk_cx_vr200)</f>
        <v>34.911788</v>
      </c>
    </row>
    <row r="9977" customFormat="false" ht="17.15" hidden="false" customHeight="false" outlineLevel="0" collapsed="false">
      <c r="A9977" s="5" t="s">
        <v>603</v>
      </c>
      <c r="B9977" s="0" t="s">
        <v>129</v>
      </c>
      <c r="F9977" s="32" t="n">
        <f aca="false">Sens!$F$9967-mw_open</f>
        <v>1817.15</v>
      </c>
      <c r="G9977" s="32" t="n">
        <f aca="false">Sens!$F$9977</f>
        <v>1817.15</v>
      </c>
      <c r="H9977" s="32" t="n">
        <f aca="false">Sens!$H$9967-mw_open</f>
        <v>5451.45</v>
      </c>
      <c r="I9977" s="32" t="n">
        <f aca="false">Sens!$I$9967-mw_open</f>
        <v>9085.75</v>
      </c>
      <c r="J9977" s="32" t="n">
        <f aca="false">Sens!$J$9967-mw_open</f>
        <v>12720.05</v>
      </c>
      <c r="K9977" s="32" t="n">
        <f aca="false">Sens!$K$9967-mw_open</f>
        <v>15340.2506666667</v>
      </c>
      <c r="L9977" s="32" t="n">
        <f aca="false">Sens!$L$9967-mw_open</f>
        <v>16946.352</v>
      </c>
      <c r="M9977" s="32" t="n">
        <f aca="false">Sens!$M$9967-mw_open</f>
        <v>17538.354</v>
      </c>
    </row>
    <row r="9978" customFormat="false" ht="17.15" hidden="false" customHeight="false" outlineLevel="0" collapsed="false">
      <c r="A9978" s="0" t="s">
        <v>604</v>
      </c>
      <c r="B9978" s="0" t="s">
        <v>605</v>
      </c>
      <c r="F9978" s="32" t="n">
        <f aca="false">Sens!$F$9970*Sens!$F$9974</f>
        <v>19782.2417524844</v>
      </c>
      <c r="G9978" s="32" t="n">
        <f aca="false">Sens!$F$9978</f>
        <v>19782.2417524844</v>
      </c>
      <c r="H9978" s="32" t="n">
        <f aca="false">Sens!$G$9978+Sens!$H$9970*Sens!$H$9974</f>
        <v>60563.3616992009</v>
      </c>
      <c r="I9978" s="32" t="n">
        <f aca="false">Sens!$H$9978+Sens!$I$9970*Sens!$I$9974</f>
        <v>102561.118087665</v>
      </c>
      <c r="J9978" s="32" t="n">
        <f aca="false">Sens!$I$9978+Sens!$J$9970*Sens!$J$9974</f>
        <v>144558.87447613</v>
      </c>
      <c r="K9978" s="32" t="n">
        <f aca="false">Sens!$J$9978+Sens!$K$9970*Sens!$K$9974</f>
        <v>174837.75879706</v>
      </c>
      <c r="L9978" s="32" t="n">
        <f aca="false">Sens!$K$9978+Sens!$L$9970*Sens!$L$9974</f>
        <v>193397.771050458</v>
      </c>
      <c r="M9978" s="32" t="n">
        <f aca="false">Sens!$L$9978+Sens!$M$9970*Sens!$M$9974</f>
        <v>200238.911236321</v>
      </c>
    </row>
    <row r="9979" customFormat="false" ht="17.15" hidden="false" customHeight="false" outlineLevel="0" collapsed="false">
      <c r="A9979" s="0" t="s">
        <v>606</v>
      </c>
      <c r="B9979" s="0" t="s">
        <v>605</v>
      </c>
      <c r="F9979" s="32" t="n">
        <f aca="false">Sens!$F$9970*Sens!$F$9975</f>
        <v>3602.74485070566</v>
      </c>
      <c r="G9979" s="32" t="n">
        <f aca="false">Sens!$F$9979</f>
        <v>3602.74485070566</v>
      </c>
      <c r="H9979" s="32" t="n">
        <f aca="false">Sens!$G$9979+Sens!$H$9970*Sens!$H$9975</f>
        <v>10908.9598445736</v>
      </c>
      <c r="I9979" s="32" t="n">
        <f aca="false">Sens!$H$9979+Sens!$I$9970*Sens!$I$9975</f>
        <v>18315.9001308981</v>
      </c>
      <c r="J9979" s="32" t="n">
        <f aca="false">Sens!$I$9979+Sens!$J$9970*Sens!$J$9975</f>
        <v>25722.8404172225</v>
      </c>
      <c r="K9979" s="32" t="n">
        <f aca="false">Sens!$J$9979+Sens!$K$9970*Sens!$K$9975</f>
        <v>31062.9801624796</v>
      </c>
      <c r="L9979" s="32" t="n">
        <f aca="false">Sens!$K$9979+Sens!$L$9970*Sens!$L$9975</f>
        <v>34336.3193666691</v>
      </c>
      <c r="M9979" s="32" t="n">
        <f aca="false">Sens!$L$9979+Sens!$M$9970*Sens!$M$9975</f>
        <v>35542.8580297913</v>
      </c>
    </row>
    <row r="9980" customFormat="false" ht="17.15" hidden="false" customHeight="false" outlineLevel="0" collapsed="false">
      <c r="A9980" s="5" t="s">
        <v>607</v>
      </c>
      <c r="B9980" s="0" t="s">
        <v>173</v>
      </c>
      <c r="F9980" s="36" t="n">
        <f aca="false">IF(Sens!$F$9977&gt;0,Sens!$F$9978/Sens!$F$9977,Sens!$F$9974)</f>
        <v>10.8864110021101</v>
      </c>
      <c r="G9980" s="36" t="n">
        <f aca="false">IF(Sens!$G$9977&gt;0,Sens!$G$9978/Sens!$G$9977,Sens!$G$9974)</f>
        <v>10.8864110021101</v>
      </c>
      <c r="H9980" s="36" t="n">
        <f aca="false">IF(Sens!$H$9977&gt;0,Sens!$H$9978/Sens!$H$9977,Sens!$H$9974)</f>
        <v>11.1095876691891</v>
      </c>
      <c r="I9980" s="36" t="n">
        <f aca="false">IF(Sens!$I$9977&gt;0,Sens!$I$9978/Sens!$I$9977,Sens!$I$9974)</f>
        <v>11.2881290028523</v>
      </c>
      <c r="J9980" s="36" t="n">
        <f aca="false">IF(Sens!$J$9977&gt;0,Sens!$J$9978/Sens!$J$9977,Sens!$J$9974)</f>
        <v>11.3646467172794</v>
      </c>
      <c r="K9980" s="36" t="n">
        <f aca="false">IF(Sens!$K$9977&gt;0,Sens!$K$9978/Sens!$K$9977,Sens!$K$9974)</f>
        <v>11.3973208519318</v>
      </c>
      <c r="L9980" s="36" t="n">
        <f aca="false">IF(Sens!$L$9977&gt;0,Sens!$L$9978/Sens!$L$9977,Sens!$L$9974)</f>
        <v>11.4123541780825</v>
      </c>
      <c r="M9980" s="36" t="n">
        <f aca="false">IF(Sens!$M$9977&gt;0,Sens!$M$9978/Sens!$M$9977,Sens!$M$9974)</f>
        <v>11.4172009092941</v>
      </c>
    </row>
    <row r="9981" customFormat="false" ht="17.15" hidden="false" customHeight="false" outlineLevel="0" collapsed="false">
      <c r="A9981" s="5" t="s">
        <v>608</v>
      </c>
      <c r="B9981" s="0" t="s">
        <v>173</v>
      </c>
      <c r="F9981" s="36" t="n">
        <f aca="false">IF(Sens!$F$9977&gt;0,Sens!$F$9979/Sens!$F$9977,Sens!$F$9975)</f>
        <v>1.98263481314457</v>
      </c>
      <c r="G9981" s="36" t="n">
        <f aca="false">IF(Sens!$G$9977&gt;0,Sens!$G$9979/Sens!$G$9977,Sens!$G$9975)</f>
        <v>1.98263481314457</v>
      </c>
      <c r="H9981" s="36" t="n">
        <f aca="false">IF(Sens!$H$9977&gt;0,Sens!$H$9979/Sens!$H$9977,Sens!$H$9975)</f>
        <v>2.00111160233948</v>
      </c>
      <c r="I9981" s="36" t="n">
        <f aca="false">IF(Sens!$I$9977&gt;0,Sens!$I$9979/Sens!$I$9977,Sens!$I$9975)</f>
        <v>2.01589303369541</v>
      </c>
      <c r="J9981" s="36" t="n">
        <f aca="false">IF(Sens!$J$9977&gt;0,Sens!$J$9979/Sens!$J$9977,Sens!$J$9975)</f>
        <v>2.02222793284795</v>
      </c>
      <c r="K9981" s="36" t="n">
        <f aca="false">IF(Sens!$K$9977&gt;0,Sens!$K$9979/Sens!$K$9977,Sens!$K$9975)</f>
        <v>2.02493302342036</v>
      </c>
      <c r="L9981" s="36" t="n">
        <f aca="false">IF(Sens!$L$9977&gt;0,Sens!$L$9979/Sens!$L$9977,Sens!$L$9975)</f>
        <v>2.02617763201597</v>
      </c>
      <c r="M9981" s="36" t="n">
        <f aca="false">IF(Sens!$M$9977&gt;0,Sens!$M$9979/Sens!$M$9977,Sens!$M$9975)</f>
        <v>2.02657889273938</v>
      </c>
    </row>
    <row r="9982" customFormat="false" ht="17.15" hidden="false" customHeight="false" outlineLevel="0" collapsed="false">
      <c r="A9982" s="15" t="s">
        <v>609</v>
      </c>
      <c r="B9982" s="14" t="s">
        <v>173</v>
      </c>
      <c r="C9982" s="14"/>
      <c r="D9982" s="14"/>
      <c r="E9982" s="14"/>
      <c r="F9982" s="37" t="n">
        <f aca="false">Sens!$F$9980*k_B</f>
        <v>10.7987645808025</v>
      </c>
      <c r="G9982" s="37" t="n">
        <f aca="false">Sens!$G$9980*k_B</f>
        <v>10.7987645808025</v>
      </c>
      <c r="H9982" s="37" t="n">
        <f aca="false">Sens!$H$9980*k_B</f>
        <v>11.0201444540452</v>
      </c>
      <c r="I9982" s="37" t="n">
        <f aca="false">Sens!$I$9980*k_B</f>
        <v>11.1972483526393</v>
      </c>
      <c r="J9982" s="37" t="n">
        <f aca="false">Sens!$J$9980*k_B</f>
        <v>11.2731500234653</v>
      </c>
      <c r="K9982" s="37" t="n">
        <f aca="false">Sens!$K$9980*k_B</f>
        <v>11.3055610988807</v>
      </c>
      <c r="L9982" s="37" t="n">
        <f aca="false">Sens!$L$9980*k_B</f>
        <v>11.3204733918244</v>
      </c>
      <c r="M9982" s="37" t="n">
        <f aca="false">Sens!$M$9980*k_B</f>
        <v>11.3252811020357</v>
      </c>
      <c r="N9982" s="14"/>
      <c r="O9982" s="14"/>
      <c r="P9982" s="5" t="s">
        <v>610</v>
      </c>
    </row>
    <row r="9983" customFormat="false" ht="17.15" hidden="false" customHeight="false" outlineLevel="0" collapsed="false">
      <c r="A9983" s="5" t="s">
        <v>611</v>
      </c>
      <c r="B9983" s="0" t="s">
        <v>129</v>
      </c>
      <c r="F9983" s="32" t="n">
        <f aca="false">Sens!$F$9977/2</f>
        <v>908.575</v>
      </c>
      <c r="H9983" s="32" t="n">
        <f aca="false">(Sens!$G$9977+Sens!$H$9977)/2</f>
        <v>3634.3</v>
      </c>
      <c r="I9983" s="32" t="n">
        <f aca="false">(Sens!$H$9977+Sens!$I$9977)/2</f>
        <v>7268.6</v>
      </c>
      <c r="J9983" s="32" t="n">
        <f aca="false">(Sens!$I$9977+Sens!$J$9977)/2</f>
        <v>10902.9</v>
      </c>
      <c r="K9983" s="32" t="n">
        <f aca="false">(Sens!$J$9977+Sens!$K$9977)/2</f>
        <v>14030.1503333333</v>
      </c>
      <c r="L9983" s="32" t="n">
        <f aca="false">(Sens!$K$9977+Sens!$L$9977)/2</f>
        <v>16143.3013333333</v>
      </c>
      <c r="M9983" s="32" t="n">
        <f aca="false">(Sens!$L$9977+Sens!$M$9977)/2</f>
        <v>17242.353</v>
      </c>
    </row>
    <row r="9984" customFormat="false" ht="17.15" hidden="false" customHeight="false" outlineLevel="0" collapsed="false">
      <c r="A9984" s="1" t="s">
        <v>612</v>
      </c>
    </row>
    <row r="9985" customFormat="false" ht="17.15" hidden="false" customHeight="false" outlineLevel="0" collapsed="false">
      <c r="A9985" s="1" t="s">
        <v>613</v>
      </c>
      <c r="B9985" s="8" t="s">
        <v>86</v>
      </c>
      <c r="C9985" s="38" t="n">
        <f aca="false">Sens!$C$9968*rpm_open*Sens!$C$9969/1000</f>
        <v>2.32100535697364</v>
      </c>
      <c r="D9985" s="38" t="n">
        <f aca="false">Sens!$D$9968*rpm_open*Sens!$D$9969/1000</f>
        <v>8.70377008865116</v>
      </c>
      <c r="E9985" s="38" t="n">
        <f aca="false">Sens!$E$9968*rpm_open*Sens!$E$9969/1000</f>
        <v>8.51035297557002</v>
      </c>
      <c r="F9985" s="38" t="n">
        <f aca="false">(mw_open*rpm_open+Sens!$F$9983*Sens!$F$9982)*Sens!$F$9969/1000</f>
        <v>14.9634336447205</v>
      </c>
      <c r="G9985" s="38" t="n">
        <f aca="false">Sens!$E$9985+Sens!$F$9985</f>
        <v>23.4737866202905</v>
      </c>
      <c r="H9985" s="38" t="n">
        <f aca="false">(mw_open*rpm_open+Sens!$H$9983*Sens!$H$9982)/1000</f>
        <v>60.1658907497746</v>
      </c>
      <c r="I9985" s="38" t="n">
        <f aca="false">(mw_open*rpm_open+Sens!$I$9983*Sens!$I$9982)/1000</f>
        <v>101.503699136432</v>
      </c>
      <c r="J9985" s="38" t="n">
        <f aca="false">(mw_open*rpm_open+Sens!$J$9983*Sens!$J$9982)/1000</f>
        <v>143.025407151278</v>
      </c>
      <c r="K9985" s="38" t="n">
        <f aca="false">(mw_open*rpm_open+Sens!$K$9983*Sens!$K$9982)/1000</f>
        <v>178.73410158042</v>
      </c>
      <c r="L9985" s="38" t="n">
        <f aca="false">(mw_open*rpm_open+Sens!$L$9983*Sens!$L$9982)/1000</f>
        <v>202.865192960641</v>
      </c>
      <c r="M9985" s="38" t="n">
        <f aca="false">(mw_open*rpm_open+Sens!$M$9983*Sens!$M$9982)/1000</f>
        <v>215.389874345967</v>
      </c>
      <c r="N9985" s="38" t="n">
        <f aca="false">Sens!$N$9968*rpm_open*Sens!$N$9969/1000</f>
        <v>3.04631953102791</v>
      </c>
      <c r="O9985" s="38" t="n">
        <f aca="false">Sens!$O$9968*rpm_open*Sens!$O$9969/1000</f>
        <v>5.65745055762326</v>
      </c>
      <c r="P9985" s="5" t="s">
        <v>614</v>
      </c>
    </row>
    <row r="9986" customFormat="false" ht="17.15" hidden="false" customHeight="false" outlineLevel="0" collapsed="false">
      <c r="A9986" s="5" t="s">
        <v>615</v>
      </c>
      <c r="B9986" s="0" t="s">
        <v>173</v>
      </c>
      <c r="C9986" s="36" t="n">
        <f aca="false">Sens!$C$9985*1000/(Sens!$C$9968*Sens!$C$9969)</f>
        <v>9.67085565405685</v>
      </c>
      <c r="D9986" s="36" t="n">
        <f aca="false">Sens!$D$9985*1000/(Sens!$D$9968*Sens!$D$9969)</f>
        <v>9.67085565405685</v>
      </c>
      <c r="E9986" s="36" t="n">
        <f aca="false">Sens!$E$9985*1000/(Sens!$E$9968*Sens!$E$9969)</f>
        <v>9.67085565405685</v>
      </c>
      <c r="F9986" s="36" t="n">
        <f aca="false">Sens!$F$9985*1000/(Sens!$F$9968*Sens!$F$9969)</f>
        <v>10.0137581588017</v>
      </c>
      <c r="G9986" s="36" t="n">
        <f aca="false">Sens!$G$9985*1000/(Sens!$G$9968*Sens!$G$9969)</f>
        <v>9.88666562928478</v>
      </c>
      <c r="H9986" s="36" t="n">
        <f aca="false">Sens!$H$9985*1000/(Sens!$H$9968*Sens!$H$9969)</f>
        <v>10.5290045586992</v>
      </c>
      <c r="I9986" s="36" t="n">
        <f aca="false">Sens!$I$9985*1000/(Sens!$I$9968*Sens!$I$9969)</f>
        <v>10.8576363451674</v>
      </c>
      <c r="J9986" s="36" t="n">
        <f aca="false">Sens!$J$9985*1000/(Sens!$J$9968*Sens!$J$9969)</f>
        <v>11.0164452588619</v>
      </c>
      <c r="K9986" s="36" t="n">
        <f aca="false">Sens!$K$9985*1000/(Sens!$K$9968*Sens!$K$9969)</f>
        <v>11.0945024026625</v>
      </c>
      <c r="L9986" s="36" t="n">
        <f aca="false">Sens!$L$9985*1000/(Sens!$L$9968*Sens!$L$9969)</f>
        <v>11.1321867124904</v>
      </c>
      <c r="M9986" s="36" t="n">
        <f aca="false">Sens!$M$9985*1000/(Sens!$M$9968*Sens!$M$9969)</f>
        <v>11.1471865950263</v>
      </c>
      <c r="N9986" s="36" t="n">
        <f aca="false">Sens!$N$9985*1000/(Sens!$N$9968*Sens!$N$9969)</f>
        <v>9.67085565405685</v>
      </c>
      <c r="O9986" s="36" t="n">
        <f aca="false">Sens!$O$9985*1000/(Sens!$O$9968*Sens!$O$9969)</f>
        <v>9.67085565405685</v>
      </c>
    </row>
    <row r="9987" customFormat="false" ht="17.15" hidden="false" customHeight="false" outlineLevel="0" collapsed="false">
      <c r="A9987" s="0" t="s">
        <v>616</v>
      </c>
      <c r="B9987" s="0" t="s">
        <v>86</v>
      </c>
      <c r="C9987" s="38" t="n">
        <f aca="false">Sens!$C$9968/ext_sh*(ox_open+rent_mw)*Sens!$C$9969/1000</f>
        <v>0.642569210675032</v>
      </c>
      <c r="D9987" s="38" t="n">
        <f aca="false">Sens!$D$9968/ext_sh*(ox_open+rent_mw)*Sens!$D$9969/1000</f>
        <v>2.40963454003137</v>
      </c>
      <c r="E9987" s="38" t="n">
        <f aca="false">Sens!$E$9968/ext_sh*(ox_open+rent_mw)*Sens!$E$9969/1000</f>
        <v>2.35608710580845</v>
      </c>
      <c r="F9987" s="38" t="n">
        <f aca="false">((mw_open*ox_open+Sens!$F$9983*Sens!$F$9981)/ext_sh+Sens!$F$9968/ext_sh*rent_mw)*Sens!$F$9969/1000</f>
        <v>4.05421991106232</v>
      </c>
      <c r="G9987" s="38" t="n">
        <f aca="false">Sens!$E$9987+Sens!$F$9987</f>
        <v>6.41030701687077</v>
      </c>
      <c r="H9987" s="38" t="n">
        <f aca="false">((mw_open*ox_open+Sens!$H$9983*Sens!$H$9981)/ext_sh+Sens!$H$9968/ext_sh*rent_mw)*Sens!$H$9969/1000</f>
        <v>15.8108975546616</v>
      </c>
      <c r="I9987" s="38" t="n">
        <f aca="false">((mw_open*ox_open+Sens!$I$9983*Sens!$I$9981)/ext_sh+Sens!$I$9968/ext_sh*rent_mw)*Sens!$I$9969/1000</f>
        <v>26.1871623400817</v>
      </c>
      <c r="J9987" s="38" t="n">
        <f aca="false">((mw_open*ox_open+Sens!$J$9983*Sens!$J$9981)/ext_sh+Sens!$J$9968/ext_sh*rent_mw)*Sens!$J$9969/1000</f>
        <v>36.5826128954935</v>
      </c>
      <c r="K9987" s="38" t="n">
        <f aca="false">((mw_open*ox_open+Sens!$K$9983*Sens!$K$9981)/ext_sh+Sens!$K$9968/ext_sh*rent_mw)*Sens!$K$9969/1000</f>
        <v>45.5256266941655</v>
      </c>
      <c r="L9987" s="38" t="n">
        <f aca="false">((mw_open*ox_open+Sens!$L$9983*Sens!$L$9981)/ext_sh+Sens!$L$9968/ext_sh*rent_mw)*Sens!$L$9969/1000</f>
        <v>51.568818942134</v>
      </c>
      <c r="M9987" s="38" t="n">
        <f aca="false">((mw_open*ox_open+Sens!$M$9983*Sens!$M$9981)/ext_sh+Sens!$M$9968/ext_sh*rent_mw)*Sens!$M$9969/1000</f>
        <v>54.7091842856355</v>
      </c>
      <c r="N9987" s="38" t="n">
        <f aca="false">Sens!$N$9968/ext_sh*(ox_open+rent_mw)*Sens!$N$9969/1000</f>
        <v>0.84337208901098</v>
      </c>
      <c r="O9987" s="38" t="n">
        <f aca="false">Sens!$O$9968/ext_sh*(ox_open+rent_mw)*Sens!$O$9969/1000</f>
        <v>1.56626245102039</v>
      </c>
    </row>
    <row r="9988" customFormat="false" ht="17.15" hidden="false" customHeight="false" outlineLevel="0" collapsed="false">
      <c r="A9988" s="0" t="s">
        <v>617</v>
      </c>
      <c r="B9988" s="0" t="s">
        <v>86</v>
      </c>
      <c r="C9988" s="38" t="n">
        <f aca="false">Q!$D$7</f>
        <v>107.556</v>
      </c>
      <c r="D9988" s="38" t="n">
        <f aca="false">Q!$E$7</f>
        <v>128.725</v>
      </c>
      <c r="E9988" s="38" t="n">
        <f aca="false">Q!$P$7</f>
        <v>79.819</v>
      </c>
      <c r="N9988" s="38" t="n">
        <f aca="false">Q!$N$7</f>
        <v>60.14</v>
      </c>
      <c r="O9988" s="38" t="n">
        <f aca="false">Q!$O$7</f>
        <v>68.585</v>
      </c>
    </row>
    <row r="9989" customFormat="false" ht="17.15" hidden="false" customHeight="false" outlineLevel="0" collapsed="false">
      <c r="A9989" s="1" t="s">
        <v>618</v>
      </c>
      <c r="B9989" s="8" t="s">
        <v>86</v>
      </c>
      <c r="C9989" s="38" t="n">
        <f aca="false">Sens!$C$9988-Sens!$C$9985</f>
        <v>105.234994643026</v>
      </c>
      <c r="D9989" s="38" t="n">
        <f aca="false">Sens!$D$9988-Sens!$D$9985</f>
        <v>120.021229911349</v>
      </c>
      <c r="E9989" s="38" t="n">
        <f aca="false">Sens!$E$9988-Sens!$E$9985</f>
        <v>71.30864702443</v>
      </c>
      <c r="F9989" s="38" t="n">
        <f aca="false">Sens!$O$9989*(1+Sens!$F$9990)</f>
        <v>71.7692997942464</v>
      </c>
      <c r="G9989" s="38" t="n">
        <f aca="false">Sens!$E$9989+Sens!$F$9989</f>
        <v>143.077946818676</v>
      </c>
      <c r="H9989" s="38" t="n">
        <f aca="false">Sens!$G$9989*(1+Sens!$H$9990)</f>
        <v>161.017077079203</v>
      </c>
      <c r="I9989" s="38" t="n">
        <f aca="false">Sens!$H$9989*(1+Sens!$I$9990)</f>
        <v>178.769759521457</v>
      </c>
      <c r="J9989" s="38" t="n">
        <f aca="false">Sens!$I$9989*(1+Sens!$J$9990)</f>
        <v>195.775538045907</v>
      </c>
      <c r="K9989" s="38" t="n">
        <f aca="false">Sens!$J$9989*(1+Sens!$K$9990)</f>
        <v>211.43758108958</v>
      </c>
      <c r="L9989" s="38" t="n">
        <f aca="false">Sens!$K$9989*(1+Sens!$L$9990)</f>
        <v>228.352587576746</v>
      </c>
      <c r="M9989" s="38" t="n">
        <f aca="false">Sens!$L$9989*(1+Sens!$M$9990)</f>
        <v>246.620794582886</v>
      </c>
      <c r="N9989" s="38" t="n">
        <f aca="false">Sens!$N$9988-Sens!$N$9985</f>
        <v>57.0936804689721</v>
      </c>
      <c r="O9989" s="38" t="n">
        <f aca="false">Sens!$O$9988-Sens!$O$9985</f>
        <v>62.9275494423768</v>
      </c>
      <c r="P9989" s="5" t="s">
        <v>619</v>
      </c>
    </row>
    <row r="9990" customFormat="false" ht="17.15" hidden="false" customHeight="false" outlineLevel="0" collapsed="false">
      <c r="A9990" s="0" t="s">
        <v>620</v>
      </c>
      <c r="B9990" s="0" t="s">
        <v>52</v>
      </c>
      <c r="D9990" s="13" t="n">
        <f aca="false">Sens!$D$9989/Sens!$C$9989-1</f>
        <v>0.140506827776062</v>
      </c>
      <c r="E9990" s="13" t="n">
        <f aca="false">Sens!$E$9989/Sens!$N$9989-1</f>
        <v>0.248976181579029</v>
      </c>
      <c r="F9990" s="13" t="n">
        <f aca="false">Sens!$D$9990</f>
        <v>0.140506827776062</v>
      </c>
      <c r="G9990" s="13" t="n">
        <f aca="false">Sens!$G$9989/Sens!$D$9989-1</f>
        <v>0.19210532106993</v>
      </c>
      <c r="H9990" s="13" t="n">
        <f aca="false">Sens!$F$9990+(g_awso_lt-Sens!$F$9990)*1/4</f>
        <v>0.125380120832046</v>
      </c>
      <c r="I9990" s="13" t="n">
        <f aca="false">Sens!$F$9990+(g_awso_lt-Sens!$F$9990)*2/4</f>
        <v>0.110253413888031</v>
      </c>
      <c r="J9990" s="13" t="n">
        <f aca="false">Sens!$F$9990+(g_awso_lt-Sens!$F$9990)*3/4</f>
        <v>0.0951267069440154</v>
      </c>
      <c r="K9990" s="13" t="n">
        <f aca="false">Sens!$F$9990+(g_awso_lt-Sens!$F$9990)*4/4</f>
        <v>0.08</v>
      </c>
      <c r="L9990" s="13" t="n">
        <f aca="false">g_awso_lt</f>
        <v>0.08</v>
      </c>
      <c r="M9990" s="13" t="n">
        <f aca="false">g_awso_lt</f>
        <v>0.08</v>
      </c>
      <c r="P9990" s="5" t="s">
        <v>621</v>
      </c>
    </row>
    <row r="9991" customFormat="false" ht="17.15" hidden="false" customHeight="false" outlineLevel="0" collapsed="false">
      <c r="A9991" s="1" t="s">
        <v>622</v>
      </c>
    </row>
    <row r="9992" customFormat="false" ht="17.15" hidden="false" customHeight="false" outlineLevel="0" collapsed="false">
      <c r="A9992" s="0" t="s">
        <v>623</v>
      </c>
      <c r="B9992" s="0" t="s">
        <v>86</v>
      </c>
      <c r="F9992" s="38" t="n">
        <f aca="false">cx_rt*Sens!$F$9957+cx_awso*Sens!$F$9989</f>
        <v>34.9734495387866</v>
      </c>
    </row>
    <row r="9993" customFormat="false" ht="17.15" hidden="false" customHeight="false" outlineLevel="0" collapsed="false">
      <c r="A9993" s="0" t="s">
        <v>624</v>
      </c>
      <c r="B9993" s="0" t="s">
        <v>52</v>
      </c>
      <c r="C9993" s="13" t="n">
        <f aca="false">tk_cx_h100/(tk_cx_h100+tk_fac*(1-colo_sh))</f>
        <v>0.730756458006641</v>
      </c>
      <c r="D9993" s="13" t="n">
        <f aca="false">tk_cx_h100/(tk_cx_h100+tk_fac*(1-colo_sh))</f>
        <v>0.730756458006641</v>
      </c>
      <c r="E9993" s="13" t="n">
        <f aca="false">Sens!$F$9993</f>
        <v>0.760792334328868</v>
      </c>
      <c r="F9993" s="13" t="n">
        <f aca="false">Sens!$F$9976/(Sens!$F$9976+tk_fac*(1-colo_sh))</f>
        <v>0.760792334328868</v>
      </c>
      <c r="G9993" s="13" t="n">
        <f aca="false">Sens!$G$9976/(Sens!$G$9976+tk_fac*(1-colo_sh))</f>
        <v>0.760792334328868</v>
      </c>
      <c r="H9993" s="13" t="n">
        <f aca="false">Sens!$H$9976/(Sens!$H$9976+tk_fac*(1-colo_sh))</f>
        <v>0.768110668862996</v>
      </c>
      <c r="I9993" s="13" t="n">
        <f aca="false">Sens!$I$9976/(Sens!$I$9976+tk_fac*(1-colo_sh))</f>
        <v>0.77499450139483</v>
      </c>
      <c r="J9993" s="13" t="n">
        <f aca="false">Sens!$J$9976/(Sens!$J$9976+tk_fac*(1-colo_sh))</f>
        <v>0.77499450139483</v>
      </c>
      <c r="K9993" s="13" t="n">
        <f aca="false">Sens!$K$9976/(Sens!$K$9976+tk_fac*(1-colo_sh))</f>
        <v>0.77499450139483</v>
      </c>
      <c r="L9993" s="13" t="n">
        <f aca="false">Sens!$L$9976/(Sens!$L$9976+tk_fac*(1-colo_sh))</f>
        <v>0.77499450139483</v>
      </c>
      <c r="M9993" s="13" t="n">
        <f aca="false">Sens!$M$9976/(Sens!$M$9976+tk_fac*(1-colo_sh))</f>
        <v>0.77499450139483</v>
      </c>
    </row>
    <row r="9994" customFormat="false" ht="17.15" hidden="false" customHeight="false" outlineLevel="0" collapsed="false">
      <c r="A9994" s="1" t="s">
        <v>625</v>
      </c>
      <c r="B9994" s="8" t="s">
        <v>86</v>
      </c>
      <c r="C9994" s="38" t="n">
        <f aca="false">Q!$D$46-cx_rt*Q!$D$16-cx_awso*Sens!$C$9989</f>
        <v>25.2781053077374</v>
      </c>
      <c r="D9994" s="38" t="n">
        <f aca="false">Q!$E$46-cx_rt*Q!$E$16-cx_awso*Sens!$D$9989</f>
        <v>69.5686316310026</v>
      </c>
      <c r="E9994" s="38" t="n">
        <f aca="false">Q!$P$46-cx_rt*Q!$P$16-cx_awso*Sens!$E$9989</f>
        <v>64.1899206485108</v>
      </c>
      <c r="F9994" s="38" t="n">
        <f aca="false">MAX(Sens!$F$9971*(Sens!$F$9976+tk_fac*(1-colo_sh))/1000,capex_g26-Q!$P$46-Sens!$F$9992)</f>
        <v>96.2481299895</v>
      </c>
      <c r="G9994" s="38" t="n">
        <f aca="false">Sens!$E$9994+Sens!$F$9994</f>
        <v>160.438050638011</v>
      </c>
      <c r="H9994" s="38" t="n">
        <f aca="false">Sens!$H$9971*(Sens!$H$9976+tk_fac*(1-colo_sh))/1000+Sens!$H$9995</f>
        <v>198.57136494475</v>
      </c>
      <c r="I9994" s="38" t="n">
        <f aca="false">Sens!$I$9971*(Sens!$I$9976+tk_fac*(1-colo_sh))/1000+Sens!$I$9995</f>
        <v>204.6464699105</v>
      </c>
      <c r="J9994" s="38" t="n">
        <f aca="false">Sens!$J$9971*(Sens!$J$9976+tk_fac*(1-colo_sh))/1000+Sens!$J$9995</f>
        <v>209.8832381105</v>
      </c>
      <c r="K9994" s="38" t="n">
        <f aca="false">Sens!$K$9971*(Sens!$K$9976+tk_fac*(1-colo_sh))/1000+Sens!$K$9995</f>
        <v>158.016341586823</v>
      </c>
      <c r="L9994" s="38" t="n">
        <f aca="false">Sens!$L$9971*(Sens!$L$9976+tk_fac*(1-colo_sh))/1000+Sens!$L$9995</f>
        <v>137.570054263147</v>
      </c>
      <c r="M9994" s="38" t="n">
        <f aca="false">Sens!$M$9971*(Sens!$M$9976+tk_fac*(1-colo_sh))/1000+Sens!$M$9995</f>
        <v>140.56485059472</v>
      </c>
      <c r="P9994" s="5" t="s">
        <v>626</v>
      </c>
      <c r="R9994" s="38" t="n">
        <f aca="false">Q!$C$46-cx_rt*Q!$C$16-cx_awso*(Q!$C$7-mw_ye23/2*rpm_open/1000)</f>
        <v>1.50429979529945</v>
      </c>
      <c r="S9994" s="38" t="n">
        <f aca="false">Sens!$C$9994</f>
        <v>25.2781053077374</v>
      </c>
      <c r="T9994" s="38" t="n">
        <f aca="false">Sens!$D$9994</f>
        <v>69.5686316310026</v>
      </c>
      <c r="U9994" s="38" t="n">
        <f aca="false">Sens!$G$9994</f>
        <v>160.438050638011</v>
      </c>
      <c r="V9994" s="38" t="n">
        <f aca="false">Sens!$H$9994</f>
        <v>198.57136494475</v>
      </c>
      <c r="W9994" s="38" t="n">
        <f aca="false">Sens!$I$9994</f>
        <v>204.6464699105</v>
      </c>
      <c r="X9994" s="38" t="n">
        <f aca="false">Sens!$J$9994</f>
        <v>209.8832381105</v>
      </c>
      <c r="Y9994" s="38" t="n">
        <f aca="false">Sens!$K$9994</f>
        <v>158.016341586823</v>
      </c>
      <c r="Z9994" s="38" t="n">
        <f aca="false">Sens!$L$9994</f>
        <v>137.570054263147</v>
      </c>
      <c r="AA9994" s="38" t="n">
        <f aca="false">Sens!$M$9994</f>
        <v>140.56485059472</v>
      </c>
    </row>
    <row r="9995" customFormat="false" ht="17.15" hidden="false" customHeight="false" outlineLevel="0" collapsed="false">
      <c r="A9995" s="0" t="s">
        <v>627</v>
      </c>
      <c r="B9995" s="0" t="s">
        <v>86</v>
      </c>
      <c r="H9995" s="38" t="n">
        <f aca="false">SUMPRODUCT(--(Sens!$R$9964:$AA$9964=2027-tk_life),Sens!$R$9971:$AA$9971)*Sens!$H$9976/1000</f>
        <v>0</v>
      </c>
      <c r="I9995" s="38" t="n">
        <f aca="false">SUMPRODUCT(--(Sens!$R$9964:$AA$9964=2028-tk_life),Sens!$R$9971:$AA$9971)*Sens!$I$9976/1000</f>
        <v>0</v>
      </c>
      <c r="J9995" s="38" t="n">
        <f aca="false">SUMPRODUCT(--(Sens!$R$9964:$AA$9964=2029-tk_life),Sens!$R$9971:$AA$9971)*Sens!$J$9976/1000</f>
        <v>5.2367682</v>
      </c>
      <c r="K9995" s="38" t="n">
        <f aca="false">SUMPRODUCT(--(Sens!$R$9964:$AA$9964=2030-tk_life),Sens!$R$9971:$AA$9971)*Sens!$K$9976/1000</f>
        <v>10.4735364</v>
      </c>
      <c r="L9995" s="38" t="n">
        <f aca="false">SUMPRODUCT(--(Sens!$R$9964:$AA$9964=2031-tk_life),Sens!$R$9971:$AA$9971)*Sens!$L$9976/1000</f>
        <v>47.1309138</v>
      </c>
      <c r="M9995" s="38" t="n">
        <f aca="false">SUMPRODUCT(--(Sens!$R$9964:$AA$9964=2032-tk_life),Sens!$R$9971:$AA$9971)*Sens!$M$9976/1000</f>
        <v>107.22937485525</v>
      </c>
    </row>
    <row r="9996" customFormat="false" ht="17.15" hidden="false" customHeight="false" outlineLevel="0" collapsed="false">
      <c r="A9996" s="5" t="s">
        <v>628</v>
      </c>
      <c r="B9996" s="0" t="s">
        <v>86</v>
      </c>
      <c r="C9996" s="38" t="n">
        <f aca="false">Sens!$C$9994*Sens!$C$9993</f>
        <v>18.472138699801</v>
      </c>
      <c r="D9996" s="38" t="n">
        <f aca="false">Sens!$D$9994*Sens!$D$9993</f>
        <v>50.8377268390402</v>
      </c>
      <c r="E9996" s="38" t="n">
        <f aca="false">Sens!$E$9994*Sens!$E$9993</f>
        <v>48.8351995705653</v>
      </c>
      <c r="F9996" s="38" t="n">
        <f aca="false">Sens!$F$9994*Sens!$F$9993</f>
        <v>73.2248394895</v>
      </c>
      <c r="G9996" s="38" t="n">
        <f aca="false">Sens!$E$9996+Sens!$F$9996</f>
        <v>122.060039060065</v>
      </c>
      <c r="H9996" s="38" t="n">
        <f aca="false">(Sens!$H$9994-Sens!$H$9995)*Sens!$H$9993+Sens!$H$9995</f>
        <v>152.52478394475</v>
      </c>
      <c r="I9996" s="38" t="n">
        <f aca="false">(Sens!$I$9994-Sens!$I$9995)*Sens!$I$9993+Sens!$I$9995</f>
        <v>158.5998889105</v>
      </c>
      <c r="J9996" s="38" t="n">
        <f aca="false">(Sens!$J$9994-Sens!$J$9995)*Sens!$J$9993+Sens!$J$9995</f>
        <v>163.8366571105</v>
      </c>
      <c r="K9996" s="38" t="n">
        <f aca="false">(Sens!$K$9994-Sens!$K$9995)*Sens!$K$9993+Sens!$K$9995</f>
        <v>124.818399140157</v>
      </c>
      <c r="L9996" s="38" t="n">
        <f aca="false">(Sens!$L$9994-Sens!$L$9995)*Sens!$L$9993+Sens!$L$9995</f>
        <v>117.220750369813</v>
      </c>
      <c r="M9996" s="38" t="n">
        <f aca="false">(Sens!$M$9994-Sens!$M$9995)*Sens!$M$9993+Sens!$M$9995</f>
        <v>133.06418525472</v>
      </c>
      <c r="R9996" s="38" t="n">
        <f aca="false">Sens!$R$9994*Sens!$C$9993</f>
        <v>1.09927679019314</v>
      </c>
      <c r="S9996" s="38" t="n">
        <f aca="false">Sens!$C$9996</f>
        <v>18.472138699801</v>
      </c>
      <c r="T9996" s="38" t="n">
        <f aca="false">Sens!$D$9996</f>
        <v>50.8377268390402</v>
      </c>
      <c r="U9996" s="38" t="n">
        <f aca="false">Sens!$G$9996</f>
        <v>122.060039060065</v>
      </c>
      <c r="V9996" s="38" t="n">
        <f aca="false">Sens!$H$9996</f>
        <v>152.52478394475</v>
      </c>
      <c r="W9996" s="38" t="n">
        <f aca="false">Sens!$I$9996</f>
        <v>158.5998889105</v>
      </c>
      <c r="X9996" s="38" t="n">
        <f aca="false">Sens!$J$9996</f>
        <v>163.8366571105</v>
      </c>
      <c r="Y9996" s="38" t="n">
        <f aca="false">Sens!$K$9996</f>
        <v>124.818399140157</v>
      </c>
      <c r="Z9996" s="38" t="n">
        <f aca="false">Sens!$L$9996</f>
        <v>117.220750369813</v>
      </c>
      <c r="AA9996" s="38" t="n">
        <f aca="false">Sens!$M$9996</f>
        <v>133.06418525472</v>
      </c>
    </row>
    <row r="9997" customFormat="false" ht="15" hidden="false" customHeight="false" outlineLevel="0" collapsed="false">
      <c r="A9997" s="5" t="s">
        <v>629</v>
      </c>
      <c r="B9997" s="0" t="s">
        <v>86</v>
      </c>
      <c r="C9997" s="38" t="n">
        <f aca="false">Sens!$C$9994-Sens!$C$9996</f>
        <v>6.80596660793636</v>
      </c>
      <c r="D9997" s="38" t="n">
        <f aca="false">Sens!$D$9994-Sens!$D$9996</f>
        <v>18.7309047919624</v>
      </c>
      <c r="E9997" s="38" t="n">
        <f aca="false">Sens!$E$9994-Sens!$E$9996</f>
        <v>15.3547210779455</v>
      </c>
      <c r="F9997" s="38" t="n">
        <f aca="false">Sens!$F$9994-Sens!$F$9996</f>
        <v>23.0232905</v>
      </c>
      <c r="G9997" s="38" t="n">
        <f aca="false">Sens!$G$9994-Sens!$G$9996</f>
        <v>38.3780115779455</v>
      </c>
      <c r="H9997" s="38" t="n">
        <f aca="false">Sens!$H$9994-Sens!$H$9996</f>
        <v>46.046581</v>
      </c>
      <c r="I9997" s="38" t="n">
        <f aca="false">Sens!$I$9994-Sens!$I$9996</f>
        <v>46.046581</v>
      </c>
      <c r="J9997" s="38" t="n">
        <f aca="false">Sens!$J$9994-Sens!$J$9996</f>
        <v>46.046581</v>
      </c>
      <c r="K9997" s="38" t="n">
        <f aca="false">Sens!$K$9994-Sens!$K$9996</f>
        <v>33.1979424466667</v>
      </c>
      <c r="L9997" s="38" t="n">
        <f aca="false">Sens!$L$9994-Sens!$L$9996</f>
        <v>20.3493038933333</v>
      </c>
      <c r="M9997" s="38" t="n">
        <f aca="false">Sens!$M$9994-Sens!$M$9996</f>
        <v>7.50066534000001</v>
      </c>
      <c r="R9997" s="38" t="n">
        <f aca="false">Sens!$R$9994-Sens!$R$9996</f>
        <v>0.405023005106309</v>
      </c>
      <c r="S9997" s="38" t="n">
        <f aca="false">Sens!$S$9994-Sens!$S$9996</f>
        <v>6.80596660793636</v>
      </c>
      <c r="T9997" s="38" t="n">
        <f aca="false">Sens!$T$9994-Sens!$T$9996</f>
        <v>18.7309047919624</v>
      </c>
      <c r="U9997" s="38" t="n">
        <f aca="false">Sens!$U$9994-Sens!$U$9996</f>
        <v>38.3780115779455</v>
      </c>
      <c r="V9997" s="38" t="n">
        <f aca="false">Sens!$V$9994-Sens!$V$9996</f>
        <v>46.046581</v>
      </c>
      <c r="W9997" s="38" t="n">
        <f aca="false">Sens!$W$9994-Sens!$W$9996</f>
        <v>46.046581</v>
      </c>
      <c r="X9997" s="38" t="n">
        <f aca="false">Sens!$X$9994-Sens!$X$9996</f>
        <v>46.046581</v>
      </c>
      <c r="Y9997" s="38" t="n">
        <f aca="false">Sens!$Y$9994-Sens!$Y$9996</f>
        <v>33.1979424466667</v>
      </c>
      <c r="Z9997" s="38" t="n">
        <f aca="false">Sens!$Z$9994-Sens!$Z$9996</f>
        <v>20.3493038933333</v>
      </c>
      <c r="AA9997" s="38" t="n">
        <f aca="false">Sens!$AA$9994-Sens!$AA$9996</f>
        <v>7.50066534000001</v>
      </c>
    </row>
    <row r="9998" customFormat="false" ht="17.15" hidden="false" customHeight="false" outlineLevel="0" collapsed="false">
      <c r="A9998" s="0" t="s">
        <v>630</v>
      </c>
      <c r="B9998" s="0" t="s">
        <v>52</v>
      </c>
      <c r="C9998" s="13" t="n">
        <f aca="false">Sens!$C$9994/Sens!$C$10114</f>
        <v>0.325505489553393</v>
      </c>
      <c r="D9998" s="13" t="n">
        <f aca="false">Sens!$D$9994/Sens!$D$10114</f>
        <v>0.54214956071542</v>
      </c>
      <c r="E9998" s="13" t="n">
        <f aca="false">Sens!$E$9994/Sens!$E$10114</f>
        <v>0.666492790452817</v>
      </c>
      <c r="F9998" s="13" t="n">
        <f aca="false">Sens!$F$9994/Sens!$F$10114</f>
        <v>0.733477910687338</v>
      </c>
      <c r="G9998" s="13" t="n">
        <f aca="false">Sens!$G$9994/Sens!$G$10114</f>
        <v>0.705124321514523</v>
      </c>
      <c r="H9998" s="13" t="n">
        <f aca="false">Sens!$H$9994/Sens!$H$10114</f>
        <v>0.726376041178204</v>
      </c>
      <c r="I9998" s="13" t="n">
        <f aca="false">Sens!$I$9994/Sens!$I$10114</f>
        <v>0.713099092661699</v>
      </c>
      <c r="J9998" s="13" t="n">
        <f aca="false">Sens!$J$9994/Sens!$J$10114</f>
        <v>0.701208348786245</v>
      </c>
      <c r="K9998" s="13" t="n">
        <f aca="false">Sens!$K$9994/Sens!$K$10114</f>
        <v>0.622515721629545</v>
      </c>
      <c r="L9998" s="13" t="n">
        <f aca="false">Sens!$L$9994/Sens!$L$10114</f>
        <v>0.572606741433048</v>
      </c>
      <c r="M9998" s="13" t="n">
        <f aca="false">Sens!$M$9994/Sens!$M$10114</f>
        <v>0.560855994905929</v>
      </c>
    </row>
    <row r="9999" customFormat="false" ht="17.15" hidden="false" customHeight="false" outlineLevel="0" collapsed="false">
      <c r="A9999" s="0" t="s">
        <v>631</v>
      </c>
      <c r="B9999" s="0" t="s">
        <v>86</v>
      </c>
      <c r="C9999" s="38" t="n">
        <f aca="false">Sens!$S$9999</f>
        <v>0.183212798365523</v>
      </c>
      <c r="D9999" s="38" t="n">
        <f aca="false">Sens!$T$9999</f>
        <v>3.2619025816657</v>
      </c>
      <c r="E9999" s="38" t="n">
        <f aca="false">Sens!$G$9999/2</f>
        <v>5.86742852741953</v>
      </c>
      <c r="F9999" s="38" t="n">
        <f aca="false">Sens!$G$9999/2</f>
        <v>5.86742852741953</v>
      </c>
      <c r="G9999" s="38" t="n">
        <f aca="false">Sens!$U$9999</f>
        <v>11.7348570548391</v>
      </c>
      <c r="H9999" s="38" t="n">
        <f aca="false">Sens!$V$9999</f>
        <v>32.0781968981833</v>
      </c>
      <c r="I9999" s="38" t="n">
        <f aca="false">Sens!$W$9999</f>
        <v>57.4989942223083</v>
      </c>
      <c r="J9999" s="38" t="n">
        <f aca="false">Sens!$X$9999</f>
        <v>83.932309040725</v>
      </c>
      <c r="K9999" s="38" t="n">
        <f aca="false">Sens!$Y$9999</f>
        <v>111.055205760776</v>
      </c>
      <c r="L9999" s="38" t="n">
        <f aca="false">Sens!$Z$9999</f>
        <v>128.779582500835</v>
      </c>
      <c r="M9999" s="38" t="n">
        <f aca="false">Sens!$AA$9999</f>
        <v>139.843419755964</v>
      </c>
      <c r="N9999" s="38" t="n">
        <f aca="false">Sens!$D$9999/2</f>
        <v>1.63095129083285</v>
      </c>
      <c r="O9999" s="38" t="n">
        <f aca="false">Sens!$D$9999/2</f>
        <v>1.63095129083285</v>
      </c>
      <c r="R9999" s="38" t="n">
        <f aca="false">SUMPRODUCT(--(Sens!$R$9964:$AA$9964&lt;Sens!R$9964),--(Sens!$R$9964:$AA$9964&gt;=Sens!R$9964-tk_life),Sens!$R$9996:$AA$9996)/tk_life</f>
        <v>0</v>
      </c>
      <c r="S9999" s="38" t="n">
        <f aca="false">SUMPRODUCT(--(Sens!$R$9964:$AA$9964&lt;Sens!S$9964),--(Sens!$R$9964:$AA$9964&gt;=Sens!S$9964-tk_life),Sens!$R$9996:$AA$9996)/tk_life</f>
        <v>0.183212798365523</v>
      </c>
      <c r="T9999" s="38" t="n">
        <f aca="false">SUMPRODUCT(--(Sens!$R$9964:$AA$9964&lt;Sens!T$9964),--(Sens!$R$9964:$AA$9964&gt;=Sens!T$9964-tk_life),Sens!$R$9996:$AA$9996)/tk_life</f>
        <v>3.2619025816657</v>
      </c>
      <c r="U9999" s="38" t="n">
        <f aca="false">SUMPRODUCT(--(Sens!$R$9964:$AA$9964&lt;Sens!U$9964),--(Sens!$R$9964:$AA$9964&gt;=Sens!U$9964-tk_life),Sens!$R$9996:$AA$9996)/tk_life</f>
        <v>11.7348570548391</v>
      </c>
      <c r="V9999" s="38" t="n">
        <f aca="false">SUMPRODUCT(--(Sens!$R$9964:$AA$9964&lt;Sens!V$9964),--(Sens!$R$9964:$AA$9964&gt;=Sens!V$9964-tk_life),Sens!$R$9996:$AA$9996)/tk_life</f>
        <v>32.0781968981833</v>
      </c>
      <c r="W9999" s="38" t="n">
        <f aca="false">SUMPRODUCT(--(Sens!$R$9964:$AA$9964&lt;Sens!W$9964),--(Sens!$R$9964:$AA$9964&gt;=Sens!W$9964-tk_life),Sens!$R$9996:$AA$9996)/tk_life</f>
        <v>57.4989942223083</v>
      </c>
      <c r="X9999" s="38" t="n">
        <f aca="false">SUMPRODUCT(--(Sens!$R$9964:$AA$9964&lt;Sens!X$9964),--(Sens!$R$9964:$AA$9964&gt;=Sens!X$9964-tk_life),Sens!$R$9996:$AA$9996)/tk_life</f>
        <v>83.932309040725</v>
      </c>
      <c r="Y9999" s="38" t="n">
        <f aca="false">SUMPRODUCT(--(Sens!$R$9964:$AA$9964&lt;Sens!Y$9964),--(Sens!$R$9964:$AA$9964&gt;=Sens!Y$9964-tk_life),Sens!$R$9996:$AA$9996)/tk_life</f>
        <v>111.055205760776</v>
      </c>
      <c r="Z9999" s="38" t="n">
        <f aca="false">SUMPRODUCT(--(Sens!$R$9964:$AA$9964&lt;Sens!Z$9964),--(Sens!$R$9964:$AA$9964&gt;=Sens!Z$9964-tk_life),Sens!$R$9996:$AA$9996)/tk_life</f>
        <v>128.779582500835</v>
      </c>
      <c r="AA9999" s="38" t="n">
        <f aca="false">SUMPRODUCT(--(Sens!$R$9964:$AA$9964&lt;Sens!AA$9964),--(Sens!$R$9964:$AA$9964&gt;=Sens!AA$9964-tk_life),Sens!$R$9996:$AA$9996)/tk_life</f>
        <v>139.843419755964</v>
      </c>
    </row>
    <row r="10000" customFormat="false" ht="17.15" hidden="false" customHeight="false" outlineLevel="0" collapsed="false">
      <c r="A10000" s="0" t="s">
        <v>632</v>
      </c>
      <c r="B10000" s="0" t="s">
        <v>86</v>
      </c>
      <c r="C10000" s="38" t="n">
        <f aca="false">Sens!$S$10000</f>
        <v>0.0202511502553155</v>
      </c>
      <c r="D10000" s="38" t="n">
        <f aca="false">Sens!$T$10000</f>
        <v>0.360549480652134</v>
      </c>
      <c r="E10000" s="38" t="n">
        <f aca="false">Sens!$G$10000/2</f>
        <v>0.648547360125127</v>
      </c>
      <c r="F10000" s="38" t="n">
        <f aca="false">Sens!$G$10000/2</f>
        <v>0.648547360125127</v>
      </c>
      <c r="G10000" s="38" t="n">
        <f aca="false">Sens!$U$10000</f>
        <v>1.29709472025025</v>
      </c>
      <c r="H10000" s="38" t="n">
        <f aca="false">Sens!$V$10000</f>
        <v>3.21599529914753</v>
      </c>
      <c r="I10000" s="38" t="n">
        <f aca="false">Sens!$W$10000</f>
        <v>5.51832434914753</v>
      </c>
      <c r="J10000" s="38" t="n">
        <f aca="false">Sens!$X$10000</f>
        <v>7.82065339914753</v>
      </c>
      <c r="K10000" s="38" t="n">
        <f aca="false">Sens!$Y$10000</f>
        <v>10.1229824491475</v>
      </c>
      <c r="L10000" s="38" t="n">
        <f aca="false">Sens!$Z$10000</f>
        <v>11.7828795714809</v>
      </c>
      <c r="M10000" s="38" t="n">
        <f aca="false">Sens!$AA$10000</f>
        <v>12.8003447661475</v>
      </c>
      <c r="N10000" s="38" t="n">
        <f aca="false">Sens!$D$10000/2</f>
        <v>0.180274740326067</v>
      </c>
      <c r="O10000" s="38" t="n">
        <f aca="false">Sens!$D$10000/2</f>
        <v>0.180274740326067</v>
      </c>
      <c r="R10000" s="38" t="n">
        <f aca="false">SUMPRODUCT(--(Sens!$R$9964:$AA$9964&lt;Sens!R$9964),Sens!$R$9997:$AA$9997)/fac_life</f>
        <v>0</v>
      </c>
      <c r="S10000" s="38" t="n">
        <f aca="false">SUMPRODUCT(--(Sens!$R$9964:$AA$9964&lt;Sens!S$9964),Sens!$R$9997:$AA$9997)/fac_life</f>
        <v>0.0202511502553155</v>
      </c>
      <c r="T10000" s="38" t="n">
        <f aca="false">SUMPRODUCT(--(Sens!$R$9964:$AA$9964&lt;Sens!T$9964),Sens!$R$9997:$AA$9997)/fac_life</f>
        <v>0.360549480652134</v>
      </c>
      <c r="U10000" s="38" t="n">
        <f aca="false">SUMPRODUCT(--(Sens!$R$9964:$AA$9964&lt;Sens!U$9964),Sens!$R$9997:$AA$9997)/fac_life</f>
        <v>1.29709472025025</v>
      </c>
      <c r="V10000" s="38" t="n">
        <f aca="false">SUMPRODUCT(--(Sens!$R$9964:$AA$9964&lt;Sens!V$9964),Sens!$R$9997:$AA$9997)/fac_life</f>
        <v>3.21599529914753</v>
      </c>
      <c r="W10000" s="38" t="n">
        <f aca="false">SUMPRODUCT(--(Sens!$R$9964:$AA$9964&lt;Sens!W$9964),Sens!$R$9997:$AA$9997)/fac_life</f>
        <v>5.51832434914753</v>
      </c>
      <c r="X10000" s="38" t="n">
        <f aca="false">SUMPRODUCT(--(Sens!$R$9964:$AA$9964&lt;Sens!X$9964),Sens!$R$9997:$AA$9997)/fac_life</f>
        <v>7.82065339914753</v>
      </c>
      <c r="Y10000" s="38" t="n">
        <f aca="false">SUMPRODUCT(--(Sens!$R$9964:$AA$9964&lt;Sens!Y$9964),Sens!$R$9997:$AA$9997)/fac_life</f>
        <v>10.1229824491475</v>
      </c>
      <c r="Z10000" s="38" t="n">
        <f aca="false">SUMPRODUCT(--(Sens!$R$9964:$AA$9964&lt;Sens!Z$9964),Sens!$R$9997:$AA$9997)/fac_life</f>
        <v>11.7828795714809</v>
      </c>
      <c r="AA10000" s="38" t="n">
        <f aca="false">SUMPRODUCT(--(Sens!$R$9964:$AA$9964&lt;Sens!AA$9964),Sens!$R$9997:$AA$9997)/fac_life</f>
        <v>12.8003447661475</v>
      </c>
    </row>
    <row r="10001" customFormat="false" ht="17.15" hidden="false" customHeight="false" outlineLevel="0" collapsed="false">
      <c r="A10001" s="1" t="s">
        <v>633</v>
      </c>
      <c r="B10001" s="8" t="s">
        <v>86</v>
      </c>
      <c r="C10001" s="38" t="n">
        <f aca="false">Sens!$C$9999+Sens!$C$10000</f>
        <v>0.203463948620839</v>
      </c>
      <c r="D10001" s="38" t="n">
        <f aca="false">Sens!$D$9999+Sens!$D$10000</f>
        <v>3.62245206231783</v>
      </c>
      <c r="E10001" s="38" t="n">
        <f aca="false">Sens!$E$9999+Sens!$E$10000</f>
        <v>6.51597588754466</v>
      </c>
      <c r="F10001" s="38" t="n">
        <f aca="false">Sens!$F$9999+Sens!$F$10000</f>
        <v>6.51597588754466</v>
      </c>
      <c r="G10001" s="38" t="n">
        <f aca="false">Sens!$G$9999+Sens!$G$10000</f>
        <v>13.0319517750893</v>
      </c>
      <c r="H10001" s="38" t="n">
        <f aca="false">Sens!$H$9999+Sens!$H$10000</f>
        <v>35.2941921973308</v>
      </c>
      <c r="I10001" s="38" t="n">
        <f aca="false">Sens!$I$9999+Sens!$I$10000</f>
        <v>63.0173185714558</v>
      </c>
      <c r="J10001" s="38" t="n">
        <f aca="false">Sens!$J$9999+Sens!$J$10000</f>
        <v>91.7529624398725</v>
      </c>
      <c r="K10001" s="38" t="n">
        <f aca="false">Sens!$K$9999+Sens!$K$10000</f>
        <v>121.178188209924</v>
      </c>
      <c r="L10001" s="38" t="n">
        <f aca="false">Sens!$L$9999+Sens!$L$10000</f>
        <v>140.562462072316</v>
      </c>
      <c r="M10001" s="38" t="n">
        <f aca="false">Sens!$M$9999+Sens!$M$10000</f>
        <v>152.643764522112</v>
      </c>
      <c r="N10001" s="38" t="n">
        <f aca="false">Sens!$N$9999+Sens!$N$10000</f>
        <v>1.81122603115892</v>
      </c>
      <c r="O10001" s="38" t="n">
        <f aca="false">Sens!$O$9999+Sens!$O$10000</f>
        <v>1.81122603115892</v>
      </c>
      <c r="R10001" s="38" t="n">
        <f aca="false">Sens!$R$9999+Sens!$R$10000</f>
        <v>0</v>
      </c>
      <c r="S10001" s="38" t="n">
        <f aca="false">Sens!$S$9999+Sens!$S$10000</f>
        <v>0.203463948620839</v>
      </c>
      <c r="T10001" s="38" t="n">
        <f aca="false">Sens!$T$9999+Sens!$T$10000</f>
        <v>3.62245206231783</v>
      </c>
      <c r="U10001" s="38" t="n">
        <f aca="false">Sens!$U$9999+Sens!$U$10000</f>
        <v>13.0319517750893</v>
      </c>
      <c r="V10001" s="38" t="n">
        <f aca="false">Sens!$V$9999+Sens!$V$10000</f>
        <v>35.2941921973308</v>
      </c>
      <c r="W10001" s="38" t="n">
        <f aca="false">Sens!$W$9999+Sens!$W$10000</f>
        <v>63.0173185714558</v>
      </c>
      <c r="X10001" s="38" t="n">
        <f aca="false">Sens!$X$9999+Sens!$X$10000</f>
        <v>91.7529624398725</v>
      </c>
      <c r="Y10001" s="38" t="n">
        <f aca="false">Sens!$Y$9999+Sens!$Y$10000</f>
        <v>121.178188209924</v>
      </c>
      <c r="Z10001" s="38" t="n">
        <f aca="false">Sens!$Z$9999+Sens!$Z$10000</f>
        <v>140.562462072316</v>
      </c>
      <c r="AA10001" s="38" t="n">
        <f aca="false">Sens!$AA$9999+Sens!$AA$10000</f>
        <v>152.643764522112</v>
      </c>
    </row>
    <row r="10002" customFormat="false" ht="17.15" hidden="false" customHeight="false" outlineLevel="0" collapsed="false">
      <c r="A10002" s="0" t="s">
        <v>634</v>
      </c>
      <c r="B10002" s="0" t="s">
        <v>86</v>
      </c>
      <c r="C10002" s="38" t="n">
        <f aca="false">Sens!$S$10002</f>
        <v>26.578941154416</v>
      </c>
      <c r="D10002" s="38" t="n">
        <f aca="false">Sens!$T$10002</f>
        <v>92.5251207231008</v>
      </c>
      <c r="G10002" s="38" t="n">
        <f aca="false">Sens!$U$10002</f>
        <v>239.931219586022</v>
      </c>
      <c r="H10002" s="38" t="n">
        <f aca="false">Sens!$V$10002</f>
        <v>403.208392333442</v>
      </c>
      <c r="I10002" s="38" t="n">
        <f aca="false">Sens!$W$10002</f>
        <v>544.837543672486</v>
      </c>
      <c r="J10002" s="38" t="n">
        <f aca="false">Sens!$X$10002</f>
        <v>662.967819343113</v>
      </c>
      <c r="K10002" s="38" t="n">
        <f aca="false">Sens!$Y$10002</f>
        <v>699.805972720013</v>
      </c>
      <c r="L10002" s="38" t="n">
        <f aca="false">Sens!$Z$10002</f>
        <v>696.813564910843</v>
      </c>
      <c r="M10002" s="38" t="n">
        <f aca="false">Sens!$AA$10002</f>
        <v>684.734650983452</v>
      </c>
      <c r="R10002" s="38" t="n">
        <f aca="false">SUM(Sens!$R$9994:$R$9994)-SUM(Sens!$R$10001:$R$10001)</f>
        <v>1.50429979529945</v>
      </c>
      <c r="S10002" s="38" t="n">
        <f aca="false">SUM(Sens!$R$9994:$S$9994)-SUM(Sens!$R$10001:$S$10001)</f>
        <v>26.578941154416</v>
      </c>
      <c r="T10002" s="38" t="n">
        <f aca="false">SUM(Sens!$R$9994:$T$9994)-SUM(Sens!$R$10001:$T$10001)</f>
        <v>92.5251207231008</v>
      </c>
      <c r="U10002" s="38" t="n">
        <f aca="false">SUM(Sens!$R$9994:$U$9994)-SUM(Sens!$R$10001:$U$10001)</f>
        <v>239.931219586022</v>
      </c>
      <c r="V10002" s="38" t="n">
        <f aca="false">SUM(Sens!$R$9994:$V$9994)-SUM(Sens!$R$10001:$V$10001)</f>
        <v>403.208392333442</v>
      </c>
      <c r="W10002" s="38" t="n">
        <f aca="false">SUM(Sens!$R$9994:$W$9994)-SUM(Sens!$R$10001:$W$10001)</f>
        <v>544.837543672486</v>
      </c>
      <c r="X10002" s="38" t="n">
        <f aca="false">SUM(Sens!$R$9994:$X$9994)-SUM(Sens!$R$10001:$X$10001)</f>
        <v>662.967819343113</v>
      </c>
      <c r="Y10002" s="38" t="n">
        <f aca="false">SUM(Sens!$R$9994:$Y$9994)-SUM(Sens!$R$10001:$Y$10001)</f>
        <v>699.805972720013</v>
      </c>
      <c r="Z10002" s="38" t="n">
        <f aca="false">SUM(Sens!$R$9994:$Z$9994)-SUM(Sens!$R$10001:$Z$10001)</f>
        <v>696.813564910843</v>
      </c>
      <c r="AA10002" s="38" t="n">
        <f aca="false">SUM(Sens!$R$9994:$AA$9994)-SUM(Sens!$R$10001:$AA$10001)</f>
        <v>684.734650983452</v>
      </c>
    </row>
    <row r="10003" customFormat="false" ht="17.15" hidden="false" customHeight="false" outlineLevel="0" collapsed="false">
      <c r="A10003" s="1" t="s">
        <v>635</v>
      </c>
    </row>
    <row r="10004" customFormat="false" ht="17.15" hidden="false" customHeight="false" outlineLevel="0" collapsed="false">
      <c r="A10004" s="0" t="s">
        <v>636</v>
      </c>
      <c r="B10004" s="0" t="s">
        <v>86</v>
      </c>
      <c r="C10004" s="38" t="n">
        <f aca="false">Sens!$C$9985-ext_sh*Sens!$C$9987</f>
        <v>1.80694998843362</v>
      </c>
      <c r="D10004" s="38" t="n">
        <f aca="false">Sens!$D$9985-ext_sh*Sens!$D$9987</f>
        <v>6.77606245662607</v>
      </c>
      <c r="E10004" s="38" t="n">
        <f aca="false">Sens!$E$9985-ext_sh*Sens!$E$9987</f>
        <v>6.62548329092326</v>
      </c>
      <c r="F10004" s="38" t="n">
        <f aca="false">Sens!$F$9985-ext_sh*Sens!$F$9987</f>
        <v>11.7200577158706</v>
      </c>
      <c r="G10004" s="38" t="n">
        <f aca="false">Sens!$G$9985-ext_sh*Sens!$G$9987</f>
        <v>18.3455410067939</v>
      </c>
      <c r="H10004" s="38" t="n">
        <f aca="false">Sens!$H$9985-ext_sh*Sens!$H$9987</f>
        <v>47.5171727060453</v>
      </c>
      <c r="I10004" s="38" t="n">
        <f aca="false">Sens!$I$9985-ext_sh*Sens!$I$9987</f>
        <v>80.5539692643667</v>
      </c>
      <c r="J10004" s="38" t="n">
        <f aca="false">Sens!$J$9985-ext_sh*Sens!$J$9987</f>
        <v>113.759316834883</v>
      </c>
      <c r="K10004" s="38" t="n">
        <f aca="false">Sens!$K$9985-ext_sh*Sens!$K$9987</f>
        <v>142.313600225088</v>
      </c>
      <c r="L10004" s="38" t="n">
        <f aca="false">Sens!$L$9985-ext_sh*Sens!$L$9987</f>
        <v>161.610137806934</v>
      </c>
      <c r="M10004" s="38" t="n">
        <f aca="false">Sens!$M$9985-ext_sh*Sens!$M$9987</f>
        <v>171.622526917459</v>
      </c>
      <c r="N10004" s="38" t="n">
        <f aca="false">Sens!$N$9985-ext_sh*Sens!$N$9987</f>
        <v>2.37162185981912</v>
      </c>
      <c r="O10004" s="38" t="n">
        <f aca="false">Sens!$O$9985-ext_sh*Sens!$O$9987</f>
        <v>4.40444059680694</v>
      </c>
    </row>
    <row r="10005" customFormat="false" ht="17.15" hidden="false" customHeight="false" outlineLevel="0" collapsed="false">
      <c r="A10005" s="1" t="s">
        <v>637</v>
      </c>
      <c r="B10005" s="8" t="s">
        <v>86</v>
      </c>
      <c r="C10005" s="38" t="n">
        <f aca="false">Sens!$C$10004-ext_sh*Sens!$C$10001</f>
        <v>1.64417882953695</v>
      </c>
      <c r="D10005" s="38" t="n">
        <f aca="false">Sens!$D$10004-ext_sh*Sens!$D$10001</f>
        <v>3.8781008067718</v>
      </c>
      <c r="E10005" s="38" t="n">
        <f aca="false">Sens!$E$10004-ext_sh*Sens!$E$10001</f>
        <v>1.41270258088753</v>
      </c>
      <c r="F10005" s="38" t="n">
        <f aca="false">Sens!$F$10004-ext_sh*Sens!$F$10001</f>
        <v>6.50727700583486</v>
      </c>
      <c r="G10005" s="38" t="n">
        <f aca="false">Sens!$G$10004-ext_sh*Sens!$G$10001</f>
        <v>7.9199795867224</v>
      </c>
      <c r="H10005" s="38" t="n">
        <f aca="false">Sens!$H$10004-ext_sh*Sens!$H$10001</f>
        <v>19.2818189481807</v>
      </c>
      <c r="I10005" s="38" t="n">
        <f aca="false">Sens!$I$10004-ext_sh*Sens!$I$10001</f>
        <v>30.140114407202</v>
      </c>
      <c r="J10005" s="38" t="n">
        <f aca="false">Sens!$J$10004-ext_sh*Sens!$J$10001</f>
        <v>40.3569468829854</v>
      </c>
      <c r="K10005" s="38" t="n">
        <f aca="false">Sens!$K$10004-ext_sh*Sens!$K$10001</f>
        <v>45.3710496571487</v>
      </c>
      <c r="L10005" s="38" t="n">
        <f aca="false">Sens!$L$10004-ext_sh*Sens!$L$10001</f>
        <v>49.1601681490812</v>
      </c>
      <c r="M10005" s="38" t="n">
        <f aca="false">Sens!$M$10004-ext_sh*Sens!$M$10001</f>
        <v>49.5075152997692</v>
      </c>
      <c r="N10005" s="38" t="n">
        <f aca="false">Sens!$N$10004-ext_sh*Sens!$N$10001</f>
        <v>0.92264103489199</v>
      </c>
      <c r="O10005" s="38" t="n">
        <f aca="false">Sens!$O$10004-ext_sh*Sens!$O$10001</f>
        <v>2.95545977187981</v>
      </c>
    </row>
    <row r="10006" customFormat="false" ht="17.15" hidden="false" customHeight="false" outlineLevel="0" collapsed="false">
      <c r="A10006" s="0" t="s">
        <v>638</v>
      </c>
      <c r="B10006" s="0" t="s">
        <v>52</v>
      </c>
      <c r="C10006" s="13" t="n">
        <f aca="false">Sens!$C$10005/Sens!$C$9985</f>
        <v>0.708390794789371</v>
      </c>
      <c r="D10006" s="13" t="n">
        <f aca="false">Sens!$D$10005/Sens!$D$9985</f>
        <v>0.445565630441968</v>
      </c>
      <c r="E10006" s="13" t="n">
        <f aca="false">Sens!$E$10005/Sens!$E$9985</f>
        <v>0.165998118402711</v>
      </c>
      <c r="F10006" s="13" t="n">
        <f aca="false">Sens!$F$10005/Sens!$F$9985</f>
        <v>0.434878595403858</v>
      </c>
      <c r="G10006" s="13" t="n">
        <f aca="false">Sens!$G$10005/Sens!$G$9985</f>
        <v>0.3373967615381</v>
      </c>
      <c r="H10006" s="13" t="n">
        <f aca="false">Sens!$H$10005/Sens!$H$9985</f>
        <v>0.320477578041224</v>
      </c>
      <c r="I10006" s="13" t="n">
        <f aca="false">Sens!$I$10005/Sens!$I$9985</f>
        <v>0.296936118226494</v>
      </c>
      <c r="J10006" s="13" t="n">
        <f aca="false">Sens!$J$10005/Sens!$J$9985</f>
        <v>0.282166278613001</v>
      </c>
      <c r="K10006" s="13" t="n">
        <f aca="false">Sens!$K$10005/Sens!$K$9985</f>
        <v>0.253846631705782</v>
      </c>
      <c r="L10006" s="13" t="n">
        <f aca="false">Sens!$L$10005/Sens!$L$9985</f>
        <v>0.242329240574153</v>
      </c>
      <c r="M10006" s="13" t="n">
        <f aca="false">Sens!$M$10005/Sens!$M$9985</f>
        <v>0.229850708860382</v>
      </c>
      <c r="N10006" s="13" t="n">
        <f aca="false">Sens!$N$10005/Sens!$N$9985</f>
        <v>0.302870734830849</v>
      </c>
      <c r="O10006" s="13" t="n">
        <f aca="false">Sens!$O$10005/Sens!$O$9985</f>
        <v>0.52240134346334</v>
      </c>
    </row>
    <row r="10007" customFormat="false" ht="17.15" hidden="false" customHeight="false" outlineLevel="0" collapsed="false">
      <c r="A10007" s="5" t="s">
        <v>639</v>
      </c>
      <c r="B10007" s="0" t="s">
        <v>86</v>
      </c>
      <c r="C10007" s="39" t="n">
        <v>0</v>
      </c>
      <c r="D10007" s="39" t="n">
        <v>0</v>
      </c>
      <c r="E10007" s="39" t="n">
        <v>0</v>
      </c>
      <c r="F10007" s="38" t="n">
        <f aca="false">IF(internal_ai_reading=2,1,0)*(1-ext_sh)/ext_sh*(mw_open*he_open+Sens!$F$9983*Sens!$F$9980)*Sens!$F$9969/1000</f>
        <v>3.77122048175818</v>
      </c>
      <c r="G10007" s="38" t="n">
        <f aca="false">Sens!$E$10007+Sens!$F$10007</f>
        <v>3.77122048175818</v>
      </c>
      <c r="H10007" s="38" t="n">
        <f aca="false">IF(internal_ai_reading=2,1,0)*(1-ext_sh)/ext_sh*(mw_open*he_open+Sens!$H$9983*Sens!$H$9980)*Sens!$H$9969/1000</f>
        <v>15.1635543609893</v>
      </c>
      <c r="I10007" s="38" t="n">
        <f aca="false">IF(internal_ai_reading=2,1,0)*(1-ext_sh)/ext_sh*(mw_open*he_open+Sens!$I$9983*Sens!$I$9980)*Sens!$I$9969/1000</f>
        <v>25.5818843619889</v>
      </c>
      <c r="J10007" s="38" t="n">
        <f aca="false">IF(internal_ai_reading=2,1,0)*(1-ext_sh)/ext_sh*(mw_open*he_open+Sens!$J$9983*Sens!$J$9980)*Sens!$J$9969/1000</f>
        <v>36.0465624179122</v>
      </c>
      <c r="K10007" s="38" t="n">
        <f aca="false">IF(internal_ai_reading=2,1,0)*(1-ext_sh)/ext_sh*(mw_open*he_open+Sens!$K$9983*Sens!$K$9980)*Sens!$K$9969/1000</f>
        <v>45.0461919819152</v>
      </c>
      <c r="L10007" s="38" t="n">
        <f aca="false">IF(internal_ai_reading=2,1,0)*(1-ext_sh)/ext_sh*(mw_open*he_open+Sens!$L$9983*Sens!$L$9980)*Sens!$L$9969/1000</f>
        <v>51.1279288493339</v>
      </c>
      <c r="M10007" s="38" t="n">
        <f aca="false">IF(internal_ai_reading=2,1,0)*(1-ext_sh)/ext_sh*(mw_open*he_open+Sens!$M$9983*Sens!$M$9980)*Sens!$M$9969/1000</f>
        <v>54.2845128319481</v>
      </c>
      <c r="N10007" s="39" t="n">
        <v>0</v>
      </c>
      <c r="O10007" s="39" t="n">
        <v>0</v>
      </c>
      <c r="P10007" s="8" t="s">
        <v>640</v>
      </c>
    </row>
    <row r="10008" customFormat="false" ht="17.15" hidden="false" customHeight="false" outlineLevel="0" collapsed="false">
      <c r="A10008" s="5" t="s">
        <v>641</v>
      </c>
      <c r="B10008" s="0" t="s">
        <v>86</v>
      </c>
      <c r="C10008" s="38" t="n">
        <f aca="false">(1-ext_sh)*(Sens!$C$9987+Sens!$C$10001)</f>
        <v>0.169206631859174</v>
      </c>
      <c r="D10008" s="38" t="n">
        <f aca="false">(1-ext_sh)*(Sens!$D$9987+Sens!$D$10001)</f>
        <v>1.20641732046984</v>
      </c>
      <c r="E10008" s="38" t="n">
        <f aca="false">(1-ext_sh)*(Sens!$E$9987+Sens!$E$10001)</f>
        <v>1.77441259867062</v>
      </c>
      <c r="F10008" s="38" t="n">
        <f aca="false">(1-ext_sh)*(Sens!$F$9987+Sens!$F$10001)</f>
        <v>2.1140391597214</v>
      </c>
      <c r="G10008" s="38" t="n">
        <f aca="false">(1-ext_sh)*(Sens!$G$9987+Sens!$G$10001)</f>
        <v>3.88845175839202</v>
      </c>
      <c r="H10008" s="38" t="n">
        <f aca="false">(1-ext_sh)*(Sens!$H$9987+Sens!$H$10001)</f>
        <v>10.2210179503985</v>
      </c>
      <c r="I10008" s="38" t="n">
        <f aca="false">(1-ext_sh)*(Sens!$I$9987+Sens!$I$10001)</f>
        <v>17.8408961823075</v>
      </c>
      <c r="J10008" s="38" t="n">
        <f aca="false">(1-ext_sh)*(Sens!$J$9987+Sens!$J$10001)</f>
        <v>25.6671150670732</v>
      </c>
      <c r="K10008" s="38" t="n">
        <f aca="false">(1-ext_sh)*(Sens!$K$9987+Sens!$K$10001)</f>
        <v>33.3407629808178</v>
      </c>
      <c r="L10008" s="38" t="n">
        <f aca="false">(1-ext_sh)*(Sens!$L$9987+Sens!$L$10001)</f>
        <v>38.42625620289</v>
      </c>
      <c r="M10008" s="38" t="n">
        <f aca="false">(1-ext_sh)*(Sens!$M$9987+Sens!$M$10001)</f>
        <v>41.4705897615494</v>
      </c>
      <c r="N10008" s="38" t="n">
        <f aca="false">(1-ext_sh)*(Sens!$N$9987+Sens!$N$10001)</f>
        <v>0.530919624033979</v>
      </c>
      <c r="O10008" s="38" t="n">
        <f aca="false">(1-ext_sh)*(Sens!$O$9987+Sens!$O$10001)</f>
        <v>0.675497696435861</v>
      </c>
    </row>
    <row r="10009" customFormat="false" ht="17.15" hidden="false" customHeight="false" outlineLevel="0" collapsed="false">
      <c r="A10009" s="0" t="s">
        <v>642</v>
      </c>
      <c r="B10009" s="0" t="s">
        <v>86</v>
      </c>
      <c r="C10009" s="38" t="n">
        <f aca="false">Q!$D$24</f>
        <v>39.834</v>
      </c>
      <c r="D10009" s="38" t="n">
        <f aca="false">Q!$E$24</f>
        <v>45.606</v>
      </c>
      <c r="E10009" s="38" t="n">
        <f aca="false">Q!$P$24</f>
        <v>30.782</v>
      </c>
      <c r="N10009" s="38" t="n">
        <f aca="false">Q!$N$24</f>
        <v>21.707</v>
      </c>
      <c r="O10009" s="38" t="n">
        <f aca="false">Q!$O$24</f>
        <v>23.899</v>
      </c>
    </row>
    <row r="10010" customFormat="false" ht="17.15" hidden="false" customHeight="false" outlineLevel="0" collapsed="false">
      <c r="A10010" s="0" t="s">
        <v>643</v>
      </c>
      <c r="B10010" s="0" t="s">
        <v>86</v>
      </c>
      <c r="C10010" s="38" t="n">
        <f aca="false">Sens!$C$10009-Sens!$C$10005</f>
        <v>38.1898211704631</v>
      </c>
      <c r="D10010" s="38" t="n">
        <f aca="false">Sens!$D$10009-Sens!$D$10005</f>
        <v>41.7278991932282</v>
      </c>
      <c r="E10010" s="38" t="n">
        <f aca="false">Sens!$E$10009-Sens!$E$10005</f>
        <v>29.3692974191125</v>
      </c>
      <c r="F10010" s="38" t="n">
        <f aca="false">Sens!$F$9989*Sens!$F$10011</f>
        <v>26.8997276714137</v>
      </c>
      <c r="G10010" s="38" t="n">
        <f aca="false">Sens!$E$10010+Sens!$F$10010</f>
        <v>56.2690250905262</v>
      </c>
      <c r="H10010" s="38" t="n">
        <f aca="false">Sens!$H$9989*Sens!$H$10011</f>
        <v>60.3505333937343</v>
      </c>
      <c r="I10010" s="38" t="n">
        <f aca="false">Sens!$I$9989*Sens!$I$10011</f>
        <v>67.0043857303571</v>
      </c>
      <c r="J10010" s="38" t="n">
        <f aca="false">Sens!$J$9989*Sens!$J$10011</f>
        <v>73.3782922956925</v>
      </c>
      <c r="K10010" s="38" t="n">
        <f aca="false">Sens!$K$9989*Sens!$K$10011</f>
        <v>79.2485556793479</v>
      </c>
      <c r="L10010" s="38" t="n">
        <f aca="false">Sens!$L$9989*Sens!$L$10011</f>
        <v>85.5884401336958</v>
      </c>
      <c r="M10010" s="38" t="n">
        <f aca="false">Sens!$M$9989*Sens!$M$10011</f>
        <v>92.4355153443914</v>
      </c>
      <c r="N10010" s="38" t="n">
        <f aca="false">Sens!$N$10009-Sens!$N$10005</f>
        <v>20.784358965108</v>
      </c>
      <c r="O10010" s="38" t="n">
        <f aca="false">Sens!$O$10009-Sens!$O$10005</f>
        <v>20.9435402281202</v>
      </c>
      <c r="P10010" s="5" t="s">
        <v>644</v>
      </c>
    </row>
    <row r="10011" customFormat="false" ht="17.15" hidden="false" customHeight="false" outlineLevel="0" collapsed="false">
      <c r="A10011" s="0" t="s">
        <v>645</v>
      </c>
      <c r="B10011" s="0" t="s">
        <v>52</v>
      </c>
      <c r="C10011" s="13" t="n">
        <f aca="false">Sens!$C$10010/Sens!$C$9989</f>
        <v>0.362900395443635</v>
      </c>
      <c r="D10011" s="13" t="n">
        <f aca="false">Sens!$D$10010/Sens!$D$9989</f>
        <v>0.34767098474203</v>
      </c>
      <c r="E10011" s="13" t="n">
        <f aca="false">Sens!$E$10010/Sens!$E$9989</f>
        <v>0.411861655558416</v>
      </c>
      <c r="F10011" s="13" t="n">
        <f aca="false">(Sens!$O$10010+Sens!$E$10010)/(Sens!$O$9989+Sens!$E$9989)</f>
        <v>0.37480827803158</v>
      </c>
      <c r="G10011" s="13" t="n">
        <f aca="false">Sens!$G$10010/Sens!$G$9989</f>
        <v>0.393275318395757</v>
      </c>
      <c r="H10011" s="13" t="n">
        <f aca="false">Sens!$F$10011</f>
        <v>0.37480827803158</v>
      </c>
      <c r="I10011" s="13" t="n">
        <f aca="false">Sens!$F$10011</f>
        <v>0.37480827803158</v>
      </c>
      <c r="J10011" s="13" t="n">
        <f aca="false">Sens!$F$10011</f>
        <v>0.37480827803158</v>
      </c>
      <c r="K10011" s="13" t="n">
        <f aca="false">Sens!$F$10011</f>
        <v>0.37480827803158</v>
      </c>
      <c r="L10011" s="13" t="n">
        <f aca="false">Sens!$F$10011</f>
        <v>0.37480827803158</v>
      </c>
      <c r="M10011" s="13" t="n">
        <f aca="false">Sens!$F$10011</f>
        <v>0.37480827803158</v>
      </c>
      <c r="N10011" s="13" t="n">
        <f aca="false">Sens!$N$10010/Sens!$N$9989</f>
        <v>0.364039571356823</v>
      </c>
      <c r="O10011" s="13" t="n">
        <f aca="false">Sens!$O$10010/Sens!$O$9989</f>
        <v>0.332819892300086</v>
      </c>
      <c r="P10011" s="8" t="s">
        <v>646</v>
      </c>
    </row>
    <row r="10012" customFormat="false" ht="17.15" hidden="false" customHeight="false" outlineLevel="0" collapsed="false">
      <c r="A10012" s="0" t="s">
        <v>647</v>
      </c>
      <c r="B10012" s="0" t="s">
        <v>52</v>
      </c>
      <c r="D10012" s="13" t="n">
        <f aca="false">(Q!$E$31-ext_sh*Sens!$D$10001)/Sens!$D$9989</f>
        <v>0.154572973163571</v>
      </c>
    </row>
    <row r="10013" customFormat="false" ht="17.15" hidden="false" customHeight="false" outlineLevel="0" collapsed="false">
      <c r="A10013" s="0" t="s">
        <v>648</v>
      </c>
      <c r="B10013" s="0" t="s">
        <v>86</v>
      </c>
      <c r="C10013" s="38" t="n">
        <f aca="false">Q!$D$31</f>
        <v>13.32</v>
      </c>
      <c r="D10013" s="38" t="n">
        <f aca="false">Q!$E$31</f>
        <v>21.45</v>
      </c>
      <c r="E10013" s="38" t="n">
        <f aca="false">Q!$P$31</f>
        <v>15.353</v>
      </c>
      <c r="F10013" s="38" t="n">
        <f aca="false">ext_sh*Sens!$F$10001+Sens!$D$10012*Sens!$F$9989</f>
        <v>16.3063747611001</v>
      </c>
      <c r="G10013" s="38" t="n">
        <f aca="false">Sens!$E$10013+Sens!$F$10013</f>
        <v>31.6593747611001</v>
      </c>
      <c r="H10013" s="38" t="n">
        <f aca="false">ext_sh*Sens!$H$10001+Sens!$D$10012*Sens!$H$9989</f>
        <v>53.124242092105</v>
      </c>
      <c r="I10013" s="38" t="n">
        <f aca="false">ext_sh*Sens!$I$10001+Sens!$D$10012*Sens!$I$9989</f>
        <v>78.046828098133</v>
      </c>
      <c r="J10013" s="38" t="n">
        <f aca="false">ext_sh*Sens!$J$10001+Sens!$D$10012*Sens!$J$9989</f>
        <v>103.663976940352</v>
      </c>
      <c r="K10013" s="38" t="n">
        <f aca="false">ext_sh*Sens!$K$10001+Sens!$D$10012*Sens!$K$9989</f>
        <v>129.625086115469</v>
      </c>
      <c r="L10013" s="38" t="n">
        <f aca="false">ext_sh*Sens!$L$10001+Sens!$D$10012*Sens!$L$9989</f>
        <v>147.747108049185</v>
      </c>
      <c r="M10013" s="38" t="n">
        <f aca="false">ext_sh*Sens!$M$10001+Sens!$D$10012*Sens!$M$9989</f>
        <v>160.235921080328</v>
      </c>
      <c r="N10013" s="38" t="n">
        <f aca="false">Q!$N$31</f>
        <v>9.234</v>
      </c>
      <c r="O10013" s="38" t="n">
        <f aca="false">Q!$O$31</f>
        <v>12.216</v>
      </c>
    </row>
    <row r="10014" customFormat="false" ht="17.15" hidden="false" customHeight="false" outlineLevel="0" collapsed="false">
      <c r="A10014" s="1" t="s">
        <v>649</v>
      </c>
    </row>
    <row r="10015" customFormat="false" ht="17.15" hidden="false" customHeight="false" outlineLevel="0" collapsed="false">
      <c r="A10015" s="15" t="s">
        <v>650</v>
      </c>
      <c r="B10015" s="14" t="s">
        <v>52</v>
      </c>
      <c r="C10015" s="14"/>
      <c r="D10015" s="14"/>
      <c r="E10015" s="14"/>
      <c r="F10015" s="14"/>
      <c r="G10015" s="17" t="n">
        <f aca="false">Sens!$G$10005*(1-tax)/(ext_sh*(Sens!$D$10002+Sens!$G$10002)/2)</f>
        <v>0.0492184452944045</v>
      </c>
      <c r="H10015" s="17" t="n">
        <f aca="false">Sens!$H$10005*(1-tax)/(ext_sh*(Sens!$G$10002+Sens!$H$10002)/2)</f>
        <v>0.0619414246858107</v>
      </c>
      <c r="I10015" s="17" t="n">
        <f aca="false">Sens!$I$10005*(1-tax)/(ext_sh*(Sens!$H$10002+Sens!$I$10002)/2)</f>
        <v>0.0656831488051666</v>
      </c>
      <c r="J10015" s="17" t="n">
        <f aca="false">Sens!$J$10005*(1-tax)/(ext_sh*(Sens!$I$10002+Sens!$J$10002)/2)</f>
        <v>0.0690334849962116</v>
      </c>
      <c r="K10015" s="17" t="n">
        <f aca="false">Sens!$K$10005*(1-tax)/(ext_sh*(Sens!$J$10002+Sens!$K$10002)/2)</f>
        <v>0.068784962145751</v>
      </c>
      <c r="L10015" s="17" t="n">
        <f aca="false">Sens!$L$10005*(1-tax)/(ext_sh*(Sens!$K$10002+Sens!$L$10002)/2)</f>
        <v>0.0727233196616126</v>
      </c>
      <c r="M10015" s="17" t="n">
        <f aca="false">Sens!$M$10005*(1-tax)/(ext_sh*(Sens!$L$10002+Sens!$M$10002)/2)</f>
        <v>0.0740360999014999</v>
      </c>
      <c r="N10015" s="14"/>
      <c r="O10015" s="14"/>
      <c r="P10015" s="8" t="s">
        <v>651</v>
      </c>
    </row>
    <row r="10016" customFormat="false" ht="17.15" hidden="false" customHeight="false" outlineLevel="0" collapsed="false">
      <c r="A10016" s="5" t="s">
        <v>652</v>
      </c>
      <c r="B10016" s="0" t="s">
        <v>57</v>
      </c>
      <c r="H10016" s="36" t="n">
        <f aca="false">Sens!$H$9985*1000/(mw_open*he_open+Sens!$H$9983*Sens!$H$9980)</f>
        <v>0.991949006767191</v>
      </c>
      <c r="I10016" s="36" t="n">
        <f aca="false">Sens!$I$9985*1000/(mw_open*he_open+Sens!$I$9983*Sens!$I$9980)</f>
        <v>0.991949006767191</v>
      </c>
      <c r="J10016" s="36" t="n">
        <f aca="false">Sens!$J$9985*1000/(mw_open*he_open+Sens!$J$9983*Sens!$J$9980)</f>
        <v>0.991949006767191</v>
      </c>
      <c r="K10016" s="36" t="n">
        <f aca="false">Sens!$K$9985*1000/(mw_open*he_open+Sens!$K$9983*Sens!$K$9980)</f>
        <v>0.991949006767191</v>
      </c>
      <c r="L10016" s="36" t="n">
        <f aca="false">Sens!$L$9985*1000/(mw_open*he_open+Sens!$L$9983*Sens!$L$9980)</f>
        <v>0.991949006767191</v>
      </c>
      <c r="M10016" s="36" t="n">
        <f aca="false">Sens!$M$9985*1000/(mw_open*he_open+Sens!$M$9983*Sens!$M$9980)</f>
        <v>0.991949006767191</v>
      </c>
    </row>
    <row r="10017" customFormat="false" ht="17.15" hidden="false" customHeight="false" outlineLevel="0" collapsed="false">
      <c r="A10017" s="5" t="s">
        <v>653</v>
      </c>
      <c r="B10017" s="0" t="s">
        <v>57</v>
      </c>
      <c r="H10017" s="36" t="n">
        <f aca="false">Sens!$H$10016*(Sens!$H$9985+(wacc+0.01)*ext_sh*(Sens!$G$10002+Sens!$H$10002)/2/(1-tax)-Sens!$H$10005)/Sens!$H$9985</f>
        <v>1.30684188026537</v>
      </c>
      <c r="I10017" s="36" t="n">
        <f aca="false">Sens!$I$10016*(Sens!$I$9985+(wacc+0.01)*ext_sh*(Sens!$H$10002+Sens!$I$10002)/2/(1-tax)-Sens!$I$10005)/Sens!$I$9985</f>
        <v>1.25031092654298</v>
      </c>
      <c r="J10017" s="36" t="n">
        <f aca="false">Sens!$J$10016*(Sens!$J$9985+(wacc+0.01)*ext_sh*(Sens!$I$10002+Sens!$J$10002)/2/(1-tax)-Sens!$J$10005)/Sens!$J$9985</f>
        <v>1.2119608022736</v>
      </c>
      <c r="K10017" s="36" t="n">
        <f aca="false">Sens!$K$10016*(Sens!$K$9985+(wacc+0.01)*ext_sh*(Sens!$J$10002+Sens!$K$10002)/2/(1-tax)-Sens!$K$10005)/Sens!$K$9985</f>
        <v>1.19150420056512</v>
      </c>
      <c r="L10017" s="36" t="n">
        <f aca="false">Sens!$L$10016*(Sens!$L$9985+(wacc+0.01)*ext_sh*(Sens!$K$10002+Sens!$L$10002)/2/(1-tax)-Sens!$L$10005)/Sens!$L$9985</f>
        <v>1.15911566579541</v>
      </c>
      <c r="M10017" s="36" t="n">
        <f aca="false">Sens!$M$10016*(Sens!$M$9985+(wacc+0.01)*ext_sh*(Sens!$L$10002+Sens!$M$10002)/2/(1-tax)-Sens!$M$10005)/Sens!$M$9985</f>
        <v>1.14365325129139</v>
      </c>
    </row>
    <row r="10018" customFormat="false" ht="17.15" hidden="false" customHeight="false" outlineLevel="0" collapsed="false">
      <c r="A10018" s="5" t="s">
        <v>654</v>
      </c>
      <c r="B10018" s="0" t="s">
        <v>52</v>
      </c>
      <c r="C10018" s="13" t="n">
        <f aca="false">Sens!$C$9986/tk_pq</f>
        <v>0.195316432429398</v>
      </c>
      <c r="D10018" s="13" t="n">
        <f aca="false">Sens!$D$9986/tk_pq</f>
        <v>0.195316432429398</v>
      </c>
      <c r="E10018" s="13" t="n">
        <f aca="false">Sens!$E$9986/tk_pq</f>
        <v>0.195316432429398</v>
      </c>
      <c r="F10018" s="13" t="n">
        <f aca="false">Sens!$F$9986/tk_pq</f>
        <v>0.202241827274866</v>
      </c>
      <c r="G10018" s="13" t="n">
        <f aca="false">Sens!$G$9986/tk_pq</f>
        <v>0.199675016194063</v>
      </c>
      <c r="H10018" s="13" t="n">
        <f aca="false">Sens!$H$9986/tk_pq</f>
        <v>0.212647947710325</v>
      </c>
      <c r="I10018" s="13" t="n">
        <f aca="false">Sens!$I$9986/tk_pq</f>
        <v>0.219285125475351</v>
      </c>
      <c r="J10018" s="13" t="n">
        <f aca="false">Sens!$J$9986/tk_pq</f>
        <v>0.222492493217189</v>
      </c>
      <c r="K10018" s="13" t="n">
        <f aca="false">Sens!$K$9986/tk_pq</f>
        <v>0.224068966220005</v>
      </c>
      <c r="L10018" s="13" t="n">
        <f aca="false">Sens!$L$9986/tk_pq</f>
        <v>0.224830053471997</v>
      </c>
      <c r="M10018" s="13" t="n">
        <f aca="false">Sens!$M$9986/tk_pq</f>
        <v>0.22513299704272</v>
      </c>
      <c r="N10018" s="13" t="n">
        <f aca="false">Sens!$N$9986/tk_pq</f>
        <v>0.195316432429398</v>
      </c>
      <c r="O10018" s="13" t="n">
        <f aca="false">Sens!$O$9986/tk_pq</f>
        <v>0.195316432429398</v>
      </c>
      <c r="P10018" s="5" t="s">
        <v>655</v>
      </c>
    </row>
    <row r="10021" customFormat="false" ht="17.15" hidden="false" customHeight="false" outlineLevel="0" collapsed="false">
      <c r="A10021" s="1" t="s">
        <v>684</v>
      </c>
    </row>
    <row r="10022" customFormat="false" ht="17.15" hidden="false" customHeight="false" outlineLevel="0" collapsed="false">
      <c r="A10022" s="0" t="s">
        <v>685</v>
      </c>
      <c r="B10022" s="0" t="s">
        <v>86</v>
      </c>
      <c r="C10022" s="38" t="n">
        <f aca="false">Sens!$C$9985</f>
        <v>2.32100535697364</v>
      </c>
      <c r="D10022" s="38" t="n">
        <f aca="false">Sens!$D$9985</f>
        <v>8.70377008865116</v>
      </c>
      <c r="E10022" s="38" t="n">
        <f aca="false">Sens!$E$9985</f>
        <v>8.51035297557002</v>
      </c>
      <c r="F10022" s="38" t="n">
        <f aca="false">Sens!$F$9985</f>
        <v>14.9634336447205</v>
      </c>
      <c r="G10022" s="38" t="n">
        <f aca="false">Sens!$G$9985</f>
        <v>23.4737866202905</v>
      </c>
      <c r="H10022" s="38" t="n">
        <f aca="false">Sens!$H$9985</f>
        <v>60.1658907497746</v>
      </c>
      <c r="I10022" s="38" t="n">
        <f aca="false">Sens!$I$9985</f>
        <v>101.503699136432</v>
      </c>
      <c r="J10022" s="38" t="n">
        <f aca="false">Sens!$J$9985</f>
        <v>143.025407151278</v>
      </c>
      <c r="K10022" s="38" t="n">
        <f aca="false">Sens!$K$9985</f>
        <v>178.73410158042</v>
      </c>
      <c r="L10022" s="38" t="n">
        <f aca="false">Sens!$L$9985</f>
        <v>202.865192960641</v>
      </c>
      <c r="M10022" s="38" t="n">
        <f aca="false">Sens!$M$9985</f>
        <v>215.389874345967</v>
      </c>
      <c r="N10022" s="38" t="n">
        <f aca="false">Sens!$N$9985</f>
        <v>3.04631953102791</v>
      </c>
      <c r="O10022" s="38" t="n">
        <f aca="false">Sens!$O$9985</f>
        <v>5.65745055762326</v>
      </c>
      <c r="P10022" s="8" t="s">
        <v>686</v>
      </c>
    </row>
    <row r="10023" customFormat="false" ht="17.15" hidden="false" customHeight="false" outlineLevel="0" collapsed="false">
      <c r="A10023" s="0" t="s">
        <v>687</v>
      </c>
      <c r="B10023" s="0" t="s">
        <v>86</v>
      </c>
      <c r="C10023" s="38" t="n">
        <f aca="false">Sens!$C$9989</f>
        <v>105.234994643026</v>
      </c>
      <c r="D10023" s="38" t="n">
        <f aca="false">Sens!$D$9989</f>
        <v>120.021229911349</v>
      </c>
      <c r="E10023" s="38" t="n">
        <f aca="false">Sens!$E$9989</f>
        <v>71.30864702443</v>
      </c>
      <c r="F10023" s="38" t="n">
        <f aca="false">Sens!$F$9989</f>
        <v>71.7692997942464</v>
      </c>
      <c r="G10023" s="38" t="n">
        <f aca="false">Sens!$G$9989</f>
        <v>143.077946818676</v>
      </c>
      <c r="H10023" s="38" t="n">
        <f aca="false">Sens!$H$9989</f>
        <v>161.017077079203</v>
      </c>
      <c r="I10023" s="38" t="n">
        <f aca="false">Sens!$I$9989</f>
        <v>178.769759521457</v>
      </c>
      <c r="J10023" s="38" t="n">
        <f aca="false">Sens!$J$9989</f>
        <v>195.775538045907</v>
      </c>
      <c r="K10023" s="38" t="n">
        <f aca="false">Sens!$K$9989</f>
        <v>211.43758108958</v>
      </c>
      <c r="L10023" s="38" t="n">
        <f aca="false">Sens!$L$9989</f>
        <v>228.352587576746</v>
      </c>
      <c r="M10023" s="38" t="n">
        <f aca="false">Sens!$M$9989</f>
        <v>246.620794582886</v>
      </c>
      <c r="N10023" s="38" t="n">
        <f aca="false">Sens!$N$9989</f>
        <v>57.0936804689721</v>
      </c>
      <c r="O10023" s="38" t="n">
        <f aca="false">Sens!$O$9989</f>
        <v>62.9275494423768</v>
      </c>
      <c r="P10023" s="8" t="s">
        <v>686</v>
      </c>
    </row>
    <row r="10024" customFormat="false" ht="17.15" hidden="false" customHeight="false" outlineLevel="0" collapsed="false">
      <c r="A10024" s="1" t="s">
        <v>513</v>
      </c>
      <c r="B10024" s="8" t="s">
        <v>86</v>
      </c>
      <c r="C10024" s="38" t="n">
        <f aca="false">Q!$D$7</f>
        <v>107.556</v>
      </c>
      <c r="D10024" s="38" t="n">
        <f aca="false">Q!$E$7</f>
        <v>128.725</v>
      </c>
      <c r="E10024" s="38" t="n">
        <f aca="false">Q!$P$7</f>
        <v>79.819</v>
      </c>
      <c r="F10024" s="38" t="n">
        <f aca="false">Sens!$F$10022+Sens!$F$10023</f>
        <v>86.7327334389669</v>
      </c>
      <c r="G10024" s="38" t="n">
        <f aca="false">Sens!$G$10022+Sens!$G$10023</f>
        <v>166.551733438967</v>
      </c>
      <c r="H10024" s="38" t="n">
        <f aca="false">Sens!$H$10022+Sens!$H$10023</f>
        <v>221.182967828978</v>
      </c>
      <c r="I10024" s="38" t="n">
        <f aca="false">Sens!$I$10022+Sens!$I$10023</f>
        <v>280.27345865789</v>
      </c>
      <c r="J10024" s="38" t="n">
        <f aca="false">Sens!$J$10022+Sens!$J$10023</f>
        <v>338.800945197185</v>
      </c>
      <c r="K10024" s="38" t="n">
        <f aca="false">Sens!$K$10022+Sens!$K$10023</f>
        <v>390.17168267</v>
      </c>
      <c r="L10024" s="38" t="n">
        <f aca="false">Sens!$L$10022+Sens!$L$10023</f>
        <v>431.217780537388</v>
      </c>
      <c r="M10024" s="38" t="n">
        <f aca="false">Sens!$M$10022+Sens!$M$10023</f>
        <v>462.010668928853</v>
      </c>
      <c r="N10024" s="38" t="n">
        <f aca="false">Q!$N$7</f>
        <v>60.14</v>
      </c>
      <c r="O10024" s="38" t="n">
        <f aca="false">Q!$O$7</f>
        <v>68.585</v>
      </c>
      <c r="P10024" s="5" t="s">
        <v>688</v>
      </c>
    </row>
    <row r="10025" customFormat="false" ht="15" hidden="false" customHeight="false" outlineLevel="0" collapsed="false">
      <c r="A10025" s="3" t="s">
        <v>689</v>
      </c>
      <c r="B10025" s="8" t="s">
        <v>86</v>
      </c>
      <c r="C10025" s="38" t="n">
        <f aca="false">Q!$D$8</f>
        <v>637.959</v>
      </c>
      <c r="D10025" s="38" t="n">
        <f aca="false">Q!$E$8</f>
        <v>716.924</v>
      </c>
      <c r="E10025" s="38" t="n">
        <f aca="false">Q!$P$8</f>
        <v>382.125</v>
      </c>
      <c r="F10025" s="38" t="n">
        <f aca="false">Sens!$F$9957+Sens!$F$10024</f>
        <v>435.780975084504</v>
      </c>
      <c r="G10025" s="38" t="n">
        <f aca="false">Sens!$G$9957+Sens!$G$10024</f>
        <v>817.905975084504</v>
      </c>
      <c r="H10025" s="38" t="n">
        <f aca="false">Sens!$H$9957+Sens!$H$10024</f>
        <v>942.279857350364</v>
      </c>
      <c r="I10025" s="38" t="n">
        <f aca="false">Sens!$I$9957+Sens!$I$10024</f>
        <v>1068.80284981042</v>
      </c>
      <c r="J10025" s="38" t="n">
        <f aca="false">Sens!$J$9957+Sens!$J$10024</f>
        <v>1189.90935093863</v>
      </c>
      <c r="K10025" s="38" t="n">
        <f aca="false">Sens!$K$9957+Sens!$K$10024</f>
        <v>1296.34813810109</v>
      </c>
      <c r="L10025" s="38" t="n">
        <f aca="false">Sens!$L$9957+Sens!$L$10024</f>
        <v>1396.31088701298</v>
      </c>
      <c r="M10025" s="38" t="n">
        <f aca="false">Sens!$M$9957+Sens!$M$10024</f>
        <v>1490.15857687574</v>
      </c>
      <c r="N10025" s="38" t="n">
        <f aca="false">Q!$N$8</f>
        <v>323.369</v>
      </c>
      <c r="O10025" s="38" t="n">
        <f aca="false">Q!$O$8</f>
        <v>393.555</v>
      </c>
    </row>
    <row r="10026" customFormat="false" ht="17.15" hidden="false" customHeight="false" outlineLevel="0" collapsed="false">
      <c r="A10026" s="24" t="s">
        <v>697</v>
      </c>
      <c r="B10026" s="25" t="s">
        <v>86</v>
      </c>
      <c r="C10026" s="41" t="n">
        <f aca="false">Sens!$C$9957-(Sens!$C$9959+Sens!$C$9960)</f>
        <v>0</v>
      </c>
      <c r="D10026" s="41" t="n">
        <f aca="false">Sens!$D$9957-(Sens!$D$9959+Sens!$D$9960)</f>
        <v>0</v>
      </c>
      <c r="E10026" s="41" t="n">
        <f aca="false">Sens!$E$9957-(Sens!$E$9959+Sens!$E$9960)</f>
        <v>0</v>
      </c>
      <c r="F10026" s="41" t="n">
        <f aca="false">Sens!$F$9957-(Sens!$F$9959+Sens!$F$9960)</f>
        <v>0</v>
      </c>
      <c r="G10026" s="41" t="n">
        <f aca="false">Sens!$G$9957-(Sens!$G$9959+Sens!$G$9960)</f>
        <v>0</v>
      </c>
      <c r="H10026" s="41" t="n">
        <f aca="false">Sens!$H$9957-(Sens!$H$9959+Sens!$H$9960)</f>
        <v>0</v>
      </c>
      <c r="I10026" s="41" t="n">
        <f aca="false">Sens!$I$9957-(Sens!$I$9959+Sens!$I$9960)</f>
        <v>0</v>
      </c>
      <c r="J10026" s="41" t="n">
        <f aca="false">Sens!$J$9957-(Sens!$J$9959+Sens!$J$9960)</f>
        <v>0</v>
      </c>
      <c r="K10026" s="41" t="n">
        <f aca="false">Sens!$K$9957-(Sens!$K$9959+Sens!$K$9960)</f>
        <v>0</v>
      </c>
      <c r="L10026" s="41" t="n">
        <f aca="false">Sens!$L$9957-(Sens!$L$9959+Sens!$L$9960)</f>
        <v>0</v>
      </c>
      <c r="M10026" s="41" t="n">
        <f aca="false">Sens!$M$9957-(Sens!$M$9959+Sens!$M$9960)</f>
        <v>0</v>
      </c>
      <c r="N10026" s="41" t="n">
        <f aca="false">Sens!$N$9957-(Sens!$N$9959+Sens!$N$9960)</f>
        <v>0</v>
      </c>
      <c r="O10026" s="41" t="n">
        <f aca="false">Sens!$O$9957-(Sens!$O$9959+Sens!$O$9960)</f>
        <v>0</v>
      </c>
    </row>
    <row r="10027" customFormat="false" ht="17.15" hidden="false" customHeight="false" outlineLevel="0" collapsed="false">
      <c r="A10027" s="24" t="s">
        <v>698</v>
      </c>
      <c r="B10027" s="25" t="s">
        <v>86</v>
      </c>
      <c r="C10027" s="41" t="n">
        <f aca="false">Sens!$C$10022+Sens!$C$10023-Sens!$C$10024</f>
        <v>0</v>
      </c>
      <c r="D10027" s="41" t="n">
        <f aca="false">Sens!$D$10022+Sens!$D$10023-Sens!$D$10024</f>
        <v>0</v>
      </c>
      <c r="E10027" s="41" t="n">
        <f aca="false">Sens!$E$10022+Sens!$E$10023-Sens!$E$10024</f>
        <v>0</v>
      </c>
      <c r="F10027" s="41" t="n">
        <f aca="false">Sens!$F$10022+Sens!$F$10023-Sens!$F$10024</f>
        <v>0</v>
      </c>
      <c r="G10027" s="41" t="n">
        <f aca="false">Sens!$G$10022+Sens!$G$10023-Sens!$G$10024</f>
        <v>0</v>
      </c>
      <c r="H10027" s="41" t="n">
        <f aca="false">Sens!$H$10022+Sens!$H$10023-Sens!$H$10024</f>
        <v>0</v>
      </c>
      <c r="I10027" s="41" t="n">
        <f aca="false">Sens!$I$10022+Sens!$I$10023-Sens!$I$10024</f>
        <v>0</v>
      </c>
      <c r="J10027" s="41" t="n">
        <f aca="false">Sens!$J$10022+Sens!$J$10023-Sens!$J$10024</f>
        <v>0</v>
      </c>
      <c r="K10027" s="41" t="n">
        <f aca="false">Sens!$K$10022+Sens!$K$10023-Sens!$K$10024</f>
        <v>0</v>
      </c>
      <c r="L10027" s="41" t="n">
        <f aca="false">Sens!$L$10022+Sens!$L$10023-Sens!$L$10024</f>
        <v>0</v>
      </c>
      <c r="M10027" s="41" t="n">
        <f aca="false">Sens!$M$10022+Sens!$M$10023-Sens!$M$10024</f>
        <v>0</v>
      </c>
      <c r="N10027" s="41" t="n">
        <f aca="false">Sens!$N$10022+Sens!$N$10023-Sens!$N$10024</f>
        <v>0</v>
      </c>
      <c r="O10027" s="41" t="n">
        <f aca="false">Sens!$O$10022+Sens!$O$10023-Sens!$O$10024</f>
        <v>0</v>
      </c>
    </row>
    <row r="10028" customFormat="false" ht="17.15" hidden="false" customHeight="false" outlineLevel="0" collapsed="false">
      <c r="A10028" s="24" t="s">
        <v>699</v>
      </c>
      <c r="B10028" s="25" t="s">
        <v>86</v>
      </c>
      <c r="C10028" s="41" t="n">
        <f aca="false">Sens!$C$9959+Sens!$C$9960+Sens!$C$10024-Sens!$C$10025</f>
        <v>0</v>
      </c>
      <c r="D10028" s="41" t="n">
        <f aca="false">Sens!$D$9959+Sens!$D$9960+Sens!$D$10024-Sens!$D$10025</f>
        <v>0</v>
      </c>
      <c r="E10028" s="41" t="n">
        <f aca="false">Sens!$E$9959+Sens!$E$9960+Sens!$E$10024-Sens!$E$10025</f>
        <v>0</v>
      </c>
      <c r="F10028" s="41" t="n">
        <f aca="false">Sens!$F$9959+Sens!$F$9960+Sens!$F$10024-Sens!$F$10025</f>
        <v>0</v>
      </c>
      <c r="G10028" s="41" t="n">
        <f aca="false">Sens!$G$9959+Sens!$G$9960+Sens!$G$10024-Sens!$G$10025</f>
        <v>0</v>
      </c>
      <c r="H10028" s="41" t="n">
        <f aca="false">Sens!$H$9959+Sens!$H$9960+Sens!$H$10024-Sens!$H$10025</f>
        <v>0</v>
      </c>
      <c r="I10028" s="41" t="n">
        <f aca="false">Sens!$I$9959+Sens!$I$9960+Sens!$I$10024-Sens!$I$10025</f>
        <v>0</v>
      </c>
      <c r="J10028" s="41" t="n">
        <f aca="false">Sens!$J$9959+Sens!$J$9960+Sens!$J$10024-Sens!$J$10025</f>
        <v>0</v>
      </c>
      <c r="K10028" s="41" t="n">
        <f aca="false">Sens!$K$9959+Sens!$K$9960+Sens!$K$10024-Sens!$K$10025</f>
        <v>0</v>
      </c>
      <c r="L10028" s="41" t="n">
        <f aca="false">Sens!$L$9959+Sens!$L$9960+Sens!$L$10024-Sens!$L$10025</f>
        <v>0</v>
      </c>
      <c r="M10028" s="41" t="n">
        <f aca="false">Sens!$M$9959+Sens!$M$9960+Sens!$M$10024-Sens!$M$10025</f>
        <v>0</v>
      </c>
      <c r="N10028" s="41" t="n">
        <f aca="false">Sens!$N$9959+Sens!$N$9960+Sens!$N$10024-Sens!$N$10025</f>
        <v>0</v>
      </c>
      <c r="O10028" s="41" t="n">
        <f aca="false">Sens!$O$9959+Sens!$O$9960+Sens!$O$10024-Sens!$O$10025</f>
        <v>0</v>
      </c>
    </row>
    <row r="10029" customFormat="false" ht="15" hidden="false" customHeight="false" outlineLevel="0" collapsed="false">
      <c r="A10029" s="5" t="s">
        <v>693</v>
      </c>
      <c r="B10029" s="0" t="s">
        <v>52</v>
      </c>
      <c r="G10029" s="13" t="n">
        <f aca="false">Sens!$G$10025/Sens!$D$10025-1</f>
        <v>0.140854504918937</v>
      </c>
      <c r="H10029" s="13" t="n">
        <f aca="false">Sens!$H$10025/Sens!$G$10025-1</f>
        <v>0.152063789793209</v>
      </c>
      <c r="I10029" s="13" t="n">
        <f aca="false">Sens!$I$10025/Sens!$H$10025-1</f>
        <v>0.134273264437417</v>
      </c>
      <c r="J10029" s="13" t="n">
        <f aca="false">Sens!$J$10025/Sens!$I$10025-1</f>
        <v>0.113310421234083</v>
      </c>
      <c r="K10029" s="13" t="n">
        <f aca="false">Sens!$K$10025/Sens!$J$10025-1</f>
        <v>0.0894511729641407</v>
      </c>
      <c r="L10029" s="13" t="n">
        <f aca="false">Sens!$L$10025/Sens!$K$10025-1</f>
        <v>0.077111036745358</v>
      </c>
      <c r="M10029" s="13" t="n">
        <f aca="false">Sens!$M$10025/Sens!$L$10025-1</f>
        <v>0.067211171047677</v>
      </c>
    </row>
    <row r="10030" customFormat="false" ht="17.15" hidden="false" customHeight="false" outlineLevel="0" collapsed="false">
      <c r="A10030" s="0" t="s">
        <v>694</v>
      </c>
      <c r="B10030" s="0" t="s">
        <v>52</v>
      </c>
      <c r="C10030" s="13" t="n">
        <f aca="false">Sens!$C$10024/Sens!$C$10025</f>
        <v>0.168593906504964</v>
      </c>
      <c r="D10030" s="13" t="n">
        <f aca="false">Sens!$D$10024/Sens!$D$10025</f>
        <v>0.179551807444025</v>
      </c>
      <c r="E10030" s="13" t="n">
        <f aca="false">Sens!$E$10024/Sens!$E$10025</f>
        <v>0.208881910369643</v>
      </c>
      <c r="F10030" s="13" t="n">
        <f aca="false">Sens!$F$10024/Sens!$F$10025</f>
        <v>0.199028269699356</v>
      </c>
      <c r="G10030" s="13" t="n">
        <f aca="false">Sens!$G$10024/Sens!$G$10025</f>
        <v>0.203631882529968</v>
      </c>
      <c r="H10030" s="13" t="n">
        <f aca="false">Sens!$H$10024/Sens!$H$10025</f>
        <v>0.234731715958496</v>
      </c>
      <c r="I10030" s="13" t="n">
        <f aca="false">Sens!$I$10024/Sens!$I$10025</f>
        <v>0.262231204480418</v>
      </c>
      <c r="J10030" s="13" t="n">
        <f aca="false">Sens!$J$10024/Sens!$J$10025</f>
        <v>0.284728366013706</v>
      </c>
      <c r="K10030" s="13" t="n">
        <f aca="false">Sens!$K$10024/Sens!$K$10025</f>
        <v>0.300977547004873</v>
      </c>
      <c r="L10030" s="13" t="n">
        <f aca="false">Sens!$L$10024/Sens!$L$10025</f>
        <v>0.308826483090639</v>
      </c>
      <c r="M10030" s="13" t="n">
        <f aca="false">Sens!$M$10024/Sens!$M$10025</f>
        <v>0.310041277551482</v>
      </c>
      <c r="N10030" s="13" t="n">
        <f aca="false">Sens!$N$10024/Sens!$N$10025</f>
        <v>0.185979484737251</v>
      </c>
      <c r="O10030" s="13" t="n">
        <f aca="false">Sens!$O$10024/Sens!$O$10025</f>
        <v>0.174270432341096</v>
      </c>
    </row>
    <row r="10031" customFormat="false" ht="17.15" hidden="false" customHeight="false" outlineLevel="0" collapsed="false">
      <c r="A10031" s="0" t="s">
        <v>695</v>
      </c>
      <c r="B10031" s="0" t="s">
        <v>52</v>
      </c>
      <c r="C10031" s="13" t="n">
        <f aca="false">Sens!$C$10022/Sens!$C$10024</f>
        <v>0.0215795060896058</v>
      </c>
      <c r="D10031" s="13" t="n">
        <f aca="false">Sens!$D$10022/Sens!$D$10024</f>
        <v>0.0676152269462122</v>
      </c>
      <c r="E10031" s="13" t="n">
        <f aca="false">Sens!$E$10022/Sens!$E$10024</f>
        <v>0.106620641395783</v>
      </c>
      <c r="F10031" s="13" t="n">
        <f aca="false">Sens!$F$10022/Sens!$F$10024</f>
        <v>0.172523487401099</v>
      </c>
      <c r="G10031" s="13" t="n">
        <f aca="false">Sens!$G$10022/Sens!$G$10024</f>
        <v>0.140939911795589</v>
      </c>
      <c r="H10031" s="13" t="n">
        <f aca="false">Sens!$H$10022/Sens!$H$10024</f>
        <v>0.272018642937714</v>
      </c>
      <c r="I10031" s="13" t="n">
        <f aca="false">Sens!$I$10022/Sens!$I$10024</f>
        <v>0.362159512436497</v>
      </c>
      <c r="J10031" s="13" t="n">
        <f aca="false">Sens!$J$10022/Sens!$J$10024</f>
        <v>0.422151735934609</v>
      </c>
      <c r="K10031" s="13" t="n">
        <f aca="false">Sens!$K$10022/Sens!$K$10024</f>
        <v>0.458090911050534</v>
      </c>
      <c r="L10031" s="13" t="n">
        <f aca="false">Sens!$L$10022/Sens!$L$10024</f>
        <v>0.470447189602963</v>
      </c>
      <c r="M10031" s="13" t="n">
        <f aca="false">Sens!$M$10022/Sens!$M$10024</f>
        <v>0.466201083289563</v>
      </c>
      <c r="N10031" s="13" t="n">
        <f aca="false">Sens!$N$10022/Sens!$N$10024</f>
        <v>0.0506537999838362</v>
      </c>
      <c r="O10031" s="13" t="n">
        <f aca="false">Sens!$O$10022/Sens!$O$10024</f>
        <v>0.0824881615167056</v>
      </c>
    </row>
    <row r="10034" customFormat="false" ht="19.4" hidden="false" customHeight="false" outlineLevel="0" collapsed="false">
      <c r="A10034" s="31" t="s">
        <v>1334</v>
      </c>
    </row>
    <row r="10035" customFormat="false" ht="17.15" hidden="false" customHeight="false" outlineLevel="0" collapsed="false">
      <c r="A10035" s="6" t="s">
        <v>16</v>
      </c>
      <c r="B10035" s="6" t="s">
        <v>17</v>
      </c>
      <c r="C10035" s="20" t="s">
        <v>494</v>
      </c>
      <c r="D10035" s="20" t="s">
        <v>495</v>
      </c>
      <c r="E10035" s="20" t="s">
        <v>577</v>
      </c>
      <c r="F10035" s="20" t="s">
        <v>578</v>
      </c>
      <c r="G10035" s="20" t="s">
        <v>579</v>
      </c>
      <c r="H10035" s="20" t="s">
        <v>580</v>
      </c>
      <c r="I10035" s="20" t="s">
        <v>581</v>
      </c>
      <c r="J10035" s="20" t="s">
        <v>582</v>
      </c>
      <c r="K10035" s="20" t="s">
        <v>583</v>
      </c>
      <c r="L10035" s="20" t="s">
        <v>584</v>
      </c>
      <c r="M10035" s="20" t="s">
        <v>585</v>
      </c>
      <c r="N10035" s="20" t="s">
        <v>586</v>
      </c>
      <c r="O10035" s="20" t="s">
        <v>587</v>
      </c>
      <c r="P10035" s="6" t="s">
        <v>23</v>
      </c>
      <c r="R10035" s="20" t="n">
        <v>2023</v>
      </c>
      <c r="S10035" s="20" t="n">
        <v>2024</v>
      </c>
      <c r="T10035" s="20" t="n">
        <v>2025</v>
      </c>
      <c r="U10035" s="20" t="n">
        <v>2026</v>
      </c>
      <c r="V10035" s="20" t="n">
        <v>2027</v>
      </c>
      <c r="W10035" s="20" t="n">
        <v>2028</v>
      </c>
      <c r="X10035" s="20" t="n">
        <v>2029</v>
      </c>
      <c r="Y10035" s="20" t="n">
        <v>2030</v>
      </c>
      <c r="Z10035" s="20" t="n">
        <v>2031</v>
      </c>
      <c r="AA10035" s="20" t="n">
        <v>2032</v>
      </c>
    </row>
    <row r="10036" customFormat="false" ht="17.15" hidden="false" customHeight="false" outlineLevel="0" collapsed="false">
      <c r="A10036" s="1" t="s">
        <v>710</v>
      </c>
    </row>
    <row r="10037" customFormat="false" ht="15" hidden="false" customHeight="false" outlineLevel="0" collapsed="false">
      <c r="A10037" s="0" t="s">
        <v>516</v>
      </c>
      <c r="B10037" s="0" t="s">
        <v>86</v>
      </c>
      <c r="C10037" s="38" t="n">
        <f aca="false">Sens!$C$9944</f>
        <v>247.029</v>
      </c>
      <c r="D10037" s="38" t="n">
        <f aca="false">Sens!$D$9944</f>
        <v>269.287</v>
      </c>
      <c r="E10037" s="38" t="n">
        <f aca="false">Sens!$E$9944</f>
        <v>134.686</v>
      </c>
      <c r="F10037" s="38" t="n">
        <f aca="false">Sens!$F$9944</f>
        <v>158.293876822267</v>
      </c>
      <c r="G10037" s="38" t="n">
        <f aca="false">Sens!$G$9944</f>
        <v>292.979876822267</v>
      </c>
      <c r="H10037" s="38" t="n">
        <f aca="false">Sens!$H$9944</f>
        <v>318.184543087396</v>
      </c>
      <c r="I10037" s="38" t="n">
        <f aca="false">Sens!$I$9944</f>
        <v>341.736278761793</v>
      </c>
      <c r="J10037" s="38" t="n">
        <f aca="false">Sens!$J$9944</f>
        <v>362.927192787048</v>
      </c>
      <c r="K10037" s="38" t="n">
        <f aca="false">Sens!$K$9944</f>
        <v>381.0735524264</v>
      </c>
      <c r="L10037" s="38" t="n">
        <f aca="false">Sens!$L$9944</f>
        <v>400.12723004772</v>
      </c>
      <c r="M10037" s="38" t="n">
        <f aca="false">Sens!$M$9944</f>
        <v>420.133591550106</v>
      </c>
      <c r="N10037" s="38" t="n">
        <f aca="false">Sens!$N$9944</f>
        <v>118.892</v>
      </c>
      <c r="O10037" s="38" t="n">
        <f aca="false">Sens!$O$9944</f>
        <v>150.395</v>
      </c>
    </row>
    <row r="10038" customFormat="false" ht="15" hidden="false" customHeight="false" outlineLevel="0" collapsed="false">
      <c r="A10038" s="0" t="s">
        <v>517</v>
      </c>
      <c r="B10038" s="0" t="s">
        <v>86</v>
      </c>
      <c r="C10038" s="38" t="n">
        <f aca="false">Sens!$C$9946</f>
        <v>21.215</v>
      </c>
      <c r="D10038" s="38" t="n">
        <f aca="false">Sens!$D$9946</f>
        <v>22.561</v>
      </c>
      <c r="E10038" s="38" t="n">
        <f aca="false">Sens!$E$9946</f>
        <v>11.579</v>
      </c>
      <c r="F10038" s="38" t="n">
        <f aca="false">Sens!$F$9946</f>
        <v>11.5938724610325</v>
      </c>
      <c r="G10038" s="38" t="n">
        <f aca="false">Sens!$G$9946</f>
        <v>23.1728724610325</v>
      </c>
      <c r="H10038" s="38" t="n">
        <f aca="false">Sens!$H$9946</f>
        <v>24.353392759506</v>
      </c>
      <c r="I10038" s="38" t="n">
        <f aca="false">Sens!$I$9946</f>
        <v>25.4240338872015</v>
      </c>
      <c r="J10038" s="38" t="n">
        <f aca="false">Sens!$J$9946</f>
        <v>26.3642491017174</v>
      </c>
      <c r="K10038" s="38" t="n">
        <f aca="false">Sens!$K$9946</f>
        <v>27.155176574769</v>
      </c>
      <c r="L10038" s="38" t="n">
        <f aca="false">Sens!$L$9946</f>
        <v>27.969831872012</v>
      </c>
      <c r="M10038" s="38" t="n">
        <f aca="false">Sens!$M$9946</f>
        <v>28.8089268281724</v>
      </c>
      <c r="N10038" s="38" t="n">
        <f aca="false">Sens!$N$9946</f>
        <v>11.128</v>
      </c>
      <c r="O10038" s="38" t="n">
        <f aca="false">Sens!$O$9946</f>
        <v>11.433</v>
      </c>
    </row>
    <row r="10039" customFormat="false" ht="15" hidden="false" customHeight="false" outlineLevel="0" collapsed="false">
      <c r="A10039" s="0" t="s">
        <v>518</v>
      </c>
      <c r="B10039" s="0" t="s">
        <v>86</v>
      </c>
      <c r="C10039" s="38" t="n">
        <f aca="false">Sens!$C$9948</f>
        <v>156.146</v>
      </c>
      <c r="D10039" s="38" t="n">
        <f aca="false">Sens!$D$9948</f>
        <v>172.162</v>
      </c>
      <c r="E10039" s="38" t="n">
        <f aca="false">Sens!$E$9948</f>
        <v>88.358</v>
      </c>
      <c r="F10039" s="38" t="n">
        <f aca="false">Sens!$F$9948</f>
        <v>102.004388260171</v>
      </c>
      <c r="G10039" s="38" t="n">
        <f aca="false">Sens!$G$9948</f>
        <v>190.362388260171</v>
      </c>
      <c r="H10039" s="38" t="n">
        <f aca="false">Sens!$H$9948</f>
        <v>210.343106588311</v>
      </c>
      <c r="I10039" s="38" t="n">
        <f aca="false">Sens!$I$9948</f>
        <v>229.969728494648</v>
      </c>
      <c r="J10039" s="38" t="n">
        <f aca="false">Sens!$J$9948</f>
        <v>248.747636972598</v>
      </c>
      <c r="K10039" s="38" t="n">
        <f aca="false">Sens!$K$9948</f>
        <v>266.15997156068</v>
      </c>
      <c r="L10039" s="38" t="n">
        <f aca="false">Sens!$L$9948</f>
        <v>284.791169569927</v>
      </c>
      <c r="M10039" s="38" t="n">
        <f aca="false">Sens!$M$9948</f>
        <v>304.726551439822</v>
      </c>
      <c r="N10039" s="38" t="n">
        <f aca="false">Sens!$N$9948</f>
        <v>76.86</v>
      </c>
      <c r="O10039" s="38" t="n">
        <f aca="false">Sens!$O$9948</f>
        <v>95.302</v>
      </c>
    </row>
    <row r="10040" customFormat="false" ht="15" hidden="false" customHeight="false" outlineLevel="0" collapsed="false">
      <c r="A10040" s="0" t="s">
        <v>519</v>
      </c>
      <c r="B10040" s="0" t="s">
        <v>86</v>
      </c>
      <c r="C10040" s="38" t="n">
        <f aca="false">Sens!$C$9950</f>
        <v>56.214</v>
      </c>
      <c r="D10040" s="38" t="n">
        <f aca="false">Sens!$D$9950</f>
        <v>68.635</v>
      </c>
      <c r="E10040" s="38" t="n">
        <f aca="false">Sens!$E$9950</f>
        <v>37.052</v>
      </c>
      <c r="F10040" s="38" t="n">
        <f aca="false">Sens!$F$9950</f>
        <v>46.1572219944148</v>
      </c>
      <c r="G10040" s="38" t="n">
        <f aca="false">Sens!$G$9950</f>
        <v>83.2092219944148</v>
      </c>
      <c r="H10040" s="38" t="n">
        <f aca="false">Sens!$H$9950</f>
        <v>99.8969223878976</v>
      </c>
      <c r="I10040" s="38" t="n">
        <f aca="false">Sens!$I$9950</f>
        <v>116.583111095496</v>
      </c>
      <c r="J10040" s="38" t="n">
        <f aca="false">Sens!$J$9950</f>
        <v>132.148941941952</v>
      </c>
      <c r="K10040" s="38" t="n">
        <f aca="false">Sens!$K$9950</f>
        <v>145.363836136147</v>
      </c>
      <c r="L10040" s="38" t="n">
        <f aca="false">Sens!$L$9950</f>
        <v>159.900219749762</v>
      </c>
      <c r="M10040" s="38" t="n">
        <f aca="false">Sens!$M$9950</f>
        <v>175.890241724738</v>
      </c>
      <c r="N10040" s="38" t="n">
        <f aca="false">Sens!$N$9950</f>
        <v>29.615</v>
      </c>
      <c r="O10040" s="38" t="n">
        <f aca="false">Sens!$O$9950</f>
        <v>39.02</v>
      </c>
    </row>
    <row r="10041" customFormat="false" ht="15" hidden="false" customHeight="false" outlineLevel="0" collapsed="false">
      <c r="A10041" s="0" t="s">
        <v>520</v>
      </c>
      <c r="B10041" s="0" t="s">
        <v>86</v>
      </c>
      <c r="C10041" s="38" t="n">
        <f aca="false">Sens!$C$9952</f>
        <v>44.374</v>
      </c>
      <c r="D10041" s="38" t="n">
        <f aca="false">Sens!$D$9952</f>
        <v>49.619</v>
      </c>
      <c r="E10041" s="38" t="n">
        <f aca="false">Sens!$E$9952</f>
        <v>27.157</v>
      </c>
      <c r="F10041" s="38" t="n">
        <f aca="false">Sens!$F$9952</f>
        <v>27.7764165988154</v>
      </c>
      <c r="G10041" s="38" t="n">
        <f aca="false">Sens!$G$9952</f>
        <v>54.9334165988154</v>
      </c>
      <c r="H10041" s="38" t="n">
        <f aca="false">Sens!$H$9952</f>
        <v>61.1564112561829</v>
      </c>
      <c r="I10041" s="38" t="n">
        <f aca="false">Sens!$I$9952</f>
        <v>67.2020282103945</v>
      </c>
      <c r="J10041" s="38" t="n">
        <f aca="false">Sens!$J$9952</f>
        <v>72.8757274028885</v>
      </c>
      <c r="K10041" s="38" t="n">
        <f aca="false">Sens!$K$9952</f>
        <v>77.9770283210907</v>
      </c>
      <c r="L10041" s="38" t="n">
        <f aca="false">Sens!$L$9952</f>
        <v>83.4354203035671</v>
      </c>
      <c r="M10041" s="38" t="n">
        <f aca="false">Sens!$M$9952</f>
        <v>89.2758997248168</v>
      </c>
      <c r="N10041" s="38" t="n">
        <f aca="false">Sens!$N$9952</f>
        <v>23.923</v>
      </c>
      <c r="O10041" s="38" t="n">
        <f aca="false">Sens!$O$9952</f>
        <v>25.696</v>
      </c>
    </row>
    <row r="10042" customFormat="false" ht="15" hidden="false" customHeight="false" outlineLevel="0" collapsed="false">
      <c r="A10042" s="0" t="s">
        <v>521</v>
      </c>
      <c r="B10042" s="0" t="s">
        <v>86</v>
      </c>
      <c r="C10042" s="38" t="n">
        <f aca="false">Sens!$C$9954</f>
        <v>5.425</v>
      </c>
      <c r="D10042" s="38" t="n">
        <f aca="false">Sens!$D$9954</f>
        <v>5.935</v>
      </c>
      <c r="E10042" s="38" t="n">
        <f aca="false">Sens!$E$9954</f>
        <v>3.474</v>
      </c>
      <c r="F10042" s="38" t="n">
        <f aca="false">Sens!$F$9954</f>
        <v>3.22246550883619</v>
      </c>
      <c r="G10042" s="38" t="n">
        <f aca="false">Sens!$G$9954</f>
        <v>6.69646550883619</v>
      </c>
      <c r="H10042" s="38" t="n">
        <f aca="false">Sens!$H$9954</f>
        <v>7.16251344209196</v>
      </c>
      <c r="I10042" s="38" t="n">
        <f aca="false">Sens!$I$9954</f>
        <v>7.61421070299826</v>
      </c>
      <c r="J10042" s="38" t="n">
        <f aca="false">Sens!$J$9954</f>
        <v>8.04465753523932</v>
      </c>
      <c r="K10042" s="38" t="n">
        <f aca="false">Sens!$K$9954</f>
        <v>8.44689041200128</v>
      </c>
      <c r="L10042" s="38" t="n">
        <f aca="false">Sens!$L$9954</f>
        <v>8.86923493260135</v>
      </c>
      <c r="M10042" s="38" t="n">
        <f aca="false">Sens!$M$9954</f>
        <v>9.31269667923142</v>
      </c>
      <c r="N10042" s="38" t="n">
        <f aca="false">Sens!$N$9954</f>
        <v>2.811</v>
      </c>
      <c r="O10042" s="38" t="n">
        <f aca="false">Sens!$O$9954</f>
        <v>3.124</v>
      </c>
    </row>
    <row r="10043" customFormat="false" ht="17.15" hidden="false" customHeight="false" outlineLevel="0" collapsed="false">
      <c r="A10043" s="0" t="s">
        <v>711</v>
      </c>
      <c r="B10043" s="0" t="s">
        <v>86</v>
      </c>
      <c r="C10043" s="38" t="n">
        <f aca="false">Sens!$C$10024</f>
        <v>107.556</v>
      </c>
      <c r="D10043" s="38" t="n">
        <f aca="false">Sens!$D$10024</f>
        <v>128.725</v>
      </c>
      <c r="E10043" s="38" t="n">
        <f aca="false">Sens!$E$10024</f>
        <v>79.819</v>
      </c>
      <c r="F10043" s="38" t="n">
        <f aca="false">Sens!$F$10024</f>
        <v>86.7327334389669</v>
      </c>
      <c r="G10043" s="38" t="n">
        <f aca="false">Sens!$G$10024</f>
        <v>166.551733438967</v>
      </c>
      <c r="H10043" s="38" t="n">
        <f aca="false">Sens!$H$10024</f>
        <v>221.182967828978</v>
      </c>
      <c r="I10043" s="38" t="n">
        <f aca="false">Sens!$I$10024</f>
        <v>280.27345865789</v>
      </c>
      <c r="J10043" s="38" t="n">
        <f aca="false">Sens!$J$10024</f>
        <v>338.800945197185</v>
      </c>
      <c r="K10043" s="38" t="n">
        <f aca="false">Sens!$K$10024</f>
        <v>390.17168267</v>
      </c>
      <c r="L10043" s="38" t="n">
        <f aca="false">Sens!$L$10024</f>
        <v>431.217780537388</v>
      </c>
      <c r="M10043" s="38" t="n">
        <f aca="false">Sens!$M$10024</f>
        <v>462.010668928853</v>
      </c>
      <c r="N10043" s="38" t="n">
        <f aca="false">Sens!$N$10024</f>
        <v>60.14</v>
      </c>
      <c r="O10043" s="38" t="n">
        <f aca="false">Sens!$O$10024</f>
        <v>68.585</v>
      </c>
    </row>
    <row r="10044" customFormat="false" ht="15" hidden="false" customHeight="false" outlineLevel="0" collapsed="false">
      <c r="A10044" s="1" t="s">
        <v>509</v>
      </c>
      <c r="B10044" s="8" t="s">
        <v>86</v>
      </c>
      <c r="C10044" s="38" t="n">
        <f aca="false">Sens!$C$9959</f>
        <v>387.497</v>
      </c>
      <c r="D10044" s="38" t="n">
        <f aca="false">Sens!$D$9959</f>
        <v>426.305</v>
      </c>
      <c r="E10044" s="38" t="n">
        <f aca="false">Sens!$E$9959</f>
        <v>220.32</v>
      </c>
      <c r="F10044" s="38" t="n">
        <f aca="false">Sens!$F$9959</f>
        <v>250.639773480586</v>
      </c>
      <c r="G10044" s="38" t="n">
        <f aca="false">Sens!$G$9959</f>
        <v>470.959773480586</v>
      </c>
      <c r="H10044" s="38" t="n">
        <f aca="false">Sens!$H$9959</f>
        <v>521.386990416437</v>
      </c>
      <c r="I10044" s="38" t="n">
        <f aca="false">Sens!$I$9959</f>
        <v>570.143862887555</v>
      </c>
      <c r="J10044" s="38" t="n">
        <f aca="false">Sens!$J$9959</f>
        <v>615.391435791933</v>
      </c>
      <c r="K10044" s="38" t="n">
        <f aca="false">Sens!$K$9959</f>
        <v>655.208227561543</v>
      </c>
      <c r="L10044" s="38" t="n">
        <f aca="false">Sens!$L$9959</f>
        <v>697.807739249767</v>
      </c>
      <c r="M10044" s="38" t="n">
        <f aca="false">Sens!$M$9959</f>
        <v>743.399328463592</v>
      </c>
      <c r="N10044" s="38" t="n">
        <f aca="false">Sens!$N$9959</f>
        <v>192.955</v>
      </c>
      <c r="O10044" s="38" t="n">
        <f aca="false">Sens!$O$9959</f>
        <v>233.35</v>
      </c>
    </row>
    <row r="10045" customFormat="false" ht="15" hidden="false" customHeight="false" outlineLevel="0" collapsed="false">
      <c r="A10045" s="1" t="s">
        <v>512</v>
      </c>
      <c r="B10045" s="8" t="s">
        <v>86</v>
      </c>
      <c r="C10045" s="38" t="n">
        <f aca="false">Sens!$C$9960</f>
        <v>142.906</v>
      </c>
      <c r="D10045" s="38" t="n">
        <f aca="false">Sens!$D$9960</f>
        <v>161.894</v>
      </c>
      <c r="E10045" s="38" t="n">
        <f aca="false">Sens!$E$9960</f>
        <v>81.986</v>
      </c>
      <c r="F10045" s="38" t="n">
        <f aca="false">Sens!$F$9960</f>
        <v>98.408468164951</v>
      </c>
      <c r="G10045" s="38" t="n">
        <f aca="false">Sens!$G$9960</f>
        <v>180.394468164951</v>
      </c>
      <c r="H10045" s="38" t="n">
        <f aca="false">Sens!$H$9960</f>
        <v>199.709899104949</v>
      </c>
      <c r="I10045" s="38" t="n">
        <f aca="false">Sens!$I$9960</f>
        <v>218.385528264976</v>
      </c>
      <c r="J10045" s="38" t="n">
        <f aca="false">Sens!$J$9960</f>
        <v>235.71696994951</v>
      </c>
      <c r="K10045" s="38" t="n">
        <f aca="false">Sens!$K$9960</f>
        <v>250.968227869545</v>
      </c>
      <c r="L10045" s="38" t="n">
        <f aca="false">Sens!$L$9960</f>
        <v>267.285367225822</v>
      </c>
      <c r="M10045" s="38" t="n">
        <f aca="false">Sens!$M$9960</f>
        <v>284.748579483295</v>
      </c>
      <c r="N10045" s="38" t="n">
        <f aca="false">Sens!$N$9960</f>
        <v>70.274</v>
      </c>
      <c r="O10045" s="38" t="n">
        <f aca="false">Sens!$O$9960</f>
        <v>91.62</v>
      </c>
    </row>
    <row r="10046" customFormat="false" ht="15" hidden="false" customHeight="false" outlineLevel="0" collapsed="false">
      <c r="A10046" s="1" t="s">
        <v>513</v>
      </c>
      <c r="B10046" s="8" t="s">
        <v>86</v>
      </c>
      <c r="C10046" s="38" t="n">
        <f aca="false">Sens!$C$10024</f>
        <v>107.556</v>
      </c>
      <c r="D10046" s="38" t="n">
        <f aca="false">Sens!$D$10024</f>
        <v>128.725</v>
      </c>
      <c r="E10046" s="38" t="n">
        <f aca="false">Sens!$E$10024</f>
        <v>79.819</v>
      </c>
      <c r="F10046" s="38" t="n">
        <f aca="false">Sens!$F$10024</f>
        <v>86.7327334389669</v>
      </c>
      <c r="G10046" s="38" t="n">
        <f aca="false">Sens!$G$10024</f>
        <v>166.551733438967</v>
      </c>
      <c r="H10046" s="38" t="n">
        <f aca="false">Sens!$H$10024</f>
        <v>221.182967828978</v>
      </c>
      <c r="I10046" s="38" t="n">
        <f aca="false">Sens!$I$10024</f>
        <v>280.27345865789</v>
      </c>
      <c r="J10046" s="38" t="n">
        <f aca="false">Sens!$J$10024</f>
        <v>338.800945197185</v>
      </c>
      <c r="K10046" s="38" t="n">
        <f aca="false">Sens!$K$10024</f>
        <v>390.17168267</v>
      </c>
      <c r="L10046" s="38" t="n">
        <f aca="false">Sens!$L$10024</f>
        <v>431.217780537388</v>
      </c>
      <c r="M10046" s="38" t="n">
        <f aca="false">Sens!$M$10024</f>
        <v>462.010668928853</v>
      </c>
      <c r="N10046" s="38" t="n">
        <f aca="false">Sens!$N$10024</f>
        <v>60.14</v>
      </c>
      <c r="O10046" s="38" t="n">
        <f aca="false">Sens!$O$10024</f>
        <v>68.585</v>
      </c>
    </row>
    <row r="10047" customFormat="false" ht="17.15" hidden="false" customHeight="false" outlineLevel="0" collapsed="false">
      <c r="A10047" s="0" t="s">
        <v>685</v>
      </c>
      <c r="B10047" s="0" t="s">
        <v>86</v>
      </c>
      <c r="C10047" s="38" t="n">
        <f aca="false">Sens!$C$10022</f>
        <v>2.32100535697364</v>
      </c>
      <c r="D10047" s="38" t="n">
        <f aca="false">Sens!$D$10022</f>
        <v>8.70377008865116</v>
      </c>
      <c r="E10047" s="38" t="n">
        <f aca="false">Sens!$E$10022</f>
        <v>8.51035297557002</v>
      </c>
      <c r="F10047" s="38" t="n">
        <f aca="false">Sens!$F$10022</f>
        <v>14.9634336447205</v>
      </c>
      <c r="G10047" s="38" t="n">
        <f aca="false">Sens!$G$10022</f>
        <v>23.4737866202905</v>
      </c>
      <c r="H10047" s="38" t="n">
        <f aca="false">Sens!$H$10022</f>
        <v>60.1658907497746</v>
      </c>
      <c r="I10047" s="38" t="n">
        <f aca="false">Sens!$I$10022</f>
        <v>101.503699136432</v>
      </c>
      <c r="J10047" s="38" t="n">
        <f aca="false">Sens!$J$10022</f>
        <v>143.025407151278</v>
      </c>
      <c r="K10047" s="38" t="n">
        <f aca="false">Sens!$K$10022</f>
        <v>178.73410158042</v>
      </c>
      <c r="L10047" s="38" t="n">
        <f aca="false">Sens!$L$10022</f>
        <v>202.865192960641</v>
      </c>
      <c r="M10047" s="38" t="n">
        <f aca="false">Sens!$M$10022</f>
        <v>215.389874345967</v>
      </c>
      <c r="N10047" s="38" t="n">
        <f aca="false">Sens!$N$10022</f>
        <v>3.04631953102791</v>
      </c>
      <c r="O10047" s="38" t="n">
        <f aca="false">Sens!$O$10022</f>
        <v>5.65745055762326</v>
      </c>
    </row>
    <row r="10048" customFormat="false" ht="17.15" hidden="false" customHeight="false" outlineLevel="0" collapsed="false">
      <c r="A10048" s="0" t="s">
        <v>687</v>
      </c>
      <c r="B10048" s="0" t="s">
        <v>86</v>
      </c>
      <c r="C10048" s="38" t="n">
        <f aca="false">Sens!$C$10023</f>
        <v>105.234994643026</v>
      </c>
      <c r="D10048" s="38" t="n">
        <f aca="false">Sens!$D$10023</f>
        <v>120.021229911349</v>
      </c>
      <c r="E10048" s="38" t="n">
        <f aca="false">Sens!$E$10023</f>
        <v>71.30864702443</v>
      </c>
      <c r="F10048" s="38" t="n">
        <f aca="false">Sens!$F$10023</f>
        <v>71.7692997942464</v>
      </c>
      <c r="G10048" s="38" t="n">
        <f aca="false">Sens!$G$10023</f>
        <v>143.077946818676</v>
      </c>
      <c r="H10048" s="38" t="n">
        <f aca="false">Sens!$H$10023</f>
        <v>161.017077079203</v>
      </c>
      <c r="I10048" s="38" t="n">
        <f aca="false">Sens!$I$10023</f>
        <v>178.769759521457</v>
      </c>
      <c r="J10048" s="38" t="n">
        <f aca="false">Sens!$J$10023</f>
        <v>195.775538045907</v>
      </c>
      <c r="K10048" s="38" t="n">
        <f aca="false">Sens!$K$10023</f>
        <v>211.43758108958</v>
      </c>
      <c r="L10048" s="38" t="n">
        <f aca="false">Sens!$L$10023</f>
        <v>228.352587576746</v>
      </c>
      <c r="M10048" s="38" t="n">
        <f aca="false">Sens!$M$10023</f>
        <v>246.620794582886</v>
      </c>
      <c r="N10048" s="38" t="n">
        <f aca="false">Sens!$N$10023</f>
        <v>57.0936804689721</v>
      </c>
      <c r="O10048" s="38" t="n">
        <f aca="false">Sens!$O$10023</f>
        <v>62.9275494423768</v>
      </c>
    </row>
    <row r="10049" customFormat="false" ht="15" hidden="false" customHeight="false" outlineLevel="0" collapsed="false">
      <c r="A10049" s="3" t="s">
        <v>514</v>
      </c>
      <c r="B10049" s="8" t="s">
        <v>86</v>
      </c>
      <c r="C10049" s="38" t="n">
        <f aca="false">Sens!$C$10025</f>
        <v>637.959</v>
      </c>
      <c r="D10049" s="38" t="n">
        <f aca="false">Sens!$D$10025</f>
        <v>716.924</v>
      </c>
      <c r="E10049" s="38" t="n">
        <f aca="false">Sens!$E$10025</f>
        <v>382.125</v>
      </c>
      <c r="F10049" s="38" t="n">
        <f aca="false">Sens!$F$10025</f>
        <v>435.780975084504</v>
      </c>
      <c r="G10049" s="38" t="n">
        <f aca="false">Sens!$G$10025</f>
        <v>817.905975084504</v>
      </c>
      <c r="H10049" s="38" t="n">
        <f aca="false">Sens!$H$10025</f>
        <v>942.279857350364</v>
      </c>
      <c r="I10049" s="38" t="n">
        <f aca="false">Sens!$I$10025</f>
        <v>1068.80284981042</v>
      </c>
      <c r="J10049" s="38" t="n">
        <f aca="false">Sens!$J$10025</f>
        <v>1189.90935093863</v>
      </c>
      <c r="K10049" s="38" t="n">
        <f aca="false">Sens!$K$10025</f>
        <v>1296.34813810109</v>
      </c>
      <c r="L10049" s="38" t="n">
        <f aca="false">Sens!$L$10025</f>
        <v>1396.31088701298</v>
      </c>
      <c r="M10049" s="38" t="n">
        <f aca="false">Sens!$M$10025</f>
        <v>1490.15857687574</v>
      </c>
      <c r="N10049" s="38" t="n">
        <f aca="false">Sens!$N$10025</f>
        <v>323.369</v>
      </c>
      <c r="O10049" s="38" t="n">
        <f aca="false">Sens!$O$10025</f>
        <v>393.555</v>
      </c>
    </row>
    <row r="10050" customFormat="false" ht="17.15" hidden="false" customHeight="false" outlineLevel="0" collapsed="false">
      <c r="A10050" s="24" t="s">
        <v>697</v>
      </c>
      <c r="B10050" s="25" t="s">
        <v>86</v>
      </c>
      <c r="C10050" s="41" t="n">
        <f aca="false">Sens!$C$10037+Sens!$C$10038+Sens!$C$10039+Sens!$C$10040+Sens!$C$10041+Sens!$C$10042-(Sens!$C$10044+Sens!$C$10045)</f>
        <v>0</v>
      </c>
      <c r="D10050" s="41" t="n">
        <f aca="false">Sens!$D$10037+Sens!$D$10038+Sens!$D$10039+Sens!$D$10040+Sens!$D$10041+Sens!$D$10042-(Sens!$D$10044+Sens!$D$10045)</f>
        <v>0</v>
      </c>
      <c r="E10050" s="41" t="n">
        <f aca="false">Sens!$E$10037+Sens!$E$10038+Sens!$E$10039+Sens!$E$10040+Sens!$E$10041+Sens!$E$10042-(Sens!$E$10044+Sens!$E$10045)</f>
        <v>0</v>
      </c>
      <c r="F10050" s="41" t="n">
        <f aca="false">Sens!$F$10037+Sens!$F$10038+Sens!$F$10039+Sens!$F$10040+Sens!$F$10041+Sens!$F$10042-(Sens!$F$10044+Sens!$F$10045)</f>
        <v>0</v>
      </c>
      <c r="G10050" s="41" t="n">
        <f aca="false">Sens!$G$10037+Sens!$G$10038+Sens!$G$10039+Sens!$G$10040+Sens!$G$10041+Sens!$G$10042-(Sens!$G$10044+Sens!$G$10045)</f>
        <v>0</v>
      </c>
      <c r="H10050" s="41" t="n">
        <f aca="false">Sens!$H$10037+Sens!$H$10038+Sens!$H$10039+Sens!$H$10040+Sens!$H$10041+Sens!$H$10042-(Sens!$H$10044+Sens!$H$10045)</f>
        <v>0</v>
      </c>
      <c r="I10050" s="41" t="n">
        <f aca="false">Sens!$I$10037+Sens!$I$10038+Sens!$I$10039+Sens!$I$10040+Sens!$I$10041+Sens!$I$10042-(Sens!$I$10044+Sens!$I$10045)</f>
        <v>0</v>
      </c>
      <c r="J10050" s="41" t="n">
        <f aca="false">Sens!$J$10037+Sens!$J$10038+Sens!$J$10039+Sens!$J$10040+Sens!$J$10041+Sens!$J$10042-(Sens!$J$10044+Sens!$J$10045)</f>
        <v>0</v>
      </c>
      <c r="K10050" s="41" t="n">
        <f aca="false">Sens!$K$10037+Sens!$K$10038+Sens!$K$10039+Sens!$K$10040+Sens!$K$10041+Sens!$K$10042-(Sens!$K$10044+Sens!$K$10045)</f>
        <v>0</v>
      </c>
      <c r="L10050" s="41" t="n">
        <f aca="false">Sens!$L$10037+Sens!$L$10038+Sens!$L$10039+Sens!$L$10040+Sens!$L$10041+Sens!$L$10042-(Sens!$L$10044+Sens!$L$10045)</f>
        <v>0</v>
      </c>
      <c r="M10050" s="41" t="n">
        <f aca="false">Sens!$M$10037+Sens!$M$10038+Sens!$M$10039+Sens!$M$10040+Sens!$M$10041+Sens!$M$10042-(Sens!$M$10044+Sens!$M$10045)</f>
        <v>0</v>
      </c>
      <c r="N10050" s="41" t="n">
        <f aca="false">Sens!$N$10037+Sens!$N$10038+Sens!$N$10039+Sens!$N$10040+Sens!$N$10041+Sens!$N$10042-(Sens!$N$10044+Sens!$N$10045)</f>
        <v>0</v>
      </c>
      <c r="O10050" s="41" t="n">
        <f aca="false">Sens!$O$10037+Sens!$O$10038+Sens!$O$10039+Sens!$O$10040+Sens!$O$10041+Sens!$O$10042-(Sens!$O$10044+Sens!$O$10045)</f>
        <v>0</v>
      </c>
    </row>
    <row r="10051" customFormat="false" ht="17.15" hidden="false" customHeight="false" outlineLevel="0" collapsed="false">
      <c r="A10051" s="24" t="s">
        <v>698</v>
      </c>
      <c r="B10051" s="25" t="s">
        <v>86</v>
      </c>
      <c r="C10051" s="41" t="n">
        <f aca="false">Sens!$C$10047+Sens!$C$10048-Sens!$C$10046</f>
        <v>0</v>
      </c>
      <c r="D10051" s="41" t="n">
        <f aca="false">Sens!$D$10047+Sens!$D$10048-Sens!$D$10046</f>
        <v>0</v>
      </c>
      <c r="E10051" s="41" t="n">
        <f aca="false">Sens!$E$10047+Sens!$E$10048-Sens!$E$10046</f>
        <v>0</v>
      </c>
      <c r="F10051" s="41" t="n">
        <f aca="false">Sens!$F$10047+Sens!$F$10048-Sens!$F$10046</f>
        <v>0</v>
      </c>
      <c r="G10051" s="41" t="n">
        <f aca="false">Sens!$G$10047+Sens!$G$10048-Sens!$G$10046</f>
        <v>0</v>
      </c>
      <c r="H10051" s="41" t="n">
        <f aca="false">Sens!$H$10047+Sens!$H$10048-Sens!$H$10046</f>
        <v>0</v>
      </c>
      <c r="I10051" s="41" t="n">
        <f aca="false">Sens!$I$10047+Sens!$I$10048-Sens!$I$10046</f>
        <v>0</v>
      </c>
      <c r="J10051" s="41" t="n">
        <f aca="false">Sens!$J$10047+Sens!$J$10048-Sens!$J$10046</f>
        <v>0</v>
      </c>
      <c r="K10051" s="41" t="n">
        <f aca="false">Sens!$K$10047+Sens!$K$10048-Sens!$K$10046</f>
        <v>0</v>
      </c>
      <c r="L10051" s="41" t="n">
        <f aca="false">Sens!$L$10047+Sens!$L$10048-Sens!$L$10046</f>
        <v>0</v>
      </c>
      <c r="M10051" s="41" t="n">
        <f aca="false">Sens!$M$10047+Sens!$M$10048-Sens!$M$10046</f>
        <v>0</v>
      </c>
      <c r="N10051" s="41" t="n">
        <f aca="false">Sens!$N$10047+Sens!$N$10048-Sens!$N$10046</f>
        <v>0</v>
      </c>
      <c r="O10051" s="41" t="n">
        <f aca="false">Sens!$O$10047+Sens!$O$10048-Sens!$O$10046</f>
        <v>0</v>
      </c>
    </row>
    <row r="10052" customFormat="false" ht="17.15" hidden="false" customHeight="false" outlineLevel="0" collapsed="false">
      <c r="A10052" s="24" t="s">
        <v>757</v>
      </c>
      <c r="B10052" s="25" t="s">
        <v>86</v>
      </c>
      <c r="C10052" s="41" t="n">
        <f aca="false">Sens!$C$10037+Sens!$C$10038+Sens!$C$10039+Sens!$C$10040+Sens!$C$10041+Sens!$C$10042+Sens!$C$10043-Sens!$C$10049</f>
        <v>0</v>
      </c>
      <c r="D10052" s="41" t="n">
        <f aca="false">Sens!$D$10037+Sens!$D$10038+Sens!$D$10039+Sens!$D$10040+Sens!$D$10041+Sens!$D$10042+Sens!$D$10043-Sens!$D$10049</f>
        <v>0</v>
      </c>
      <c r="E10052" s="41" t="n">
        <f aca="false">Sens!$E$10037+Sens!$E$10038+Sens!$E$10039+Sens!$E$10040+Sens!$E$10041+Sens!$E$10042+Sens!$E$10043-Sens!$E$10049</f>
        <v>0</v>
      </c>
      <c r="F10052" s="41" t="n">
        <f aca="false">Sens!$F$10037+Sens!$F$10038+Sens!$F$10039+Sens!$F$10040+Sens!$F$10041+Sens!$F$10042+Sens!$F$10043-Sens!$F$10049</f>
        <v>0</v>
      </c>
      <c r="G10052" s="41" t="n">
        <f aca="false">Sens!$G$10037+Sens!$G$10038+Sens!$G$10039+Sens!$G$10040+Sens!$G$10041+Sens!$G$10042+Sens!$G$10043-Sens!$G$10049</f>
        <v>0</v>
      </c>
      <c r="H10052" s="41" t="n">
        <f aca="false">Sens!$H$10037+Sens!$H$10038+Sens!$H$10039+Sens!$H$10040+Sens!$H$10041+Sens!$H$10042+Sens!$H$10043-Sens!$H$10049</f>
        <v>0</v>
      </c>
      <c r="I10052" s="41" t="n">
        <f aca="false">Sens!$I$10037+Sens!$I$10038+Sens!$I$10039+Sens!$I$10040+Sens!$I$10041+Sens!$I$10042+Sens!$I$10043-Sens!$I$10049</f>
        <v>0</v>
      </c>
      <c r="J10052" s="41" t="n">
        <f aca="false">Sens!$J$10037+Sens!$J$10038+Sens!$J$10039+Sens!$J$10040+Sens!$J$10041+Sens!$J$10042+Sens!$J$10043-Sens!$J$10049</f>
        <v>0</v>
      </c>
      <c r="K10052" s="41" t="n">
        <f aca="false">Sens!$K$10037+Sens!$K$10038+Sens!$K$10039+Sens!$K$10040+Sens!$K$10041+Sens!$K$10042+Sens!$K$10043-Sens!$K$10049</f>
        <v>0</v>
      </c>
      <c r="L10052" s="41" t="n">
        <f aca="false">Sens!$L$10037+Sens!$L$10038+Sens!$L$10039+Sens!$L$10040+Sens!$L$10041+Sens!$L$10042+Sens!$L$10043-Sens!$L$10049</f>
        <v>0</v>
      </c>
      <c r="M10052" s="41" t="n">
        <f aca="false">Sens!$M$10037+Sens!$M$10038+Sens!$M$10039+Sens!$M$10040+Sens!$M$10041+Sens!$M$10042+Sens!$M$10043-Sens!$M$10049</f>
        <v>0</v>
      </c>
      <c r="N10052" s="41" t="n">
        <f aca="false">Sens!$N$10037+Sens!$N$10038+Sens!$N$10039+Sens!$N$10040+Sens!$N$10041+Sens!$N$10042+Sens!$N$10043-Sens!$N$10049</f>
        <v>0</v>
      </c>
      <c r="O10052" s="41" t="n">
        <f aca="false">Sens!$O$10037+Sens!$O$10038+Sens!$O$10039+Sens!$O$10040+Sens!$O$10041+Sens!$O$10042+Sens!$O$10043-Sens!$O$10049</f>
        <v>0</v>
      </c>
    </row>
    <row r="10053" customFormat="false" ht="17.15" hidden="false" customHeight="false" outlineLevel="0" collapsed="false">
      <c r="A10053" s="24" t="s">
        <v>699</v>
      </c>
      <c r="B10053" s="25" t="s">
        <v>86</v>
      </c>
      <c r="C10053" s="41" t="n">
        <f aca="false">Sens!$C$10044+Sens!$C$10045+Sens!$C$10046-Sens!$C$10049</f>
        <v>0</v>
      </c>
      <c r="D10053" s="41" t="n">
        <f aca="false">Sens!$D$10044+Sens!$D$10045+Sens!$D$10046-Sens!$D$10049</f>
        <v>0</v>
      </c>
      <c r="E10053" s="41" t="n">
        <f aca="false">Sens!$E$10044+Sens!$E$10045+Sens!$E$10046-Sens!$E$10049</f>
        <v>0</v>
      </c>
      <c r="F10053" s="41" t="n">
        <f aca="false">Sens!$F$10044+Sens!$F$10045+Sens!$F$10046-Sens!$F$10049</f>
        <v>0</v>
      </c>
      <c r="G10053" s="41" t="n">
        <f aca="false">Sens!$G$10044+Sens!$G$10045+Sens!$G$10046-Sens!$G$10049</f>
        <v>0</v>
      </c>
      <c r="H10053" s="41" t="n">
        <f aca="false">Sens!$H$10044+Sens!$H$10045+Sens!$H$10046-Sens!$H$10049</f>
        <v>0</v>
      </c>
      <c r="I10053" s="41" t="n">
        <f aca="false">Sens!$I$10044+Sens!$I$10045+Sens!$I$10046-Sens!$I$10049</f>
        <v>0</v>
      </c>
      <c r="J10053" s="41" t="n">
        <f aca="false">Sens!$J$10044+Sens!$J$10045+Sens!$J$10046-Sens!$J$10049</f>
        <v>0</v>
      </c>
      <c r="K10053" s="41" t="n">
        <f aca="false">Sens!$K$10044+Sens!$K$10045+Sens!$K$10046-Sens!$K$10049</f>
        <v>0</v>
      </c>
      <c r="L10053" s="41" t="n">
        <f aca="false">Sens!$L$10044+Sens!$L$10045+Sens!$L$10046-Sens!$L$10049</f>
        <v>0</v>
      </c>
      <c r="M10053" s="41" t="n">
        <f aca="false">Sens!$M$10044+Sens!$M$10045+Sens!$M$10046-Sens!$M$10049</f>
        <v>0</v>
      </c>
      <c r="N10053" s="41" t="n">
        <f aca="false">Sens!$N$10044+Sens!$N$10045+Sens!$N$10046-Sens!$N$10049</f>
        <v>0</v>
      </c>
      <c r="O10053" s="41" t="n">
        <f aca="false">Sens!$O$10044+Sens!$O$10045+Sens!$O$10046-Sens!$O$10049</f>
        <v>0</v>
      </c>
    </row>
    <row r="10054" customFormat="false" ht="17.15" hidden="false" customHeight="false" outlineLevel="0" collapsed="false">
      <c r="A10054" s="1" t="s">
        <v>713</v>
      </c>
    </row>
    <row r="10055" customFormat="false" ht="17.15" hidden="false" customHeight="false" outlineLevel="0" collapsed="false">
      <c r="A10055" s="0" t="s">
        <v>714</v>
      </c>
      <c r="B10055" s="0" t="s">
        <v>86</v>
      </c>
      <c r="C10055" s="38" t="n">
        <f aca="false">Sens!$C$9961*m_ad</f>
        <v>20.5341564414228</v>
      </c>
      <c r="D10055" s="38" t="n">
        <f aca="false">Sens!$D$9961*m_ad</f>
        <v>24.8720617299587</v>
      </c>
      <c r="E10055" s="38" t="n">
        <f aca="false">Sens!$E$9961*m_ad</f>
        <v>13.5017112462207</v>
      </c>
      <c r="F10055" s="38" t="n">
        <f aca="false">Sens!$F$9961*m_ad</f>
        <v>16.5719724165257</v>
      </c>
      <c r="G10055" s="38" t="n">
        <f aca="false">Sens!$G$9961*m_ad</f>
        <v>30.0820919220415</v>
      </c>
      <c r="H10055" s="38" t="n">
        <f aca="false">Sens!$H$9961*m_ad</f>
        <v>36.1150883276314</v>
      </c>
      <c r="I10055" s="38" t="n">
        <f aca="false">Sens!$I$9961*m_ad</f>
        <v>42.1475382231996</v>
      </c>
      <c r="J10055" s="38" t="n">
        <f aca="false">Sens!$J$9961*m_ad</f>
        <v>47.7749523864693</v>
      </c>
      <c r="K10055" s="38" t="n">
        <f aca="false">Sens!$K$9961*m_ad</f>
        <v>52.5524476251162</v>
      </c>
      <c r="L10055" s="38" t="n">
        <f aca="false">Sens!$L$9961*m_ad</f>
        <v>57.8076923876279</v>
      </c>
      <c r="M10055" s="38" t="n">
        <f aca="false">Sens!$M$9961*m_ad</f>
        <v>63.5884616263907</v>
      </c>
      <c r="N10055" s="38" t="n">
        <f aca="false">Sens!$N$9961*m_ad</f>
        <v>10.8543555706248</v>
      </c>
      <c r="O10055" s="38" t="n">
        <f aca="false">Sens!$O$9961*m_ad</f>
        <v>14.0094731821399</v>
      </c>
    </row>
    <row r="10056" customFormat="false" ht="17.15" hidden="false" customHeight="false" outlineLevel="0" collapsed="false">
      <c r="A10056" s="0" t="s">
        <v>715</v>
      </c>
      <c r="B10056" s="0" t="s">
        <v>86</v>
      </c>
      <c r="C10056" s="38" t="n">
        <f aca="false">Sens!$C$9959-Sens!$C$9961</f>
        <v>346.428687117154</v>
      </c>
      <c r="D10056" s="38" t="n">
        <f aca="false">Sens!$D$9959-Sens!$D$9961</f>
        <v>376.560876540083</v>
      </c>
      <c r="E10056" s="38" t="n">
        <f aca="false">Sens!$E$9959-Sens!$E$9961</f>
        <v>193.316577507559</v>
      </c>
      <c r="F10056" s="38" t="n">
        <f aca="false">Sens!$F$9959-Sens!$F$9961</f>
        <v>217.495828647535</v>
      </c>
      <c r="G10056" s="38" t="n">
        <f aca="false">Sens!$G$9959-Sens!$G$9961</f>
        <v>410.795589636503</v>
      </c>
      <c r="H10056" s="38" t="n">
        <f aca="false">Sens!$H$9959-Sens!$H$9961</f>
        <v>449.156813761174</v>
      </c>
      <c r="I10056" s="38" t="n">
        <f aca="false">Sens!$I$9959-Sens!$I$9961</f>
        <v>485.848786441156</v>
      </c>
      <c r="J10056" s="38" t="n">
        <f aca="false">Sens!$J$9959-Sens!$J$9961</f>
        <v>519.841531018994</v>
      </c>
      <c r="K10056" s="38" t="n">
        <f aca="false">Sens!$K$9959-Sens!$K$9961</f>
        <v>550.103332311311</v>
      </c>
      <c r="L10056" s="38" t="n">
        <f aca="false">Sens!$L$9959-Sens!$L$9961</f>
        <v>582.192354474511</v>
      </c>
      <c r="M10056" s="38" t="n">
        <f aca="false">Sens!$M$9959-Sens!$M$9961</f>
        <v>616.22240521081</v>
      </c>
      <c r="N10056" s="38" t="n">
        <f aca="false">Sens!$N$9959-Sens!$N$9961</f>
        <v>171.24628885875</v>
      </c>
      <c r="O10056" s="38" t="n">
        <f aca="false">Sens!$O$9959-Sens!$O$9961</f>
        <v>205.33105363572</v>
      </c>
    </row>
    <row r="10057" customFormat="false" ht="17.15" hidden="false" customHeight="false" outlineLevel="0" collapsed="false">
      <c r="A10057" s="0" t="s">
        <v>716</v>
      </c>
      <c r="B10057" s="0" t="s">
        <v>86</v>
      </c>
      <c r="C10057" s="38" t="n">
        <f aca="false">Sens!$C$10008*Sens!$C$9958</f>
        <v>0.123617442257179</v>
      </c>
      <c r="D10057" s="38" t="n">
        <f aca="false">Sens!$D$10008*Sens!$D$9958</f>
        <v>0.874366899302609</v>
      </c>
      <c r="E10057" s="38" t="n">
        <f aca="false">Sens!$E$10008*Sens!$E$9958</f>
        <v>1.29318830502574</v>
      </c>
      <c r="F10057" s="38" t="n">
        <f aca="false">Sens!$F$10008*Sens!$F$9958</f>
        <v>1.51802024162534</v>
      </c>
      <c r="G10057" s="38" t="n">
        <f aca="false">Sens!$G$10008*Sens!$G$9958</f>
        <v>2.81153363597665</v>
      </c>
      <c r="H10057" s="38" t="n">
        <f aca="false">Sens!$H$10008*Sens!$H$9958</f>
        <v>7.39027704264226</v>
      </c>
      <c r="I10057" s="38" t="n">
        <f aca="false">Sens!$I$10008*Sens!$I$9958</f>
        <v>12.899807643047</v>
      </c>
      <c r="J10057" s="38" t="n">
        <f aca="false">Sens!$J$10008*Sens!$J$9958</f>
        <v>18.5585322471382</v>
      </c>
      <c r="K10057" s="38" t="n">
        <f aca="false">Sens!$K$10008*Sens!$K$9958</f>
        <v>24.1069408582448</v>
      </c>
      <c r="L10057" s="38" t="n">
        <f aca="false">Sens!$L$10008*Sens!$L$9958</f>
        <v>27.7839918126586</v>
      </c>
      <c r="M10057" s="38" t="n">
        <f aca="false">Sens!$M$10008*Sens!$M$9958</f>
        <v>29.9851882607902</v>
      </c>
      <c r="N10057" s="38" t="n">
        <f aca="false">Sens!$N$10008*Sens!$N$9958</f>
        <v>0.389180508437431</v>
      </c>
      <c r="O10057" s="38" t="n">
        <f aca="false">Sens!$O$10008*Sens!$O$9958</f>
        <v>0.485052120082802</v>
      </c>
    </row>
    <row r="10058" customFormat="false" ht="17.15" hidden="false" customHeight="false" outlineLevel="0" collapsed="false">
      <c r="A10058" s="0" t="s">
        <v>717</v>
      </c>
      <c r="B10058" s="0" t="s">
        <v>52</v>
      </c>
      <c r="C10058" s="28" t="n">
        <f aca="false">(Sens!$C$10059-Sens!$C$10055+Sens!$C$10057)/Sens!$C$10056</f>
        <v>0.0131526665379575</v>
      </c>
      <c r="D10058" s="28" t="n">
        <f aca="false">(Sens!$D$10059-Sens!$D$10055+Sens!$D$10057)/Sens!$D$10056</f>
        <v>0.0149280116962589</v>
      </c>
      <c r="E10058" s="28" t="n">
        <f aca="false">(Sens!$E$10059-Sens!$E$10055+Sens!$E$10057)/Sens!$E$10056</f>
        <v>0.0268030663774938</v>
      </c>
      <c r="F10058" s="28" t="n">
        <f aca="false">Sens!$O$10058+(Sens!$E$10058-Sens!$N$10058)</f>
        <v>0.0232379346966962</v>
      </c>
      <c r="G10058" s="28" t="n">
        <f aca="false">(Sens!$G$10059-Sens!$G$10055+Sens!$G$10057)/Sens!$G$10056</f>
        <v>0.0248969268652583</v>
      </c>
      <c r="H10058" s="28" t="n">
        <f aca="false">Sens!$G$10058+step_na</f>
        <v>0.0278969268652583</v>
      </c>
      <c r="I10058" s="28" t="n">
        <f aca="false">Sens!$H$10058+step_na</f>
        <v>0.0308969268652583</v>
      </c>
      <c r="J10058" s="28" t="n">
        <f aca="false">Sens!$I$10058+step_na</f>
        <v>0.0338969268652583</v>
      </c>
      <c r="K10058" s="28" t="n">
        <f aca="false">Sens!$J$10058+step_na</f>
        <v>0.0368969268652584</v>
      </c>
      <c r="L10058" s="28" t="n">
        <f aca="false">Sens!$K$10058</f>
        <v>0.0368969268652584</v>
      </c>
      <c r="M10058" s="28" t="n">
        <f aca="false">Sens!$L$10058</f>
        <v>0.0368969268652584</v>
      </c>
      <c r="N10058" s="28" t="n">
        <f aca="false">(Sens!$N$10059-Sens!$N$10055+Sens!$N$10057)/Sens!$N$10056</f>
        <v>0.0168927744775755</v>
      </c>
      <c r="O10058" s="28" t="n">
        <f aca="false">(Sens!$O$10059-Sens!$O$10055+Sens!$O$10057)/Sens!$O$10056</f>
        <v>0.0133276427967779</v>
      </c>
      <c r="P10058" s="8" t="s">
        <v>718</v>
      </c>
    </row>
    <row r="10059" customFormat="false" ht="17.15" hidden="false" customHeight="false" outlineLevel="0" collapsed="false">
      <c r="A10059" s="1" t="s">
        <v>719</v>
      </c>
      <c r="B10059" s="8" t="s">
        <v>86</v>
      </c>
      <c r="C10059" s="38" t="n">
        <f aca="false">Q!$D$22</f>
        <v>24.967</v>
      </c>
      <c r="D10059" s="38" t="n">
        <f aca="false">Q!$E$22</f>
        <v>29.619</v>
      </c>
      <c r="E10059" s="38" t="n">
        <f aca="false">Q!$P$22</f>
        <v>17.39</v>
      </c>
      <c r="F10059" s="38" t="n">
        <f aca="false">Sens!$F$10055+Sens!$F$10056*Sens!$F$10058-Sens!$F$10057</f>
        <v>20.1081060378156</v>
      </c>
      <c r="G10059" s="38" t="n">
        <f aca="false">Sens!$E$10059+Sens!$F$10059</f>
        <v>37.4981060378156</v>
      </c>
      <c r="H10059" s="38" t="n">
        <f aca="false">Sens!$H$10055+Sens!$H$10056*Sens!$H$10058-Sens!$H$10057</f>
        <v>41.2549060695171</v>
      </c>
      <c r="I10059" s="38" t="n">
        <f aca="false">Sens!$I$10055+Sens!$I$10056*Sens!$I$10058-Sens!$I$10057</f>
        <v>44.2589650023995</v>
      </c>
      <c r="J10059" s="38" t="n">
        <f aca="false">Sens!$J$10055+Sens!$J$10056*Sens!$J$10058-Sens!$J$10057</f>
        <v>46.8374504978059</v>
      </c>
      <c r="K10059" s="38" t="n">
        <f aca="false">Sens!$K$10055+Sens!$K$10056*Sens!$K$10058-Sens!$K$10057</f>
        <v>48.7426291874968</v>
      </c>
      <c r="L10059" s="38" t="n">
        <f aca="false">Sens!$L$10055+Sens!$L$10056*Sens!$L$10058-Sens!$L$10057</f>
        <v>51.5048092995279</v>
      </c>
      <c r="M10059" s="38" t="n">
        <f aca="false">Sens!$M$10055+Sens!$M$10056*Sens!$M$10058-Sens!$M$10057</f>
        <v>56.3399863833974</v>
      </c>
      <c r="N10059" s="38" t="n">
        <f aca="false">Q!$N$22</f>
        <v>13.358</v>
      </c>
      <c r="O10059" s="38" t="n">
        <f aca="false">Q!$O$22</f>
        <v>16.261</v>
      </c>
    </row>
    <row r="10060" customFormat="false" ht="17.15" hidden="false" customHeight="false" outlineLevel="0" collapsed="false">
      <c r="A10060" s="0" t="s">
        <v>720</v>
      </c>
      <c r="B10060" s="0" t="s">
        <v>86</v>
      </c>
      <c r="C10060" s="38" t="n">
        <f aca="false">Sens!$C$9962*m_ad</f>
        <v>7.57284355857716</v>
      </c>
      <c r="D10060" s="38" t="n">
        <f aca="false">Sens!$D$9962*m_ad</f>
        <v>9.44543827004127</v>
      </c>
      <c r="E10060" s="38" t="n">
        <f aca="false">Sens!$E$9962*m_ad</f>
        <v>5.02428875377928</v>
      </c>
      <c r="F10060" s="38" t="n">
        <f aca="false">Sens!$F$9962*m_ad</f>
        <v>6.50663858068173</v>
      </c>
      <c r="G10060" s="38" t="n">
        <f aca="false">Sens!$G$9962*m_ad</f>
        <v>11.5225190751659</v>
      </c>
      <c r="H10060" s="38" t="n">
        <f aca="false">Sens!$H$9962*m_ad</f>
        <v>13.8333728663174</v>
      </c>
      <c r="I10060" s="38" t="n">
        <f aca="false">Sens!$I$9962*m_ad</f>
        <v>16.1440173245485</v>
      </c>
      <c r="J10060" s="38" t="n">
        <f aca="false">Sens!$J$9962*m_ad</f>
        <v>18.2995185845066</v>
      </c>
      <c r="K10060" s="38" t="n">
        <f aca="false">Sens!$K$9962*m_ad</f>
        <v>20.1294704429572</v>
      </c>
      <c r="L10060" s="38" t="n">
        <f aca="false">Sens!$L$9962*m_ad</f>
        <v>22.142417487253</v>
      </c>
      <c r="M10060" s="38" t="n">
        <f aca="false">Sens!$M$9962*m_ad</f>
        <v>24.3566592359783</v>
      </c>
      <c r="N10060" s="38" t="n">
        <f aca="false">Sens!$N$9962*m_ad</f>
        <v>3.95314442937518</v>
      </c>
      <c r="O10060" s="38" t="n">
        <f aca="false">Sens!$O$9962*m_ad</f>
        <v>5.50052681786011</v>
      </c>
    </row>
    <row r="10061" customFormat="false" ht="17.15" hidden="false" customHeight="false" outlineLevel="0" collapsed="false">
      <c r="A10061" s="0" t="s">
        <v>721</v>
      </c>
      <c r="B10061" s="0" t="s">
        <v>86</v>
      </c>
      <c r="C10061" s="38" t="n">
        <f aca="false">Sens!$C$9960-Sens!$C$9962</f>
        <v>127.760312882846</v>
      </c>
      <c r="D10061" s="38" t="n">
        <f aca="false">Sens!$D$9960-Sens!$D$9962</f>
        <v>143.003123459917</v>
      </c>
      <c r="E10061" s="38" t="n">
        <f aca="false">Sens!$E$9960-Sens!$E$9962</f>
        <v>71.9374224924414</v>
      </c>
      <c r="F10061" s="38" t="n">
        <f aca="false">Sens!$F$9960-Sens!$F$9962</f>
        <v>85.3951910035875</v>
      </c>
      <c r="G10061" s="38" t="n">
        <f aca="false">Sens!$G$9960-Sens!$G$9962</f>
        <v>157.349430014619</v>
      </c>
      <c r="H10061" s="38" t="n">
        <f aca="false">Sens!$H$9960-Sens!$H$9962</f>
        <v>172.043153372315</v>
      </c>
      <c r="I10061" s="38" t="n">
        <f aca="false">Sens!$I$9960-Sens!$I$9962</f>
        <v>186.097493615879</v>
      </c>
      <c r="J10061" s="38" t="n">
        <f aca="false">Sens!$J$9960-Sens!$J$9962</f>
        <v>199.117932780497</v>
      </c>
      <c r="K10061" s="38" t="n">
        <f aca="false">Sens!$K$9960-Sens!$K$9962</f>
        <v>210.70928698363</v>
      </c>
      <c r="L10061" s="38" t="n">
        <f aca="false">Sens!$L$9960-Sens!$L$9962</f>
        <v>223.000532251316</v>
      </c>
      <c r="M10061" s="38" t="n">
        <f aca="false">Sens!$M$9960-Sens!$M$9962</f>
        <v>236.035261011339</v>
      </c>
      <c r="N10061" s="38" t="n">
        <f aca="false">Sens!$N$9960-Sens!$N$9962</f>
        <v>62.3677111412496</v>
      </c>
      <c r="O10061" s="38" t="n">
        <f aca="false">Sens!$O$9960-Sens!$O$9962</f>
        <v>80.6189463642798</v>
      </c>
    </row>
    <row r="10062" customFormat="false" ht="17.15" hidden="false" customHeight="false" outlineLevel="0" collapsed="false">
      <c r="A10062" s="0" t="s">
        <v>722</v>
      </c>
      <c r="B10062" s="0" t="s">
        <v>86</v>
      </c>
      <c r="C10062" s="38" t="n">
        <f aca="false">Sens!$C$10008*(1-Sens!$C$9958)</f>
        <v>0.0455891896019953</v>
      </c>
      <c r="D10062" s="38" t="n">
        <f aca="false">Sens!$D$10008*(1-Sens!$D$9958)</f>
        <v>0.332050421167231</v>
      </c>
      <c r="E10062" s="38" t="n">
        <f aca="false">Sens!$E$10008*(1-Sens!$E$9958)</f>
        <v>0.481224293644882</v>
      </c>
      <c r="F10062" s="38" t="n">
        <f aca="false">Sens!$F$10008*(1-Sens!$F$9958)</f>
        <v>0.596018918096053</v>
      </c>
      <c r="G10062" s="38" t="n">
        <f aca="false">Sens!$G$10008*(1-Sens!$G$9958)</f>
        <v>1.07691812241537</v>
      </c>
      <c r="H10062" s="38" t="n">
        <f aca="false">Sens!$H$10008*(1-Sens!$H$9958)</f>
        <v>2.83074090775622</v>
      </c>
      <c r="I10062" s="38" t="n">
        <f aca="false">Sens!$I$10008*(1-Sens!$I$9958)</f>
        <v>4.94108853926048</v>
      </c>
      <c r="J10062" s="38" t="n">
        <f aca="false">Sens!$J$10008*(1-Sens!$J$9958)</f>
        <v>7.10858281993502</v>
      </c>
      <c r="K10062" s="38" t="n">
        <f aca="false">Sens!$K$10008*(1-Sens!$K$9958)</f>
        <v>9.233822122573</v>
      </c>
      <c r="L10062" s="38" t="n">
        <f aca="false">Sens!$L$10008*(1-Sens!$L$9958)</f>
        <v>10.6422643902314</v>
      </c>
      <c r="M10062" s="38" t="n">
        <f aca="false">Sens!$M$10008*(1-Sens!$M$9958)</f>
        <v>11.4854015007593</v>
      </c>
      <c r="N10062" s="38" t="n">
        <f aca="false">Sens!$N$10008*(1-Sens!$N$9958)</f>
        <v>0.141739115596548</v>
      </c>
      <c r="O10062" s="38" t="n">
        <f aca="false">Sens!$O$10008*(1-Sens!$O$9958)</f>
        <v>0.190445576353059</v>
      </c>
    </row>
    <row r="10063" customFormat="false" ht="17.15" hidden="false" customHeight="false" outlineLevel="0" collapsed="false">
      <c r="A10063" s="0" t="s">
        <v>723</v>
      </c>
      <c r="B10063" s="0" t="s">
        <v>52</v>
      </c>
      <c r="C10063" s="28" t="n">
        <f aca="false">(Sens!$C$10064-Sens!$C$10060+Sens!$C$10062)/Sens!$C$10061</f>
        <v>-0.0292364215826579</v>
      </c>
      <c r="D10063" s="28" t="n">
        <f aca="false">(Sens!$D$10064-Sens!$D$10060+Sens!$D$10062)/Sens!$D$10061</f>
        <v>-0.0305125352740778</v>
      </c>
      <c r="E10063" s="28" t="n">
        <f aca="false">(Sens!$E$10064-Sens!$E$10060+Sens!$E$10062)/Sens!$E$10061</f>
        <v>-0.019490056934994</v>
      </c>
      <c r="F10063" s="28" t="n">
        <f aca="false">Sens!$O$10063+(Sens!$E$10063-Sens!$N$10063)</f>
        <v>-0.0367332293992226</v>
      </c>
      <c r="G10063" s="28" t="n">
        <f aca="false">(Sens!$G$10064-Sens!$G$10060+Sens!$G$10062)/Sens!$G$10061</f>
        <v>-0.0287946542321067</v>
      </c>
      <c r="H10063" s="28" t="n">
        <f aca="false">Sens!$G$10063+step_in</f>
        <v>-0.0287946542321067</v>
      </c>
      <c r="I10063" s="28" t="n">
        <f aca="false">Sens!$H$10063+step_in</f>
        <v>-0.0287946542321067</v>
      </c>
      <c r="J10063" s="28" t="n">
        <f aca="false">Sens!$I$10063+step_in</f>
        <v>-0.0287946542321067</v>
      </c>
      <c r="K10063" s="28" t="n">
        <f aca="false">Sens!$J$10063+step_in</f>
        <v>-0.0287946542321067</v>
      </c>
      <c r="L10063" s="28" t="n">
        <f aca="false">Sens!$K$10063</f>
        <v>-0.0287946542321067</v>
      </c>
      <c r="M10063" s="28" t="n">
        <f aca="false">Sens!$L$10063</f>
        <v>-0.0287946542321067</v>
      </c>
      <c r="N10063" s="28" t="n">
        <f aca="false">(Sens!$N$10064-Sens!$N$10060+Sens!$N$10062)/Sens!$N$10061</f>
        <v>-0.02085061789158</v>
      </c>
      <c r="O10063" s="28" t="n">
        <f aca="false">(Sens!$O$10064-Sens!$O$10060+Sens!$O$10062)/Sens!$O$10061</f>
        <v>-0.0380937903558086</v>
      </c>
      <c r="P10063" s="8" t="s">
        <v>718</v>
      </c>
    </row>
    <row r="10064" customFormat="false" ht="17.15" hidden="false" customHeight="false" outlineLevel="0" collapsed="false">
      <c r="A10064" s="1" t="s">
        <v>724</v>
      </c>
      <c r="B10064" s="8" t="s">
        <v>86</v>
      </c>
      <c r="C10064" s="38" t="n">
        <f aca="false">Q!$D$23</f>
        <v>3.792</v>
      </c>
      <c r="D10064" s="38" t="n">
        <f aca="false">Q!$E$23</f>
        <v>4.75</v>
      </c>
      <c r="E10064" s="38" t="n">
        <f aca="false">Q!$P$23</f>
        <v>3.141</v>
      </c>
      <c r="F10064" s="38" t="n">
        <f aca="false">Sens!$F$10060+Sens!$F$10061*Sens!$F$10063-Sens!$F$10062</f>
        <v>2.77377852186047</v>
      </c>
      <c r="G10064" s="38" t="n">
        <f aca="false">Sens!$E$10064+Sens!$F$10064</f>
        <v>5.91477852186047</v>
      </c>
      <c r="H10064" s="38" t="n">
        <f aca="false">Sens!$H$10060+Sens!$H$10061*Sens!$H$10063-Sens!$H$10062</f>
        <v>6.04870884420403</v>
      </c>
      <c r="I10064" s="38" t="n">
        <f aca="false">Sens!$I$10060+Sens!$I$10061*Sens!$I$10063-Sens!$I$10062</f>
        <v>5.84431580315713</v>
      </c>
      <c r="J10064" s="38" t="n">
        <f aca="false">Sens!$J$10060+Sens!$J$10061*Sens!$J$10063-Sens!$J$10062</f>
        <v>5.45740373874528</v>
      </c>
      <c r="K10064" s="38" t="n">
        <f aca="false">Sens!$K$10060+Sens!$K$10061*Sens!$K$10063-Sens!$K$10062</f>
        <v>4.82834725819686</v>
      </c>
      <c r="L10064" s="38" t="n">
        <f aca="false">Sens!$L$10060+Sens!$L$10061*Sens!$L$10063-Sens!$L$10062</f>
        <v>5.0789298772691</v>
      </c>
      <c r="M10064" s="38" t="n">
        <f aca="false">Sens!$M$10060+Sens!$M$10061*Sens!$M$10063-Sens!$M$10062</f>
        <v>6.07470400781241</v>
      </c>
      <c r="N10064" s="38" t="n">
        <f aca="false">Q!$N$23</f>
        <v>2.511</v>
      </c>
      <c r="O10064" s="38" t="n">
        <f aca="false">Q!$O$23</f>
        <v>2.239</v>
      </c>
    </row>
    <row r="10065" customFormat="false" ht="17.15" hidden="false" customHeight="false" outlineLevel="0" collapsed="false">
      <c r="A10065" s="0" t="s">
        <v>725</v>
      </c>
      <c r="B10065" s="0" t="s">
        <v>86</v>
      </c>
      <c r="C10065" s="38" t="n">
        <f aca="false">Sens!$C$10005</f>
        <v>1.64417882953695</v>
      </c>
      <c r="D10065" s="38" t="n">
        <f aca="false">Sens!$D$10005</f>
        <v>3.8781008067718</v>
      </c>
      <c r="E10065" s="38" t="n">
        <f aca="false">Sens!$E$10005</f>
        <v>1.41270258088753</v>
      </c>
      <c r="F10065" s="38" t="n">
        <f aca="false">Sens!$F$10005</f>
        <v>6.50727700583486</v>
      </c>
      <c r="G10065" s="38" t="n">
        <f aca="false">Sens!$G$10005</f>
        <v>7.9199795867224</v>
      </c>
      <c r="H10065" s="38" t="n">
        <f aca="false">Sens!$H$10005</f>
        <v>19.2818189481807</v>
      </c>
      <c r="I10065" s="38" t="n">
        <f aca="false">Sens!$I$10005</f>
        <v>30.140114407202</v>
      </c>
      <c r="J10065" s="38" t="n">
        <f aca="false">Sens!$J$10005</f>
        <v>40.3569468829854</v>
      </c>
      <c r="K10065" s="38" t="n">
        <f aca="false">Sens!$K$10005</f>
        <v>45.3710496571487</v>
      </c>
      <c r="L10065" s="38" t="n">
        <f aca="false">Sens!$L$10005</f>
        <v>49.1601681490812</v>
      </c>
      <c r="M10065" s="38" t="n">
        <f aca="false">Sens!$M$10005</f>
        <v>49.5075152997692</v>
      </c>
      <c r="N10065" s="38" t="n">
        <f aca="false">Sens!$N$10005</f>
        <v>0.92264103489199</v>
      </c>
      <c r="O10065" s="38" t="n">
        <f aca="false">Sens!$O$10005</f>
        <v>2.95545977187981</v>
      </c>
    </row>
    <row r="10066" customFormat="false" ht="17.15" hidden="false" customHeight="false" outlineLevel="0" collapsed="false">
      <c r="A10066" s="0" t="s">
        <v>643</v>
      </c>
      <c r="B10066" s="0" t="s">
        <v>86</v>
      </c>
      <c r="C10066" s="38" t="n">
        <f aca="false">Sens!$C$10010</f>
        <v>38.1898211704631</v>
      </c>
      <c r="D10066" s="38" t="n">
        <f aca="false">Sens!$D$10010</f>
        <v>41.7278991932282</v>
      </c>
      <c r="E10066" s="38" t="n">
        <f aca="false">Sens!$E$10010</f>
        <v>29.3692974191125</v>
      </c>
      <c r="F10066" s="38" t="n">
        <f aca="false">Sens!$F$10010</f>
        <v>26.8997276714137</v>
      </c>
      <c r="G10066" s="38" t="n">
        <f aca="false">Sens!$G$10010</f>
        <v>56.2690250905262</v>
      </c>
      <c r="H10066" s="38" t="n">
        <f aca="false">Sens!$H$10010</f>
        <v>60.3505333937343</v>
      </c>
      <c r="I10066" s="38" t="n">
        <f aca="false">Sens!$I$10010</f>
        <v>67.0043857303571</v>
      </c>
      <c r="J10066" s="38" t="n">
        <f aca="false">Sens!$J$10010</f>
        <v>73.3782922956925</v>
      </c>
      <c r="K10066" s="38" t="n">
        <f aca="false">Sens!$K$10010</f>
        <v>79.2485556793479</v>
      </c>
      <c r="L10066" s="38" t="n">
        <f aca="false">Sens!$L$10010</f>
        <v>85.5884401336958</v>
      </c>
      <c r="M10066" s="38" t="n">
        <f aca="false">Sens!$M$10010</f>
        <v>92.4355153443914</v>
      </c>
      <c r="N10066" s="38" t="n">
        <f aca="false">Sens!$N$10010</f>
        <v>20.784358965108</v>
      </c>
      <c r="O10066" s="38" t="n">
        <f aca="false">Sens!$O$10010</f>
        <v>20.9435402281202</v>
      </c>
    </row>
    <row r="10067" customFormat="false" ht="17.15" hidden="false" customHeight="false" outlineLevel="0" collapsed="false">
      <c r="A10067" s="1" t="s">
        <v>726</v>
      </c>
      <c r="B10067" s="8" t="s">
        <v>86</v>
      </c>
      <c r="C10067" s="38" t="n">
        <f aca="false">Q!$D$24</f>
        <v>39.834</v>
      </c>
      <c r="D10067" s="38" t="n">
        <f aca="false">Q!$E$24</f>
        <v>45.606</v>
      </c>
      <c r="E10067" s="38" t="n">
        <f aca="false">Q!$P$24</f>
        <v>30.782</v>
      </c>
      <c r="F10067" s="38" t="n">
        <f aca="false">Sens!$F$10065+Sens!$F$10066</f>
        <v>33.4070046772486</v>
      </c>
      <c r="G10067" s="38" t="n">
        <f aca="false">Sens!$G$10065+Sens!$G$10066</f>
        <v>64.1890046772486</v>
      </c>
      <c r="H10067" s="38" t="n">
        <f aca="false">Sens!$H$10065+Sens!$H$10066</f>
        <v>79.6323523419149</v>
      </c>
      <c r="I10067" s="38" t="n">
        <f aca="false">Sens!$I$10065+Sens!$I$10066</f>
        <v>97.1445001375591</v>
      </c>
      <c r="J10067" s="38" t="n">
        <f aca="false">Sens!$J$10065+Sens!$J$10066</f>
        <v>113.735239178678</v>
      </c>
      <c r="K10067" s="38" t="n">
        <f aca="false">Sens!$K$10065+Sens!$K$10066</f>
        <v>124.619605336497</v>
      </c>
      <c r="L10067" s="38" t="n">
        <f aca="false">Sens!$L$10065+Sens!$L$10066</f>
        <v>134.748608282777</v>
      </c>
      <c r="M10067" s="38" t="n">
        <f aca="false">Sens!$M$10065+Sens!$M$10066</f>
        <v>141.943030644161</v>
      </c>
      <c r="N10067" s="38" t="n">
        <f aca="false">Q!$N$24</f>
        <v>21.707</v>
      </c>
      <c r="O10067" s="38" t="n">
        <f aca="false">Q!$O$24</f>
        <v>23.899</v>
      </c>
    </row>
    <row r="10068" customFormat="false" ht="17.15" hidden="false" customHeight="false" outlineLevel="0" collapsed="false">
      <c r="A10068" s="5" t="s">
        <v>727</v>
      </c>
      <c r="B10068" s="0" t="s">
        <v>86</v>
      </c>
      <c r="C10068" s="38" t="n">
        <f aca="false">Q!$D$26</f>
        <v>0</v>
      </c>
      <c r="D10068" s="38" t="n">
        <f aca="false">Q!$E$26</f>
        <v>0</v>
      </c>
      <c r="E10068" s="38" t="n">
        <f aca="false">Q!$P$26</f>
        <v>0</v>
      </c>
      <c r="F10068" s="39" t="n">
        <v>0</v>
      </c>
      <c r="G10068" s="38" t="n">
        <f aca="false">Sens!$E$10068+Sens!$F$10068</f>
        <v>0</v>
      </c>
      <c r="H10068" s="39" t="n">
        <v>0</v>
      </c>
      <c r="I10068" s="39" t="n">
        <v>0</v>
      </c>
      <c r="J10068" s="39" t="n">
        <v>0</v>
      </c>
      <c r="K10068" s="39" t="n">
        <v>0</v>
      </c>
      <c r="L10068" s="39" t="n">
        <v>0</v>
      </c>
      <c r="M10068" s="39" t="n">
        <v>0</v>
      </c>
      <c r="N10068" s="38" t="n">
        <f aca="false">Q!$N$26</f>
        <v>0</v>
      </c>
      <c r="O10068" s="38" t="n">
        <f aca="false">Q!$O$26</f>
        <v>0</v>
      </c>
    </row>
    <row r="10069" customFormat="false" ht="15" hidden="false" customHeight="false" outlineLevel="0" collapsed="false">
      <c r="A10069" s="3" t="s">
        <v>531</v>
      </c>
      <c r="B10069" s="8" t="s">
        <v>86</v>
      </c>
      <c r="C10069" s="38" t="n">
        <f aca="false">Q!$D$25</f>
        <v>68.593</v>
      </c>
      <c r="D10069" s="38" t="n">
        <f aca="false">Q!$E$25</f>
        <v>79.975</v>
      </c>
      <c r="E10069" s="38" t="n">
        <f aca="false">Q!$P$25</f>
        <v>51.313</v>
      </c>
      <c r="F10069" s="38" t="n">
        <f aca="false">Sens!$F$10059+Sens!$F$10064+Sens!$F$10067+Sens!$F$10068</f>
        <v>56.2888892369246</v>
      </c>
      <c r="G10069" s="38" t="n">
        <f aca="false">Sens!$G$10059+Sens!$G$10064+Sens!$G$10067+Sens!$G$10068</f>
        <v>107.601889236925</v>
      </c>
      <c r="H10069" s="38" t="n">
        <f aca="false">Sens!$H$10059+Sens!$H$10064+Sens!$H$10067+Sens!$H$10068</f>
        <v>126.935967255636</v>
      </c>
      <c r="I10069" s="38" t="n">
        <f aca="false">Sens!$I$10059+Sens!$I$10064+Sens!$I$10067+Sens!$I$10068</f>
        <v>147.247780943116</v>
      </c>
      <c r="J10069" s="38" t="n">
        <f aca="false">Sens!$J$10059+Sens!$J$10064+Sens!$J$10067+Sens!$J$10068</f>
        <v>166.030093415229</v>
      </c>
      <c r="K10069" s="38" t="n">
        <f aca="false">Sens!$K$10059+Sens!$K$10064+Sens!$K$10067+Sens!$K$10068</f>
        <v>178.19058178219</v>
      </c>
      <c r="L10069" s="38" t="n">
        <f aca="false">Sens!$L$10059+Sens!$L$10064+Sens!$L$10067+Sens!$L$10068</f>
        <v>191.332347459574</v>
      </c>
      <c r="M10069" s="38" t="n">
        <f aca="false">Sens!$M$10059+Sens!$M$10064+Sens!$M$10067+Sens!$M$10068</f>
        <v>204.35772103537</v>
      </c>
      <c r="N10069" s="38" t="n">
        <f aca="false">Q!$N$25</f>
        <v>37.576</v>
      </c>
      <c r="O10069" s="38" t="n">
        <f aca="false">Q!$O$25</f>
        <v>42.399</v>
      </c>
    </row>
    <row r="10070" customFormat="false" ht="17.15" hidden="false" customHeight="false" outlineLevel="0" collapsed="false">
      <c r="A10070" s="24" t="s">
        <v>758</v>
      </c>
      <c r="B10070" s="25" t="s">
        <v>86</v>
      </c>
      <c r="C10070" s="41" t="n">
        <f aca="false">Sens!$C$10059+Sens!$C$10064+Sens!$C$10067+Sens!$C$10068-Sens!$C$10069</f>
        <v>0</v>
      </c>
      <c r="D10070" s="41" t="n">
        <f aca="false">Sens!$D$10059+Sens!$D$10064+Sens!$D$10067+Sens!$D$10068-Sens!$D$10069</f>
        <v>0</v>
      </c>
      <c r="E10070" s="41" t="n">
        <f aca="false">Sens!$E$10059+Sens!$E$10064+Sens!$E$10067+Sens!$E$10068-Sens!$E$10069</f>
        <v>0</v>
      </c>
      <c r="F10070" s="41" t="n">
        <f aca="false">Sens!$F$10059+Sens!$F$10064+Sens!$F$10067+Sens!$F$10068-Sens!$F$10069</f>
        <v>0</v>
      </c>
      <c r="G10070" s="41" t="n">
        <f aca="false">Sens!$G$10059+Sens!$G$10064+Sens!$G$10067+Sens!$G$10068-Sens!$G$10069</f>
        <v>0</v>
      </c>
      <c r="H10070" s="41" t="n">
        <f aca="false">Sens!$H$10059+Sens!$H$10064+Sens!$H$10067+Sens!$H$10068-Sens!$H$10069</f>
        <v>0</v>
      </c>
      <c r="I10070" s="41" t="n">
        <f aca="false">Sens!$I$10059+Sens!$I$10064+Sens!$I$10067+Sens!$I$10068-Sens!$I$10069</f>
        <v>0</v>
      </c>
      <c r="J10070" s="41" t="n">
        <f aca="false">Sens!$J$10059+Sens!$J$10064+Sens!$J$10067+Sens!$J$10068-Sens!$J$10069</f>
        <v>0</v>
      </c>
      <c r="K10070" s="41" t="n">
        <f aca="false">Sens!$K$10059+Sens!$K$10064+Sens!$K$10067+Sens!$K$10068-Sens!$K$10069</f>
        <v>0</v>
      </c>
      <c r="L10070" s="41" t="n">
        <f aca="false">Sens!$L$10059+Sens!$L$10064+Sens!$L$10067+Sens!$L$10068-Sens!$L$10069</f>
        <v>0</v>
      </c>
      <c r="M10070" s="41" t="n">
        <f aca="false">Sens!$M$10059+Sens!$M$10064+Sens!$M$10067+Sens!$M$10068-Sens!$M$10069</f>
        <v>0</v>
      </c>
      <c r="N10070" s="41" t="n">
        <f aca="false">Sens!$N$10059+Sens!$N$10064+Sens!$N$10067+Sens!$N$10068-Sens!$N$10069</f>
        <v>0</v>
      </c>
      <c r="O10070" s="41" t="n">
        <f aca="false">Sens!$O$10059+Sens!$O$10064+Sens!$O$10067+Sens!$O$10068-Sens!$O$10069</f>
        <v>0</v>
      </c>
    </row>
    <row r="10071" customFormat="false" ht="17.15" hidden="false" customHeight="false" outlineLevel="0" collapsed="false">
      <c r="A10071" s="5" t="s">
        <v>729</v>
      </c>
      <c r="B10071" s="0" t="s">
        <v>86</v>
      </c>
      <c r="C10071" s="38" t="n">
        <f aca="false">Sens!$C$10007</f>
        <v>0</v>
      </c>
      <c r="D10071" s="38" t="n">
        <f aca="false">Sens!$D$10007</f>
        <v>0</v>
      </c>
      <c r="E10071" s="38" t="n">
        <f aca="false">Sens!$E$10007</f>
        <v>0</v>
      </c>
      <c r="F10071" s="38" t="n">
        <f aca="false">Sens!$F$10007</f>
        <v>3.77122048175818</v>
      </c>
      <c r="G10071" s="38" t="n">
        <f aca="false">Sens!$G$10007</f>
        <v>3.77122048175818</v>
      </c>
      <c r="H10071" s="38" t="n">
        <f aca="false">Sens!$H$10007</f>
        <v>15.1635543609893</v>
      </c>
      <c r="I10071" s="38" t="n">
        <f aca="false">Sens!$I$10007</f>
        <v>25.5818843619889</v>
      </c>
      <c r="J10071" s="38" t="n">
        <f aca="false">Sens!$J$10007</f>
        <v>36.0465624179122</v>
      </c>
      <c r="K10071" s="38" t="n">
        <f aca="false">Sens!$K$10007</f>
        <v>45.0461919819152</v>
      </c>
      <c r="L10071" s="38" t="n">
        <f aca="false">Sens!$L$10007</f>
        <v>51.1279288493339</v>
      </c>
      <c r="M10071" s="38" t="n">
        <f aca="false">Sens!$M$10007</f>
        <v>54.2845128319481</v>
      </c>
      <c r="N10071" s="38" t="n">
        <f aca="false">Sens!$N$10007</f>
        <v>0</v>
      </c>
      <c r="O10071" s="38" t="n">
        <f aca="false">Sens!$O$10007</f>
        <v>0</v>
      </c>
      <c r="P10071" s="5" t="s">
        <v>730</v>
      </c>
    </row>
    <row r="10072" customFormat="false" ht="17.15" hidden="false" customHeight="false" outlineLevel="0" collapsed="false">
      <c r="A10072" s="5" t="s">
        <v>731</v>
      </c>
      <c r="B10072" s="0" t="s">
        <v>86</v>
      </c>
      <c r="C10072" s="38" t="n">
        <f aca="false">Sens!$C$10069+Sens!$C$10071</f>
        <v>68.593</v>
      </c>
      <c r="D10072" s="38" t="n">
        <f aca="false">Sens!$D$10069+Sens!$D$10071</f>
        <v>79.975</v>
      </c>
      <c r="E10072" s="38" t="n">
        <f aca="false">Sens!$E$10069+Sens!$E$10071</f>
        <v>51.313</v>
      </c>
      <c r="F10072" s="38" t="n">
        <f aca="false">Sens!$F$10069+Sens!$F$10071</f>
        <v>60.0601097186828</v>
      </c>
      <c r="G10072" s="38" t="n">
        <f aca="false">Sens!$G$10069+Sens!$G$10071</f>
        <v>111.373109718683</v>
      </c>
      <c r="H10072" s="38" t="n">
        <f aca="false">Sens!$H$10069+Sens!$H$10071</f>
        <v>142.099521616625</v>
      </c>
      <c r="I10072" s="38" t="n">
        <f aca="false">Sens!$I$10069+Sens!$I$10071</f>
        <v>172.829665305105</v>
      </c>
      <c r="J10072" s="38" t="n">
        <f aca="false">Sens!$J$10069+Sens!$J$10071</f>
        <v>202.076655833141</v>
      </c>
      <c r="K10072" s="38" t="n">
        <f aca="false">Sens!$K$10069+Sens!$K$10071</f>
        <v>223.236773764105</v>
      </c>
      <c r="L10072" s="38" t="n">
        <f aca="false">Sens!$L$10069+Sens!$L$10071</f>
        <v>242.460276308908</v>
      </c>
      <c r="M10072" s="38" t="n">
        <f aca="false">Sens!$M$10069+Sens!$M$10071</f>
        <v>258.642233867319</v>
      </c>
      <c r="N10072" s="38" t="n">
        <f aca="false">Sens!$N$10069+Sens!$N$10071</f>
        <v>37.576</v>
      </c>
      <c r="O10072" s="38" t="n">
        <f aca="false">Sens!$O$10069+Sens!$O$10071</f>
        <v>42.399</v>
      </c>
    </row>
    <row r="10073" customFormat="false" ht="17.15" hidden="false" customHeight="false" outlineLevel="0" collapsed="false">
      <c r="A10073" s="0" t="s">
        <v>732</v>
      </c>
      <c r="B10073" s="0" t="s">
        <v>52</v>
      </c>
      <c r="C10073" s="13" t="n">
        <f aca="false">Sens!$C$10059/Sens!$C$10044</f>
        <v>0.0644314665661928</v>
      </c>
      <c r="D10073" s="13" t="n">
        <f aca="false">Sens!$D$10059/Sens!$D$10044</f>
        <v>0.0694784250712518</v>
      </c>
      <c r="E10073" s="13" t="n">
        <f aca="false">Sens!$E$10059/Sens!$E$10044</f>
        <v>0.0789306463326071</v>
      </c>
      <c r="F10073" s="13" t="n">
        <f aca="false">Sens!$F$10059/Sens!$F$10044</f>
        <v>0.0802271154277638</v>
      </c>
      <c r="G10073" s="13" t="n">
        <f aca="false">Sens!$G$10059/Sens!$G$10044</f>
        <v>0.0796206133714758</v>
      </c>
      <c r="H10073" s="13" t="n">
        <f aca="false">Sens!$H$10059/Sens!$H$10044</f>
        <v>0.0791253077422711</v>
      </c>
      <c r="I10073" s="13" t="n">
        <f aca="false">Sens!$I$10059/Sens!$I$10044</f>
        <v>0.0776277144828766</v>
      </c>
      <c r="J10073" s="13" t="n">
        <f aca="false">Sens!$J$10059/Sens!$J$10044</f>
        <v>0.0761100135193333</v>
      </c>
      <c r="K10073" s="13" t="n">
        <f aca="false">Sens!$K$10059/Sens!$K$10044</f>
        <v>0.0743925780188992</v>
      </c>
      <c r="L10073" s="13" t="n">
        <f aca="false">Sens!$L$10059/Sens!$L$10044</f>
        <v>0.0738094555312645</v>
      </c>
      <c r="M10073" s="13" t="n">
        <f aca="false">Sens!$M$10059/Sens!$M$10044</f>
        <v>0.0757869750835491</v>
      </c>
      <c r="N10073" s="13" t="n">
        <f aca="false">Sens!$N$10059/Sens!$N$10044</f>
        <v>0.069228576611127</v>
      </c>
      <c r="O10073" s="13" t="n">
        <f aca="false">Sens!$O$10059/Sens!$O$10044</f>
        <v>0.069685022498393</v>
      </c>
    </row>
    <row r="10074" customFormat="false" ht="17.15" hidden="false" customHeight="false" outlineLevel="0" collapsed="false">
      <c r="A10074" s="0" t="s">
        <v>733</v>
      </c>
      <c r="B10074" s="0" t="s">
        <v>52</v>
      </c>
      <c r="C10074" s="13" t="n">
        <f aca="false">Sens!$C$10064/Sens!$C$10045</f>
        <v>0.026534925055631</v>
      </c>
      <c r="D10074" s="13" t="n">
        <f aca="false">Sens!$D$10064/Sens!$D$10045</f>
        <v>0.0293401855535103</v>
      </c>
      <c r="E10074" s="13" t="n">
        <f aca="false">Sens!$E$10064/Sens!$E$10045</f>
        <v>0.03831141902276</v>
      </c>
      <c r="F10074" s="13" t="n">
        <f aca="false">Sens!$F$10064/Sens!$F$10045</f>
        <v>0.028186380436398</v>
      </c>
      <c r="G10074" s="13" t="n">
        <f aca="false">Sens!$G$10064/Sens!$G$10045</f>
        <v>0.0327880260521739</v>
      </c>
      <c r="H10074" s="13" t="n">
        <f aca="false">Sens!$H$10064/Sens!$H$10045</f>
        <v>0.0302874763409969</v>
      </c>
      <c r="I10074" s="13" t="n">
        <f aca="false">Sens!$I$10064/Sens!$I$10045</f>
        <v>0.0267614610253202</v>
      </c>
      <c r="J10074" s="13" t="n">
        <f aca="false">Sens!$J$10064/Sens!$J$10045</f>
        <v>0.0231523582706593</v>
      </c>
      <c r="K10074" s="13" t="n">
        <f aca="false">Sens!$K$10064/Sens!$K$10045</f>
        <v>0.0192388785591883</v>
      </c>
      <c r="L10074" s="13" t="n">
        <f aca="false">Sens!$L$10064/Sens!$L$10045</f>
        <v>0.0190019002161762</v>
      </c>
      <c r="M10074" s="13" t="n">
        <f aca="false">Sens!$M$10064/Sens!$M$10045</f>
        <v>0.0213335708955443</v>
      </c>
      <c r="N10074" s="13" t="n">
        <f aca="false">Sens!$N$10064/Sens!$N$10045</f>
        <v>0.0357315650169337</v>
      </c>
      <c r="O10074" s="13" t="n">
        <f aca="false">Sens!$O$10064/Sens!$O$10045</f>
        <v>0.0244378956559703</v>
      </c>
    </row>
    <row r="10075" customFormat="false" ht="17.15" hidden="false" customHeight="false" outlineLevel="0" collapsed="false">
      <c r="A10075" s="14" t="s">
        <v>734</v>
      </c>
      <c r="B10075" s="14" t="s">
        <v>52</v>
      </c>
      <c r="C10075" s="17" t="n">
        <f aca="false">Sens!$C$10067/Sens!$C$10046</f>
        <v>0.370355907620217</v>
      </c>
      <c r="D10075" s="17" t="n">
        <f aca="false">Sens!$D$10067/Sens!$D$10046</f>
        <v>0.35429015342785</v>
      </c>
      <c r="E10075" s="17" t="n">
        <f aca="false">Sens!$E$10067/Sens!$E$10046</f>
        <v>0.385647527531039</v>
      </c>
      <c r="F10075" s="17" t="n">
        <f aca="false">Sens!$F$10067/Sens!$F$10046</f>
        <v>0.385171818673936</v>
      </c>
      <c r="G10075" s="17" t="n">
        <f aca="false">Sens!$G$10067/Sens!$G$10046</f>
        <v>0.385399799520974</v>
      </c>
      <c r="H10075" s="17" t="n">
        <f aca="false">Sens!$H$10067/Sens!$H$10046</f>
        <v>0.360029314750347</v>
      </c>
      <c r="I10075" s="17" t="n">
        <f aca="false">Sens!$I$10067/Sens!$I$10046</f>
        <v>0.346606134604193</v>
      </c>
      <c r="J10075" s="17" t="n">
        <f aca="false">Sens!$J$10067/Sens!$J$10046</f>
        <v>0.335699297156574</v>
      </c>
      <c r="K10075" s="17" t="n">
        <f aca="false">Sens!$K$10067/Sens!$K$10046</f>
        <v>0.319396847264023</v>
      </c>
      <c r="L10075" s="17" t="n">
        <f aca="false">Sens!$L$10067/Sens!$L$10046</f>
        <v>0.312483887178428</v>
      </c>
      <c r="M10075" s="17" t="n">
        <f aca="false">Sens!$M$10067/Sens!$M$10046</f>
        <v>0.307228902252946</v>
      </c>
      <c r="N10075" s="17" t="n">
        <f aca="false">Sens!$N$10067/Sens!$N$10046</f>
        <v>0.360941137346192</v>
      </c>
      <c r="O10075" s="17" t="n">
        <f aca="false">Sens!$O$10067/Sens!$O$10046</f>
        <v>0.348458117664212</v>
      </c>
    </row>
    <row r="10076" customFormat="false" ht="17.15" hidden="false" customHeight="false" outlineLevel="0" collapsed="false">
      <c r="A10076" s="0" t="s">
        <v>735</v>
      </c>
      <c r="B10076" s="0" t="s">
        <v>52</v>
      </c>
      <c r="C10076" s="13" t="n">
        <f aca="false">Sens!$C$10065/Sens!$C$10047</f>
        <v>0.708390794789371</v>
      </c>
      <c r="D10076" s="13" t="n">
        <f aca="false">Sens!$D$10065/Sens!$D$10047</f>
        <v>0.445565630441968</v>
      </c>
      <c r="E10076" s="13" t="n">
        <f aca="false">Sens!$E$10065/Sens!$E$10047</f>
        <v>0.165998118402711</v>
      </c>
      <c r="F10076" s="13" t="n">
        <f aca="false">Sens!$F$10065/Sens!$F$10047</f>
        <v>0.434878595403858</v>
      </c>
      <c r="G10076" s="13" t="n">
        <f aca="false">Sens!$G$10065/Sens!$G$10047</f>
        <v>0.3373967615381</v>
      </c>
      <c r="H10076" s="13" t="n">
        <f aca="false">Sens!$H$10065/Sens!$H$10047</f>
        <v>0.320477578041224</v>
      </c>
      <c r="I10076" s="13" t="n">
        <f aca="false">Sens!$I$10065/Sens!$I$10047</f>
        <v>0.296936118226494</v>
      </c>
      <c r="J10076" s="13" t="n">
        <f aca="false">Sens!$J$10065/Sens!$J$10047</f>
        <v>0.282166278613001</v>
      </c>
      <c r="K10076" s="13" t="n">
        <f aca="false">Sens!$K$10065/Sens!$K$10047</f>
        <v>0.253846631705782</v>
      </c>
      <c r="L10076" s="13" t="n">
        <f aca="false">Sens!$L$10065/Sens!$L$10047</f>
        <v>0.242329240574153</v>
      </c>
      <c r="M10076" s="13" t="n">
        <f aca="false">Sens!$M$10065/Sens!$M$10047</f>
        <v>0.229850708860382</v>
      </c>
      <c r="N10076" s="13" t="n">
        <f aca="false">Sens!$N$10065/Sens!$N$10047</f>
        <v>0.302870734830849</v>
      </c>
      <c r="O10076" s="13" t="n">
        <f aca="false">Sens!$O$10065/Sens!$O$10047</f>
        <v>0.52240134346334</v>
      </c>
    </row>
    <row r="10077" customFormat="false" ht="15" hidden="false" customHeight="false" outlineLevel="0" collapsed="false">
      <c r="A10077" s="5" t="s">
        <v>736</v>
      </c>
      <c r="B10077" s="0" t="s">
        <v>52</v>
      </c>
      <c r="C10077" s="13" t="n">
        <f aca="false">Sens!$C$10069/Sens!$C$10049</f>
        <v>0.107519448742004</v>
      </c>
      <c r="D10077" s="13" t="n">
        <f aca="false">Sens!$D$10069/Sens!$D$10049</f>
        <v>0.111552967957552</v>
      </c>
      <c r="E10077" s="13" t="n">
        <f aca="false">Sens!$E$10069/Sens!$E$10049</f>
        <v>0.13428328426562</v>
      </c>
      <c r="F10077" s="13" t="n">
        <f aca="false">Sens!$F$10069/Sens!$F$10049</f>
        <v>0.129167844525589</v>
      </c>
      <c r="G10077" s="13" t="n">
        <f aca="false">Sens!$G$10069/Sens!$G$10049</f>
        <v>0.131557773771988</v>
      </c>
      <c r="H10077" s="13" t="n">
        <f aca="false">Sens!$H$10069/Sens!$H$10049</f>
        <v>0.134711536350329</v>
      </c>
      <c r="I10077" s="13" t="n">
        <f aca="false">Sens!$I$10069/Sens!$I$10049</f>
        <v>0.137768888779847</v>
      </c>
      <c r="J10077" s="13" t="n">
        <f aca="false">Sens!$J$10069/Sens!$J$10049</f>
        <v>0.139531715827143</v>
      </c>
      <c r="K10077" s="13" t="n">
        <f aca="false">Sens!$K$10069/Sens!$K$10049</f>
        <v>0.137455808779273</v>
      </c>
      <c r="L10077" s="13" t="n">
        <f aca="false">Sens!$L$10069/Sens!$L$10049</f>
        <v>0.137027039779713</v>
      </c>
      <c r="M10077" s="13" t="n">
        <f aca="false">Sens!$M$10069/Sens!$M$10049</f>
        <v>0.137138237638994</v>
      </c>
      <c r="N10077" s="13" t="n">
        <f aca="false">Sens!$N$10069/Sens!$N$10049</f>
        <v>0.116201614873411</v>
      </c>
      <c r="O10077" s="13" t="n">
        <f aca="false">Sens!$O$10069/Sens!$O$10049</f>
        <v>0.107733353660861</v>
      </c>
    </row>
    <row r="10078" customFormat="false" ht="17.15" hidden="false" customHeight="false" outlineLevel="0" collapsed="false">
      <c r="A10078" s="1" t="s">
        <v>737</v>
      </c>
    </row>
    <row r="10079" customFormat="false" ht="17.15" hidden="false" customHeight="false" outlineLevel="0" collapsed="false">
      <c r="A10079" s="5" t="s">
        <v>738</v>
      </c>
      <c r="B10079" s="0" t="s">
        <v>52</v>
      </c>
      <c r="D10079" s="28" t="n">
        <f aca="false">(Q!$E$29+Q!$E$30-(1-ext_sh)*Sens!$D$10001)/Sens!$D$9957</f>
        <v>0.0334674312393194</v>
      </c>
    </row>
    <row r="10080" customFormat="false" ht="17.15" hidden="false" customHeight="false" outlineLevel="0" collapsed="false">
      <c r="A10080" s="0" t="s">
        <v>535</v>
      </c>
      <c r="B10080" s="0" t="s">
        <v>86</v>
      </c>
      <c r="C10080" s="38" t="n">
        <f aca="false">Q!$D$29</f>
        <v>14.285</v>
      </c>
      <c r="D10080" s="38" t="n">
        <f aca="false">Q!$E$29</f>
        <v>15.503</v>
      </c>
      <c r="E10080" s="38" t="n">
        <f aca="false">Q!$P$29</f>
        <v>8.78</v>
      </c>
      <c r="F10080" s="38" t="n">
        <f aca="false">(Sens!$D$10079*Sens!$F$9957+(1-ext_sh)*Sens!$F$10001)*Sens!$F$9958</f>
        <v>9.32404990199157</v>
      </c>
      <c r="G10080" s="38" t="n">
        <f aca="false">Sens!$E$10080+Sens!$F$10080</f>
        <v>18.1040499019916</v>
      </c>
      <c r="H10080" s="38" t="n">
        <f aca="false">(Sens!$D$10079*Sens!$H$9957+(1-ext_sh)*Sens!$H$10001)*Sens!$H$9958</f>
        <v>22.5533556752937</v>
      </c>
      <c r="I10080" s="38" t="n">
        <f aca="false">(Sens!$D$10079*Sens!$I$9957+(1-ext_sh)*Sens!$I$10001)*Sens!$I$9958</f>
        <v>28.1941479903215</v>
      </c>
      <c r="J10080" s="38" t="n">
        <f aca="false">(Sens!$D$10079*Sens!$J$9957+(1-ext_sh)*Sens!$J$10001)*Sens!$J$9958</f>
        <v>33.8639126241465</v>
      </c>
      <c r="K10080" s="38" t="n">
        <f aca="false">(Sens!$D$10079*Sens!$K$9957+(1-ext_sh)*Sens!$K$10001)*Sens!$K$9958</f>
        <v>39.4516429979446</v>
      </c>
      <c r="L10080" s="38" t="n">
        <f aca="false">(Sens!$D$10079*Sens!$L$9957+(1-ext_sh)*Sens!$L$10001)*Sens!$L$9958</f>
        <v>43.6804876955339</v>
      </c>
      <c r="M10080" s="38" t="n">
        <f aca="false">(Sens!$D$10079*Sens!$M$9957+(1-ext_sh)*Sens!$M$10001)*Sens!$M$9958</f>
        <v>46.9533911310857</v>
      </c>
      <c r="N10080" s="38" t="n">
        <f aca="false">Q!$N$29</f>
        <v>7.272</v>
      </c>
      <c r="O10080" s="38" t="n">
        <f aca="false">Q!$O$29</f>
        <v>8.231</v>
      </c>
    </row>
    <row r="10081" customFormat="false" ht="17.15" hidden="false" customHeight="false" outlineLevel="0" collapsed="false">
      <c r="A10081" s="0" t="s">
        <v>537</v>
      </c>
      <c r="B10081" s="0" t="s">
        <v>86</v>
      </c>
      <c r="C10081" s="38" t="n">
        <f aca="false">Q!$D$30</f>
        <v>4.462</v>
      </c>
      <c r="D10081" s="38" t="n">
        <f aca="false">Q!$E$30</f>
        <v>4.907</v>
      </c>
      <c r="E10081" s="38" t="n">
        <f aca="false">Q!$P$30</f>
        <v>2.57</v>
      </c>
      <c r="F10081" s="38" t="n">
        <f aca="false">(Sens!$D$10079*Sens!$F$9957+(1-ext_sh)*Sens!$F$10001)*(1-Sens!$F$9958)</f>
        <v>3.66089330199472</v>
      </c>
      <c r="G10081" s="38" t="n">
        <f aca="false">Sens!$E$10081+Sens!$F$10081</f>
        <v>6.23089330199472</v>
      </c>
      <c r="H10081" s="38" t="n">
        <f aca="false">(Sens!$D$10079*Sens!$H$9957+(1-ext_sh)*Sens!$H$10001)*(1-Sens!$H$9958)</f>
        <v>8.63874333111657</v>
      </c>
      <c r="I10081" s="38" t="n">
        <f aca="false">(Sens!$D$10079*Sens!$I$9957+(1-ext_sh)*Sens!$I$10001)*(1-Sens!$I$9958)</f>
        <v>10.7993689025494</v>
      </c>
      <c r="J10081" s="38" t="n">
        <f aca="false">(Sens!$D$10079*Sens!$J$9957+(1-ext_sh)*Sens!$J$10001)*(1-Sens!$J$9958)</f>
        <v>12.9710919101865</v>
      </c>
      <c r="K10081" s="38" t="n">
        <f aca="false">(Sens!$D$10079*Sens!$K$9957+(1-ext_sh)*Sens!$K$10001)*(1-Sens!$K$9958)</f>
        <v>15.1113928568702</v>
      </c>
      <c r="L10081" s="38" t="n">
        <f aca="false">(Sens!$D$10079*Sens!$L$9957+(1-ext_sh)*Sens!$L$10001)*(1-Sens!$L$9958)</f>
        <v>16.7311918994422</v>
      </c>
      <c r="M10081" s="38" t="n">
        <f aca="false">(Sens!$D$10079*Sens!$M$9957+(1-ext_sh)*Sens!$M$10001)*(1-Sens!$M$9958)</f>
        <v>17.9848311863992</v>
      </c>
      <c r="N10081" s="38" t="n">
        <f aca="false">Q!$N$30</f>
        <v>2.316</v>
      </c>
      <c r="O10081" s="38" t="n">
        <f aca="false">Q!$O$30</f>
        <v>2.591</v>
      </c>
    </row>
    <row r="10082" customFormat="false" ht="17.15" hidden="false" customHeight="false" outlineLevel="0" collapsed="false">
      <c r="A10082" s="0" t="s">
        <v>538</v>
      </c>
      <c r="B10082" s="0" t="s">
        <v>86</v>
      </c>
      <c r="C10082" s="38" t="n">
        <f aca="false">Sens!$C$10013</f>
        <v>13.32</v>
      </c>
      <c r="D10082" s="38" t="n">
        <f aca="false">Sens!$D$10013</f>
        <v>21.45</v>
      </c>
      <c r="E10082" s="38" t="n">
        <f aca="false">Sens!$E$10013</f>
        <v>15.353</v>
      </c>
      <c r="F10082" s="38" t="n">
        <f aca="false">Sens!$F$10013</f>
        <v>16.3063747611001</v>
      </c>
      <c r="G10082" s="38" t="n">
        <f aca="false">Sens!$G$10013</f>
        <v>31.6593747611001</v>
      </c>
      <c r="H10082" s="38" t="n">
        <f aca="false">Sens!$H$10013</f>
        <v>53.124242092105</v>
      </c>
      <c r="I10082" s="38" t="n">
        <f aca="false">Sens!$I$10013</f>
        <v>78.046828098133</v>
      </c>
      <c r="J10082" s="38" t="n">
        <f aca="false">Sens!$J$10013</f>
        <v>103.663976940352</v>
      </c>
      <c r="K10082" s="38" t="n">
        <f aca="false">Sens!$K$10013</f>
        <v>129.625086115469</v>
      </c>
      <c r="L10082" s="38" t="n">
        <f aca="false">Sens!$L$10013</f>
        <v>147.747108049185</v>
      </c>
      <c r="M10082" s="38" t="n">
        <f aca="false">Sens!$M$10013</f>
        <v>160.235921080328</v>
      </c>
      <c r="N10082" s="38" t="n">
        <f aca="false">Sens!$N$10013</f>
        <v>9.234</v>
      </c>
      <c r="O10082" s="38" t="n">
        <f aca="false">Sens!$O$10013</f>
        <v>12.216</v>
      </c>
    </row>
    <row r="10083" customFormat="false" ht="17.15" hidden="false" customHeight="false" outlineLevel="0" collapsed="false">
      <c r="A10083" s="5" t="s">
        <v>739</v>
      </c>
      <c r="B10083" s="0" t="s">
        <v>86</v>
      </c>
      <c r="C10083" s="38" t="n">
        <f aca="false">Sens!$C$10080+Sens!$C$10081+Sens!$C$10082</f>
        <v>32.067</v>
      </c>
      <c r="D10083" s="38" t="n">
        <f aca="false">Sens!$D$10080+Sens!$D$10081+Sens!$D$10082</f>
        <v>41.86</v>
      </c>
      <c r="E10083" s="38" t="n">
        <f aca="false">Sens!$E$10080+Sens!$E$10081+Sens!$E$10082</f>
        <v>26.703</v>
      </c>
      <c r="F10083" s="38" t="n">
        <f aca="false">Sens!$F$10080+Sens!$F$10081+Sens!$F$10082</f>
        <v>29.2913179650864</v>
      </c>
      <c r="G10083" s="38" t="n">
        <f aca="false">Sens!$G$10080+Sens!$G$10081+Sens!$G$10082</f>
        <v>55.9943179650864</v>
      </c>
      <c r="H10083" s="38" t="n">
        <f aca="false">Sens!$H$10080+Sens!$H$10081+Sens!$H$10082</f>
        <v>84.3163410985152</v>
      </c>
      <c r="I10083" s="38" t="n">
        <f aca="false">Sens!$I$10080+Sens!$I$10081+Sens!$I$10082</f>
        <v>117.040344991004</v>
      </c>
      <c r="J10083" s="38" t="n">
        <f aca="false">Sens!$J$10080+Sens!$J$10081+Sens!$J$10082</f>
        <v>150.498981474685</v>
      </c>
      <c r="K10083" s="38" t="n">
        <f aca="false">Sens!$K$10080+Sens!$K$10081+Sens!$K$10082</f>
        <v>184.188121970284</v>
      </c>
      <c r="L10083" s="38" t="n">
        <f aca="false">Sens!$L$10080+Sens!$L$10081+Sens!$L$10082</f>
        <v>208.158787644162</v>
      </c>
      <c r="M10083" s="38" t="n">
        <f aca="false">Sens!$M$10080+Sens!$M$10081+Sens!$M$10082</f>
        <v>225.174143397813</v>
      </c>
      <c r="N10083" s="38" t="n">
        <f aca="false">Sens!$N$10080+Sens!$N$10081+Sens!$N$10082</f>
        <v>18.822</v>
      </c>
      <c r="O10083" s="38" t="n">
        <f aca="false">Sens!$O$10080+Sens!$O$10081+Sens!$O$10082</f>
        <v>23.038</v>
      </c>
    </row>
    <row r="10084" customFormat="false" ht="17.15" hidden="false" customHeight="false" outlineLevel="0" collapsed="false">
      <c r="A10084" s="0" t="s">
        <v>740</v>
      </c>
      <c r="B10084" s="0" t="s">
        <v>86</v>
      </c>
      <c r="C10084" s="38" t="n">
        <f aca="false">Sens!$C$10055+Sens!$C$10060</f>
        <v>28.107</v>
      </c>
      <c r="D10084" s="38" t="n">
        <f aca="false">Sens!$D$10055+Sens!$D$10060</f>
        <v>34.3175</v>
      </c>
      <c r="E10084" s="38" t="n">
        <f aca="false">Sens!$E$10055+Sens!$E$10060</f>
        <v>18.526</v>
      </c>
      <c r="F10084" s="38" t="n">
        <f aca="false">Sens!$F$10055+Sens!$F$10060</f>
        <v>23.0786109972074</v>
      </c>
      <c r="G10084" s="38" t="n">
        <f aca="false">Sens!$G$10055+Sens!$G$10060</f>
        <v>41.6046109972074</v>
      </c>
      <c r="H10084" s="38" t="n">
        <f aca="false">Sens!$H$10055+Sens!$H$10060</f>
        <v>49.9484611939488</v>
      </c>
      <c r="I10084" s="38" t="n">
        <f aca="false">Sens!$I$10055+Sens!$I$10060</f>
        <v>58.2915555477481</v>
      </c>
      <c r="J10084" s="38" t="n">
        <f aca="false">Sens!$J$10055+Sens!$J$10060</f>
        <v>66.0744709709759</v>
      </c>
      <c r="K10084" s="38" t="n">
        <f aca="false">Sens!$K$10055+Sens!$K$10060</f>
        <v>72.6819180680735</v>
      </c>
      <c r="L10084" s="38" t="n">
        <f aca="false">Sens!$L$10055+Sens!$L$10060</f>
        <v>79.9501098748808</v>
      </c>
      <c r="M10084" s="38" t="n">
        <f aca="false">Sens!$M$10055+Sens!$M$10060</f>
        <v>87.9451208623689</v>
      </c>
      <c r="N10084" s="38" t="n">
        <f aca="false">Sens!$N$10055+Sens!$N$10060</f>
        <v>14.8075</v>
      </c>
      <c r="O10084" s="38" t="n">
        <f aca="false">Sens!$O$10055+Sens!$O$10060</f>
        <v>19.51</v>
      </c>
    </row>
    <row r="10085" customFormat="false" ht="17.15" hidden="false" customHeight="false" outlineLevel="0" collapsed="false">
      <c r="A10085" s="0" t="s">
        <v>741</v>
      </c>
      <c r="B10085" s="0" t="s">
        <v>86</v>
      </c>
      <c r="C10085" s="38" t="n">
        <f aca="false">Sens!$C$10059+Sens!$C$10064+Sens!$C$10080+Sens!$C$10081-Sens!$C$10084</f>
        <v>19.399</v>
      </c>
      <c r="D10085" s="38" t="n">
        <f aca="false">Sens!$D$10059+Sens!$D$10064+Sens!$D$10080+Sens!$D$10081-Sens!$D$10084</f>
        <v>20.4615</v>
      </c>
      <c r="E10085" s="38" t="n">
        <f aca="false">Sens!$E$10059+Sens!$E$10064+Sens!$E$10080+Sens!$E$10081-Sens!$E$10084</f>
        <v>13.355</v>
      </c>
      <c r="F10085" s="38" t="n">
        <f aca="false">Sens!$F$10059+Sens!$F$10064+Sens!$F$10080+Sens!$F$10081-Sens!$F$10084</f>
        <v>12.7882167664549</v>
      </c>
      <c r="G10085" s="38" t="n">
        <f aca="false">Sens!$G$10059+Sens!$G$10064+Sens!$G$10080+Sens!$G$10081-Sens!$G$10084</f>
        <v>26.1432167664549</v>
      </c>
      <c r="H10085" s="38" t="n">
        <f aca="false">Sens!$H$10059+Sens!$H$10064+Sens!$H$10080+Sens!$H$10081-Sens!$H$10084</f>
        <v>28.5472527261826</v>
      </c>
      <c r="I10085" s="38" t="n">
        <f aca="false">Sens!$I$10059+Sens!$I$10064+Sens!$I$10080+Sens!$I$10081-Sens!$I$10084</f>
        <v>30.8052421506794</v>
      </c>
      <c r="J10085" s="38" t="n">
        <f aca="false">Sens!$J$10059+Sens!$J$10064+Sens!$J$10080+Sens!$J$10081-Sens!$J$10084</f>
        <v>33.0553877999083</v>
      </c>
      <c r="K10085" s="38" t="n">
        <f aca="false">Sens!$K$10059+Sens!$K$10064+Sens!$K$10080+Sens!$K$10081-Sens!$K$10084</f>
        <v>35.452094232435</v>
      </c>
      <c r="L10085" s="38" t="n">
        <f aca="false">Sens!$L$10059+Sens!$L$10064+Sens!$L$10080+Sens!$L$10081-Sens!$L$10084</f>
        <v>37.0453088968923</v>
      </c>
      <c r="M10085" s="38" t="n">
        <f aca="false">Sens!$M$10059+Sens!$M$10064+Sens!$M$10080+Sens!$M$10081-Sens!$M$10084</f>
        <v>39.4077918463257</v>
      </c>
      <c r="N10085" s="38" t="n">
        <f aca="false">Sens!$N$10059+Sens!$N$10064+Sens!$N$10080+Sens!$N$10081-Sens!$N$10084</f>
        <v>10.6495</v>
      </c>
      <c r="O10085" s="38" t="n">
        <f aca="false">Sens!$O$10059+Sens!$O$10064+Sens!$O$10080+Sens!$O$10081-Sens!$O$10084</f>
        <v>9.81200000000001</v>
      </c>
    </row>
    <row r="10086" customFormat="false" ht="17.15" hidden="false" customHeight="false" outlineLevel="0" collapsed="false">
      <c r="A10086" s="0" t="s">
        <v>742</v>
      </c>
      <c r="B10086" s="0" t="s">
        <v>86</v>
      </c>
      <c r="C10086" s="38" t="n">
        <f aca="false">Sens!$C$10066+Sens!$C$10082-ext_sh*Sens!$C$10001</f>
        <v>51.3470500115664</v>
      </c>
      <c r="D10086" s="38" t="n">
        <f aca="false">Sens!$D$10066+Sens!$D$10082-ext_sh*Sens!$D$10001</f>
        <v>60.2799375433739</v>
      </c>
      <c r="E10086" s="38" t="n">
        <f aca="false">Sens!$E$10066+Sens!$E$10082-ext_sh*Sens!$E$10001</f>
        <v>39.5095167090767</v>
      </c>
      <c r="F10086" s="38" t="n">
        <f aca="false">Sens!$F$10066+Sens!$F$10082-ext_sh*Sens!$F$10001</f>
        <v>37.993321722478</v>
      </c>
      <c r="G10086" s="38" t="n">
        <f aca="false">Sens!$G$10066+Sens!$G$10082-ext_sh*Sens!$G$10001</f>
        <v>77.5028384315548</v>
      </c>
      <c r="H10086" s="38" t="n">
        <f aca="false">Sens!$H$10066+Sens!$H$10082-ext_sh*Sens!$H$10001</f>
        <v>85.2394217279746</v>
      </c>
      <c r="I10086" s="38" t="n">
        <f aca="false">Sens!$I$10066+Sens!$I$10082-ext_sh*Sens!$I$10001</f>
        <v>94.6373589713254</v>
      </c>
      <c r="J10086" s="38" t="n">
        <f aca="false">Sens!$J$10066+Sens!$J$10082-ext_sh*Sens!$J$10001</f>
        <v>103.639899284146</v>
      </c>
      <c r="K10086" s="38" t="n">
        <f aca="false">Sens!$K$10066+Sens!$K$10082-ext_sh*Sens!$K$10001</f>
        <v>111.931091226878</v>
      </c>
      <c r="L10086" s="38" t="n">
        <f aca="false">Sens!$L$10066+Sens!$L$10082-ext_sh*Sens!$L$10001</f>
        <v>120.885578525028</v>
      </c>
      <c r="M10086" s="38" t="n">
        <f aca="false">Sens!$M$10066+Sens!$M$10082-ext_sh*Sens!$M$10001</f>
        <v>130.55642480703</v>
      </c>
      <c r="N10086" s="38" t="n">
        <f aca="false">Sens!$N$10066+Sens!$N$10082-ext_sh*Sens!$N$10001</f>
        <v>28.5693781401809</v>
      </c>
      <c r="O10086" s="38" t="n">
        <f aca="false">Sens!$O$10066+Sens!$O$10082-ext_sh*Sens!$O$10001</f>
        <v>31.7105594031931</v>
      </c>
    </row>
    <row r="10087" customFormat="false" ht="17.15" hidden="false" customHeight="false" outlineLevel="0" collapsed="false">
      <c r="A10087" s="0" t="s">
        <v>743</v>
      </c>
      <c r="B10087" s="0" t="s">
        <v>86</v>
      </c>
      <c r="C10087" s="38" t="n">
        <f aca="false">Sens!$C$10004</f>
        <v>1.80694998843362</v>
      </c>
      <c r="D10087" s="38" t="n">
        <f aca="false">Sens!$D$10004</f>
        <v>6.77606245662607</v>
      </c>
      <c r="E10087" s="38" t="n">
        <f aca="false">Sens!$E$10004</f>
        <v>6.62548329092326</v>
      </c>
      <c r="F10087" s="38" t="n">
        <f aca="false">Sens!$F$10004</f>
        <v>11.7200577158706</v>
      </c>
      <c r="G10087" s="38" t="n">
        <f aca="false">Sens!$G$10004</f>
        <v>18.3455410067939</v>
      </c>
      <c r="H10087" s="38" t="n">
        <f aca="false">Sens!$H$10004</f>
        <v>47.5171727060453</v>
      </c>
      <c r="I10087" s="38" t="n">
        <f aca="false">Sens!$I$10004</f>
        <v>80.5539692643667</v>
      </c>
      <c r="J10087" s="38" t="n">
        <f aca="false">Sens!$J$10004</f>
        <v>113.759316834883</v>
      </c>
      <c r="K10087" s="38" t="n">
        <f aca="false">Sens!$K$10004</f>
        <v>142.313600225088</v>
      </c>
      <c r="L10087" s="38" t="n">
        <f aca="false">Sens!$L$10004</f>
        <v>161.610137806934</v>
      </c>
      <c r="M10087" s="38" t="n">
        <f aca="false">Sens!$M$10004</f>
        <v>171.622526917459</v>
      </c>
      <c r="N10087" s="38" t="n">
        <f aca="false">Sens!$N$10004</f>
        <v>2.37162185981912</v>
      </c>
      <c r="O10087" s="38" t="n">
        <f aca="false">Sens!$O$10004</f>
        <v>4.40444059680694</v>
      </c>
    </row>
    <row r="10088" customFormat="false" ht="17.15" hidden="false" customHeight="false" outlineLevel="0" collapsed="false">
      <c r="A10088" s="0" t="s">
        <v>744</v>
      </c>
      <c r="B10088" s="0" t="s">
        <v>86</v>
      </c>
      <c r="C10088" s="38" t="n">
        <f aca="false">Sens!$C$10069+Sens!$C$10083</f>
        <v>100.66</v>
      </c>
      <c r="D10088" s="38" t="n">
        <f aca="false">Sens!$D$10069+Sens!$D$10083</f>
        <v>121.835</v>
      </c>
      <c r="E10088" s="38" t="n">
        <f aca="false">Sens!$E$10069+Sens!$E$10083</f>
        <v>78.016</v>
      </c>
      <c r="F10088" s="38" t="n">
        <f aca="false">Sens!$F$10069+Sens!$F$10083</f>
        <v>85.580207202011</v>
      </c>
      <c r="G10088" s="38" t="n">
        <f aca="false">Sens!$G$10069+Sens!$G$10083</f>
        <v>163.596207202011</v>
      </c>
      <c r="H10088" s="38" t="n">
        <f aca="false">Sens!$H$10069+Sens!$H$10083</f>
        <v>211.252308354151</v>
      </c>
      <c r="I10088" s="38" t="n">
        <f aca="false">Sens!$I$10069+Sens!$I$10083</f>
        <v>264.28812593412</v>
      </c>
      <c r="J10088" s="38" t="n">
        <f aca="false">Sens!$J$10069+Sens!$J$10083</f>
        <v>316.529074889914</v>
      </c>
      <c r="K10088" s="38" t="n">
        <f aca="false">Sens!$K$10069+Sens!$K$10083</f>
        <v>362.378703752474</v>
      </c>
      <c r="L10088" s="38" t="n">
        <f aca="false">Sens!$L$10069+Sens!$L$10083</f>
        <v>399.491135103736</v>
      </c>
      <c r="M10088" s="38" t="n">
        <f aca="false">Sens!$M$10069+Sens!$M$10083</f>
        <v>429.531864433184</v>
      </c>
      <c r="N10088" s="38" t="n">
        <f aca="false">Sens!$N$10069+Sens!$N$10083</f>
        <v>56.398</v>
      </c>
      <c r="O10088" s="38" t="n">
        <f aca="false">Sens!$O$10069+Sens!$O$10083</f>
        <v>65.437</v>
      </c>
    </row>
    <row r="10089" customFormat="false" ht="17.15" hidden="false" customHeight="false" outlineLevel="0" collapsed="false">
      <c r="A10089" s="1" t="s">
        <v>745</v>
      </c>
    </row>
    <row r="10090" customFormat="false" ht="15" hidden="false" customHeight="false" outlineLevel="0" collapsed="false">
      <c r="A10090" s="5" t="s">
        <v>541</v>
      </c>
      <c r="B10090" s="0" t="s">
        <v>86</v>
      </c>
      <c r="C10090" s="38" t="n">
        <f aca="false">Q!$D$34</f>
        <v>2.406</v>
      </c>
      <c r="D10090" s="38" t="n">
        <f aca="false">Q!$E$34</f>
        <v>2.274</v>
      </c>
      <c r="E10090" s="38" t="n">
        <f aca="false">Q!$P$34</f>
        <v>2.114</v>
      </c>
      <c r="F10090" s="38" t="n">
        <f aca="false">Sens!$F$10128</f>
        <v>3.24888962733561</v>
      </c>
      <c r="G10090" s="38" t="n">
        <f aca="false">Sens!$E$10090+Sens!$F$10090</f>
        <v>5.36288962733561</v>
      </c>
      <c r="H10090" s="38" t="n">
        <f aca="false">Sens!$H$10128</f>
        <v>7.42354172302123</v>
      </c>
      <c r="I10090" s="38" t="n">
        <f aca="false">Sens!$I$10128</f>
        <v>8.2931747618896</v>
      </c>
      <c r="J10090" s="38" t="n">
        <f aca="false">Sens!$J$10128</f>
        <v>9.27718179522602</v>
      </c>
      <c r="K10090" s="38" t="n">
        <f aca="false">Sens!$K$10128</f>
        <v>9.27718179522602</v>
      </c>
      <c r="L10090" s="38" t="n">
        <f aca="false">Sens!$L$10128</f>
        <v>9.27718179522602</v>
      </c>
      <c r="M10090" s="38" t="n">
        <f aca="false">Sens!$M$10128</f>
        <v>9.27718179522602</v>
      </c>
      <c r="N10090" s="38" t="n">
        <f aca="false">Q!$N$34</f>
        <v>1.057</v>
      </c>
      <c r="O10090" s="38" t="n">
        <f aca="false">Q!$O$34</f>
        <v>1.217</v>
      </c>
    </row>
    <row r="10091" customFormat="false" ht="15" hidden="false" customHeight="false" outlineLevel="0" collapsed="false">
      <c r="A10091" s="5" t="s">
        <v>746</v>
      </c>
      <c r="B10091" s="0" t="s">
        <v>86</v>
      </c>
      <c r="F10091" s="38" t="n">
        <f aca="false">Sens!$F$10129</f>
        <v>2.59</v>
      </c>
      <c r="H10091" s="38" t="n">
        <f aca="false">Sens!$H$10129</f>
        <v>3.80133635330174</v>
      </c>
      <c r="I10091" s="38" t="n">
        <f aca="false">Sens!$I$10129</f>
        <v>2.10589651022864</v>
      </c>
      <c r="J10091" s="38" t="n">
        <f aca="false">Sens!$J$10129</f>
        <v>2.10589651022864</v>
      </c>
      <c r="K10091" s="38" t="n">
        <f aca="false">Sens!$K$10129</f>
        <v>3.14850442073996</v>
      </c>
      <c r="L10091" s="38" t="n">
        <f aca="false">Sens!$L$10129</f>
        <v>8.1505214857867</v>
      </c>
      <c r="M10091" s="38" t="n">
        <f aca="false">Sens!$M$10129</f>
        <v>15.5210342606514</v>
      </c>
    </row>
    <row r="10092" customFormat="false" ht="17.15" hidden="false" customHeight="false" outlineLevel="0" collapsed="false">
      <c r="A10092" s="5" t="s">
        <v>747</v>
      </c>
      <c r="B10092" s="0" t="s">
        <v>86</v>
      </c>
      <c r="C10092" s="38" t="n">
        <f aca="false">Q!$D$39</f>
        <v>2.427</v>
      </c>
      <c r="D10092" s="38" t="n">
        <f aca="false">Q!$E$39</f>
        <v>19.61</v>
      </c>
      <c r="E10092" s="38" t="n">
        <f aca="false">Q!$P$39</f>
        <v>71.492</v>
      </c>
      <c r="F10092" s="39" t="n">
        <v>0</v>
      </c>
      <c r="G10092" s="38" t="n">
        <f aca="false">Sens!$E$10092+Sens!$F$10092</f>
        <v>71.492</v>
      </c>
      <c r="H10092" s="39" t="n">
        <v>0</v>
      </c>
      <c r="I10092" s="39" t="n">
        <v>0</v>
      </c>
      <c r="J10092" s="39" t="n">
        <v>0</v>
      </c>
      <c r="K10092" s="39" t="n">
        <v>0</v>
      </c>
      <c r="L10092" s="39" t="n">
        <v>0</v>
      </c>
      <c r="M10092" s="39" t="n">
        <v>0</v>
      </c>
      <c r="N10092" s="38" t="n">
        <f aca="false">Q!$N$39</f>
        <v>6.017</v>
      </c>
      <c r="O10092" s="38" t="n">
        <f aca="false">Q!$O$39</f>
        <v>13.593</v>
      </c>
      <c r="P10092" s="5" t="s">
        <v>748</v>
      </c>
    </row>
    <row r="10093" customFormat="false" ht="15" hidden="false" customHeight="false" outlineLevel="0" collapsed="false">
      <c r="A10093" s="5" t="s">
        <v>544</v>
      </c>
      <c r="B10093" s="0" t="s">
        <v>86</v>
      </c>
      <c r="C10093" s="38" t="n">
        <f aca="false">Q!$D$36</f>
        <v>68.614</v>
      </c>
      <c r="D10093" s="38" t="n">
        <f aca="false">Q!$E$36</f>
        <v>97.311</v>
      </c>
      <c r="E10093" s="38" t="n">
        <f aca="false">Q!$P$36</f>
        <v>120.691</v>
      </c>
      <c r="F10093" s="38" t="n">
        <f aca="false">Sens!$F$10069-Sens!$F$10090+Sens!$F$10091+Sens!$F$10092</f>
        <v>55.629999609589</v>
      </c>
      <c r="G10093" s="38" t="n">
        <f aca="false">Sens!$E$10093+Sens!$F$10093</f>
        <v>176.320999609589</v>
      </c>
      <c r="H10093" s="38" t="n">
        <f aca="false">Sens!$H$10069-Sens!$H$10090+Sens!$H$10091+Sens!$H$10092</f>
        <v>123.313761885917</v>
      </c>
      <c r="I10093" s="38" t="n">
        <f aca="false">Sens!$I$10069-Sens!$I$10090+Sens!$I$10091+Sens!$I$10092</f>
        <v>141.060502691455</v>
      </c>
      <c r="J10093" s="38" t="n">
        <f aca="false">Sens!$J$10069-Sens!$J$10090+Sens!$J$10091+Sens!$J$10092</f>
        <v>158.858808130232</v>
      </c>
      <c r="K10093" s="38" t="n">
        <f aca="false">Sens!$K$10069-Sens!$K$10090+Sens!$K$10091+Sens!$K$10092</f>
        <v>172.061904407704</v>
      </c>
      <c r="L10093" s="38" t="n">
        <f aca="false">Sens!$L$10069-Sens!$L$10090+Sens!$L$10091+Sens!$L$10092</f>
        <v>190.205687150135</v>
      </c>
      <c r="M10093" s="38" t="n">
        <f aca="false">Sens!$M$10069-Sens!$M$10090+Sens!$M$10091+Sens!$M$10092</f>
        <v>210.601573500796</v>
      </c>
      <c r="N10093" s="38" t="n">
        <f aca="false">Q!$N$36</f>
        <v>42.536</v>
      </c>
      <c r="O10093" s="38" t="n">
        <f aca="false">Q!$O$36</f>
        <v>54.775</v>
      </c>
    </row>
    <row r="10094" customFormat="false" ht="15" hidden="false" customHeight="false" outlineLevel="0" collapsed="false">
      <c r="A10094" s="5" t="s">
        <v>545</v>
      </c>
      <c r="B10094" s="0" t="s">
        <v>86</v>
      </c>
      <c r="C10094" s="38" t="n">
        <f aca="false">Q!$D$37</f>
        <v>9.265</v>
      </c>
      <c r="D10094" s="38" t="n">
        <f aca="false">Q!$E$37</f>
        <v>19.087</v>
      </c>
      <c r="E10094" s="38" t="n">
        <f aca="false">Q!$P$37</f>
        <v>27.759</v>
      </c>
      <c r="F10094" s="38" t="n">
        <f aca="false">Sens!$F$10093*tax</f>
        <v>9.65650714815835</v>
      </c>
      <c r="G10094" s="38" t="n">
        <f aca="false">Sens!$E$10094+Sens!$F$10094</f>
        <v>37.4155071481584</v>
      </c>
      <c r="H10094" s="38" t="n">
        <f aca="false">Sens!$H$10093*tax</f>
        <v>21.4053609828247</v>
      </c>
      <c r="I10094" s="38" t="n">
        <f aca="false">Sens!$I$10093*tax</f>
        <v>24.4859205846201</v>
      </c>
      <c r="J10094" s="38" t="n">
        <f aca="false">Sens!$J$10093*tax</f>
        <v>27.5754310088666</v>
      </c>
      <c r="K10094" s="38" t="n">
        <f aca="false">Sens!$K$10093*tax</f>
        <v>29.8672842261235</v>
      </c>
      <c r="L10094" s="38" t="n">
        <f aca="false">Sens!$L$10093*tax</f>
        <v>33.0167641645831</v>
      </c>
      <c r="M10094" s="38" t="n">
        <f aca="false">Sens!$M$10093*tax</f>
        <v>36.5571744417788</v>
      </c>
      <c r="N10094" s="38" t="n">
        <f aca="false">Q!$N$37</f>
        <v>7.231</v>
      </c>
      <c r="O10094" s="38" t="n">
        <f aca="false">Q!$O$37</f>
        <v>11.856</v>
      </c>
    </row>
    <row r="10095" customFormat="false" ht="15" hidden="false" customHeight="false" outlineLevel="0" collapsed="false">
      <c r="A10095" s="3" t="s">
        <v>546</v>
      </c>
      <c r="B10095" s="8" t="s">
        <v>86</v>
      </c>
      <c r="C10095" s="38" t="n">
        <f aca="false">Q!$D$38</f>
        <v>59.248</v>
      </c>
      <c r="D10095" s="38" t="n">
        <f aca="false">Q!$E$38</f>
        <v>77.67</v>
      </c>
      <c r="E10095" s="38" t="n">
        <f aca="false">Q!$P$38</f>
        <v>92.902</v>
      </c>
      <c r="F10095" s="38" t="n">
        <f aca="false">Sens!$F$10093-Sens!$F$10094</f>
        <v>45.9734924614306</v>
      </c>
      <c r="G10095" s="38" t="n">
        <f aca="false">Sens!$E$10095+Sens!$F$10095</f>
        <v>138.875492461431</v>
      </c>
      <c r="H10095" s="38" t="n">
        <f aca="false">Sens!$H$10093-Sens!$H$10094</f>
        <v>101.908400903092</v>
      </c>
      <c r="I10095" s="38" t="n">
        <f aca="false">Sens!$I$10093-Sens!$I$10094</f>
        <v>116.574582106835</v>
      </c>
      <c r="J10095" s="38" t="n">
        <f aca="false">Sens!$J$10093-Sens!$J$10094</f>
        <v>131.283377121365</v>
      </c>
      <c r="K10095" s="38" t="n">
        <f aca="false">Sens!$K$10093-Sens!$K$10094</f>
        <v>142.194620181581</v>
      </c>
      <c r="L10095" s="38" t="n">
        <f aca="false">Sens!$L$10093-Sens!$L$10094</f>
        <v>157.188922985552</v>
      </c>
      <c r="M10095" s="38" t="n">
        <f aca="false">Sens!$M$10093-Sens!$M$10094</f>
        <v>174.044399059017</v>
      </c>
      <c r="N10095" s="38" t="n">
        <f aca="false">Q!$N$38</f>
        <v>35.291</v>
      </c>
      <c r="O10095" s="38" t="n">
        <f aca="false">Q!$O$38</f>
        <v>42.379</v>
      </c>
    </row>
    <row r="10096" customFormat="false" ht="17.15" hidden="false" customHeight="false" outlineLevel="0" collapsed="false">
      <c r="A10096" s="5" t="s">
        <v>549</v>
      </c>
      <c r="B10096" s="5" t="s">
        <v>33</v>
      </c>
      <c r="C10096" s="22" t="n">
        <f aca="false">Q!$D$41</f>
        <v>10.721</v>
      </c>
      <c r="D10096" s="22" t="n">
        <f aca="false">Q!$E$41</f>
        <v>10.827</v>
      </c>
      <c r="E10096" s="22" t="n">
        <f aca="false">(Q!$L$41+Q!$M$41)/2</f>
        <v>10.8885</v>
      </c>
      <c r="F10096" s="22" t="n">
        <f aca="false">Sens!$G$10096</f>
        <v>10.924806</v>
      </c>
      <c r="G10096" s="22" t="n">
        <f aca="false">Q!$M$41*(1+sh_g*0.25)</f>
        <v>10.924806</v>
      </c>
      <c r="H10096" s="22" t="n">
        <f aca="false">Sens!$G$10096*(1+sh_g)</f>
        <v>11.012204448</v>
      </c>
      <c r="I10096" s="22" t="n">
        <f aca="false">Sens!$H$10096*(1+sh_g)</f>
        <v>11.100302083584</v>
      </c>
      <c r="J10096" s="22" t="n">
        <f aca="false">Sens!$I$10096*(1+sh_g)</f>
        <v>11.1891045002527</v>
      </c>
      <c r="K10096" s="22" t="n">
        <f aca="false">Sens!$J$10096*(1+sh_g)</f>
        <v>11.2786173362547</v>
      </c>
      <c r="L10096" s="22" t="n">
        <f aca="false">Sens!$K$10096*(1+sh_g)</f>
        <v>11.3688462749447</v>
      </c>
      <c r="M10096" s="22" t="n">
        <f aca="false">Sens!$L$10096*(1+sh_g)</f>
        <v>11.4597970451443</v>
      </c>
      <c r="P10096" s="5" t="s">
        <v>749</v>
      </c>
    </row>
    <row r="10097" customFormat="false" ht="17.15" hidden="false" customHeight="false" outlineLevel="0" collapsed="false">
      <c r="A10097" s="5" t="s">
        <v>750</v>
      </c>
      <c r="B10097" s="0" t="s">
        <v>86</v>
      </c>
      <c r="C10097" s="38" t="n">
        <f aca="false">Sens!$C$10095+Sens!$C$10071*(1-tax)</f>
        <v>59.248</v>
      </c>
      <c r="D10097" s="38" t="n">
        <f aca="false">Sens!$D$10095+Sens!$D$10071*(1-tax)</f>
        <v>77.67</v>
      </c>
      <c r="E10097" s="38" t="n">
        <f aca="false">Sens!$E$10095+Sens!$E$10071*(1-tax)</f>
        <v>92.902</v>
      </c>
      <c r="F10097" s="38" t="n">
        <f aca="false">Sens!$F$10095+Sens!$F$10071*(1-tax)</f>
        <v>49.0900874210793</v>
      </c>
      <c r="G10097" s="38" t="n">
        <f aca="false">Sens!$G$10095+Sens!$G$10071*(1-tax)</f>
        <v>141.992087421079</v>
      </c>
      <c r="H10097" s="38" t="n">
        <f aca="false">Sens!$H$10095+Sens!$H$10071*(1-tax)</f>
        <v>114.439796858437</v>
      </c>
      <c r="I10097" s="38" t="n">
        <f aca="false">Sens!$I$10095+Sens!$I$10071*(1-tax)</f>
        <v>137.715847181774</v>
      </c>
      <c r="J10097" s="38" t="n">
        <f aca="false">Sens!$J$10095+Sens!$J$10071*(1-tax)</f>
        <v>161.072814065649</v>
      </c>
      <c r="K10097" s="38" t="n">
        <f aca="false">Sens!$K$10095+Sens!$K$10071*(1-tax)</f>
        <v>179.421490252235</v>
      </c>
      <c r="L10097" s="38" t="n">
        <f aca="false">Sens!$L$10095+Sens!$L$10071*(1-tax)</f>
        <v>199.44183450846</v>
      </c>
      <c r="M10097" s="38" t="n">
        <f aca="false">Sens!$M$10095+Sens!$M$10071*(1-tax)</f>
        <v>218.905960428178</v>
      </c>
      <c r="N10097" s="38" t="n">
        <f aca="false">Sens!$N$10095+Sens!$N$10071*(1-tax)</f>
        <v>35.291</v>
      </c>
      <c r="O10097" s="38" t="n">
        <f aca="false">Sens!$O$10095+Sens!$O$10071*(1-tax)</f>
        <v>42.379</v>
      </c>
    </row>
    <row r="10098" customFormat="false" ht="17.15" hidden="false" customHeight="false" outlineLevel="0" collapsed="false">
      <c r="A10098" s="43" t="s">
        <v>751</v>
      </c>
      <c r="B10098" s="14" t="s">
        <v>27</v>
      </c>
      <c r="C10098" s="44" t="n">
        <f aca="false">Sens!$C$10097/Sens!$C$10096</f>
        <v>5.52635015390355</v>
      </c>
      <c r="D10098" s="44" t="n">
        <f aca="false">Sens!$D$10097/Sens!$D$10096</f>
        <v>7.1737323358271</v>
      </c>
      <c r="E10098" s="44" t="n">
        <f aca="false">Sens!$E$10097/Sens!$E$10096</f>
        <v>8.53212104513937</v>
      </c>
      <c r="F10098" s="14"/>
      <c r="G10098" s="44" t="n">
        <f aca="false">Sens!$G$10097/Sens!$G$10096</f>
        <v>12.9972182042481</v>
      </c>
      <c r="H10098" s="44" t="n">
        <f aca="false">Sens!$H$10097/Sens!$H$10096</f>
        <v>10.3920879237963</v>
      </c>
      <c r="I10098" s="44" t="n">
        <f aca="false">Sens!$I$10097/Sens!$I$10096</f>
        <v>12.4064954399249</v>
      </c>
      <c r="J10098" s="44" t="n">
        <f aca="false">Sens!$J$10097/Sens!$J$10096</f>
        <v>14.3955053831172</v>
      </c>
      <c r="K10098" s="44" t="n">
        <f aca="false">Sens!$K$10097/Sens!$K$10096</f>
        <v>15.9081104450181</v>
      </c>
      <c r="L10098" s="44" t="n">
        <f aca="false">Sens!$L$10097/Sens!$L$10096</f>
        <v>17.5428385330533</v>
      </c>
      <c r="M10098" s="44" t="n">
        <f aca="false">Sens!$M$10097/Sens!$M$10096</f>
        <v>19.1020800425896</v>
      </c>
      <c r="N10098" s="14"/>
      <c r="O10098" s="14"/>
    </row>
    <row r="10099" customFormat="false" ht="17.15" hidden="false" customHeight="false" outlineLevel="0" collapsed="false">
      <c r="A10099" s="0" t="s">
        <v>752</v>
      </c>
      <c r="B10099" s="0" t="s">
        <v>27</v>
      </c>
      <c r="C10099" s="30" t="n">
        <f aca="false">Sens!$C$10095/Sens!$C$10096</f>
        <v>5.52635015390355</v>
      </c>
      <c r="D10099" s="30" t="n">
        <f aca="false">Sens!$D$10095/Sens!$D$10096</f>
        <v>7.1737323358271</v>
      </c>
      <c r="E10099" s="30" t="n">
        <f aca="false">Sens!$E$10095/Sens!$E$10096</f>
        <v>8.53212104513937</v>
      </c>
      <c r="G10099" s="30" t="n">
        <f aca="false">Sens!$G$10095/Sens!$G$10096</f>
        <v>12.7119412886078</v>
      </c>
      <c r="H10099" s="30" t="n">
        <f aca="false">Sens!$H$10095/Sens!$H$10096</f>
        <v>9.25413266565353</v>
      </c>
      <c r="I10099" s="30" t="n">
        <f aca="false">Sens!$I$10095/Sens!$I$10096</f>
        <v>10.501928796986</v>
      </c>
      <c r="J10099" s="30" t="n">
        <f aca="false">Sens!$J$10095/Sens!$J$10096</f>
        <v>11.7331442492472</v>
      </c>
      <c r="K10099" s="30" t="n">
        <f aca="false">Sens!$K$10095/Sens!$K$10096</f>
        <v>12.6074514226581</v>
      </c>
      <c r="L10099" s="30" t="n">
        <f aca="false">Sens!$L$10095/Sens!$L$10096</f>
        <v>13.8262862549187</v>
      </c>
      <c r="M10099" s="30" t="n">
        <f aca="false">Sens!$M$10095/Sens!$M$10096</f>
        <v>15.1873893030909</v>
      </c>
    </row>
    <row r="10100" customFormat="false" ht="17.15" hidden="false" customHeight="false" outlineLevel="0" collapsed="false">
      <c r="A10100" s="0" t="s">
        <v>753</v>
      </c>
      <c r="B10100" s="0" t="s">
        <v>27</v>
      </c>
      <c r="C10100" s="30" t="n">
        <f aca="false">(Sens!$C$10095-Sens!$C$10092*(1-tax))/Sens!$C$10096</f>
        <v>5.33926775917445</v>
      </c>
      <c r="D10100" s="30" t="n">
        <f aca="false">(Sens!$D$10095-Sens!$D$10092*(1-tax))/Sens!$D$10096</f>
        <v>5.67691812755503</v>
      </c>
      <c r="E10100" s="30" t="n">
        <f aca="false">(Sens!$E$10095-Sens!$E$10092*(1-tax))/Sens!$E$10096</f>
        <v>3.10602057006846</v>
      </c>
      <c r="G10100" s="30" t="n">
        <f aca="false">(Sens!$G$10095-Sens!$G$10092*(1-tax))/Sens!$G$10096</f>
        <v>7.30387317071086</v>
      </c>
      <c r="H10100" s="30" t="n">
        <f aca="false">(Sens!$H$10095-Sens!$H$10092*(1-tax))/Sens!$H$10096</f>
        <v>9.25413266565353</v>
      </c>
      <c r="I10100" s="30" t="n">
        <f aca="false">(Sens!$I$10095-Sens!$I$10092*(1-tax))/Sens!$I$10096</f>
        <v>10.501928796986</v>
      </c>
      <c r="J10100" s="30" t="n">
        <f aca="false">(Sens!$J$10095-Sens!$J$10092*(1-tax))/Sens!$J$10096</f>
        <v>11.7331442492472</v>
      </c>
      <c r="K10100" s="30" t="n">
        <f aca="false">(Sens!$K$10095-Sens!$K$10092*(1-tax))/Sens!$K$10096</f>
        <v>12.6074514226581</v>
      </c>
      <c r="L10100" s="30" t="n">
        <f aca="false">(Sens!$L$10095-Sens!$L$10092*(1-tax))/Sens!$L$10096</f>
        <v>13.8262862549187</v>
      </c>
      <c r="M10100" s="30" t="n">
        <f aca="false">(Sens!$M$10095-Sens!$M$10092*(1-tax))/Sens!$M$10096</f>
        <v>15.1873893030909</v>
      </c>
      <c r="P10100" s="5" t="s">
        <v>754</v>
      </c>
    </row>
    <row r="10101" customFormat="false" ht="17.15" hidden="false" customHeight="false" outlineLevel="0" collapsed="false">
      <c r="A10101" s="0" t="s">
        <v>755</v>
      </c>
      <c r="B10101" s="0" t="s">
        <v>52</v>
      </c>
      <c r="H10101" s="13" t="n">
        <f aca="false">Sens!$H$10098/Sens!$G$10098-1</f>
        <v>-0.200437527439553</v>
      </c>
      <c r="I10101" s="13" t="n">
        <f aca="false">Sens!$I$10098/Sens!$H$10098-1</f>
        <v>0.193840499705158</v>
      </c>
      <c r="J10101" s="13" t="n">
        <f aca="false">Sens!$J$10098/Sens!$I$10098-1</f>
        <v>0.160320047899391</v>
      </c>
      <c r="K10101" s="13" t="n">
        <f aca="false">Sens!$K$10098/Sens!$J$10098-1</f>
        <v>0.105074814787315</v>
      </c>
      <c r="L10101" s="13" t="n">
        <f aca="false">Sens!$L$10098/Sens!$K$10098-1</f>
        <v>0.102760670017048</v>
      </c>
      <c r="M10101" s="13" t="n">
        <f aca="false">Sens!$M$10098/Sens!$L$10098-1</f>
        <v>0.0888819392938289</v>
      </c>
    </row>
    <row r="10104" customFormat="false" ht="19.4" hidden="false" customHeight="false" outlineLevel="0" collapsed="false">
      <c r="A10104" s="31" t="s">
        <v>1335</v>
      </c>
    </row>
    <row r="10105" customFormat="false" ht="17.15" hidden="false" customHeight="false" outlineLevel="0" collapsed="false">
      <c r="A10105" s="6" t="s">
        <v>16</v>
      </c>
      <c r="B10105" s="6" t="s">
        <v>17</v>
      </c>
      <c r="C10105" s="20" t="s">
        <v>494</v>
      </c>
      <c r="D10105" s="20" t="s">
        <v>495</v>
      </c>
      <c r="E10105" s="20" t="s">
        <v>577</v>
      </c>
      <c r="F10105" s="20" t="s">
        <v>578</v>
      </c>
      <c r="G10105" s="20" t="s">
        <v>579</v>
      </c>
      <c r="H10105" s="20" t="s">
        <v>580</v>
      </c>
      <c r="I10105" s="20" t="s">
        <v>581</v>
      </c>
      <c r="J10105" s="20" t="s">
        <v>582</v>
      </c>
      <c r="K10105" s="20" t="s">
        <v>583</v>
      </c>
      <c r="L10105" s="20" t="s">
        <v>584</v>
      </c>
      <c r="M10105" s="20" t="s">
        <v>585</v>
      </c>
      <c r="N10105" s="20" t="s">
        <v>586</v>
      </c>
      <c r="O10105" s="20" t="s">
        <v>587</v>
      </c>
      <c r="P10105" s="6" t="s">
        <v>23</v>
      </c>
      <c r="R10105" s="20" t="n">
        <v>2023</v>
      </c>
      <c r="S10105" s="20" t="n">
        <v>2024</v>
      </c>
      <c r="T10105" s="20" t="n">
        <v>2025</v>
      </c>
      <c r="U10105" s="20" t="n">
        <v>2026</v>
      </c>
      <c r="V10105" s="20" t="n">
        <v>2027</v>
      </c>
      <c r="W10105" s="20" t="n">
        <v>2028</v>
      </c>
      <c r="X10105" s="20" t="n">
        <v>2029</v>
      </c>
      <c r="Y10105" s="20" t="n">
        <v>2030</v>
      </c>
      <c r="Z10105" s="20" t="n">
        <v>2031</v>
      </c>
      <c r="AA10105" s="20" t="n">
        <v>2032</v>
      </c>
    </row>
    <row r="10106" customFormat="false" ht="15" hidden="false" customHeight="false" outlineLevel="0" collapsed="false">
      <c r="A10106" s="5" t="s">
        <v>546</v>
      </c>
      <c r="B10106" s="0" t="s">
        <v>86</v>
      </c>
      <c r="C10106" s="38" t="n">
        <f aca="false">Sens!$C$10095</f>
        <v>59.248</v>
      </c>
      <c r="D10106" s="38" t="n">
        <f aca="false">Sens!$D$10095</f>
        <v>77.67</v>
      </c>
      <c r="E10106" s="38" t="n">
        <f aca="false">Sens!$E$10095</f>
        <v>92.902</v>
      </c>
      <c r="F10106" s="38" t="n">
        <f aca="false">Sens!$F$10095</f>
        <v>45.9734924614306</v>
      </c>
      <c r="G10106" s="38" t="n">
        <f aca="false">Sens!$G$10095</f>
        <v>138.875492461431</v>
      </c>
      <c r="H10106" s="38" t="n">
        <f aca="false">Sens!$H$10095</f>
        <v>101.908400903092</v>
      </c>
      <c r="I10106" s="38" t="n">
        <f aca="false">Sens!$I$10095</f>
        <v>116.574582106835</v>
      </c>
      <c r="J10106" s="38" t="n">
        <f aca="false">Sens!$J$10095</f>
        <v>131.283377121365</v>
      </c>
      <c r="K10106" s="38" t="n">
        <f aca="false">Sens!$K$10095</f>
        <v>142.194620181581</v>
      </c>
      <c r="L10106" s="38" t="n">
        <f aca="false">Sens!$L$10095</f>
        <v>157.188922985552</v>
      </c>
      <c r="M10106" s="38" t="n">
        <f aca="false">Sens!$M$10095</f>
        <v>174.044399059017</v>
      </c>
    </row>
    <row r="10107" customFormat="false" ht="17.15" hidden="false" customHeight="false" outlineLevel="0" collapsed="false">
      <c r="A10107" s="5" t="s">
        <v>778</v>
      </c>
      <c r="B10107" s="0" t="s">
        <v>86</v>
      </c>
      <c r="C10107" s="38" t="n">
        <f aca="false">Sens!$C$10083</f>
        <v>32.067</v>
      </c>
      <c r="D10107" s="38" t="n">
        <f aca="false">Sens!$D$10083</f>
        <v>41.86</v>
      </c>
      <c r="E10107" s="38" t="n">
        <f aca="false">Sens!$E$10083</f>
        <v>26.703</v>
      </c>
      <c r="F10107" s="38" t="n">
        <f aca="false">Sens!$F$10083</f>
        <v>29.2913179650864</v>
      </c>
      <c r="G10107" s="38" t="n">
        <f aca="false">Sens!$G$10083</f>
        <v>55.9943179650864</v>
      </c>
      <c r="H10107" s="38" t="n">
        <f aca="false">Sens!$H$10083</f>
        <v>84.3163410985152</v>
      </c>
      <c r="I10107" s="38" t="n">
        <f aca="false">Sens!$I$10083</f>
        <v>117.040344991004</v>
      </c>
      <c r="J10107" s="38" t="n">
        <f aca="false">Sens!$J$10083</f>
        <v>150.498981474685</v>
      </c>
      <c r="K10107" s="38" t="n">
        <f aca="false">Sens!$K$10083</f>
        <v>184.188121970284</v>
      </c>
      <c r="L10107" s="38" t="n">
        <f aca="false">Sens!$L$10083</f>
        <v>208.158787644162</v>
      </c>
      <c r="M10107" s="38" t="n">
        <f aca="false">Sens!$M$10083</f>
        <v>225.174143397813</v>
      </c>
    </row>
    <row r="10108" customFormat="false" ht="15" hidden="false" customHeight="false" outlineLevel="0" collapsed="false">
      <c r="A10108" s="5" t="s">
        <v>779</v>
      </c>
      <c r="B10108" s="0" t="s">
        <v>86</v>
      </c>
      <c r="C10108" s="38" t="n">
        <f aca="false">Q!$D$48</f>
        <v>22.011</v>
      </c>
      <c r="D10108" s="38" t="n">
        <f aca="false">Q!$E$48</f>
        <v>19.467</v>
      </c>
      <c r="E10108" s="38" t="n">
        <f aca="false">Q!$P$48</f>
        <v>10.07</v>
      </c>
      <c r="F10108" s="38" t="n">
        <f aca="false">sbc_r*Sens!$F$10025</f>
        <v>10.8507035798037</v>
      </c>
      <c r="G10108" s="38" t="n">
        <f aca="false">Sens!$E$10108+Sens!$F$10108</f>
        <v>20.9207035798037</v>
      </c>
      <c r="H10108" s="38" t="n">
        <f aca="false">sbc_r*Sens!$H$10025</f>
        <v>23.46224366345</v>
      </c>
      <c r="I10108" s="38" t="n">
        <f aca="false">sbc_r*Sens!$I$10025</f>
        <v>26.6125957111676</v>
      </c>
      <c r="J10108" s="38" t="n">
        <f aca="false">sbc_r*Sens!$J$10025</f>
        <v>29.6280801413323</v>
      </c>
      <c r="K10108" s="38" t="n">
        <f aca="false">sbc_r*Sens!$K$10025</f>
        <v>32.2783466626501</v>
      </c>
      <c r="L10108" s="38" t="n">
        <f aca="false">sbc_r*Sens!$L$10025</f>
        <v>34.7673634382331</v>
      </c>
      <c r="M10108" s="38" t="n">
        <f aca="false">sbc_r*Sens!$M$10025</f>
        <v>37.1041186491569</v>
      </c>
    </row>
    <row r="10109" customFormat="false" ht="17.15" hidden="false" customHeight="false" outlineLevel="0" collapsed="false">
      <c r="A10109" s="5" t="s">
        <v>780</v>
      </c>
      <c r="B10109" s="0" t="s">
        <v>86</v>
      </c>
      <c r="C10109" s="38" t="n">
        <f aca="false">Q!$D$44-Sens!$C$10106-Sens!$C$10107-Sens!$C$10108</f>
        <v>2.551</v>
      </c>
      <c r="D10109" s="38" t="n">
        <f aca="false">Q!$E$44-Sens!$D$10106-Sens!$D$10107-Sens!$D$10108</f>
        <v>0.51700000000001</v>
      </c>
      <c r="E10109" s="38" t="n">
        <f aca="false">Q!$P$44-Sens!$E$10106-Sens!$E$10107-Sens!$E$10108</f>
        <v>-58.256</v>
      </c>
      <c r="F10109" s="38" t="n">
        <f aca="false">oth_r*Sens!$F$10025</f>
        <v>5.22265251035878</v>
      </c>
      <c r="G10109" s="38" t="n">
        <f aca="false">Sens!$E$10109+Sens!$F$10109</f>
        <v>-53.0333474896412</v>
      </c>
      <c r="H10109" s="38" t="n">
        <f aca="false">oth_r*Sens!$H$10025</f>
        <v>11.2928295263397</v>
      </c>
      <c r="I10109" s="38" t="n">
        <f aca="false">oth_r*Sens!$I$10025</f>
        <v>12.8091546115766</v>
      </c>
      <c r="J10109" s="38" t="n">
        <f aca="false">oth_r*Sens!$J$10025</f>
        <v>14.2605653162668</v>
      </c>
      <c r="K10109" s="38" t="n">
        <f aca="false">oth_r*Sens!$K$10025</f>
        <v>15.5361896109386</v>
      </c>
      <c r="L10109" s="38" t="n">
        <f aca="false">oth_r*Sens!$L$10025</f>
        <v>16.7342012989106</v>
      </c>
      <c r="M10109" s="38" t="n">
        <f aca="false">oth_r*Sens!$M$10025</f>
        <v>17.8589265647579</v>
      </c>
      <c r="P10109" s="8" t="s">
        <v>781</v>
      </c>
    </row>
    <row r="10110" customFormat="false" ht="15" hidden="false" customHeight="false" outlineLevel="0" collapsed="false">
      <c r="A10110" s="3" t="s">
        <v>552</v>
      </c>
      <c r="B10110" s="8" t="s">
        <v>86</v>
      </c>
      <c r="C10110" s="38" t="n">
        <f aca="false">Q!$D$44</f>
        <v>115.877</v>
      </c>
      <c r="D10110" s="38" t="n">
        <f aca="false">Q!$E$44</f>
        <v>139.514</v>
      </c>
      <c r="E10110" s="38" t="n">
        <f aca="false">Q!$P$44</f>
        <v>71.419</v>
      </c>
      <c r="F10110" s="38" t="n">
        <f aca="false">Sens!$F$10106+Sens!$F$10107+Sens!$F$10108+Sens!$F$10109</f>
        <v>91.3381665166794</v>
      </c>
      <c r="G10110" s="38" t="n">
        <f aca="false">Sens!$E$10110+Sens!$F$10110</f>
        <v>162.757166516679</v>
      </c>
      <c r="H10110" s="38" t="n">
        <f aca="false">Sens!$H$10106+Sens!$H$10107+Sens!$H$10108+Sens!$H$10109</f>
        <v>220.979815191397</v>
      </c>
      <c r="I10110" s="38" t="n">
        <f aca="false">Sens!$I$10106+Sens!$I$10107+Sens!$I$10108+Sens!$I$10109</f>
        <v>273.036677420583</v>
      </c>
      <c r="J10110" s="38" t="n">
        <f aca="false">Sens!$J$10106+Sens!$J$10107+Sens!$J$10108+Sens!$J$10109</f>
        <v>325.671004053649</v>
      </c>
      <c r="K10110" s="38" t="n">
        <f aca="false">Sens!$K$10106+Sens!$K$10107+Sens!$K$10108+Sens!$K$10109</f>
        <v>374.197278425453</v>
      </c>
      <c r="L10110" s="38" t="n">
        <f aca="false">Sens!$L$10106+Sens!$L$10107+Sens!$L$10108+Sens!$L$10109</f>
        <v>416.849275366857</v>
      </c>
      <c r="M10110" s="38" t="n">
        <f aca="false">Sens!$M$10106+Sens!$M$10107+Sens!$M$10108+Sens!$M$10109</f>
        <v>454.181587670745</v>
      </c>
    </row>
    <row r="10111" customFormat="false" ht="17.15" hidden="false" customHeight="false" outlineLevel="0" collapsed="false">
      <c r="A10111" s="5" t="s">
        <v>782</v>
      </c>
      <c r="B10111" s="0" t="s">
        <v>86</v>
      </c>
      <c r="C10111" s="38" t="n">
        <f aca="false">Sens!$C$9994</f>
        <v>25.2781053077374</v>
      </c>
      <c r="D10111" s="38" t="n">
        <f aca="false">Sens!$D$9994</f>
        <v>69.5686316310026</v>
      </c>
      <c r="E10111" s="38" t="n">
        <f aca="false">Sens!$E$9994</f>
        <v>64.1899206485108</v>
      </c>
      <c r="F10111" s="38" t="n">
        <f aca="false">Sens!$F$9994</f>
        <v>96.2481299895</v>
      </c>
      <c r="G10111" s="38" t="n">
        <f aca="false">Sens!$G$9994</f>
        <v>160.438050638011</v>
      </c>
      <c r="H10111" s="38" t="n">
        <f aca="false">Sens!$H$9994</f>
        <v>198.57136494475</v>
      </c>
      <c r="I10111" s="38" t="n">
        <f aca="false">Sens!$I$9994</f>
        <v>204.6464699105</v>
      </c>
      <c r="J10111" s="38" t="n">
        <f aca="false">Sens!$J$9994</f>
        <v>209.8832381105</v>
      </c>
      <c r="K10111" s="38" t="n">
        <f aca="false">Sens!$K$9994</f>
        <v>158.016341586823</v>
      </c>
      <c r="L10111" s="38" t="n">
        <f aca="false">Sens!$L$9994</f>
        <v>137.570054263147</v>
      </c>
      <c r="M10111" s="38" t="n">
        <f aca="false">Sens!$M$9994</f>
        <v>140.56485059472</v>
      </c>
    </row>
    <row r="10112" customFormat="false" ht="17.15" hidden="false" customHeight="false" outlineLevel="0" collapsed="false">
      <c r="A10112" s="5" t="s">
        <v>783</v>
      </c>
      <c r="B10112" s="0" t="s">
        <v>86</v>
      </c>
      <c r="C10112" s="38" t="n">
        <f aca="false">cx_awso*Sens!$C$10023</f>
        <v>21.0469989286053</v>
      </c>
      <c r="D10112" s="38" t="n">
        <f aca="false">cx_awso*Sens!$D$10023</f>
        <v>24.0042459822698</v>
      </c>
      <c r="E10112" s="38" t="n">
        <f aca="false">cx_awso*Sens!$E$10023</f>
        <v>14.261729404886</v>
      </c>
      <c r="F10112" s="38" t="n">
        <f aca="false">cx_awso*Sens!$F$10023</f>
        <v>14.3538599588493</v>
      </c>
      <c r="G10112" s="38" t="n">
        <f aca="false">Sens!$E$10112+Sens!$F$10112</f>
        <v>28.6155893637353</v>
      </c>
      <c r="H10112" s="38" t="n">
        <f aca="false">cx_awso*Sens!$H$10023</f>
        <v>32.2034154158406</v>
      </c>
      <c r="I10112" s="38" t="n">
        <f aca="false">cx_awso*Sens!$I$10023</f>
        <v>35.7539519042915</v>
      </c>
      <c r="J10112" s="38" t="n">
        <f aca="false">cx_awso*Sens!$J$10023</f>
        <v>39.1551076091815</v>
      </c>
      <c r="K10112" s="38" t="n">
        <f aca="false">cx_awso*Sens!$K$10023</f>
        <v>42.287516217916</v>
      </c>
      <c r="L10112" s="38" t="n">
        <f aca="false">cx_awso*Sens!$L$10023</f>
        <v>45.6705175153492</v>
      </c>
      <c r="M10112" s="38" t="n">
        <f aca="false">cx_awso*Sens!$M$10023</f>
        <v>49.3241589165772</v>
      </c>
    </row>
    <row r="10113" customFormat="false" ht="17.15" hidden="false" customHeight="false" outlineLevel="0" collapsed="false">
      <c r="A10113" s="5" t="s">
        <v>784</v>
      </c>
      <c r="B10113" s="0" t="s">
        <v>86</v>
      </c>
      <c r="C10113" s="38" t="n">
        <f aca="false">Q!$D$46-Sens!$C$10111-Sens!$C$10112</f>
        <v>31.3328957636573</v>
      </c>
      <c r="D10113" s="38" t="n">
        <f aca="false">Q!$E$46-Sens!$D$10111-Sens!$D$10112</f>
        <v>34.7471223867276</v>
      </c>
      <c r="E10113" s="38" t="n">
        <f aca="false">Q!$P$46-Sens!$E$10111-Sens!$E$10112</f>
        <v>17.8583499466032</v>
      </c>
      <c r="F10113" s="38" t="n">
        <f aca="false">cx_rt*Sens!$F$9957</f>
        <v>20.6195895799373</v>
      </c>
      <c r="G10113" s="38" t="n">
        <f aca="false">Sens!$E$10113+Sens!$F$10113</f>
        <v>38.4779395265405</v>
      </c>
      <c r="H10113" s="38" t="n">
        <f aca="false">cx_rt*Sens!$H$9957</f>
        <v>42.5978994743075</v>
      </c>
      <c r="I10113" s="38" t="n">
        <f aca="false">cx_rt*Sens!$I$9957</f>
        <v>46.5813904136335</v>
      </c>
      <c r="J10113" s="38" t="n">
        <f aca="false">cx_rt*Sens!$J$9957</f>
        <v>50.2781676586844</v>
      </c>
      <c r="K10113" s="38" t="n">
        <f aca="false">cx_rt*Sens!$K$9957</f>
        <v>53.5312440191755</v>
      </c>
      <c r="L10113" s="38" t="n">
        <f aca="false">cx_rt*Sens!$L$9957</f>
        <v>57.0116717051447</v>
      </c>
      <c r="M10113" s="38" t="n">
        <f aca="false">cx_rt*Sens!$M$9957</f>
        <v>60.7365554669226</v>
      </c>
    </row>
    <row r="10114" customFormat="false" ht="15" hidden="false" customHeight="false" outlineLevel="0" collapsed="false">
      <c r="A10114" s="3" t="s">
        <v>785</v>
      </c>
      <c r="B10114" s="8" t="s">
        <v>86</v>
      </c>
      <c r="C10114" s="38" t="n">
        <f aca="false">Q!$D$46</f>
        <v>77.658</v>
      </c>
      <c r="D10114" s="38" t="n">
        <f aca="false">Q!$E$46</f>
        <v>128.32</v>
      </c>
      <c r="E10114" s="38" t="n">
        <f aca="false">Q!$P$46</f>
        <v>96.31</v>
      </c>
      <c r="F10114" s="38" t="n">
        <f aca="false">Sens!$F$10111+Sens!$F$10112+Sens!$F$10113</f>
        <v>131.221579528287</v>
      </c>
      <c r="G10114" s="38" t="n">
        <f aca="false">Sens!$E$10114+Sens!$F$10114</f>
        <v>227.531579528287</v>
      </c>
      <c r="H10114" s="38" t="n">
        <f aca="false">Sens!$H$10111+Sens!$H$10112+Sens!$H$10113</f>
        <v>273.372679834898</v>
      </c>
      <c r="I10114" s="38" t="n">
        <f aca="false">Sens!$I$10111+Sens!$I$10112+Sens!$I$10113</f>
        <v>286.981812228425</v>
      </c>
      <c r="J10114" s="38" t="n">
        <f aca="false">Sens!$J$10111+Sens!$J$10112+Sens!$J$10113</f>
        <v>299.316513378366</v>
      </c>
      <c r="K10114" s="38" t="n">
        <f aca="false">Sens!$K$10111+Sens!$K$10112+Sens!$K$10113</f>
        <v>253.835101823915</v>
      </c>
      <c r="L10114" s="38" t="n">
        <f aca="false">Sens!$L$10111+Sens!$L$10112+Sens!$L$10113</f>
        <v>240.252243483641</v>
      </c>
      <c r="M10114" s="38" t="n">
        <f aca="false">Sens!$M$10111+Sens!$M$10112+Sens!$M$10113</f>
        <v>250.62556497822</v>
      </c>
    </row>
    <row r="10115" customFormat="false" ht="17.15" hidden="false" customHeight="false" outlineLevel="0" collapsed="false">
      <c r="A10115" s="5" t="s">
        <v>560</v>
      </c>
      <c r="B10115" s="0" t="s">
        <v>86</v>
      </c>
      <c r="C10115" s="38" t="n">
        <f aca="false">Q!$D$50</f>
        <v>2.043</v>
      </c>
      <c r="D10115" s="38" t="n">
        <f aca="false">Q!$E$50</f>
        <v>1.557</v>
      </c>
      <c r="E10115" s="38" t="n">
        <f aca="false">lease_pr/2</f>
        <v>0.8</v>
      </c>
      <c r="F10115" s="38" t="n">
        <f aca="false">lease_pr/2</f>
        <v>0.8</v>
      </c>
      <c r="G10115" s="38" t="n">
        <f aca="false">Sens!$E$10115+Sens!$F$10115</f>
        <v>1.6</v>
      </c>
      <c r="H10115" s="38" t="n">
        <f aca="false">lease_pr</f>
        <v>1.6</v>
      </c>
      <c r="I10115" s="38" t="n">
        <f aca="false">lease_pr</f>
        <v>1.6</v>
      </c>
      <c r="J10115" s="38" t="n">
        <f aca="false">lease_pr</f>
        <v>1.6</v>
      </c>
      <c r="K10115" s="38" t="n">
        <f aca="false">lease_pr</f>
        <v>1.6</v>
      </c>
      <c r="L10115" s="38" t="n">
        <f aca="false">lease_pr</f>
        <v>1.6</v>
      </c>
      <c r="M10115" s="38" t="n">
        <f aca="false">lease_pr</f>
        <v>1.6</v>
      </c>
      <c r="P10115" s="8" t="s">
        <v>786</v>
      </c>
    </row>
    <row r="10116" customFormat="false" ht="15" hidden="false" customHeight="false" outlineLevel="0" collapsed="false">
      <c r="A10116" s="47" t="s">
        <v>787</v>
      </c>
      <c r="B10116" s="14" t="s">
        <v>86</v>
      </c>
      <c r="C10116" s="48" t="n">
        <f aca="false">Sens!$C$10110-Sens!$C$10114-Sens!$C$10115</f>
        <v>36.176</v>
      </c>
      <c r="D10116" s="48" t="n">
        <f aca="false">Sens!$D$10110-Sens!$D$10114-Sens!$D$10115</f>
        <v>9.63700000000002</v>
      </c>
      <c r="E10116" s="48" t="n">
        <f aca="false">Sens!$E$10110-Sens!$E$10114-Sens!$E$10115</f>
        <v>-25.691</v>
      </c>
      <c r="F10116" s="48" t="n">
        <f aca="false">Sens!$F$10110-Sens!$F$10114-Sens!$F$10115</f>
        <v>-40.6834130116072</v>
      </c>
      <c r="G10116" s="48" t="n">
        <f aca="false">Sens!$G$10110-Sens!$G$10114-Sens!$G$10115</f>
        <v>-66.3744130116072</v>
      </c>
      <c r="H10116" s="48" t="n">
        <f aca="false">Sens!$H$10110-Sens!$H$10114-Sens!$H$10115</f>
        <v>-53.9928646435014</v>
      </c>
      <c r="I10116" s="48" t="n">
        <f aca="false">Sens!$I$10110-Sens!$I$10114-Sens!$I$10115</f>
        <v>-15.5451348078424</v>
      </c>
      <c r="J10116" s="48" t="n">
        <f aca="false">Sens!$J$10110-Sens!$J$10114-Sens!$J$10115</f>
        <v>24.754490675283</v>
      </c>
      <c r="K10116" s="48" t="n">
        <f aca="false">Sens!$K$10110-Sens!$K$10114-Sens!$K$10115</f>
        <v>118.762176601538</v>
      </c>
      <c r="L10116" s="48" t="n">
        <f aca="false">Sens!$L$10110-Sens!$L$10114-Sens!$L$10115</f>
        <v>174.997031883216</v>
      </c>
      <c r="M10116" s="48" t="n">
        <f aca="false">Sens!$M$10110-Sens!$M$10114-Sens!$M$10115</f>
        <v>201.956022692525</v>
      </c>
      <c r="N10116" s="14"/>
      <c r="O10116" s="14"/>
    </row>
    <row r="10117" customFormat="false" ht="17.15" hidden="false" customHeight="false" outlineLevel="0" collapsed="false">
      <c r="A10117" s="5" t="s">
        <v>788</v>
      </c>
      <c r="B10117" s="0" t="s">
        <v>86</v>
      </c>
      <c r="C10117" s="38" t="n">
        <f aca="false">dps*Sens!$C$10096</f>
        <v>0</v>
      </c>
      <c r="D10117" s="38" t="n">
        <f aca="false">dps*Sens!$D$10096</f>
        <v>0</v>
      </c>
      <c r="E10117" s="38" t="n">
        <f aca="false">dps*Sens!$E$10096</f>
        <v>0</v>
      </c>
      <c r="F10117" s="38" t="n">
        <f aca="false">0</f>
        <v>0</v>
      </c>
      <c r="G10117" s="38" t="n">
        <f aca="false">dps*Sens!$G$10096</f>
        <v>0</v>
      </c>
      <c r="H10117" s="38" t="n">
        <f aca="false">dps*Sens!$H$10096</f>
        <v>0</v>
      </c>
      <c r="I10117" s="38" t="n">
        <f aca="false">dps*Sens!$I$10096</f>
        <v>0</v>
      </c>
      <c r="J10117" s="38" t="n">
        <f aca="false">dps*Sens!$J$10096</f>
        <v>0</v>
      </c>
      <c r="K10117" s="38" t="n">
        <f aca="false">dps*Sens!$K$10096</f>
        <v>0</v>
      </c>
      <c r="L10117" s="38" t="n">
        <f aca="false">dps*Sens!$L$10096</f>
        <v>0</v>
      </c>
      <c r="M10117" s="38" t="n">
        <f aca="false">dps*Sens!$M$10096</f>
        <v>0</v>
      </c>
      <c r="P10117" s="8" t="s">
        <v>789</v>
      </c>
    </row>
    <row r="10118" customFormat="false" ht="17.15" hidden="false" customHeight="false" outlineLevel="0" collapsed="false">
      <c r="A10118" s="5" t="s">
        <v>790</v>
      </c>
      <c r="B10118" s="0" t="s">
        <v>86</v>
      </c>
      <c r="C10118" s="38" t="n">
        <f aca="false">0</f>
        <v>0</v>
      </c>
      <c r="D10118" s="38" t="n">
        <f aca="false">0</f>
        <v>0</v>
      </c>
      <c r="E10118" s="38" t="n">
        <f aca="false">0</f>
        <v>0</v>
      </c>
      <c r="F10118" s="38" t="n">
        <f aca="false">0</f>
        <v>0</v>
      </c>
      <c r="G10118" s="38" t="n">
        <f aca="false">0</f>
        <v>0</v>
      </c>
      <c r="H10118" s="38" t="n">
        <f aca="false">0</f>
        <v>0</v>
      </c>
      <c r="I10118" s="38" t="n">
        <f aca="false">0</f>
        <v>0</v>
      </c>
      <c r="J10118" s="38" t="n">
        <f aca="false">0</f>
        <v>0</v>
      </c>
      <c r="K10118" s="38" t="n">
        <f aca="false">0</f>
        <v>0</v>
      </c>
      <c r="L10118" s="38" t="n">
        <f aca="false">0</f>
        <v>0</v>
      </c>
      <c r="M10118" s="38" t="n">
        <f aca="false">0</f>
        <v>0</v>
      </c>
      <c r="P10118" s="8" t="s">
        <v>791</v>
      </c>
    </row>
    <row r="10119" customFormat="false" ht="15" hidden="false" customHeight="false" outlineLevel="0" collapsed="false">
      <c r="A10119" s="3" t="s">
        <v>792</v>
      </c>
      <c r="B10119" s="8" t="s">
        <v>86</v>
      </c>
      <c r="C10119" s="38" t="n">
        <f aca="false">Sens!$C$10116-Sens!$C$10117</f>
        <v>36.176</v>
      </c>
      <c r="D10119" s="38" t="n">
        <f aca="false">Sens!$D$10116-Sens!$D$10117</f>
        <v>9.63700000000002</v>
      </c>
      <c r="E10119" s="38" t="n">
        <f aca="false">Sens!$E$10116-Sens!$E$10117</f>
        <v>-25.691</v>
      </c>
      <c r="F10119" s="38" t="n">
        <f aca="false">Sens!$F$10116-Sens!$F$10117</f>
        <v>-40.6834130116072</v>
      </c>
      <c r="G10119" s="38" t="n">
        <f aca="false">Sens!$G$10116-Sens!$G$10117</f>
        <v>-66.3744130116072</v>
      </c>
      <c r="H10119" s="38" t="n">
        <f aca="false">Sens!$H$10116-Sens!$H$10117</f>
        <v>-53.9928646435014</v>
      </c>
      <c r="I10119" s="38" t="n">
        <f aca="false">Sens!$I$10116-Sens!$I$10117</f>
        <v>-15.5451348078424</v>
      </c>
      <c r="J10119" s="38" t="n">
        <f aca="false">Sens!$J$10116-Sens!$J$10117</f>
        <v>24.754490675283</v>
      </c>
      <c r="K10119" s="38" t="n">
        <f aca="false">Sens!$K$10116-Sens!$K$10117</f>
        <v>118.762176601538</v>
      </c>
      <c r="L10119" s="38" t="n">
        <f aca="false">Sens!$L$10116-Sens!$L$10117</f>
        <v>174.997031883216</v>
      </c>
      <c r="M10119" s="38" t="n">
        <f aca="false">Sens!$M$10116-Sens!$M$10117</f>
        <v>201.956022692525</v>
      </c>
    </row>
    <row r="10120" customFormat="false" ht="17.15" hidden="false" customHeight="false" outlineLevel="0" collapsed="false">
      <c r="A10120" s="5" t="s">
        <v>793</v>
      </c>
      <c r="B10120" s="0" t="s">
        <v>86</v>
      </c>
      <c r="E10120" s="38" t="n">
        <f aca="false">Q!$P$53</f>
        <v>39.767</v>
      </c>
      <c r="F10120" s="38" t="n">
        <f aca="false">inv_2h26</f>
        <v>21.3</v>
      </c>
      <c r="G10120" s="38" t="n">
        <f aca="false">Sens!$E$10120+Sens!$F$10120</f>
        <v>61.067</v>
      </c>
      <c r="H10120" s="39" t="n">
        <v>0</v>
      </c>
      <c r="I10120" s="39" t="n">
        <v>0</v>
      </c>
      <c r="J10120" s="39" t="n">
        <v>0</v>
      </c>
      <c r="K10120" s="39" t="n">
        <v>0</v>
      </c>
      <c r="L10120" s="39" t="n">
        <v>0</v>
      </c>
      <c r="M10120" s="39" t="n">
        <v>0</v>
      </c>
    </row>
    <row r="10121" customFormat="false" ht="17.15" hidden="false" customHeight="false" outlineLevel="0" collapsed="false">
      <c r="A10121" s="5" t="s">
        <v>794</v>
      </c>
      <c r="B10121" s="0" t="s">
        <v>86</v>
      </c>
      <c r="F10121" s="38" t="n">
        <f aca="false">iss_2h26</f>
        <v>29.249999</v>
      </c>
      <c r="G10121" s="38" t="n">
        <f aca="false">Sens!$F$10121</f>
        <v>29.249999</v>
      </c>
      <c r="H10121" s="39" t="n">
        <v>0</v>
      </c>
      <c r="I10121" s="39" t="n">
        <v>0</v>
      </c>
      <c r="J10121" s="39" t="n">
        <v>0</v>
      </c>
      <c r="K10121" s="39" t="n">
        <v>0</v>
      </c>
      <c r="L10121" s="39" t="n">
        <v>0</v>
      </c>
      <c r="M10121" s="39" t="n">
        <v>0</v>
      </c>
    </row>
    <row r="10122" customFormat="false" ht="17.15" hidden="false" customHeight="false" outlineLevel="0" collapsed="false">
      <c r="A10122" s="5" t="s">
        <v>795</v>
      </c>
      <c r="B10122" s="0" t="s">
        <v>86</v>
      </c>
      <c r="F10122" s="38" t="n">
        <f aca="false">cash_q2</f>
        <v>122.988</v>
      </c>
      <c r="G10122" s="38" t="n">
        <f aca="false">cash_q2</f>
        <v>122.988</v>
      </c>
      <c r="H10122" s="38" t="n">
        <f aca="false">Sens!$G$10125</f>
        <v>90.2545859883928</v>
      </c>
      <c r="I10122" s="38" t="n">
        <f aca="false">Sens!$H$10125</f>
        <v>50</v>
      </c>
      <c r="J10122" s="38" t="n">
        <f aca="false">Sens!$I$10125</f>
        <v>50</v>
      </c>
      <c r="K10122" s="38" t="n">
        <f aca="false">Sens!$J$10125</f>
        <v>74.7544906752831</v>
      </c>
      <c r="L10122" s="38" t="n">
        <f aca="false">Sens!$K$10125</f>
        <v>193.516667276821</v>
      </c>
      <c r="M10122" s="38" t="n">
        <f aca="false">Sens!$L$10125</f>
        <v>368.513699160038</v>
      </c>
    </row>
    <row r="10123" customFormat="false" ht="15" hidden="false" customHeight="false" outlineLevel="0" collapsed="false">
      <c r="A10123" s="5" t="s">
        <v>796</v>
      </c>
      <c r="B10123" s="0" t="s">
        <v>86</v>
      </c>
      <c r="F10123" s="38" t="n">
        <f aca="false">Sens!$F$10122+Sens!$F$10119-Sens!$F$10118-Sens!$F$10120+Sens!$F$10121</f>
        <v>90.2545859883928</v>
      </c>
      <c r="H10123" s="38" t="n">
        <f aca="false">Sens!$H$10122+Sens!$H$10119-Sens!$H$10118-Sens!$H$10120+Sens!$H$10121</f>
        <v>36.2617213448915</v>
      </c>
      <c r="I10123" s="38" t="n">
        <f aca="false">Sens!$I$10122+Sens!$I$10119-Sens!$I$10118-Sens!$I$10120+Sens!$I$10121</f>
        <v>34.4548651921577</v>
      </c>
      <c r="J10123" s="38" t="n">
        <f aca="false">Sens!$J$10122+Sens!$J$10119-Sens!$J$10118-Sens!$J$10120+Sens!$J$10121</f>
        <v>74.7544906752831</v>
      </c>
      <c r="K10123" s="38" t="n">
        <f aca="false">Sens!$K$10122+Sens!$K$10119-Sens!$K$10118-Sens!$K$10120+Sens!$K$10121</f>
        <v>193.516667276821</v>
      </c>
      <c r="L10123" s="38" t="n">
        <f aca="false">Sens!$L$10122+Sens!$L$10119-Sens!$L$10118-Sens!$L$10120+Sens!$L$10121</f>
        <v>368.513699160038</v>
      </c>
      <c r="M10123" s="38" t="n">
        <f aca="false">Sens!$M$10122+Sens!$M$10119-Sens!$M$10118-Sens!$M$10120+Sens!$M$10121</f>
        <v>570.469721852563</v>
      </c>
    </row>
    <row r="10124" customFormat="false" ht="17.15" hidden="false" customHeight="false" outlineLevel="0" collapsed="false">
      <c r="A10124" s="5" t="s">
        <v>797</v>
      </c>
      <c r="B10124" s="0" t="s">
        <v>86</v>
      </c>
      <c r="F10124" s="38" t="n">
        <f aca="false">MAX(0,min_cash-Sens!$F$10123)</f>
        <v>0</v>
      </c>
      <c r="G10124" s="38" t="n">
        <f aca="false">Sens!$F$10124</f>
        <v>0</v>
      </c>
      <c r="H10124" s="38" t="n">
        <f aca="false">MAX(0,min_cash-Sens!$H$10123)</f>
        <v>13.7382786551085</v>
      </c>
      <c r="I10124" s="38" t="n">
        <f aca="false">MAX(0,min_cash-Sens!$I$10123)</f>
        <v>15.5451348078424</v>
      </c>
      <c r="J10124" s="38" t="n">
        <f aca="false">MAX(0,min_cash-Sens!$J$10123)</f>
        <v>0</v>
      </c>
      <c r="K10124" s="38" t="n">
        <f aca="false">MAX(0,min_cash-Sens!$K$10123)</f>
        <v>0</v>
      </c>
      <c r="L10124" s="38" t="n">
        <f aca="false">MAX(0,min_cash-Sens!$L$10123)</f>
        <v>0</v>
      </c>
      <c r="M10124" s="38" t="n">
        <f aca="false">MAX(0,min_cash-Sens!$M$10123)</f>
        <v>0</v>
      </c>
      <c r="P10124" s="5" t="s">
        <v>798</v>
      </c>
    </row>
    <row r="10125" customFormat="false" ht="15" hidden="false" customHeight="false" outlineLevel="0" collapsed="false">
      <c r="A10125" s="5" t="s">
        <v>799</v>
      </c>
      <c r="B10125" s="0" t="s">
        <v>86</v>
      </c>
      <c r="D10125" s="38" t="n">
        <f aca="false">Q!$E$61</f>
        <v>123.029</v>
      </c>
      <c r="E10125" s="38" t="n">
        <f aca="false">Q!$M$61</f>
        <v>122.988</v>
      </c>
      <c r="F10125" s="38" t="n">
        <f aca="false">Sens!$F$10123+Sens!$F$10124</f>
        <v>90.2545859883928</v>
      </c>
      <c r="G10125" s="38" t="n">
        <f aca="false">Sens!$F$10125</f>
        <v>90.2545859883928</v>
      </c>
      <c r="H10125" s="38" t="n">
        <f aca="false">Sens!$H$10123+Sens!$H$10124</f>
        <v>50</v>
      </c>
      <c r="I10125" s="38" t="n">
        <f aca="false">Sens!$I$10123+Sens!$I$10124</f>
        <v>50</v>
      </c>
      <c r="J10125" s="38" t="n">
        <f aca="false">Sens!$J$10123+Sens!$J$10124</f>
        <v>74.7544906752831</v>
      </c>
      <c r="K10125" s="38" t="n">
        <f aca="false">Sens!$K$10123+Sens!$K$10124</f>
        <v>193.516667276821</v>
      </c>
      <c r="L10125" s="38" t="n">
        <f aca="false">Sens!$L$10123+Sens!$L$10124</f>
        <v>368.513699160038</v>
      </c>
      <c r="M10125" s="38" t="n">
        <f aca="false">Sens!$M$10123+Sens!$M$10124</f>
        <v>570.469721852563</v>
      </c>
    </row>
    <row r="10126" customFormat="false" ht="15" hidden="false" customHeight="false" outlineLevel="0" collapsed="false">
      <c r="A10126" s="5" t="s">
        <v>800</v>
      </c>
      <c r="B10126" s="0" t="s">
        <v>86</v>
      </c>
      <c r="D10126" s="38" t="n">
        <f aca="false">Q!$E$62</f>
        <v>68.836</v>
      </c>
      <c r="E10126" s="38" t="n">
        <f aca="false">Q!$M$62</f>
        <v>132.995</v>
      </c>
      <c r="F10126" s="38" t="n">
        <f aca="false">debt_q2+Sens!$F$10121+Sens!$F$10124</f>
        <v>162.244999</v>
      </c>
      <c r="G10126" s="38" t="n">
        <f aca="false">Sens!$F$10126</f>
        <v>162.244999</v>
      </c>
      <c r="H10126" s="38" t="n">
        <f aca="false">Sens!$G$10126+Sens!$H$10124</f>
        <v>175.983277655109</v>
      </c>
      <c r="I10126" s="38" t="n">
        <f aca="false">Sens!$H$10126+Sens!$I$10124</f>
        <v>191.528412462951</v>
      </c>
      <c r="J10126" s="38" t="n">
        <f aca="false">Sens!$I$10126+Sens!$J$10124</f>
        <v>191.528412462951</v>
      </c>
      <c r="K10126" s="38" t="n">
        <f aca="false">Sens!$J$10126+Sens!$K$10124</f>
        <v>191.528412462951</v>
      </c>
      <c r="L10126" s="38" t="n">
        <f aca="false">Sens!$K$10126+Sens!$L$10124</f>
        <v>191.528412462951</v>
      </c>
      <c r="M10126" s="38" t="n">
        <f aca="false">Sens!$L$10126+Sens!$M$10124</f>
        <v>191.528412462951</v>
      </c>
    </row>
    <row r="10127" customFormat="false" ht="15" hidden="false" customHeight="false" outlineLevel="0" collapsed="false">
      <c r="A10127" s="5" t="s">
        <v>801</v>
      </c>
      <c r="B10127" s="0" t="s">
        <v>86</v>
      </c>
      <c r="D10127" s="38" t="n">
        <f aca="false">Sens!$D$10126-Sens!$D$10125</f>
        <v>-54.193</v>
      </c>
      <c r="E10127" s="38" t="n">
        <f aca="false">Sens!$E$10126-Sens!$E$10125</f>
        <v>10.007</v>
      </c>
      <c r="F10127" s="38" t="n">
        <f aca="false">Sens!$F$10126-Sens!$F$10125</f>
        <v>71.9904130116072</v>
      </c>
      <c r="G10127" s="38" t="n">
        <f aca="false">Sens!$G$10126-Sens!$G$10125</f>
        <v>71.9904130116072</v>
      </c>
      <c r="H10127" s="38" t="n">
        <f aca="false">Sens!$H$10126-Sens!$H$10125</f>
        <v>125.983277655109</v>
      </c>
      <c r="I10127" s="38" t="n">
        <f aca="false">Sens!$I$10126-Sens!$I$10125</f>
        <v>141.528412462951</v>
      </c>
      <c r="J10127" s="38" t="n">
        <f aca="false">Sens!$J$10126-Sens!$J$10125</f>
        <v>116.773921787668</v>
      </c>
      <c r="K10127" s="38" t="n">
        <f aca="false">Sens!$K$10126-Sens!$K$10125</f>
        <v>-1.98825481387041</v>
      </c>
      <c r="L10127" s="38" t="n">
        <f aca="false">Sens!$L$10126-Sens!$L$10125</f>
        <v>-176.985286697087</v>
      </c>
      <c r="M10127" s="38" t="n">
        <f aca="false">Sens!$M$10126-Sens!$M$10125</f>
        <v>-378.941309389612</v>
      </c>
    </row>
    <row r="10128" customFormat="false" ht="17.15" hidden="false" customHeight="false" outlineLevel="0" collapsed="false">
      <c r="A10128" s="5" t="s">
        <v>802</v>
      </c>
      <c r="B10128" s="0" t="s">
        <v>86</v>
      </c>
      <c r="F10128" s="38" t="n">
        <f aca="false">debt_q2*kd_book*0.5+iss_2h26*kd_new*iss_t</f>
        <v>3.24888962733561</v>
      </c>
      <c r="H10128" s="38" t="n">
        <f aca="false">debt_q2*kd_book+(Sens!$G$10126-debt_q2)*kd_new</f>
        <v>7.42354172302123</v>
      </c>
      <c r="I10128" s="38" t="n">
        <f aca="false">debt_q2*kd_book+(Sens!$H$10126-debt_q2)*kd_new</f>
        <v>8.2931747618896</v>
      </c>
      <c r="J10128" s="38" t="n">
        <f aca="false">debt_q2*kd_book+(Sens!$I$10126-debt_q2)*kd_new</f>
        <v>9.27718179522602</v>
      </c>
      <c r="K10128" s="38" t="n">
        <f aca="false">debt_q2*kd_book+(Sens!$J$10126-debt_q2)*kd_new</f>
        <v>9.27718179522602</v>
      </c>
      <c r="L10128" s="38" t="n">
        <f aca="false">debt_q2*kd_book+(Sens!$K$10126-debt_q2)*kd_new</f>
        <v>9.27718179522602</v>
      </c>
      <c r="M10128" s="38" t="n">
        <f aca="false">debt_q2*kd_book+(Sens!$L$10126-debt_q2)*kd_new</f>
        <v>9.27718179522602</v>
      </c>
    </row>
    <row r="10129" customFormat="false" ht="17.15" hidden="false" customHeight="false" outlineLevel="0" collapsed="false">
      <c r="A10129" s="5" t="s">
        <v>803</v>
      </c>
      <c r="B10129" s="0" t="s">
        <v>86</v>
      </c>
      <c r="F10129" s="38" t="n">
        <f aca="false">cash_q2*y_cash*0.5</f>
        <v>2.59</v>
      </c>
      <c r="H10129" s="38" t="n">
        <f aca="false">Sens!$G$10125*y_cash</f>
        <v>3.80133635330174</v>
      </c>
      <c r="I10129" s="38" t="n">
        <f aca="false">Sens!$H$10125*y_cash</f>
        <v>2.10589651022864</v>
      </c>
      <c r="J10129" s="38" t="n">
        <f aca="false">Sens!$I$10125*y_cash</f>
        <v>2.10589651022864</v>
      </c>
      <c r="K10129" s="38" t="n">
        <f aca="false">Sens!$J$10125*y_cash</f>
        <v>3.14850442073996</v>
      </c>
      <c r="L10129" s="38" t="n">
        <f aca="false">Sens!$K$10125*y_cash</f>
        <v>8.1505214857867</v>
      </c>
      <c r="M10129" s="38" t="n">
        <f aca="false">Sens!$L$10125*y_cash</f>
        <v>15.5210342606514</v>
      </c>
    </row>
    <row r="10130" customFormat="false" ht="17.15" hidden="false" customHeight="false" outlineLevel="0" collapsed="false">
      <c r="A10130" s="47" t="s">
        <v>804</v>
      </c>
      <c r="B10130" s="14" t="s">
        <v>86</v>
      </c>
      <c r="C10130" s="14"/>
      <c r="D10130" s="14"/>
      <c r="E10130" s="14"/>
      <c r="F10130" s="14"/>
      <c r="G10130" s="48" t="n">
        <f aca="false">SUM(Sens!$G$10119:$K$10119)</f>
        <v>7.60425481387041</v>
      </c>
      <c r="H10130" s="14"/>
      <c r="I10130" s="14"/>
      <c r="J10130" s="14"/>
      <c r="K10130" s="14"/>
      <c r="L10130" s="14"/>
      <c r="M10130" s="14"/>
      <c r="N10130" s="14"/>
      <c r="O10130" s="14"/>
    </row>
    <row r="10131" customFormat="false" ht="17.15" hidden="false" customHeight="false" outlineLevel="0" collapsed="false">
      <c r="A10131" s="0" t="s">
        <v>770</v>
      </c>
      <c r="B10131" s="0" t="s">
        <v>86</v>
      </c>
      <c r="G10131" s="38" t="n">
        <f aca="false">SUM(Sens!$G$10124:$K$10124)</f>
        <v>29.2834134629509</v>
      </c>
    </row>
    <row r="10132" customFormat="false" ht="17.15" hidden="false" customHeight="false" outlineLevel="0" collapsed="false">
      <c r="A10132" s="24" t="s">
        <v>807</v>
      </c>
      <c r="B10132" s="25" t="s">
        <v>86</v>
      </c>
      <c r="C10132" s="25"/>
      <c r="D10132" s="25"/>
      <c r="E10132" s="25"/>
      <c r="F10132" s="25"/>
      <c r="G10132" s="41" t="n">
        <f aca="false">Sens!$G$10130-(Sens!$G$10119+Sens!$H$10119+Sens!$I$10119+Sens!$J$10119+Sens!$K$10119)</f>
        <v>0</v>
      </c>
      <c r="H10132" s="25"/>
      <c r="I10132" s="25"/>
      <c r="J10132" s="25"/>
      <c r="K10132" s="25"/>
      <c r="L10132" s="25"/>
      <c r="M10132" s="25"/>
      <c r="N10132" s="25"/>
      <c r="O10132" s="25"/>
    </row>
    <row r="10135" customFormat="false" ht="19.4" hidden="false" customHeight="false" outlineLevel="0" collapsed="false">
      <c r="A10135" s="31" t="s">
        <v>1336</v>
      </c>
    </row>
    <row r="10136" customFormat="false" ht="17.15" hidden="false" customHeight="false" outlineLevel="0" collapsed="false">
      <c r="A10136" s="6" t="s">
        <v>16</v>
      </c>
      <c r="B10136" s="6" t="s">
        <v>17</v>
      </c>
      <c r="C10136" s="20" t="s">
        <v>494</v>
      </c>
      <c r="D10136" s="20" t="s">
        <v>495</v>
      </c>
      <c r="E10136" s="20" t="s">
        <v>577</v>
      </c>
      <c r="F10136" s="20" t="s">
        <v>578</v>
      </c>
      <c r="G10136" s="20" t="s">
        <v>579</v>
      </c>
      <c r="H10136" s="20" t="s">
        <v>580</v>
      </c>
      <c r="I10136" s="20" t="s">
        <v>581</v>
      </c>
      <c r="J10136" s="20" t="s">
        <v>582</v>
      </c>
      <c r="K10136" s="20" t="s">
        <v>583</v>
      </c>
      <c r="L10136" s="20" t="s">
        <v>584</v>
      </c>
      <c r="M10136" s="20" t="s">
        <v>585</v>
      </c>
      <c r="N10136" s="20" t="s">
        <v>586</v>
      </c>
      <c r="O10136" s="20" t="s">
        <v>587</v>
      </c>
      <c r="P10136" s="6" t="s">
        <v>23</v>
      </c>
      <c r="R10136" s="20" t="n">
        <v>2023</v>
      </c>
      <c r="S10136" s="20" t="n">
        <v>2024</v>
      </c>
      <c r="T10136" s="20" t="n">
        <v>2025</v>
      </c>
      <c r="U10136" s="20" t="n">
        <v>2026</v>
      </c>
      <c r="V10136" s="20" t="n">
        <v>2027</v>
      </c>
      <c r="W10136" s="20" t="n">
        <v>2028</v>
      </c>
      <c r="X10136" s="20" t="n">
        <v>2029</v>
      </c>
      <c r="Y10136" s="20" t="n">
        <v>2030</v>
      </c>
      <c r="Z10136" s="20" t="n">
        <v>2031</v>
      </c>
      <c r="AA10136" s="20" t="n">
        <v>2032</v>
      </c>
    </row>
    <row r="10137" customFormat="false" ht="17.15" hidden="false" customHeight="false" outlineLevel="0" collapsed="false">
      <c r="A10137" s="1" t="s">
        <v>909</v>
      </c>
    </row>
    <row r="10138" customFormat="false" ht="17.15" hidden="false" customHeight="false" outlineLevel="0" collapsed="false">
      <c r="A10138" s="0" t="s">
        <v>910</v>
      </c>
      <c r="B10138" s="0" t="s">
        <v>86</v>
      </c>
      <c r="H10138" s="38" t="n">
        <f aca="false">Sens!$H$10072*(1-tax)</f>
        <v>117.433243423729</v>
      </c>
      <c r="I10138" s="38" t="n">
        <f aca="false">Sens!$I$10072*(1-tax)</f>
        <v>142.829109667048</v>
      </c>
      <c r="J10138" s="38" t="n">
        <f aca="false">Sens!$J$10072*(1-tax)</f>
        <v>166.999275189185</v>
      </c>
      <c r="K10138" s="38" t="n">
        <f aca="false">Sens!$K$10072*(1-tax)</f>
        <v>184.486324065858</v>
      </c>
      <c r="L10138" s="38" t="n">
        <f aca="false">Sens!$L$10072*(1-tax)</f>
        <v>200.372924021423</v>
      </c>
      <c r="M10138" s="38" t="n">
        <f aca="false">Sens!$M$10072*(1-tax)</f>
        <v>213.745944137255</v>
      </c>
    </row>
    <row r="10139" customFormat="false" ht="15" hidden="false" customHeight="false" outlineLevel="0" collapsed="false">
      <c r="A10139" s="5" t="s">
        <v>911</v>
      </c>
      <c r="B10139" s="0" t="s">
        <v>86</v>
      </c>
      <c r="H10139" s="38" t="n">
        <f aca="false">Sens!$H$10083</f>
        <v>84.3163410985152</v>
      </c>
      <c r="I10139" s="38" t="n">
        <f aca="false">Sens!$I$10083</f>
        <v>117.040344991004</v>
      </c>
      <c r="J10139" s="38" t="n">
        <f aca="false">Sens!$J$10083</f>
        <v>150.498981474685</v>
      </c>
      <c r="K10139" s="38" t="n">
        <f aca="false">Sens!$K$10083</f>
        <v>184.188121970284</v>
      </c>
      <c r="L10139" s="38" t="n">
        <f aca="false">Sens!$L$10083</f>
        <v>208.158787644162</v>
      </c>
      <c r="M10139" s="38" t="n">
        <f aca="false">Sens!$M$10083</f>
        <v>225.174143397813</v>
      </c>
    </row>
    <row r="10140" customFormat="false" ht="15" hidden="false" customHeight="false" outlineLevel="0" collapsed="false">
      <c r="A10140" s="5" t="s">
        <v>912</v>
      </c>
      <c r="B10140" s="0" t="s">
        <v>86</v>
      </c>
      <c r="H10140" s="38" t="n">
        <f aca="false">Sens!$H$10114</f>
        <v>273.372679834898</v>
      </c>
      <c r="I10140" s="38" t="n">
        <f aca="false">Sens!$I$10114</f>
        <v>286.981812228425</v>
      </c>
      <c r="J10140" s="38" t="n">
        <f aca="false">Sens!$J$10114</f>
        <v>299.316513378366</v>
      </c>
      <c r="K10140" s="38" t="n">
        <f aca="false">Sens!$K$10114</f>
        <v>253.835101823915</v>
      </c>
      <c r="L10140" s="38" t="n">
        <f aca="false">Sens!$L$10114</f>
        <v>240.252243483641</v>
      </c>
      <c r="M10140" s="38" t="n">
        <f aca="false">Sens!$M$10114</f>
        <v>250.62556497822</v>
      </c>
    </row>
    <row r="10141" customFormat="false" ht="15" hidden="false" customHeight="false" outlineLevel="0" collapsed="false">
      <c r="A10141" s="5" t="s">
        <v>913</v>
      </c>
      <c r="B10141" s="0" t="s">
        <v>86</v>
      </c>
      <c r="H10141" s="38" t="n">
        <f aca="false">Sens!$H$10115</f>
        <v>1.6</v>
      </c>
      <c r="I10141" s="38" t="n">
        <f aca="false">Sens!$I$10115</f>
        <v>1.6</v>
      </c>
      <c r="J10141" s="38" t="n">
        <f aca="false">Sens!$J$10115</f>
        <v>1.6</v>
      </c>
      <c r="K10141" s="38" t="n">
        <f aca="false">Sens!$K$10115</f>
        <v>1.6</v>
      </c>
      <c r="L10141" s="38" t="n">
        <f aca="false">Sens!$L$10115</f>
        <v>1.6</v>
      </c>
      <c r="M10141" s="38" t="n">
        <f aca="false">Sens!$M$10115</f>
        <v>1.6</v>
      </c>
    </row>
    <row r="10142" customFormat="false" ht="15" hidden="false" customHeight="false" outlineLevel="0" collapsed="false">
      <c r="A10142" s="5" t="s">
        <v>914</v>
      </c>
      <c r="B10142" s="0" t="s">
        <v>86</v>
      </c>
      <c r="H10142" s="38" t="n">
        <f aca="false">Sens!$H$10109</f>
        <v>11.2928295263397</v>
      </c>
      <c r="I10142" s="38" t="n">
        <f aca="false">Sens!$I$10109</f>
        <v>12.8091546115766</v>
      </c>
      <c r="J10142" s="38" t="n">
        <f aca="false">Sens!$J$10109</f>
        <v>14.2605653162668</v>
      </c>
      <c r="K10142" s="38" t="n">
        <f aca="false">Sens!$K$10109</f>
        <v>15.5361896109386</v>
      </c>
      <c r="L10142" s="38" t="n">
        <f aca="false">Sens!$L$10109</f>
        <v>16.7342012989106</v>
      </c>
      <c r="M10142" s="38" t="n">
        <f aca="false">Sens!$M$10109</f>
        <v>17.8589265647579</v>
      </c>
    </row>
    <row r="10143" customFormat="false" ht="17.15" hidden="false" customHeight="false" outlineLevel="0" collapsed="false">
      <c r="A10143" s="1" t="s">
        <v>915</v>
      </c>
      <c r="B10143" s="8" t="s">
        <v>86</v>
      </c>
      <c r="H10143" s="38" t="n">
        <f aca="false">Sens!$H$10138+Sens!$H$10139-Sens!$H$10140-Sens!$H$10141+Sens!$H$10142</f>
        <v>-61.930265786314</v>
      </c>
      <c r="I10143" s="38" t="n">
        <f aca="false">Sens!$I$10138+Sens!$I$10139-Sens!$I$10140-Sens!$I$10141+Sens!$I$10142</f>
        <v>-15.9032029587969</v>
      </c>
      <c r="J10143" s="38" t="n">
        <f aca="false">Sens!$J$10138+Sens!$J$10139-Sens!$J$10140-Sens!$J$10141+Sens!$J$10142</f>
        <v>30.8423086017711</v>
      </c>
      <c r="K10143" s="38" t="n">
        <f aca="false">Sens!$K$10138+Sens!$K$10139-Sens!$K$10140-Sens!$K$10141+Sens!$K$10142</f>
        <v>128.775533823166</v>
      </c>
      <c r="L10143" s="38" t="n">
        <f aca="false">Sens!$L$10138+Sens!$L$10139-Sens!$L$10140-Sens!$L$10141+Sens!$L$10142</f>
        <v>183.413669480855</v>
      </c>
      <c r="M10143" s="38" t="n">
        <f aca="false">Sens!$M$10138+Sens!$M$10139-Sens!$M$10140-Sens!$M$10141+Sens!$M$10142</f>
        <v>204.553449121607</v>
      </c>
    </row>
    <row r="10144" customFormat="false" ht="15" hidden="false" customHeight="false" outlineLevel="0" collapsed="false">
      <c r="A10144" s="5" t="s">
        <v>916</v>
      </c>
      <c r="B10144" s="0" t="s">
        <v>57</v>
      </c>
      <c r="H10144" s="40" t="n">
        <f aca="false">1/(1+(wacc+0.01))^(2027-2026-0.5)</f>
        <v>0.943523276903728</v>
      </c>
      <c r="I10144" s="40" t="n">
        <f aca="false">1/(1+(wacc+0.01))^(2028-2026-0.5)</f>
        <v>0.839958552166526</v>
      </c>
      <c r="J10144" s="40" t="n">
        <f aca="false">1/(1+(wacc+0.01))^(2029-2026-0.5)</f>
        <v>0.747761487848991</v>
      </c>
      <c r="K10144" s="40" t="n">
        <f aca="false">1/(1+(wacc+0.01))^(2030-2026-0.5)</f>
        <v>0.665684326051463</v>
      </c>
      <c r="L10144" s="40" t="n">
        <f aca="false">1/(1+(wacc+0.01))^(2031-2026-0.5)</f>
        <v>0.592616267555198</v>
      </c>
      <c r="M10144" s="40" t="n">
        <f aca="false">1/(1+(wacc+0.01))^(2032-2026-0.5)</f>
        <v>0.527568438713552</v>
      </c>
    </row>
    <row r="10145" customFormat="false" ht="15" hidden="false" customHeight="false" outlineLevel="0" collapsed="false">
      <c r="A10145" s="5" t="s">
        <v>917</v>
      </c>
      <c r="B10145" s="0" t="s">
        <v>86</v>
      </c>
      <c r="H10145" s="38" t="n">
        <f aca="false">Sens!$H$10143*Sens!$H$10144</f>
        <v>-58.4326473142218</v>
      </c>
      <c r="I10145" s="38" t="n">
        <f aca="false">Sens!$I$10143*Sens!$I$10144</f>
        <v>-13.3580313320814</v>
      </c>
      <c r="J10145" s="38" t="n">
        <f aca="false">Sens!$J$10143*Sens!$J$10144</f>
        <v>23.0626905687581</v>
      </c>
      <c r="K10145" s="38" t="n">
        <f aca="false">Sens!$K$10143*Sens!$K$10144</f>
        <v>85.7238544449914</v>
      </c>
      <c r="L10145" s="38" t="n">
        <f aca="false">Sens!$L$10143*Sens!$L$10144</f>
        <v>108.693924226347</v>
      </c>
      <c r="M10145" s="38" t="n">
        <f aca="false">Sens!$M$10143*Sens!$M$10144</f>
        <v>107.915943786558</v>
      </c>
    </row>
    <row r="10146" customFormat="false" ht="15" hidden="false" customHeight="false" outlineLevel="0" collapsed="false">
      <c r="A10146" s="5" t="s">
        <v>918</v>
      </c>
      <c r="B10146" s="0" t="s">
        <v>86</v>
      </c>
      <c r="C10146" s="38" t="n">
        <f aca="false">SUM(Sens!$H$10145:$M$10145)</f>
        <v>253.605734380351</v>
      </c>
    </row>
    <row r="10147" customFormat="false" ht="17.15" hidden="false" customHeight="false" outlineLevel="0" collapsed="false">
      <c r="A10147" s="5" t="s">
        <v>919</v>
      </c>
      <c r="B10147" s="0" t="s">
        <v>86</v>
      </c>
      <c r="C10147" s="38" t="n">
        <f aca="false">Sens!$M$10138*(1+tg_hi)*(1-tg_hi/ronic)/((wacc+0.01)-tg_hi)</f>
        <v>1726.50695061054</v>
      </c>
    </row>
    <row r="10148" customFormat="false" ht="15" hidden="false" customHeight="false" outlineLevel="0" collapsed="false">
      <c r="A10148" s="5" t="s">
        <v>920</v>
      </c>
      <c r="B10148" s="0" t="s">
        <v>86</v>
      </c>
      <c r="C10148" s="38" t="n">
        <f aca="false">Sens!$C$10147/(1+(wacc+0.01))^6</f>
        <v>859.408720578438</v>
      </c>
    </row>
    <row r="10149" customFormat="false" ht="17.15" hidden="false" customHeight="false" outlineLevel="0" collapsed="false">
      <c r="A10149" s="5" t="s">
        <v>921</v>
      </c>
      <c r="B10149" s="0" t="s">
        <v>86</v>
      </c>
      <c r="C10149" s="38" t="n">
        <f aca="false">Sens!$C$10146+Sens!$C$10148</f>
        <v>1113.01445495879</v>
      </c>
    </row>
    <row r="10150" customFormat="false" ht="17.15" hidden="false" customHeight="false" outlineLevel="0" collapsed="false">
      <c r="A10150" s="5" t="s">
        <v>922</v>
      </c>
      <c r="B10150" s="0" t="s">
        <v>52</v>
      </c>
      <c r="C10150" s="13" t="n">
        <f aca="false">Sens!$C$10148/Sens!$C$10149</f>
        <v>0.772145156560666</v>
      </c>
    </row>
    <row r="10151" customFormat="false" ht="17.15" hidden="false" customHeight="false" outlineLevel="0" collapsed="false">
      <c r="A10151" s="5" t="s">
        <v>923</v>
      </c>
      <c r="B10151" s="0" t="s">
        <v>86</v>
      </c>
      <c r="C10151" s="38" t="n">
        <f aca="false">Sens!$G$10127+fin_debt</f>
        <v>96.5114130116072</v>
      </c>
    </row>
    <row r="10152" customFormat="false" ht="17.15" hidden="false" customHeight="false" outlineLevel="0" collapsed="false">
      <c r="A10152" s="5" t="s">
        <v>924</v>
      </c>
      <c r="B10152" s="0" t="s">
        <v>86</v>
      </c>
      <c r="C10152" s="38" t="n">
        <f aca="false">(ant_val*ant_sh+oai_val*oai_sh)*(1-liq_disc)</f>
        <v>178.944</v>
      </c>
    </row>
    <row r="10153" customFormat="false" ht="15" hidden="false" customHeight="false" outlineLevel="0" collapsed="false">
      <c r="A10153" s="5" t="s">
        <v>925</v>
      </c>
      <c r="B10153" s="0" t="s">
        <v>86</v>
      </c>
      <c r="C10153" s="38" t="n">
        <f aca="false">Sens!$C$10149-Sens!$C$10151+Sens!$C$10152</f>
        <v>1195.44704194718</v>
      </c>
    </row>
    <row r="10154" customFormat="false" ht="17.15" hidden="false" customHeight="false" outlineLevel="0" collapsed="false">
      <c r="A10154" s="5" t="s">
        <v>926</v>
      </c>
      <c r="B10154" s="0" t="s">
        <v>27</v>
      </c>
      <c r="C10154" s="30" t="n">
        <f aca="false">Sens!$C$10153/sh_out</f>
        <v>110.829987143632</v>
      </c>
    </row>
    <row r="10155" customFormat="false" ht="17.15" hidden="false" customHeight="false" outlineLevel="0" collapsed="false">
      <c r="A10155" s="1" t="s">
        <v>927</v>
      </c>
      <c r="B10155" s="8" t="s">
        <v>27</v>
      </c>
      <c r="C10155" s="30" t="n">
        <f aca="false">Sens!$C$10154*(1+ke)^tp_yf-dps*tp_yf</f>
        <v>121.399715172319</v>
      </c>
    </row>
    <row r="10156" customFormat="false" ht="17.15" hidden="false" customHeight="false" outlineLevel="0" collapsed="false">
      <c r="A10156" s="3" t="s">
        <v>928</v>
      </c>
    </row>
    <row r="10157" customFormat="false" ht="17.15" hidden="false" customHeight="false" outlineLevel="0" collapsed="false">
      <c r="A10157" s="5" t="s">
        <v>929</v>
      </c>
      <c r="B10157" s="0" t="s">
        <v>86</v>
      </c>
      <c r="C10157" s="38" t="n">
        <f aca="false">(1-tp_yf)*(Sens!$H$10084+Sens!$H$10108*Sens!$H$9950/Sens!$H$10025)+tp_yf*(Sens!$I$10084+Sens!$I$10108*Sens!$I$9950/Sens!$I$10025)</f>
        <v>59.634664536349</v>
      </c>
    </row>
    <row r="10158" customFormat="false" ht="15" hidden="false" customHeight="false" outlineLevel="0" collapsed="false">
      <c r="A10158" s="5" t="s">
        <v>930</v>
      </c>
      <c r="B10158" s="0" t="s">
        <v>57</v>
      </c>
      <c r="C10158" s="30" t="n">
        <f aca="false">m_ads*m_x</f>
        <v>9.11</v>
      </c>
    </row>
    <row r="10159" customFormat="false" ht="17.15" hidden="false" customHeight="false" outlineLevel="0" collapsed="false">
      <c r="A10159" s="5" t="s">
        <v>931</v>
      </c>
      <c r="B10159" s="0" t="s">
        <v>86</v>
      </c>
      <c r="C10159" s="38" t="n">
        <f aca="false">Sens!$C$10157*Sens!$C$10158</f>
        <v>543.271793926139</v>
      </c>
    </row>
    <row r="10160" customFormat="false" ht="17.15" hidden="false" customHeight="false" outlineLevel="0" collapsed="false">
      <c r="A10160" s="5" t="s">
        <v>932</v>
      </c>
      <c r="B10160" s="0" t="s">
        <v>86</v>
      </c>
      <c r="C10160" s="38" t="n">
        <f aca="false">(1-tp_yf)*(Sens!$H$10085+Sens!$H$10108*(Sens!$H$9957-Sens!$H$9950)/Sens!$H$10025+IF(internal_ai_reading=2,1,0)*(1-ext_sh)*Sens!$H$9987)+tp_yf*(Sens!$I$10085+Sens!$I$10108*(Sens!$I$9957-Sens!$I$9950)/Sens!$I$10025+IF(internal_ai_reading=2,1,0)*(1-ext_sh)*Sens!$I$9987)</f>
        <v>51.7770728324773</v>
      </c>
    </row>
    <row r="10161" customFormat="false" ht="17.15" hidden="false" customHeight="false" outlineLevel="0" collapsed="false">
      <c r="A10161" s="5" t="s">
        <v>933</v>
      </c>
      <c r="B10161" s="0" t="s">
        <v>57</v>
      </c>
      <c r="C10161" s="30" t="n">
        <f aca="false">m_retail*m_x</f>
        <v>17.72</v>
      </c>
    </row>
    <row r="10162" customFormat="false" ht="17.15" hidden="false" customHeight="false" outlineLevel="0" collapsed="false">
      <c r="A10162" s="5" t="s">
        <v>934</v>
      </c>
      <c r="B10162" s="0" t="s">
        <v>86</v>
      </c>
      <c r="C10162" s="38" t="n">
        <f aca="false">Sens!$C$10160*Sens!$C$10161</f>
        <v>917.489730591498</v>
      </c>
    </row>
    <row r="10163" customFormat="false" ht="17.15" hidden="false" customHeight="false" outlineLevel="0" collapsed="false">
      <c r="A10163" s="0" t="s">
        <v>935</v>
      </c>
      <c r="B10163" s="0" t="s">
        <v>86</v>
      </c>
      <c r="C10163" s="38" t="n">
        <f aca="false">(1-tp_yf)*(Sens!$H$10086+Sens!$H$10108*Sens!$H$10023/Sens!$H$10025)+tp_yf*(Sens!$I$10086+Sens!$I$10108*Sens!$I$10023/Sens!$I$10025)</f>
        <v>97.3363031479074</v>
      </c>
    </row>
    <row r="10164" customFormat="false" ht="17.15" hidden="false" customHeight="false" outlineLevel="0" collapsed="false">
      <c r="A10164" s="0" t="s">
        <v>936</v>
      </c>
      <c r="B10164" s="0" t="s">
        <v>57</v>
      </c>
      <c r="C10164" s="30" t="n">
        <f aca="false">m_cloud*m_x</f>
        <v>13.82</v>
      </c>
    </row>
    <row r="10165" customFormat="false" ht="17.15" hidden="false" customHeight="false" outlineLevel="0" collapsed="false">
      <c r="A10165" s="0" t="s">
        <v>937</v>
      </c>
      <c r="B10165" s="0" t="s">
        <v>86</v>
      </c>
      <c r="C10165" s="38" t="n">
        <f aca="false">Sens!$C$10163*Sens!$C$10164</f>
        <v>1345.18770950408</v>
      </c>
    </row>
    <row r="10166" customFormat="false" ht="17.15" hidden="false" customHeight="false" outlineLevel="0" collapsed="false">
      <c r="A10166" s="0" t="s">
        <v>938</v>
      </c>
      <c r="B10166" s="0" t="s">
        <v>86</v>
      </c>
      <c r="H10166" s="38" t="n">
        <f aca="false">Sens!$H$10004-tax*Sens!$H$10005-ext_sh*Sens!$H$9994</f>
        <v>-114.686944664267</v>
      </c>
      <c r="I10166" s="38" t="n">
        <f aca="false">Sens!$I$10004-tax*Sens!$I$10005-ext_sh*Sens!$I$9994</f>
        <v>-88.3950641557111</v>
      </c>
      <c r="J10166" s="38" t="n">
        <f aca="false">Sens!$J$10004-tax*Sens!$J$10005-ext_sh*Sens!$J$9994</f>
        <v>-61.1526151740695</v>
      </c>
      <c r="K10166" s="38" t="n">
        <f aca="false">Sens!$K$10004-tax*Sens!$K$10005-ext_sh*Sens!$K$9994</f>
        <v>8.02481477859368</v>
      </c>
      <c r="L10166" s="38" t="n">
        <f aca="false">Sens!$L$10004-tax*Sens!$L$10005-ext_sh*Sens!$L$9994</f>
        <v>43.0206498796486</v>
      </c>
      <c r="M10166" s="38" t="n">
        <f aca="false">Sens!$M$10004-tax*Sens!$M$10005-ext_sh*Sens!$M$9994</f>
        <v>50.576907834189</v>
      </c>
    </row>
    <row r="10167" customFormat="false" ht="17.15" hidden="false" customHeight="false" outlineLevel="0" collapsed="false">
      <c r="A10167" s="5" t="s">
        <v>939</v>
      </c>
      <c r="B10167" s="0" t="s">
        <v>86</v>
      </c>
      <c r="H10167" s="38" t="n">
        <f aca="false">Sens!$H$10166*Sens!$H$10144</f>
        <v>-108.209801847706</v>
      </c>
      <c r="I10167" s="38" t="n">
        <f aca="false">Sens!$I$10166*Sens!$I$10144</f>
        <v>-74.2481901068983</v>
      </c>
      <c r="J10167" s="38" t="n">
        <f aca="false">Sens!$J$10166*Sens!$J$10144</f>
        <v>-45.727570508419</v>
      </c>
      <c r="K10167" s="38" t="n">
        <f aca="false">Sens!$K$10166*Sens!$K$10144</f>
        <v>5.34199341757595</v>
      </c>
      <c r="L10167" s="38" t="n">
        <f aca="false">Sens!$L$10166*Sens!$L$10144</f>
        <v>25.4947369594763</v>
      </c>
      <c r="M10167" s="38" t="n">
        <f aca="false">Sens!$M$10166*Sens!$M$10144</f>
        <v>26.6827803010423</v>
      </c>
    </row>
    <row r="10168" customFormat="false" ht="17.15" hidden="false" customHeight="false" outlineLevel="0" collapsed="false">
      <c r="A10168" s="5" t="s">
        <v>940</v>
      </c>
      <c r="B10168" s="0" t="s">
        <v>86</v>
      </c>
      <c r="C10168" s="38" t="n">
        <f aca="false">Sens!$M$10005*(1-tax)*(1+tg_hi)*(1-tg_hi/ronic)/((wacc+0.01)-tg_hi)</f>
        <v>330.476071113572</v>
      </c>
    </row>
    <row r="10169" customFormat="false" ht="17.15" hidden="false" customHeight="false" outlineLevel="0" collapsed="false">
      <c r="A10169" s="0" t="s">
        <v>941</v>
      </c>
      <c r="B10169" s="0" t="s">
        <v>86</v>
      </c>
      <c r="C10169" s="38" t="n">
        <f aca="false">(SUM(Sens!$H$10167:$M$10167)+Sens!$C$10168/(1+(wacc+0.01))^6)*(1+(wacc+0.01))^tp_yf</f>
        <v>-6.78206334872518</v>
      </c>
    </row>
    <row r="10170" customFormat="false" ht="17.15" hidden="false" customHeight="false" outlineLevel="0" collapsed="false">
      <c r="A10170" s="5" t="s">
        <v>942</v>
      </c>
      <c r="B10170" s="0" t="s">
        <v>86</v>
      </c>
      <c r="C10170" s="38" t="n">
        <f aca="false">(1-tp_yf)*(Sens!$H$10087)+tp_yf*(Sens!$I$10087)</f>
        <v>74.6707041238437</v>
      </c>
    </row>
    <row r="10171" customFormat="false" ht="17.15" hidden="false" customHeight="false" outlineLevel="0" collapsed="false">
      <c r="A10171" s="5" t="s">
        <v>943</v>
      </c>
      <c r="B10171" s="0" t="s">
        <v>86</v>
      </c>
      <c r="C10171" s="38" t="n">
        <f aca="false">Sens!$C$10170*m_ai</f>
        <v>448.024224743062</v>
      </c>
    </row>
    <row r="10172" customFormat="false" ht="17.15" hidden="false" customHeight="false" outlineLevel="0" collapsed="false">
      <c r="A10172" s="0" t="s">
        <v>944</v>
      </c>
      <c r="B10172" s="0" t="s">
        <v>86</v>
      </c>
      <c r="C10172" s="38" t="n">
        <f aca="false">IF(ai_leg=1,Sens!$C$10169,Sens!$C$10171)</f>
        <v>-6.78206334872518</v>
      </c>
    </row>
    <row r="10173" customFormat="false" ht="17.15" hidden="false" customHeight="false" outlineLevel="0" collapsed="false">
      <c r="A10173" s="5" t="s">
        <v>945</v>
      </c>
      <c r="B10173" s="0" t="s">
        <v>86</v>
      </c>
      <c r="C10173" s="38" t="n">
        <f aca="false">Sens!$C$10159+Sens!$C$10162+Sens!$C$10165+Sens!$C$10172</f>
        <v>2799.16717067299</v>
      </c>
    </row>
    <row r="10174" customFormat="false" ht="17.15" hidden="false" customHeight="false" outlineLevel="0" collapsed="false">
      <c r="A10174" s="5" t="s">
        <v>946</v>
      </c>
      <c r="B10174" s="0" t="s">
        <v>86</v>
      </c>
      <c r="C10174" s="38" t="n">
        <f aca="false">Sens!$H$10127+fin_debt</f>
        <v>150.504277655109</v>
      </c>
    </row>
    <row r="10175" customFormat="false" ht="15" hidden="false" customHeight="false" outlineLevel="0" collapsed="false">
      <c r="A10175" s="5" t="s">
        <v>947</v>
      </c>
      <c r="B10175" s="0" t="s">
        <v>86</v>
      </c>
      <c r="C10175" s="38" t="n">
        <f aca="false">Sens!$C$10173-Sens!$C$10174+Sens!$C$10152</f>
        <v>2827.60689301788</v>
      </c>
    </row>
    <row r="10176" customFormat="false" ht="15" hidden="false" customHeight="false" outlineLevel="0" collapsed="false">
      <c r="A10176" s="3" t="s">
        <v>948</v>
      </c>
      <c r="B10176" s="8" t="s">
        <v>27</v>
      </c>
      <c r="C10176" s="30" t="n">
        <f aca="false">Sens!$C$10175/sh_val</f>
        <v>256.348721624596</v>
      </c>
    </row>
    <row r="10177" customFormat="false" ht="17.15" hidden="false" customHeight="false" outlineLevel="0" collapsed="false">
      <c r="A10177" s="47" t="s">
        <v>949</v>
      </c>
      <c r="B10177" s="14" t="s">
        <v>27</v>
      </c>
      <c r="C10177" s="44" t="n">
        <f aca="false">w_dcf*Sens!$C$10155+(1-w_dcf)*Sens!$C$10176</f>
        <v>188.874218398458</v>
      </c>
      <c r="D10177" s="14"/>
      <c r="E10177" s="14"/>
      <c r="F10177" s="14"/>
      <c r="G10177" s="14"/>
      <c r="H10177" s="14"/>
      <c r="I10177" s="14"/>
      <c r="J10177" s="14"/>
      <c r="K10177" s="14"/>
      <c r="L10177" s="14"/>
      <c r="M10177" s="14"/>
      <c r="N10177" s="14"/>
      <c r="O10177" s="14"/>
    </row>
    <row r="10178" customFormat="false" ht="17.15" hidden="false" customHeight="false" outlineLevel="0" collapsed="false">
      <c r="A10178" s="5" t="s">
        <v>950</v>
      </c>
      <c r="B10178" s="0" t="s">
        <v>27</v>
      </c>
      <c r="C10178" s="30" t="n">
        <f aca="false">v022_wdcf*Sens!$C$10155+(1-v022_wdcf)*Sens!$C$10176</f>
        <v>195.621668721071</v>
      </c>
    </row>
    <row r="10179" customFormat="false" ht="17.15" hidden="false" customHeight="false" outlineLevel="0" collapsed="false">
      <c r="A10179" s="5" t="s">
        <v>951</v>
      </c>
      <c r="B10179" s="0" t="s">
        <v>27</v>
      </c>
      <c r="C10179" s="30" t="n">
        <f aca="false">(Sens!$C$10175-Sens!$C$10172+Sens!$C$10171)/sh_val</f>
        <v>297.581118824874</v>
      </c>
    </row>
    <row r="10182" customFormat="false" ht="19.4" hidden="false" customHeight="false" outlineLevel="0" collapsed="false">
      <c r="A10182" s="31" t="s">
        <v>1337</v>
      </c>
    </row>
    <row r="10183" customFormat="false" ht="17.15" hidden="false" customHeight="false" outlineLevel="0" collapsed="false">
      <c r="A10183" s="6" t="s">
        <v>16</v>
      </c>
      <c r="B10183" s="6" t="s">
        <v>17</v>
      </c>
      <c r="C10183" s="20" t="s">
        <v>494</v>
      </c>
      <c r="D10183" s="20" t="s">
        <v>495</v>
      </c>
      <c r="E10183" s="20" t="s">
        <v>577</v>
      </c>
      <c r="F10183" s="20" t="s">
        <v>578</v>
      </c>
      <c r="G10183" s="20" t="s">
        <v>579</v>
      </c>
      <c r="H10183" s="20" t="s">
        <v>580</v>
      </c>
      <c r="I10183" s="20" t="s">
        <v>581</v>
      </c>
      <c r="J10183" s="20" t="s">
        <v>582</v>
      </c>
      <c r="K10183" s="20" t="s">
        <v>583</v>
      </c>
      <c r="L10183" s="20" t="s">
        <v>584</v>
      </c>
      <c r="M10183" s="20" t="s">
        <v>585</v>
      </c>
      <c r="N10183" s="20" t="s">
        <v>586</v>
      </c>
      <c r="O10183" s="20" t="s">
        <v>587</v>
      </c>
      <c r="P10183" s="6" t="s">
        <v>23</v>
      </c>
      <c r="R10183" s="20" t="n">
        <v>2023</v>
      </c>
      <c r="S10183" s="20" t="n">
        <v>2024</v>
      </c>
      <c r="T10183" s="20" t="n">
        <v>2025</v>
      </c>
      <c r="U10183" s="20" t="n">
        <v>2026</v>
      </c>
      <c r="V10183" s="20" t="n">
        <v>2027</v>
      </c>
      <c r="W10183" s="20" t="n">
        <v>2028</v>
      </c>
      <c r="X10183" s="20" t="n">
        <v>2029</v>
      </c>
      <c r="Y10183" s="20" t="n">
        <v>2030</v>
      </c>
      <c r="Z10183" s="20" t="n">
        <v>2031</v>
      </c>
      <c r="AA10183" s="20" t="n">
        <v>2032</v>
      </c>
    </row>
    <row r="10184" customFormat="false" ht="17.15" hidden="false" customHeight="false" outlineLevel="0" collapsed="false">
      <c r="A10184" s="1" t="s">
        <v>660</v>
      </c>
    </row>
    <row r="10185" customFormat="false" ht="17.15" hidden="false" customHeight="false" outlineLevel="0" collapsed="false">
      <c r="A10185" s="0" t="s">
        <v>516</v>
      </c>
      <c r="B10185" s="0" t="s">
        <v>86</v>
      </c>
      <c r="C10185" s="38" t="n">
        <f aca="false">Q!$D$10</f>
        <v>247.029</v>
      </c>
      <c r="D10185" s="38" t="n">
        <f aca="false">Q!$E$10</f>
        <v>269.287</v>
      </c>
      <c r="E10185" s="38" t="n">
        <f aca="false">Q!$P$10</f>
        <v>134.686</v>
      </c>
      <c r="F10185" s="38" t="n">
        <f aca="false">Sens!$O$10185*(1+Sens!$F$10186)*Sens!$F$10197</f>
        <v>157.020808071353</v>
      </c>
      <c r="G10185" s="38" t="n">
        <f aca="false">Sens!$E$10185+Sens!$F$10185</f>
        <v>291.706808071353</v>
      </c>
      <c r="H10185" s="38" t="n">
        <f aca="false">Sens!$G$10185*(1+Sens!$H$10186)</f>
        <v>316.801953937514</v>
      </c>
      <c r="I10185" s="38" t="n">
        <f aca="false">Sens!$H$10185*(1+Sens!$I$10186)</f>
        <v>340.251351597976</v>
      </c>
      <c r="J10185" s="38" t="n">
        <f aca="false">Sens!$I$10185*(1+Sens!$J$10186)</f>
        <v>361.350185952976</v>
      </c>
      <c r="K10185" s="38" t="n">
        <f aca="false">Sens!$J$10185*(1+Sens!$K$10186)</f>
        <v>379.417695250625</v>
      </c>
      <c r="L10185" s="38" t="n">
        <f aca="false">Sens!$K$10185*(1+Sens!$L$10186)</f>
        <v>398.388580013156</v>
      </c>
      <c r="M10185" s="38" t="n">
        <f aca="false">Sens!$L$10185*(1+Sens!$M$10186)</f>
        <v>418.308009013814</v>
      </c>
      <c r="N10185" s="38" t="n">
        <f aca="false">Q!$N$10</f>
        <v>118.892</v>
      </c>
      <c r="O10185" s="38" t="n">
        <f aca="false">Q!$O$10</f>
        <v>150.395</v>
      </c>
      <c r="P10185" s="8" t="s">
        <v>661</v>
      </c>
    </row>
    <row r="10186" customFormat="false" ht="17.15" hidden="false" customHeight="false" outlineLevel="0" collapsed="false">
      <c r="A10186" s="0" t="s">
        <v>662</v>
      </c>
      <c r="B10186" s="0" t="s">
        <v>52</v>
      </c>
      <c r="E10186" s="13" t="n">
        <f aca="false">Sens!$E$10185/Sens!$N$10185-1</f>
        <v>0.132843252699929</v>
      </c>
      <c r="F10186" s="13" t="n">
        <f aca="false">Sens!$O$10185/(Q!$F$10+Q!$G$10)-1</f>
        <v>0.0980382135842941</v>
      </c>
      <c r="G10186" s="13" t="n">
        <f aca="false">Sens!$G$10185/Sens!$D$10185-1</f>
        <v>0.0832561841876993</v>
      </c>
      <c r="H10186" s="13" t="n">
        <f aca="false">Sens!$F$10186+(g_os-Sens!$F$10186)*1/4</f>
        <v>0.0860286601882206</v>
      </c>
      <c r="I10186" s="13" t="n">
        <f aca="false">Sens!$F$10186+(g_os-Sens!$F$10186)*2/4</f>
        <v>0.074019106792147</v>
      </c>
      <c r="J10186" s="13" t="n">
        <f aca="false">Sens!$F$10186+(g_os-Sens!$F$10186)*3/4</f>
        <v>0.0620095533960735</v>
      </c>
      <c r="K10186" s="13" t="n">
        <f aca="false">Sens!$F$10186+(g_os-Sens!$F$10186)*4/4</f>
        <v>0.05</v>
      </c>
      <c r="L10186" s="13" t="n">
        <f aca="false">g_os</f>
        <v>0.05</v>
      </c>
      <c r="M10186" s="13" t="n">
        <f aca="false">g_os</f>
        <v>0.05</v>
      </c>
      <c r="P10186" s="8" t="s">
        <v>663</v>
      </c>
    </row>
    <row r="10187" customFormat="false" ht="17.15" hidden="false" customHeight="false" outlineLevel="0" collapsed="false">
      <c r="A10187" s="0" t="s">
        <v>517</v>
      </c>
      <c r="B10187" s="0" t="s">
        <v>86</v>
      </c>
      <c r="C10187" s="38" t="n">
        <f aca="false">Q!$D$11</f>
        <v>21.215</v>
      </c>
      <c r="D10187" s="38" t="n">
        <f aca="false">Q!$E$11</f>
        <v>22.561</v>
      </c>
      <c r="E10187" s="38" t="n">
        <f aca="false">Q!$P$11</f>
        <v>11.579</v>
      </c>
      <c r="F10187" s="38" t="n">
        <f aca="false">Sens!$O$10187*(1+Sens!$F$10188)*Sens!$F$10197</f>
        <v>11.5006294561322</v>
      </c>
      <c r="G10187" s="38" t="n">
        <f aca="false">Sens!$E$10187+Sens!$F$10187</f>
        <v>23.0796294561322</v>
      </c>
      <c r="H10187" s="38" t="n">
        <f aca="false">Sens!$G$10187*(1+Sens!$H$10188)</f>
        <v>24.2553995769935</v>
      </c>
      <c r="I10187" s="38" t="n">
        <f aca="false">Sens!$H$10187*(1+Sens!$I$10188)</f>
        <v>25.3217326588874</v>
      </c>
      <c r="J10187" s="38" t="n">
        <f aca="false">Sens!$I$10187*(1+Sens!$J$10188)</f>
        <v>26.2581646353951</v>
      </c>
      <c r="K10187" s="38" t="n">
        <f aca="false">Sens!$J$10187*(1+Sens!$K$10188)</f>
        <v>27.045909574457</v>
      </c>
      <c r="L10187" s="38" t="n">
        <f aca="false">Sens!$K$10187*(1+Sens!$L$10188)</f>
        <v>27.8572868616907</v>
      </c>
      <c r="M10187" s="38" t="n">
        <f aca="false">Sens!$L$10187*(1+Sens!$M$10188)</f>
        <v>28.6930054675414</v>
      </c>
      <c r="N10187" s="38" t="n">
        <f aca="false">Q!$N$11</f>
        <v>11.128</v>
      </c>
      <c r="O10187" s="38" t="n">
        <f aca="false">Q!$O$11</f>
        <v>11.433</v>
      </c>
      <c r="P10187" s="8" t="s">
        <v>661</v>
      </c>
    </row>
    <row r="10188" customFormat="false" ht="17.15" hidden="false" customHeight="false" outlineLevel="0" collapsed="false">
      <c r="A10188" s="0" t="s">
        <v>664</v>
      </c>
      <c r="B10188" s="0" t="s">
        <v>52</v>
      </c>
      <c r="E10188" s="13" t="n">
        <f aca="false">Sens!$E$10187/Sens!$N$10187-1</f>
        <v>0.0405283968368082</v>
      </c>
      <c r="F10188" s="13" t="n">
        <f aca="false">Sens!$O$10187/(Q!$F$11+Q!$G$11)-1</f>
        <v>0.0579254187100955</v>
      </c>
      <c r="G10188" s="13" t="n">
        <f aca="false">Sens!$G$10187/Sens!$D$10187-1</f>
        <v>0.0229878753659964</v>
      </c>
      <c r="H10188" s="13" t="n">
        <f aca="false">Sens!$F$10188+(g_ps-Sens!$F$10188)*1/4</f>
        <v>0.0509440640325716</v>
      </c>
      <c r="I10188" s="13" t="n">
        <f aca="false">Sens!$F$10188+(g_ps-Sens!$F$10188)*2/4</f>
        <v>0.0439627093550477</v>
      </c>
      <c r="J10188" s="13" t="n">
        <f aca="false">Sens!$F$10188+(g_ps-Sens!$F$10188)*3/4</f>
        <v>0.0369813546775239</v>
      </c>
      <c r="K10188" s="13" t="n">
        <f aca="false">Sens!$F$10188+(g_ps-Sens!$F$10188)*4/4</f>
        <v>0.03</v>
      </c>
      <c r="L10188" s="13" t="n">
        <f aca="false">g_ps</f>
        <v>0.03</v>
      </c>
      <c r="M10188" s="13" t="n">
        <f aca="false">g_ps</f>
        <v>0.03</v>
      </c>
      <c r="P10188" s="8" t="s">
        <v>665</v>
      </c>
    </row>
    <row r="10189" customFormat="false" ht="17.15" hidden="false" customHeight="false" outlineLevel="0" collapsed="false">
      <c r="A10189" s="0" t="s">
        <v>518</v>
      </c>
      <c r="B10189" s="0" t="s">
        <v>86</v>
      </c>
      <c r="C10189" s="38" t="n">
        <f aca="false">Q!$D$12</f>
        <v>156.146</v>
      </c>
      <c r="D10189" s="38" t="n">
        <f aca="false">Q!$E$12</f>
        <v>172.162</v>
      </c>
      <c r="E10189" s="38" t="n">
        <f aca="false">Q!$P$12</f>
        <v>88.358</v>
      </c>
      <c r="F10189" s="38" t="n">
        <f aca="false">Sens!$O$10189*(1+Sens!$F$10190)*Sens!$F$10197</f>
        <v>101.184024252687</v>
      </c>
      <c r="G10189" s="38" t="n">
        <f aca="false">Sens!$E$10189+Sens!$F$10189</f>
        <v>189.542024252687</v>
      </c>
      <c r="H10189" s="38" t="n">
        <f aca="false">Sens!$G$10189*(1+Sens!$H$10190)</f>
        <v>209.436635959084</v>
      </c>
      <c r="I10189" s="38" t="n">
        <f aca="false">Sens!$H$10189*(1+Sens!$I$10190)</f>
        <v>228.978677217176</v>
      </c>
      <c r="J10189" s="38" t="n">
        <f aca="false">Sens!$I$10189*(1+Sens!$J$10190)</f>
        <v>247.675662565342</v>
      </c>
      <c r="K10189" s="38" t="n">
        <f aca="false">Sens!$J$10189*(1+Sens!$K$10190)</f>
        <v>265.012958944916</v>
      </c>
      <c r="L10189" s="38" t="n">
        <f aca="false">Sens!$K$10189*(1+Sens!$L$10190)</f>
        <v>283.56386607106</v>
      </c>
      <c r="M10189" s="38" t="n">
        <f aca="false">Sens!$L$10189*(1+Sens!$M$10190)</f>
        <v>303.413336696034</v>
      </c>
      <c r="N10189" s="38" t="n">
        <f aca="false">Q!$N$12</f>
        <v>76.86</v>
      </c>
      <c r="O10189" s="38" t="n">
        <f aca="false">Q!$O$12</f>
        <v>95.302</v>
      </c>
      <c r="P10189" s="8" t="s">
        <v>661</v>
      </c>
    </row>
    <row r="10190" customFormat="false" ht="17.15" hidden="false" customHeight="false" outlineLevel="0" collapsed="false">
      <c r="A10190" s="0" t="s">
        <v>666</v>
      </c>
      <c r="B10190" s="0" t="s">
        <v>52</v>
      </c>
      <c r="E10190" s="13" t="n">
        <f aca="false">Sens!$E$10189/Sens!$N$10189-1</f>
        <v>0.1495966692688</v>
      </c>
      <c r="F10190" s="13" t="n">
        <f aca="false">Sens!$O$10189/(Q!$F$12+Q!$G$12)-1</f>
        <v>0.11661530890813</v>
      </c>
      <c r="G10190" s="13" t="n">
        <f aca="false">Sens!$G$10189/Sens!$D$10189-1</f>
        <v>0.100951570338909</v>
      </c>
      <c r="H10190" s="13" t="n">
        <f aca="false">Sens!$F$10190+(g_sp-Sens!$F$10190)*1/4</f>
        <v>0.104961481681098</v>
      </c>
      <c r="I10190" s="13" t="n">
        <f aca="false">Sens!$F$10190+(g_sp-Sens!$F$10190)*2/4</f>
        <v>0.0933076544540651</v>
      </c>
      <c r="J10190" s="13" t="n">
        <f aca="false">Sens!$F$10190+(g_sp-Sens!$F$10190)*3/4</f>
        <v>0.0816538272270325</v>
      </c>
      <c r="K10190" s="13" t="n">
        <f aca="false">Sens!$F$10190+(g_sp-Sens!$F$10190)*4/4</f>
        <v>0.07</v>
      </c>
      <c r="L10190" s="13" t="n">
        <f aca="false">g_sp</f>
        <v>0.07</v>
      </c>
      <c r="M10190" s="13" t="n">
        <f aca="false">g_sp</f>
        <v>0.07</v>
      </c>
      <c r="P10190" s="8" t="s">
        <v>667</v>
      </c>
    </row>
    <row r="10191" customFormat="false" ht="17.15" hidden="false" customHeight="false" outlineLevel="0" collapsed="false">
      <c r="A10191" s="0" t="s">
        <v>519</v>
      </c>
      <c r="B10191" s="0" t="s">
        <v>86</v>
      </c>
      <c r="C10191" s="38" t="n">
        <f aca="false">Q!$D$13</f>
        <v>56.214</v>
      </c>
      <c r="D10191" s="38" t="n">
        <f aca="false">Q!$E$13</f>
        <v>68.635</v>
      </c>
      <c r="E10191" s="38" t="n">
        <f aca="false">Q!$P$13</f>
        <v>37.052</v>
      </c>
      <c r="F10191" s="38" t="n">
        <f aca="false">Sens!$O$10191*(1+Sens!$F$10192)*Sens!$F$10197</f>
        <v>45.7860053805462</v>
      </c>
      <c r="G10191" s="38" t="n">
        <f aca="false">Sens!$E$10191+Sens!$F$10191</f>
        <v>82.8380053805462</v>
      </c>
      <c r="H10191" s="38" t="n">
        <f aca="false">Sens!$G$10191*(1+Sens!$H$10192)</f>
        <v>99.4512578764903</v>
      </c>
      <c r="I10191" s="38" t="n">
        <f aca="false">Sens!$H$10191*(1+Sens!$I$10192)</f>
        <v>116.063005430549</v>
      </c>
      <c r="J10191" s="38" t="n">
        <f aca="false">Sens!$I$10191*(1+Sens!$J$10192)</f>
        <v>131.559393312867</v>
      </c>
      <c r="K10191" s="38" t="n">
        <f aca="false">Sens!$J$10191*(1+Sens!$K$10192)</f>
        <v>144.715332644154</v>
      </c>
      <c r="L10191" s="38" t="n">
        <f aca="false">Sens!$K$10191*(1+Sens!$L$10192)</f>
        <v>159.186865908569</v>
      </c>
      <c r="M10191" s="38" t="n">
        <f aca="false">Sens!$L$10191*(1+Sens!$M$10192)</f>
        <v>175.105552499426</v>
      </c>
      <c r="N10191" s="38" t="n">
        <f aca="false">Q!$N$13</f>
        <v>29.615</v>
      </c>
      <c r="O10191" s="38" t="n">
        <f aca="false">Q!$O$13</f>
        <v>39.02</v>
      </c>
      <c r="P10191" s="8" t="s">
        <v>661</v>
      </c>
    </row>
    <row r="10192" customFormat="false" ht="17.15" hidden="false" customHeight="false" outlineLevel="0" collapsed="false">
      <c r="A10192" s="0" t="s">
        <v>668</v>
      </c>
      <c r="B10192" s="0" t="s">
        <v>52</v>
      </c>
      <c r="E10192" s="13" t="n">
        <f aca="false">Sens!$E$10191/Sens!$N$10191-1</f>
        <v>0.25112274185379</v>
      </c>
      <c r="F10192" s="13" t="n">
        <f aca="false">Sens!$O$10191/(Q!$F$13+Q!$G$13)-1</f>
        <v>0.234068123596572</v>
      </c>
      <c r="G10192" s="13" t="n">
        <f aca="false">Sens!$G$10191/Sens!$D$10191-1</f>
        <v>0.206935315517538</v>
      </c>
      <c r="H10192" s="13" t="n">
        <f aca="false">Sens!$F$10192+(g_ad-Sens!$F$10192)*1/4</f>
        <v>0.200551092697429</v>
      </c>
      <c r="I10192" s="13" t="n">
        <f aca="false">Sens!$F$10192+(g_ad-Sens!$F$10192)*2/4</f>
        <v>0.167034061798286</v>
      </c>
      <c r="J10192" s="13" t="n">
        <f aca="false">Sens!$F$10192+(g_ad-Sens!$F$10192)*3/4</f>
        <v>0.133517030899143</v>
      </c>
      <c r="K10192" s="13" t="n">
        <f aca="false">Sens!$F$10192+(g_ad-Sens!$F$10192)*4/4</f>
        <v>0.1</v>
      </c>
      <c r="L10192" s="13" t="n">
        <f aca="false">g_ad</f>
        <v>0.1</v>
      </c>
      <c r="M10192" s="13" t="n">
        <f aca="false">g_ad</f>
        <v>0.1</v>
      </c>
      <c r="P10192" s="8" t="s">
        <v>669</v>
      </c>
    </row>
    <row r="10193" customFormat="false" ht="17.15" hidden="false" customHeight="false" outlineLevel="0" collapsed="false">
      <c r="A10193" s="0" t="s">
        <v>520</v>
      </c>
      <c r="B10193" s="0" t="s">
        <v>86</v>
      </c>
      <c r="C10193" s="38" t="n">
        <f aca="false">Q!$D$14</f>
        <v>44.374</v>
      </c>
      <c r="D10193" s="38" t="n">
        <f aca="false">Q!$E$14</f>
        <v>49.619</v>
      </c>
      <c r="E10193" s="38" t="n">
        <f aca="false">Q!$P$14</f>
        <v>27.157</v>
      </c>
      <c r="F10193" s="38" t="n">
        <f aca="false">Sens!$O$10193*(1+Sens!$F$10194)*Sens!$F$10197</f>
        <v>27.55302647979</v>
      </c>
      <c r="G10193" s="38" t="n">
        <f aca="false">Sens!$E$10193+Sens!$F$10193</f>
        <v>54.71002647979</v>
      </c>
      <c r="H10193" s="38" t="n">
        <f aca="false">Sens!$G$10193*(1+Sens!$H$10194)</f>
        <v>60.9077149464402</v>
      </c>
      <c r="I10193" s="38" t="n">
        <f aca="false">Sens!$H$10193*(1+Sens!$I$10194)</f>
        <v>66.9287470272796</v>
      </c>
      <c r="J10193" s="38" t="n">
        <f aca="false">Sens!$I$10193*(1+Sens!$J$10194)</f>
        <v>72.5793737728661</v>
      </c>
      <c r="K10193" s="38" t="n">
        <f aca="false">Sens!$J$10193*(1+Sens!$K$10194)</f>
        <v>77.6599299369667</v>
      </c>
      <c r="L10193" s="38" t="n">
        <f aca="false">Sens!$K$10193*(1+Sens!$L$10194)</f>
        <v>83.0961250325544</v>
      </c>
      <c r="M10193" s="38" t="n">
        <f aca="false">Sens!$L$10193*(1+Sens!$M$10194)</f>
        <v>88.9128537848332</v>
      </c>
      <c r="N10193" s="38" t="n">
        <f aca="false">Q!$N$14</f>
        <v>23.923</v>
      </c>
      <c r="O10193" s="38" t="n">
        <f aca="false">Q!$O$14</f>
        <v>25.696</v>
      </c>
      <c r="P10193" s="8" t="s">
        <v>661</v>
      </c>
    </row>
    <row r="10194" customFormat="false" ht="17.15" hidden="false" customHeight="false" outlineLevel="0" collapsed="false">
      <c r="A10194" s="0" t="s">
        <v>670</v>
      </c>
      <c r="B10194" s="0" t="s">
        <v>52</v>
      </c>
      <c r="E10194" s="13" t="n">
        <f aca="false">Sens!$E$10193/Sens!$N$10193-1</f>
        <v>0.135183714417088</v>
      </c>
      <c r="F10194" s="13" t="n">
        <f aca="false">Sens!$O$10193/(Q!$F$14+Q!$G$14)-1</f>
        <v>0.127709997366804</v>
      </c>
      <c r="G10194" s="13" t="n">
        <f aca="false">Sens!$G$10193/Sens!$D$10193-1</f>
        <v>0.102602359575768</v>
      </c>
      <c r="H10194" s="13" t="n">
        <f aca="false">Sens!$F$10194+(g_sub-Sens!$F$10194)*1/4</f>
        <v>0.113282498025103</v>
      </c>
      <c r="I10194" s="13" t="n">
        <f aca="false">Sens!$F$10194+(g_sub-Sens!$F$10194)*2/4</f>
        <v>0.0988549986834021</v>
      </c>
      <c r="J10194" s="13" t="n">
        <f aca="false">Sens!$F$10194+(g_sub-Sens!$F$10194)*3/4</f>
        <v>0.084427499341701</v>
      </c>
      <c r="K10194" s="13" t="n">
        <f aca="false">Sens!$F$10194+(g_sub-Sens!$F$10194)*4/4</f>
        <v>0.07</v>
      </c>
      <c r="L10194" s="13" t="n">
        <f aca="false">g_sub</f>
        <v>0.07</v>
      </c>
      <c r="M10194" s="13" t="n">
        <f aca="false">g_sub</f>
        <v>0.07</v>
      </c>
      <c r="P10194" s="8" t="s">
        <v>671</v>
      </c>
    </row>
    <row r="10195" customFormat="false" ht="17.15" hidden="false" customHeight="false" outlineLevel="0" collapsed="false">
      <c r="A10195" s="0" t="s">
        <v>521</v>
      </c>
      <c r="B10195" s="0" t="s">
        <v>86</v>
      </c>
      <c r="C10195" s="38" t="n">
        <f aca="false">Q!$D$15</f>
        <v>5.425</v>
      </c>
      <c r="D10195" s="38" t="n">
        <f aca="false">Q!$E$15</f>
        <v>5.935</v>
      </c>
      <c r="E10195" s="38" t="n">
        <f aca="false">Q!$P$15</f>
        <v>3.474</v>
      </c>
      <c r="F10195" s="38" t="n">
        <f aca="false">Sens!$O$10195*(1+Sens!$F$10196)*Sens!$F$10197</f>
        <v>3.19654902853668</v>
      </c>
      <c r="G10195" s="38" t="n">
        <f aca="false">Sens!$E$10195+Sens!$F$10195</f>
        <v>6.67054902853668</v>
      </c>
      <c r="H10195" s="38" t="n">
        <f aca="false">Sens!$G$10195*(1+Sens!$H$10196)</f>
        <v>7.13479327564415</v>
      </c>
      <c r="I10195" s="38" t="n">
        <f aca="false">Sens!$H$10195*(1+Sens!$I$10196)</f>
        <v>7.58474238998743</v>
      </c>
      <c r="J10195" s="38" t="n">
        <f aca="false">Sens!$I$10195*(1+Sens!$J$10196)</f>
        <v>8.01352331850166</v>
      </c>
      <c r="K10195" s="38" t="n">
        <f aca="false">Sens!$J$10195*(1+Sens!$K$10196)</f>
        <v>8.41419948442675</v>
      </c>
      <c r="L10195" s="38" t="n">
        <f aca="false">Sens!$K$10195*(1+Sens!$L$10196)</f>
        <v>8.83490945864809</v>
      </c>
      <c r="M10195" s="38" t="n">
        <f aca="false">Sens!$L$10195*(1+Sens!$M$10196)</f>
        <v>9.27665493158049</v>
      </c>
      <c r="N10195" s="38" t="n">
        <f aca="false">Q!$N$15</f>
        <v>2.811</v>
      </c>
      <c r="O10195" s="38" t="n">
        <f aca="false">Q!$O$15</f>
        <v>3.124</v>
      </c>
      <c r="P10195" s="8" t="s">
        <v>661</v>
      </c>
    </row>
    <row r="10196" customFormat="false" ht="17.15" hidden="false" customHeight="false" outlineLevel="0" collapsed="false">
      <c r="A10196" s="0" t="s">
        <v>672</v>
      </c>
      <c r="B10196" s="0" t="s">
        <v>52</v>
      </c>
      <c r="E10196" s="13" t="n">
        <f aca="false">Sens!$E$10195/Sens!$N$10195-1</f>
        <v>0.235859124866596</v>
      </c>
      <c r="F10196" s="13" t="n">
        <f aca="false">Sens!$O$10195/(Q!$F$15+Q!$G$15)-1</f>
        <v>0.0761281433000345</v>
      </c>
      <c r="G10196" s="13" t="n">
        <f aca="false">Sens!$G$10195/Sens!$D$10195-1</f>
        <v>0.12393412443752</v>
      </c>
      <c r="H10196" s="13" t="n">
        <f aca="false">Sens!$F$10196+(g_ot-Sens!$F$10196)*1/4</f>
        <v>0.0695961074750259</v>
      </c>
      <c r="I10196" s="13" t="n">
        <f aca="false">Sens!$F$10196+(g_ot-Sens!$F$10196)*2/4</f>
        <v>0.0630640716500172</v>
      </c>
      <c r="J10196" s="13" t="n">
        <f aca="false">Sens!$F$10196+(g_ot-Sens!$F$10196)*3/4</f>
        <v>0.0565320358250086</v>
      </c>
      <c r="K10196" s="13" t="n">
        <f aca="false">Sens!$F$10196+(g_ot-Sens!$F$10196)*4/4</f>
        <v>0.05</v>
      </c>
      <c r="L10196" s="13" t="n">
        <f aca="false">g_ot</f>
        <v>0.05</v>
      </c>
      <c r="M10196" s="13" t="n">
        <f aca="false">g_ot</f>
        <v>0.05</v>
      </c>
      <c r="P10196" s="8" t="s">
        <v>673</v>
      </c>
    </row>
    <row r="10197" customFormat="false" ht="17.15" hidden="false" customHeight="false" outlineLevel="0" collapsed="false">
      <c r="A10197" s="0" t="s">
        <v>674</v>
      </c>
      <c r="B10197" s="0" t="s">
        <v>57</v>
      </c>
      <c r="F10197" s="40" t="n">
        <f aca="false">(g26q3_mid*Q!$O$8/Q!$J$8-Sens!$F$10226-Sens!$F$10230)/(Sens!$O$10185*(1+Sens!$F$10186)+Sens!$O$10187*(1+Sens!$F$10188)+Sens!$O$10189*(1+Sens!$F$10190)+Sens!$O$10191*(1+Sens!$F$10192)+Sens!$O$10193*(1+Sens!$F$10194)+Sens!$O$10195*(1+Sens!$F$10196))</f>
        <v>0.950837618085622</v>
      </c>
      <c r="P10197" s="8" t="s">
        <v>675</v>
      </c>
    </row>
    <row r="10198" customFormat="false" ht="17.15" hidden="false" customHeight="false" outlineLevel="0" collapsed="false">
      <c r="A10198" s="3" t="s">
        <v>676</v>
      </c>
      <c r="B10198" s="8" t="s">
        <v>86</v>
      </c>
      <c r="C10198" s="38" t="n">
        <f aca="false">Sens!$C$10185+Sens!$C$10187+Sens!$C$10189+Sens!$C$10191+Sens!$C$10193+Sens!$C$10195</f>
        <v>530.403</v>
      </c>
      <c r="D10198" s="38" t="n">
        <f aca="false">Sens!$D$10185+Sens!$D$10187+Sens!$D$10189+Sens!$D$10191+Sens!$D$10193+Sens!$D$10195</f>
        <v>588.199</v>
      </c>
      <c r="E10198" s="38" t="n">
        <f aca="false">Sens!$E$10185+Sens!$E$10187+Sens!$E$10189+Sens!$E$10191+Sens!$E$10193+Sens!$E$10195</f>
        <v>302.306</v>
      </c>
      <c r="F10198" s="38" t="n">
        <f aca="false">Sens!$F$10185+Sens!$F$10187+Sens!$F$10189+Sens!$F$10191+Sens!$F$10193+Sens!$F$10195</f>
        <v>346.241042669046</v>
      </c>
      <c r="G10198" s="38" t="n">
        <f aca="false">Sens!$G$10185+Sens!$G$10187+Sens!$G$10189+Sens!$G$10191+Sens!$G$10193+Sens!$G$10195</f>
        <v>648.547042669046</v>
      </c>
      <c r="H10198" s="38" t="n">
        <f aca="false">Sens!$H$10185+Sens!$H$10187+Sens!$H$10189+Sens!$H$10191+Sens!$H$10193+Sens!$H$10195</f>
        <v>717.987755572166</v>
      </c>
      <c r="I10198" s="38" t="n">
        <f aca="false">Sens!$I$10185+Sens!$I$10187+Sens!$I$10189+Sens!$I$10191+Sens!$I$10193+Sens!$I$10195</f>
        <v>785.128256321855</v>
      </c>
      <c r="J10198" s="38" t="n">
        <f aca="false">Sens!$J$10185+Sens!$J$10187+Sens!$J$10189+Sens!$J$10191+Sens!$J$10193+Sens!$J$10195</f>
        <v>847.436303557948</v>
      </c>
      <c r="K10198" s="38" t="n">
        <f aca="false">Sens!$K$10185+Sens!$K$10187+Sens!$K$10189+Sens!$K$10191+Sens!$K$10193+Sens!$K$10195</f>
        <v>902.266025835545</v>
      </c>
      <c r="L10198" s="38" t="n">
        <f aca="false">Sens!$L$10185+Sens!$L$10187+Sens!$L$10189+Sens!$L$10191+Sens!$L$10193+Sens!$L$10195</f>
        <v>960.927633345679</v>
      </c>
      <c r="M10198" s="38" t="n">
        <f aca="false">Sens!$M$10185+Sens!$M$10187+Sens!$M$10189+Sens!$M$10191+Sens!$M$10193+Sens!$M$10195</f>
        <v>1023.70941239323</v>
      </c>
      <c r="N10198" s="38" t="n">
        <f aca="false">Sens!$N$10185+Sens!$N$10187+Sens!$N$10189+Sens!$N$10191+Sens!$N$10193+Sens!$N$10195</f>
        <v>263.229</v>
      </c>
      <c r="O10198" s="38" t="n">
        <f aca="false">Sens!$O$10185+Sens!$O$10187+Sens!$O$10189+Sens!$O$10191+Sens!$O$10193+Sens!$O$10195</f>
        <v>324.97</v>
      </c>
    </row>
    <row r="10199" customFormat="false" ht="17.15" hidden="false" customHeight="false" outlineLevel="0" collapsed="false">
      <c r="A10199" s="5" t="s">
        <v>677</v>
      </c>
      <c r="B10199" s="0" t="s">
        <v>52</v>
      </c>
      <c r="C10199" s="13" t="n">
        <f aca="false">Q!$D$5/(Q!$D$5+Q!$D$6)</f>
        <v>0.730570905519011</v>
      </c>
      <c r="D10199" s="13" t="n">
        <f aca="false">Q!$E$5/(Q!$E$5+Q!$E$6)</f>
        <v>0.724763217890544</v>
      </c>
      <c r="E10199" s="13" t="n">
        <f aca="false">Q!$P$5/(Q!$P$5+Q!$P$6)</f>
        <v>0.728797972914861</v>
      </c>
      <c r="F10199" s="13" t="n">
        <f aca="false">Sens!$O$10199</f>
        <v>0.718066283041511</v>
      </c>
      <c r="G10199" s="13" t="n">
        <f aca="false">Sens!$G$10200/Sens!$G$10198</f>
        <v>0.72306862523939</v>
      </c>
      <c r="H10199" s="13" t="n">
        <f aca="false">Sens!$G$10199</f>
        <v>0.72306862523939</v>
      </c>
      <c r="I10199" s="13" t="n">
        <f aca="false">Sens!$G$10199</f>
        <v>0.72306862523939</v>
      </c>
      <c r="J10199" s="13" t="n">
        <f aca="false">Sens!$G$10199</f>
        <v>0.72306862523939</v>
      </c>
      <c r="K10199" s="13" t="n">
        <f aca="false">Sens!$G$10199</f>
        <v>0.72306862523939</v>
      </c>
      <c r="L10199" s="13" t="n">
        <f aca="false">Sens!$G$10199</f>
        <v>0.72306862523939</v>
      </c>
      <c r="M10199" s="13" t="n">
        <f aca="false">Sens!$G$10199</f>
        <v>0.72306862523939</v>
      </c>
      <c r="N10199" s="13" t="n">
        <f aca="false">Q!$N$5/(Q!$N$5+Q!$N$6)</f>
        <v>0.733030935041352</v>
      </c>
      <c r="O10199" s="13" t="n">
        <f aca="false">Q!$O$5/(Q!$O$5+Q!$O$6)</f>
        <v>0.718066283041511</v>
      </c>
      <c r="P10199" s="8" t="s">
        <v>678</v>
      </c>
    </row>
    <row r="10200" customFormat="false" ht="17.15" hidden="false" customHeight="false" outlineLevel="0" collapsed="false">
      <c r="A10200" s="1" t="s">
        <v>509</v>
      </c>
      <c r="B10200" s="8" t="s">
        <v>86</v>
      </c>
      <c r="C10200" s="38" t="n">
        <f aca="false">Q!$D$5</f>
        <v>387.497</v>
      </c>
      <c r="D10200" s="38" t="n">
        <f aca="false">Q!$E$5</f>
        <v>426.305</v>
      </c>
      <c r="E10200" s="38" t="n">
        <f aca="false">Q!$P$5</f>
        <v>220.32</v>
      </c>
      <c r="F10200" s="38" t="n">
        <f aca="false">Sens!$F$10198*Sens!$F$10199</f>
        <v>248.624018545779</v>
      </c>
      <c r="G10200" s="38" t="n">
        <f aca="false">Sens!$E$10200+Sens!$F$10200</f>
        <v>468.944018545779</v>
      </c>
      <c r="H10200" s="38" t="n">
        <f aca="false">Sens!$H$10198*Sens!$H$10199</f>
        <v>519.154419360281</v>
      </c>
      <c r="I10200" s="38" t="n">
        <f aca="false">Sens!$I$10198*Sens!$I$10199</f>
        <v>567.701608935243</v>
      </c>
      <c r="J10200" s="38" t="n">
        <f aca="false">Sens!$J$10198*Sens!$J$10199</f>
        <v>612.754602991596</v>
      </c>
      <c r="K10200" s="38" t="n">
        <f aca="false">Sens!$K$10198*Sens!$K$10199</f>
        <v>652.400254901116</v>
      </c>
      <c r="L10200" s="38" t="n">
        <f aca="false">Sens!$L$10198*Sens!$L$10199</f>
        <v>694.816622797801</v>
      </c>
      <c r="M10200" s="38" t="n">
        <f aca="false">Sens!$M$10198*Sens!$M$10199</f>
        <v>740.212157463797</v>
      </c>
      <c r="N10200" s="38" t="n">
        <f aca="false">Q!$N$5</f>
        <v>192.955</v>
      </c>
      <c r="O10200" s="38" t="n">
        <f aca="false">Q!$O$5</f>
        <v>233.35</v>
      </c>
      <c r="P10200" s="5" t="s">
        <v>679</v>
      </c>
    </row>
    <row r="10201" customFormat="false" ht="17.15" hidden="false" customHeight="false" outlineLevel="0" collapsed="false">
      <c r="A10201" s="1" t="s">
        <v>512</v>
      </c>
      <c r="B10201" s="8" t="s">
        <v>86</v>
      </c>
      <c r="C10201" s="38" t="n">
        <f aca="false">Q!$D$6</f>
        <v>142.906</v>
      </c>
      <c r="D10201" s="38" t="n">
        <f aca="false">Q!$E$6</f>
        <v>161.894</v>
      </c>
      <c r="E10201" s="38" t="n">
        <f aca="false">Q!$P$6</f>
        <v>81.986</v>
      </c>
      <c r="F10201" s="38" t="n">
        <f aca="false">Sens!$F$10198*(1-Sens!$F$10199)</f>
        <v>97.6170241232667</v>
      </c>
      <c r="G10201" s="38" t="n">
        <f aca="false">Sens!$E$10201+Sens!$F$10201</f>
        <v>179.603024123267</v>
      </c>
      <c r="H10201" s="38" t="n">
        <f aca="false">Sens!$H$10198*(1-Sens!$H$10199)</f>
        <v>198.833336211884</v>
      </c>
      <c r="I10201" s="38" t="n">
        <f aca="false">Sens!$I$10198*(1-Sens!$I$10199)</f>
        <v>217.426647386612</v>
      </c>
      <c r="J10201" s="38" t="n">
        <f aca="false">Sens!$J$10198*(1-Sens!$J$10199)</f>
        <v>234.681700566352</v>
      </c>
      <c r="K10201" s="38" t="n">
        <f aca="false">Sens!$K$10198*(1-Sens!$K$10199)</f>
        <v>249.865770934429</v>
      </c>
      <c r="L10201" s="38" t="n">
        <f aca="false">Sens!$L$10198*(1-Sens!$L$10199)</f>
        <v>266.111010547878</v>
      </c>
      <c r="M10201" s="38" t="n">
        <f aca="false">Sens!$M$10198*(1-Sens!$M$10199)</f>
        <v>283.497254929433</v>
      </c>
      <c r="N10201" s="38" t="n">
        <f aca="false">Q!$N$6</f>
        <v>70.274</v>
      </c>
      <c r="O10201" s="38" t="n">
        <f aca="false">Q!$O$6</f>
        <v>91.62</v>
      </c>
      <c r="P10201" s="5" t="s">
        <v>680</v>
      </c>
    </row>
    <row r="10202" customFormat="false" ht="17.15" hidden="false" customHeight="false" outlineLevel="0" collapsed="false">
      <c r="A10202" s="5" t="s">
        <v>681</v>
      </c>
      <c r="B10202" s="0" t="s">
        <v>86</v>
      </c>
      <c r="C10202" s="38" t="n">
        <f aca="false">Sens!$C$10191*Sens!$C$10199</f>
        <v>41.0683128828457</v>
      </c>
      <c r="D10202" s="38" t="n">
        <f aca="false">Sens!$D$10191*Sens!$D$10199</f>
        <v>49.7441234599175</v>
      </c>
      <c r="E10202" s="38" t="n">
        <f aca="false">Sens!$E$10191*Sens!$E$10199</f>
        <v>27.0034224924414</v>
      </c>
      <c r="F10202" s="38" t="n">
        <f aca="false">Sens!$F$10191*Sens!$F$10199</f>
        <v>32.8773866989275</v>
      </c>
      <c r="G10202" s="38" t="n">
        <f aca="false">Sens!$G$10191*Sens!$G$10199</f>
        <v>59.8975626680848</v>
      </c>
      <c r="H10202" s="38" t="n">
        <f aca="false">Sens!$H$10191*Sens!$H$10199</f>
        <v>71.9100843110819</v>
      </c>
      <c r="I10202" s="38" t="n">
        <f aca="false">Sens!$I$10191*Sens!$I$10199</f>
        <v>83.9215177778191</v>
      </c>
      <c r="J10202" s="38" t="n">
        <f aca="false">Sens!$J$10191*Sens!$J$10199</f>
        <v>95.1264696600631</v>
      </c>
      <c r="K10202" s="38" t="n">
        <f aca="false">Sens!$K$10191*Sens!$K$10199</f>
        <v>104.639116626069</v>
      </c>
      <c r="L10202" s="38" t="n">
        <f aca="false">Sens!$L$10191*Sens!$L$10199</f>
        <v>115.103028288676</v>
      </c>
      <c r="M10202" s="38" t="n">
        <f aca="false">Sens!$M$10191*Sens!$M$10199</f>
        <v>126.613331117544</v>
      </c>
      <c r="N10202" s="38" t="n">
        <f aca="false">Sens!$N$10191*Sens!$N$10199</f>
        <v>21.7087111412496</v>
      </c>
      <c r="O10202" s="38" t="n">
        <f aca="false">Sens!$O$10191*Sens!$O$10199</f>
        <v>28.0189463642798</v>
      </c>
      <c r="P10202" s="5" t="s">
        <v>682</v>
      </c>
    </row>
    <row r="10203" customFormat="false" ht="15" hidden="false" customHeight="false" outlineLevel="0" collapsed="false">
      <c r="A10203" s="5" t="s">
        <v>683</v>
      </c>
      <c r="B10203" s="0" t="s">
        <v>86</v>
      </c>
      <c r="C10203" s="38" t="n">
        <f aca="false">Sens!$C$10191-Sens!$C$10202</f>
        <v>15.1456871171543</v>
      </c>
      <c r="D10203" s="38" t="n">
        <f aca="false">Sens!$D$10191-Sens!$D$10202</f>
        <v>18.8908765400825</v>
      </c>
      <c r="E10203" s="38" t="n">
        <f aca="false">Sens!$E$10191-Sens!$E$10202</f>
        <v>10.0485775075586</v>
      </c>
      <c r="F10203" s="38" t="n">
        <f aca="false">Sens!$F$10191-Sens!$F$10202</f>
        <v>12.9086186816188</v>
      </c>
      <c r="G10203" s="38" t="n">
        <f aca="false">Sens!$G$10191-Sens!$G$10202</f>
        <v>22.9404427124615</v>
      </c>
      <c r="H10203" s="38" t="n">
        <f aca="false">Sens!$H$10191-Sens!$H$10202</f>
        <v>27.5411735654084</v>
      </c>
      <c r="I10203" s="38" t="n">
        <f aca="false">Sens!$I$10191-Sens!$I$10202</f>
        <v>32.1414876527301</v>
      </c>
      <c r="J10203" s="38" t="n">
        <f aca="false">Sens!$J$10191-Sens!$J$10202</f>
        <v>36.4329236528041</v>
      </c>
      <c r="K10203" s="38" t="n">
        <f aca="false">Sens!$K$10191-Sens!$K$10202</f>
        <v>40.0762160180845</v>
      </c>
      <c r="L10203" s="38" t="n">
        <f aca="false">Sens!$L$10191-Sens!$L$10202</f>
        <v>44.0838376198929</v>
      </c>
      <c r="M10203" s="38" t="n">
        <f aca="false">Sens!$M$10191-Sens!$M$10202</f>
        <v>48.4922213818822</v>
      </c>
      <c r="N10203" s="38" t="n">
        <f aca="false">Sens!$N$10191-Sens!$N$10202</f>
        <v>7.90628885875037</v>
      </c>
      <c r="O10203" s="38" t="n">
        <f aca="false">Sens!$O$10191-Sens!$O$10202</f>
        <v>11.0010536357202</v>
      </c>
    </row>
    <row r="10204" customFormat="false" ht="19.4" hidden="false" customHeight="false" outlineLevel="0" collapsed="false">
      <c r="A10204" s="31" t="s">
        <v>1338</v>
      </c>
    </row>
    <row r="10205" customFormat="false" ht="17.15" hidden="false" customHeight="false" outlineLevel="0" collapsed="false">
      <c r="A10205" s="6" t="s">
        <v>16</v>
      </c>
      <c r="B10205" s="6" t="s">
        <v>17</v>
      </c>
      <c r="C10205" s="20" t="s">
        <v>494</v>
      </c>
      <c r="D10205" s="20" t="s">
        <v>495</v>
      </c>
      <c r="E10205" s="20" t="s">
        <v>577</v>
      </c>
      <c r="F10205" s="20" t="s">
        <v>578</v>
      </c>
      <c r="G10205" s="20" t="s">
        <v>579</v>
      </c>
      <c r="H10205" s="20" t="s">
        <v>580</v>
      </c>
      <c r="I10205" s="20" t="s">
        <v>581</v>
      </c>
      <c r="J10205" s="20" t="s">
        <v>582</v>
      </c>
      <c r="K10205" s="20" t="s">
        <v>583</v>
      </c>
      <c r="L10205" s="20" t="s">
        <v>584</v>
      </c>
      <c r="M10205" s="20" t="s">
        <v>585</v>
      </c>
      <c r="N10205" s="20" t="s">
        <v>586</v>
      </c>
      <c r="O10205" s="20" t="s">
        <v>587</v>
      </c>
      <c r="P10205" s="6" t="s">
        <v>23</v>
      </c>
      <c r="R10205" s="20" t="n">
        <v>2023</v>
      </c>
      <c r="S10205" s="20" t="n">
        <v>2024</v>
      </c>
      <c r="T10205" s="20" t="n">
        <v>2025</v>
      </c>
      <c r="U10205" s="20" t="n">
        <v>2026</v>
      </c>
      <c r="V10205" s="20" t="n">
        <v>2027</v>
      </c>
      <c r="W10205" s="20" t="n">
        <v>2028</v>
      </c>
      <c r="X10205" s="20" t="n">
        <v>2029</v>
      </c>
      <c r="Y10205" s="20" t="n">
        <v>2030</v>
      </c>
      <c r="Z10205" s="20" t="n">
        <v>2031</v>
      </c>
      <c r="AA10205" s="20" t="n">
        <v>2032</v>
      </c>
    </row>
    <row r="10206" customFormat="false" ht="17.15" hidden="false" customHeight="false" outlineLevel="0" collapsed="false">
      <c r="A10206" s="1" t="s">
        <v>588</v>
      </c>
    </row>
    <row r="10207" customFormat="false" ht="17.15" hidden="false" customHeight="false" outlineLevel="0" collapsed="false">
      <c r="A10207" s="5" t="s">
        <v>589</v>
      </c>
      <c r="B10207" s="0" t="s">
        <v>144</v>
      </c>
      <c r="H10207" s="32" t="n">
        <f aca="false">pace_A</f>
        <v>3733</v>
      </c>
      <c r="I10207" s="32" t="n">
        <f aca="false">pace_A</f>
        <v>3733</v>
      </c>
      <c r="J10207" s="32" t="n">
        <f aca="false">pace_A</f>
        <v>3733</v>
      </c>
      <c r="K10207" s="32" t="n">
        <f aca="false">pace_A+(Sens!$J$10208*tg-pace_A)*1/3</f>
        <v>2640.12166666667</v>
      </c>
      <c r="L10207" s="32" t="n">
        <f aca="false">pace_A+(Sens!$J$10208*tg-pace_A)*2/3</f>
        <v>1547.24333333333</v>
      </c>
      <c r="M10207" s="32" t="n">
        <f aca="false">pace_A+(Sens!$J$10208*tg-pace_A)*3/3</f>
        <v>454.365</v>
      </c>
      <c r="P10207" s="5" t="s">
        <v>590</v>
      </c>
    </row>
    <row r="10208" customFormat="false" ht="17.15" hidden="false" customHeight="false" outlineLevel="0" collapsed="false">
      <c r="A10208" s="15" t="s">
        <v>591</v>
      </c>
      <c r="B10208" s="14" t="s">
        <v>129</v>
      </c>
      <c r="C10208" s="33" t="n">
        <f aca="false">mw_ye24</f>
        <v>360</v>
      </c>
      <c r="D10208" s="33" t="n">
        <f aca="false">mw_ye25</f>
        <v>1440</v>
      </c>
      <c r="E10208" s="33" t="n">
        <f aca="false">mw_open</f>
        <v>2080</v>
      </c>
      <c r="F10208" s="33" t="n">
        <f aca="false">Sens!$E$10208+pace_A*0.5</f>
        <v>3946.5</v>
      </c>
      <c r="G10208" s="33" t="n">
        <f aca="false">Sens!$F$10208</f>
        <v>3946.5</v>
      </c>
      <c r="H10208" s="33" t="n">
        <f aca="false">Sens!$G$10208+Sens!$H$10207</f>
        <v>7679.5</v>
      </c>
      <c r="I10208" s="33" t="n">
        <f aca="false">Sens!$H$10208+Sens!$I$10207</f>
        <v>11412.5</v>
      </c>
      <c r="J10208" s="33" t="n">
        <f aca="false">Sens!$I$10208+Sens!$J$10207</f>
        <v>15145.5</v>
      </c>
      <c r="K10208" s="33" t="n">
        <f aca="false">Sens!$J$10208+Sens!$K$10207</f>
        <v>17785.6216666667</v>
      </c>
      <c r="L10208" s="33" t="n">
        <f aca="false">Sens!$K$10208+Sens!$L$10207</f>
        <v>19332.865</v>
      </c>
      <c r="M10208" s="33" t="n">
        <f aca="false">Sens!$L$10208+Sens!$M$10207</f>
        <v>19787.23</v>
      </c>
      <c r="N10208" s="33" t="n">
        <f aca="false">(mw_ye24+mw_ye25)/2</f>
        <v>900</v>
      </c>
      <c r="O10208" s="33" t="n">
        <f aca="false">mw_ye25</f>
        <v>1440</v>
      </c>
      <c r="P10208" s="5" t="s">
        <v>592</v>
      </c>
    </row>
    <row r="10209" customFormat="false" ht="17.15" hidden="false" customHeight="false" outlineLevel="0" collapsed="false">
      <c r="A10209" s="5" t="s">
        <v>593</v>
      </c>
      <c r="B10209" s="0" t="s">
        <v>129</v>
      </c>
      <c r="C10209" s="32" t="n">
        <f aca="false">(mw_ye23+mw_ye24)/2</f>
        <v>240</v>
      </c>
      <c r="D10209" s="32" t="n">
        <f aca="false">(Sens!$C$10208+Sens!$D$10208)/2</f>
        <v>900</v>
      </c>
      <c r="E10209" s="32" t="n">
        <f aca="false">(Sens!$D$10208+Sens!$E$10208)/2</f>
        <v>1760</v>
      </c>
      <c r="F10209" s="32" t="n">
        <f aca="false">(Sens!$E$10208+Sens!$F$10208)/2</f>
        <v>3013.25</v>
      </c>
      <c r="G10209" s="32" t="n">
        <f aca="false">(Sens!$E$10209+Sens!$F$10209)/2</f>
        <v>2386.625</v>
      </c>
      <c r="H10209" s="32" t="n">
        <f aca="false">(Sens!$G$10208+Sens!$H$10208)/2</f>
        <v>5813</v>
      </c>
      <c r="I10209" s="32" t="n">
        <f aca="false">(Sens!$H$10208+Sens!$I$10208)/2</f>
        <v>9546</v>
      </c>
      <c r="J10209" s="32" t="n">
        <f aca="false">(Sens!$I$10208+Sens!$J$10208)/2</f>
        <v>13279</v>
      </c>
      <c r="K10209" s="32" t="n">
        <f aca="false">(Sens!$J$10208+Sens!$K$10208)/2</f>
        <v>16465.5608333333</v>
      </c>
      <c r="L10209" s="32" t="n">
        <f aca="false">(Sens!$K$10208+Sens!$L$10208)/2</f>
        <v>18559.2433333333</v>
      </c>
      <c r="M10209" s="32" t="n">
        <f aca="false">(Sens!$L$10208+Sens!$M$10208)/2</f>
        <v>19560.0475</v>
      </c>
      <c r="N10209" s="32" t="n">
        <f aca="false">(Sens!$C$10208+Sens!$N$10208)/2</f>
        <v>630</v>
      </c>
      <c r="O10209" s="32" t="n">
        <f aca="false">(Sens!$N$10208+Sens!$O$10208)/2</f>
        <v>1170</v>
      </c>
    </row>
    <row r="10210" customFormat="false" ht="15" hidden="false" customHeight="false" outlineLevel="0" collapsed="false">
      <c r="A10210" s="5" t="s">
        <v>594</v>
      </c>
      <c r="B10210" s="5" t="s">
        <v>123</v>
      </c>
      <c r="C10210" s="34" t="n">
        <v>1</v>
      </c>
      <c r="D10210" s="34" t="n">
        <v>1</v>
      </c>
      <c r="E10210" s="34" t="n">
        <v>0.5</v>
      </c>
      <c r="F10210" s="34" t="n">
        <v>0.5</v>
      </c>
      <c r="G10210" s="34" t="n">
        <v>1</v>
      </c>
      <c r="H10210" s="34" t="n">
        <v>1</v>
      </c>
      <c r="I10210" s="34" t="n">
        <v>1</v>
      </c>
      <c r="J10210" s="34" t="n">
        <v>1</v>
      </c>
      <c r="K10210" s="34" t="n">
        <v>1</v>
      </c>
      <c r="L10210" s="34" t="n">
        <v>1</v>
      </c>
      <c r="M10210" s="34" t="n">
        <v>1</v>
      </c>
      <c r="N10210" s="34" t="n">
        <v>0.5</v>
      </c>
      <c r="O10210" s="34" t="n">
        <v>0.5</v>
      </c>
    </row>
    <row r="10211" customFormat="false" ht="17.15" hidden="false" customHeight="false" outlineLevel="0" collapsed="false">
      <c r="A10211" s="5" t="s">
        <v>595</v>
      </c>
      <c r="B10211" s="0" t="s">
        <v>129</v>
      </c>
      <c r="C10211" s="32" t="n">
        <f aca="false">Sens!$C$10208-mw_ye23</f>
        <v>240</v>
      </c>
      <c r="D10211" s="32" t="n">
        <f aca="false">Sens!$D$10208-Sens!$C$10208</f>
        <v>1080</v>
      </c>
      <c r="E10211" s="32" t="n">
        <f aca="false">Sens!$E$10208-Sens!$D$10208</f>
        <v>640</v>
      </c>
      <c r="F10211" s="32" t="n">
        <f aca="false">Sens!$F$10208-Sens!$E$10208</f>
        <v>1866.5</v>
      </c>
      <c r="G10211" s="32" t="n">
        <f aca="false">Sens!$E$10211+Sens!$F$10211</f>
        <v>2506.5</v>
      </c>
      <c r="H10211" s="32" t="n">
        <f aca="false">Sens!$H$10208-Sens!$G$10208</f>
        <v>3733</v>
      </c>
      <c r="I10211" s="32" t="n">
        <f aca="false">Sens!$I$10208-Sens!$H$10208</f>
        <v>3733</v>
      </c>
      <c r="J10211" s="32" t="n">
        <f aca="false">Sens!$J$10208-Sens!$I$10208</f>
        <v>3733</v>
      </c>
      <c r="K10211" s="32" t="n">
        <f aca="false">Sens!$K$10208-Sens!$J$10208</f>
        <v>2640.12166666667</v>
      </c>
      <c r="L10211" s="32" t="n">
        <f aca="false">Sens!$L$10208-Sens!$K$10208</f>
        <v>1547.24333333333</v>
      </c>
      <c r="M10211" s="32" t="n">
        <f aca="false">Sens!$M$10208-Sens!$L$10208</f>
        <v>454.364999999998</v>
      </c>
      <c r="N10211" s="32" t="n">
        <f aca="false">Sens!$N$10208-Sens!$C$10208</f>
        <v>540</v>
      </c>
      <c r="O10211" s="32" t="n">
        <f aca="false">Sens!$O$10208-Sens!$N$10208</f>
        <v>540</v>
      </c>
    </row>
    <row r="10212" customFormat="false" ht="17.15" hidden="false" customHeight="false" outlineLevel="0" collapsed="false">
      <c r="A10212" s="5" t="s">
        <v>596</v>
      </c>
      <c r="B10212" s="0" t="s">
        <v>129</v>
      </c>
      <c r="C10212" s="32" t="n">
        <f aca="false">Sens!$C$10211/ext_sh</f>
        <v>300</v>
      </c>
      <c r="D10212" s="32" t="n">
        <f aca="false">Sens!$D$10211/ext_sh</f>
        <v>1350</v>
      </c>
      <c r="E10212" s="32" t="n">
        <f aca="false">Sens!$E$10211/ext_sh</f>
        <v>800</v>
      </c>
      <c r="F10212" s="32" t="n">
        <f aca="false">Sens!$F$10211/ext_sh</f>
        <v>2333.125</v>
      </c>
      <c r="G10212" s="32" t="n">
        <f aca="false">Sens!$G$10211/ext_sh</f>
        <v>3133.125</v>
      </c>
      <c r="H10212" s="32" t="n">
        <f aca="false">Sens!$H$10211/ext_sh</f>
        <v>4666.25</v>
      </c>
      <c r="I10212" s="32" t="n">
        <f aca="false">Sens!$I$10211/ext_sh</f>
        <v>4666.25</v>
      </c>
      <c r="J10212" s="32" t="n">
        <f aca="false">Sens!$J$10211/ext_sh</f>
        <v>4666.25</v>
      </c>
      <c r="K10212" s="32" t="n">
        <f aca="false">Sens!$K$10211/ext_sh</f>
        <v>3300.15208333333</v>
      </c>
      <c r="L10212" s="32" t="n">
        <f aca="false">Sens!$L$10211/ext_sh</f>
        <v>1934.05416666667</v>
      </c>
      <c r="M10212" s="32" t="n">
        <f aca="false">Sens!$M$10211/ext_sh</f>
        <v>567.956249999998</v>
      </c>
      <c r="N10212" s="32" t="n">
        <f aca="false">Sens!$N$10211/ext_sh</f>
        <v>675</v>
      </c>
      <c r="O10212" s="32" t="n">
        <f aca="false">Sens!$O$10211/ext_sh</f>
        <v>675</v>
      </c>
      <c r="P10212" s="8" t="s">
        <v>597</v>
      </c>
      <c r="R10212" s="32" t="n">
        <f aca="false">mw_ye23/ext_sh</f>
        <v>150</v>
      </c>
      <c r="S10212" s="32" t="n">
        <f aca="false">Sens!$C$10212</f>
        <v>300</v>
      </c>
      <c r="T10212" s="32" t="n">
        <f aca="false">Sens!$D$10212</f>
        <v>1350</v>
      </c>
      <c r="U10212" s="32" t="n">
        <f aca="false">Sens!$G$10212</f>
        <v>3133.125</v>
      </c>
      <c r="V10212" s="32" t="n">
        <f aca="false">Sens!$H$10212</f>
        <v>4666.25</v>
      </c>
      <c r="W10212" s="32" t="n">
        <f aca="false">Sens!$I$10212</f>
        <v>4666.25</v>
      </c>
      <c r="X10212" s="32" t="n">
        <f aca="false">Sens!$J$10212</f>
        <v>4666.25</v>
      </c>
      <c r="Y10212" s="32" t="n">
        <f aca="false">Sens!$K$10212</f>
        <v>3300.15208333333</v>
      </c>
      <c r="Z10212" s="32" t="n">
        <f aca="false">Sens!$L$10212</f>
        <v>1934.05416666667</v>
      </c>
      <c r="AA10212" s="32" t="n">
        <f aca="false">Sens!$M$10212</f>
        <v>567.956249999998</v>
      </c>
    </row>
    <row r="10213" customFormat="false" ht="17.15" hidden="false" customHeight="false" outlineLevel="0" collapsed="false">
      <c r="A10213" s="1" t="s">
        <v>598</v>
      </c>
    </row>
    <row r="10214" customFormat="false" ht="17.15" hidden="false" customHeight="false" outlineLevel="0" collapsed="false">
      <c r="A10214" s="0" t="s">
        <v>599</v>
      </c>
      <c r="B10214" s="0" t="s">
        <v>52</v>
      </c>
      <c r="F10214" s="35" t="n">
        <f aca="false">na_vr26</f>
        <v>0</v>
      </c>
      <c r="G10214" s="35" t="n">
        <f aca="false">na_vr26</f>
        <v>0</v>
      </c>
      <c r="H10214" s="35" t="n">
        <f aca="false">na_vr27</f>
        <v>0.5</v>
      </c>
      <c r="I10214" s="35" t="n">
        <f aca="false">na_vr28</f>
        <v>1</v>
      </c>
      <c r="J10214" s="35" t="n">
        <f aca="false">na_vr28</f>
        <v>1</v>
      </c>
      <c r="K10214" s="35" t="n">
        <f aca="false">na_vr28</f>
        <v>1</v>
      </c>
      <c r="L10214" s="35" t="n">
        <f aca="false">na_vr28</f>
        <v>1</v>
      </c>
      <c r="M10214" s="35" t="n">
        <f aca="false">na_vr28</f>
        <v>1</v>
      </c>
    </row>
    <row r="10215" customFormat="false" ht="17.15" hidden="false" customHeight="false" outlineLevel="0" collapsed="false">
      <c r="A10215" s="5" t="s">
        <v>600</v>
      </c>
      <c r="B10215" s="0" t="s">
        <v>173</v>
      </c>
      <c r="F10215" s="36" t="n">
        <f aca="false">cust_sh*tk_he_gb300*cf_chip+(1-cust_sh)*((1-Sens!$F$10214)*tk_he_gb300+Sens!$F$10214*tk_he_vr200)</f>
        <v>10.8864110021101</v>
      </c>
      <c r="G10215" s="36" t="n">
        <f aca="false">cust_sh*tk_he_gb300*cf_chip+(1-cust_sh)*((1-Sens!$G$10214)*tk_he_gb300+Sens!$G$10214*tk_he_vr200)</f>
        <v>10.8864110021101</v>
      </c>
      <c r="H10215" s="36" t="n">
        <f aca="false">cust_sh*tk_he_gb300*cf_chip+(1-cust_sh)*((1-Sens!$H$10214)*tk_he_gb300+Sens!$H$10214*tk_he_vr200)</f>
        <v>11.2211760027286</v>
      </c>
      <c r="I10215" s="36" t="n">
        <f aca="false">cust_sh*tk_he_gb300*cf_chip+(1-cust_sh)*((1-Sens!$I$10214)*tk_he_gb300+Sens!$I$10214*tk_he_vr200)</f>
        <v>11.5559410033471</v>
      </c>
      <c r="J10215" s="36" t="n">
        <f aca="false">cust_sh*tk_he_gb300*cf_chip+(1-cust_sh)*((1-Sens!$J$10214)*tk_he_gb300+Sens!$J$10214*tk_he_vr200)</f>
        <v>11.5559410033471</v>
      </c>
      <c r="K10215" s="36" t="n">
        <f aca="false">cust_sh*tk_he_gb300*cf_chip+(1-cust_sh)*((1-Sens!$K$10214)*tk_he_gb300+Sens!$K$10214*tk_he_vr200)</f>
        <v>11.5559410033471</v>
      </c>
      <c r="L10215" s="36" t="n">
        <f aca="false">cust_sh*tk_he_gb300*cf_chip+(1-cust_sh)*((1-Sens!$L$10214)*tk_he_gb300+Sens!$L$10214*tk_he_vr200)</f>
        <v>11.5559410033471</v>
      </c>
      <c r="M10215" s="36" t="n">
        <f aca="false">cust_sh*tk_he_gb300*cf_chip+(1-cust_sh)*((1-Sens!$M$10214)*tk_he_gb300+Sens!$M$10214*tk_he_vr200)</f>
        <v>11.5559410033471</v>
      </c>
    </row>
    <row r="10216" customFormat="false" ht="17.15" hidden="false" customHeight="false" outlineLevel="0" collapsed="false">
      <c r="A10216" s="5" t="s">
        <v>601</v>
      </c>
      <c r="B10216" s="0" t="s">
        <v>173</v>
      </c>
      <c r="F10216" s="36" t="n">
        <f aca="false">cust_sh*tk_ox_gb300+(1-cust_sh)*((1-Sens!$F$10214)*tk_ox_gb300+Sens!$F$10214*tk_ox_vr200)</f>
        <v>1.98263481314457</v>
      </c>
      <c r="G10216" s="36" t="n">
        <f aca="false">cust_sh*tk_ox_gb300+(1-cust_sh)*((1-Sens!$G$10214)*tk_ox_gb300+Sens!$G$10214*tk_ox_vr200)</f>
        <v>1.98263481314457</v>
      </c>
      <c r="H10216" s="36" t="n">
        <f aca="false">cust_sh*tk_ox_gb300+(1-cust_sh)*((1-Sens!$H$10214)*tk_ox_gb300+Sens!$H$10214*tk_ox_vr200)</f>
        <v>2.01034999693694</v>
      </c>
      <c r="I10216" s="36" t="n">
        <f aca="false">cust_sh*tk_ox_gb300+(1-cust_sh)*((1-Sens!$I$10214)*tk_ox_gb300+Sens!$I$10214*tk_ox_vr200)</f>
        <v>2.0380651807293</v>
      </c>
      <c r="J10216" s="36" t="n">
        <f aca="false">cust_sh*tk_ox_gb300+(1-cust_sh)*((1-Sens!$J$10214)*tk_ox_gb300+Sens!$J$10214*tk_ox_vr200)</f>
        <v>2.0380651807293</v>
      </c>
      <c r="K10216" s="36" t="n">
        <f aca="false">cust_sh*tk_ox_gb300+(1-cust_sh)*((1-Sens!$K$10214)*tk_ox_gb300+Sens!$K$10214*tk_ox_vr200)</f>
        <v>2.0380651807293</v>
      </c>
      <c r="L10216" s="36" t="n">
        <f aca="false">cust_sh*tk_ox_gb300+(1-cust_sh)*((1-Sens!$L$10214)*tk_ox_gb300+Sens!$L$10214*tk_ox_vr200)</f>
        <v>2.0380651807293</v>
      </c>
      <c r="M10216" s="36" t="n">
        <f aca="false">cust_sh*tk_ox_gb300+(1-cust_sh)*((1-Sens!$M$10214)*tk_ox_gb300+Sens!$M$10214*tk_ox_vr200)</f>
        <v>2.0380651807293</v>
      </c>
    </row>
    <row r="10217" customFormat="false" ht="17.15" hidden="false" customHeight="false" outlineLevel="0" collapsed="false">
      <c r="A10217" s="5" t="s">
        <v>602</v>
      </c>
      <c r="B10217" s="0" t="s">
        <v>192</v>
      </c>
      <c r="F10217" s="36" t="n">
        <f aca="false">cust_sh*tk_cx_gb300*cf_cx+(1-cust_sh)*((1-Sens!$F$10214)*tk_cx_gb300+Sens!$F$10214*tk_cx_vr200)</f>
        <v>32.237224</v>
      </c>
      <c r="G10217" s="36" t="n">
        <f aca="false">cust_sh*tk_cx_gb300*cf_cx+(1-cust_sh)*((1-Sens!$G$10214)*tk_cx_gb300+Sens!$G$10214*tk_cx_vr200)</f>
        <v>32.237224</v>
      </c>
      <c r="H10217" s="36" t="n">
        <f aca="false">cust_sh*tk_cx_gb300*cf_cx+(1-cust_sh)*((1-Sens!$H$10214)*tk_cx_gb300+Sens!$H$10214*tk_cx_vr200)</f>
        <v>33.574506</v>
      </c>
      <c r="I10217" s="36" t="n">
        <f aca="false">cust_sh*tk_cx_gb300*cf_cx+(1-cust_sh)*((1-Sens!$I$10214)*tk_cx_gb300+Sens!$I$10214*tk_cx_vr200)</f>
        <v>34.911788</v>
      </c>
      <c r="J10217" s="36" t="n">
        <f aca="false">cust_sh*tk_cx_gb300*cf_cx+(1-cust_sh)*((1-Sens!$J$10214)*tk_cx_gb300+Sens!$J$10214*tk_cx_vr200)</f>
        <v>34.911788</v>
      </c>
      <c r="K10217" s="36" t="n">
        <f aca="false">cust_sh*tk_cx_gb300*cf_cx+(1-cust_sh)*((1-Sens!$K$10214)*tk_cx_gb300+Sens!$K$10214*tk_cx_vr200)</f>
        <v>34.911788</v>
      </c>
      <c r="L10217" s="36" t="n">
        <f aca="false">cust_sh*tk_cx_gb300*cf_cx+(1-cust_sh)*((1-Sens!$L$10214)*tk_cx_gb300+Sens!$L$10214*tk_cx_vr200)</f>
        <v>34.911788</v>
      </c>
      <c r="M10217" s="36" t="n">
        <f aca="false">cust_sh*tk_cx_gb300*cf_cx+(1-cust_sh)*((1-Sens!$M$10214)*tk_cx_gb300+Sens!$M$10214*tk_cx_vr200)</f>
        <v>34.911788</v>
      </c>
    </row>
    <row r="10218" customFormat="false" ht="17.15" hidden="false" customHeight="false" outlineLevel="0" collapsed="false">
      <c r="A10218" s="5" t="s">
        <v>603</v>
      </c>
      <c r="B10218" s="0" t="s">
        <v>129</v>
      </c>
      <c r="F10218" s="32" t="n">
        <f aca="false">Sens!$F$10208-mw_open</f>
        <v>1866.5</v>
      </c>
      <c r="G10218" s="32" t="n">
        <f aca="false">Sens!$F$10218</f>
        <v>1866.5</v>
      </c>
      <c r="H10218" s="32" t="n">
        <f aca="false">Sens!$H$10208-mw_open</f>
        <v>5599.5</v>
      </c>
      <c r="I10218" s="32" t="n">
        <f aca="false">Sens!$I$10208-mw_open</f>
        <v>9332.5</v>
      </c>
      <c r="J10218" s="32" t="n">
        <f aca="false">Sens!$J$10208-mw_open</f>
        <v>13065.5</v>
      </c>
      <c r="K10218" s="32" t="n">
        <f aca="false">Sens!$K$10208-mw_open</f>
        <v>15705.6216666667</v>
      </c>
      <c r="L10218" s="32" t="n">
        <f aca="false">Sens!$L$10208-mw_open</f>
        <v>17252.865</v>
      </c>
      <c r="M10218" s="32" t="n">
        <f aca="false">Sens!$M$10208-mw_open</f>
        <v>17707.23</v>
      </c>
    </row>
    <row r="10219" customFormat="false" ht="17.15" hidden="false" customHeight="false" outlineLevel="0" collapsed="false">
      <c r="A10219" s="0" t="s">
        <v>604</v>
      </c>
      <c r="B10219" s="0" t="s">
        <v>605</v>
      </c>
      <c r="F10219" s="32" t="n">
        <f aca="false">Sens!$F$10211*Sens!$F$10215</f>
        <v>20319.4861354385</v>
      </c>
      <c r="G10219" s="32" t="n">
        <f aca="false">Sens!$F$10219</f>
        <v>20319.4861354385</v>
      </c>
      <c r="H10219" s="32" t="n">
        <f aca="false">Sens!$G$10219+Sens!$H$10211*Sens!$H$10215</f>
        <v>62208.1361536244</v>
      </c>
      <c r="I10219" s="32" t="n">
        <f aca="false">Sens!$H$10219+Sens!$I$10211*Sens!$I$10215</f>
        <v>105346.463919119</v>
      </c>
      <c r="J10219" s="32" t="n">
        <f aca="false">Sens!$I$10219+Sens!$J$10211*Sens!$J$10215</f>
        <v>148484.791684614</v>
      </c>
      <c r="K10219" s="32" t="n">
        <f aca="false">Sens!$J$10219+Sens!$K$10211*Sens!$K$10215</f>
        <v>178993.881906272</v>
      </c>
      <c r="L10219" s="32" t="n">
        <f aca="false">Sens!$K$10219+Sens!$L$10211*Sens!$L$10215</f>
        <v>196873.734584094</v>
      </c>
      <c r="M10219" s="32" t="n">
        <f aca="false">Sens!$L$10219+Sens!$M$10211*Sens!$M$10215</f>
        <v>202124.34971808</v>
      </c>
    </row>
    <row r="10220" customFormat="false" ht="17.15" hidden="false" customHeight="false" outlineLevel="0" collapsed="false">
      <c r="A10220" s="0" t="s">
        <v>606</v>
      </c>
      <c r="B10220" s="0" t="s">
        <v>605</v>
      </c>
      <c r="F10220" s="32" t="n">
        <f aca="false">Sens!$F$10211*Sens!$F$10216</f>
        <v>3700.58787873434</v>
      </c>
      <c r="G10220" s="32" t="n">
        <f aca="false">Sens!$F$10220</f>
        <v>3700.58787873434</v>
      </c>
      <c r="H10220" s="32" t="n">
        <f aca="false">Sens!$G$10220+Sens!$H$10211*Sens!$H$10216</f>
        <v>11205.2244172999</v>
      </c>
      <c r="I10220" s="32" t="n">
        <f aca="false">Sens!$H$10220+Sens!$I$10211*Sens!$I$10216</f>
        <v>18813.3217369624</v>
      </c>
      <c r="J10220" s="32" t="n">
        <f aca="false">Sens!$I$10220+Sens!$J$10211*Sens!$J$10216</f>
        <v>26421.4190566249</v>
      </c>
      <c r="K10220" s="32" t="n">
        <f aca="false">Sens!$J$10220+Sens!$K$10211*Sens!$K$10216</f>
        <v>31802.1590983472</v>
      </c>
      <c r="L10220" s="32" t="n">
        <f aca="false">Sens!$K$10220+Sens!$L$10211*Sens!$L$10216</f>
        <v>34955.5418621294</v>
      </c>
      <c r="M10220" s="32" t="n">
        <f aca="false">Sens!$L$10220+Sens!$M$10211*Sens!$M$10216</f>
        <v>35881.5673479715</v>
      </c>
    </row>
    <row r="10221" customFormat="false" ht="17.15" hidden="false" customHeight="false" outlineLevel="0" collapsed="false">
      <c r="A10221" s="5" t="s">
        <v>607</v>
      </c>
      <c r="B10221" s="0" t="s">
        <v>173</v>
      </c>
      <c r="F10221" s="36" t="n">
        <f aca="false">IF(Sens!$F$10218&gt;0,Sens!$F$10219/Sens!$F$10218,Sens!$F$10215)</f>
        <v>10.8864110021101</v>
      </c>
      <c r="G10221" s="36" t="n">
        <f aca="false">IF(Sens!$G$10218&gt;0,Sens!$G$10219/Sens!$G$10218,Sens!$G$10215)</f>
        <v>10.8864110021101</v>
      </c>
      <c r="H10221" s="36" t="n">
        <f aca="false">IF(Sens!$H$10218&gt;0,Sens!$H$10219/Sens!$H$10218,Sens!$H$10215)</f>
        <v>11.1095876691891</v>
      </c>
      <c r="I10221" s="36" t="n">
        <f aca="false">IF(Sens!$I$10218&gt;0,Sens!$I$10219/Sens!$I$10218,Sens!$I$10215)</f>
        <v>11.2881290028523</v>
      </c>
      <c r="J10221" s="36" t="n">
        <f aca="false">IF(Sens!$J$10218&gt;0,Sens!$J$10219/Sens!$J$10218,Sens!$J$10215)</f>
        <v>11.3646467172794</v>
      </c>
      <c r="K10221" s="36" t="n">
        <f aca="false">IF(Sens!$K$10218&gt;0,Sens!$K$10219/Sens!$K$10218,Sens!$K$10215)</f>
        <v>11.3968033679409</v>
      </c>
      <c r="L10221" s="36" t="n">
        <f aca="false">IF(Sens!$L$10218&gt;0,Sens!$L$10219/Sens!$L$10218,Sens!$L$10215)</f>
        <v>11.4110748901179</v>
      </c>
      <c r="M10221" s="36" t="n">
        <f aca="false">IF(Sens!$M$10218&gt;0,Sens!$M$10219/Sens!$M$10218,Sens!$M$10215)</f>
        <v>11.4147921339521</v>
      </c>
    </row>
    <row r="10222" customFormat="false" ht="17.15" hidden="false" customHeight="false" outlineLevel="0" collapsed="false">
      <c r="A10222" s="5" t="s">
        <v>608</v>
      </c>
      <c r="B10222" s="0" t="s">
        <v>173</v>
      </c>
      <c r="F10222" s="36" t="n">
        <f aca="false">IF(Sens!$F$10218&gt;0,Sens!$F$10220/Sens!$F$10218,Sens!$F$10216)</f>
        <v>1.98263481314457</v>
      </c>
      <c r="G10222" s="36" t="n">
        <f aca="false">IF(Sens!$G$10218&gt;0,Sens!$G$10220/Sens!$G$10218,Sens!$G$10216)</f>
        <v>1.98263481314457</v>
      </c>
      <c r="H10222" s="36" t="n">
        <f aca="false">IF(Sens!$H$10218&gt;0,Sens!$H$10220/Sens!$H$10218,Sens!$H$10216)</f>
        <v>2.00111160233948</v>
      </c>
      <c r="I10222" s="36" t="n">
        <f aca="false">IF(Sens!$I$10218&gt;0,Sens!$I$10220/Sens!$I$10218,Sens!$I$10216)</f>
        <v>2.01589303369541</v>
      </c>
      <c r="J10222" s="36" t="n">
        <f aca="false">IF(Sens!$J$10218&gt;0,Sens!$J$10220/Sens!$J$10218,Sens!$J$10216)</f>
        <v>2.02222793284795</v>
      </c>
      <c r="K10222" s="36" t="n">
        <f aca="false">IF(Sens!$K$10218&gt;0,Sens!$K$10220/Sens!$K$10218,Sens!$K$10216)</f>
        <v>2.02489018093716</v>
      </c>
      <c r="L10222" s="36" t="n">
        <f aca="false">IF(Sens!$L$10218&gt;0,Sens!$L$10220/Sens!$L$10218,Sens!$L$10216)</f>
        <v>2.02607171980592</v>
      </c>
      <c r="M10222" s="36" t="n">
        <f aca="false">IF(Sens!$M$10218&gt;0,Sens!$M$10220/Sens!$M$10218,Sens!$M$10216)</f>
        <v>2.02637947030515</v>
      </c>
    </row>
    <row r="10223" customFormat="false" ht="17.15" hidden="false" customHeight="false" outlineLevel="0" collapsed="false">
      <c r="A10223" s="15" t="s">
        <v>609</v>
      </c>
      <c r="B10223" s="14" t="s">
        <v>173</v>
      </c>
      <c r="C10223" s="14"/>
      <c r="D10223" s="14"/>
      <c r="E10223" s="14"/>
      <c r="F10223" s="37" t="n">
        <f aca="false">Sens!$F$10221*k_A</f>
        <v>16.5292102673303</v>
      </c>
      <c r="G10223" s="37" t="n">
        <f aca="false">Sens!$G$10221*k_A</f>
        <v>16.5292102673303</v>
      </c>
      <c r="H10223" s="37" t="n">
        <f aca="false">Sens!$H$10221*k_A</f>
        <v>16.8680670362136</v>
      </c>
      <c r="I10223" s="37" t="n">
        <f aca="false">Sens!$I$10221*k_A</f>
        <v>17.1391524513203</v>
      </c>
      <c r="J10223" s="37" t="n">
        <f aca="false">Sens!$J$10221*k_A</f>
        <v>17.2553319149374</v>
      </c>
      <c r="K10223" s="37" t="n">
        <f aca="false">Sens!$K$10221*k_A</f>
        <v>17.304156457771</v>
      </c>
      <c r="L10223" s="37" t="n">
        <f aca="false">Sens!$L$10221*k_A</f>
        <v>17.3258253981457</v>
      </c>
      <c r="M10223" s="37" t="n">
        <f aca="false">Sens!$M$10221*k_A</f>
        <v>17.3314694166324</v>
      </c>
      <c r="N10223" s="14"/>
      <c r="O10223" s="14"/>
      <c r="P10223" s="5" t="s">
        <v>610</v>
      </c>
    </row>
    <row r="10224" customFormat="false" ht="17.15" hidden="false" customHeight="false" outlineLevel="0" collapsed="false">
      <c r="A10224" s="5" t="s">
        <v>611</v>
      </c>
      <c r="B10224" s="0" t="s">
        <v>129</v>
      </c>
      <c r="F10224" s="32" t="n">
        <f aca="false">Sens!$F$10218/2</f>
        <v>933.25</v>
      </c>
      <c r="H10224" s="32" t="n">
        <f aca="false">(Sens!$G$10218+Sens!$H$10218)/2</f>
        <v>3733</v>
      </c>
      <c r="I10224" s="32" t="n">
        <f aca="false">(Sens!$H$10218+Sens!$I$10218)/2</f>
        <v>7466</v>
      </c>
      <c r="J10224" s="32" t="n">
        <f aca="false">(Sens!$I$10218+Sens!$J$10218)/2</f>
        <v>11199</v>
      </c>
      <c r="K10224" s="32" t="n">
        <f aca="false">(Sens!$J$10218+Sens!$K$10218)/2</f>
        <v>14385.5608333333</v>
      </c>
      <c r="L10224" s="32" t="n">
        <f aca="false">(Sens!$K$10218+Sens!$L$10218)/2</f>
        <v>16479.2433333333</v>
      </c>
      <c r="M10224" s="32" t="n">
        <f aca="false">(Sens!$L$10218+Sens!$M$10218)/2</f>
        <v>17480.0475</v>
      </c>
    </row>
    <row r="10225" customFormat="false" ht="17.15" hidden="false" customHeight="false" outlineLevel="0" collapsed="false">
      <c r="A10225" s="1" t="s">
        <v>612</v>
      </c>
    </row>
    <row r="10226" customFormat="false" ht="17.15" hidden="false" customHeight="false" outlineLevel="0" collapsed="false">
      <c r="A10226" s="1" t="s">
        <v>613</v>
      </c>
      <c r="B10226" s="8" t="s">
        <v>86</v>
      </c>
      <c r="C10226" s="38" t="n">
        <f aca="false">Sens!$C$10209*rpm_open*Sens!$C$10210/1000</f>
        <v>2.32100535697364</v>
      </c>
      <c r="D10226" s="38" t="n">
        <f aca="false">Sens!$D$10209*rpm_open*Sens!$D$10210/1000</f>
        <v>8.70377008865116</v>
      </c>
      <c r="E10226" s="38" t="n">
        <f aca="false">Sens!$E$10209*rpm_open*Sens!$E$10210/1000</f>
        <v>8.51035297557002</v>
      </c>
      <c r="F10226" s="38" t="n">
        <f aca="false">(mw_open*rpm_open+Sens!$F$10224*Sens!$F$10223)*Sens!$F$10210/1000</f>
        <v>17.7706326212121</v>
      </c>
      <c r="G10226" s="38" t="n">
        <f aca="false">Sens!$E$10226+Sens!$F$10226</f>
        <v>26.2809855967821</v>
      </c>
      <c r="H10226" s="38" t="n">
        <f aca="false">(mw_open*rpm_open+Sens!$H$10224*Sens!$H$10223)/1000</f>
        <v>83.0838740066237</v>
      </c>
      <c r="I10226" s="38" t="n">
        <f aca="false">(mw_open*rpm_open+Sens!$I$10224*Sens!$I$10223)/1000</f>
        <v>148.076291961995</v>
      </c>
      <c r="J10226" s="38" t="n">
        <f aca="false">(mw_open*rpm_open+Sens!$J$10224*Sens!$J$10223)/1000</f>
        <v>213.357841875822</v>
      </c>
      <c r="K10226" s="38" t="n">
        <f aca="false">(mw_open*rpm_open+Sens!$K$10224*Sens!$K$10223)/1000</f>
        <v>269.045375153221</v>
      </c>
      <c r="L10226" s="38" t="n">
        <f aca="false">(mw_open*rpm_open+Sens!$L$10224*Sens!$L$10223)/1000</f>
        <v>305.631872447328</v>
      </c>
      <c r="M10226" s="38" t="n">
        <f aca="false">(mw_open*rpm_open+Sens!$M$10224*Sens!$M$10223)/1000</f>
        <v>323.07028840797</v>
      </c>
      <c r="N10226" s="38" t="n">
        <f aca="false">Sens!$N$10209*rpm_open*Sens!$N$10210/1000</f>
        <v>3.04631953102791</v>
      </c>
      <c r="O10226" s="38" t="n">
        <f aca="false">Sens!$O$10209*rpm_open*Sens!$O$10210/1000</f>
        <v>5.65745055762326</v>
      </c>
      <c r="P10226" s="5" t="s">
        <v>614</v>
      </c>
    </row>
    <row r="10227" customFormat="false" ht="17.15" hidden="false" customHeight="false" outlineLevel="0" collapsed="false">
      <c r="A10227" s="5" t="s">
        <v>615</v>
      </c>
      <c r="B10227" s="0" t="s">
        <v>173</v>
      </c>
      <c r="C10227" s="36" t="n">
        <f aca="false">Sens!$C$10226*1000/(Sens!$C$10209*Sens!$C$10210)</f>
        <v>9.67085565405685</v>
      </c>
      <c r="D10227" s="36" t="n">
        <f aca="false">Sens!$D$10226*1000/(Sens!$D$10209*Sens!$D$10210)</f>
        <v>9.67085565405685</v>
      </c>
      <c r="E10227" s="36" t="n">
        <f aca="false">Sens!$E$10226*1000/(Sens!$E$10209*Sens!$E$10210)</f>
        <v>9.67085565405685</v>
      </c>
      <c r="F10227" s="36" t="n">
        <f aca="false">Sens!$F$10226*1000/(Sens!$F$10209*Sens!$F$10210)</f>
        <v>11.7949938579355</v>
      </c>
      <c r="G10227" s="36" t="n">
        <f aca="false">Sens!$G$10226*1000/(Sens!$G$10209*Sens!$G$10210)</f>
        <v>11.0117783886376</v>
      </c>
      <c r="H10227" s="36" t="n">
        <f aca="false">Sens!$H$10226*1000/(Sens!$H$10209*Sens!$H$10210)</f>
        <v>14.2927703434756</v>
      </c>
      <c r="I10227" s="36" t="n">
        <f aca="false">Sens!$I$10226*1000/(Sens!$I$10209*Sens!$I$10210)</f>
        <v>15.5118680035612</v>
      </c>
      <c r="J10227" s="36" t="n">
        <f aca="false">Sens!$J$10226*1000/(Sens!$J$10209*Sens!$J$10210)</f>
        <v>16.0673124388751</v>
      </c>
      <c r="K10227" s="36" t="n">
        <f aca="false">Sens!$K$10226*1000/(Sens!$K$10209*Sens!$K$10210)</f>
        <v>16.3398852839898</v>
      </c>
      <c r="L10227" s="36" t="n">
        <f aca="false">Sens!$L$10226*1000/(Sens!$L$10209*Sens!$L$10210)</f>
        <v>16.4679058816152</v>
      </c>
      <c r="M10227" s="36" t="n">
        <f aca="false">Sens!$M$10226*1000/(Sens!$M$10209*Sens!$M$10210)</f>
        <v>16.5168458005007</v>
      </c>
      <c r="N10227" s="36" t="n">
        <f aca="false">Sens!$N$10226*1000/(Sens!$N$10209*Sens!$N$10210)</f>
        <v>9.67085565405685</v>
      </c>
      <c r="O10227" s="36" t="n">
        <f aca="false">Sens!$O$10226*1000/(Sens!$O$10209*Sens!$O$10210)</f>
        <v>9.67085565405685</v>
      </c>
    </row>
    <row r="10228" customFormat="false" ht="17.15" hidden="false" customHeight="false" outlineLevel="0" collapsed="false">
      <c r="A10228" s="0" t="s">
        <v>616</v>
      </c>
      <c r="B10228" s="0" t="s">
        <v>86</v>
      </c>
      <c r="C10228" s="38" t="n">
        <f aca="false">Sens!$C$10209/ext_sh*(ox_open+rent_mw)*Sens!$C$10210/1000</f>
        <v>0.642569210675032</v>
      </c>
      <c r="D10228" s="38" t="n">
        <f aca="false">Sens!$D$10209/ext_sh*(ox_open+rent_mw)*Sens!$D$10210/1000</f>
        <v>2.40963454003137</v>
      </c>
      <c r="E10228" s="38" t="n">
        <f aca="false">Sens!$E$10209/ext_sh*(ox_open+rent_mw)*Sens!$E$10210/1000</f>
        <v>2.35608710580845</v>
      </c>
      <c r="F10228" s="38" t="n">
        <f aca="false">((mw_open*ox_open+Sens!$F$10224*Sens!$F$10222)/ext_sh+Sens!$F$10209/ext_sh*rent_mw)*Sens!$F$10210/1000</f>
        <v>4.08870376044629</v>
      </c>
      <c r="G10228" s="38" t="n">
        <f aca="false">Sens!$E$10228+Sens!$F$10228</f>
        <v>6.44479086625474</v>
      </c>
      <c r="H10228" s="38" t="n">
        <f aca="false">((mw_open*ox_open+Sens!$H$10224*Sens!$H$10222)/ext_sh+Sens!$H$10209/ext_sh*rent_mw)*Sens!$H$10210/1000</f>
        <v>16.0890479236002</v>
      </c>
      <c r="I10228" s="38" t="n">
        <f aca="false">((mw_open*ox_open+Sens!$I$10224*Sens!$I$10222)/ext_sh+Sens!$I$10209/ext_sh*rent_mw)*Sens!$I$10210/1000</f>
        <v>26.747110396146</v>
      </c>
      <c r="J10228" s="38" t="n">
        <f aca="false">((mw_open*ox_open+Sens!$J$10224*Sens!$J$10222)/ext_sh+Sens!$J$10209/ext_sh*rent_mw)*Sens!$J$10210/1000</f>
        <v>37.4248796841388</v>
      </c>
      <c r="K10228" s="38" t="n">
        <f aca="false">((mw_open*ox_open+Sens!$K$10224*Sens!$K$10222)/ext_sh+Sens!$K$10209/ext_sh*rent_mw)*Sens!$K$10210/1000</f>
        <v>46.5370356515055</v>
      </c>
      <c r="L10228" s="38" t="n">
        <f aca="false">((mw_open*ox_open+Sens!$L$10224*Sens!$L$10222)/ext_sh+Sens!$L$10209/ext_sh*rent_mw)*Sens!$L$10210/1000</f>
        <v>52.5238945868506</v>
      </c>
      <c r="M10228" s="38" t="n">
        <f aca="false">((mw_open*ox_open+Sens!$M$10224*Sens!$M$10222)/ext_sh+Sens!$M$10209/ext_sh*rent_mw)*Sens!$M$10210/1000</f>
        <v>55.3822499472572</v>
      </c>
      <c r="N10228" s="38" t="n">
        <f aca="false">Sens!$N$10209/ext_sh*(ox_open+rent_mw)*Sens!$N$10210/1000</f>
        <v>0.84337208901098</v>
      </c>
      <c r="O10228" s="38" t="n">
        <f aca="false">Sens!$O$10209/ext_sh*(ox_open+rent_mw)*Sens!$O$10210/1000</f>
        <v>1.56626245102039</v>
      </c>
    </row>
    <row r="10229" customFormat="false" ht="17.15" hidden="false" customHeight="false" outlineLevel="0" collapsed="false">
      <c r="A10229" s="0" t="s">
        <v>617</v>
      </c>
      <c r="B10229" s="0" t="s">
        <v>86</v>
      </c>
      <c r="C10229" s="38" t="n">
        <f aca="false">Q!$D$7</f>
        <v>107.556</v>
      </c>
      <c r="D10229" s="38" t="n">
        <f aca="false">Q!$E$7</f>
        <v>128.725</v>
      </c>
      <c r="E10229" s="38" t="n">
        <f aca="false">Q!$P$7</f>
        <v>79.819</v>
      </c>
      <c r="N10229" s="38" t="n">
        <f aca="false">Q!$N$7</f>
        <v>60.14</v>
      </c>
      <c r="O10229" s="38" t="n">
        <f aca="false">Q!$O$7</f>
        <v>68.585</v>
      </c>
    </row>
    <row r="10230" customFormat="false" ht="17.15" hidden="false" customHeight="false" outlineLevel="0" collapsed="false">
      <c r="A10230" s="1" t="s">
        <v>618</v>
      </c>
      <c r="B10230" s="8" t="s">
        <v>86</v>
      </c>
      <c r="C10230" s="38" t="n">
        <f aca="false">Sens!$C$10229-Sens!$C$10226</f>
        <v>105.234994643026</v>
      </c>
      <c r="D10230" s="38" t="n">
        <f aca="false">Sens!$D$10229-Sens!$D$10226</f>
        <v>120.021229911349</v>
      </c>
      <c r="E10230" s="38" t="n">
        <f aca="false">Sens!$E$10229-Sens!$E$10226</f>
        <v>71.30864702443</v>
      </c>
      <c r="F10230" s="38" t="n">
        <f aca="false">Sens!$O$10230*(1+Sens!$F$10231)</f>
        <v>71.7692997942464</v>
      </c>
      <c r="G10230" s="38" t="n">
        <f aca="false">Sens!$E$10230+Sens!$F$10230</f>
        <v>143.077946818676</v>
      </c>
      <c r="H10230" s="38" t="n">
        <f aca="false">Sens!$G$10230*(1+Sens!$H$10231)</f>
        <v>161.017077079203</v>
      </c>
      <c r="I10230" s="38" t="n">
        <f aca="false">Sens!$H$10230*(1+Sens!$I$10231)</f>
        <v>178.769759521457</v>
      </c>
      <c r="J10230" s="38" t="n">
        <f aca="false">Sens!$I$10230*(1+Sens!$J$10231)</f>
        <v>195.775538045907</v>
      </c>
      <c r="K10230" s="38" t="n">
        <f aca="false">Sens!$J$10230*(1+Sens!$K$10231)</f>
        <v>211.43758108958</v>
      </c>
      <c r="L10230" s="38" t="n">
        <f aca="false">Sens!$K$10230*(1+Sens!$L$10231)</f>
        <v>228.352587576746</v>
      </c>
      <c r="M10230" s="38" t="n">
        <f aca="false">Sens!$L$10230*(1+Sens!$M$10231)</f>
        <v>246.620794582886</v>
      </c>
      <c r="N10230" s="38" t="n">
        <f aca="false">Sens!$N$10229-Sens!$N$10226</f>
        <v>57.0936804689721</v>
      </c>
      <c r="O10230" s="38" t="n">
        <f aca="false">Sens!$O$10229-Sens!$O$10226</f>
        <v>62.9275494423768</v>
      </c>
      <c r="P10230" s="5" t="s">
        <v>619</v>
      </c>
    </row>
    <row r="10231" customFormat="false" ht="17.15" hidden="false" customHeight="false" outlineLevel="0" collapsed="false">
      <c r="A10231" s="0" t="s">
        <v>620</v>
      </c>
      <c r="B10231" s="0" t="s">
        <v>52</v>
      </c>
      <c r="D10231" s="13" t="n">
        <f aca="false">Sens!$D$10230/Sens!$C$10230-1</f>
        <v>0.140506827776062</v>
      </c>
      <c r="E10231" s="13" t="n">
        <f aca="false">Sens!$E$10230/Sens!$N$10230-1</f>
        <v>0.248976181579029</v>
      </c>
      <c r="F10231" s="13" t="n">
        <f aca="false">Sens!$D$10231</f>
        <v>0.140506827776062</v>
      </c>
      <c r="G10231" s="13" t="n">
        <f aca="false">Sens!$G$10230/Sens!$D$10230-1</f>
        <v>0.19210532106993</v>
      </c>
      <c r="H10231" s="13" t="n">
        <f aca="false">Sens!$F$10231+(g_awso_lt-Sens!$F$10231)*1/4</f>
        <v>0.125380120832046</v>
      </c>
      <c r="I10231" s="13" t="n">
        <f aca="false">Sens!$F$10231+(g_awso_lt-Sens!$F$10231)*2/4</f>
        <v>0.110253413888031</v>
      </c>
      <c r="J10231" s="13" t="n">
        <f aca="false">Sens!$F$10231+(g_awso_lt-Sens!$F$10231)*3/4</f>
        <v>0.0951267069440154</v>
      </c>
      <c r="K10231" s="13" t="n">
        <f aca="false">Sens!$F$10231+(g_awso_lt-Sens!$F$10231)*4/4</f>
        <v>0.08</v>
      </c>
      <c r="L10231" s="13" t="n">
        <f aca="false">g_awso_lt</f>
        <v>0.08</v>
      </c>
      <c r="M10231" s="13" t="n">
        <f aca="false">g_awso_lt</f>
        <v>0.08</v>
      </c>
      <c r="P10231" s="5" t="s">
        <v>621</v>
      </c>
    </row>
    <row r="10232" customFormat="false" ht="17.15" hidden="false" customHeight="false" outlineLevel="0" collapsed="false">
      <c r="A10232" s="1" t="s">
        <v>622</v>
      </c>
    </row>
    <row r="10233" customFormat="false" ht="17.15" hidden="false" customHeight="false" outlineLevel="0" collapsed="false">
      <c r="A10233" s="0" t="s">
        <v>623</v>
      </c>
      <c r="B10233" s="0" t="s">
        <v>86</v>
      </c>
      <c r="F10233" s="38" t="n">
        <f aca="false">cx_rt*Sens!$F$10198+cx_awso*Sens!$F$10230</f>
        <v>34.8076177600858</v>
      </c>
    </row>
    <row r="10234" customFormat="false" ht="17.15" hidden="false" customHeight="false" outlineLevel="0" collapsed="false">
      <c r="A10234" s="0" t="s">
        <v>624</v>
      </c>
      <c r="B10234" s="0" t="s">
        <v>52</v>
      </c>
      <c r="C10234" s="13" t="n">
        <f aca="false">tk_cx_h100/(tk_cx_h100+tk_fac*(1-colo_sh))</f>
        <v>0.730756458006641</v>
      </c>
      <c r="D10234" s="13" t="n">
        <f aca="false">tk_cx_h100/(tk_cx_h100+tk_fac*(1-colo_sh))</f>
        <v>0.730756458006641</v>
      </c>
      <c r="E10234" s="13" t="n">
        <f aca="false">Sens!$F$10234</f>
        <v>0.760792334328868</v>
      </c>
      <c r="F10234" s="13" t="n">
        <f aca="false">Sens!$F$10217/(Sens!$F$10217+tk_fac*(1-colo_sh))</f>
        <v>0.760792334328868</v>
      </c>
      <c r="G10234" s="13" t="n">
        <f aca="false">Sens!$G$10217/(Sens!$G$10217+tk_fac*(1-colo_sh))</f>
        <v>0.760792334328868</v>
      </c>
      <c r="H10234" s="13" t="n">
        <f aca="false">Sens!$H$10217/(Sens!$H$10217+tk_fac*(1-colo_sh))</f>
        <v>0.768110668862996</v>
      </c>
      <c r="I10234" s="13" t="n">
        <f aca="false">Sens!$I$10217/(Sens!$I$10217+tk_fac*(1-colo_sh))</f>
        <v>0.77499450139483</v>
      </c>
      <c r="J10234" s="13" t="n">
        <f aca="false">Sens!$J$10217/(Sens!$J$10217+tk_fac*(1-colo_sh))</f>
        <v>0.77499450139483</v>
      </c>
      <c r="K10234" s="13" t="n">
        <f aca="false">Sens!$K$10217/(Sens!$K$10217+tk_fac*(1-colo_sh))</f>
        <v>0.77499450139483</v>
      </c>
      <c r="L10234" s="13" t="n">
        <f aca="false">Sens!$L$10217/(Sens!$L$10217+tk_fac*(1-colo_sh))</f>
        <v>0.77499450139483</v>
      </c>
      <c r="M10234" s="13" t="n">
        <f aca="false">Sens!$M$10217/(Sens!$M$10217+tk_fac*(1-colo_sh))</f>
        <v>0.77499450139483</v>
      </c>
    </row>
    <row r="10235" customFormat="false" ht="17.15" hidden="false" customHeight="false" outlineLevel="0" collapsed="false">
      <c r="A10235" s="1" t="s">
        <v>625</v>
      </c>
      <c r="B10235" s="8" t="s">
        <v>86</v>
      </c>
      <c r="C10235" s="38" t="n">
        <f aca="false">Q!$D$46-cx_rt*Q!$D$16-cx_awso*Sens!$C$10230</f>
        <v>25.2781053077374</v>
      </c>
      <c r="D10235" s="38" t="n">
        <f aca="false">Q!$E$46-cx_rt*Q!$E$16-cx_awso*Sens!$D$10230</f>
        <v>69.5686316310026</v>
      </c>
      <c r="E10235" s="38" t="n">
        <f aca="false">Q!$P$46-cx_rt*Q!$P$16-cx_awso*Sens!$E$10230</f>
        <v>64.1899206485108</v>
      </c>
      <c r="F10235" s="38" t="n">
        <f aca="false">MAX(Sens!$F$10212*(Sens!$F$10217+tk_fac*(1-colo_sh))/1000,capex_g26-Q!$P$46-Sens!$F$10233)</f>
        <v>98.862028245</v>
      </c>
      <c r="G10235" s="38" t="n">
        <f aca="false">Sens!$E$10235+Sens!$F$10235</f>
        <v>163.051948893511</v>
      </c>
      <c r="H10235" s="38" t="n">
        <f aca="false">Sens!$H$10212*(Sens!$H$10217+tk_fac*(1-colo_sh))/1000+Sens!$H$10236</f>
        <v>203.9641486225</v>
      </c>
      <c r="I10235" s="38" t="n">
        <f aca="false">Sens!$I$10212*(Sens!$I$10217+tk_fac*(1-colo_sh))/1000+Sens!$I$10236</f>
        <v>210.204240755</v>
      </c>
      <c r="J10235" s="38" t="n">
        <f aca="false">Sens!$J$10212*(Sens!$J$10217+tk_fac*(1-colo_sh))/1000+Sens!$J$10236</f>
        <v>215.441008955</v>
      </c>
      <c r="K10235" s="38" t="n">
        <f aca="false">Sens!$K$10212*(Sens!$K$10217+tk_fac*(1-colo_sh))/1000+Sens!$K$10236</f>
        <v>159.138087817758</v>
      </c>
      <c r="L10235" s="38" t="n">
        <f aca="false">Sens!$L$10212*(Sens!$L$10217+tk_fac*(1-colo_sh))/1000+Sens!$L$10236</f>
        <v>134.255775880517</v>
      </c>
      <c r="M10235" s="38" t="n">
        <f aca="false">Sens!$M$10212*(Sens!$M$10217+tk_fac*(1-colo_sh))/1000+Sens!$M$10236</f>
        <v>134.968168520775</v>
      </c>
      <c r="P10235" s="5" t="s">
        <v>626</v>
      </c>
      <c r="R10235" s="38" t="n">
        <f aca="false">Q!$C$46-cx_rt*Q!$C$16-cx_awso*(Q!$C$7-mw_ye23/2*rpm_open/1000)</f>
        <v>1.50429979529945</v>
      </c>
      <c r="S10235" s="38" t="n">
        <f aca="false">Sens!$C$10235</f>
        <v>25.2781053077374</v>
      </c>
      <c r="T10235" s="38" t="n">
        <f aca="false">Sens!$D$10235</f>
        <v>69.5686316310026</v>
      </c>
      <c r="U10235" s="38" t="n">
        <f aca="false">Sens!$G$10235</f>
        <v>163.051948893511</v>
      </c>
      <c r="V10235" s="38" t="n">
        <f aca="false">Sens!$H$10235</f>
        <v>203.9641486225</v>
      </c>
      <c r="W10235" s="38" t="n">
        <f aca="false">Sens!$I$10235</f>
        <v>210.204240755</v>
      </c>
      <c r="X10235" s="38" t="n">
        <f aca="false">Sens!$J$10235</f>
        <v>215.441008955</v>
      </c>
      <c r="Y10235" s="38" t="n">
        <f aca="false">Sens!$K$10235</f>
        <v>159.138087817758</v>
      </c>
      <c r="Z10235" s="38" t="n">
        <f aca="false">Sens!$L$10235</f>
        <v>134.255775880517</v>
      </c>
      <c r="AA10235" s="38" t="n">
        <f aca="false">Sens!$M$10235</f>
        <v>134.968168520775</v>
      </c>
    </row>
    <row r="10236" customFormat="false" ht="17.15" hidden="false" customHeight="false" outlineLevel="0" collapsed="false">
      <c r="A10236" s="0" t="s">
        <v>627</v>
      </c>
      <c r="B10236" s="0" t="s">
        <v>86</v>
      </c>
      <c r="H10236" s="38" t="n">
        <f aca="false">SUMPRODUCT(--(Sens!$R$10205:$AA$10205=2027-tk_life),Sens!$R$10212:$AA$10212)*Sens!$H$10217/1000</f>
        <v>0</v>
      </c>
      <c r="I10236" s="38" t="n">
        <f aca="false">SUMPRODUCT(--(Sens!$R$10205:$AA$10205=2028-tk_life),Sens!$R$10212:$AA$10212)*Sens!$I$10217/1000</f>
        <v>0</v>
      </c>
      <c r="J10236" s="38" t="n">
        <f aca="false">SUMPRODUCT(--(Sens!$R$10205:$AA$10205=2029-tk_life),Sens!$R$10212:$AA$10212)*Sens!$J$10217/1000</f>
        <v>5.2367682</v>
      </c>
      <c r="K10236" s="38" t="n">
        <f aca="false">SUMPRODUCT(--(Sens!$R$10205:$AA$10205=2030-tk_life),Sens!$R$10212:$AA$10212)*Sens!$K$10217/1000</f>
        <v>10.4735364</v>
      </c>
      <c r="L10236" s="38" t="n">
        <f aca="false">SUMPRODUCT(--(Sens!$R$10205:$AA$10205=2031-tk_life),Sens!$R$10212:$AA$10212)*Sens!$L$10217/1000</f>
        <v>47.1309138</v>
      </c>
      <c r="M10236" s="38" t="n">
        <f aca="false">SUMPRODUCT(--(Sens!$R$10205:$AA$10205=2032-tk_life),Sens!$R$10212:$AA$10212)*Sens!$M$10217/1000</f>
        <v>109.3829957775</v>
      </c>
    </row>
    <row r="10237" customFormat="false" ht="17.15" hidden="false" customHeight="false" outlineLevel="0" collapsed="false">
      <c r="A10237" s="5" t="s">
        <v>628</v>
      </c>
      <c r="B10237" s="0" t="s">
        <v>86</v>
      </c>
      <c r="C10237" s="38" t="n">
        <f aca="false">Sens!$C$10235*Sens!$C$10234</f>
        <v>18.472138699801</v>
      </c>
      <c r="D10237" s="38" t="n">
        <f aca="false">Sens!$D$10235*Sens!$D$10234</f>
        <v>50.8377268390402</v>
      </c>
      <c r="E10237" s="38" t="n">
        <f aca="false">Sens!$E$10235*Sens!$E$10234</f>
        <v>48.8351995705653</v>
      </c>
      <c r="F10237" s="38" t="n">
        <f aca="false">Sens!$F$10235*Sens!$F$10234</f>
        <v>75.213473245</v>
      </c>
      <c r="G10237" s="38" t="n">
        <f aca="false">Sens!$E$10237+Sens!$F$10237</f>
        <v>124.048672815565</v>
      </c>
      <c r="H10237" s="38" t="n">
        <f aca="false">(Sens!$H$10235-Sens!$H$10236)*Sens!$H$10234+Sens!$H$10236</f>
        <v>156.6670386225</v>
      </c>
      <c r="I10237" s="38" t="n">
        <f aca="false">(Sens!$I$10235-Sens!$I$10236)*Sens!$I$10234+Sens!$I$10236</f>
        <v>162.907130755</v>
      </c>
      <c r="J10237" s="38" t="n">
        <f aca="false">(Sens!$J$10235-Sens!$J$10236)*Sens!$J$10234+Sens!$J$10236</f>
        <v>168.143898955</v>
      </c>
      <c r="K10237" s="38" t="n">
        <f aca="false">(Sens!$K$10235-Sens!$K$10236)*Sens!$K$10234+Sens!$K$10236</f>
        <v>125.687746301092</v>
      </c>
      <c r="L10237" s="38" t="n">
        <f aca="false">(Sens!$L$10235-Sens!$L$10236)*Sens!$L$10234+Sens!$L$10236</f>
        <v>114.652202847183</v>
      </c>
      <c r="M10237" s="38" t="n">
        <f aca="false">(Sens!$M$10235-Sens!$M$10236)*Sens!$M$10234+Sens!$M$10236</f>
        <v>129.211363970775</v>
      </c>
      <c r="R10237" s="38" t="n">
        <f aca="false">Sens!$R$10235*Sens!$C$10234</f>
        <v>1.09927679019314</v>
      </c>
      <c r="S10237" s="38" t="n">
        <f aca="false">Sens!$C$10237</f>
        <v>18.472138699801</v>
      </c>
      <c r="T10237" s="38" t="n">
        <f aca="false">Sens!$D$10237</f>
        <v>50.8377268390402</v>
      </c>
      <c r="U10237" s="38" t="n">
        <f aca="false">Sens!$G$10237</f>
        <v>124.048672815565</v>
      </c>
      <c r="V10237" s="38" t="n">
        <f aca="false">Sens!$H$10237</f>
        <v>156.6670386225</v>
      </c>
      <c r="W10237" s="38" t="n">
        <f aca="false">Sens!$I$10237</f>
        <v>162.907130755</v>
      </c>
      <c r="X10237" s="38" t="n">
        <f aca="false">Sens!$J$10237</f>
        <v>168.143898955</v>
      </c>
      <c r="Y10237" s="38" t="n">
        <f aca="false">Sens!$K$10237</f>
        <v>125.687746301092</v>
      </c>
      <c r="Z10237" s="38" t="n">
        <f aca="false">Sens!$L$10237</f>
        <v>114.652202847183</v>
      </c>
      <c r="AA10237" s="38" t="n">
        <f aca="false">Sens!$M$10237</f>
        <v>129.211363970775</v>
      </c>
    </row>
    <row r="10238" customFormat="false" ht="15" hidden="false" customHeight="false" outlineLevel="0" collapsed="false">
      <c r="A10238" s="5" t="s">
        <v>629</v>
      </c>
      <c r="B10238" s="0" t="s">
        <v>86</v>
      </c>
      <c r="C10238" s="38" t="n">
        <f aca="false">Sens!$C$10235-Sens!$C$10237</f>
        <v>6.80596660793636</v>
      </c>
      <c r="D10238" s="38" t="n">
        <f aca="false">Sens!$D$10235-Sens!$D$10237</f>
        <v>18.7309047919624</v>
      </c>
      <c r="E10238" s="38" t="n">
        <f aca="false">Sens!$E$10235-Sens!$E$10237</f>
        <v>15.3547210779455</v>
      </c>
      <c r="F10238" s="38" t="n">
        <f aca="false">Sens!$F$10235-Sens!$F$10237</f>
        <v>23.648555</v>
      </c>
      <c r="G10238" s="38" t="n">
        <f aca="false">Sens!$G$10235-Sens!$G$10237</f>
        <v>39.0032760779455</v>
      </c>
      <c r="H10238" s="38" t="n">
        <f aca="false">Sens!$H$10235-Sens!$H$10237</f>
        <v>47.29711</v>
      </c>
      <c r="I10238" s="38" t="n">
        <f aca="false">Sens!$I$10235-Sens!$I$10237</f>
        <v>47.29711</v>
      </c>
      <c r="J10238" s="38" t="n">
        <f aca="false">Sens!$J$10235-Sens!$J$10237</f>
        <v>47.29711</v>
      </c>
      <c r="K10238" s="38" t="n">
        <f aca="false">Sens!$K$10235-Sens!$K$10237</f>
        <v>33.4503415166667</v>
      </c>
      <c r="L10238" s="38" t="n">
        <f aca="false">Sens!$L$10235-Sens!$L$10237</f>
        <v>19.6035730333333</v>
      </c>
      <c r="M10238" s="38" t="n">
        <f aca="false">Sens!$M$10235-Sens!$M$10237</f>
        <v>5.75680454999997</v>
      </c>
      <c r="R10238" s="38" t="n">
        <f aca="false">Sens!$R$10235-Sens!$R$10237</f>
        <v>0.405023005106309</v>
      </c>
      <c r="S10238" s="38" t="n">
        <f aca="false">Sens!$S$10235-Sens!$S$10237</f>
        <v>6.80596660793636</v>
      </c>
      <c r="T10238" s="38" t="n">
        <f aca="false">Sens!$T$10235-Sens!$T$10237</f>
        <v>18.7309047919624</v>
      </c>
      <c r="U10238" s="38" t="n">
        <f aca="false">Sens!$U$10235-Sens!$U$10237</f>
        <v>39.0032760779455</v>
      </c>
      <c r="V10238" s="38" t="n">
        <f aca="false">Sens!$V$10235-Sens!$V$10237</f>
        <v>47.29711</v>
      </c>
      <c r="W10238" s="38" t="n">
        <f aca="false">Sens!$W$10235-Sens!$W$10237</f>
        <v>47.29711</v>
      </c>
      <c r="X10238" s="38" t="n">
        <f aca="false">Sens!$X$10235-Sens!$X$10237</f>
        <v>47.29711</v>
      </c>
      <c r="Y10238" s="38" t="n">
        <f aca="false">Sens!$Y$10235-Sens!$Y$10237</f>
        <v>33.4503415166667</v>
      </c>
      <c r="Z10238" s="38" t="n">
        <f aca="false">Sens!$Z$10235-Sens!$Z$10237</f>
        <v>19.6035730333333</v>
      </c>
      <c r="AA10238" s="38" t="n">
        <f aca="false">Sens!$AA$10235-Sens!$AA$10237</f>
        <v>5.75680454999997</v>
      </c>
    </row>
    <row r="10239" customFormat="false" ht="17.15" hidden="false" customHeight="false" outlineLevel="0" collapsed="false">
      <c r="A10239" s="0" t="s">
        <v>630</v>
      </c>
      <c r="B10239" s="0" t="s">
        <v>52</v>
      </c>
      <c r="C10239" s="13" t="n">
        <f aca="false">Sens!$C$10235/Sens!$C$10355</f>
        <v>0.325505489553393</v>
      </c>
      <c r="D10239" s="13" t="n">
        <f aca="false">Sens!$D$10235/Sens!$D$10355</f>
        <v>0.54214956071542</v>
      </c>
      <c r="E10239" s="13" t="n">
        <f aca="false">Sens!$E$10235/Sens!$E$10355</f>
        <v>0.666492790452817</v>
      </c>
      <c r="F10239" s="13" t="n">
        <f aca="false">Sens!$F$10235/Sens!$F$10355</f>
        <v>0.739599686238704</v>
      </c>
      <c r="G10239" s="13" t="n">
        <f aca="false">Sens!$G$10235/Sens!$G$10355</f>
        <v>0.708984258937006</v>
      </c>
      <c r="H10239" s="13" t="n">
        <f aca="false">Sens!$H$10235/Sens!$H$10355</f>
        <v>0.732151748829852</v>
      </c>
      <c r="I10239" s="13" t="n">
        <f aca="false">Sens!$I$10235/Sens!$I$10355</f>
        <v>0.719043581038944</v>
      </c>
      <c r="J10239" s="13" t="n">
        <f aca="false">Sens!$J$10235/Sens!$J$10355</f>
        <v>0.707158393952675</v>
      </c>
      <c r="K10239" s="13" t="n">
        <f aca="false">Sens!$K$10235/Sens!$K$10355</f>
        <v>0.624742606126618</v>
      </c>
      <c r="L10239" s="13" t="n">
        <f aca="false">Sens!$L$10235/Sens!$L$10355</f>
        <v>0.567217461743668</v>
      </c>
      <c r="M10239" s="13" t="n">
        <f aca="false">Sens!$M$10235/Sens!$M$10355</f>
        <v>0.55141560175432</v>
      </c>
    </row>
    <row r="10240" customFormat="false" ht="17.15" hidden="false" customHeight="false" outlineLevel="0" collapsed="false">
      <c r="A10240" s="0" t="s">
        <v>631</v>
      </c>
      <c r="B10240" s="0" t="s">
        <v>86</v>
      </c>
      <c r="C10240" s="38" t="n">
        <f aca="false">Sens!$S$10240</f>
        <v>0.183212798365523</v>
      </c>
      <c r="D10240" s="38" t="n">
        <f aca="false">Sens!$T$10240</f>
        <v>3.2619025816657</v>
      </c>
      <c r="E10240" s="38" t="n">
        <f aca="false">Sens!$G$10240/2</f>
        <v>5.86742852741953</v>
      </c>
      <c r="F10240" s="38" t="n">
        <f aca="false">Sens!$G$10240/2</f>
        <v>5.86742852741953</v>
      </c>
      <c r="G10240" s="38" t="n">
        <f aca="false">Sens!$U$10240</f>
        <v>11.7348570548391</v>
      </c>
      <c r="H10240" s="38" t="n">
        <f aca="false">Sens!$V$10240</f>
        <v>32.4096358574333</v>
      </c>
      <c r="I10240" s="38" t="n">
        <f aca="false">Sens!$W$10240</f>
        <v>58.5208089611833</v>
      </c>
      <c r="J10240" s="38" t="n">
        <f aca="false">Sens!$X$10240</f>
        <v>85.67199742035</v>
      </c>
      <c r="K10240" s="38" t="n">
        <f aca="false">Sens!$Y$10240</f>
        <v>113.512767781151</v>
      </c>
      <c r="L10240" s="38" t="n">
        <f aca="false">Sens!$Z$10240</f>
        <v>131.3820357147</v>
      </c>
      <c r="M10240" s="38" t="n">
        <f aca="false">Sens!$AA$10240</f>
        <v>142.017781716057</v>
      </c>
      <c r="N10240" s="38" t="n">
        <f aca="false">Sens!$D$10240/2</f>
        <v>1.63095129083285</v>
      </c>
      <c r="O10240" s="38" t="n">
        <f aca="false">Sens!$D$10240/2</f>
        <v>1.63095129083285</v>
      </c>
      <c r="R10240" s="38" t="n">
        <f aca="false">SUMPRODUCT(--(Sens!$R$10205:$AA$10205&lt;Sens!R$10205),--(Sens!$R$10205:$AA$10205&gt;=Sens!R$10205-tk_life),Sens!$R$10237:$AA$10237)/tk_life</f>
        <v>0</v>
      </c>
      <c r="S10240" s="38" t="n">
        <f aca="false">SUMPRODUCT(--(Sens!$R$10205:$AA$10205&lt;Sens!S$10205),--(Sens!$R$10205:$AA$10205&gt;=Sens!S$10205-tk_life),Sens!$R$10237:$AA$10237)/tk_life</f>
        <v>0.183212798365523</v>
      </c>
      <c r="T10240" s="38" t="n">
        <f aca="false">SUMPRODUCT(--(Sens!$R$10205:$AA$10205&lt;Sens!T$10205),--(Sens!$R$10205:$AA$10205&gt;=Sens!T$10205-tk_life),Sens!$R$10237:$AA$10237)/tk_life</f>
        <v>3.2619025816657</v>
      </c>
      <c r="U10240" s="38" t="n">
        <f aca="false">SUMPRODUCT(--(Sens!$R$10205:$AA$10205&lt;Sens!U$10205),--(Sens!$R$10205:$AA$10205&gt;=Sens!U$10205-tk_life),Sens!$R$10237:$AA$10237)/tk_life</f>
        <v>11.7348570548391</v>
      </c>
      <c r="V10240" s="38" t="n">
        <f aca="false">SUMPRODUCT(--(Sens!$R$10205:$AA$10205&lt;Sens!V$10205),--(Sens!$R$10205:$AA$10205&gt;=Sens!V$10205-tk_life),Sens!$R$10237:$AA$10237)/tk_life</f>
        <v>32.4096358574333</v>
      </c>
      <c r="W10240" s="38" t="n">
        <f aca="false">SUMPRODUCT(--(Sens!$R$10205:$AA$10205&lt;Sens!W$10205),--(Sens!$R$10205:$AA$10205&gt;=Sens!W$10205-tk_life),Sens!$R$10237:$AA$10237)/tk_life</f>
        <v>58.5208089611833</v>
      </c>
      <c r="X10240" s="38" t="n">
        <f aca="false">SUMPRODUCT(--(Sens!$R$10205:$AA$10205&lt;Sens!X$10205),--(Sens!$R$10205:$AA$10205&gt;=Sens!X$10205-tk_life),Sens!$R$10237:$AA$10237)/tk_life</f>
        <v>85.67199742035</v>
      </c>
      <c r="Y10240" s="38" t="n">
        <f aca="false">SUMPRODUCT(--(Sens!$R$10205:$AA$10205&lt;Sens!Y$10205),--(Sens!$R$10205:$AA$10205&gt;=Sens!Y$10205-tk_life),Sens!$R$10237:$AA$10237)/tk_life</f>
        <v>113.512767781151</v>
      </c>
      <c r="Z10240" s="38" t="n">
        <f aca="false">SUMPRODUCT(--(Sens!$R$10205:$AA$10205&lt;Sens!Z$10205),--(Sens!$R$10205:$AA$10205&gt;=Sens!Z$10205-tk_life),Sens!$R$10237:$AA$10237)/tk_life</f>
        <v>131.3820357147</v>
      </c>
      <c r="AA10240" s="38" t="n">
        <f aca="false">SUMPRODUCT(--(Sens!$R$10205:$AA$10205&lt;Sens!AA$10205),--(Sens!$R$10205:$AA$10205&gt;=Sens!AA$10205-tk_life),Sens!$R$10237:$AA$10237)/tk_life</f>
        <v>142.017781716057</v>
      </c>
    </row>
    <row r="10241" customFormat="false" ht="17.15" hidden="false" customHeight="false" outlineLevel="0" collapsed="false">
      <c r="A10241" s="0" t="s">
        <v>632</v>
      </c>
      <c r="B10241" s="0" t="s">
        <v>86</v>
      </c>
      <c r="C10241" s="38" t="n">
        <f aca="false">Sens!$S$10241</f>
        <v>0.0202511502553155</v>
      </c>
      <c r="D10241" s="38" t="n">
        <f aca="false">Sens!$T$10241</f>
        <v>0.360549480652134</v>
      </c>
      <c r="E10241" s="38" t="n">
        <f aca="false">Sens!$G$10241/2</f>
        <v>0.648547360125127</v>
      </c>
      <c r="F10241" s="38" t="n">
        <f aca="false">Sens!$G$10241/2</f>
        <v>0.648547360125127</v>
      </c>
      <c r="G10241" s="38" t="n">
        <f aca="false">Sens!$U$10241</f>
        <v>1.29709472025025</v>
      </c>
      <c r="H10241" s="38" t="n">
        <f aca="false">Sens!$V$10241</f>
        <v>3.24725852414753</v>
      </c>
      <c r="I10241" s="38" t="n">
        <f aca="false">Sens!$W$10241</f>
        <v>5.61211402414753</v>
      </c>
      <c r="J10241" s="38" t="n">
        <f aca="false">Sens!$X$10241</f>
        <v>7.97696952414753</v>
      </c>
      <c r="K10241" s="38" t="n">
        <f aca="false">Sens!$Y$10241</f>
        <v>10.3418250241475</v>
      </c>
      <c r="L10241" s="38" t="n">
        <f aca="false">Sens!$Z$10241</f>
        <v>12.0143420999809</v>
      </c>
      <c r="M10241" s="38" t="n">
        <f aca="false">Sens!$AA$10241</f>
        <v>12.9945207516475</v>
      </c>
      <c r="N10241" s="38" t="n">
        <f aca="false">Sens!$D$10241/2</f>
        <v>0.180274740326067</v>
      </c>
      <c r="O10241" s="38" t="n">
        <f aca="false">Sens!$D$10241/2</f>
        <v>0.180274740326067</v>
      </c>
      <c r="R10241" s="38" t="n">
        <f aca="false">SUMPRODUCT(--(Sens!$R$10205:$AA$10205&lt;Sens!R$10205),Sens!$R$10238:$AA$10238)/fac_life</f>
        <v>0</v>
      </c>
      <c r="S10241" s="38" t="n">
        <f aca="false">SUMPRODUCT(--(Sens!$R$10205:$AA$10205&lt;Sens!S$10205),Sens!$R$10238:$AA$10238)/fac_life</f>
        <v>0.0202511502553155</v>
      </c>
      <c r="T10241" s="38" t="n">
        <f aca="false">SUMPRODUCT(--(Sens!$R$10205:$AA$10205&lt;Sens!T$10205),Sens!$R$10238:$AA$10238)/fac_life</f>
        <v>0.360549480652134</v>
      </c>
      <c r="U10241" s="38" t="n">
        <f aca="false">SUMPRODUCT(--(Sens!$R$10205:$AA$10205&lt;Sens!U$10205),Sens!$R$10238:$AA$10238)/fac_life</f>
        <v>1.29709472025025</v>
      </c>
      <c r="V10241" s="38" t="n">
        <f aca="false">SUMPRODUCT(--(Sens!$R$10205:$AA$10205&lt;Sens!V$10205),Sens!$R$10238:$AA$10238)/fac_life</f>
        <v>3.24725852414753</v>
      </c>
      <c r="W10241" s="38" t="n">
        <f aca="false">SUMPRODUCT(--(Sens!$R$10205:$AA$10205&lt;Sens!W$10205),Sens!$R$10238:$AA$10238)/fac_life</f>
        <v>5.61211402414753</v>
      </c>
      <c r="X10241" s="38" t="n">
        <f aca="false">SUMPRODUCT(--(Sens!$R$10205:$AA$10205&lt;Sens!X$10205),Sens!$R$10238:$AA$10238)/fac_life</f>
        <v>7.97696952414753</v>
      </c>
      <c r="Y10241" s="38" t="n">
        <f aca="false">SUMPRODUCT(--(Sens!$R$10205:$AA$10205&lt;Sens!Y$10205),Sens!$R$10238:$AA$10238)/fac_life</f>
        <v>10.3418250241475</v>
      </c>
      <c r="Z10241" s="38" t="n">
        <f aca="false">SUMPRODUCT(--(Sens!$R$10205:$AA$10205&lt;Sens!Z$10205),Sens!$R$10238:$AA$10238)/fac_life</f>
        <v>12.0143420999809</v>
      </c>
      <c r="AA10241" s="38" t="n">
        <f aca="false">SUMPRODUCT(--(Sens!$R$10205:$AA$10205&lt;Sens!AA$10205),Sens!$R$10238:$AA$10238)/fac_life</f>
        <v>12.9945207516475</v>
      </c>
    </row>
    <row r="10242" customFormat="false" ht="17.15" hidden="false" customHeight="false" outlineLevel="0" collapsed="false">
      <c r="A10242" s="1" t="s">
        <v>633</v>
      </c>
      <c r="B10242" s="8" t="s">
        <v>86</v>
      </c>
      <c r="C10242" s="38" t="n">
        <f aca="false">Sens!$C$10240+Sens!$C$10241</f>
        <v>0.203463948620839</v>
      </c>
      <c r="D10242" s="38" t="n">
        <f aca="false">Sens!$D$10240+Sens!$D$10241</f>
        <v>3.62245206231783</v>
      </c>
      <c r="E10242" s="38" t="n">
        <f aca="false">Sens!$E$10240+Sens!$E$10241</f>
        <v>6.51597588754466</v>
      </c>
      <c r="F10242" s="38" t="n">
        <f aca="false">Sens!$F$10240+Sens!$F$10241</f>
        <v>6.51597588754466</v>
      </c>
      <c r="G10242" s="38" t="n">
        <f aca="false">Sens!$G$10240+Sens!$G$10241</f>
        <v>13.0319517750893</v>
      </c>
      <c r="H10242" s="38" t="n">
        <f aca="false">Sens!$H$10240+Sens!$H$10241</f>
        <v>35.6568943815808</v>
      </c>
      <c r="I10242" s="38" t="n">
        <f aca="false">Sens!$I$10240+Sens!$I$10241</f>
        <v>64.1329229853308</v>
      </c>
      <c r="J10242" s="38" t="n">
        <f aca="false">Sens!$J$10240+Sens!$J$10241</f>
        <v>93.6489669444975</v>
      </c>
      <c r="K10242" s="38" t="n">
        <f aca="false">Sens!$K$10240+Sens!$K$10241</f>
        <v>123.854592805299</v>
      </c>
      <c r="L10242" s="38" t="n">
        <f aca="false">Sens!$L$10240+Sens!$L$10241</f>
        <v>143.39637781468</v>
      </c>
      <c r="M10242" s="38" t="n">
        <f aca="false">Sens!$M$10240+Sens!$M$10241</f>
        <v>155.012302467704</v>
      </c>
      <c r="N10242" s="38" t="n">
        <f aca="false">Sens!$N$10240+Sens!$N$10241</f>
        <v>1.81122603115892</v>
      </c>
      <c r="O10242" s="38" t="n">
        <f aca="false">Sens!$O$10240+Sens!$O$10241</f>
        <v>1.81122603115892</v>
      </c>
      <c r="R10242" s="38" t="n">
        <f aca="false">Sens!$R$10240+Sens!$R$10241</f>
        <v>0</v>
      </c>
      <c r="S10242" s="38" t="n">
        <f aca="false">Sens!$S$10240+Sens!$S$10241</f>
        <v>0.203463948620839</v>
      </c>
      <c r="T10242" s="38" t="n">
        <f aca="false">Sens!$T$10240+Sens!$T$10241</f>
        <v>3.62245206231783</v>
      </c>
      <c r="U10242" s="38" t="n">
        <f aca="false">Sens!$U$10240+Sens!$U$10241</f>
        <v>13.0319517750893</v>
      </c>
      <c r="V10242" s="38" t="n">
        <f aca="false">Sens!$V$10240+Sens!$V$10241</f>
        <v>35.6568943815808</v>
      </c>
      <c r="W10242" s="38" t="n">
        <f aca="false">Sens!$W$10240+Sens!$W$10241</f>
        <v>64.1329229853308</v>
      </c>
      <c r="X10242" s="38" t="n">
        <f aca="false">Sens!$X$10240+Sens!$X$10241</f>
        <v>93.6489669444975</v>
      </c>
      <c r="Y10242" s="38" t="n">
        <f aca="false">Sens!$Y$10240+Sens!$Y$10241</f>
        <v>123.854592805299</v>
      </c>
      <c r="Z10242" s="38" t="n">
        <f aca="false">Sens!$Z$10240+Sens!$Z$10241</f>
        <v>143.39637781468</v>
      </c>
      <c r="AA10242" s="38" t="n">
        <f aca="false">Sens!$AA$10240+Sens!$AA$10241</f>
        <v>155.012302467704</v>
      </c>
    </row>
    <row r="10243" customFormat="false" ht="17.15" hidden="false" customHeight="false" outlineLevel="0" collapsed="false">
      <c r="A10243" s="0" t="s">
        <v>634</v>
      </c>
      <c r="B10243" s="0" t="s">
        <v>86</v>
      </c>
      <c r="C10243" s="38" t="n">
        <f aca="false">Sens!$S$10243</f>
        <v>26.578941154416</v>
      </c>
      <c r="D10243" s="38" t="n">
        <f aca="false">Sens!$T$10243</f>
        <v>92.5251207231008</v>
      </c>
      <c r="G10243" s="38" t="n">
        <f aca="false">Sens!$U$10243</f>
        <v>242.545117841522</v>
      </c>
      <c r="H10243" s="38" t="n">
        <f aca="false">Sens!$V$10243</f>
        <v>410.852372082442</v>
      </c>
      <c r="I10243" s="38" t="n">
        <f aca="false">Sens!$W$10243</f>
        <v>556.923689852111</v>
      </c>
      <c r="J10243" s="38" t="n">
        <f aca="false">Sens!$X$10243</f>
        <v>678.715731862613</v>
      </c>
      <c r="K10243" s="38" t="n">
        <f aca="false">Sens!$Y$10243</f>
        <v>713.999226875073</v>
      </c>
      <c r="L10243" s="38" t="n">
        <f aca="false">Sens!$Z$10243</f>
        <v>704.858624940909</v>
      </c>
      <c r="M10243" s="38" t="n">
        <f aca="false">Sens!$AA$10243</f>
        <v>684.81449099398</v>
      </c>
      <c r="R10243" s="38" t="n">
        <f aca="false">SUM(Sens!$R$10235:$R$10235)-SUM(Sens!$R$10242:$R$10242)</f>
        <v>1.50429979529945</v>
      </c>
      <c r="S10243" s="38" t="n">
        <f aca="false">SUM(Sens!$R$10235:$S$10235)-SUM(Sens!$R$10242:$S$10242)</f>
        <v>26.578941154416</v>
      </c>
      <c r="T10243" s="38" t="n">
        <f aca="false">SUM(Sens!$R$10235:$T$10235)-SUM(Sens!$R$10242:$T$10242)</f>
        <v>92.5251207231008</v>
      </c>
      <c r="U10243" s="38" t="n">
        <f aca="false">SUM(Sens!$R$10235:$U$10235)-SUM(Sens!$R$10242:$U$10242)</f>
        <v>242.545117841522</v>
      </c>
      <c r="V10243" s="38" t="n">
        <f aca="false">SUM(Sens!$R$10235:$V$10235)-SUM(Sens!$R$10242:$V$10242)</f>
        <v>410.852372082442</v>
      </c>
      <c r="W10243" s="38" t="n">
        <f aca="false">SUM(Sens!$R$10235:$W$10235)-SUM(Sens!$R$10242:$W$10242)</f>
        <v>556.923689852111</v>
      </c>
      <c r="X10243" s="38" t="n">
        <f aca="false">SUM(Sens!$R$10235:$X$10235)-SUM(Sens!$R$10242:$X$10242)</f>
        <v>678.715731862613</v>
      </c>
      <c r="Y10243" s="38" t="n">
        <f aca="false">SUM(Sens!$R$10235:$Y$10235)-SUM(Sens!$R$10242:$Y$10242)</f>
        <v>713.999226875073</v>
      </c>
      <c r="Z10243" s="38" t="n">
        <f aca="false">SUM(Sens!$R$10235:$Z$10235)-SUM(Sens!$R$10242:$Z$10242)</f>
        <v>704.858624940909</v>
      </c>
      <c r="AA10243" s="38" t="n">
        <f aca="false">SUM(Sens!$R$10235:$AA$10235)-SUM(Sens!$R$10242:$AA$10242)</f>
        <v>684.81449099398</v>
      </c>
    </row>
    <row r="10244" customFormat="false" ht="17.15" hidden="false" customHeight="false" outlineLevel="0" collapsed="false">
      <c r="A10244" s="1" t="s">
        <v>635</v>
      </c>
    </row>
    <row r="10245" customFormat="false" ht="17.15" hidden="false" customHeight="false" outlineLevel="0" collapsed="false">
      <c r="A10245" s="0" t="s">
        <v>636</v>
      </c>
      <c r="B10245" s="0" t="s">
        <v>86</v>
      </c>
      <c r="C10245" s="38" t="n">
        <f aca="false">Sens!$C$10226-ext_sh*Sens!$C$10228</f>
        <v>1.80694998843362</v>
      </c>
      <c r="D10245" s="38" t="n">
        <f aca="false">Sens!$D$10226-ext_sh*Sens!$D$10228</f>
        <v>6.77606245662607</v>
      </c>
      <c r="E10245" s="38" t="n">
        <f aca="false">Sens!$E$10226-ext_sh*Sens!$E$10228</f>
        <v>6.62548329092326</v>
      </c>
      <c r="F10245" s="38" t="n">
        <f aca="false">Sens!$F$10226-ext_sh*Sens!$F$10228</f>
        <v>14.4996696128551</v>
      </c>
      <c r="G10245" s="38" t="n">
        <f aca="false">Sens!$G$10226-ext_sh*Sens!$G$10228</f>
        <v>21.1251529037784</v>
      </c>
      <c r="H10245" s="38" t="n">
        <f aca="false">Sens!$H$10226-ext_sh*Sens!$H$10228</f>
        <v>70.2126356677435</v>
      </c>
      <c r="I10245" s="38" t="n">
        <f aca="false">Sens!$I$10226-ext_sh*Sens!$I$10228</f>
        <v>126.678603645079</v>
      </c>
      <c r="J10245" s="38" t="n">
        <f aca="false">Sens!$J$10226-ext_sh*Sens!$J$10228</f>
        <v>183.417938128511</v>
      </c>
      <c r="K10245" s="38" t="n">
        <f aca="false">Sens!$K$10226-ext_sh*Sens!$K$10228</f>
        <v>231.815746632017</v>
      </c>
      <c r="L10245" s="38" t="n">
        <f aca="false">Sens!$L$10226-ext_sh*Sens!$L$10228</f>
        <v>263.612756777848</v>
      </c>
      <c r="M10245" s="38" t="n">
        <f aca="false">Sens!$M$10226-ext_sh*Sens!$M$10228</f>
        <v>278.764488450164</v>
      </c>
      <c r="N10245" s="38" t="n">
        <f aca="false">Sens!$N$10226-ext_sh*Sens!$N$10228</f>
        <v>2.37162185981912</v>
      </c>
      <c r="O10245" s="38" t="n">
        <f aca="false">Sens!$O$10226-ext_sh*Sens!$O$10228</f>
        <v>4.40444059680694</v>
      </c>
    </row>
    <row r="10246" customFormat="false" ht="17.15" hidden="false" customHeight="false" outlineLevel="0" collapsed="false">
      <c r="A10246" s="1" t="s">
        <v>637</v>
      </c>
      <c r="B10246" s="8" t="s">
        <v>86</v>
      </c>
      <c r="C10246" s="38" t="n">
        <f aca="false">Sens!$C$10245-ext_sh*Sens!$C$10242</f>
        <v>1.64417882953695</v>
      </c>
      <c r="D10246" s="38" t="n">
        <f aca="false">Sens!$D$10245-ext_sh*Sens!$D$10242</f>
        <v>3.8781008067718</v>
      </c>
      <c r="E10246" s="38" t="n">
        <f aca="false">Sens!$E$10245-ext_sh*Sens!$E$10242</f>
        <v>1.41270258088753</v>
      </c>
      <c r="F10246" s="38" t="n">
        <f aca="false">Sens!$F$10245-ext_sh*Sens!$F$10242</f>
        <v>9.28688890281936</v>
      </c>
      <c r="G10246" s="38" t="n">
        <f aca="false">Sens!$G$10245-ext_sh*Sens!$G$10242</f>
        <v>10.6995914837069</v>
      </c>
      <c r="H10246" s="38" t="n">
        <f aca="false">Sens!$H$10245-ext_sh*Sens!$H$10242</f>
        <v>41.6871201624788</v>
      </c>
      <c r="I10246" s="38" t="n">
        <f aca="false">Sens!$I$10245-ext_sh*Sens!$I$10242</f>
        <v>75.3722652568139</v>
      </c>
      <c r="J10246" s="38" t="n">
        <f aca="false">Sens!$J$10245-ext_sh*Sens!$J$10242</f>
        <v>108.498764572913</v>
      </c>
      <c r="K10246" s="38" t="n">
        <f aca="false">Sens!$K$10245-ext_sh*Sens!$K$10242</f>
        <v>132.732072387778</v>
      </c>
      <c r="L10246" s="38" t="n">
        <f aca="false">Sens!$L$10245-ext_sh*Sens!$L$10242</f>
        <v>148.895654526103</v>
      </c>
      <c r="M10246" s="38" t="n">
        <f aca="false">Sens!$M$10245-ext_sh*Sens!$M$10242</f>
        <v>154.754646476001</v>
      </c>
      <c r="N10246" s="38" t="n">
        <f aca="false">Sens!$N$10245-ext_sh*Sens!$N$10242</f>
        <v>0.92264103489199</v>
      </c>
      <c r="O10246" s="38" t="n">
        <f aca="false">Sens!$O$10245-ext_sh*Sens!$O$10242</f>
        <v>2.95545977187981</v>
      </c>
    </row>
    <row r="10247" customFormat="false" ht="17.15" hidden="false" customHeight="false" outlineLevel="0" collapsed="false">
      <c r="A10247" s="0" t="s">
        <v>638</v>
      </c>
      <c r="B10247" s="0" t="s">
        <v>52</v>
      </c>
      <c r="C10247" s="13" t="n">
        <f aca="false">Sens!$C$10246/Sens!$C$10226</f>
        <v>0.708390794789371</v>
      </c>
      <c r="D10247" s="13" t="n">
        <f aca="false">Sens!$D$10246/Sens!$D$10226</f>
        <v>0.445565630441968</v>
      </c>
      <c r="E10247" s="13" t="n">
        <f aca="false">Sens!$E$10246/Sens!$E$10226</f>
        <v>0.165998118402711</v>
      </c>
      <c r="F10247" s="13" t="n">
        <f aca="false">Sens!$F$10246/Sens!$F$10226</f>
        <v>0.522597540603814</v>
      </c>
      <c r="G10247" s="13" t="n">
        <f aca="false">Sens!$G$10246/Sens!$G$10226</f>
        <v>0.407122915702863</v>
      </c>
      <c r="H10247" s="13" t="n">
        <f aca="false">Sens!$H$10246/Sens!$H$10226</f>
        <v>0.501747428859124</v>
      </c>
      <c r="I10247" s="13" t="n">
        <f aca="false">Sens!$I$10246/Sens!$I$10226</f>
        <v>0.509009675067759</v>
      </c>
      <c r="J10247" s="13" t="n">
        <f aca="false">Sens!$J$10246/Sens!$J$10226</f>
        <v>0.508529537133494</v>
      </c>
      <c r="K10247" s="13" t="n">
        <f aca="false">Sens!$K$10246/Sens!$K$10226</f>
        <v>0.493344560605018</v>
      </c>
      <c r="L10247" s="13" t="n">
        <f aca="false">Sens!$L$10246/Sens!$L$10226</f>
        <v>0.487173190851565</v>
      </c>
      <c r="M10247" s="13" t="n">
        <f aca="false">Sens!$M$10246/Sens!$M$10226</f>
        <v>0.479012314127067</v>
      </c>
      <c r="N10247" s="13" t="n">
        <f aca="false">Sens!$N$10246/Sens!$N$10226</f>
        <v>0.302870734830849</v>
      </c>
      <c r="O10247" s="13" t="n">
        <f aca="false">Sens!$O$10246/Sens!$O$10226</f>
        <v>0.52240134346334</v>
      </c>
    </row>
    <row r="10248" customFormat="false" ht="17.15" hidden="false" customHeight="false" outlineLevel="0" collapsed="false">
      <c r="A10248" s="5" t="s">
        <v>639</v>
      </c>
      <c r="B10248" s="0" t="s">
        <v>86</v>
      </c>
      <c r="C10248" s="39" t="n">
        <v>0</v>
      </c>
      <c r="D10248" s="39" t="n">
        <v>0</v>
      </c>
      <c r="E10248" s="39" t="n">
        <v>0</v>
      </c>
      <c r="F10248" s="38" t="n">
        <f aca="false">IF(1=2,1,0)*(1-ext_sh)/ext_sh*(mw_open*he_open+Sens!$F$10224*Sens!$F$10221)*Sens!$F$10210/1000</f>
        <v>0</v>
      </c>
      <c r="G10248" s="38" t="n">
        <f aca="false">Sens!$E$10248+Sens!$F$10248</f>
        <v>0</v>
      </c>
      <c r="H10248" s="38" t="n">
        <f aca="false">IF(1=2,1,0)*(1-ext_sh)/ext_sh*(mw_open*he_open+Sens!$H$10224*Sens!$H$10221)*Sens!$H$10210/1000</f>
        <v>0</v>
      </c>
      <c r="I10248" s="38" t="n">
        <f aca="false">IF(1=2,1,0)*(1-ext_sh)/ext_sh*(mw_open*he_open+Sens!$I$10224*Sens!$I$10221)*Sens!$I$10210/1000</f>
        <v>0</v>
      </c>
      <c r="J10248" s="38" t="n">
        <f aca="false">IF(1=2,1,0)*(1-ext_sh)/ext_sh*(mw_open*he_open+Sens!$J$10224*Sens!$J$10221)*Sens!$J$10210/1000</f>
        <v>0</v>
      </c>
      <c r="K10248" s="38" t="n">
        <f aca="false">IF(1=2,1,0)*(1-ext_sh)/ext_sh*(mw_open*he_open+Sens!$K$10224*Sens!$K$10221)*Sens!$K$10210/1000</f>
        <v>0</v>
      </c>
      <c r="L10248" s="38" t="n">
        <f aca="false">IF(1=2,1,0)*(1-ext_sh)/ext_sh*(mw_open*he_open+Sens!$L$10224*Sens!$L$10221)*Sens!$L$10210/1000</f>
        <v>0</v>
      </c>
      <c r="M10248" s="38" t="n">
        <f aca="false">IF(1=2,1,0)*(1-ext_sh)/ext_sh*(mw_open*he_open+Sens!$M$10224*Sens!$M$10221)*Sens!$M$10210/1000</f>
        <v>0</v>
      </c>
      <c r="N10248" s="39" t="n">
        <v>0</v>
      </c>
      <c r="O10248" s="39" t="n">
        <v>0</v>
      </c>
      <c r="P10248" s="8" t="s">
        <v>640</v>
      </c>
    </row>
    <row r="10249" customFormat="false" ht="17.15" hidden="false" customHeight="false" outlineLevel="0" collapsed="false">
      <c r="A10249" s="5" t="s">
        <v>641</v>
      </c>
      <c r="B10249" s="0" t="s">
        <v>86</v>
      </c>
      <c r="C10249" s="38" t="n">
        <f aca="false">(1-ext_sh)*(Sens!$C$10228+Sens!$C$10242)</f>
        <v>0.169206631859174</v>
      </c>
      <c r="D10249" s="38" t="n">
        <f aca="false">(1-ext_sh)*(Sens!$D$10228+Sens!$D$10242)</f>
        <v>1.20641732046984</v>
      </c>
      <c r="E10249" s="38" t="n">
        <f aca="false">(1-ext_sh)*(Sens!$E$10228+Sens!$E$10242)</f>
        <v>1.77441259867062</v>
      </c>
      <c r="F10249" s="38" t="n">
        <f aca="false">(1-ext_sh)*(Sens!$F$10228+Sens!$F$10242)</f>
        <v>2.12093592959819</v>
      </c>
      <c r="G10249" s="38" t="n">
        <f aca="false">(1-ext_sh)*(Sens!$G$10228+Sens!$G$10242)</f>
        <v>3.89534852826881</v>
      </c>
      <c r="H10249" s="38" t="n">
        <f aca="false">(1-ext_sh)*(Sens!$H$10228+Sens!$H$10242)</f>
        <v>10.3491884610362</v>
      </c>
      <c r="I10249" s="38" t="n">
        <f aca="false">(1-ext_sh)*(Sens!$I$10228+Sens!$I$10242)</f>
        <v>18.1760066762954</v>
      </c>
      <c r="J10249" s="38" t="n">
        <f aca="false">(1-ext_sh)*(Sens!$J$10228+Sens!$J$10242)</f>
        <v>26.2147693257273</v>
      </c>
      <c r="K10249" s="38" t="n">
        <f aca="false">(1-ext_sh)*(Sens!$K$10228+Sens!$K$10242)</f>
        <v>34.0783256913608</v>
      </c>
      <c r="L10249" s="38" t="n">
        <f aca="false">(1-ext_sh)*(Sens!$L$10228+Sens!$L$10242)</f>
        <v>39.1840544803062</v>
      </c>
      <c r="M10249" s="38" t="n">
        <f aca="false">(1-ext_sh)*(Sens!$M$10228+Sens!$M$10242)</f>
        <v>42.0789104829923</v>
      </c>
      <c r="N10249" s="38" t="n">
        <f aca="false">(1-ext_sh)*(Sens!$N$10228+Sens!$N$10242)</f>
        <v>0.530919624033979</v>
      </c>
      <c r="O10249" s="38" t="n">
        <f aca="false">(1-ext_sh)*(Sens!$O$10228+Sens!$O$10242)</f>
        <v>0.675497696435861</v>
      </c>
    </row>
    <row r="10250" customFormat="false" ht="17.15" hidden="false" customHeight="false" outlineLevel="0" collapsed="false">
      <c r="A10250" s="0" t="s">
        <v>642</v>
      </c>
      <c r="B10250" s="0" t="s">
        <v>86</v>
      </c>
      <c r="C10250" s="38" t="n">
        <f aca="false">Q!$D$24</f>
        <v>39.834</v>
      </c>
      <c r="D10250" s="38" t="n">
        <f aca="false">Q!$E$24</f>
        <v>45.606</v>
      </c>
      <c r="E10250" s="38" t="n">
        <f aca="false">Q!$P$24</f>
        <v>30.782</v>
      </c>
      <c r="N10250" s="38" t="n">
        <f aca="false">Q!$N$24</f>
        <v>21.707</v>
      </c>
      <c r="O10250" s="38" t="n">
        <f aca="false">Q!$O$24</f>
        <v>23.899</v>
      </c>
    </row>
    <row r="10251" customFormat="false" ht="17.15" hidden="false" customHeight="false" outlineLevel="0" collapsed="false">
      <c r="A10251" s="0" t="s">
        <v>643</v>
      </c>
      <c r="B10251" s="0" t="s">
        <v>86</v>
      </c>
      <c r="C10251" s="38" t="n">
        <f aca="false">Sens!$C$10250-Sens!$C$10246</f>
        <v>38.1898211704631</v>
      </c>
      <c r="D10251" s="38" t="n">
        <f aca="false">Sens!$D$10250-Sens!$D$10246</f>
        <v>41.7278991932282</v>
      </c>
      <c r="E10251" s="38" t="n">
        <f aca="false">Sens!$E$10250-Sens!$E$10246</f>
        <v>29.3692974191125</v>
      </c>
      <c r="F10251" s="38" t="n">
        <f aca="false">Sens!$F$10230*Sens!$F$10252</f>
        <v>26.8997276714137</v>
      </c>
      <c r="G10251" s="38" t="n">
        <f aca="false">Sens!$E$10251+Sens!$F$10251</f>
        <v>56.2690250905262</v>
      </c>
      <c r="H10251" s="38" t="n">
        <f aca="false">Sens!$H$10230*Sens!$H$10252</f>
        <v>60.3505333937343</v>
      </c>
      <c r="I10251" s="38" t="n">
        <f aca="false">Sens!$I$10230*Sens!$I$10252</f>
        <v>67.0043857303571</v>
      </c>
      <c r="J10251" s="38" t="n">
        <f aca="false">Sens!$J$10230*Sens!$J$10252</f>
        <v>73.3782922956925</v>
      </c>
      <c r="K10251" s="38" t="n">
        <f aca="false">Sens!$K$10230*Sens!$K$10252</f>
        <v>79.2485556793479</v>
      </c>
      <c r="L10251" s="38" t="n">
        <f aca="false">Sens!$L$10230*Sens!$L$10252</f>
        <v>85.5884401336958</v>
      </c>
      <c r="M10251" s="38" t="n">
        <f aca="false">Sens!$M$10230*Sens!$M$10252</f>
        <v>92.4355153443914</v>
      </c>
      <c r="N10251" s="38" t="n">
        <f aca="false">Sens!$N$10250-Sens!$N$10246</f>
        <v>20.784358965108</v>
      </c>
      <c r="O10251" s="38" t="n">
        <f aca="false">Sens!$O$10250-Sens!$O$10246</f>
        <v>20.9435402281202</v>
      </c>
      <c r="P10251" s="5" t="s">
        <v>644</v>
      </c>
    </row>
    <row r="10252" customFormat="false" ht="17.15" hidden="false" customHeight="false" outlineLevel="0" collapsed="false">
      <c r="A10252" s="0" t="s">
        <v>645</v>
      </c>
      <c r="B10252" s="0" t="s">
        <v>52</v>
      </c>
      <c r="C10252" s="13" t="n">
        <f aca="false">Sens!$C$10251/Sens!$C$10230</f>
        <v>0.362900395443635</v>
      </c>
      <c r="D10252" s="13" t="n">
        <f aca="false">Sens!$D$10251/Sens!$D$10230</f>
        <v>0.34767098474203</v>
      </c>
      <c r="E10252" s="13" t="n">
        <f aca="false">Sens!$E$10251/Sens!$E$10230</f>
        <v>0.411861655558416</v>
      </c>
      <c r="F10252" s="13" t="n">
        <f aca="false">(Sens!$O$10251+Sens!$E$10251)/(Sens!$O$10230+Sens!$E$10230)</f>
        <v>0.37480827803158</v>
      </c>
      <c r="G10252" s="13" t="n">
        <f aca="false">Sens!$G$10251/Sens!$G$10230</f>
        <v>0.393275318395757</v>
      </c>
      <c r="H10252" s="13" t="n">
        <f aca="false">Sens!$F$10252</f>
        <v>0.37480827803158</v>
      </c>
      <c r="I10252" s="13" t="n">
        <f aca="false">Sens!$F$10252</f>
        <v>0.37480827803158</v>
      </c>
      <c r="J10252" s="13" t="n">
        <f aca="false">Sens!$F$10252</f>
        <v>0.37480827803158</v>
      </c>
      <c r="K10252" s="13" t="n">
        <f aca="false">Sens!$F$10252</f>
        <v>0.37480827803158</v>
      </c>
      <c r="L10252" s="13" t="n">
        <f aca="false">Sens!$F$10252</f>
        <v>0.37480827803158</v>
      </c>
      <c r="M10252" s="13" t="n">
        <f aca="false">Sens!$F$10252</f>
        <v>0.37480827803158</v>
      </c>
      <c r="N10252" s="13" t="n">
        <f aca="false">Sens!$N$10251/Sens!$N$10230</f>
        <v>0.364039571356823</v>
      </c>
      <c r="O10252" s="13" t="n">
        <f aca="false">Sens!$O$10251/Sens!$O$10230</f>
        <v>0.332819892300086</v>
      </c>
      <c r="P10252" s="8" t="s">
        <v>646</v>
      </c>
    </row>
    <row r="10253" customFormat="false" ht="17.15" hidden="false" customHeight="false" outlineLevel="0" collapsed="false">
      <c r="A10253" s="0" t="s">
        <v>647</v>
      </c>
      <c r="B10253" s="0" t="s">
        <v>52</v>
      </c>
      <c r="D10253" s="13" t="n">
        <f aca="false">(Q!$E$31-ext_sh*Sens!$D$10242)/Sens!$D$10230</f>
        <v>0.154572973163571</v>
      </c>
    </row>
    <row r="10254" customFormat="false" ht="17.15" hidden="false" customHeight="false" outlineLevel="0" collapsed="false">
      <c r="A10254" s="0" t="s">
        <v>648</v>
      </c>
      <c r="B10254" s="0" t="s">
        <v>86</v>
      </c>
      <c r="C10254" s="38" t="n">
        <f aca="false">Q!$D$31</f>
        <v>13.32</v>
      </c>
      <c r="D10254" s="38" t="n">
        <f aca="false">Q!$E$31</f>
        <v>21.45</v>
      </c>
      <c r="E10254" s="38" t="n">
        <f aca="false">Q!$P$31</f>
        <v>15.353</v>
      </c>
      <c r="F10254" s="38" t="n">
        <f aca="false">ext_sh*Sens!$F$10242+Sens!$D$10253*Sens!$F$10230</f>
        <v>16.3063747611001</v>
      </c>
      <c r="G10254" s="38" t="n">
        <f aca="false">Sens!$E$10254+Sens!$F$10254</f>
        <v>31.6593747611001</v>
      </c>
      <c r="H10254" s="38" t="n">
        <f aca="false">ext_sh*Sens!$H$10242+Sens!$D$10253*Sens!$H$10230</f>
        <v>53.414403839505</v>
      </c>
      <c r="I10254" s="38" t="n">
        <f aca="false">ext_sh*Sens!$I$10242+Sens!$D$10253*Sens!$I$10230</f>
        <v>78.939311629233</v>
      </c>
      <c r="J10254" s="38" t="n">
        <f aca="false">ext_sh*Sens!$J$10242+Sens!$D$10253*Sens!$J$10230</f>
        <v>105.180780544052</v>
      </c>
      <c r="K10254" s="38" t="n">
        <f aca="false">ext_sh*Sens!$K$10242+Sens!$D$10253*Sens!$K$10230</f>
        <v>131.766209791769</v>
      </c>
      <c r="L10254" s="38" t="n">
        <f aca="false">ext_sh*Sens!$L$10242+Sens!$D$10253*Sens!$L$10230</f>
        <v>150.014240643077</v>
      </c>
      <c r="M10254" s="38" t="n">
        <f aca="false">ext_sh*Sens!$M$10242+Sens!$D$10253*Sens!$M$10230</f>
        <v>162.130751436802</v>
      </c>
      <c r="N10254" s="38" t="n">
        <f aca="false">Q!$N$31</f>
        <v>9.234</v>
      </c>
      <c r="O10254" s="38" t="n">
        <f aca="false">Q!$O$31</f>
        <v>12.216</v>
      </c>
    </row>
    <row r="10255" customFormat="false" ht="17.15" hidden="false" customHeight="false" outlineLevel="0" collapsed="false">
      <c r="A10255" s="1" t="s">
        <v>649</v>
      </c>
    </row>
    <row r="10256" customFormat="false" ht="17.15" hidden="false" customHeight="false" outlineLevel="0" collapsed="false">
      <c r="A10256" s="15" t="s">
        <v>650</v>
      </c>
      <c r="B10256" s="14" t="s">
        <v>52</v>
      </c>
      <c r="C10256" s="14"/>
      <c r="D10256" s="14"/>
      <c r="E10256" s="14"/>
      <c r="F10256" s="14"/>
      <c r="G10256" s="17" t="n">
        <f aca="false">Sens!$G$10246*(1-tax)/(ext_sh*(Sens!$D$10243+Sens!$G$10243)/2)</f>
        <v>0.0659735403452127</v>
      </c>
      <c r="H10256" s="17" t="n">
        <f aca="false">Sens!$H$10246*(1-tax)/(ext_sh*(Sens!$G$10243+Sens!$H$10243)/2)</f>
        <v>0.131814407287095</v>
      </c>
      <c r="I10256" s="17" t="n">
        <f aca="false">Sens!$I$10246*(1-tax)/(ext_sh*(Sens!$H$10243+Sens!$I$10243)/2)</f>
        <v>0.160907075308678</v>
      </c>
      <c r="J10256" s="17" t="n">
        <f aca="false">Sens!$J$10246*(1-tax)/(ext_sh*(Sens!$I$10243+Sens!$J$10243)/2)</f>
        <v>0.181414287027861</v>
      </c>
      <c r="K10256" s="17" t="n">
        <f aca="false">Sens!$K$10246*(1-tax)/(ext_sh*(Sens!$J$10243+Sens!$K$10243)/2)</f>
        <v>0.196902886959618</v>
      </c>
      <c r="L10256" s="17" t="n">
        <f aca="false">Sens!$L$10246*(1-tax)/(ext_sh*(Sens!$K$10243+Sens!$L$10243)/2)</f>
        <v>0.216811135558386</v>
      </c>
      <c r="M10256" s="17" t="n">
        <f aca="false">Sens!$M$10246*(1-tax)/(ext_sh*(Sens!$L$10243+Sens!$M$10243)/2)</f>
        <v>0.230075031600187</v>
      </c>
      <c r="N10256" s="14"/>
      <c r="O10256" s="14"/>
      <c r="P10256" s="8" t="s">
        <v>651</v>
      </c>
    </row>
    <row r="10257" customFormat="false" ht="17.15" hidden="false" customHeight="false" outlineLevel="0" collapsed="false">
      <c r="A10257" s="5" t="s">
        <v>652</v>
      </c>
      <c r="B10257" s="0" t="s">
        <v>57</v>
      </c>
      <c r="H10257" s="36" t="n">
        <f aca="false">Sens!$H$10226*1000/(mw_open*he_open+Sens!$H$10224*Sens!$H$10221)</f>
        <v>1.34547185053953</v>
      </c>
      <c r="I10257" s="36" t="n">
        <f aca="false">Sens!$I$10226*1000/(mw_open*he_open+Sens!$I$10224*Sens!$I$10221)</f>
        <v>1.41624158558789</v>
      </c>
      <c r="J10257" s="36" t="n">
        <f aca="false">Sens!$J$10226*1000/(mw_open*he_open+Sens!$J$10224*Sens!$J$10221)</f>
        <v>1.44599072114959</v>
      </c>
      <c r="K10257" s="36" t="n">
        <f aca="false">Sens!$K$10226*1000/(mw_open*he_open+Sens!$K$10224*Sens!$K$10221)</f>
        <v>1.46039310245524</v>
      </c>
      <c r="L10257" s="36" t="n">
        <f aca="false">Sens!$L$10226*1000/(mw_open*he_open+Sens!$L$10224*Sens!$L$10221)</f>
        <v>1.46709503210944</v>
      </c>
      <c r="M10257" s="36" t="n">
        <f aca="false">Sens!$M$10226*1000/(mw_open*he_open+Sens!$M$10224*Sens!$M$10221)</f>
        <v>1.46977231872523</v>
      </c>
    </row>
    <row r="10258" customFormat="false" ht="17.15" hidden="false" customHeight="false" outlineLevel="0" collapsed="false">
      <c r="A10258" s="5" t="s">
        <v>653</v>
      </c>
      <c r="B10258" s="0" t="s">
        <v>57</v>
      </c>
      <c r="H10258" s="36" t="n">
        <f aca="false">Sens!$H$10257*(Sens!$H$10226+wacc*ext_sh*(Sens!$G$10243+Sens!$H$10243)/2/(1-tax)-Sens!$H$10246)/Sens!$H$10226</f>
        <v>1.25063717702218</v>
      </c>
      <c r="I10258" s="36" t="n">
        <f aca="false">Sens!$I$10257*(Sens!$I$10226+wacc*ext_sh*(Sens!$H$10243+Sens!$I$10243)/2/(1-tax)-Sens!$I$10246)/Sens!$I$10226</f>
        <v>1.20294532062963</v>
      </c>
      <c r="J10258" s="36" t="n">
        <f aca="false">Sens!$J$10257*(Sens!$J$10226+wacc*ext_sh*(Sens!$I$10243+Sens!$J$10243)/2/(1-tax)-Sens!$J$10246)/Sens!$J$10226</f>
        <v>1.16989171073916</v>
      </c>
      <c r="K10258" s="36" t="n">
        <f aca="false">Sens!$K$10257*(Sens!$K$10226+wacc*ext_sh*(Sens!$J$10243+Sens!$K$10243)/2/(1-tax)-Sens!$K$10246)/Sens!$K$10226</f>
        <v>1.15447674751341</v>
      </c>
      <c r="L10258" s="36" t="n">
        <f aca="false">Sens!$L$10257*(Sens!$L$10226+wacc*ext_sh*(Sens!$K$10243+Sens!$L$10243)/2/(1-tax)-Sens!$L$10246)/Sens!$L$10226</f>
        <v>1.12585660669568</v>
      </c>
      <c r="M10258" s="36" t="n">
        <f aca="false">Sens!$M$10257*(Sens!$M$10226+wacc*ext_sh*(Sens!$L$10243+Sens!$M$10243)/2/(1-tax)-Sens!$M$10246)/Sens!$M$10226</f>
        <v>1.11242804289666</v>
      </c>
    </row>
    <row r="10259" customFormat="false" ht="17.15" hidden="false" customHeight="false" outlineLevel="0" collapsed="false">
      <c r="A10259" s="5" t="s">
        <v>654</v>
      </c>
      <c r="B10259" s="0" t="s">
        <v>52</v>
      </c>
      <c r="C10259" s="13" t="n">
        <f aca="false">Sens!$C$10227/tk_pq</f>
        <v>0.195316432429398</v>
      </c>
      <c r="D10259" s="13" t="n">
        <f aca="false">Sens!$D$10227/tk_pq</f>
        <v>0.195316432429398</v>
      </c>
      <c r="E10259" s="13" t="n">
        <f aca="false">Sens!$E$10227/tk_pq</f>
        <v>0.195316432429398</v>
      </c>
      <c r="F10259" s="13" t="n">
        <f aca="false">Sens!$F$10227/tk_pq</f>
        <v>0.238216369188823</v>
      </c>
      <c r="G10259" s="13" t="n">
        <f aca="false">Sens!$G$10227/tk_pq</f>
        <v>0.222398239257102</v>
      </c>
      <c r="H10259" s="13" t="n">
        <f aca="false">Sens!$H$10227/tk_pq</f>
        <v>0.288662452721988</v>
      </c>
      <c r="I10259" s="13" t="n">
        <f aca="false">Sens!$I$10227/tk_pq</f>
        <v>0.313283832077501</v>
      </c>
      <c r="J10259" s="13" t="n">
        <f aca="false">Sens!$J$10227/tk_pq</f>
        <v>0.324501807962888</v>
      </c>
      <c r="K10259" s="13" t="n">
        <f aca="false">Sens!$K$10227/tk_pq</f>
        <v>0.330006797137512</v>
      </c>
      <c r="L10259" s="13" t="n">
        <f aca="false">Sens!$L$10227/tk_pq</f>
        <v>0.332592351849539</v>
      </c>
      <c r="M10259" s="13" t="n">
        <f aca="false">Sens!$M$10227/tk_pq</f>
        <v>0.333580761841585</v>
      </c>
      <c r="N10259" s="13" t="n">
        <f aca="false">Sens!$N$10227/tk_pq</f>
        <v>0.195316432429398</v>
      </c>
      <c r="O10259" s="13" t="n">
        <f aca="false">Sens!$O$10227/tk_pq</f>
        <v>0.195316432429398</v>
      </c>
      <c r="P10259" s="5" t="s">
        <v>655</v>
      </c>
    </row>
    <row r="10262" customFormat="false" ht="17.15" hidden="false" customHeight="false" outlineLevel="0" collapsed="false">
      <c r="A10262" s="1" t="s">
        <v>684</v>
      </c>
    </row>
    <row r="10263" customFormat="false" ht="17.15" hidden="false" customHeight="false" outlineLevel="0" collapsed="false">
      <c r="A10263" s="0" t="s">
        <v>685</v>
      </c>
      <c r="B10263" s="0" t="s">
        <v>86</v>
      </c>
      <c r="C10263" s="38" t="n">
        <f aca="false">Sens!$C$10226</f>
        <v>2.32100535697364</v>
      </c>
      <c r="D10263" s="38" t="n">
        <f aca="false">Sens!$D$10226</f>
        <v>8.70377008865116</v>
      </c>
      <c r="E10263" s="38" t="n">
        <f aca="false">Sens!$E$10226</f>
        <v>8.51035297557002</v>
      </c>
      <c r="F10263" s="38" t="n">
        <f aca="false">Sens!$F$10226</f>
        <v>17.7706326212121</v>
      </c>
      <c r="G10263" s="38" t="n">
        <f aca="false">Sens!$G$10226</f>
        <v>26.2809855967821</v>
      </c>
      <c r="H10263" s="38" t="n">
        <f aca="false">Sens!$H$10226</f>
        <v>83.0838740066237</v>
      </c>
      <c r="I10263" s="38" t="n">
        <f aca="false">Sens!$I$10226</f>
        <v>148.076291961995</v>
      </c>
      <c r="J10263" s="38" t="n">
        <f aca="false">Sens!$J$10226</f>
        <v>213.357841875822</v>
      </c>
      <c r="K10263" s="38" t="n">
        <f aca="false">Sens!$K$10226</f>
        <v>269.045375153221</v>
      </c>
      <c r="L10263" s="38" t="n">
        <f aca="false">Sens!$L$10226</f>
        <v>305.631872447328</v>
      </c>
      <c r="M10263" s="38" t="n">
        <f aca="false">Sens!$M$10226</f>
        <v>323.07028840797</v>
      </c>
      <c r="N10263" s="38" t="n">
        <f aca="false">Sens!$N$10226</f>
        <v>3.04631953102791</v>
      </c>
      <c r="O10263" s="38" t="n">
        <f aca="false">Sens!$O$10226</f>
        <v>5.65745055762326</v>
      </c>
      <c r="P10263" s="8" t="s">
        <v>686</v>
      </c>
    </row>
    <row r="10264" customFormat="false" ht="17.15" hidden="false" customHeight="false" outlineLevel="0" collapsed="false">
      <c r="A10264" s="0" t="s">
        <v>687</v>
      </c>
      <c r="B10264" s="0" t="s">
        <v>86</v>
      </c>
      <c r="C10264" s="38" t="n">
        <f aca="false">Sens!$C$10230</f>
        <v>105.234994643026</v>
      </c>
      <c r="D10264" s="38" t="n">
        <f aca="false">Sens!$D$10230</f>
        <v>120.021229911349</v>
      </c>
      <c r="E10264" s="38" t="n">
        <f aca="false">Sens!$E$10230</f>
        <v>71.30864702443</v>
      </c>
      <c r="F10264" s="38" t="n">
        <f aca="false">Sens!$F$10230</f>
        <v>71.7692997942464</v>
      </c>
      <c r="G10264" s="38" t="n">
        <f aca="false">Sens!$G$10230</f>
        <v>143.077946818676</v>
      </c>
      <c r="H10264" s="38" t="n">
        <f aca="false">Sens!$H$10230</f>
        <v>161.017077079203</v>
      </c>
      <c r="I10264" s="38" t="n">
        <f aca="false">Sens!$I$10230</f>
        <v>178.769759521457</v>
      </c>
      <c r="J10264" s="38" t="n">
        <f aca="false">Sens!$J$10230</f>
        <v>195.775538045907</v>
      </c>
      <c r="K10264" s="38" t="n">
        <f aca="false">Sens!$K$10230</f>
        <v>211.43758108958</v>
      </c>
      <c r="L10264" s="38" t="n">
        <f aca="false">Sens!$L$10230</f>
        <v>228.352587576746</v>
      </c>
      <c r="M10264" s="38" t="n">
        <f aca="false">Sens!$M$10230</f>
        <v>246.620794582886</v>
      </c>
      <c r="N10264" s="38" t="n">
        <f aca="false">Sens!$N$10230</f>
        <v>57.0936804689721</v>
      </c>
      <c r="O10264" s="38" t="n">
        <f aca="false">Sens!$O$10230</f>
        <v>62.9275494423768</v>
      </c>
      <c r="P10264" s="8" t="s">
        <v>686</v>
      </c>
    </row>
    <row r="10265" customFormat="false" ht="17.15" hidden="false" customHeight="false" outlineLevel="0" collapsed="false">
      <c r="A10265" s="1" t="s">
        <v>513</v>
      </c>
      <c r="B10265" s="8" t="s">
        <v>86</v>
      </c>
      <c r="C10265" s="38" t="n">
        <f aca="false">Q!$D$7</f>
        <v>107.556</v>
      </c>
      <c r="D10265" s="38" t="n">
        <f aca="false">Q!$E$7</f>
        <v>128.725</v>
      </c>
      <c r="E10265" s="38" t="n">
        <f aca="false">Q!$P$7</f>
        <v>79.819</v>
      </c>
      <c r="F10265" s="38" t="n">
        <f aca="false">Sens!$F$10263+Sens!$F$10264</f>
        <v>89.5399324154585</v>
      </c>
      <c r="G10265" s="38" t="n">
        <f aca="false">Sens!$G$10263+Sens!$G$10264</f>
        <v>169.358932415459</v>
      </c>
      <c r="H10265" s="38" t="n">
        <f aca="false">Sens!$H$10263+Sens!$H$10264</f>
        <v>244.100951085827</v>
      </c>
      <c r="I10265" s="38" t="n">
        <f aca="false">Sens!$I$10263+Sens!$I$10264</f>
        <v>326.846051483453</v>
      </c>
      <c r="J10265" s="38" t="n">
        <f aca="false">Sens!$J$10263+Sens!$J$10264</f>
        <v>409.133379921729</v>
      </c>
      <c r="K10265" s="38" t="n">
        <f aca="false">Sens!$K$10263+Sens!$K$10264</f>
        <v>480.482956242801</v>
      </c>
      <c r="L10265" s="38" t="n">
        <f aca="false">Sens!$L$10263+Sens!$L$10264</f>
        <v>533.984460024075</v>
      </c>
      <c r="M10265" s="38" t="n">
        <f aca="false">Sens!$M$10263+Sens!$M$10264</f>
        <v>569.691082990856</v>
      </c>
      <c r="N10265" s="38" t="n">
        <f aca="false">Q!$N$7</f>
        <v>60.14</v>
      </c>
      <c r="O10265" s="38" t="n">
        <f aca="false">Q!$O$7</f>
        <v>68.585</v>
      </c>
      <c r="P10265" s="5" t="s">
        <v>688</v>
      </c>
    </row>
    <row r="10266" customFormat="false" ht="15" hidden="false" customHeight="false" outlineLevel="0" collapsed="false">
      <c r="A10266" s="3" t="s">
        <v>689</v>
      </c>
      <c r="B10266" s="8" t="s">
        <v>86</v>
      </c>
      <c r="C10266" s="38" t="n">
        <f aca="false">Q!$D$8</f>
        <v>637.959</v>
      </c>
      <c r="D10266" s="38" t="n">
        <f aca="false">Q!$E$8</f>
        <v>716.924</v>
      </c>
      <c r="E10266" s="38" t="n">
        <f aca="false">Q!$P$8</f>
        <v>382.125</v>
      </c>
      <c r="F10266" s="38" t="n">
        <f aca="false">Sens!$F$10198+Sens!$F$10265</f>
        <v>435.780975084504</v>
      </c>
      <c r="G10266" s="38" t="n">
        <f aca="false">Sens!$G$10198+Sens!$G$10265</f>
        <v>817.905975084504</v>
      </c>
      <c r="H10266" s="38" t="n">
        <f aca="false">Sens!$H$10198+Sens!$H$10265</f>
        <v>962.088706657993</v>
      </c>
      <c r="I10266" s="38" t="n">
        <f aca="false">Sens!$I$10198+Sens!$I$10265</f>
        <v>1111.97430780531</v>
      </c>
      <c r="J10266" s="38" t="n">
        <f aca="false">Sens!$J$10198+Sens!$J$10265</f>
        <v>1256.56968347968</v>
      </c>
      <c r="K10266" s="38" t="n">
        <f aca="false">Sens!$K$10198+Sens!$K$10265</f>
        <v>1382.74898207835</v>
      </c>
      <c r="L10266" s="38" t="n">
        <f aca="false">Sens!$L$10198+Sens!$L$10265</f>
        <v>1494.91209336975</v>
      </c>
      <c r="M10266" s="38" t="n">
        <f aca="false">Sens!$M$10198+Sens!$M$10265</f>
        <v>1593.40049538409</v>
      </c>
      <c r="N10266" s="38" t="n">
        <f aca="false">Q!$N$8</f>
        <v>323.369</v>
      </c>
      <c r="O10266" s="38" t="n">
        <f aca="false">Q!$O$8</f>
        <v>393.555</v>
      </c>
    </row>
    <row r="10267" customFormat="false" ht="17.15" hidden="false" customHeight="false" outlineLevel="0" collapsed="false">
      <c r="A10267" s="24" t="s">
        <v>690</v>
      </c>
      <c r="B10267" s="25" t="s">
        <v>86</v>
      </c>
      <c r="C10267" s="41" t="n">
        <f aca="false">Sens!$C$10198-(Sens!$C$10200+Sens!$C$10201)</f>
        <v>0</v>
      </c>
      <c r="D10267" s="41" t="n">
        <f aca="false">Sens!$D$10198-(Sens!$D$10200+Sens!$D$10201)</f>
        <v>0</v>
      </c>
      <c r="E10267" s="41" t="n">
        <f aca="false">Sens!$E$10198-(Sens!$E$10200+Sens!$E$10201)</f>
        <v>0</v>
      </c>
      <c r="F10267" s="41" t="n">
        <f aca="false">Sens!$F$10198-(Sens!$F$10200+Sens!$F$10201)</f>
        <v>0</v>
      </c>
      <c r="G10267" s="41" t="n">
        <f aca="false">Sens!$G$10198-(Sens!$G$10200+Sens!$G$10201)</f>
        <v>0</v>
      </c>
      <c r="H10267" s="41" t="n">
        <f aca="false">Sens!$H$10198-(Sens!$H$10200+Sens!$H$10201)</f>
        <v>0</v>
      </c>
      <c r="I10267" s="41" t="n">
        <f aca="false">Sens!$I$10198-(Sens!$I$10200+Sens!$I$10201)</f>
        <v>0</v>
      </c>
      <c r="J10267" s="41" t="n">
        <f aca="false">Sens!$J$10198-(Sens!$J$10200+Sens!$J$10201)</f>
        <v>0</v>
      </c>
      <c r="K10267" s="41" t="n">
        <f aca="false">Sens!$K$10198-(Sens!$K$10200+Sens!$K$10201)</f>
        <v>0</v>
      </c>
      <c r="L10267" s="41" t="n">
        <f aca="false">Sens!$L$10198-(Sens!$L$10200+Sens!$L$10201)</f>
        <v>0</v>
      </c>
      <c r="M10267" s="41" t="n">
        <f aca="false">Sens!$M$10198-(Sens!$M$10200+Sens!$M$10201)</f>
        <v>0</v>
      </c>
      <c r="N10267" s="41" t="n">
        <f aca="false">Sens!$N$10198-(Sens!$N$10200+Sens!$N$10201)</f>
        <v>0</v>
      </c>
      <c r="O10267" s="41" t="n">
        <f aca="false">Sens!$O$10198-(Sens!$O$10200+Sens!$O$10201)</f>
        <v>0</v>
      </c>
    </row>
    <row r="10268" customFormat="false" ht="17.15" hidden="false" customHeight="false" outlineLevel="0" collapsed="false">
      <c r="A10268" s="24" t="s">
        <v>691</v>
      </c>
      <c r="B10268" s="25" t="s">
        <v>86</v>
      </c>
      <c r="C10268" s="41" t="n">
        <f aca="false">Sens!$C$10263+Sens!$C$10264-Sens!$C$10265</f>
        <v>0</v>
      </c>
      <c r="D10268" s="41" t="n">
        <f aca="false">Sens!$D$10263+Sens!$D$10264-Sens!$D$10265</f>
        <v>0</v>
      </c>
      <c r="E10268" s="41" t="n">
        <f aca="false">Sens!$E$10263+Sens!$E$10264-Sens!$E$10265</f>
        <v>0</v>
      </c>
      <c r="F10268" s="41" t="n">
        <f aca="false">Sens!$F$10263+Sens!$F$10264-Sens!$F$10265</f>
        <v>0</v>
      </c>
      <c r="G10268" s="41" t="n">
        <f aca="false">Sens!$G$10263+Sens!$G$10264-Sens!$G$10265</f>
        <v>0</v>
      </c>
      <c r="H10268" s="41" t="n">
        <f aca="false">Sens!$H$10263+Sens!$H$10264-Sens!$H$10265</f>
        <v>0</v>
      </c>
      <c r="I10268" s="41" t="n">
        <f aca="false">Sens!$I$10263+Sens!$I$10264-Sens!$I$10265</f>
        <v>0</v>
      </c>
      <c r="J10268" s="41" t="n">
        <f aca="false">Sens!$J$10263+Sens!$J$10264-Sens!$J$10265</f>
        <v>0</v>
      </c>
      <c r="K10268" s="41" t="n">
        <f aca="false">Sens!$K$10263+Sens!$K$10264-Sens!$K$10265</f>
        <v>0</v>
      </c>
      <c r="L10268" s="41" t="n">
        <f aca="false">Sens!$L$10263+Sens!$L$10264-Sens!$L$10265</f>
        <v>0</v>
      </c>
      <c r="M10268" s="41" t="n">
        <f aca="false">Sens!$M$10263+Sens!$M$10264-Sens!$M$10265</f>
        <v>0</v>
      </c>
      <c r="N10268" s="41" t="n">
        <f aca="false">Sens!$N$10263+Sens!$N$10264-Sens!$N$10265</f>
        <v>0</v>
      </c>
      <c r="O10268" s="41" t="n">
        <f aca="false">Sens!$O$10263+Sens!$O$10264-Sens!$O$10265</f>
        <v>0</v>
      </c>
    </row>
    <row r="10269" customFormat="false" ht="17.15" hidden="false" customHeight="false" outlineLevel="0" collapsed="false">
      <c r="A10269" s="24" t="s">
        <v>692</v>
      </c>
      <c r="B10269" s="25" t="s">
        <v>86</v>
      </c>
      <c r="C10269" s="41" t="n">
        <f aca="false">Sens!$C$10200+Sens!$C$10201+Sens!$C$10265-Sens!$C$10266</f>
        <v>0</v>
      </c>
      <c r="D10269" s="41" t="n">
        <f aca="false">Sens!$D$10200+Sens!$D$10201+Sens!$D$10265-Sens!$D$10266</f>
        <v>0</v>
      </c>
      <c r="E10269" s="41" t="n">
        <f aca="false">Sens!$E$10200+Sens!$E$10201+Sens!$E$10265-Sens!$E$10266</f>
        <v>0</v>
      </c>
      <c r="F10269" s="41" t="n">
        <f aca="false">Sens!$F$10200+Sens!$F$10201+Sens!$F$10265-Sens!$F$10266</f>
        <v>0</v>
      </c>
      <c r="G10269" s="41" t="n">
        <f aca="false">Sens!$G$10200+Sens!$G$10201+Sens!$G$10265-Sens!$G$10266</f>
        <v>0</v>
      </c>
      <c r="H10269" s="41" t="n">
        <f aca="false">Sens!$H$10200+Sens!$H$10201+Sens!$H$10265-Sens!$H$10266</f>
        <v>0</v>
      </c>
      <c r="I10269" s="41" t="n">
        <f aca="false">Sens!$I$10200+Sens!$I$10201+Sens!$I$10265-Sens!$I$10266</f>
        <v>0</v>
      </c>
      <c r="J10269" s="41" t="n">
        <f aca="false">Sens!$J$10200+Sens!$J$10201+Sens!$J$10265-Sens!$J$10266</f>
        <v>0</v>
      </c>
      <c r="K10269" s="41" t="n">
        <f aca="false">Sens!$K$10200+Sens!$K$10201+Sens!$K$10265-Sens!$K$10266</f>
        <v>0</v>
      </c>
      <c r="L10269" s="41" t="n">
        <f aca="false">Sens!$L$10200+Sens!$L$10201+Sens!$L$10265-Sens!$L$10266</f>
        <v>0</v>
      </c>
      <c r="M10269" s="41" t="n">
        <f aca="false">Sens!$M$10200+Sens!$M$10201+Sens!$M$10265-Sens!$M$10266</f>
        <v>0</v>
      </c>
      <c r="N10269" s="41" t="n">
        <f aca="false">Sens!$N$10200+Sens!$N$10201+Sens!$N$10265-Sens!$N$10266</f>
        <v>0</v>
      </c>
      <c r="O10269" s="41" t="n">
        <f aca="false">Sens!$O$10200+Sens!$O$10201+Sens!$O$10265-Sens!$O$10266</f>
        <v>0</v>
      </c>
    </row>
    <row r="10270" customFormat="false" ht="15" hidden="false" customHeight="false" outlineLevel="0" collapsed="false">
      <c r="A10270" s="5" t="s">
        <v>693</v>
      </c>
      <c r="B10270" s="0" t="s">
        <v>52</v>
      </c>
      <c r="G10270" s="13" t="n">
        <f aca="false">Sens!$G$10266/Sens!$D$10266-1</f>
        <v>0.140854504918937</v>
      </c>
      <c r="H10270" s="13" t="n">
        <f aca="false">Sens!$H$10266/Sens!$G$10266-1</f>
        <v>0.176282770838778</v>
      </c>
      <c r="I10270" s="13" t="n">
        <f aca="false">Sens!$I$10266/Sens!$H$10266-1</f>
        <v>0.155791872526986</v>
      </c>
      <c r="J10270" s="13" t="n">
        <f aca="false">Sens!$J$10266/Sens!$I$10266-1</f>
        <v>0.130034817045149</v>
      </c>
      <c r="K10270" s="13" t="n">
        <f aca="false">Sens!$K$10266/Sens!$J$10266-1</f>
        <v>0.100415679494395</v>
      </c>
      <c r="L10270" s="13" t="n">
        <f aca="false">Sens!$L$10266/Sens!$K$10266-1</f>
        <v>0.0811160324434446</v>
      </c>
      <c r="M10270" s="13" t="n">
        <f aca="false">Sens!$M$10266/Sens!$L$10266-1</f>
        <v>0.0658824036885839</v>
      </c>
    </row>
    <row r="10271" customFormat="false" ht="17.15" hidden="false" customHeight="false" outlineLevel="0" collapsed="false">
      <c r="A10271" s="0" t="s">
        <v>694</v>
      </c>
      <c r="B10271" s="0" t="s">
        <v>52</v>
      </c>
      <c r="C10271" s="13" t="n">
        <f aca="false">Sens!$C$10265/Sens!$C$10266</f>
        <v>0.168593906504964</v>
      </c>
      <c r="D10271" s="13" t="n">
        <f aca="false">Sens!$D$10265/Sens!$D$10266</f>
        <v>0.179551807444025</v>
      </c>
      <c r="E10271" s="13" t="n">
        <f aca="false">Sens!$E$10265/Sens!$E$10266</f>
        <v>0.208881910369643</v>
      </c>
      <c r="F10271" s="13" t="n">
        <f aca="false">Sens!$F$10265/Sens!$F$10266</f>
        <v>0.205470035487656</v>
      </c>
      <c r="G10271" s="13" t="n">
        <f aca="false">Sens!$G$10265/Sens!$G$10266</f>
        <v>0.207064060631127</v>
      </c>
      <c r="H10271" s="13" t="n">
        <f aca="false">Sens!$H$10265/Sens!$H$10266</f>
        <v>0.253719796726188</v>
      </c>
      <c r="I10271" s="13" t="n">
        <f aca="false">Sens!$I$10265/Sens!$I$10266</f>
        <v>0.293933096465642</v>
      </c>
      <c r="J10271" s="13" t="n">
        <f aca="false">Sens!$J$10265/Sens!$J$10266</f>
        <v>0.325595456663225</v>
      </c>
      <c r="K10271" s="13" t="n">
        <f aca="false">Sens!$K$10265/Sens!$K$10266</f>
        <v>0.347483861836303</v>
      </c>
      <c r="L10271" s="13" t="n">
        <f aca="false">Sens!$L$10265/Sens!$L$10266</f>
        <v>0.357201244402535</v>
      </c>
      <c r="M10271" s="13" t="n">
        <f aca="false">Sens!$M$10265/Sens!$M$10266</f>
        <v>0.357531634163031</v>
      </c>
      <c r="N10271" s="13" t="n">
        <f aca="false">Sens!$N$10265/Sens!$N$10266</f>
        <v>0.185979484737251</v>
      </c>
      <c r="O10271" s="13" t="n">
        <f aca="false">Sens!$O$10265/Sens!$O$10266</f>
        <v>0.174270432341096</v>
      </c>
    </row>
    <row r="10272" customFormat="false" ht="17.15" hidden="false" customHeight="false" outlineLevel="0" collapsed="false">
      <c r="A10272" s="0" t="s">
        <v>695</v>
      </c>
      <c r="B10272" s="0" t="s">
        <v>52</v>
      </c>
      <c r="C10272" s="13" t="n">
        <f aca="false">Sens!$C$10263/Sens!$C$10265</f>
        <v>0.0215795060896058</v>
      </c>
      <c r="D10272" s="13" t="n">
        <f aca="false">Sens!$D$10263/Sens!$D$10265</f>
        <v>0.0676152269462122</v>
      </c>
      <c r="E10272" s="13" t="n">
        <f aca="false">Sens!$E$10263/Sens!$E$10265</f>
        <v>0.106620641395783</v>
      </c>
      <c r="F10272" s="13" t="n">
        <f aca="false">Sens!$F$10263/Sens!$F$10265</f>
        <v>0.198466004405249</v>
      </c>
      <c r="G10272" s="13" t="n">
        <f aca="false">Sens!$G$10263/Sens!$G$10265</f>
        <v>0.155179211524029</v>
      </c>
      <c r="H10272" s="13" t="n">
        <f aca="false">Sens!$H$10263/Sens!$H$10265</f>
        <v>0.340366859027153</v>
      </c>
      <c r="I10272" s="13" t="n">
        <f aca="false">Sens!$I$10263/Sens!$I$10265</f>
        <v>0.453045986910116</v>
      </c>
      <c r="J10272" s="13" t="n">
        <f aca="false">Sens!$J$10263/Sens!$J$10265</f>
        <v>0.521487251704174</v>
      </c>
      <c r="K10272" s="13" t="n">
        <f aca="false">Sens!$K$10263/Sens!$K$10265</f>
        <v>0.559947801805618</v>
      </c>
      <c r="L10272" s="13" t="n">
        <f aca="false">Sens!$L$10263/Sens!$L$10265</f>
        <v>0.572360986747721</v>
      </c>
      <c r="M10272" s="13" t="n">
        <f aca="false">Sens!$M$10263/Sens!$M$10265</f>
        <v>0.567097323538686</v>
      </c>
      <c r="N10272" s="13" t="n">
        <f aca="false">Sens!$N$10263/Sens!$N$10265</f>
        <v>0.0506537999838362</v>
      </c>
      <c r="O10272" s="13" t="n">
        <f aca="false">Sens!$O$10263/Sens!$O$10265</f>
        <v>0.0824881615167056</v>
      </c>
    </row>
    <row r="10275" customFormat="false" ht="19.4" hidden="false" customHeight="false" outlineLevel="0" collapsed="false">
      <c r="A10275" s="31" t="s">
        <v>1339</v>
      </c>
    </row>
    <row r="10276" customFormat="false" ht="17.15" hidden="false" customHeight="false" outlineLevel="0" collapsed="false">
      <c r="A10276" s="6" t="s">
        <v>16</v>
      </c>
      <c r="B10276" s="6" t="s">
        <v>17</v>
      </c>
      <c r="C10276" s="20" t="s">
        <v>494</v>
      </c>
      <c r="D10276" s="20" t="s">
        <v>495</v>
      </c>
      <c r="E10276" s="20" t="s">
        <v>577</v>
      </c>
      <c r="F10276" s="20" t="s">
        <v>578</v>
      </c>
      <c r="G10276" s="20" t="s">
        <v>579</v>
      </c>
      <c r="H10276" s="20" t="s">
        <v>580</v>
      </c>
      <c r="I10276" s="20" t="s">
        <v>581</v>
      </c>
      <c r="J10276" s="20" t="s">
        <v>582</v>
      </c>
      <c r="K10276" s="20" t="s">
        <v>583</v>
      </c>
      <c r="L10276" s="20" t="s">
        <v>584</v>
      </c>
      <c r="M10276" s="20" t="s">
        <v>585</v>
      </c>
      <c r="N10276" s="20" t="s">
        <v>586</v>
      </c>
      <c r="O10276" s="20" t="s">
        <v>587</v>
      </c>
      <c r="P10276" s="6" t="s">
        <v>23</v>
      </c>
      <c r="R10276" s="20" t="n">
        <v>2023</v>
      </c>
      <c r="S10276" s="20" t="n">
        <v>2024</v>
      </c>
      <c r="T10276" s="20" t="n">
        <v>2025</v>
      </c>
      <c r="U10276" s="20" t="n">
        <v>2026</v>
      </c>
      <c r="V10276" s="20" t="n">
        <v>2027</v>
      </c>
      <c r="W10276" s="20" t="n">
        <v>2028</v>
      </c>
      <c r="X10276" s="20" t="n">
        <v>2029</v>
      </c>
      <c r="Y10276" s="20" t="n">
        <v>2030</v>
      </c>
      <c r="Z10276" s="20" t="n">
        <v>2031</v>
      </c>
      <c r="AA10276" s="20" t="n">
        <v>2032</v>
      </c>
    </row>
    <row r="10277" customFormat="false" ht="17.15" hidden="false" customHeight="false" outlineLevel="0" collapsed="false">
      <c r="A10277" s="1" t="s">
        <v>710</v>
      </c>
    </row>
    <row r="10278" customFormat="false" ht="15" hidden="false" customHeight="false" outlineLevel="0" collapsed="false">
      <c r="A10278" s="0" t="s">
        <v>516</v>
      </c>
      <c r="B10278" s="0" t="s">
        <v>86</v>
      </c>
      <c r="C10278" s="38" t="n">
        <f aca="false">Sens!$C$10185</f>
        <v>247.029</v>
      </c>
      <c r="D10278" s="38" t="n">
        <f aca="false">Sens!$D$10185</f>
        <v>269.287</v>
      </c>
      <c r="E10278" s="38" t="n">
        <f aca="false">Sens!$E$10185</f>
        <v>134.686</v>
      </c>
      <c r="F10278" s="38" t="n">
        <f aca="false">Sens!$F$10185</f>
        <v>157.020808071353</v>
      </c>
      <c r="G10278" s="38" t="n">
        <f aca="false">Sens!$G$10185</f>
        <v>291.706808071353</v>
      </c>
      <c r="H10278" s="38" t="n">
        <f aca="false">Sens!$H$10185</f>
        <v>316.801953937514</v>
      </c>
      <c r="I10278" s="38" t="n">
        <f aca="false">Sens!$I$10185</f>
        <v>340.251351597976</v>
      </c>
      <c r="J10278" s="38" t="n">
        <f aca="false">Sens!$J$10185</f>
        <v>361.350185952976</v>
      </c>
      <c r="K10278" s="38" t="n">
        <f aca="false">Sens!$K$10185</f>
        <v>379.417695250625</v>
      </c>
      <c r="L10278" s="38" t="n">
        <f aca="false">Sens!$L$10185</f>
        <v>398.388580013156</v>
      </c>
      <c r="M10278" s="38" t="n">
        <f aca="false">Sens!$M$10185</f>
        <v>418.308009013814</v>
      </c>
      <c r="N10278" s="38" t="n">
        <f aca="false">Sens!$N$10185</f>
        <v>118.892</v>
      </c>
      <c r="O10278" s="38" t="n">
        <f aca="false">Sens!$O$10185</f>
        <v>150.395</v>
      </c>
    </row>
    <row r="10279" customFormat="false" ht="15" hidden="false" customHeight="false" outlineLevel="0" collapsed="false">
      <c r="A10279" s="0" t="s">
        <v>517</v>
      </c>
      <c r="B10279" s="0" t="s">
        <v>86</v>
      </c>
      <c r="C10279" s="38" t="n">
        <f aca="false">Sens!$C$10187</f>
        <v>21.215</v>
      </c>
      <c r="D10279" s="38" t="n">
        <f aca="false">Sens!$D$10187</f>
        <v>22.561</v>
      </c>
      <c r="E10279" s="38" t="n">
        <f aca="false">Sens!$E$10187</f>
        <v>11.579</v>
      </c>
      <c r="F10279" s="38" t="n">
        <f aca="false">Sens!$F$10187</f>
        <v>11.5006294561322</v>
      </c>
      <c r="G10279" s="38" t="n">
        <f aca="false">Sens!$G$10187</f>
        <v>23.0796294561322</v>
      </c>
      <c r="H10279" s="38" t="n">
        <f aca="false">Sens!$H$10187</f>
        <v>24.2553995769935</v>
      </c>
      <c r="I10279" s="38" t="n">
        <f aca="false">Sens!$I$10187</f>
        <v>25.3217326588874</v>
      </c>
      <c r="J10279" s="38" t="n">
        <f aca="false">Sens!$J$10187</f>
        <v>26.2581646353951</v>
      </c>
      <c r="K10279" s="38" t="n">
        <f aca="false">Sens!$K$10187</f>
        <v>27.045909574457</v>
      </c>
      <c r="L10279" s="38" t="n">
        <f aca="false">Sens!$L$10187</f>
        <v>27.8572868616907</v>
      </c>
      <c r="M10279" s="38" t="n">
        <f aca="false">Sens!$M$10187</f>
        <v>28.6930054675414</v>
      </c>
      <c r="N10279" s="38" t="n">
        <f aca="false">Sens!$N$10187</f>
        <v>11.128</v>
      </c>
      <c r="O10279" s="38" t="n">
        <f aca="false">Sens!$O$10187</f>
        <v>11.433</v>
      </c>
    </row>
    <row r="10280" customFormat="false" ht="15" hidden="false" customHeight="false" outlineLevel="0" collapsed="false">
      <c r="A10280" s="0" t="s">
        <v>518</v>
      </c>
      <c r="B10280" s="0" t="s">
        <v>86</v>
      </c>
      <c r="C10280" s="38" t="n">
        <f aca="false">Sens!$C$10189</f>
        <v>156.146</v>
      </c>
      <c r="D10280" s="38" t="n">
        <f aca="false">Sens!$D$10189</f>
        <v>172.162</v>
      </c>
      <c r="E10280" s="38" t="n">
        <f aca="false">Sens!$E$10189</f>
        <v>88.358</v>
      </c>
      <c r="F10280" s="38" t="n">
        <f aca="false">Sens!$F$10189</f>
        <v>101.184024252687</v>
      </c>
      <c r="G10280" s="38" t="n">
        <f aca="false">Sens!$G$10189</f>
        <v>189.542024252687</v>
      </c>
      <c r="H10280" s="38" t="n">
        <f aca="false">Sens!$H$10189</f>
        <v>209.436635959084</v>
      </c>
      <c r="I10280" s="38" t="n">
        <f aca="false">Sens!$I$10189</f>
        <v>228.978677217176</v>
      </c>
      <c r="J10280" s="38" t="n">
        <f aca="false">Sens!$J$10189</f>
        <v>247.675662565342</v>
      </c>
      <c r="K10280" s="38" t="n">
        <f aca="false">Sens!$K$10189</f>
        <v>265.012958944916</v>
      </c>
      <c r="L10280" s="38" t="n">
        <f aca="false">Sens!$L$10189</f>
        <v>283.56386607106</v>
      </c>
      <c r="M10280" s="38" t="n">
        <f aca="false">Sens!$M$10189</f>
        <v>303.413336696034</v>
      </c>
      <c r="N10280" s="38" t="n">
        <f aca="false">Sens!$N$10189</f>
        <v>76.86</v>
      </c>
      <c r="O10280" s="38" t="n">
        <f aca="false">Sens!$O$10189</f>
        <v>95.302</v>
      </c>
    </row>
    <row r="10281" customFormat="false" ht="15" hidden="false" customHeight="false" outlineLevel="0" collapsed="false">
      <c r="A10281" s="0" t="s">
        <v>519</v>
      </c>
      <c r="B10281" s="0" t="s">
        <v>86</v>
      </c>
      <c r="C10281" s="38" t="n">
        <f aca="false">Sens!$C$10191</f>
        <v>56.214</v>
      </c>
      <c r="D10281" s="38" t="n">
        <f aca="false">Sens!$D$10191</f>
        <v>68.635</v>
      </c>
      <c r="E10281" s="38" t="n">
        <f aca="false">Sens!$E$10191</f>
        <v>37.052</v>
      </c>
      <c r="F10281" s="38" t="n">
        <f aca="false">Sens!$F$10191</f>
        <v>45.7860053805462</v>
      </c>
      <c r="G10281" s="38" t="n">
        <f aca="false">Sens!$G$10191</f>
        <v>82.8380053805462</v>
      </c>
      <c r="H10281" s="38" t="n">
        <f aca="false">Sens!$H$10191</f>
        <v>99.4512578764903</v>
      </c>
      <c r="I10281" s="38" t="n">
        <f aca="false">Sens!$I$10191</f>
        <v>116.063005430549</v>
      </c>
      <c r="J10281" s="38" t="n">
        <f aca="false">Sens!$J$10191</f>
        <v>131.559393312867</v>
      </c>
      <c r="K10281" s="38" t="n">
        <f aca="false">Sens!$K$10191</f>
        <v>144.715332644154</v>
      </c>
      <c r="L10281" s="38" t="n">
        <f aca="false">Sens!$L$10191</f>
        <v>159.186865908569</v>
      </c>
      <c r="M10281" s="38" t="n">
        <f aca="false">Sens!$M$10191</f>
        <v>175.105552499426</v>
      </c>
      <c r="N10281" s="38" t="n">
        <f aca="false">Sens!$N$10191</f>
        <v>29.615</v>
      </c>
      <c r="O10281" s="38" t="n">
        <f aca="false">Sens!$O$10191</f>
        <v>39.02</v>
      </c>
    </row>
    <row r="10282" customFormat="false" ht="15" hidden="false" customHeight="false" outlineLevel="0" collapsed="false">
      <c r="A10282" s="0" t="s">
        <v>520</v>
      </c>
      <c r="B10282" s="0" t="s">
        <v>86</v>
      </c>
      <c r="C10282" s="38" t="n">
        <f aca="false">Sens!$C$10193</f>
        <v>44.374</v>
      </c>
      <c r="D10282" s="38" t="n">
        <f aca="false">Sens!$D$10193</f>
        <v>49.619</v>
      </c>
      <c r="E10282" s="38" t="n">
        <f aca="false">Sens!$E$10193</f>
        <v>27.157</v>
      </c>
      <c r="F10282" s="38" t="n">
        <f aca="false">Sens!$F$10193</f>
        <v>27.55302647979</v>
      </c>
      <c r="G10282" s="38" t="n">
        <f aca="false">Sens!$G$10193</f>
        <v>54.71002647979</v>
      </c>
      <c r="H10282" s="38" t="n">
        <f aca="false">Sens!$H$10193</f>
        <v>60.9077149464402</v>
      </c>
      <c r="I10282" s="38" t="n">
        <f aca="false">Sens!$I$10193</f>
        <v>66.9287470272796</v>
      </c>
      <c r="J10282" s="38" t="n">
        <f aca="false">Sens!$J$10193</f>
        <v>72.5793737728661</v>
      </c>
      <c r="K10282" s="38" t="n">
        <f aca="false">Sens!$K$10193</f>
        <v>77.6599299369667</v>
      </c>
      <c r="L10282" s="38" t="n">
        <f aca="false">Sens!$L$10193</f>
        <v>83.0961250325544</v>
      </c>
      <c r="M10282" s="38" t="n">
        <f aca="false">Sens!$M$10193</f>
        <v>88.9128537848332</v>
      </c>
      <c r="N10282" s="38" t="n">
        <f aca="false">Sens!$N$10193</f>
        <v>23.923</v>
      </c>
      <c r="O10282" s="38" t="n">
        <f aca="false">Sens!$O$10193</f>
        <v>25.696</v>
      </c>
    </row>
    <row r="10283" customFormat="false" ht="15" hidden="false" customHeight="false" outlineLevel="0" collapsed="false">
      <c r="A10283" s="0" t="s">
        <v>521</v>
      </c>
      <c r="B10283" s="0" t="s">
        <v>86</v>
      </c>
      <c r="C10283" s="38" t="n">
        <f aca="false">Sens!$C$10195</f>
        <v>5.425</v>
      </c>
      <c r="D10283" s="38" t="n">
        <f aca="false">Sens!$D$10195</f>
        <v>5.935</v>
      </c>
      <c r="E10283" s="38" t="n">
        <f aca="false">Sens!$E$10195</f>
        <v>3.474</v>
      </c>
      <c r="F10283" s="38" t="n">
        <f aca="false">Sens!$F$10195</f>
        <v>3.19654902853668</v>
      </c>
      <c r="G10283" s="38" t="n">
        <f aca="false">Sens!$G$10195</f>
        <v>6.67054902853668</v>
      </c>
      <c r="H10283" s="38" t="n">
        <f aca="false">Sens!$H$10195</f>
        <v>7.13479327564415</v>
      </c>
      <c r="I10283" s="38" t="n">
        <f aca="false">Sens!$I$10195</f>
        <v>7.58474238998743</v>
      </c>
      <c r="J10283" s="38" t="n">
        <f aca="false">Sens!$J$10195</f>
        <v>8.01352331850166</v>
      </c>
      <c r="K10283" s="38" t="n">
        <f aca="false">Sens!$K$10195</f>
        <v>8.41419948442675</v>
      </c>
      <c r="L10283" s="38" t="n">
        <f aca="false">Sens!$L$10195</f>
        <v>8.83490945864809</v>
      </c>
      <c r="M10283" s="38" t="n">
        <f aca="false">Sens!$M$10195</f>
        <v>9.27665493158049</v>
      </c>
      <c r="N10283" s="38" t="n">
        <f aca="false">Sens!$N$10195</f>
        <v>2.811</v>
      </c>
      <c r="O10283" s="38" t="n">
        <f aca="false">Sens!$O$10195</f>
        <v>3.124</v>
      </c>
    </row>
    <row r="10284" customFormat="false" ht="17.15" hidden="false" customHeight="false" outlineLevel="0" collapsed="false">
      <c r="A10284" s="0" t="s">
        <v>711</v>
      </c>
      <c r="B10284" s="0" t="s">
        <v>86</v>
      </c>
      <c r="C10284" s="38" t="n">
        <f aca="false">Sens!$C$10265</f>
        <v>107.556</v>
      </c>
      <c r="D10284" s="38" t="n">
        <f aca="false">Sens!$D$10265</f>
        <v>128.725</v>
      </c>
      <c r="E10284" s="38" t="n">
        <f aca="false">Sens!$E$10265</f>
        <v>79.819</v>
      </c>
      <c r="F10284" s="38" t="n">
        <f aca="false">Sens!$F$10265</f>
        <v>89.5399324154585</v>
      </c>
      <c r="G10284" s="38" t="n">
        <f aca="false">Sens!$G$10265</f>
        <v>169.358932415459</v>
      </c>
      <c r="H10284" s="38" t="n">
        <f aca="false">Sens!$H$10265</f>
        <v>244.100951085827</v>
      </c>
      <c r="I10284" s="38" t="n">
        <f aca="false">Sens!$I$10265</f>
        <v>326.846051483453</v>
      </c>
      <c r="J10284" s="38" t="n">
        <f aca="false">Sens!$J$10265</f>
        <v>409.133379921729</v>
      </c>
      <c r="K10284" s="38" t="n">
        <f aca="false">Sens!$K$10265</f>
        <v>480.482956242801</v>
      </c>
      <c r="L10284" s="38" t="n">
        <f aca="false">Sens!$L$10265</f>
        <v>533.984460024075</v>
      </c>
      <c r="M10284" s="38" t="n">
        <f aca="false">Sens!$M$10265</f>
        <v>569.691082990856</v>
      </c>
      <c r="N10284" s="38" t="n">
        <f aca="false">Sens!$N$10265</f>
        <v>60.14</v>
      </c>
      <c r="O10284" s="38" t="n">
        <f aca="false">Sens!$O$10265</f>
        <v>68.585</v>
      </c>
    </row>
    <row r="10285" customFormat="false" ht="15" hidden="false" customHeight="false" outlineLevel="0" collapsed="false">
      <c r="A10285" s="1" t="s">
        <v>509</v>
      </c>
      <c r="B10285" s="8" t="s">
        <v>86</v>
      </c>
      <c r="C10285" s="38" t="n">
        <f aca="false">Sens!$C$10200</f>
        <v>387.497</v>
      </c>
      <c r="D10285" s="38" t="n">
        <f aca="false">Sens!$D$10200</f>
        <v>426.305</v>
      </c>
      <c r="E10285" s="38" t="n">
        <f aca="false">Sens!$E$10200</f>
        <v>220.32</v>
      </c>
      <c r="F10285" s="38" t="n">
        <f aca="false">Sens!$F$10200</f>
        <v>248.624018545779</v>
      </c>
      <c r="G10285" s="38" t="n">
        <f aca="false">Sens!$G$10200</f>
        <v>468.944018545779</v>
      </c>
      <c r="H10285" s="38" t="n">
        <f aca="false">Sens!$H$10200</f>
        <v>519.154419360281</v>
      </c>
      <c r="I10285" s="38" t="n">
        <f aca="false">Sens!$I$10200</f>
        <v>567.701608935243</v>
      </c>
      <c r="J10285" s="38" t="n">
        <f aca="false">Sens!$J$10200</f>
        <v>612.754602991596</v>
      </c>
      <c r="K10285" s="38" t="n">
        <f aca="false">Sens!$K$10200</f>
        <v>652.400254901116</v>
      </c>
      <c r="L10285" s="38" t="n">
        <f aca="false">Sens!$L$10200</f>
        <v>694.816622797801</v>
      </c>
      <c r="M10285" s="38" t="n">
        <f aca="false">Sens!$M$10200</f>
        <v>740.212157463797</v>
      </c>
      <c r="N10285" s="38" t="n">
        <f aca="false">Sens!$N$10200</f>
        <v>192.955</v>
      </c>
      <c r="O10285" s="38" t="n">
        <f aca="false">Sens!$O$10200</f>
        <v>233.35</v>
      </c>
    </row>
    <row r="10286" customFormat="false" ht="15" hidden="false" customHeight="false" outlineLevel="0" collapsed="false">
      <c r="A10286" s="1" t="s">
        <v>512</v>
      </c>
      <c r="B10286" s="8" t="s">
        <v>86</v>
      </c>
      <c r="C10286" s="38" t="n">
        <f aca="false">Sens!$C$10201</f>
        <v>142.906</v>
      </c>
      <c r="D10286" s="38" t="n">
        <f aca="false">Sens!$D$10201</f>
        <v>161.894</v>
      </c>
      <c r="E10286" s="38" t="n">
        <f aca="false">Sens!$E$10201</f>
        <v>81.986</v>
      </c>
      <c r="F10286" s="38" t="n">
        <f aca="false">Sens!$F$10201</f>
        <v>97.6170241232667</v>
      </c>
      <c r="G10286" s="38" t="n">
        <f aca="false">Sens!$G$10201</f>
        <v>179.603024123267</v>
      </c>
      <c r="H10286" s="38" t="n">
        <f aca="false">Sens!$H$10201</f>
        <v>198.833336211884</v>
      </c>
      <c r="I10286" s="38" t="n">
        <f aca="false">Sens!$I$10201</f>
        <v>217.426647386612</v>
      </c>
      <c r="J10286" s="38" t="n">
        <f aca="false">Sens!$J$10201</f>
        <v>234.681700566352</v>
      </c>
      <c r="K10286" s="38" t="n">
        <f aca="false">Sens!$K$10201</f>
        <v>249.865770934429</v>
      </c>
      <c r="L10286" s="38" t="n">
        <f aca="false">Sens!$L$10201</f>
        <v>266.111010547878</v>
      </c>
      <c r="M10286" s="38" t="n">
        <f aca="false">Sens!$M$10201</f>
        <v>283.497254929433</v>
      </c>
      <c r="N10286" s="38" t="n">
        <f aca="false">Sens!$N$10201</f>
        <v>70.274</v>
      </c>
      <c r="O10286" s="38" t="n">
        <f aca="false">Sens!$O$10201</f>
        <v>91.62</v>
      </c>
    </row>
    <row r="10287" customFormat="false" ht="15" hidden="false" customHeight="false" outlineLevel="0" collapsed="false">
      <c r="A10287" s="1" t="s">
        <v>513</v>
      </c>
      <c r="B10287" s="8" t="s">
        <v>86</v>
      </c>
      <c r="C10287" s="38" t="n">
        <f aca="false">Sens!$C$10265</f>
        <v>107.556</v>
      </c>
      <c r="D10287" s="38" t="n">
        <f aca="false">Sens!$D$10265</f>
        <v>128.725</v>
      </c>
      <c r="E10287" s="38" t="n">
        <f aca="false">Sens!$E$10265</f>
        <v>79.819</v>
      </c>
      <c r="F10287" s="38" t="n">
        <f aca="false">Sens!$F$10265</f>
        <v>89.5399324154585</v>
      </c>
      <c r="G10287" s="38" t="n">
        <f aca="false">Sens!$G$10265</f>
        <v>169.358932415459</v>
      </c>
      <c r="H10287" s="38" t="n">
        <f aca="false">Sens!$H$10265</f>
        <v>244.100951085827</v>
      </c>
      <c r="I10287" s="38" t="n">
        <f aca="false">Sens!$I$10265</f>
        <v>326.846051483453</v>
      </c>
      <c r="J10287" s="38" t="n">
        <f aca="false">Sens!$J$10265</f>
        <v>409.133379921729</v>
      </c>
      <c r="K10287" s="38" t="n">
        <f aca="false">Sens!$K$10265</f>
        <v>480.482956242801</v>
      </c>
      <c r="L10287" s="38" t="n">
        <f aca="false">Sens!$L$10265</f>
        <v>533.984460024075</v>
      </c>
      <c r="M10287" s="38" t="n">
        <f aca="false">Sens!$M$10265</f>
        <v>569.691082990856</v>
      </c>
      <c r="N10287" s="38" t="n">
        <f aca="false">Sens!$N$10265</f>
        <v>60.14</v>
      </c>
      <c r="O10287" s="38" t="n">
        <f aca="false">Sens!$O$10265</f>
        <v>68.585</v>
      </c>
    </row>
    <row r="10288" customFormat="false" ht="17.15" hidden="false" customHeight="false" outlineLevel="0" collapsed="false">
      <c r="A10288" s="0" t="s">
        <v>685</v>
      </c>
      <c r="B10288" s="0" t="s">
        <v>86</v>
      </c>
      <c r="C10288" s="38" t="n">
        <f aca="false">Sens!$C$10263</f>
        <v>2.32100535697364</v>
      </c>
      <c r="D10288" s="38" t="n">
        <f aca="false">Sens!$D$10263</f>
        <v>8.70377008865116</v>
      </c>
      <c r="E10288" s="38" t="n">
        <f aca="false">Sens!$E$10263</f>
        <v>8.51035297557002</v>
      </c>
      <c r="F10288" s="38" t="n">
        <f aca="false">Sens!$F$10263</f>
        <v>17.7706326212121</v>
      </c>
      <c r="G10288" s="38" t="n">
        <f aca="false">Sens!$G$10263</f>
        <v>26.2809855967821</v>
      </c>
      <c r="H10288" s="38" t="n">
        <f aca="false">Sens!$H$10263</f>
        <v>83.0838740066237</v>
      </c>
      <c r="I10288" s="38" t="n">
        <f aca="false">Sens!$I$10263</f>
        <v>148.076291961995</v>
      </c>
      <c r="J10288" s="38" t="n">
        <f aca="false">Sens!$J$10263</f>
        <v>213.357841875822</v>
      </c>
      <c r="K10288" s="38" t="n">
        <f aca="false">Sens!$K$10263</f>
        <v>269.045375153221</v>
      </c>
      <c r="L10288" s="38" t="n">
        <f aca="false">Sens!$L$10263</f>
        <v>305.631872447328</v>
      </c>
      <c r="M10288" s="38" t="n">
        <f aca="false">Sens!$M$10263</f>
        <v>323.07028840797</v>
      </c>
      <c r="N10288" s="38" t="n">
        <f aca="false">Sens!$N$10263</f>
        <v>3.04631953102791</v>
      </c>
      <c r="O10288" s="38" t="n">
        <f aca="false">Sens!$O$10263</f>
        <v>5.65745055762326</v>
      </c>
    </row>
    <row r="10289" customFormat="false" ht="17.15" hidden="false" customHeight="false" outlineLevel="0" collapsed="false">
      <c r="A10289" s="0" t="s">
        <v>687</v>
      </c>
      <c r="B10289" s="0" t="s">
        <v>86</v>
      </c>
      <c r="C10289" s="38" t="n">
        <f aca="false">Sens!$C$10264</f>
        <v>105.234994643026</v>
      </c>
      <c r="D10289" s="38" t="n">
        <f aca="false">Sens!$D$10264</f>
        <v>120.021229911349</v>
      </c>
      <c r="E10289" s="38" t="n">
        <f aca="false">Sens!$E$10264</f>
        <v>71.30864702443</v>
      </c>
      <c r="F10289" s="38" t="n">
        <f aca="false">Sens!$F$10264</f>
        <v>71.7692997942464</v>
      </c>
      <c r="G10289" s="38" t="n">
        <f aca="false">Sens!$G$10264</f>
        <v>143.077946818676</v>
      </c>
      <c r="H10289" s="38" t="n">
        <f aca="false">Sens!$H$10264</f>
        <v>161.017077079203</v>
      </c>
      <c r="I10289" s="38" t="n">
        <f aca="false">Sens!$I$10264</f>
        <v>178.769759521457</v>
      </c>
      <c r="J10289" s="38" t="n">
        <f aca="false">Sens!$J$10264</f>
        <v>195.775538045907</v>
      </c>
      <c r="K10289" s="38" t="n">
        <f aca="false">Sens!$K$10264</f>
        <v>211.43758108958</v>
      </c>
      <c r="L10289" s="38" t="n">
        <f aca="false">Sens!$L$10264</f>
        <v>228.352587576746</v>
      </c>
      <c r="M10289" s="38" t="n">
        <f aca="false">Sens!$M$10264</f>
        <v>246.620794582886</v>
      </c>
      <c r="N10289" s="38" t="n">
        <f aca="false">Sens!$N$10264</f>
        <v>57.0936804689721</v>
      </c>
      <c r="O10289" s="38" t="n">
        <f aca="false">Sens!$O$10264</f>
        <v>62.9275494423768</v>
      </c>
    </row>
    <row r="10290" customFormat="false" ht="15" hidden="false" customHeight="false" outlineLevel="0" collapsed="false">
      <c r="A10290" s="3" t="s">
        <v>514</v>
      </c>
      <c r="B10290" s="8" t="s">
        <v>86</v>
      </c>
      <c r="C10290" s="38" t="n">
        <f aca="false">Sens!$C$10266</f>
        <v>637.959</v>
      </c>
      <c r="D10290" s="38" t="n">
        <f aca="false">Sens!$D$10266</f>
        <v>716.924</v>
      </c>
      <c r="E10290" s="38" t="n">
        <f aca="false">Sens!$E$10266</f>
        <v>382.125</v>
      </c>
      <c r="F10290" s="38" t="n">
        <f aca="false">Sens!$F$10266</f>
        <v>435.780975084504</v>
      </c>
      <c r="G10290" s="38" t="n">
        <f aca="false">Sens!$G$10266</f>
        <v>817.905975084504</v>
      </c>
      <c r="H10290" s="38" t="n">
        <f aca="false">Sens!$H$10266</f>
        <v>962.088706657993</v>
      </c>
      <c r="I10290" s="38" t="n">
        <f aca="false">Sens!$I$10266</f>
        <v>1111.97430780531</v>
      </c>
      <c r="J10290" s="38" t="n">
        <f aca="false">Sens!$J$10266</f>
        <v>1256.56968347968</v>
      </c>
      <c r="K10290" s="38" t="n">
        <f aca="false">Sens!$K$10266</f>
        <v>1382.74898207835</v>
      </c>
      <c r="L10290" s="38" t="n">
        <f aca="false">Sens!$L$10266</f>
        <v>1494.91209336975</v>
      </c>
      <c r="M10290" s="38" t="n">
        <f aca="false">Sens!$M$10266</f>
        <v>1593.40049538409</v>
      </c>
      <c r="N10290" s="38" t="n">
        <f aca="false">Sens!$N$10266</f>
        <v>323.369</v>
      </c>
      <c r="O10290" s="38" t="n">
        <f aca="false">Sens!$O$10266</f>
        <v>393.555</v>
      </c>
    </row>
    <row r="10291" customFormat="false" ht="17.15" hidden="false" customHeight="false" outlineLevel="0" collapsed="false">
      <c r="A10291" s="24" t="s">
        <v>690</v>
      </c>
      <c r="B10291" s="25" t="s">
        <v>86</v>
      </c>
      <c r="C10291" s="41" t="n">
        <f aca="false">Sens!$C$10278+Sens!$C$10279+Sens!$C$10280+Sens!$C$10281+Sens!$C$10282+Sens!$C$10283-(Sens!$C$10285+Sens!$C$10286)</f>
        <v>0</v>
      </c>
      <c r="D10291" s="41" t="n">
        <f aca="false">Sens!$D$10278+Sens!$D$10279+Sens!$D$10280+Sens!$D$10281+Sens!$D$10282+Sens!$D$10283-(Sens!$D$10285+Sens!$D$10286)</f>
        <v>0</v>
      </c>
      <c r="E10291" s="41" t="n">
        <f aca="false">Sens!$E$10278+Sens!$E$10279+Sens!$E$10280+Sens!$E$10281+Sens!$E$10282+Sens!$E$10283-(Sens!$E$10285+Sens!$E$10286)</f>
        <v>0</v>
      </c>
      <c r="F10291" s="41" t="n">
        <f aca="false">Sens!$F$10278+Sens!$F$10279+Sens!$F$10280+Sens!$F$10281+Sens!$F$10282+Sens!$F$10283-(Sens!$F$10285+Sens!$F$10286)</f>
        <v>0</v>
      </c>
      <c r="G10291" s="41" t="n">
        <f aca="false">Sens!$G$10278+Sens!$G$10279+Sens!$G$10280+Sens!$G$10281+Sens!$G$10282+Sens!$G$10283-(Sens!$G$10285+Sens!$G$10286)</f>
        <v>0</v>
      </c>
      <c r="H10291" s="41" t="n">
        <f aca="false">Sens!$H$10278+Sens!$H$10279+Sens!$H$10280+Sens!$H$10281+Sens!$H$10282+Sens!$H$10283-(Sens!$H$10285+Sens!$H$10286)</f>
        <v>0</v>
      </c>
      <c r="I10291" s="41" t="n">
        <f aca="false">Sens!$I$10278+Sens!$I$10279+Sens!$I$10280+Sens!$I$10281+Sens!$I$10282+Sens!$I$10283-(Sens!$I$10285+Sens!$I$10286)</f>
        <v>0</v>
      </c>
      <c r="J10291" s="41" t="n">
        <f aca="false">Sens!$J$10278+Sens!$J$10279+Sens!$J$10280+Sens!$J$10281+Sens!$J$10282+Sens!$J$10283-(Sens!$J$10285+Sens!$J$10286)</f>
        <v>0</v>
      </c>
      <c r="K10291" s="41" t="n">
        <f aca="false">Sens!$K$10278+Sens!$K$10279+Sens!$K$10280+Sens!$K$10281+Sens!$K$10282+Sens!$K$10283-(Sens!$K$10285+Sens!$K$10286)</f>
        <v>0</v>
      </c>
      <c r="L10291" s="41" t="n">
        <f aca="false">Sens!$L$10278+Sens!$L$10279+Sens!$L$10280+Sens!$L$10281+Sens!$L$10282+Sens!$L$10283-(Sens!$L$10285+Sens!$L$10286)</f>
        <v>0</v>
      </c>
      <c r="M10291" s="41" t="n">
        <f aca="false">Sens!$M$10278+Sens!$M$10279+Sens!$M$10280+Sens!$M$10281+Sens!$M$10282+Sens!$M$10283-(Sens!$M$10285+Sens!$M$10286)</f>
        <v>0</v>
      </c>
      <c r="N10291" s="41" t="n">
        <f aca="false">Sens!$N$10278+Sens!$N$10279+Sens!$N$10280+Sens!$N$10281+Sens!$N$10282+Sens!$N$10283-(Sens!$N$10285+Sens!$N$10286)</f>
        <v>0</v>
      </c>
      <c r="O10291" s="41" t="n">
        <f aca="false">Sens!$O$10278+Sens!$O$10279+Sens!$O$10280+Sens!$O$10281+Sens!$O$10282+Sens!$O$10283-(Sens!$O$10285+Sens!$O$10286)</f>
        <v>0</v>
      </c>
    </row>
    <row r="10292" customFormat="false" ht="17.15" hidden="false" customHeight="false" outlineLevel="0" collapsed="false">
      <c r="A10292" s="24" t="s">
        <v>691</v>
      </c>
      <c r="B10292" s="25" t="s">
        <v>86</v>
      </c>
      <c r="C10292" s="41" t="n">
        <f aca="false">Sens!$C$10288+Sens!$C$10289-Sens!$C$10287</f>
        <v>0</v>
      </c>
      <c r="D10292" s="41" t="n">
        <f aca="false">Sens!$D$10288+Sens!$D$10289-Sens!$D$10287</f>
        <v>0</v>
      </c>
      <c r="E10292" s="41" t="n">
        <f aca="false">Sens!$E$10288+Sens!$E$10289-Sens!$E$10287</f>
        <v>0</v>
      </c>
      <c r="F10292" s="41" t="n">
        <f aca="false">Sens!$F$10288+Sens!$F$10289-Sens!$F$10287</f>
        <v>0</v>
      </c>
      <c r="G10292" s="41" t="n">
        <f aca="false">Sens!$G$10288+Sens!$G$10289-Sens!$G$10287</f>
        <v>0</v>
      </c>
      <c r="H10292" s="41" t="n">
        <f aca="false">Sens!$H$10288+Sens!$H$10289-Sens!$H$10287</f>
        <v>0</v>
      </c>
      <c r="I10292" s="41" t="n">
        <f aca="false">Sens!$I$10288+Sens!$I$10289-Sens!$I$10287</f>
        <v>0</v>
      </c>
      <c r="J10292" s="41" t="n">
        <f aca="false">Sens!$J$10288+Sens!$J$10289-Sens!$J$10287</f>
        <v>0</v>
      </c>
      <c r="K10292" s="41" t="n">
        <f aca="false">Sens!$K$10288+Sens!$K$10289-Sens!$K$10287</f>
        <v>0</v>
      </c>
      <c r="L10292" s="41" t="n">
        <f aca="false">Sens!$L$10288+Sens!$L$10289-Sens!$L$10287</f>
        <v>0</v>
      </c>
      <c r="M10292" s="41" t="n">
        <f aca="false">Sens!$M$10288+Sens!$M$10289-Sens!$M$10287</f>
        <v>0</v>
      </c>
      <c r="N10292" s="41" t="n">
        <f aca="false">Sens!$N$10288+Sens!$N$10289-Sens!$N$10287</f>
        <v>0</v>
      </c>
      <c r="O10292" s="41" t="n">
        <f aca="false">Sens!$O$10288+Sens!$O$10289-Sens!$O$10287</f>
        <v>0</v>
      </c>
    </row>
    <row r="10293" customFormat="false" ht="17.15" hidden="false" customHeight="false" outlineLevel="0" collapsed="false">
      <c r="A10293" s="24" t="s">
        <v>712</v>
      </c>
      <c r="B10293" s="25" t="s">
        <v>86</v>
      </c>
      <c r="C10293" s="41" t="n">
        <f aca="false">Sens!$C$10278+Sens!$C$10279+Sens!$C$10280+Sens!$C$10281+Sens!$C$10282+Sens!$C$10283+Sens!$C$10284-Sens!$C$10290</f>
        <v>0</v>
      </c>
      <c r="D10293" s="41" t="n">
        <f aca="false">Sens!$D$10278+Sens!$D$10279+Sens!$D$10280+Sens!$D$10281+Sens!$D$10282+Sens!$D$10283+Sens!$D$10284-Sens!$D$10290</f>
        <v>0</v>
      </c>
      <c r="E10293" s="41" t="n">
        <f aca="false">Sens!$E$10278+Sens!$E$10279+Sens!$E$10280+Sens!$E$10281+Sens!$E$10282+Sens!$E$10283+Sens!$E$10284-Sens!$E$10290</f>
        <v>0</v>
      </c>
      <c r="F10293" s="41" t="n">
        <f aca="false">Sens!$F$10278+Sens!$F$10279+Sens!$F$10280+Sens!$F$10281+Sens!$F$10282+Sens!$F$10283+Sens!$F$10284-Sens!$F$10290</f>
        <v>0</v>
      </c>
      <c r="G10293" s="41" t="n">
        <f aca="false">Sens!$G$10278+Sens!$G$10279+Sens!$G$10280+Sens!$G$10281+Sens!$G$10282+Sens!$G$10283+Sens!$G$10284-Sens!$G$10290</f>
        <v>0</v>
      </c>
      <c r="H10293" s="41" t="n">
        <f aca="false">Sens!$H$10278+Sens!$H$10279+Sens!$H$10280+Sens!$H$10281+Sens!$H$10282+Sens!$H$10283+Sens!$H$10284-Sens!$H$10290</f>
        <v>0</v>
      </c>
      <c r="I10293" s="41" t="n">
        <f aca="false">Sens!$I$10278+Sens!$I$10279+Sens!$I$10280+Sens!$I$10281+Sens!$I$10282+Sens!$I$10283+Sens!$I$10284-Sens!$I$10290</f>
        <v>0</v>
      </c>
      <c r="J10293" s="41" t="n">
        <f aca="false">Sens!$J$10278+Sens!$J$10279+Sens!$J$10280+Sens!$J$10281+Sens!$J$10282+Sens!$J$10283+Sens!$J$10284-Sens!$J$10290</f>
        <v>0</v>
      </c>
      <c r="K10293" s="41" t="n">
        <f aca="false">Sens!$K$10278+Sens!$K$10279+Sens!$K$10280+Sens!$K$10281+Sens!$K$10282+Sens!$K$10283+Sens!$K$10284-Sens!$K$10290</f>
        <v>0</v>
      </c>
      <c r="L10293" s="41" t="n">
        <f aca="false">Sens!$L$10278+Sens!$L$10279+Sens!$L$10280+Sens!$L$10281+Sens!$L$10282+Sens!$L$10283+Sens!$L$10284-Sens!$L$10290</f>
        <v>0</v>
      </c>
      <c r="M10293" s="41" t="n">
        <f aca="false">Sens!$M$10278+Sens!$M$10279+Sens!$M$10280+Sens!$M$10281+Sens!$M$10282+Sens!$M$10283+Sens!$M$10284-Sens!$M$10290</f>
        <v>0</v>
      </c>
      <c r="N10293" s="41" t="n">
        <f aca="false">Sens!$N$10278+Sens!$N$10279+Sens!$N$10280+Sens!$N$10281+Sens!$N$10282+Sens!$N$10283+Sens!$N$10284-Sens!$N$10290</f>
        <v>0</v>
      </c>
      <c r="O10293" s="41" t="n">
        <f aca="false">Sens!$O$10278+Sens!$O$10279+Sens!$O$10280+Sens!$O$10281+Sens!$O$10282+Sens!$O$10283+Sens!$O$10284-Sens!$O$10290</f>
        <v>0</v>
      </c>
    </row>
    <row r="10294" customFormat="false" ht="17.15" hidden="false" customHeight="false" outlineLevel="0" collapsed="false">
      <c r="A10294" s="24" t="s">
        <v>692</v>
      </c>
      <c r="B10294" s="25" t="s">
        <v>86</v>
      </c>
      <c r="C10294" s="41" t="n">
        <f aca="false">Sens!$C$10285+Sens!$C$10286+Sens!$C$10287-Sens!$C$10290</f>
        <v>0</v>
      </c>
      <c r="D10294" s="41" t="n">
        <f aca="false">Sens!$D$10285+Sens!$D$10286+Sens!$D$10287-Sens!$D$10290</f>
        <v>0</v>
      </c>
      <c r="E10294" s="41" t="n">
        <f aca="false">Sens!$E$10285+Sens!$E$10286+Sens!$E$10287-Sens!$E$10290</f>
        <v>0</v>
      </c>
      <c r="F10294" s="41" t="n">
        <f aca="false">Sens!$F$10285+Sens!$F$10286+Sens!$F$10287-Sens!$F$10290</f>
        <v>0</v>
      </c>
      <c r="G10294" s="41" t="n">
        <f aca="false">Sens!$G$10285+Sens!$G$10286+Sens!$G$10287-Sens!$G$10290</f>
        <v>0</v>
      </c>
      <c r="H10294" s="41" t="n">
        <f aca="false">Sens!$H$10285+Sens!$H$10286+Sens!$H$10287-Sens!$H$10290</f>
        <v>0</v>
      </c>
      <c r="I10294" s="41" t="n">
        <f aca="false">Sens!$I$10285+Sens!$I$10286+Sens!$I$10287-Sens!$I$10290</f>
        <v>0</v>
      </c>
      <c r="J10294" s="41" t="n">
        <f aca="false">Sens!$J$10285+Sens!$J$10286+Sens!$J$10287-Sens!$J$10290</f>
        <v>0</v>
      </c>
      <c r="K10294" s="41" t="n">
        <f aca="false">Sens!$K$10285+Sens!$K$10286+Sens!$K$10287-Sens!$K$10290</f>
        <v>0</v>
      </c>
      <c r="L10294" s="41" t="n">
        <f aca="false">Sens!$L$10285+Sens!$L$10286+Sens!$L$10287-Sens!$L$10290</f>
        <v>0</v>
      </c>
      <c r="M10294" s="41" t="n">
        <f aca="false">Sens!$M$10285+Sens!$M$10286+Sens!$M$10287-Sens!$M$10290</f>
        <v>0</v>
      </c>
      <c r="N10294" s="41" t="n">
        <f aca="false">Sens!$N$10285+Sens!$N$10286+Sens!$N$10287-Sens!$N$10290</f>
        <v>0</v>
      </c>
      <c r="O10294" s="41" t="n">
        <f aca="false">Sens!$O$10285+Sens!$O$10286+Sens!$O$10287-Sens!$O$10290</f>
        <v>0</v>
      </c>
    </row>
    <row r="10295" customFormat="false" ht="17.15" hidden="false" customHeight="false" outlineLevel="0" collapsed="false">
      <c r="A10295" s="1" t="s">
        <v>713</v>
      </c>
    </row>
    <row r="10296" customFormat="false" ht="17.15" hidden="false" customHeight="false" outlineLevel="0" collapsed="false">
      <c r="A10296" s="0" t="s">
        <v>714</v>
      </c>
      <c r="B10296" s="0" t="s">
        <v>86</v>
      </c>
      <c r="C10296" s="38" t="n">
        <f aca="false">Sens!$C$10202*m_ad</f>
        <v>20.5341564414228</v>
      </c>
      <c r="D10296" s="38" t="n">
        <f aca="false">Sens!$D$10202*m_ad</f>
        <v>24.8720617299587</v>
      </c>
      <c r="E10296" s="38" t="n">
        <f aca="false">Sens!$E$10202*m_ad</f>
        <v>13.5017112462207</v>
      </c>
      <c r="F10296" s="38" t="n">
        <f aca="false">Sens!$F$10202*m_ad</f>
        <v>16.4386933494637</v>
      </c>
      <c r="G10296" s="38" t="n">
        <f aca="false">Sens!$G$10202*m_ad</f>
        <v>29.9487813340424</v>
      </c>
      <c r="H10296" s="38" t="n">
        <f aca="false">Sens!$H$10202*m_ad</f>
        <v>35.955042155541</v>
      </c>
      <c r="I10296" s="38" t="n">
        <f aca="false">Sens!$I$10202*m_ad</f>
        <v>41.9607588889095</v>
      </c>
      <c r="J10296" s="38" t="n">
        <f aca="false">Sens!$J$10202*m_ad</f>
        <v>47.5632348300316</v>
      </c>
      <c r="K10296" s="38" t="n">
        <f aca="false">Sens!$K$10202*m_ad</f>
        <v>52.3195583130347</v>
      </c>
      <c r="L10296" s="38" t="n">
        <f aca="false">Sens!$L$10202*m_ad</f>
        <v>57.5515141443382</v>
      </c>
      <c r="M10296" s="38" t="n">
        <f aca="false">Sens!$M$10202*m_ad</f>
        <v>63.306665558772</v>
      </c>
      <c r="N10296" s="38" t="n">
        <f aca="false">Sens!$N$10202*m_ad</f>
        <v>10.8543555706248</v>
      </c>
      <c r="O10296" s="38" t="n">
        <f aca="false">Sens!$O$10202*m_ad</f>
        <v>14.0094731821399</v>
      </c>
    </row>
    <row r="10297" customFormat="false" ht="17.15" hidden="false" customHeight="false" outlineLevel="0" collapsed="false">
      <c r="A10297" s="0" t="s">
        <v>715</v>
      </c>
      <c r="B10297" s="0" t="s">
        <v>86</v>
      </c>
      <c r="C10297" s="38" t="n">
        <f aca="false">Sens!$C$10200-Sens!$C$10202</f>
        <v>346.428687117154</v>
      </c>
      <c r="D10297" s="38" t="n">
        <f aca="false">Sens!$D$10200-Sens!$D$10202</f>
        <v>376.560876540083</v>
      </c>
      <c r="E10297" s="38" t="n">
        <f aca="false">Sens!$E$10200-Sens!$E$10202</f>
        <v>193.316577507559</v>
      </c>
      <c r="F10297" s="38" t="n">
        <f aca="false">Sens!$F$10200-Sens!$F$10202</f>
        <v>215.746631846851</v>
      </c>
      <c r="G10297" s="38" t="n">
        <f aca="false">Sens!$G$10200-Sens!$G$10202</f>
        <v>409.046455877694</v>
      </c>
      <c r="H10297" s="38" t="n">
        <f aca="false">Sens!$H$10200-Sens!$H$10202</f>
        <v>447.244335049199</v>
      </c>
      <c r="I10297" s="38" t="n">
        <f aca="false">Sens!$I$10200-Sens!$I$10202</f>
        <v>483.780091157424</v>
      </c>
      <c r="J10297" s="38" t="n">
        <f aca="false">Sens!$J$10200-Sens!$J$10202</f>
        <v>517.628133331533</v>
      </c>
      <c r="K10297" s="38" t="n">
        <f aca="false">Sens!$K$10200-Sens!$K$10202</f>
        <v>547.761138275046</v>
      </c>
      <c r="L10297" s="38" t="n">
        <f aca="false">Sens!$L$10200-Sens!$L$10202</f>
        <v>579.713594509124</v>
      </c>
      <c r="M10297" s="38" t="n">
        <f aca="false">Sens!$M$10200-Sens!$M$10202</f>
        <v>613.598826346253</v>
      </c>
      <c r="N10297" s="38" t="n">
        <f aca="false">Sens!$N$10200-Sens!$N$10202</f>
        <v>171.24628885875</v>
      </c>
      <c r="O10297" s="38" t="n">
        <f aca="false">Sens!$O$10200-Sens!$O$10202</f>
        <v>205.33105363572</v>
      </c>
    </row>
    <row r="10298" customFormat="false" ht="17.15" hidden="false" customHeight="false" outlineLevel="0" collapsed="false">
      <c r="A10298" s="0" t="s">
        <v>716</v>
      </c>
      <c r="B10298" s="0" t="s">
        <v>86</v>
      </c>
      <c r="C10298" s="38" t="n">
        <f aca="false">Sens!$C$10249*Sens!$C$10199</f>
        <v>0.123617442257179</v>
      </c>
      <c r="D10298" s="38" t="n">
        <f aca="false">Sens!$D$10249*Sens!$D$10199</f>
        <v>0.874366899302609</v>
      </c>
      <c r="E10298" s="38" t="n">
        <f aca="false">Sens!$E$10249*Sens!$E$10199</f>
        <v>1.29318830502574</v>
      </c>
      <c r="F10298" s="38" t="n">
        <f aca="false">Sens!$F$10249*Sens!$F$10199</f>
        <v>1.52297257953576</v>
      </c>
      <c r="G10298" s="38" t="n">
        <f aca="false">Sens!$G$10249*Sens!$G$10199</f>
        <v>2.81660430516361</v>
      </c>
      <c r="H10298" s="38" t="n">
        <f aca="false">Sens!$H$10249*Sens!$H$10199</f>
        <v>7.48317347286481</v>
      </c>
      <c r="I10298" s="38" t="n">
        <f aca="false">Sens!$I$10249*Sens!$I$10199</f>
        <v>13.1425001597709</v>
      </c>
      <c r="J10298" s="38" t="n">
        <f aca="false">Sens!$J$10249*Sens!$J$10199</f>
        <v>18.9550772173213</v>
      </c>
      <c r="K10298" s="38" t="n">
        <f aca="false">Sens!$K$10249*Sens!$K$10199</f>
        <v>24.6409681081125</v>
      </c>
      <c r="L10298" s="38" t="n">
        <f aca="false">Sens!$L$10249*Sens!$L$10199</f>
        <v>28.3327604043804</v>
      </c>
      <c r="M10298" s="38" t="n">
        <f aca="false">Sens!$M$10249*Sens!$M$10199</f>
        <v>30.4259399545086</v>
      </c>
      <c r="N10298" s="38" t="n">
        <f aca="false">Sens!$N$10249*Sens!$N$10199</f>
        <v>0.389180508437431</v>
      </c>
      <c r="O10298" s="38" t="n">
        <f aca="false">Sens!$O$10249*Sens!$O$10199</f>
        <v>0.485052120082802</v>
      </c>
    </row>
    <row r="10299" customFormat="false" ht="17.15" hidden="false" customHeight="false" outlineLevel="0" collapsed="false">
      <c r="A10299" s="0" t="s">
        <v>717</v>
      </c>
      <c r="B10299" s="0" t="s">
        <v>52</v>
      </c>
      <c r="C10299" s="28" t="n">
        <f aca="false">(Sens!$C$10300-Sens!$C$10296+Sens!$C$10298)/Sens!$C$10297</f>
        <v>0.0131526665379575</v>
      </c>
      <c r="D10299" s="28" t="n">
        <f aca="false">(Sens!$D$10300-Sens!$D$10296+Sens!$D$10298)/Sens!$D$10297</f>
        <v>0.0149280116962589</v>
      </c>
      <c r="E10299" s="28" t="n">
        <f aca="false">(Sens!$E$10300-Sens!$E$10296+Sens!$E$10298)/Sens!$E$10297</f>
        <v>0.0268030663774938</v>
      </c>
      <c r="F10299" s="28" t="n">
        <f aca="false">Sens!$O$10299+(Sens!$E$10299-Sens!$N$10299)</f>
        <v>0.0232379346966962</v>
      </c>
      <c r="G10299" s="28" t="n">
        <f aca="false">(Sens!$G$10300-Sens!$G$10296+Sens!$G$10298)/Sens!$G$10297</f>
        <v>0.0249043836868848</v>
      </c>
      <c r="H10299" s="28" t="n">
        <f aca="false">Sens!$G$10299+step_na</f>
        <v>0.0279043836868848</v>
      </c>
      <c r="I10299" s="28" t="n">
        <f aca="false">Sens!$H$10299+step_na</f>
        <v>0.0309043836868848</v>
      </c>
      <c r="J10299" s="28" t="n">
        <f aca="false">Sens!$I$10299+step_na</f>
        <v>0.0339043836868848</v>
      </c>
      <c r="K10299" s="28" t="n">
        <f aca="false">Sens!$J$10299+step_na</f>
        <v>0.0369043836868848</v>
      </c>
      <c r="L10299" s="28" t="n">
        <f aca="false">Sens!$K$10299</f>
        <v>0.0369043836868848</v>
      </c>
      <c r="M10299" s="28" t="n">
        <f aca="false">Sens!$L$10299</f>
        <v>0.0369043836868848</v>
      </c>
      <c r="N10299" s="28" t="n">
        <f aca="false">(Sens!$N$10300-Sens!$N$10296+Sens!$N$10298)/Sens!$N$10297</f>
        <v>0.0168927744775755</v>
      </c>
      <c r="O10299" s="28" t="n">
        <f aca="false">(Sens!$O$10300-Sens!$O$10296+Sens!$O$10298)/Sens!$O$10297</f>
        <v>0.0133276427967779</v>
      </c>
      <c r="P10299" s="8" t="s">
        <v>718</v>
      </c>
    </row>
    <row r="10300" customFormat="false" ht="17.15" hidden="false" customHeight="false" outlineLevel="0" collapsed="false">
      <c r="A10300" s="1" t="s">
        <v>719</v>
      </c>
      <c r="B10300" s="8" t="s">
        <v>86</v>
      </c>
      <c r="C10300" s="38" t="n">
        <f aca="false">Q!$D$22</f>
        <v>24.967</v>
      </c>
      <c r="D10300" s="38" t="n">
        <f aca="false">Q!$E$22</f>
        <v>29.619</v>
      </c>
      <c r="E10300" s="38" t="n">
        <f aca="false">Q!$P$22</f>
        <v>17.39</v>
      </c>
      <c r="F10300" s="38" t="n">
        <f aca="false">Sens!$F$10296+Sens!$F$10297*Sens!$F$10299-Sens!$F$10298</f>
        <v>19.9292269118173</v>
      </c>
      <c r="G10300" s="38" t="n">
        <f aca="false">Sens!$E$10300+Sens!$F$10300</f>
        <v>37.3192269118173</v>
      </c>
      <c r="H10300" s="38" t="n">
        <f aca="false">Sens!$H$10296+Sens!$H$10297*Sens!$H$10299-Sens!$H$10298</f>
        <v>40.9519462096747</v>
      </c>
      <c r="I10300" s="38" t="n">
        <f aca="false">Sens!$I$10296+Sens!$I$10297*Sens!$I$10299-Sens!$I$10298</f>
        <v>43.7691842863438</v>
      </c>
      <c r="J10300" s="38" t="n">
        <f aca="false">Sens!$J$10296+Sens!$J$10297*Sens!$J$10299-Sens!$J$10298</f>
        <v>46.1580204523085</v>
      </c>
      <c r="K10300" s="38" t="n">
        <f aca="false">Sens!$K$10296+Sens!$K$10297*Sens!$K$10299-Sens!$K$10298</f>
        <v>47.8933774205893</v>
      </c>
      <c r="L10300" s="38" t="n">
        <f aca="false">Sens!$L$10296+Sens!$L$10297*Sens!$L$10299-Sens!$L$10298</f>
        <v>50.6127266602257</v>
      </c>
      <c r="M10300" s="38" t="n">
        <f aca="false">Sens!$M$10296+Sens!$M$10297*Sens!$M$10299-Sens!$M$10298</f>
        <v>55.5252121215677</v>
      </c>
      <c r="N10300" s="38" t="n">
        <f aca="false">Q!$N$22</f>
        <v>13.358</v>
      </c>
      <c r="O10300" s="38" t="n">
        <f aca="false">Q!$O$22</f>
        <v>16.261</v>
      </c>
    </row>
    <row r="10301" customFormat="false" ht="17.15" hidden="false" customHeight="false" outlineLevel="0" collapsed="false">
      <c r="A10301" s="0" t="s">
        <v>720</v>
      </c>
      <c r="B10301" s="0" t="s">
        <v>86</v>
      </c>
      <c r="C10301" s="38" t="n">
        <f aca="false">Sens!$C$10203*m_ad</f>
        <v>7.57284355857716</v>
      </c>
      <c r="D10301" s="38" t="n">
        <f aca="false">Sens!$D$10203*m_ad</f>
        <v>9.44543827004127</v>
      </c>
      <c r="E10301" s="38" t="n">
        <f aca="false">Sens!$E$10203*m_ad</f>
        <v>5.02428875377928</v>
      </c>
      <c r="F10301" s="38" t="n">
        <f aca="false">Sens!$F$10203*m_ad</f>
        <v>6.45430934080938</v>
      </c>
      <c r="G10301" s="38" t="n">
        <f aca="false">Sens!$G$10203*m_ad</f>
        <v>11.4702213562307</v>
      </c>
      <c r="H10301" s="38" t="n">
        <f aca="false">Sens!$H$10203*m_ad</f>
        <v>13.7705867827042</v>
      </c>
      <c r="I10301" s="38" t="n">
        <f aca="false">Sens!$I$10203*m_ad</f>
        <v>16.070743826365</v>
      </c>
      <c r="J10301" s="38" t="n">
        <f aca="false">Sens!$J$10203*m_ad</f>
        <v>18.216461826402</v>
      </c>
      <c r="K10301" s="38" t="n">
        <f aca="false">Sens!$K$10203*m_ad</f>
        <v>20.0381080090422</v>
      </c>
      <c r="L10301" s="38" t="n">
        <f aca="false">Sens!$L$10203*m_ad</f>
        <v>22.0419188099465</v>
      </c>
      <c r="M10301" s="38" t="n">
        <f aca="false">Sens!$M$10203*m_ad</f>
        <v>24.2461106909411</v>
      </c>
      <c r="N10301" s="38" t="n">
        <f aca="false">Sens!$N$10203*m_ad</f>
        <v>3.95314442937518</v>
      </c>
      <c r="O10301" s="38" t="n">
        <f aca="false">Sens!$O$10203*m_ad</f>
        <v>5.50052681786011</v>
      </c>
    </row>
    <row r="10302" customFormat="false" ht="17.15" hidden="false" customHeight="false" outlineLevel="0" collapsed="false">
      <c r="A10302" s="0" t="s">
        <v>721</v>
      </c>
      <c r="B10302" s="0" t="s">
        <v>86</v>
      </c>
      <c r="C10302" s="38" t="n">
        <f aca="false">Sens!$C$10201-Sens!$C$10203</f>
        <v>127.760312882846</v>
      </c>
      <c r="D10302" s="38" t="n">
        <f aca="false">Sens!$D$10201-Sens!$D$10203</f>
        <v>143.003123459917</v>
      </c>
      <c r="E10302" s="38" t="n">
        <f aca="false">Sens!$E$10201-Sens!$E$10203</f>
        <v>71.9374224924414</v>
      </c>
      <c r="F10302" s="38" t="n">
        <f aca="false">Sens!$F$10201-Sens!$F$10203</f>
        <v>84.7084054416479</v>
      </c>
      <c r="G10302" s="38" t="n">
        <f aca="false">Sens!$G$10201-Sens!$G$10203</f>
        <v>156.662581410805</v>
      </c>
      <c r="H10302" s="38" t="n">
        <f aca="false">Sens!$H$10201-Sens!$H$10203</f>
        <v>171.292162646476</v>
      </c>
      <c r="I10302" s="38" t="n">
        <f aca="false">Sens!$I$10201-Sens!$I$10203</f>
        <v>185.285159733882</v>
      </c>
      <c r="J10302" s="38" t="n">
        <f aca="false">Sens!$J$10201-Sens!$J$10203</f>
        <v>198.248776913548</v>
      </c>
      <c r="K10302" s="38" t="n">
        <f aca="false">Sens!$K$10201-Sens!$K$10203</f>
        <v>209.789554916345</v>
      </c>
      <c r="L10302" s="38" t="n">
        <f aca="false">Sens!$L$10201-Sens!$L$10203</f>
        <v>222.027172927985</v>
      </c>
      <c r="M10302" s="38" t="n">
        <f aca="false">Sens!$M$10201-Sens!$M$10203</f>
        <v>235.005033547551</v>
      </c>
      <c r="N10302" s="38" t="n">
        <f aca="false">Sens!$N$10201-Sens!$N$10203</f>
        <v>62.3677111412496</v>
      </c>
      <c r="O10302" s="38" t="n">
        <f aca="false">Sens!$O$10201-Sens!$O$10203</f>
        <v>80.6189463642798</v>
      </c>
    </row>
    <row r="10303" customFormat="false" ht="17.15" hidden="false" customHeight="false" outlineLevel="0" collapsed="false">
      <c r="A10303" s="0" t="s">
        <v>722</v>
      </c>
      <c r="B10303" s="0" t="s">
        <v>86</v>
      </c>
      <c r="C10303" s="38" t="n">
        <f aca="false">Sens!$C$10249*(1-Sens!$C$10199)</f>
        <v>0.0455891896019953</v>
      </c>
      <c r="D10303" s="38" t="n">
        <f aca="false">Sens!$D$10249*(1-Sens!$D$10199)</f>
        <v>0.332050421167231</v>
      </c>
      <c r="E10303" s="38" t="n">
        <f aca="false">Sens!$E$10249*(1-Sens!$E$10199)</f>
        <v>0.481224293644882</v>
      </c>
      <c r="F10303" s="38" t="n">
        <f aca="false">Sens!$F$10249*(1-Sens!$F$10199)</f>
        <v>0.597963350062425</v>
      </c>
      <c r="G10303" s="38" t="n">
        <f aca="false">Sens!$G$10249*(1-Sens!$G$10199)</f>
        <v>1.0787442231052</v>
      </c>
      <c r="H10303" s="38" t="n">
        <f aca="false">Sens!$H$10249*(1-Sens!$H$10199)</f>
        <v>2.86601498817139</v>
      </c>
      <c r="I10303" s="38" t="n">
        <f aca="false">Sens!$I$10249*(1-Sens!$I$10199)</f>
        <v>5.03350651652449</v>
      </c>
      <c r="J10303" s="38" t="n">
        <f aca="false">Sens!$J$10249*(1-Sens!$J$10199)</f>
        <v>7.25969210840591</v>
      </c>
      <c r="K10303" s="38" t="n">
        <f aca="false">Sens!$K$10249*(1-Sens!$K$10199)</f>
        <v>9.43735758324835</v>
      </c>
      <c r="L10303" s="38" t="n">
        <f aca="false">Sens!$L$10249*(1-Sens!$L$10199)</f>
        <v>10.8512940759258</v>
      </c>
      <c r="M10303" s="38" t="n">
        <f aca="false">Sens!$M$10249*(1-Sens!$M$10199)</f>
        <v>11.6529705284837</v>
      </c>
      <c r="N10303" s="38" t="n">
        <f aca="false">Sens!$N$10249*(1-Sens!$N$10199)</f>
        <v>0.141739115596548</v>
      </c>
      <c r="O10303" s="38" t="n">
        <f aca="false">Sens!$O$10249*(1-Sens!$O$10199)</f>
        <v>0.190445576353059</v>
      </c>
    </row>
    <row r="10304" customFormat="false" ht="17.15" hidden="false" customHeight="false" outlineLevel="0" collapsed="false">
      <c r="A10304" s="0" t="s">
        <v>723</v>
      </c>
      <c r="B10304" s="0" t="s">
        <v>52</v>
      </c>
      <c r="C10304" s="28" t="n">
        <f aca="false">(Sens!$C$10305-Sens!$C$10301+Sens!$C$10303)/Sens!$C$10302</f>
        <v>-0.0292364215826579</v>
      </c>
      <c r="D10304" s="28" t="n">
        <f aca="false">(Sens!$D$10305-Sens!$D$10301+Sens!$D$10303)/Sens!$D$10302</f>
        <v>-0.0305125352740778</v>
      </c>
      <c r="E10304" s="28" t="n">
        <f aca="false">(Sens!$E$10305-Sens!$E$10301+Sens!$E$10303)/Sens!$E$10302</f>
        <v>-0.019490056934994</v>
      </c>
      <c r="F10304" s="28" t="n">
        <f aca="false">Sens!$O$10304+(Sens!$E$10304-Sens!$N$10304)</f>
        <v>-0.0367332293992226</v>
      </c>
      <c r="G10304" s="28" t="n">
        <f aca="false">(Sens!$G$10305-Sens!$G$10301+Sens!$G$10303)/Sens!$G$10302</f>
        <v>-0.0287608208094943</v>
      </c>
      <c r="H10304" s="28" t="n">
        <f aca="false">Sens!$G$10304+step_in</f>
        <v>-0.0287608208094943</v>
      </c>
      <c r="I10304" s="28" t="n">
        <f aca="false">Sens!$H$10304+step_in</f>
        <v>-0.0287608208094943</v>
      </c>
      <c r="J10304" s="28" t="n">
        <f aca="false">Sens!$I$10304+step_in</f>
        <v>-0.0287608208094943</v>
      </c>
      <c r="K10304" s="28" t="n">
        <f aca="false">Sens!$J$10304+step_in</f>
        <v>-0.0287608208094943</v>
      </c>
      <c r="L10304" s="28" t="n">
        <f aca="false">Sens!$K$10304</f>
        <v>-0.0287608208094943</v>
      </c>
      <c r="M10304" s="28" t="n">
        <f aca="false">Sens!$L$10304</f>
        <v>-0.0287608208094943</v>
      </c>
      <c r="N10304" s="28" t="n">
        <f aca="false">(Sens!$N$10305-Sens!$N$10301+Sens!$N$10303)/Sens!$N$10302</f>
        <v>-0.02085061789158</v>
      </c>
      <c r="O10304" s="28" t="n">
        <f aca="false">(Sens!$O$10305-Sens!$O$10301+Sens!$O$10303)/Sens!$O$10302</f>
        <v>-0.0380937903558086</v>
      </c>
      <c r="P10304" s="8" t="s">
        <v>718</v>
      </c>
    </row>
    <row r="10305" customFormat="false" ht="17.15" hidden="false" customHeight="false" outlineLevel="0" collapsed="false">
      <c r="A10305" s="1" t="s">
        <v>724</v>
      </c>
      <c r="B10305" s="8" t="s">
        <v>86</v>
      </c>
      <c r="C10305" s="38" t="n">
        <f aca="false">Q!$D$23</f>
        <v>3.792</v>
      </c>
      <c r="D10305" s="38" t="n">
        <f aca="false">Q!$E$23</f>
        <v>4.75</v>
      </c>
      <c r="E10305" s="38" t="n">
        <f aca="false">Q!$P$23</f>
        <v>3.141</v>
      </c>
      <c r="F10305" s="38" t="n">
        <f aca="false">Sens!$F$10301+Sens!$F$10302*Sens!$F$10304-Sens!$F$10303</f>
        <v>2.74473270161655</v>
      </c>
      <c r="G10305" s="38" t="n">
        <f aca="false">Sens!$E$10305+Sens!$F$10305</f>
        <v>5.88573270161655</v>
      </c>
      <c r="H10305" s="38" t="n">
        <f aca="false">Sens!$H$10301+Sens!$H$10302*Sens!$H$10304-Sens!$H$10303</f>
        <v>5.97806859858674</v>
      </c>
      <c r="I10305" s="38" t="n">
        <f aca="false">Sens!$I$10301+Sens!$I$10302*Sens!$I$10304-Sens!$I$10303</f>
        <v>5.70828403207586</v>
      </c>
      <c r="J10305" s="38" t="n">
        <f aca="false">Sens!$J$10301+Sens!$J$10302*Sens!$J$10304-Sens!$J$10303</f>
        <v>5.25497216948417</v>
      </c>
      <c r="K10305" s="38" t="n">
        <f aca="false">Sens!$K$10301+Sens!$K$10302*Sens!$K$10304-Sens!$K$10303</f>
        <v>4.56703062914134</v>
      </c>
      <c r="L10305" s="38" t="n">
        <f aca="false">Sens!$L$10301+Sens!$L$10302*Sens!$L$10304-Sens!$L$10303</f>
        <v>4.80494099860027</v>
      </c>
      <c r="M10305" s="38" t="n">
        <f aca="false">Sens!$M$10301+Sens!$M$10302*Sens!$M$10304-Sens!$M$10303</f>
        <v>5.83420250326714</v>
      </c>
      <c r="N10305" s="38" t="n">
        <f aca="false">Q!$N$23</f>
        <v>2.511</v>
      </c>
      <c r="O10305" s="38" t="n">
        <f aca="false">Q!$O$23</f>
        <v>2.239</v>
      </c>
    </row>
    <row r="10306" customFormat="false" ht="17.15" hidden="false" customHeight="false" outlineLevel="0" collapsed="false">
      <c r="A10306" s="0" t="s">
        <v>725</v>
      </c>
      <c r="B10306" s="0" t="s">
        <v>86</v>
      </c>
      <c r="C10306" s="38" t="n">
        <f aca="false">Sens!$C$10246</f>
        <v>1.64417882953695</v>
      </c>
      <c r="D10306" s="38" t="n">
        <f aca="false">Sens!$D$10246</f>
        <v>3.8781008067718</v>
      </c>
      <c r="E10306" s="38" t="n">
        <f aca="false">Sens!$E$10246</f>
        <v>1.41270258088753</v>
      </c>
      <c r="F10306" s="38" t="n">
        <f aca="false">Sens!$F$10246</f>
        <v>9.28688890281936</v>
      </c>
      <c r="G10306" s="38" t="n">
        <f aca="false">Sens!$G$10246</f>
        <v>10.6995914837069</v>
      </c>
      <c r="H10306" s="38" t="n">
        <f aca="false">Sens!$H$10246</f>
        <v>41.6871201624788</v>
      </c>
      <c r="I10306" s="38" t="n">
        <f aca="false">Sens!$I$10246</f>
        <v>75.3722652568139</v>
      </c>
      <c r="J10306" s="38" t="n">
        <f aca="false">Sens!$J$10246</f>
        <v>108.498764572913</v>
      </c>
      <c r="K10306" s="38" t="n">
        <f aca="false">Sens!$K$10246</f>
        <v>132.732072387778</v>
      </c>
      <c r="L10306" s="38" t="n">
        <f aca="false">Sens!$L$10246</f>
        <v>148.895654526103</v>
      </c>
      <c r="M10306" s="38" t="n">
        <f aca="false">Sens!$M$10246</f>
        <v>154.754646476001</v>
      </c>
      <c r="N10306" s="38" t="n">
        <f aca="false">Sens!$N$10246</f>
        <v>0.92264103489199</v>
      </c>
      <c r="O10306" s="38" t="n">
        <f aca="false">Sens!$O$10246</f>
        <v>2.95545977187981</v>
      </c>
    </row>
    <row r="10307" customFormat="false" ht="17.15" hidden="false" customHeight="false" outlineLevel="0" collapsed="false">
      <c r="A10307" s="0" t="s">
        <v>643</v>
      </c>
      <c r="B10307" s="0" t="s">
        <v>86</v>
      </c>
      <c r="C10307" s="38" t="n">
        <f aca="false">Sens!$C$10251</f>
        <v>38.1898211704631</v>
      </c>
      <c r="D10307" s="38" t="n">
        <f aca="false">Sens!$D$10251</f>
        <v>41.7278991932282</v>
      </c>
      <c r="E10307" s="38" t="n">
        <f aca="false">Sens!$E$10251</f>
        <v>29.3692974191125</v>
      </c>
      <c r="F10307" s="38" t="n">
        <f aca="false">Sens!$F$10251</f>
        <v>26.8997276714137</v>
      </c>
      <c r="G10307" s="38" t="n">
        <f aca="false">Sens!$G$10251</f>
        <v>56.2690250905262</v>
      </c>
      <c r="H10307" s="38" t="n">
        <f aca="false">Sens!$H$10251</f>
        <v>60.3505333937343</v>
      </c>
      <c r="I10307" s="38" t="n">
        <f aca="false">Sens!$I$10251</f>
        <v>67.0043857303571</v>
      </c>
      <c r="J10307" s="38" t="n">
        <f aca="false">Sens!$J$10251</f>
        <v>73.3782922956925</v>
      </c>
      <c r="K10307" s="38" t="n">
        <f aca="false">Sens!$K$10251</f>
        <v>79.2485556793479</v>
      </c>
      <c r="L10307" s="38" t="n">
        <f aca="false">Sens!$L$10251</f>
        <v>85.5884401336958</v>
      </c>
      <c r="M10307" s="38" t="n">
        <f aca="false">Sens!$M$10251</f>
        <v>92.4355153443914</v>
      </c>
      <c r="N10307" s="38" t="n">
        <f aca="false">Sens!$N$10251</f>
        <v>20.784358965108</v>
      </c>
      <c r="O10307" s="38" t="n">
        <f aca="false">Sens!$O$10251</f>
        <v>20.9435402281202</v>
      </c>
    </row>
    <row r="10308" customFormat="false" ht="17.15" hidden="false" customHeight="false" outlineLevel="0" collapsed="false">
      <c r="A10308" s="1" t="s">
        <v>726</v>
      </c>
      <c r="B10308" s="8" t="s">
        <v>86</v>
      </c>
      <c r="C10308" s="38" t="n">
        <f aca="false">Q!$D$24</f>
        <v>39.834</v>
      </c>
      <c r="D10308" s="38" t="n">
        <f aca="false">Q!$E$24</f>
        <v>45.606</v>
      </c>
      <c r="E10308" s="38" t="n">
        <f aca="false">Q!$P$24</f>
        <v>30.782</v>
      </c>
      <c r="F10308" s="38" t="n">
        <f aca="false">Sens!$F$10306+Sens!$F$10307</f>
        <v>36.1866165742331</v>
      </c>
      <c r="G10308" s="38" t="n">
        <f aca="false">Sens!$G$10306+Sens!$G$10307</f>
        <v>66.9686165742331</v>
      </c>
      <c r="H10308" s="38" t="n">
        <f aca="false">Sens!$H$10306+Sens!$H$10307</f>
        <v>102.037653556213</v>
      </c>
      <c r="I10308" s="38" t="n">
        <f aca="false">Sens!$I$10306+Sens!$I$10307</f>
        <v>142.376650987171</v>
      </c>
      <c r="J10308" s="38" t="n">
        <f aca="false">Sens!$J$10306+Sens!$J$10307</f>
        <v>181.877056868606</v>
      </c>
      <c r="K10308" s="38" t="n">
        <f aca="false">Sens!$K$10306+Sens!$K$10307</f>
        <v>211.980628067126</v>
      </c>
      <c r="L10308" s="38" t="n">
        <f aca="false">Sens!$L$10306+Sens!$L$10307</f>
        <v>234.484094659799</v>
      </c>
      <c r="M10308" s="38" t="n">
        <f aca="false">Sens!$M$10306+Sens!$M$10307</f>
        <v>247.190161820392</v>
      </c>
      <c r="N10308" s="38" t="n">
        <f aca="false">Q!$N$24</f>
        <v>21.707</v>
      </c>
      <c r="O10308" s="38" t="n">
        <f aca="false">Q!$O$24</f>
        <v>23.899</v>
      </c>
    </row>
    <row r="10309" customFormat="false" ht="17.15" hidden="false" customHeight="false" outlineLevel="0" collapsed="false">
      <c r="A10309" s="5" t="s">
        <v>727</v>
      </c>
      <c r="B10309" s="0" t="s">
        <v>86</v>
      </c>
      <c r="C10309" s="38" t="n">
        <f aca="false">Q!$D$26</f>
        <v>0</v>
      </c>
      <c r="D10309" s="38" t="n">
        <f aca="false">Q!$E$26</f>
        <v>0</v>
      </c>
      <c r="E10309" s="38" t="n">
        <f aca="false">Q!$P$26</f>
        <v>0</v>
      </c>
      <c r="F10309" s="39" t="n">
        <v>0</v>
      </c>
      <c r="G10309" s="38" t="n">
        <f aca="false">Sens!$E$10309+Sens!$F$10309</f>
        <v>0</v>
      </c>
      <c r="H10309" s="39" t="n">
        <v>0</v>
      </c>
      <c r="I10309" s="39" t="n">
        <v>0</v>
      </c>
      <c r="J10309" s="39" t="n">
        <v>0</v>
      </c>
      <c r="K10309" s="39" t="n">
        <v>0</v>
      </c>
      <c r="L10309" s="39" t="n">
        <v>0</v>
      </c>
      <c r="M10309" s="39" t="n">
        <v>0</v>
      </c>
      <c r="N10309" s="38" t="n">
        <f aca="false">Q!$N$26</f>
        <v>0</v>
      </c>
      <c r="O10309" s="38" t="n">
        <f aca="false">Q!$O$26</f>
        <v>0</v>
      </c>
    </row>
    <row r="10310" customFormat="false" ht="15" hidden="false" customHeight="false" outlineLevel="0" collapsed="false">
      <c r="A10310" s="3" t="s">
        <v>531</v>
      </c>
      <c r="B10310" s="8" t="s">
        <v>86</v>
      </c>
      <c r="C10310" s="38" t="n">
        <f aca="false">Q!$D$25</f>
        <v>68.593</v>
      </c>
      <c r="D10310" s="38" t="n">
        <f aca="false">Q!$E$25</f>
        <v>79.975</v>
      </c>
      <c r="E10310" s="38" t="n">
        <f aca="false">Q!$P$25</f>
        <v>51.313</v>
      </c>
      <c r="F10310" s="38" t="n">
        <f aca="false">Sens!$F$10300+Sens!$F$10305+Sens!$F$10308+Sens!$F$10309</f>
        <v>58.8605761876669</v>
      </c>
      <c r="G10310" s="38" t="n">
        <f aca="false">Sens!$G$10300+Sens!$G$10305+Sens!$G$10308+Sens!$G$10309</f>
        <v>110.173576187667</v>
      </c>
      <c r="H10310" s="38" t="n">
        <f aca="false">Sens!$H$10300+Sens!$H$10305+Sens!$H$10308+Sens!$H$10309</f>
        <v>148.967668364475</v>
      </c>
      <c r="I10310" s="38" t="n">
        <f aca="false">Sens!$I$10300+Sens!$I$10305+Sens!$I$10308+Sens!$I$10309</f>
        <v>191.854119305591</v>
      </c>
      <c r="J10310" s="38" t="n">
        <f aca="false">Sens!$J$10300+Sens!$J$10305+Sens!$J$10308+Sens!$J$10309</f>
        <v>233.290049490398</v>
      </c>
      <c r="K10310" s="38" t="n">
        <f aca="false">Sens!$K$10300+Sens!$K$10305+Sens!$K$10308+Sens!$K$10309</f>
        <v>264.441036116857</v>
      </c>
      <c r="L10310" s="38" t="n">
        <f aca="false">Sens!$L$10300+Sens!$L$10305+Sens!$L$10308+Sens!$L$10309</f>
        <v>289.901762318625</v>
      </c>
      <c r="M10310" s="38" t="n">
        <f aca="false">Sens!$M$10300+Sens!$M$10305+Sens!$M$10308+Sens!$M$10309</f>
        <v>308.549576445227</v>
      </c>
      <c r="N10310" s="38" t="n">
        <f aca="false">Q!$N$25</f>
        <v>37.576</v>
      </c>
      <c r="O10310" s="38" t="n">
        <f aca="false">Q!$O$25</f>
        <v>42.399</v>
      </c>
    </row>
    <row r="10311" customFormat="false" ht="17.15" hidden="false" customHeight="false" outlineLevel="0" collapsed="false">
      <c r="A10311" s="24" t="s">
        <v>728</v>
      </c>
      <c r="B10311" s="25" t="s">
        <v>86</v>
      </c>
      <c r="C10311" s="41" t="n">
        <f aca="false">Sens!$C$10300+Sens!$C$10305+Sens!$C$10308+Sens!$C$10309-Sens!$C$10310</f>
        <v>0</v>
      </c>
      <c r="D10311" s="41" t="n">
        <f aca="false">Sens!$D$10300+Sens!$D$10305+Sens!$D$10308+Sens!$D$10309-Sens!$D$10310</f>
        <v>0</v>
      </c>
      <c r="E10311" s="41" t="n">
        <f aca="false">Sens!$E$10300+Sens!$E$10305+Sens!$E$10308+Sens!$E$10309-Sens!$E$10310</f>
        <v>0</v>
      </c>
      <c r="F10311" s="41" t="n">
        <f aca="false">Sens!$F$10300+Sens!$F$10305+Sens!$F$10308+Sens!$F$10309-Sens!$F$10310</f>
        <v>0</v>
      </c>
      <c r="G10311" s="41" t="n">
        <f aca="false">Sens!$G$10300+Sens!$G$10305+Sens!$G$10308+Sens!$G$10309-Sens!$G$10310</f>
        <v>0</v>
      </c>
      <c r="H10311" s="41" t="n">
        <f aca="false">Sens!$H$10300+Sens!$H$10305+Sens!$H$10308+Sens!$H$10309-Sens!$H$10310</f>
        <v>0</v>
      </c>
      <c r="I10311" s="41" t="n">
        <f aca="false">Sens!$I$10300+Sens!$I$10305+Sens!$I$10308+Sens!$I$10309-Sens!$I$10310</f>
        <v>0</v>
      </c>
      <c r="J10311" s="41" t="n">
        <f aca="false">Sens!$J$10300+Sens!$J$10305+Sens!$J$10308+Sens!$J$10309-Sens!$J$10310</f>
        <v>0</v>
      </c>
      <c r="K10311" s="41" t="n">
        <f aca="false">Sens!$K$10300+Sens!$K$10305+Sens!$K$10308+Sens!$K$10309-Sens!$K$10310</f>
        <v>0</v>
      </c>
      <c r="L10311" s="41" t="n">
        <f aca="false">Sens!$L$10300+Sens!$L$10305+Sens!$L$10308+Sens!$L$10309-Sens!$L$10310</f>
        <v>0</v>
      </c>
      <c r="M10311" s="41" t="n">
        <f aca="false">Sens!$M$10300+Sens!$M$10305+Sens!$M$10308+Sens!$M$10309-Sens!$M$10310</f>
        <v>0</v>
      </c>
      <c r="N10311" s="41" t="n">
        <f aca="false">Sens!$N$10300+Sens!$N$10305+Sens!$N$10308+Sens!$N$10309-Sens!$N$10310</f>
        <v>0</v>
      </c>
      <c r="O10311" s="41" t="n">
        <f aca="false">Sens!$O$10300+Sens!$O$10305+Sens!$O$10308+Sens!$O$10309-Sens!$O$10310</f>
        <v>0</v>
      </c>
    </row>
    <row r="10312" customFormat="false" ht="17.15" hidden="false" customHeight="false" outlineLevel="0" collapsed="false">
      <c r="A10312" s="5" t="s">
        <v>729</v>
      </c>
      <c r="B10312" s="0" t="s">
        <v>86</v>
      </c>
      <c r="C10312" s="38" t="n">
        <f aca="false">Sens!$C$10248</f>
        <v>0</v>
      </c>
      <c r="D10312" s="38" t="n">
        <f aca="false">Sens!$D$10248</f>
        <v>0</v>
      </c>
      <c r="E10312" s="38" t="n">
        <f aca="false">Sens!$E$10248</f>
        <v>0</v>
      </c>
      <c r="F10312" s="38" t="n">
        <f aca="false">Sens!$F$10248</f>
        <v>0</v>
      </c>
      <c r="G10312" s="38" t="n">
        <f aca="false">Sens!$G$10248</f>
        <v>0</v>
      </c>
      <c r="H10312" s="38" t="n">
        <f aca="false">Sens!$H$10248</f>
        <v>0</v>
      </c>
      <c r="I10312" s="38" t="n">
        <f aca="false">Sens!$I$10248</f>
        <v>0</v>
      </c>
      <c r="J10312" s="38" t="n">
        <f aca="false">Sens!$J$10248</f>
        <v>0</v>
      </c>
      <c r="K10312" s="38" t="n">
        <f aca="false">Sens!$K$10248</f>
        <v>0</v>
      </c>
      <c r="L10312" s="38" t="n">
        <f aca="false">Sens!$L$10248</f>
        <v>0</v>
      </c>
      <c r="M10312" s="38" t="n">
        <f aca="false">Sens!$M$10248</f>
        <v>0</v>
      </c>
      <c r="N10312" s="38" t="n">
        <f aca="false">Sens!$N$10248</f>
        <v>0</v>
      </c>
      <c r="O10312" s="38" t="n">
        <f aca="false">Sens!$O$10248</f>
        <v>0</v>
      </c>
      <c r="P10312" s="5" t="s">
        <v>730</v>
      </c>
    </row>
    <row r="10313" customFormat="false" ht="17.15" hidden="false" customHeight="false" outlineLevel="0" collapsed="false">
      <c r="A10313" s="5" t="s">
        <v>731</v>
      </c>
      <c r="B10313" s="0" t="s">
        <v>86</v>
      </c>
      <c r="C10313" s="38" t="n">
        <f aca="false">Sens!$C$10310+Sens!$C$10312</f>
        <v>68.593</v>
      </c>
      <c r="D10313" s="38" t="n">
        <f aca="false">Sens!$D$10310+Sens!$D$10312</f>
        <v>79.975</v>
      </c>
      <c r="E10313" s="38" t="n">
        <f aca="false">Sens!$E$10310+Sens!$E$10312</f>
        <v>51.313</v>
      </c>
      <c r="F10313" s="38" t="n">
        <f aca="false">Sens!$F$10310+Sens!$F$10312</f>
        <v>58.8605761876669</v>
      </c>
      <c r="G10313" s="38" t="n">
        <f aca="false">Sens!$G$10310+Sens!$G$10312</f>
        <v>110.173576187667</v>
      </c>
      <c r="H10313" s="38" t="n">
        <f aca="false">Sens!$H$10310+Sens!$H$10312</f>
        <v>148.967668364475</v>
      </c>
      <c r="I10313" s="38" t="n">
        <f aca="false">Sens!$I$10310+Sens!$I$10312</f>
        <v>191.854119305591</v>
      </c>
      <c r="J10313" s="38" t="n">
        <f aca="false">Sens!$J$10310+Sens!$J$10312</f>
        <v>233.290049490398</v>
      </c>
      <c r="K10313" s="38" t="n">
        <f aca="false">Sens!$K$10310+Sens!$K$10312</f>
        <v>264.441036116857</v>
      </c>
      <c r="L10313" s="38" t="n">
        <f aca="false">Sens!$L$10310+Sens!$L$10312</f>
        <v>289.901762318625</v>
      </c>
      <c r="M10313" s="38" t="n">
        <f aca="false">Sens!$M$10310+Sens!$M$10312</f>
        <v>308.549576445227</v>
      </c>
      <c r="N10313" s="38" t="n">
        <f aca="false">Sens!$N$10310+Sens!$N$10312</f>
        <v>37.576</v>
      </c>
      <c r="O10313" s="38" t="n">
        <f aca="false">Sens!$O$10310+Sens!$O$10312</f>
        <v>42.399</v>
      </c>
    </row>
    <row r="10314" customFormat="false" ht="17.15" hidden="false" customHeight="false" outlineLevel="0" collapsed="false">
      <c r="A10314" s="0" t="s">
        <v>732</v>
      </c>
      <c r="B10314" s="0" t="s">
        <v>52</v>
      </c>
      <c r="C10314" s="13" t="n">
        <f aca="false">Sens!$C$10300/Sens!$C$10285</f>
        <v>0.0644314665661928</v>
      </c>
      <c r="D10314" s="13" t="n">
        <f aca="false">Sens!$D$10300/Sens!$D$10285</f>
        <v>0.0694784250712518</v>
      </c>
      <c r="E10314" s="13" t="n">
        <f aca="false">Sens!$E$10300/Sens!$E$10285</f>
        <v>0.0789306463326071</v>
      </c>
      <c r="F10314" s="13" t="n">
        <f aca="false">Sens!$F$10300/Sens!$F$10285</f>
        <v>0.0801580918383705</v>
      </c>
      <c r="G10314" s="13" t="n">
        <f aca="false">Sens!$G$10300/Sens!$G$10285</f>
        <v>0.0795814115031177</v>
      </c>
      <c r="H10314" s="13" t="n">
        <f aca="false">Sens!$H$10300/Sens!$H$10285</f>
        <v>0.0788820140645956</v>
      </c>
      <c r="I10314" s="13" t="n">
        <f aca="false">Sens!$I$10300/Sens!$I$10285</f>
        <v>0.0770989259101017</v>
      </c>
      <c r="J10314" s="13" t="n">
        <f aca="false">Sens!$J$10300/Sens!$J$10285</f>
        <v>0.0753287208728509</v>
      </c>
      <c r="K10314" s="13" t="n">
        <f aca="false">Sens!$K$10300/Sens!$K$10285</f>
        <v>0.0734110341937996</v>
      </c>
      <c r="L10314" s="13" t="n">
        <f aca="false">Sens!$L$10300/Sens!$L$10285</f>
        <v>0.0728432869904936</v>
      </c>
      <c r="M10314" s="13" t="n">
        <f aca="false">Sens!$M$10300/Sens!$M$10285</f>
        <v>0.0750125643866954</v>
      </c>
      <c r="N10314" s="13" t="n">
        <f aca="false">Sens!$N$10300/Sens!$N$10285</f>
        <v>0.069228576611127</v>
      </c>
      <c r="O10314" s="13" t="n">
        <f aca="false">Sens!$O$10300/Sens!$O$10285</f>
        <v>0.069685022498393</v>
      </c>
    </row>
    <row r="10315" customFormat="false" ht="17.15" hidden="false" customHeight="false" outlineLevel="0" collapsed="false">
      <c r="A10315" s="0" t="s">
        <v>733</v>
      </c>
      <c r="B10315" s="0" t="s">
        <v>52</v>
      </c>
      <c r="C10315" s="13" t="n">
        <f aca="false">Sens!$C$10305/Sens!$C$10286</f>
        <v>0.026534925055631</v>
      </c>
      <c r="D10315" s="13" t="n">
        <f aca="false">Sens!$D$10305/Sens!$D$10286</f>
        <v>0.0293401855535103</v>
      </c>
      <c r="E10315" s="13" t="n">
        <f aca="false">Sens!$E$10305/Sens!$E$10286</f>
        <v>0.03831141902276</v>
      </c>
      <c r="F10315" s="13" t="n">
        <f aca="false">Sens!$F$10305/Sens!$F$10286</f>
        <v>0.0281173568470047</v>
      </c>
      <c r="G10315" s="13" t="n">
        <f aca="false">Sens!$G$10305/Sens!$G$10286</f>
        <v>0.0327707884115415</v>
      </c>
      <c r="H10315" s="13" t="n">
        <f aca="false">Sens!$H$10305/Sens!$H$10286</f>
        <v>0.030065725961648</v>
      </c>
      <c r="I10315" s="13" t="n">
        <f aca="false">Sens!$I$10305/Sens!$I$10286</f>
        <v>0.0262538382516004</v>
      </c>
      <c r="J10315" s="13" t="n">
        <f aca="false">Sens!$J$10305/Sens!$J$10286</f>
        <v>0.0223919127771892</v>
      </c>
      <c r="K10315" s="13" t="n">
        <f aca="false">Sens!$K$10305/Sens!$K$10286</f>
        <v>0.0182779362377724</v>
      </c>
      <c r="L10315" s="13" t="n">
        <f aca="false">Sens!$L$10305/Sens!$L$10286</f>
        <v>0.0180561525384001</v>
      </c>
      <c r="M10315" s="13" t="n">
        <f aca="false">Sens!$M$10305/Sens!$M$10286</f>
        <v>0.0205793968083372</v>
      </c>
      <c r="N10315" s="13" t="n">
        <f aca="false">Sens!$N$10305/Sens!$N$10286</f>
        <v>0.0357315650169337</v>
      </c>
      <c r="O10315" s="13" t="n">
        <f aca="false">Sens!$O$10305/Sens!$O$10286</f>
        <v>0.0244378956559703</v>
      </c>
    </row>
    <row r="10316" customFormat="false" ht="17.15" hidden="false" customHeight="false" outlineLevel="0" collapsed="false">
      <c r="A10316" s="14" t="s">
        <v>734</v>
      </c>
      <c r="B10316" s="14" t="s">
        <v>52</v>
      </c>
      <c r="C10316" s="17" t="n">
        <f aca="false">Sens!$C$10308/Sens!$C$10287</f>
        <v>0.370355907620217</v>
      </c>
      <c r="D10316" s="17" t="n">
        <f aca="false">Sens!$D$10308/Sens!$D$10287</f>
        <v>0.35429015342785</v>
      </c>
      <c r="E10316" s="17" t="n">
        <f aca="false">Sens!$E$10308/Sens!$E$10287</f>
        <v>0.385647527531039</v>
      </c>
      <c r="F10316" s="17" t="n">
        <f aca="false">Sens!$F$10308/Sens!$F$10287</f>
        <v>0.404139422468289</v>
      </c>
      <c r="G10316" s="17" t="n">
        <f aca="false">Sens!$G$10308/Sens!$G$10287</f>
        <v>0.395424177627376</v>
      </c>
      <c r="H10316" s="17" t="n">
        <f aca="false">Sens!$H$10308/Sens!$H$10287</f>
        <v>0.418014158086325</v>
      </c>
      <c r="I10316" s="17" t="n">
        <f aca="false">Sens!$I$10308/Sens!$I$10287</f>
        <v>0.435607682396552</v>
      </c>
      <c r="J10316" s="17" t="n">
        <f aca="false">Sens!$J$10308/Sens!$J$10287</f>
        <v>0.444542209935059</v>
      </c>
      <c r="K10316" s="17" t="n">
        <f aca="false">Sens!$K$10308/Sens!$K$10287</f>
        <v>0.441182408892786</v>
      </c>
      <c r="L10316" s="17" t="n">
        <f aca="false">Sens!$L$10308/Sens!$L$10287</f>
        <v>0.439121570409048</v>
      </c>
      <c r="M10316" s="17" t="n">
        <f aca="false">Sens!$M$10308/Sens!$M$10287</f>
        <v>0.433902108003259</v>
      </c>
      <c r="N10316" s="17" t="n">
        <f aca="false">Sens!$N$10308/Sens!$N$10287</f>
        <v>0.360941137346192</v>
      </c>
      <c r="O10316" s="17" t="n">
        <f aca="false">Sens!$O$10308/Sens!$O$10287</f>
        <v>0.348458117664212</v>
      </c>
    </row>
    <row r="10317" customFormat="false" ht="17.15" hidden="false" customHeight="false" outlineLevel="0" collapsed="false">
      <c r="A10317" s="0" t="s">
        <v>735</v>
      </c>
      <c r="B10317" s="0" t="s">
        <v>52</v>
      </c>
      <c r="C10317" s="13" t="n">
        <f aca="false">Sens!$C$10306/Sens!$C$10288</f>
        <v>0.708390794789371</v>
      </c>
      <c r="D10317" s="13" t="n">
        <f aca="false">Sens!$D$10306/Sens!$D$10288</f>
        <v>0.445565630441968</v>
      </c>
      <c r="E10317" s="13" t="n">
        <f aca="false">Sens!$E$10306/Sens!$E$10288</f>
        <v>0.165998118402711</v>
      </c>
      <c r="F10317" s="13" t="n">
        <f aca="false">Sens!$F$10306/Sens!$F$10288</f>
        <v>0.522597540603814</v>
      </c>
      <c r="G10317" s="13" t="n">
        <f aca="false">Sens!$G$10306/Sens!$G$10288</f>
        <v>0.407122915702863</v>
      </c>
      <c r="H10317" s="13" t="n">
        <f aca="false">Sens!$H$10306/Sens!$H$10288</f>
        <v>0.501747428859124</v>
      </c>
      <c r="I10317" s="13" t="n">
        <f aca="false">Sens!$I$10306/Sens!$I$10288</f>
        <v>0.509009675067759</v>
      </c>
      <c r="J10317" s="13" t="n">
        <f aca="false">Sens!$J$10306/Sens!$J$10288</f>
        <v>0.508529537133494</v>
      </c>
      <c r="K10317" s="13" t="n">
        <f aca="false">Sens!$K$10306/Sens!$K$10288</f>
        <v>0.493344560605018</v>
      </c>
      <c r="L10317" s="13" t="n">
        <f aca="false">Sens!$L$10306/Sens!$L$10288</f>
        <v>0.487173190851565</v>
      </c>
      <c r="M10317" s="13" t="n">
        <f aca="false">Sens!$M$10306/Sens!$M$10288</f>
        <v>0.479012314127067</v>
      </c>
      <c r="N10317" s="13" t="n">
        <f aca="false">Sens!$N$10306/Sens!$N$10288</f>
        <v>0.302870734830849</v>
      </c>
      <c r="O10317" s="13" t="n">
        <f aca="false">Sens!$O$10306/Sens!$O$10288</f>
        <v>0.52240134346334</v>
      </c>
    </row>
    <row r="10318" customFormat="false" ht="15" hidden="false" customHeight="false" outlineLevel="0" collapsed="false">
      <c r="A10318" s="5" t="s">
        <v>736</v>
      </c>
      <c r="B10318" s="0" t="s">
        <v>52</v>
      </c>
      <c r="C10318" s="13" t="n">
        <f aca="false">Sens!$C$10310/Sens!$C$10290</f>
        <v>0.107519448742004</v>
      </c>
      <c r="D10318" s="13" t="n">
        <f aca="false">Sens!$D$10310/Sens!$D$10290</f>
        <v>0.111552967957552</v>
      </c>
      <c r="E10318" s="13" t="n">
        <f aca="false">Sens!$E$10310/Sens!$E$10290</f>
        <v>0.13428328426562</v>
      </c>
      <c r="F10318" s="13" t="n">
        <f aca="false">Sens!$F$10310/Sens!$F$10290</f>
        <v>0.135069173628456</v>
      </c>
      <c r="G10318" s="13" t="n">
        <f aca="false">Sens!$G$10310/Sens!$G$10290</f>
        <v>0.134702006763411</v>
      </c>
      <c r="H10318" s="13" t="n">
        <f aca="false">Sens!$H$10310/Sens!$H$10290</f>
        <v>0.154837768423604</v>
      </c>
      <c r="I10318" s="13" t="n">
        <f aca="false">Sens!$I$10310/Sens!$I$10290</f>
        <v>0.172534669154588</v>
      </c>
      <c r="J10318" s="13" t="n">
        <f aca="false">Sens!$J$10310/Sens!$J$10290</f>
        <v>0.185656277210488</v>
      </c>
      <c r="K10318" s="13" t="n">
        <f aca="false">Sens!$K$10310/Sens!$K$10290</f>
        <v>0.191242980139018</v>
      </c>
      <c r="L10318" s="13" t="n">
        <f aca="false">Sens!$L$10310/Sens!$L$10290</f>
        <v>0.19392562519522</v>
      </c>
      <c r="M10318" s="13" t="n">
        <f aca="false">Sens!$M$10310/Sens!$M$10290</f>
        <v>0.193642199396236</v>
      </c>
      <c r="N10318" s="13" t="n">
        <f aca="false">Sens!$N$10310/Sens!$N$10290</f>
        <v>0.116201614873411</v>
      </c>
      <c r="O10318" s="13" t="n">
        <f aca="false">Sens!$O$10310/Sens!$O$10290</f>
        <v>0.107733353660861</v>
      </c>
    </row>
    <row r="10319" customFormat="false" ht="17.15" hidden="false" customHeight="false" outlineLevel="0" collapsed="false">
      <c r="A10319" s="1" t="s">
        <v>737</v>
      </c>
    </row>
    <row r="10320" customFormat="false" ht="17.15" hidden="false" customHeight="false" outlineLevel="0" collapsed="false">
      <c r="A10320" s="5" t="s">
        <v>738</v>
      </c>
      <c r="B10320" s="0" t="s">
        <v>52</v>
      </c>
      <c r="D10320" s="28" t="n">
        <f aca="false">(Q!$E$29+Q!$E$30-(1-ext_sh)*Sens!$D$10242)/Sens!$D$10198</f>
        <v>0.0334674312393194</v>
      </c>
    </row>
    <row r="10321" customFormat="false" ht="17.15" hidden="false" customHeight="false" outlineLevel="0" collapsed="false">
      <c r="A10321" s="0" t="s">
        <v>535</v>
      </c>
      <c r="B10321" s="0" t="s">
        <v>86</v>
      </c>
      <c r="C10321" s="38" t="n">
        <f aca="false">Q!$D$29</f>
        <v>14.285</v>
      </c>
      <c r="D10321" s="38" t="n">
        <f aca="false">Q!$E$29</f>
        <v>15.503</v>
      </c>
      <c r="E10321" s="38" t="n">
        <f aca="false">Q!$P$29</f>
        <v>8.78</v>
      </c>
      <c r="F10321" s="38" t="n">
        <f aca="false">(Sens!$D$10320*Sens!$F$10198+(1-ext_sh)*Sens!$F$10242)*Sens!$F$10199</f>
        <v>9.25658776231559</v>
      </c>
      <c r="G10321" s="38" t="n">
        <f aca="false">Sens!$E$10321+Sens!$F$10321</f>
        <v>18.0365877623156</v>
      </c>
      <c r="H10321" s="38" t="n">
        <f aca="false">(Sens!$D$10320*Sens!$H$10198+(1-ext_sh)*Sens!$H$10242)*Sens!$H$10199</f>
        <v>22.5312411526882</v>
      </c>
      <c r="I10321" s="38" t="n">
        <f aca="false">(Sens!$D$10320*Sens!$I$10198+(1-ext_sh)*Sens!$I$10242)*Sens!$I$10199</f>
        <v>28.2740154526086</v>
      </c>
      <c r="J10321" s="38" t="n">
        <f aca="false">(Sens!$D$10320*Sens!$J$10198+(1-ext_sh)*Sens!$J$10242)*Sens!$J$10199</f>
        <v>34.0502484989271</v>
      </c>
      <c r="K10321" s="38" t="n">
        <f aca="false">(Sens!$D$10320*Sens!$K$10198+(1-ext_sh)*Sens!$K$10242)*Sens!$K$10199</f>
        <v>39.7452347012799</v>
      </c>
      <c r="L10321" s="38" t="n">
        <f aca="false">(Sens!$D$10320*Sens!$L$10198+(1-ext_sh)*Sens!$L$10242)*Sens!$L$10199</f>
        <v>43.9908119015754</v>
      </c>
      <c r="M10321" s="38" t="n">
        <f aca="false">(Sens!$D$10320*Sens!$M$10198+(1-ext_sh)*Sens!$M$10242)*Sens!$M$10199</f>
        <v>47.189905970531</v>
      </c>
      <c r="N10321" s="38" t="n">
        <f aca="false">Q!$N$29</f>
        <v>7.272</v>
      </c>
      <c r="O10321" s="38" t="n">
        <f aca="false">Q!$O$29</f>
        <v>8.231</v>
      </c>
    </row>
    <row r="10322" customFormat="false" ht="17.15" hidden="false" customHeight="false" outlineLevel="0" collapsed="false">
      <c r="A10322" s="0" t="s">
        <v>537</v>
      </c>
      <c r="B10322" s="0" t="s">
        <v>86</v>
      </c>
      <c r="C10322" s="38" t="n">
        <f aca="false">Q!$D$30</f>
        <v>4.462</v>
      </c>
      <c r="D10322" s="38" t="n">
        <f aca="false">Q!$E$30</f>
        <v>4.907</v>
      </c>
      <c r="E10322" s="38" t="n">
        <f aca="false">Q!$P$30</f>
        <v>2.57</v>
      </c>
      <c r="F10322" s="38" t="n">
        <f aca="false">(Sens!$D$10320*Sens!$F$10198+(1-ext_sh)*Sens!$F$10242)*(1-Sens!$F$10199)</f>
        <v>3.63440570294988</v>
      </c>
      <c r="G10322" s="38" t="n">
        <f aca="false">Sens!$E$10322+Sens!$F$10322</f>
        <v>6.20440570294988</v>
      </c>
      <c r="H10322" s="38" t="n">
        <f aca="false">(Sens!$D$10320*Sens!$H$10198+(1-ext_sh)*Sens!$H$10242)*(1-Sens!$H$10199)</f>
        <v>8.62934356391273</v>
      </c>
      <c r="I10322" s="38" t="n">
        <f aca="false">(Sens!$D$10320*Sens!$I$10198+(1-ext_sh)*Sens!$I$10242)*(1-Sens!$I$10199)</f>
        <v>10.828795076956</v>
      </c>
      <c r="J10322" s="38" t="n">
        <f aca="false">(Sens!$D$10320*Sens!$J$10198+(1-ext_sh)*Sens!$J$10242)*(1-Sens!$J$10199)</f>
        <v>13.041061109001</v>
      </c>
      <c r="K10322" s="38" t="n">
        <f aca="false">(Sens!$D$10320*Sens!$K$10198+(1-ext_sh)*Sens!$K$10242)*(1-Sens!$K$10199)</f>
        <v>15.2222100390049</v>
      </c>
      <c r="L10322" s="38" t="n">
        <f aca="false">(Sens!$D$10320*Sens!$L$10198+(1-ext_sh)*Sens!$L$10242)*(1-Sens!$L$10199)</f>
        <v>16.8482431563192</v>
      </c>
      <c r="M10322" s="38" t="n">
        <f aca="false">(Sens!$D$10320*Sens!$M$10198+(1-ext_sh)*Sens!$M$10242)*(1-Sens!$M$10199)</f>
        <v>18.0734788913244</v>
      </c>
      <c r="N10322" s="38" t="n">
        <f aca="false">Q!$N$30</f>
        <v>2.316</v>
      </c>
      <c r="O10322" s="38" t="n">
        <f aca="false">Q!$O$30</f>
        <v>2.591</v>
      </c>
    </row>
    <row r="10323" customFormat="false" ht="17.15" hidden="false" customHeight="false" outlineLevel="0" collapsed="false">
      <c r="A10323" s="0" t="s">
        <v>538</v>
      </c>
      <c r="B10323" s="0" t="s">
        <v>86</v>
      </c>
      <c r="C10323" s="38" t="n">
        <f aca="false">Sens!$C$10254</f>
        <v>13.32</v>
      </c>
      <c r="D10323" s="38" t="n">
        <f aca="false">Sens!$D$10254</f>
        <v>21.45</v>
      </c>
      <c r="E10323" s="38" t="n">
        <f aca="false">Sens!$E$10254</f>
        <v>15.353</v>
      </c>
      <c r="F10323" s="38" t="n">
        <f aca="false">Sens!$F$10254</f>
        <v>16.3063747611001</v>
      </c>
      <c r="G10323" s="38" t="n">
        <f aca="false">Sens!$G$10254</f>
        <v>31.6593747611001</v>
      </c>
      <c r="H10323" s="38" t="n">
        <f aca="false">Sens!$H$10254</f>
        <v>53.414403839505</v>
      </c>
      <c r="I10323" s="38" t="n">
        <f aca="false">Sens!$I$10254</f>
        <v>78.939311629233</v>
      </c>
      <c r="J10323" s="38" t="n">
        <f aca="false">Sens!$J$10254</f>
        <v>105.180780544052</v>
      </c>
      <c r="K10323" s="38" t="n">
        <f aca="false">Sens!$K$10254</f>
        <v>131.766209791769</v>
      </c>
      <c r="L10323" s="38" t="n">
        <f aca="false">Sens!$L$10254</f>
        <v>150.014240643077</v>
      </c>
      <c r="M10323" s="38" t="n">
        <f aca="false">Sens!$M$10254</f>
        <v>162.130751436802</v>
      </c>
      <c r="N10323" s="38" t="n">
        <f aca="false">Sens!$N$10254</f>
        <v>9.234</v>
      </c>
      <c r="O10323" s="38" t="n">
        <f aca="false">Sens!$O$10254</f>
        <v>12.216</v>
      </c>
    </row>
    <row r="10324" customFormat="false" ht="17.15" hidden="false" customHeight="false" outlineLevel="0" collapsed="false">
      <c r="A10324" s="5" t="s">
        <v>739</v>
      </c>
      <c r="B10324" s="0" t="s">
        <v>86</v>
      </c>
      <c r="C10324" s="38" t="n">
        <f aca="false">Sens!$C$10321+Sens!$C$10322+Sens!$C$10323</f>
        <v>32.067</v>
      </c>
      <c r="D10324" s="38" t="n">
        <f aca="false">Sens!$D$10321+Sens!$D$10322+Sens!$D$10323</f>
        <v>41.86</v>
      </c>
      <c r="E10324" s="38" t="n">
        <f aca="false">Sens!$E$10321+Sens!$E$10322+Sens!$E$10323</f>
        <v>26.703</v>
      </c>
      <c r="F10324" s="38" t="n">
        <f aca="false">Sens!$F$10321+Sens!$F$10322+Sens!$F$10323</f>
        <v>29.1973682263655</v>
      </c>
      <c r="G10324" s="38" t="n">
        <f aca="false">Sens!$G$10321+Sens!$G$10322+Sens!$G$10323</f>
        <v>55.9003682263655</v>
      </c>
      <c r="H10324" s="38" t="n">
        <f aca="false">Sens!$H$10321+Sens!$H$10322+Sens!$H$10323</f>
        <v>84.5749885561059</v>
      </c>
      <c r="I10324" s="38" t="n">
        <f aca="false">Sens!$I$10321+Sens!$I$10322+Sens!$I$10323</f>
        <v>118.042122158798</v>
      </c>
      <c r="J10324" s="38" t="n">
        <f aca="false">Sens!$J$10321+Sens!$J$10322+Sens!$J$10323</f>
        <v>152.27209015198</v>
      </c>
      <c r="K10324" s="38" t="n">
        <f aca="false">Sens!$K$10321+Sens!$K$10322+Sens!$K$10323</f>
        <v>186.733654532054</v>
      </c>
      <c r="L10324" s="38" t="n">
        <f aca="false">Sens!$L$10321+Sens!$L$10322+Sens!$L$10323</f>
        <v>210.853295700971</v>
      </c>
      <c r="M10324" s="38" t="n">
        <f aca="false">Sens!$M$10321+Sens!$M$10322+Sens!$M$10323</f>
        <v>227.394136298658</v>
      </c>
      <c r="N10324" s="38" t="n">
        <f aca="false">Sens!$N$10321+Sens!$N$10322+Sens!$N$10323</f>
        <v>18.822</v>
      </c>
      <c r="O10324" s="38" t="n">
        <f aca="false">Sens!$O$10321+Sens!$O$10322+Sens!$O$10323</f>
        <v>23.038</v>
      </c>
    </row>
    <row r="10325" customFormat="false" ht="17.15" hidden="false" customHeight="false" outlineLevel="0" collapsed="false">
      <c r="A10325" s="0" t="s">
        <v>740</v>
      </c>
      <c r="B10325" s="0" t="s">
        <v>86</v>
      </c>
      <c r="C10325" s="38" t="n">
        <f aca="false">Sens!$C$10296+Sens!$C$10301</f>
        <v>28.107</v>
      </c>
      <c r="D10325" s="38" t="n">
        <f aca="false">Sens!$D$10296+Sens!$D$10301</f>
        <v>34.3175</v>
      </c>
      <c r="E10325" s="38" t="n">
        <f aca="false">Sens!$E$10296+Sens!$E$10301</f>
        <v>18.526</v>
      </c>
      <c r="F10325" s="38" t="n">
        <f aca="false">Sens!$F$10296+Sens!$F$10301</f>
        <v>22.8930026902731</v>
      </c>
      <c r="G10325" s="38" t="n">
        <f aca="false">Sens!$G$10296+Sens!$G$10301</f>
        <v>41.4190026902731</v>
      </c>
      <c r="H10325" s="38" t="n">
        <f aca="false">Sens!$H$10296+Sens!$H$10301</f>
        <v>49.7256289382451</v>
      </c>
      <c r="I10325" s="38" t="n">
        <f aca="false">Sens!$I$10296+Sens!$I$10301</f>
        <v>58.0315027152746</v>
      </c>
      <c r="J10325" s="38" t="n">
        <f aca="false">Sens!$J$10296+Sens!$J$10301</f>
        <v>65.7796966564336</v>
      </c>
      <c r="K10325" s="38" t="n">
        <f aca="false">Sens!$K$10296+Sens!$K$10301</f>
        <v>72.357666322077</v>
      </c>
      <c r="L10325" s="38" t="n">
        <f aca="false">Sens!$L$10296+Sens!$L$10301</f>
        <v>79.5934329542847</v>
      </c>
      <c r="M10325" s="38" t="n">
        <f aca="false">Sens!$M$10296+Sens!$M$10301</f>
        <v>87.5527762497131</v>
      </c>
      <c r="N10325" s="38" t="n">
        <f aca="false">Sens!$N$10296+Sens!$N$10301</f>
        <v>14.8075</v>
      </c>
      <c r="O10325" s="38" t="n">
        <f aca="false">Sens!$O$10296+Sens!$O$10301</f>
        <v>19.51</v>
      </c>
    </row>
    <row r="10326" customFormat="false" ht="17.15" hidden="false" customHeight="false" outlineLevel="0" collapsed="false">
      <c r="A10326" s="0" t="s">
        <v>741</v>
      </c>
      <c r="B10326" s="0" t="s">
        <v>86</v>
      </c>
      <c r="C10326" s="38" t="n">
        <f aca="false">Sens!$C$10300+Sens!$C$10305+Sens!$C$10321+Sens!$C$10322-Sens!$C$10325</f>
        <v>19.399</v>
      </c>
      <c r="D10326" s="38" t="n">
        <f aca="false">Sens!$D$10300+Sens!$D$10305+Sens!$D$10321+Sens!$D$10322-Sens!$D$10325</f>
        <v>20.4615</v>
      </c>
      <c r="E10326" s="38" t="n">
        <f aca="false">Sens!$E$10300+Sens!$E$10305+Sens!$E$10321+Sens!$E$10322-Sens!$E$10325</f>
        <v>13.355</v>
      </c>
      <c r="F10326" s="38" t="n">
        <f aca="false">Sens!$F$10300+Sens!$F$10305+Sens!$F$10321+Sens!$F$10322-Sens!$F$10325</f>
        <v>12.6719503884262</v>
      </c>
      <c r="G10326" s="38" t="n">
        <f aca="false">Sens!$G$10300+Sens!$G$10305+Sens!$G$10321+Sens!$G$10322-Sens!$G$10325</f>
        <v>26.0269503884262</v>
      </c>
      <c r="H10326" s="38" t="n">
        <f aca="false">Sens!$H$10300+Sens!$H$10305+Sens!$H$10321+Sens!$H$10322-Sens!$H$10325</f>
        <v>28.3649705866172</v>
      </c>
      <c r="I10326" s="38" t="n">
        <f aca="false">Sens!$I$10300+Sens!$I$10305+Sens!$I$10321+Sens!$I$10322-Sens!$I$10325</f>
        <v>30.5487761327097</v>
      </c>
      <c r="J10326" s="38" t="n">
        <f aca="false">Sens!$J$10300+Sens!$J$10305+Sens!$J$10321+Sens!$J$10322-Sens!$J$10325</f>
        <v>32.7246055732872</v>
      </c>
      <c r="K10326" s="38" t="n">
        <f aca="false">Sens!$K$10300+Sens!$K$10305+Sens!$K$10321+Sens!$K$10322-Sens!$K$10325</f>
        <v>35.0701864679385</v>
      </c>
      <c r="L10326" s="38" t="n">
        <f aca="false">Sens!$L$10300+Sens!$L$10305+Sens!$L$10321+Sens!$L$10322-Sens!$L$10325</f>
        <v>36.6632897624358</v>
      </c>
      <c r="M10326" s="38" t="n">
        <f aca="false">Sens!$M$10300+Sens!$M$10305+Sens!$M$10321+Sens!$M$10322-Sens!$M$10325</f>
        <v>39.0700232369771</v>
      </c>
      <c r="N10326" s="38" t="n">
        <f aca="false">Sens!$N$10300+Sens!$N$10305+Sens!$N$10321+Sens!$N$10322-Sens!$N$10325</f>
        <v>10.6495</v>
      </c>
      <c r="O10326" s="38" t="n">
        <f aca="false">Sens!$O$10300+Sens!$O$10305+Sens!$O$10321+Sens!$O$10322-Sens!$O$10325</f>
        <v>9.81200000000001</v>
      </c>
    </row>
    <row r="10327" customFormat="false" ht="17.15" hidden="false" customHeight="false" outlineLevel="0" collapsed="false">
      <c r="A10327" s="0" t="s">
        <v>742</v>
      </c>
      <c r="B10327" s="0" t="s">
        <v>86</v>
      </c>
      <c r="C10327" s="38" t="n">
        <f aca="false">Sens!$C$10307+Sens!$C$10323-ext_sh*Sens!$C$10242</f>
        <v>51.3470500115664</v>
      </c>
      <c r="D10327" s="38" t="n">
        <f aca="false">Sens!$D$10307+Sens!$D$10323-ext_sh*Sens!$D$10242</f>
        <v>60.2799375433739</v>
      </c>
      <c r="E10327" s="38" t="n">
        <f aca="false">Sens!$E$10307+Sens!$E$10323-ext_sh*Sens!$E$10242</f>
        <v>39.5095167090767</v>
      </c>
      <c r="F10327" s="38" t="n">
        <f aca="false">Sens!$F$10307+Sens!$F$10323-ext_sh*Sens!$F$10242</f>
        <v>37.993321722478</v>
      </c>
      <c r="G10327" s="38" t="n">
        <f aca="false">Sens!$G$10307+Sens!$G$10323-ext_sh*Sens!$G$10242</f>
        <v>77.5028384315548</v>
      </c>
      <c r="H10327" s="38" t="n">
        <f aca="false">Sens!$H$10307+Sens!$H$10323-ext_sh*Sens!$H$10242</f>
        <v>85.2394217279746</v>
      </c>
      <c r="I10327" s="38" t="n">
        <f aca="false">Sens!$I$10307+Sens!$I$10323-ext_sh*Sens!$I$10242</f>
        <v>94.6373589713254</v>
      </c>
      <c r="J10327" s="38" t="n">
        <f aca="false">Sens!$J$10307+Sens!$J$10323-ext_sh*Sens!$J$10242</f>
        <v>103.639899284146</v>
      </c>
      <c r="K10327" s="38" t="n">
        <f aca="false">Sens!$K$10307+Sens!$K$10323-ext_sh*Sens!$K$10242</f>
        <v>111.931091226878</v>
      </c>
      <c r="L10327" s="38" t="n">
        <f aca="false">Sens!$L$10307+Sens!$L$10323-ext_sh*Sens!$L$10242</f>
        <v>120.885578525028</v>
      </c>
      <c r="M10327" s="38" t="n">
        <f aca="false">Sens!$M$10307+Sens!$M$10323-ext_sh*Sens!$M$10242</f>
        <v>130.55642480703</v>
      </c>
      <c r="N10327" s="38" t="n">
        <f aca="false">Sens!$N$10307+Sens!$N$10323-ext_sh*Sens!$N$10242</f>
        <v>28.5693781401809</v>
      </c>
      <c r="O10327" s="38" t="n">
        <f aca="false">Sens!$O$10307+Sens!$O$10323-ext_sh*Sens!$O$10242</f>
        <v>31.7105594031931</v>
      </c>
    </row>
    <row r="10328" customFormat="false" ht="17.15" hidden="false" customHeight="false" outlineLevel="0" collapsed="false">
      <c r="A10328" s="0" t="s">
        <v>743</v>
      </c>
      <c r="B10328" s="0" t="s">
        <v>86</v>
      </c>
      <c r="C10328" s="38" t="n">
        <f aca="false">Sens!$C$10245</f>
        <v>1.80694998843362</v>
      </c>
      <c r="D10328" s="38" t="n">
        <f aca="false">Sens!$D$10245</f>
        <v>6.77606245662607</v>
      </c>
      <c r="E10328" s="38" t="n">
        <f aca="false">Sens!$E$10245</f>
        <v>6.62548329092326</v>
      </c>
      <c r="F10328" s="38" t="n">
        <f aca="false">Sens!$F$10245</f>
        <v>14.4996696128551</v>
      </c>
      <c r="G10328" s="38" t="n">
        <f aca="false">Sens!$G$10245</f>
        <v>21.1251529037784</v>
      </c>
      <c r="H10328" s="38" t="n">
        <f aca="false">Sens!$H$10245</f>
        <v>70.2126356677435</v>
      </c>
      <c r="I10328" s="38" t="n">
        <f aca="false">Sens!$I$10245</f>
        <v>126.678603645079</v>
      </c>
      <c r="J10328" s="38" t="n">
        <f aca="false">Sens!$J$10245</f>
        <v>183.417938128511</v>
      </c>
      <c r="K10328" s="38" t="n">
        <f aca="false">Sens!$K$10245</f>
        <v>231.815746632017</v>
      </c>
      <c r="L10328" s="38" t="n">
        <f aca="false">Sens!$L$10245</f>
        <v>263.612756777848</v>
      </c>
      <c r="M10328" s="38" t="n">
        <f aca="false">Sens!$M$10245</f>
        <v>278.764488450164</v>
      </c>
      <c r="N10328" s="38" t="n">
        <f aca="false">Sens!$N$10245</f>
        <v>2.37162185981912</v>
      </c>
      <c r="O10328" s="38" t="n">
        <f aca="false">Sens!$O$10245</f>
        <v>4.40444059680694</v>
      </c>
    </row>
    <row r="10329" customFormat="false" ht="17.15" hidden="false" customHeight="false" outlineLevel="0" collapsed="false">
      <c r="A10329" s="0" t="s">
        <v>744</v>
      </c>
      <c r="B10329" s="0" t="s">
        <v>86</v>
      </c>
      <c r="C10329" s="38" t="n">
        <f aca="false">Sens!$C$10310+Sens!$C$10324</f>
        <v>100.66</v>
      </c>
      <c r="D10329" s="38" t="n">
        <f aca="false">Sens!$D$10310+Sens!$D$10324</f>
        <v>121.835</v>
      </c>
      <c r="E10329" s="38" t="n">
        <f aca="false">Sens!$E$10310+Sens!$E$10324</f>
        <v>78.016</v>
      </c>
      <c r="F10329" s="38" t="n">
        <f aca="false">Sens!$F$10310+Sens!$F$10324</f>
        <v>88.0579444140324</v>
      </c>
      <c r="G10329" s="38" t="n">
        <f aca="false">Sens!$G$10310+Sens!$G$10324</f>
        <v>166.073944414032</v>
      </c>
      <c r="H10329" s="38" t="n">
        <f aca="false">Sens!$H$10310+Sens!$H$10324</f>
        <v>233.54265692058</v>
      </c>
      <c r="I10329" s="38" t="n">
        <f aca="false">Sens!$I$10310+Sens!$I$10324</f>
        <v>309.896241464388</v>
      </c>
      <c r="J10329" s="38" t="n">
        <f aca="false">Sens!$J$10310+Sens!$J$10324</f>
        <v>385.562139642378</v>
      </c>
      <c r="K10329" s="38" t="n">
        <f aca="false">Sens!$K$10310+Sens!$K$10324</f>
        <v>451.174690648911</v>
      </c>
      <c r="L10329" s="38" t="n">
        <f aca="false">Sens!$L$10310+Sens!$L$10324</f>
        <v>500.755058019596</v>
      </c>
      <c r="M10329" s="38" t="n">
        <f aca="false">Sens!$M$10310+Sens!$M$10324</f>
        <v>535.943712743885</v>
      </c>
      <c r="N10329" s="38" t="n">
        <f aca="false">Sens!$N$10310+Sens!$N$10324</f>
        <v>56.398</v>
      </c>
      <c r="O10329" s="38" t="n">
        <f aca="false">Sens!$O$10310+Sens!$O$10324</f>
        <v>65.437</v>
      </c>
    </row>
    <row r="10330" customFormat="false" ht="17.15" hidden="false" customHeight="false" outlineLevel="0" collapsed="false">
      <c r="A10330" s="1" t="s">
        <v>745</v>
      </c>
    </row>
    <row r="10331" customFormat="false" ht="15" hidden="false" customHeight="false" outlineLevel="0" collapsed="false">
      <c r="A10331" s="5" t="s">
        <v>541</v>
      </c>
      <c r="B10331" s="0" t="s">
        <v>86</v>
      </c>
      <c r="C10331" s="38" t="n">
        <f aca="false">Q!$D$34</f>
        <v>2.406</v>
      </c>
      <c r="D10331" s="38" t="n">
        <f aca="false">Q!$E$34</f>
        <v>2.274</v>
      </c>
      <c r="E10331" s="38" t="n">
        <f aca="false">Q!$P$34</f>
        <v>2.114</v>
      </c>
      <c r="F10331" s="38" t="n">
        <f aca="false">Sens!$F$10369</f>
        <v>3.24888962733561</v>
      </c>
      <c r="G10331" s="38" t="n">
        <f aca="false">Sens!$E$10331+Sens!$F$10331</f>
        <v>5.36288962733561</v>
      </c>
      <c r="H10331" s="38" t="n">
        <f aca="false">Sens!$H$10369</f>
        <v>7.42354172302123</v>
      </c>
      <c r="I10331" s="38" t="n">
        <f aca="false">Sens!$I$10369</f>
        <v>7.43506342723161</v>
      </c>
      <c r="J10331" s="38" t="n">
        <f aca="false">Sens!$J$10369</f>
        <v>7.43506342723161</v>
      </c>
      <c r="K10331" s="38" t="n">
        <f aca="false">Sens!$K$10369</f>
        <v>7.43506342723161</v>
      </c>
      <c r="L10331" s="38" t="n">
        <f aca="false">Sens!$L$10369</f>
        <v>7.43506342723161</v>
      </c>
      <c r="M10331" s="38" t="n">
        <f aca="false">Sens!$M$10369</f>
        <v>7.43506342723161</v>
      </c>
      <c r="N10331" s="38" t="n">
        <f aca="false">Q!$N$34</f>
        <v>1.057</v>
      </c>
      <c r="O10331" s="38" t="n">
        <f aca="false">Q!$O$34</f>
        <v>1.217</v>
      </c>
    </row>
    <row r="10332" customFormat="false" ht="15" hidden="false" customHeight="false" outlineLevel="0" collapsed="false">
      <c r="A10332" s="5" t="s">
        <v>746</v>
      </c>
      <c r="B10332" s="0" t="s">
        <v>86</v>
      </c>
      <c r="F10332" s="38" t="n">
        <f aca="false">Sens!$F$10370</f>
        <v>2.59</v>
      </c>
      <c r="H10332" s="38" t="n">
        <f aca="false">Sens!$H$10370</f>
        <v>3.78378436601427</v>
      </c>
      <c r="I10332" s="38" t="n">
        <f aca="false">Sens!$I$10370</f>
        <v>2.10589651022864</v>
      </c>
      <c r="J10332" s="38" t="n">
        <f aca="false">Sens!$J$10370</f>
        <v>2.91728374234674</v>
      </c>
      <c r="K10332" s="38" t="n">
        <f aca="false">Sens!$K$10370</f>
        <v>6.34665286708335</v>
      </c>
      <c r="L10332" s="38" t="n">
        <f aca="false">Sens!$L$10370</f>
        <v>14.7301359858921</v>
      </c>
      <c r="M10332" s="38" t="n">
        <f aca="false">Sens!$M$10370</f>
        <v>26.2412964203645</v>
      </c>
    </row>
    <row r="10333" customFormat="false" ht="17.15" hidden="false" customHeight="false" outlineLevel="0" collapsed="false">
      <c r="A10333" s="5" t="s">
        <v>747</v>
      </c>
      <c r="B10333" s="0" t="s">
        <v>86</v>
      </c>
      <c r="C10333" s="38" t="n">
        <f aca="false">Q!$D$39</f>
        <v>2.427</v>
      </c>
      <c r="D10333" s="38" t="n">
        <f aca="false">Q!$E$39</f>
        <v>19.61</v>
      </c>
      <c r="E10333" s="38" t="n">
        <f aca="false">Q!$P$39</f>
        <v>71.492</v>
      </c>
      <c r="F10333" s="39" t="n">
        <v>0</v>
      </c>
      <c r="G10333" s="38" t="n">
        <f aca="false">Sens!$E$10333+Sens!$F$10333</f>
        <v>71.492</v>
      </c>
      <c r="H10333" s="39" t="n">
        <v>0</v>
      </c>
      <c r="I10333" s="39" t="n">
        <v>0</v>
      </c>
      <c r="J10333" s="39" t="n">
        <v>0</v>
      </c>
      <c r="K10333" s="39" t="n">
        <v>0</v>
      </c>
      <c r="L10333" s="39" t="n">
        <v>0</v>
      </c>
      <c r="M10333" s="39" t="n">
        <v>0</v>
      </c>
      <c r="N10333" s="38" t="n">
        <f aca="false">Q!$N$39</f>
        <v>6.017</v>
      </c>
      <c r="O10333" s="38" t="n">
        <f aca="false">Q!$O$39</f>
        <v>13.593</v>
      </c>
      <c r="P10333" s="5" t="s">
        <v>748</v>
      </c>
    </row>
    <row r="10334" customFormat="false" ht="15" hidden="false" customHeight="false" outlineLevel="0" collapsed="false">
      <c r="A10334" s="5" t="s">
        <v>544</v>
      </c>
      <c r="B10334" s="0" t="s">
        <v>86</v>
      </c>
      <c r="C10334" s="38" t="n">
        <f aca="false">Q!$D$36</f>
        <v>68.614</v>
      </c>
      <c r="D10334" s="38" t="n">
        <f aca="false">Q!$E$36</f>
        <v>97.311</v>
      </c>
      <c r="E10334" s="38" t="n">
        <f aca="false">Q!$P$36</f>
        <v>120.691</v>
      </c>
      <c r="F10334" s="38" t="n">
        <f aca="false">Sens!$F$10310-Sens!$F$10331+Sens!$F$10332+Sens!$F$10333</f>
        <v>58.2016865603313</v>
      </c>
      <c r="G10334" s="38" t="n">
        <f aca="false">Sens!$E$10334+Sens!$F$10334</f>
        <v>178.892686560331</v>
      </c>
      <c r="H10334" s="38" t="n">
        <f aca="false">Sens!$H$10310-Sens!$H$10331+Sens!$H$10332+Sens!$H$10333</f>
        <v>145.327911007468</v>
      </c>
      <c r="I10334" s="38" t="n">
        <f aca="false">Sens!$I$10310-Sens!$I$10331+Sens!$I$10332+Sens!$I$10333</f>
        <v>186.524952388588</v>
      </c>
      <c r="J10334" s="38" t="n">
        <f aca="false">Sens!$J$10310-Sens!$J$10331+Sens!$J$10332+Sens!$J$10333</f>
        <v>228.772269805513</v>
      </c>
      <c r="K10334" s="38" t="n">
        <f aca="false">Sens!$K$10310-Sens!$K$10331+Sens!$K$10332+Sens!$K$10333</f>
        <v>263.352625556709</v>
      </c>
      <c r="L10334" s="38" t="n">
        <f aca="false">Sens!$L$10310-Sens!$L$10331+Sens!$L$10332+Sens!$L$10333</f>
        <v>297.196834877286</v>
      </c>
      <c r="M10334" s="38" t="n">
        <f aca="false">Sens!$M$10310-Sens!$M$10331+Sens!$M$10332+Sens!$M$10333</f>
        <v>327.35580943836</v>
      </c>
      <c r="N10334" s="38" t="n">
        <f aca="false">Q!$N$36</f>
        <v>42.536</v>
      </c>
      <c r="O10334" s="38" t="n">
        <f aca="false">Q!$O$36</f>
        <v>54.775</v>
      </c>
    </row>
    <row r="10335" customFormat="false" ht="15" hidden="false" customHeight="false" outlineLevel="0" collapsed="false">
      <c r="A10335" s="5" t="s">
        <v>545</v>
      </c>
      <c r="B10335" s="0" t="s">
        <v>86</v>
      </c>
      <c r="C10335" s="38" t="n">
        <f aca="false">Q!$D$37</f>
        <v>9.265</v>
      </c>
      <c r="D10335" s="38" t="n">
        <f aca="false">Q!$E$37</f>
        <v>19.087</v>
      </c>
      <c r="E10335" s="38" t="n">
        <f aca="false">Q!$P$37</f>
        <v>27.759</v>
      </c>
      <c r="F10335" s="38" t="n">
        <f aca="false">Sens!$F$10334*tax</f>
        <v>10.1029122101204</v>
      </c>
      <c r="G10335" s="38" t="n">
        <f aca="false">Sens!$E$10335+Sens!$F$10335</f>
        <v>37.8619122101204</v>
      </c>
      <c r="H10335" s="38" t="n">
        <f aca="false">Sens!$H$10334*tax</f>
        <v>25.2266766370538</v>
      </c>
      <c r="I10335" s="38" t="n">
        <f aca="false">Sens!$I$10334*tax</f>
        <v>32.3778455633824</v>
      </c>
      <c r="J10335" s="38" t="n">
        <f aca="false">Sens!$J$10334*tax</f>
        <v>39.7113261582077</v>
      </c>
      <c r="K10335" s="38" t="n">
        <f aca="false">Sens!$K$10334*tax</f>
        <v>45.7139408416655</v>
      </c>
      <c r="L10335" s="38" t="n">
        <f aca="false">Sens!$L$10334*tax</f>
        <v>51.5887718954408</v>
      </c>
      <c r="M10335" s="38" t="n">
        <f aca="false">Sens!$M$10334*tax</f>
        <v>56.8239032180005</v>
      </c>
      <c r="N10335" s="38" t="n">
        <f aca="false">Q!$N$37</f>
        <v>7.231</v>
      </c>
      <c r="O10335" s="38" t="n">
        <f aca="false">Q!$O$37</f>
        <v>11.856</v>
      </c>
    </row>
    <row r="10336" customFormat="false" ht="15" hidden="false" customHeight="false" outlineLevel="0" collapsed="false">
      <c r="A10336" s="3" t="s">
        <v>546</v>
      </c>
      <c r="B10336" s="8" t="s">
        <v>86</v>
      </c>
      <c r="C10336" s="38" t="n">
        <f aca="false">Q!$D$38</f>
        <v>59.248</v>
      </c>
      <c r="D10336" s="38" t="n">
        <f aca="false">Q!$E$38</f>
        <v>77.67</v>
      </c>
      <c r="E10336" s="38" t="n">
        <f aca="false">Q!$P$38</f>
        <v>92.902</v>
      </c>
      <c r="F10336" s="38" t="n">
        <f aca="false">Sens!$F$10334-Sens!$F$10335</f>
        <v>48.0987743502108</v>
      </c>
      <c r="G10336" s="38" t="n">
        <f aca="false">Sens!$E$10336+Sens!$F$10336</f>
        <v>141.000774350211</v>
      </c>
      <c r="H10336" s="38" t="n">
        <f aca="false">Sens!$H$10334-Sens!$H$10335</f>
        <v>120.101234370414</v>
      </c>
      <c r="I10336" s="38" t="n">
        <f aca="false">Sens!$I$10334-Sens!$I$10335</f>
        <v>154.147106825205</v>
      </c>
      <c r="J10336" s="38" t="n">
        <f aca="false">Sens!$J$10334-Sens!$J$10335</f>
        <v>189.060943647306</v>
      </c>
      <c r="K10336" s="38" t="n">
        <f aca="false">Sens!$K$10334-Sens!$K$10335</f>
        <v>217.638684715043</v>
      </c>
      <c r="L10336" s="38" t="n">
        <f aca="false">Sens!$L$10334-Sens!$L$10335</f>
        <v>245.608062981845</v>
      </c>
      <c r="M10336" s="38" t="n">
        <f aca="false">Sens!$M$10334-Sens!$M$10335</f>
        <v>270.53190622036</v>
      </c>
      <c r="N10336" s="38" t="n">
        <f aca="false">Q!$N$38</f>
        <v>35.291</v>
      </c>
      <c r="O10336" s="38" t="n">
        <f aca="false">Q!$O$38</f>
        <v>42.379</v>
      </c>
    </row>
    <row r="10337" customFormat="false" ht="17.15" hidden="false" customHeight="false" outlineLevel="0" collapsed="false">
      <c r="A10337" s="5" t="s">
        <v>549</v>
      </c>
      <c r="B10337" s="5" t="s">
        <v>33</v>
      </c>
      <c r="C10337" s="22" t="n">
        <f aca="false">Q!$D$41</f>
        <v>10.721</v>
      </c>
      <c r="D10337" s="22" t="n">
        <f aca="false">Q!$E$41</f>
        <v>10.827</v>
      </c>
      <c r="E10337" s="22" t="n">
        <f aca="false">(Q!$L$41+Q!$M$41)/2</f>
        <v>10.8885</v>
      </c>
      <c r="F10337" s="22" t="n">
        <f aca="false">Sens!$G$10337</f>
        <v>10.924806</v>
      </c>
      <c r="G10337" s="22" t="n">
        <f aca="false">Q!$M$41*(1+sh_g*0.25)</f>
        <v>10.924806</v>
      </c>
      <c r="H10337" s="22" t="n">
        <f aca="false">Sens!$G$10337*(1+sh_g)</f>
        <v>11.012204448</v>
      </c>
      <c r="I10337" s="22" t="n">
        <f aca="false">Sens!$H$10337*(1+sh_g)</f>
        <v>11.100302083584</v>
      </c>
      <c r="J10337" s="22" t="n">
        <f aca="false">Sens!$I$10337*(1+sh_g)</f>
        <v>11.1891045002527</v>
      </c>
      <c r="K10337" s="22" t="n">
        <f aca="false">Sens!$J$10337*(1+sh_g)</f>
        <v>11.2786173362547</v>
      </c>
      <c r="L10337" s="22" t="n">
        <f aca="false">Sens!$K$10337*(1+sh_g)</f>
        <v>11.3688462749447</v>
      </c>
      <c r="M10337" s="22" t="n">
        <f aca="false">Sens!$L$10337*(1+sh_g)</f>
        <v>11.4597970451443</v>
      </c>
      <c r="P10337" s="5" t="s">
        <v>749</v>
      </c>
    </row>
    <row r="10338" customFormat="false" ht="17.15" hidden="false" customHeight="false" outlineLevel="0" collapsed="false">
      <c r="A10338" s="5" t="s">
        <v>750</v>
      </c>
      <c r="B10338" s="0" t="s">
        <v>86</v>
      </c>
      <c r="C10338" s="38" t="n">
        <f aca="false">Sens!$C$10336+Sens!$C$10312*(1-tax)</f>
        <v>59.248</v>
      </c>
      <c r="D10338" s="38" t="n">
        <f aca="false">Sens!$D$10336+Sens!$D$10312*(1-tax)</f>
        <v>77.67</v>
      </c>
      <c r="E10338" s="38" t="n">
        <f aca="false">Sens!$E$10336+Sens!$E$10312*(1-tax)</f>
        <v>92.902</v>
      </c>
      <c r="F10338" s="38" t="n">
        <f aca="false">Sens!$F$10336+Sens!$F$10312*(1-tax)</f>
        <v>48.0987743502108</v>
      </c>
      <c r="G10338" s="38" t="n">
        <f aca="false">Sens!$G$10336+Sens!$G$10312*(1-tax)</f>
        <v>141.000774350211</v>
      </c>
      <c r="H10338" s="38" t="n">
        <f aca="false">Sens!$H$10336+Sens!$H$10312*(1-tax)</f>
        <v>120.101234370414</v>
      </c>
      <c r="I10338" s="38" t="n">
        <f aca="false">Sens!$I$10336+Sens!$I$10312*(1-tax)</f>
        <v>154.147106825205</v>
      </c>
      <c r="J10338" s="38" t="n">
        <f aca="false">Sens!$J$10336+Sens!$J$10312*(1-tax)</f>
        <v>189.060943647306</v>
      </c>
      <c r="K10338" s="38" t="n">
        <f aca="false">Sens!$K$10336+Sens!$K$10312*(1-tax)</f>
        <v>217.638684715043</v>
      </c>
      <c r="L10338" s="38" t="n">
        <f aca="false">Sens!$L$10336+Sens!$L$10312*(1-tax)</f>
        <v>245.608062981845</v>
      </c>
      <c r="M10338" s="38" t="n">
        <f aca="false">Sens!$M$10336+Sens!$M$10312*(1-tax)</f>
        <v>270.53190622036</v>
      </c>
      <c r="N10338" s="38" t="n">
        <f aca="false">Sens!$N$10336+Sens!$N$10312*(1-tax)</f>
        <v>35.291</v>
      </c>
      <c r="O10338" s="38" t="n">
        <f aca="false">Sens!$O$10336+Sens!$O$10312*(1-tax)</f>
        <v>42.379</v>
      </c>
    </row>
    <row r="10339" customFormat="false" ht="17.15" hidden="false" customHeight="false" outlineLevel="0" collapsed="false">
      <c r="A10339" s="43" t="s">
        <v>751</v>
      </c>
      <c r="B10339" s="14" t="s">
        <v>27</v>
      </c>
      <c r="C10339" s="44" t="n">
        <f aca="false">Sens!$C$10338/Sens!$C$10337</f>
        <v>5.52635015390355</v>
      </c>
      <c r="D10339" s="44" t="n">
        <f aca="false">Sens!$D$10338/Sens!$D$10337</f>
        <v>7.1737323358271</v>
      </c>
      <c r="E10339" s="44" t="n">
        <f aca="false">Sens!$E$10338/Sens!$E$10337</f>
        <v>8.53212104513937</v>
      </c>
      <c r="F10339" s="14"/>
      <c r="G10339" s="44" t="n">
        <f aca="false">Sens!$G$10338/Sens!$G$10337</f>
        <v>12.9064785544211</v>
      </c>
      <c r="H10339" s="44" t="n">
        <f aca="false">Sens!$H$10338/Sens!$H$10337</f>
        <v>10.906193663361</v>
      </c>
      <c r="I10339" s="44" t="n">
        <f aca="false">Sens!$I$10338/Sens!$I$10337</f>
        <v>13.8867488167885</v>
      </c>
      <c r="J10339" s="44" t="n">
        <f aca="false">Sens!$J$10338/Sens!$J$10337</f>
        <v>16.8968788916965</v>
      </c>
      <c r="K10339" s="44" t="n">
        <f aca="false">Sens!$K$10338/Sens!$K$10337</f>
        <v>19.2965749458891</v>
      </c>
      <c r="L10339" s="44" t="n">
        <f aca="false">Sens!$L$10338/Sens!$L$10337</f>
        <v>21.6036048902455</v>
      </c>
      <c r="M10339" s="44" t="n">
        <f aca="false">Sens!$M$10338/Sens!$M$10337</f>
        <v>23.6070416565526</v>
      </c>
      <c r="N10339" s="14"/>
      <c r="O10339" s="14"/>
    </row>
    <row r="10340" customFormat="false" ht="17.15" hidden="false" customHeight="false" outlineLevel="0" collapsed="false">
      <c r="A10340" s="0" t="s">
        <v>752</v>
      </c>
      <c r="B10340" s="0" t="s">
        <v>27</v>
      </c>
      <c r="C10340" s="30" t="n">
        <f aca="false">Sens!$C$10336/Sens!$C$10337</f>
        <v>5.52635015390355</v>
      </c>
      <c r="D10340" s="30" t="n">
        <f aca="false">Sens!$D$10336/Sens!$D$10337</f>
        <v>7.1737323358271</v>
      </c>
      <c r="E10340" s="30" t="n">
        <f aca="false">Sens!$E$10336/Sens!$E$10337</f>
        <v>8.53212104513937</v>
      </c>
      <c r="G10340" s="30" t="n">
        <f aca="false">Sens!$G$10336/Sens!$G$10337</f>
        <v>12.9064785544211</v>
      </c>
      <c r="H10340" s="30" t="n">
        <f aca="false">Sens!$H$10336/Sens!$H$10337</f>
        <v>10.906193663361</v>
      </c>
      <c r="I10340" s="30" t="n">
        <f aca="false">Sens!$I$10336/Sens!$I$10337</f>
        <v>13.8867488167885</v>
      </c>
      <c r="J10340" s="30" t="n">
        <f aca="false">Sens!$J$10336/Sens!$J$10337</f>
        <v>16.8968788916965</v>
      </c>
      <c r="K10340" s="30" t="n">
        <f aca="false">Sens!$K$10336/Sens!$K$10337</f>
        <v>19.2965749458891</v>
      </c>
      <c r="L10340" s="30" t="n">
        <f aca="false">Sens!$L$10336/Sens!$L$10337</f>
        <v>21.6036048902455</v>
      </c>
      <c r="M10340" s="30" t="n">
        <f aca="false">Sens!$M$10336/Sens!$M$10337</f>
        <v>23.6070416565526</v>
      </c>
    </row>
    <row r="10341" customFormat="false" ht="17.15" hidden="false" customHeight="false" outlineLevel="0" collapsed="false">
      <c r="A10341" s="0" t="s">
        <v>753</v>
      </c>
      <c r="B10341" s="0" t="s">
        <v>27</v>
      </c>
      <c r="C10341" s="30" t="n">
        <f aca="false">(Sens!$C$10336-Sens!$C$10333*(1-tax))/Sens!$C$10337</f>
        <v>5.33926775917445</v>
      </c>
      <c r="D10341" s="30" t="n">
        <f aca="false">(Sens!$D$10336-Sens!$D$10333*(1-tax))/Sens!$D$10337</f>
        <v>5.67691812755503</v>
      </c>
      <c r="E10341" s="30" t="n">
        <f aca="false">(Sens!$E$10336-Sens!$E$10333*(1-tax))/Sens!$E$10337</f>
        <v>3.10602057006846</v>
      </c>
      <c r="G10341" s="30" t="n">
        <f aca="false">(Sens!$G$10336-Sens!$G$10333*(1-tax))/Sens!$G$10337</f>
        <v>7.49841043652411</v>
      </c>
      <c r="H10341" s="30" t="n">
        <f aca="false">(Sens!$H$10336-Sens!$H$10333*(1-tax))/Sens!$H$10337</f>
        <v>10.906193663361</v>
      </c>
      <c r="I10341" s="30" t="n">
        <f aca="false">(Sens!$I$10336-Sens!$I$10333*(1-tax))/Sens!$I$10337</f>
        <v>13.8867488167885</v>
      </c>
      <c r="J10341" s="30" t="n">
        <f aca="false">(Sens!$J$10336-Sens!$J$10333*(1-tax))/Sens!$J$10337</f>
        <v>16.8968788916965</v>
      </c>
      <c r="K10341" s="30" t="n">
        <f aca="false">(Sens!$K$10336-Sens!$K$10333*(1-tax))/Sens!$K$10337</f>
        <v>19.2965749458891</v>
      </c>
      <c r="L10341" s="30" t="n">
        <f aca="false">(Sens!$L$10336-Sens!$L$10333*(1-tax))/Sens!$L$10337</f>
        <v>21.6036048902455</v>
      </c>
      <c r="M10341" s="30" t="n">
        <f aca="false">(Sens!$M$10336-Sens!$M$10333*(1-tax))/Sens!$M$10337</f>
        <v>23.6070416565526</v>
      </c>
      <c r="P10341" s="5" t="s">
        <v>754</v>
      </c>
    </row>
    <row r="10342" customFormat="false" ht="17.15" hidden="false" customHeight="false" outlineLevel="0" collapsed="false">
      <c r="A10342" s="0" t="s">
        <v>755</v>
      </c>
      <c r="B10342" s="0" t="s">
        <v>52</v>
      </c>
      <c r="H10342" s="13" t="n">
        <f aca="false">Sens!$H$10339/Sens!$G$10339-1</f>
        <v>-0.154983009705221</v>
      </c>
      <c r="I10342" s="13" t="n">
        <f aca="false">Sens!$I$10339/Sens!$H$10339-1</f>
        <v>0.273290136359908</v>
      </c>
      <c r="J10342" s="13" t="n">
        <f aca="false">Sens!$J$10339/Sens!$I$10339-1</f>
        <v>0.216762765325521</v>
      </c>
      <c r="K10342" s="13" t="n">
        <f aca="false">Sens!$K$10339/Sens!$J$10339-1</f>
        <v>0.142020077765478</v>
      </c>
      <c r="L10342" s="13" t="n">
        <f aca="false">Sens!$L$10339/Sens!$K$10339-1</f>
        <v>0.119556447236136</v>
      </c>
      <c r="M10342" s="13" t="n">
        <f aca="false">Sens!$M$10339/Sens!$L$10339-1</f>
        <v>0.0927362251108255</v>
      </c>
    </row>
    <row r="10345" customFormat="false" ht="19.4" hidden="false" customHeight="false" outlineLevel="0" collapsed="false">
      <c r="A10345" s="31" t="s">
        <v>1340</v>
      </c>
    </row>
    <row r="10346" customFormat="false" ht="17.15" hidden="false" customHeight="false" outlineLevel="0" collapsed="false">
      <c r="A10346" s="6" t="s">
        <v>16</v>
      </c>
      <c r="B10346" s="6" t="s">
        <v>17</v>
      </c>
      <c r="C10346" s="20" t="s">
        <v>494</v>
      </c>
      <c r="D10346" s="20" t="s">
        <v>495</v>
      </c>
      <c r="E10346" s="20" t="s">
        <v>577</v>
      </c>
      <c r="F10346" s="20" t="s">
        <v>578</v>
      </c>
      <c r="G10346" s="20" t="s">
        <v>579</v>
      </c>
      <c r="H10346" s="20" t="s">
        <v>580</v>
      </c>
      <c r="I10346" s="20" t="s">
        <v>581</v>
      </c>
      <c r="J10346" s="20" t="s">
        <v>582</v>
      </c>
      <c r="K10346" s="20" t="s">
        <v>583</v>
      </c>
      <c r="L10346" s="20" t="s">
        <v>584</v>
      </c>
      <c r="M10346" s="20" t="s">
        <v>585</v>
      </c>
      <c r="N10346" s="20" t="s">
        <v>586</v>
      </c>
      <c r="O10346" s="20" t="s">
        <v>587</v>
      </c>
      <c r="P10346" s="6" t="s">
        <v>23</v>
      </c>
      <c r="R10346" s="20" t="n">
        <v>2023</v>
      </c>
      <c r="S10346" s="20" t="n">
        <v>2024</v>
      </c>
      <c r="T10346" s="20" t="n">
        <v>2025</v>
      </c>
      <c r="U10346" s="20" t="n">
        <v>2026</v>
      </c>
      <c r="V10346" s="20" t="n">
        <v>2027</v>
      </c>
      <c r="W10346" s="20" t="n">
        <v>2028</v>
      </c>
      <c r="X10346" s="20" t="n">
        <v>2029</v>
      </c>
      <c r="Y10346" s="20" t="n">
        <v>2030</v>
      </c>
      <c r="Z10346" s="20" t="n">
        <v>2031</v>
      </c>
      <c r="AA10346" s="20" t="n">
        <v>2032</v>
      </c>
    </row>
    <row r="10347" customFormat="false" ht="15" hidden="false" customHeight="false" outlineLevel="0" collapsed="false">
      <c r="A10347" s="5" t="s">
        <v>546</v>
      </c>
      <c r="B10347" s="0" t="s">
        <v>86</v>
      </c>
      <c r="C10347" s="38" t="n">
        <f aca="false">Sens!$C$10336</f>
        <v>59.248</v>
      </c>
      <c r="D10347" s="38" t="n">
        <f aca="false">Sens!$D$10336</f>
        <v>77.67</v>
      </c>
      <c r="E10347" s="38" t="n">
        <f aca="false">Sens!$E$10336</f>
        <v>92.902</v>
      </c>
      <c r="F10347" s="38" t="n">
        <f aca="false">Sens!$F$10336</f>
        <v>48.0987743502108</v>
      </c>
      <c r="G10347" s="38" t="n">
        <f aca="false">Sens!$G$10336</f>
        <v>141.000774350211</v>
      </c>
      <c r="H10347" s="38" t="n">
        <f aca="false">Sens!$H$10336</f>
        <v>120.101234370414</v>
      </c>
      <c r="I10347" s="38" t="n">
        <f aca="false">Sens!$I$10336</f>
        <v>154.147106825205</v>
      </c>
      <c r="J10347" s="38" t="n">
        <f aca="false">Sens!$J$10336</f>
        <v>189.060943647306</v>
      </c>
      <c r="K10347" s="38" t="n">
        <f aca="false">Sens!$K$10336</f>
        <v>217.638684715043</v>
      </c>
      <c r="L10347" s="38" t="n">
        <f aca="false">Sens!$L$10336</f>
        <v>245.608062981845</v>
      </c>
      <c r="M10347" s="38" t="n">
        <f aca="false">Sens!$M$10336</f>
        <v>270.53190622036</v>
      </c>
    </row>
    <row r="10348" customFormat="false" ht="17.15" hidden="false" customHeight="false" outlineLevel="0" collapsed="false">
      <c r="A10348" s="5" t="s">
        <v>778</v>
      </c>
      <c r="B10348" s="0" t="s">
        <v>86</v>
      </c>
      <c r="C10348" s="38" t="n">
        <f aca="false">Sens!$C$10324</f>
        <v>32.067</v>
      </c>
      <c r="D10348" s="38" t="n">
        <f aca="false">Sens!$D$10324</f>
        <v>41.86</v>
      </c>
      <c r="E10348" s="38" t="n">
        <f aca="false">Sens!$E$10324</f>
        <v>26.703</v>
      </c>
      <c r="F10348" s="38" t="n">
        <f aca="false">Sens!$F$10324</f>
        <v>29.1973682263655</v>
      </c>
      <c r="G10348" s="38" t="n">
        <f aca="false">Sens!$G$10324</f>
        <v>55.9003682263655</v>
      </c>
      <c r="H10348" s="38" t="n">
        <f aca="false">Sens!$H$10324</f>
        <v>84.5749885561059</v>
      </c>
      <c r="I10348" s="38" t="n">
        <f aca="false">Sens!$I$10324</f>
        <v>118.042122158798</v>
      </c>
      <c r="J10348" s="38" t="n">
        <f aca="false">Sens!$J$10324</f>
        <v>152.27209015198</v>
      </c>
      <c r="K10348" s="38" t="n">
        <f aca="false">Sens!$K$10324</f>
        <v>186.733654532054</v>
      </c>
      <c r="L10348" s="38" t="n">
        <f aca="false">Sens!$L$10324</f>
        <v>210.853295700971</v>
      </c>
      <c r="M10348" s="38" t="n">
        <f aca="false">Sens!$M$10324</f>
        <v>227.394136298658</v>
      </c>
    </row>
    <row r="10349" customFormat="false" ht="15" hidden="false" customHeight="false" outlineLevel="0" collapsed="false">
      <c r="A10349" s="5" t="s">
        <v>779</v>
      </c>
      <c r="B10349" s="0" t="s">
        <v>86</v>
      </c>
      <c r="C10349" s="38" t="n">
        <f aca="false">Q!$D$48</f>
        <v>22.011</v>
      </c>
      <c r="D10349" s="38" t="n">
        <f aca="false">Q!$E$48</f>
        <v>19.467</v>
      </c>
      <c r="E10349" s="38" t="n">
        <f aca="false">Q!$P$48</f>
        <v>10.07</v>
      </c>
      <c r="F10349" s="38" t="n">
        <f aca="false">sbc_r*Sens!$F$10266</f>
        <v>10.8507035798037</v>
      </c>
      <c r="G10349" s="38" t="n">
        <f aca="false">Sens!$E$10349+Sens!$F$10349</f>
        <v>20.9207035798037</v>
      </c>
      <c r="H10349" s="38" t="n">
        <f aca="false">sbc_r*Sens!$H$10266</f>
        <v>23.9554729790538</v>
      </c>
      <c r="I10349" s="38" t="n">
        <f aca="false">sbc_r*Sens!$I$10266</f>
        <v>27.6875409717302</v>
      </c>
      <c r="J10349" s="38" t="n">
        <f aca="false">sbc_r*Sens!$J$10266</f>
        <v>31.2878852964193</v>
      </c>
      <c r="K10349" s="38" t="n">
        <f aca="false">sbc_r*Sens!$K$10266</f>
        <v>34.4296795584019</v>
      </c>
      <c r="L10349" s="38" t="n">
        <f aca="false">sbc_r*Sens!$L$10266</f>
        <v>37.2224785624786</v>
      </c>
      <c r="M10349" s="38" t="n">
        <f aca="false">sbc_r*Sens!$M$10266</f>
        <v>39.6747849214215</v>
      </c>
    </row>
    <row r="10350" customFormat="false" ht="17.15" hidden="false" customHeight="false" outlineLevel="0" collapsed="false">
      <c r="A10350" s="5" t="s">
        <v>780</v>
      </c>
      <c r="B10350" s="0" t="s">
        <v>86</v>
      </c>
      <c r="C10350" s="38" t="n">
        <f aca="false">Q!$D$44-Sens!$C$10347-Sens!$C$10348-Sens!$C$10349</f>
        <v>2.551</v>
      </c>
      <c r="D10350" s="38" t="n">
        <f aca="false">Q!$E$44-Sens!$D$10347-Sens!$D$10348-Sens!$D$10349</f>
        <v>0.51700000000001</v>
      </c>
      <c r="E10350" s="38" t="n">
        <f aca="false">Q!$P$44-Sens!$E$10347-Sens!$E$10348-Sens!$E$10349</f>
        <v>-58.256</v>
      </c>
      <c r="F10350" s="38" t="n">
        <f aca="false">oth_r*Sens!$F$10266</f>
        <v>5.22265251035878</v>
      </c>
      <c r="G10350" s="38" t="n">
        <f aca="false">Sens!$E$10350+Sens!$F$10350</f>
        <v>-53.0333474896412</v>
      </c>
      <c r="H10350" s="38" t="n">
        <f aca="false">oth_r*Sens!$H$10266</f>
        <v>11.5302302906657</v>
      </c>
      <c r="I10350" s="38" t="n">
        <f aca="false">oth_r*Sens!$I$10266</f>
        <v>13.3265464583159</v>
      </c>
      <c r="J10350" s="38" t="n">
        <f aca="false">oth_r*Sens!$J$10266</f>
        <v>15.0594614888667</v>
      </c>
      <c r="K10350" s="38" t="n">
        <f aca="false">oth_r*Sens!$K$10266</f>
        <v>16.571667547091</v>
      </c>
      <c r="L10350" s="38" t="n">
        <f aca="false">oth_r*Sens!$L$10266</f>
        <v>17.9158954694828</v>
      </c>
      <c r="M10350" s="38" t="n">
        <f aca="false">oth_r*Sens!$M$10266</f>
        <v>19.0962377272457</v>
      </c>
      <c r="P10350" s="8" t="s">
        <v>781</v>
      </c>
    </row>
    <row r="10351" customFormat="false" ht="15" hidden="false" customHeight="false" outlineLevel="0" collapsed="false">
      <c r="A10351" s="3" t="s">
        <v>552</v>
      </c>
      <c r="B10351" s="8" t="s">
        <v>86</v>
      </c>
      <c r="C10351" s="38" t="n">
        <f aca="false">Q!$D$44</f>
        <v>115.877</v>
      </c>
      <c r="D10351" s="38" t="n">
        <f aca="false">Q!$E$44</f>
        <v>139.514</v>
      </c>
      <c r="E10351" s="38" t="n">
        <f aca="false">Q!$P$44</f>
        <v>71.419</v>
      </c>
      <c r="F10351" s="38" t="n">
        <f aca="false">Sens!$F$10347+Sens!$F$10348+Sens!$F$10349+Sens!$F$10350</f>
        <v>93.3694986667388</v>
      </c>
      <c r="G10351" s="38" t="n">
        <f aca="false">Sens!$E$10351+Sens!$F$10351</f>
        <v>164.788498666739</v>
      </c>
      <c r="H10351" s="38" t="n">
        <f aca="false">Sens!$H$10347+Sens!$H$10348+Sens!$H$10349+Sens!$H$10350</f>
        <v>240.161926196239</v>
      </c>
      <c r="I10351" s="38" t="n">
        <f aca="false">Sens!$I$10347+Sens!$I$10348+Sens!$I$10349+Sens!$I$10350</f>
        <v>313.203316414049</v>
      </c>
      <c r="J10351" s="38" t="n">
        <f aca="false">Sens!$J$10347+Sens!$J$10348+Sens!$J$10349+Sens!$J$10350</f>
        <v>387.680380584572</v>
      </c>
      <c r="K10351" s="38" t="n">
        <f aca="false">Sens!$K$10347+Sens!$K$10348+Sens!$K$10349+Sens!$K$10350</f>
        <v>455.37368635259</v>
      </c>
      <c r="L10351" s="38" t="n">
        <f aca="false">Sens!$L$10347+Sens!$L$10348+Sens!$L$10349+Sens!$L$10350</f>
        <v>511.599732714778</v>
      </c>
      <c r="M10351" s="38" t="n">
        <f aca="false">Sens!$M$10347+Sens!$M$10348+Sens!$M$10349+Sens!$M$10350</f>
        <v>556.697065167685</v>
      </c>
    </row>
    <row r="10352" customFormat="false" ht="17.15" hidden="false" customHeight="false" outlineLevel="0" collapsed="false">
      <c r="A10352" s="5" t="s">
        <v>782</v>
      </c>
      <c r="B10352" s="0" t="s">
        <v>86</v>
      </c>
      <c r="C10352" s="38" t="n">
        <f aca="false">Sens!$C$10235</f>
        <v>25.2781053077374</v>
      </c>
      <c r="D10352" s="38" t="n">
        <f aca="false">Sens!$D$10235</f>
        <v>69.5686316310026</v>
      </c>
      <c r="E10352" s="38" t="n">
        <f aca="false">Sens!$E$10235</f>
        <v>64.1899206485108</v>
      </c>
      <c r="F10352" s="38" t="n">
        <f aca="false">Sens!$F$10235</f>
        <v>98.862028245</v>
      </c>
      <c r="G10352" s="38" t="n">
        <f aca="false">Sens!$G$10235</f>
        <v>163.051948893511</v>
      </c>
      <c r="H10352" s="38" t="n">
        <f aca="false">Sens!$H$10235</f>
        <v>203.9641486225</v>
      </c>
      <c r="I10352" s="38" t="n">
        <f aca="false">Sens!$I$10235</f>
        <v>210.204240755</v>
      </c>
      <c r="J10352" s="38" t="n">
        <f aca="false">Sens!$J$10235</f>
        <v>215.441008955</v>
      </c>
      <c r="K10352" s="38" t="n">
        <f aca="false">Sens!$K$10235</f>
        <v>159.138087817758</v>
      </c>
      <c r="L10352" s="38" t="n">
        <f aca="false">Sens!$L$10235</f>
        <v>134.255775880517</v>
      </c>
      <c r="M10352" s="38" t="n">
        <f aca="false">Sens!$M$10235</f>
        <v>134.968168520775</v>
      </c>
    </row>
    <row r="10353" customFormat="false" ht="17.15" hidden="false" customHeight="false" outlineLevel="0" collapsed="false">
      <c r="A10353" s="5" t="s">
        <v>783</v>
      </c>
      <c r="B10353" s="0" t="s">
        <v>86</v>
      </c>
      <c r="C10353" s="38" t="n">
        <f aca="false">cx_awso*Sens!$C$10264</f>
        <v>21.0469989286053</v>
      </c>
      <c r="D10353" s="38" t="n">
        <f aca="false">cx_awso*Sens!$D$10264</f>
        <v>24.0042459822698</v>
      </c>
      <c r="E10353" s="38" t="n">
        <f aca="false">cx_awso*Sens!$E$10264</f>
        <v>14.261729404886</v>
      </c>
      <c r="F10353" s="38" t="n">
        <f aca="false">cx_awso*Sens!$F$10264</f>
        <v>14.3538599588493</v>
      </c>
      <c r="G10353" s="38" t="n">
        <f aca="false">Sens!$E$10353+Sens!$F$10353</f>
        <v>28.6155893637353</v>
      </c>
      <c r="H10353" s="38" t="n">
        <f aca="false">cx_awso*Sens!$H$10264</f>
        <v>32.2034154158406</v>
      </c>
      <c r="I10353" s="38" t="n">
        <f aca="false">cx_awso*Sens!$I$10264</f>
        <v>35.7539519042915</v>
      </c>
      <c r="J10353" s="38" t="n">
        <f aca="false">cx_awso*Sens!$J$10264</f>
        <v>39.1551076091815</v>
      </c>
      <c r="K10353" s="38" t="n">
        <f aca="false">cx_awso*Sens!$K$10264</f>
        <v>42.287516217916</v>
      </c>
      <c r="L10353" s="38" t="n">
        <f aca="false">cx_awso*Sens!$L$10264</f>
        <v>45.6705175153492</v>
      </c>
      <c r="M10353" s="38" t="n">
        <f aca="false">cx_awso*Sens!$M$10264</f>
        <v>49.3241589165772</v>
      </c>
    </row>
    <row r="10354" customFormat="false" ht="17.15" hidden="false" customHeight="false" outlineLevel="0" collapsed="false">
      <c r="A10354" s="5" t="s">
        <v>784</v>
      </c>
      <c r="B10354" s="0" t="s">
        <v>86</v>
      </c>
      <c r="C10354" s="38" t="n">
        <f aca="false">Q!$D$46-Sens!$C$10352-Sens!$C$10353</f>
        <v>31.3328957636573</v>
      </c>
      <c r="D10354" s="38" t="n">
        <f aca="false">Q!$E$46-Sens!$D$10352-Sens!$D$10353</f>
        <v>34.7471223867276</v>
      </c>
      <c r="E10354" s="38" t="n">
        <f aca="false">Q!$P$46-Sens!$E$10352-Sens!$E$10353</f>
        <v>17.8583499466032</v>
      </c>
      <c r="F10354" s="38" t="n">
        <f aca="false">cx_rt*Sens!$F$10198</f>
        <v>20.4537578012365</v>
      </c>
      <c r="G10354" s="38" t="n">
        <f aca="false">Sens!$E$10354+Sens!$F$10354</f>
        <v>38.3121077478397</v>
      </c>
      <c r="H10354" s="38" t="n">
        <f aca="false">cx_rt*Sens!$H$10198</f>
        <v>42.4142312636334</v>
      </c>
      <c r="I10354" s="38" t="n">
        <f aca="false">cx_rt*Sens!$I$10198</f>
        <v>46.3804726150393</v>
      </c>
      <c r="J10354" s="38" t="n">
        <f aca="false">cx_rt*Sens!$J$10198</f>
        <v>50.0612428016438</v>
      </c>
      <c r="K10354" s="38" t="n">
        <f aca="false">cx_rt*Sens!$K$10198</f>
        <v>53.3002402674843</v>
      </c>
      <c r="L10354" s="38" t="n">
        <f aca="false">cx_rt*Sens!$L$10198</f>
        <v>56.7656015747235</v>
      </c>
      <c r="M10354" s="38" t="n">
        <f aca="false">cx_rt*Sens!$M$10198</f>
        <v>60.4743568773026</v>
      </c>
    </row>
    <row r="10355" customFormat="false" ht="15" hidden="false" customHeight="false" outlineLevel="0" collapsed="false">
      <c r="A10355" s="3" t="s">
        <v>785</v>
      </c>
      <c r="B10355" s="8" t="s">
        <v>86</v>
      </c>
      <c r="C10355" s="38" t="n">
        <f aca="false">Q!$D$46</f>
        <v>77.658</v>
      </c>
      <c r="D10355" s="38" t="n">
        <f aca="false">Q!$E$46</f>
        <v>128.32</v>
      </c>
      <c r="E10355" s="38" t="n">
        <f aca="false">Q!$P$46</f>
        <v>96.31</v>
      </c>
      <c r="F10355" s="38" t="n">
        <f aca="false">Sens!$F$10352+Sens!$F$10353+Sens!$F$10354</f>
        <v>133.669646005086</v>
      </c>
      <c r="G10355" s="38" t="n">
        <f aca="false">Sens!$E$10355+Sens!$F$10355</f>
        <v>229.979646005086</v>
      </c>
      <c r="H10355" s="38" t="n">
        <f aca="false">Sens!$H$10352+Sens!$H$10353+Sens!$H$10354</f>
        <v>278.581795301974</v>
      </c>
      <c r="I10355" s="38" t="n">
        <f aca="false">Sens!$I$10352+Sens!$I$10353+Sens!$I$10354</f>
        <v>292.338665274331</v>
      </c>
      <c r="J10355" s="38" t="n">
        <f aca="false">Sens!$J$10352+Sens!$J$10353+Sens!$J$10354</f>
        <v>304.657359365825</v>
      </c>
      <c r="K10355" s="38" t="n">
        <f aca="false">Sens!$K$10352+Sens!$K$10353+Sens!$K$10354</f>
        <v>254.725844303159</v>
      </c>
      <c r="L10355" s="38" t="n">
        <f aca="false">Sens!$L$10352+Sens!$L$10353+Sens!$L$10354</f>
        <v>236.691894970589</v>
      </c>
      <c r="M10355" s="38" t="n">
        <f aca="false">Sens!$M$10352+Sens!$M$10353+Sens!$M$10354</f>
        <v>244.766684314655</v>
      </c>
    </row>
    <row r="10356" customFormat="false" ht="17.15" hidden="false" customHeight="false" outlineLevel="0" collapsed="false">
      <c r="A10356" s="5" t="s">
        <v>560</v>
      </c>
      <c r="B10356" s="0" t="s">
        <v>86</v>
      </c>
      <c r="C10356" s="38" t="n">
        <f aca="false">Q!$D$50</f>
        <v>2.043</v>
      </c>
      <c r="D10356" s="38" t="n">
        <f aca="false">Q!$E$50</f>
        <v>1.557</v>
      </c>
      <c r="E10356" s="38" t="n">
        <f aca="false">lease_pr/2</f>
        <v>0.8</v>
      </c>
      <c r="F10356" s="38" t="n">
        <f aca="false">lease_pr/2</f>
        <v>0.8</v>
      </c>
      <c r="G10356" s="38" t="n">
        <f aca="false">Sens!$E$10356+Sens!$F$10356</f>
        <v>1.6</v>
      </c>
      <c r="H10356" s="38" t="n">
        <f aca="false">lease_pr</f>
        <v>1.6</v>
      </c>
      <c r="I10356" s="38" t="n">
        <f aca="false">lease_pr</f>
        <v>1.6</v>
      </c>
      <c r="J10356" s="38" t="n">
        <f aca="false">lease_pr</f>
        <v>1.6</v>
      </c>
      <c r="K10356" s="38" t="n">
        <f aca="false">lease_pr</f>
        <v>1.6</v>
      </c>
      <c r="L10356" s="38" t="n">
        <f aca="false">lease_pr</f>
        <v>1.6</v>
      </c>
      <c r="M10356" s="38" t="n">
        <f aca="false">lease_pr</f>
        <v>1.6</v>
      </c>
      <c r="P10356" s="8" t="s">
        <v>786</v>
      </c>
    </row>
    <row r="10357" customFormat="false" ht="15" hidden="false" customHeight="false" outlineLevel="0" collapsed="false">
      <c r="A10357" s="47" t="s">
        <v>787</v>
      </c>
      <c r="B10357" s="14" t="s">
        <v>86</v>
      </c>
      <c r="C10357" s="48" t="n">
        <f aca="false">Sens!$C$10351-Sens!$C$10355-Sens!$C$10356</f>
        <v>36.176</v>
      </c>
      <c r="D10357" s="48" t="n">
        <f aca="false">Sens!$D$10351-Sens!$D$10355-Sens!$D$10356</f>
        <v>9.63700000000002</v>
      </c>
      <c r="E10357" s="48" t="n">
        <f aca="false">Sens!$E$10351-Sens!$E$10355-Sens!$E$10356</f>
        <v>-25.691</v>
      </c>
      <c r="F10357" s="48" t="n">
        <f aca="false">Sens!$F$10351-Sens!$F$10355-Sens!$F$10356</f>
        <v>-41.1001473383469</v>
      </c>
      <c r="G10357" s="48" t="n">
        <f aca="false">Sens!$G$10351-Sens!$G$10355-Sens!$G$10356</f>
        <v>-66.7911473383469</v>
      </c>
      <c r="H10357" s="48" t="n">
        <f aca="false">Sens!$H$10351-Sens!$H$10355-Sens!$H$10356</f>
        <v>-40.0198691057349</v>
      </c>
      <c r="I10357" s="48" t="n">
        <f aca="false">Sens!$I$10351-Sens!$I$10355-Sens!$I$10356</f>
        <v>19.2646511397182</v>
      </c>
      <c r="J10357" s="48" t="n">
        <f aca="false">Sens!$J$10351-Sens!$J$10355-Sens!$J$10356</f>
        <v>81.4230212187464</v>
      </c>
      <c r="K10357" s="48" t="n">
        <f aca="false">Sens!$K$10351-Sens!$K$10355-Sens!$K$10356</f>
        <v>199.047842049431</v>
      </c>
      <c r="L10357" s="48" t="n">
        <f aca="false">Sens!$L$10351-Sens!$L$10355-Sens!$L$10356</f>
        <v>273.307837744188</v>
      </c>
      <c r="M10357" s="48" t="n">
        <f aca="false">Sens!$M$10351-Sens!$M$10355-Sens!$M$10356</f>
        <v>310.33038085303</v>
      </c>
      <c r="N10357" s="14"/>
      <c r="O10357" s="14"/>
    </row>
    <row r="10358" customFormat="false" ht="17.15" hidden="false" customHeight="false" outlineLevel="0" collapsed="false">
      <c r="A10358" s="5" t="s">
        <v>788</v>
      </c>
      <c r="B10358" s="0" t="s">
        <v>86</v>
      </c>
      <c r="C10358" s="38" t="n">
        <f aca="false">dps*Sens!$C$10337</f>
        <v>0</v>
      </c>
      <c r="D10358" s="38" t="n">
        <f aca="false">dps*Sens!$D$10337</f>
        <v>0</v>
      </c>
      <c r="E10358" s="38" t="n">
        <f aca="false">dps*Sens!$E$10337</f>
        <v>0</v>
      </c>
      <c r="F10358" s="38" t="n">
        <f aca="false">0</f>
        <v>0</v>
      </c>
      <c r="G10358" s="38" t="n">
        <f aca="false">dps*Sens!$G$10337</f>
        <v>0</v>
      </c>
      <c r="H10358" s="38" t="n">
        <f aca="false">dps*Sens!$H$10337</f>
        <v>0</v>
      </c>
      <c r="I10358" s="38" t="n">
        <f aca="false">dps*Sens!$I$10337</f>
        <v>0</v>
      </c>
      <c r="J10358" s="38" t="n">
        <f aca="false">dps*Sens!$J$10337</f>
        <v>0</v>
      </c>
      <c r="K10358" s="38" t="n">
        <f aca="false">dps*Sens!$K$10337</f>
        <v>0</v>
      </c>
      <c r="L10358" s="38" t="n">
        <f aca="false">dps*Sens!$L$10337</f>
        <v>0</v>
      </c>
      <c r="M10358" s="38" t="n">
        <f aca="false">dps*Sens!$M$10337</f>
        <v>0</v>
      </c>
      <c r="P10358" s="8" t="s">
        <v>789</v>
      </c>
    </row>
    <row r="10359" customFormat="false" ht="17.15" hidden="false" customHeight="false" outlineLevel="0" collapsed="false">
      <c r="A10359" s="5" t="s">
        <v>790</v>
      </c>
      <c r="B10359" s="0" t="s">
        <v>86</v>
      </c>
      <c r="C10359" s="38" t="n">
        <f aca="false">0</f>
        <v>0</v>
      </c>
      <c r="D10359" s="38" t="n">
        <f aca="false">0</f>
        <v>0</v>
      </c>
      <c r="E10359" s="38" t="n">
        <f aca="false">0</f>
        <v>0</v>
      </c>
      <c r="F10359" s="38" t="n">
        <f aca="false">0</f>
        <v>0</v>
      </c>
      <c r="G10359" s="38" t="n">
        <f aca="false">0</f>
        <v>0</v>
      </c>
      <c r="H10359" s="38" t="n">
        <f aca="false">0</f>
        <v>0</v>
      </c>
      <c r="I10359" s="38" t="n">
        <f aca="false">0</f>
        <v>0</v>
      </c>
      <c r="J10359" s="38" t="n">
        <f aca="false">0</f>
        <v>0</v>
      </c>
      <c r="K10359" s="38" t="n">
        <f aca="false">0</f>
        <v>0</v>
      </c>
      <c r="L10359" s="38" t="n">
        <f aca="false">0</f>
        <v>0</v>
      </c>
      <c r="M10359" s="38" t="n">
        <f aca="false">0</f>
        <v>0</v>
      </c>
      <c r="P10359" s="8" t="s">
        <v>791</v>
      </c>
    </row>
    <row r="10360" customFormat="false" ht="15" hidden="false" customHeight="false" outlineLevel="0" collapsed="false">
      <c r="A10360" s="3" t="s">
        <v>792</v>
      </c>
      <c r="B10360" s="8" t="s">
        <v>86</v>
      </c>
      <c r="C10360" s="38" t="n">
        <f aca="false">Sens!$C$10357-Sens!$C$10358</f>
        <v>36.176</v>
      </c>
      <c r="D10360" s="38" t="n">
        <f aca="false">Sens!$D$10357-Sens!$D$10358</f>
        <v>9.63700000000002</v>
      </c>
      <c r="E10360" s="38" t="n">
        <f aca="false">Sens!$E$10357-Sens!$E$10358</f>
        <v>-25.691</v>
      </c>
      <c r="F10360" s="38" t="n">
        <f aca="false">Sens!$F$10357-Sens!$F$10358</f>
        <v>-41.1001473383469</v>
      </c>
      <c r="G10360" s="38" t="n">
        <f aca="false">Sens!$G$10357-Sens!$G$10358</f>
        <v>-66.7911473383469</v>
      </c>
      <c r="H10360" s="38" t="n">
        <f aca="false">Sens!$H$10357-Sens!$H$10358</f>
        <v>-40.0198691057349</v>
      </c>
      <c r="I10360" s="38" t="n">
        <f aca="false">Sens!$I$10357-Sens!$I$10358</f>
        <v>19.2646511397182</v>
      </c>
      <c r="J10360" s="38" t="n">
        <f aca="false">Sens!$J$10357-Sens!$J$10358</f>
        <v>81.4230212187464</v>
      </c>
      <c r="K10360" s="38" t="n">
        <f aca="false">Sens!$K$10357-Sens!$K$10358</f>
        <v>199.047842049431</v>
      </c>
      <c r="L10360" s="38" t="n">
        <f aca="false">Sens!$L$10357-Sens!$L$10358</f>
        <v>273.307837744188</v>
      </c>
      <c r="M10360" s="38" t="n">
        <f aca="false">Sens!$M$10357-Sens!$M$10358</f>
        <v>310.33038085303</v>
      </c>
    </row>
    <row r="10361" customFormat="false" ht="17.15" hidden="false" customHeight="false" outlineLevel="0" collapsed="false">
      <c r="A10361" s="5" t="s">
        <v>793</v>
      </c>
      <c r="B10361" s="0" t="s">
        <v>86</v>
      </c>
      <c r="E10361" s="38" t="n">
        <f aca="false">Q!$P$53</f>
        <v>39.767</v>
      </c>
      <c r="F10361" s="38" t="n">
        <f aca="false">inv_2h26</f>
        <v>21.3</v>
      </c>
      <c r="G10361" s="38" t="n">
        <f aca="false">Sens!$E$10361+Sens!$F$10361</f>
        <v>61.067</v>
      </c>
      <c r="H10361" s="39" t="n">
        <v>0</v>
      </c>
      <c r="I10361" s="39" t="n">
        <v>0</v>
      </c>
      <c r="J10361" s="39" t="n">
        <v>0</v>
      </c>
      <c r="K10361" s="39" t="n">
        <v>0</v>
      </c>
      <c r="L10361" s="39" t="n">
        <v>0</v>
      </c>
      <c r="M10361" s="39" t="n">
        <v>0</v>
      </c>
    </row>
    <row r="10362" customFormat="false" ht="17.15" hidden="false" customHeight="false" outlineLevel="0" collapsed="false">
      <c r="A10362" s="5" t="s">
        <v>794</v>
      </c>
      <c r="B10362" s="0" t="s">
        <v>86</v>
      </c>
      <c r="F10362" s="38" t="n">
        <f aca="false">iss_2h26</f>
        <v>29.249999</v>
      </c>
      <c r="G10362" s="38" t="n">
        <f aca="false">Sens!$F$10362</f>
        <v>29.249999</v>
      </c>
      <c r="H10362" s="39" t="n">
        <v>0</v>
      </c>
      <c r="I10362" s="39" t="n">
        <v>0</v>
      </c>
      <c r="J10362" s="39" t="n">
        <v>0</v>
      </c>
      <c r="K10362" s="39" t="n">
        <v>0</v>
      </c>
      <c r="L10362" s="39" t="n">
        <v>0</v>
      </c>
      <c r="M10362" s="39" t="n">
        <v>0</v>
      </c>
    </row>
    <row r="10363" customFormat="false" ht="17.15" hidden="false" customHeight="false" outlineLevel="0" collapsed="false">
      <c r="A10363" s="5" t="s">
        <v>795</v>
      </c>
      <c r="B10363" s="0" t="s">
        <v>86</v>
      </c>
      <c r="F10363" s="38" t="n">
        <f aca="false">cash_q2</f>
        <v>122.988</v>
      </c>
      <c r="G10363" s="38" t="n">
        <f aca="false">cash_q2</f>
        <v>122.988</v>
      </c>
      <c r="H10363" s="38" t="n">
        <f aca="false">Sens!$G$10366</f>
        <v>89.8378516616531</v>
      </c>
      <c r="I10363" s="38" t="n">
        <f aca="false">Sens!$H$10366</f>
        <v>50</v>
      </c>
      <c r="J10363" s="38" t="n">
        <f aca="false">Sens!$I$10366</f>
        <v>69.2646511397182</v>
      </c>
      <c r="K10363" s="38" t="n">
        <f aca="false">Sens!$J$10366</f>
        <v>150.687672358465</v>
      </c>
      <c r="L10363" s="38" t="n">
        <f aca="false">Sens!$K$10366</f>
        <v>349.735514407896</v>
      </c>
      <c r="M10363" s="38" t="n">
        <f aca="false">Sens!$L$10366</f>
        <v>623.043352152084</v>
      </c>
    </row>
    <row r="10364" customFormat="false" ht="15" hidden="false" customHeight="false" outlineLevel="0" collapsed="false">
      <c r="A10364" s="5" t="s">
        <v>796</v>
      </c>
      <c r="B10364" s="0" t="s">
        <v>86</v>
      </c>
      <c r="F10364" s="38" t="n">
        <f aca="false">Sens!$F$10363+Sens!$F$10360-Sens!$F$10359-Sens!$F$10361+Sens!$F$10362</f>
        <v>89.8378516616531</v>
      </c>
      <c r="H10364" s="38" t="n">
        <f aca="false">Sens!$H$10363+Sens!$H$10360-Sens!$H$10359-Sens!$H$10361+Sens!$H$10362</f>
        <v>49.8179825559182</v>
      </c>
      <c r="I10364" s="38" t="n">
        <f aca="false">Sens!$I$10363+Sens!$I$10360-Sens!$I$10359-Sens!$I$10361+Sens!$I$10362</f>
        <v>69.2646511397182</v>
      </c>
      <c r="J10364" s="38" t="n">
        <f aca="false">Sens!$J$10363+Sens!$J$10360-Sens!$J$10359-Sens!$J$10361+Sens!$J$10362</f>
        <v>150.687672358465</v>
      </c>
      <c r="K10364" s="38" t="n">
        <f aca="false">Sens!$K$10363+Sens!$K$10360-Sens!$K$10359-Sens!$K$10361+Sens!$K$10362</f>
        <v>349.735514407896</v>
      </c>
      <c r="L10364" s="38" t="n">
        <f aca="false">Sens!$L$10363+Sens!$L$10360-Sens!$L$10359-Sens!$L$10361+Sens!$L$10362</f>
        <v>623.043352152084</v>
      </c>
      <c r="M10364" s="38" t="n">
        <f aca="false">Sens!$M$10363+Sens!$M$10360-Sens!$M$10359-Sens!$M$10361+Sens!$M$10362</f>
        <v>933.373733005114</v>
      </c>
    </row>
    <row r="10365" customFormat="false" ht="17.15" hidden="false" customHeight="false" outlineLevel="0" collapsed="false">
      <c r="A10365" s="5" t="s">
        <v>797</v>
      </c>
      <c r="B10365" s="0" t="s">
        <v>86</v>
      </c>
      <c r="F10365" s="38" t="n">
        <f aca="false">MAX(0,min_cash-Sens!$F$10364)</f>
        <v>0</v>
      </c>
      <c r="G10365" s="38" t="n">
        <f aca="false">Sens!$F$10365</f>
        <v>0</v>
      </c>
      <c r="H10365" s="38" t="n">
        <f aca="false">MAX(0,min_cash-Sens!$H$10364)</f>
        <v>0.182017444081787</v>
      </c>
      <c r="I10365" s="38" t="n">
        <f aca="false">MAX(0,min_cash-Sens!$I$10364)</f>
        <v>0</v>
      </c>
      <c r="J10365" s="38" t="n">
        <f aca="false">MAX(0,min_cash-Sens!$J$10364)</f>
        <v>0</v>
      </c>
      <c r="K10365" s="38" t="n">
        <f aca="false">MAX(0,min_cash-Sens!$K$10364)</f>
        <v>0</v>
      </c>
      <c r="L10365" s="38" t="n">
        <f aca="false">MAX(0,min_cash-Sens!$L$10364)</f>
        <v>0</v>
      </c>
      <c r="M10365" s="38" t="n">
        <f aca="false">MAX(0,min_cash-Sens!$M$10364)</f>
        <v>0</v>
      </c>
      <c r="P10365" s="5" t="s">
        <v>798</v>
      </c>
    </row>
    <row r="10366" customFormat="false" ht="15" hidden="false" customHeight="false" outlineLevel="0" collapsed="false">
      <c r="A10366" s="5" t="s">
        <v>799</v>
      </c>
      <c r="B10366" s="0" t="s">
        <v>86</v>
      </c>
      <c r="D10366" s="38" t="n">
        <f aca="false">Q!$E$61</f>
        <v>123.029</v>
      </c>
      <c r="E10366" s="38" t="n">
        <f aca="false">Q!$M$61</f>
        <v>122.988</v>
      </c>
      <c r="F10366" s="38" t="n">
        <f aca="false">Sens!$F$10364+Sens!$F$10365</f>
        <v>89.8378516616531</v>
      </c>
      <c r="G10366" s="38" t="n">
        <f aca="false">Sens!$F$10366</f>
        <v>89.8378516616531</v>
      </c>
      <c r="H10366" s="38" t="n">
        <f aca="false">Sens!$H$10364+Sens!$H$10365</f>
        <v>50</v>
      </c>
      <c r="I10366" s="38" t="n">
        <f aca="false">Sens!$I$10364+Sens!$I$10365</f>
        <v>69.2646511397182</v>
      </c>
      <c r="J10366" s="38" t="n">
        <f aca="false">Sens!$J$10364+Sens!$J$10365</f>
        <v>150.687672358465</v>
      </c>
      <c r="K10366" s="38" t="n">
        <f aca="false">Sens!$K$10364+Sens!$K$10365</f>
        <v>349.735514407896</v>
      </c>
      <c r="L10366" s="38" t="n">
        <f aca="false">Sens!$L$10364+Sens!$L$10365</f>
        <v>623.043352152084</v>
      </c>
      <c r="M10366" s="38" t="n">
        <f aca="false">Sens!$M$10364+Sens!$M$10365</f>
        <v>933.373733005114</v>
      </c>
    </row>
    <row r="10367" customFormat="false" ht="15" hidden="false" customHeight="false" outlineLevel="0" collapsed="false">
      <c r="A10367" s="5" t="s">
        <v>800</v>
      </c>
      <c r="B10367" s="0" t="s">
        <v>86</v>
      </c>
      <c r="D10367" s="38" t="n">
        <f aca="false">Q!$E$62</f>
        <v>68.836</v>
      </c>
      <c r="E10367" s="38" t="n">
        <f aca="false">Q!$M$62</f>
        <v>132.995</v>
      </c>
      <c r="F10367" s="38" t="n">
        <f aca="false">debt_q2+Sens!$F$10362+Sens!$F$10365</f>
        <v>162.244999</v>
      </c>
      <c r="G10367" s="38" t="n">
        <f aca="false">Sens!$F$10367</f>
        <v>162.244999</v>
      </c>
      <c r="H10367" s="38" t="n">
        <f aca="false">Sens!$G$10367+Sens!$H$10365</f>
        <v>162.427016444082</v>
      </c>
      <c r="I10367" s="38" t="n">
        <f aca="false">Sens!$H$10367+Sens!$I$10365</f>
        <v>162.427016444082</v>
      </c>
      <c r="J10367" s="38" t="n">
        <f aca="false">Sens!$I$10367+Sens!$J$10365</f>
        <v>162.427016444082</v>
      </c>
      <c r="K10367" s="38" t="n">
        <f aca="false">Sens!$J$10367+Sens!$K$10365</f>
        <v>162.427016444082</v>
      </c>
      <c r="L10367" s="38" t="n">
        <f aca="false">Sens!$K$10367+Sens!$L$10365</f>
        <v>162.427016444082</v>
      </c>
      <c r="M10367" s="38" t="n">
        <f aca="false">Sens!$L$10367+Sens!$M$10365</f>
        <v>162.427016444082</v>
      </c>
    </row>
    <row r="10368" customFormat="false" ht="15" hidden="false" customHeight="false" outlineLevel="0" collapsed="false">
      <c r="A10368" s="5" t="s">
        <v>801</v>
      </c>
      <c r="B10368" s="0" t="s">
        <v>86</v>
      </c>
      <c r="D10368" s="38" t="n">
        <f aca="false">Sens!$D$10367-Sens!$D$10366</f>
        <v>-54.193</v>
      </c>
      <c r="E10368" s="38" t="n">
        <f aca="false">Sens!$E$10367-Sens!$E$10366</f>
        <v>10.007</v>
      </c>
      <c r="F10368" s="38" t="n">
        <f aca="false">Sens!$F$10367-Sens!$F$10366</f>
        <v>72.4071473383469</v>
      </c>
      <c r="G10368" s="38" t="n">
        <f aca="false">Sens!$G$10367-Sens!$G$10366</f>
        <v>72.4071473383469</v>
      </c>
      <c r="H10368" s="38" t="n">
        <f aca="false">Sens!$H$10367-Sens!$H$10366</f>
        <v>112.427016444082</v>
      </c>
      <c r="I10368" s="38" t="n">
        <f aca="false">Sens!$I$10367-Sens!$I$10366</f>
        <v>93.1623653043636</v>
      </c>
      <c r="J10368" s="38" t="n">
        <f aca="false">Sens!$J$10367-Sens!$J$10366</f>
        <v>11.7393440856172</v>
      </c>
      <c r="K10368" s="38" t="n">
        <f aca="false">Sens!$K$10367-Sens!$K$10366</f>
        <v>-187.308497963814</v>
      </c>
      <c r="L10368" s="38" t="n">
        <f aca="false">Sens!$L$10367-Sens!$L$10366</f>
        <v>-460.616335708002</v>
      </c>
      <c r="M10368" s="38" t="n">
        <f aca="false">Sens!$M$10367-Sens!$M$10366</f>
        <v>-770.946716561032</v>
      </c>
    </row>
    <row r="10369" customFormat="false" ht="17.15" hidden="false" customHeight="false" outlineLevel="0" collapsed="false">
      <c r="A10369" s="5" t="s">
        <v>802</v>
      </c>
      <c r="B10369" s="0" t="s">
        <v>86</v>
      </c>
      <c r="F10369" s="38" t="n">
        <f aca="false">debt_q2*kd_book*0.5+iss_2h26*kd_new*iss_t</f>
        <v>3.24888962733561</v>
      </c>
      <c r="H10369" s="38" t="n">
        <f aca="false">debt_q2*kd_book+(Sens!$G$10367-debt_q2)*kd_new</f>
        <v>7.42354172302123</v>
      </c>
      <c r="I10369" s="38" t="n">
        <f aca="false">debt_q2*kd_book+(Sens!$H$10367-debt_q2)*kd_new</f>
        <v>7.43506342723161</v>
      </c>
      <c r="J10369" s="38" t="n">
        <f aca="false">debt_q2*kd_book+(Sens!$I$10367-debt_q2)*kd_new</f>
        <v>7.43506342723161</v>
      </c>
      <c r="K10369" s="38" t="n">
        <f aca="false">debt_q2*kd_book+(Sens!$J$10367-debt_q2)*kd_new</f>
        <v>7.43506342723161</v>
      </c>
      <c r="L10369" s="38" t="n">
        <f aca="false">debt_q2*kd_book+(Sens!$K$10367-debt_q2)*kd_new</f>
        <v>7.43506342723161</v>
      </c>
      <c r="M10369" s="38" t="n">
        <f aca="false">debt_q2*kd_book+(Sens!$L$10367-debt_q2)*kd_new</f>
        <v>7.43506342723161</v>
      </c>
    </row>
    <row r="10370" customFormat="false" ht="17.15" hidden="false" customHeight="false" outlineLevel="0" collapsed="false">
      <c r="A10370" s="5" t="s">
        <v>803</v>
      </c>
      <c r="B10370" s="0" t="s">
        <v>86</v>
      </c>
      <c r="F10370" s="38" t="n">
        <f aca="false">cash_q2*y_cash*0.5</f>
        <v>2.59</v>
      </c>
      <c r="H10370" s="38" t="n">
        <f aca="false">Sens!$G$10366*y_cash</f>
        <v>3.78378436601427</v>
      </c>
      <c r="I10370" s="38" t="n">
        <f aca="false">Sens!$H$10366*y_cash</f>
        <v>2.10589651022864</v>
      </c>
      <c r="J10370" s="38" t="n">
        <f aca="false">Sens!$I$10366*y_cash</f>
        <v>2.91728374234674</v>
      </c>
      <c r="K10370" s="38" t="n">
        <f aca="false">Sens!$J$10366*y_cash</f>
        <v>6.34665286708335</v>
      </c>
      <c r="L10370" s="38" t="n">
        <f aca="false">Sens!$K$10366*y_cash</f>
        <v>14.7301359858921</v>
      </c>
      <c r="M10370" s="38" t="n">
        <f aca="false">Sens!$L$10366*y_cash</f>
        <v>26.2412964203645</v>
      </c>
    </row>
    <row r="10371" customFormat="false" ht="17.15" hidden="false" customHeight="false" outlineLevel="0" collapsed="false">
      <c r="A10371" s="47" t="s">
        <v>804</v>
      </c>
      <c r="B10371" s="14" t="s">
        <v>86</v>
      </c>
      <c r="C10371" s="14"/>
      <c r="D10371" s="14"/>
      <c r="E10371" s="14"/>
      <c r="F10371" s="14"/>
      <c r="G10371" s="48" t="n">
        <f aca="false">SUM(Sens!$G$10360:$K$10360)</f>
        <v>192.924497963814</v>
      </c>
      <c r="H10371" s="14"/>
      <c r="I10371" s="14"/>
      <c r="J10371" s="14"/>
      <c r="K10371" s="14"/>
      <c r="L10371" s="14"/>
      <c r="M10371" s="14"/>
      <c r="N10371" s="14"/>
      <c r="O10371" s="14"/>
    </row>
    <row r="10372" customFormat="false" ht="17.15" hidden="false" customHeight="false" outlineLevel="0" collapsed="false">
      <c r="A10372" s="0" t="s">
        <v>770</v>
      </c>
      <c r="B10372" s="0" t="s">
        <v>86</v>
      </c>
      <c r="G10372" s="38" t="n">
        <f aca="false">SUM(Sens!$G$10365:$K$10365)</f>
        <v>0.182017444081787</v>
      </c>
    </row>
    <row r="10373" customFormat="false" ht="17.15" hidden="false" customHeight="false" outlineLevel="0" collapsed="false">
      <c r="A10373" s="24" t="s">
        <v>805</v>
      </c>
      <c r="B10373" s="25" t="s">
        <v>86</v>
      </c>
      <c r="C10373" s="25"/>
      <c r="D10373" s="25"/>
      <c r="E10373" s="25"/>
      <c r="F10373" s="25"/>
      <c r="G10373" s="41" t="n">
        <f aca="false">Sens!$G$10371-(Sens!$G$10360+Sens!$H$10360+Sens!$I$10360+Sens!$J$10360+Sens!$K$10360)</f>
        <v>0</v>
      </c>
      <c r="H10373" s="25"/>
      <c r="I10373" s="25"/>
      <c r="J10373" s="25"/>
      <c r="K10373" s="25"/>
      <c r="L10373" s="25"/>
      <c r="M10373" s="25"/>
      <c r="N10373" s="25"/>
      <c r="O10373" s="25"/>
    </row>
    <row r="10376" customFormat="false" ht="19.4" hidden="false" customHeight="false" outlineLevel="0" collapsed="false">
      <c r="A10376" s="31" t="s">
        <v>1341</v>
      </c>
    </row>
    <row r="10377" customFormat="false" ht="17.15" hidden="false" customHeight="false" outlineLevel="0" collapsed="false">
      <c r="A10377" s="6" t="s">
        <v>16</v>
      </c>
      <c r="B10377" s="6" t="s">
        <v>17</v>
      </c>
      <c r="C10377" s="20" t="s">
        <v>494</v>
      </c>
      <c r="D10377" s="20" t="s">
        <v>495</v>
      </c>
      <c r="E10377" s="20" t="s">
        <v>577</v>
      </c>
      <c r="F10377" s="20" t="s">
        <v>578</v>
      </c>
      <c r="G10377" s="20" t="s">
        <v>579</v>
      </c>
      <c r="H10377" s="20" t="s">
        <v>580</v>
      </c>
      <c r="I10377" s="20" t="s">
        <v>581</v>
      </c>
      <c r="J10377" s="20" t="s">
        <v>582</v>
      </c>
      <c r="K10377" s="20" t="s">
        <v>583</v>
      </c>
      <c r="L10377" s="20" t="s">
        <v>584</v>
      </c>
      <c r="M10377" s="20" t="s">
        <v>585</v>
      </c>
      <c r="N10377" s="20" t="s">
        <v>586</v>
      </c>
      <c r="O10377" s="20" t="s">
        <v>587</v>
      </c>
      <c r="P10377" s="6" t="s">
        <v>23</v>
      </c>
      <c r="R10377" s="20" t="n">
        <v>2023</v>
      </c>
      <c r="S10377" s="20" t="n">
        <v>2024</v>
      </c>
      <c r="T10377" s="20" t="n">
        <v>2025</v>
      </c>
      <c r="U10377" s="20" t="n">
        <v>2026</v>
      </c>
      <c r="V10377" s="20" t="n">
        <v>2027</v>
      </c>
      <c r="W10377" s="20" t="n">
        <v>2028</v>
      </c>
      <c r="X10377" s="20" t="n">
        <v>2029</v>
      </c>
      <c r="Y10377" s="20" t="n">
        <v>2030</v>
      </c>
      <c r="Z10377" s="20" t="n">
        <v>2031</v>
      </c>
      <c r="AA10377" s="20" t="n">
        <v>2032</v>
      </c>
    </row>
    <row r="10378" customFormat="false" ht="17.15" hidden="false" customHeight="false" outlineLevel="0" collapsed="false">
      <c r="A10378" s="1" t="s">
        <v>909</v>
      </c>
    </row>
    <row r="10379" customFormat="false" ht="17.15" hidden="false" customHeight="false" outlineLevel="0" collapsed="false">
      <c r="A10379" s="0" t="s">
        <v>910</v>
      </c>
      <c r="B10379" s="0" t="s">
        <v>86</v>
      </c>
      <c r="H10379" s="38" t="n">
        <f aca="false">Sens!$H$10313*(1-tax)</f>
        <v>123.109186169589</v>
      </c>
      <c r="I10379" s="38" t="n">
        <f aca="false">Sens!$I$10313*(1-tax)</f>
        <v>158.551212825636</v>
      </c>
      <c r="J10379" s="38" t="n">
        <f aca="false">Sens!$J$10313*(1-tax)</f>
        <v>192.794506684212</v>
      </c>
      <c r="K10379" s="38" t="n">
        <f aca="false">Sens!$K$10313*(1-tax)</f>
        <v>218.538164043339</v>
      </c>
      <c r="L10379" s="38" t="n">
        <f aca="false">Sens!$L$10313*(1-tax)</f>
        <v>239.579302139945</v>
      </c>
      <c r="M10379" s="38" t="n">
        <f aca="false">Sens!$M$10313*(1-tax)</f>
        <v>254.990144278864</v>
      </c>
    </row>
    <row r="10380" customFormat="false" ht="15" hidden="false" customHeight="false" outlineLevel="0" collapsed="false">
      <c r="A10380" s="5" t="s">
        <v>911</v>
      </c>
      <c r="B10380" s="0" t="s">
        <v>86</v>
      </c>
      <c r="H10380" s="38" t="n">
        <f aca="false">Sens!$H$10324</f>
        <v>84.5749885561059</v>
      </c>
      <c r="I10380" s="38" t="n">
        <f aca="false">Sens!$I$10324</f>
        <v>118.042122158798</v>
      </c>
      <c r="J10380" s="38" t="n">
        <f aca="false">Sens!$J$10324</f>
        <v>152.27209015198</v>
      </c>
      <c r="K10380" s="38" t="n">
        <f aca="false">Sens!$K$10324</f>
        <v>186.733654532054</v>
      </c>
      <c r="L10380" s="38" t="n">
        <f aca="false">Sens!$L$10324</f>
        <v>210.853295700971</v>
      </c>
      <c r="M10380" s="38" t="n">
        <f aca="false">Sens!$M$10324</f>
        <v>227.394136298658</v>
      </c>
    </row>
    <row r="10381" customFormat="false" ht="15" hidden="false" customHeight="false" outlineLevel="0" collapsed="false">
      <c r="A10381" s="5" t="s">
        <v>912</v>
      </c>
      <c r="B10381" s="0" t="s">
        <v>86</v>
      </c>
      <c r="H10381" s="38" t="n">
        <f aca="false">Sens!$H$10355</f>
        <v>278.581795301974</v>
      </c>
      <c r="I10381" s="38" t="n">
        <f aca="false">Sens!$I$10355</f>
        <v>292.338665274331</v>
      </c>
      <c r="J10381" s="38" t="n">
        <f aca="false">Sens!$J$10355</f>
        <v>304.657359365825</v>
      </c>
      <c r="K10381" s="38" t="n">
        <f aca="false">Sens!$K$10355</f>
        <v>254.725844303159</v>
      </c>
      <c r="L10381" s="38" t="n">
        <f aca="false">Sens!$L$10355</f>
        <v>236.691894970589</v>
      </c>
      <c r="M10381" s="38" t="n">
        <f aca="false">Sens!$M$10355</f>
        <v>244.766684314655</v>
      </c>
    </row>
    <row r="10382" customFormat="false" ht="15" hidden="false" customHeight="false" outlineLevel="0" collapsed="false">
      <c r="A10382" s="5" t="s">
        <v>913</v>
      </c>
      <c r="B10382" s="0" t="s">
        <v>86</v>
      </c>
      <c r="H10382" s="38" t="n">
        <f aca="false">Sens!$H$10356</f>
        <v>1.6</v>
      </c>
      <c r="I10382" s="38" t="n">
        <f aca="false">Sens!$I$10356</f>
        <v>1.6</v>
      </c>
      <c r="J10382" s="38" t="n">
        <f aca="false">Sens!$J$10356</f>
        <v>1.6</v>
      </c>
      <c r="K10382" s="38" t="n">
        <f aca="false">Sens!$K$10356</f>
        <v>1.6</v>
      </c>
      <c r="L10382" s="38" t="n">
        <f aca="false">Sens!$L$10356</f>
        <v>1.6</v>
      </c>
      <c r="M10382" s="38" t="n">
        <f aca="false">Sens!$M$10356</f>
        <v>1.6</v>
      </c>
    </row>
    <row r="10383" customFormat="false" ht="15" hidden="false" customHeight="false" outlineLevel="0" collapsed="false">
      <c r="A10383" s="5" t="s">
        <v>914</v>
      </c>
      <c r="B10383" s="0" t="s">
        <v>86</v>
      </c>
      <c r="H10383" s="38" t="n">
        <f aca="false">Sens!$H$10350</f>
        <v>11.5302302906657</v>
      </c>
      <c r="I10383" s="38" t="n">
        <f aca="false">Sens!$I$10350</f>
        <v>13.3265464583159</v>
      </c>
      <c r="J10383" s="38" t="n">
        <f aca="false">Sens!$J$10350</f>
        <v>15.0594614888667</v>
      </c>
      <c r="K10383" s="38" t="n">
        <f aca="false">Sens!$K$10350</f>
        <v>16.571667547091</v>
      </c>
      <c r="L10383" s="38" t="n">
        <f aca="false">Sens!$L$10350</f>
        <v>17.9158954694828</v>
      </c>
      <c r="M10383" s="38" t="n">
        <f aca="false">Sens!$M$10350</f>
        <v>19.0962377272457</v>
      </c>
    </row>
    <row r="10384" customFormat="false" ht="17.15" hidden="false" customHeight="false" outlineLevel="0" collapsed="false">
      <c r="A10384" s="1" t="s">
        <v>915</v>
      </c>
      <c r="B10384" s="8" t="s">
        <v>86</v>
      </c>
      <c r="H10384" s="38" t="n">
        <f aca="false">Sens!$H$10379+Sens!$H$10380-Sens!$H$10381-Sens!$H$10382+Sens!$H$10383</f>
        <v>-60.9673902856132</v>
      </c>
      <c r="I10384" s="38" t="n">
        <f aca="false">Sens!$I$10379+Sens!$I$10380-Sens!$I$10381-Sens!$I$10382+Sens!$I$10383</f>
        <v>-4.01878383158144</v>
      </c>
      <c r="J10384" s="38" t="n">
        <f aca="false">Sens!$J$10379+Sens!$J$10380-Sens!$J$10381-Sens!$J$10382+Sens!$J$10383</f>
        <v>53.8686989592332</v>
      </c>
      <c r="K10384" s="38" t="n">
        <f aca="false">Sens!$K$10379+Sens!$K$10380-Sens!$K$10381-Sens!$K$10382+Sens!$K$10383</f>
        <v>165.517641819325</v>
      </c>
      <c r="L10384" s="38" t="n">
        <f aca="false">Sens!$L$10379+Sens!$L$10380-Sens!$L$10381-Sens!$L$10382+Sens!$L$10383</f>
        <v>230.05659833981</v>
      </c>
      <c r="M10384" s="38" t="n">
        <f aca="false">Sens!$M$10379+Sens!$M$10380-Sens!$M$10381-Sens!$M$10382+Sens!$M$10383</f>
        <v>255.113833990113</v>
      </c>
    </row>
    <row r="10385" customFormat="false" ht="15" hidden="false" customHeight="false" outlineLevel="0" collapsed="false">
      <c r="A10385" s="5" t="s">
        <v>916</v>
      </c>
      <c r="B10385" s="0" t="s">
        <v>57</v>
      </c>
      <c r="H10385" s="40" t="n">
        <f aca="false">1/(1+wacc)^(2027-2026-0.5)</f>
        <v>0.947751320380232</v>
      </c>
      <c r="I10385" s="40" t="n">
        <f aca="false">1/(1+wacc)^(2028-2026-0.5)</f>
        <v>0.851301099754987</v>
      </c>
      <c r="J10385" s="40" t="n">
        <f aca="false">1/(1+wacc)^(2029-2026-0.5)</f>
        <v>0.764666370660713</v>
      </c>
      <c r="K10385" s="40" t="n">
        <f aca="false">1/(1+wacc)^(2030-2026-0.5)</f>
        <v>0.686848235703811</v>
      </c>
      <c r="L10385" s="40" t="n">
        <f aca="false">1/(1+wacc)^(2031-2026-0.5)</f>
        <v>0.616949452715975</v>
      </c>
      <c r="M10385" s="40" t="n">
        <f aca="false">1/(1+wacc)^(2032-2026-0.5)</f>
        <v>0.554164089562688</v>
      </c>
    </row>
    <row r="10386" customFormat="false" ht="15" hidden="false" customHeight="false" outlineLevel="0" collapsed="false">
      <c r="A10386" s="5" t="s">
        <v>917</v>
      </c>
      <c r="B10386" s="0" t="s">
        <v>86</v>
      </c>
      <c r="H10386" s="38" t="n">
        <f aca="false">Sens!$H$10384*Sens!$H$10385</f>
        <v>-57.7819246433268</v>
      </c>
      <c r="I10386" s="38" t="n">
        <f aca="false">Sens!$I$10384*Sens!$I$10385</f>
        <v>-3.42119509550284</v>
      </c>
      <c r="J10386" s="38" t="n">
        <f aca="false">Sens!$J$10384*Sens!$J$10385</f>
        <v>41.1915825253714</v>
      </c>
      <c r="K10386" s="38" t="n">
        <f aca="false">Sens!$K$10384*Sens!$K$10385</f>
        <v>113.685500261458</v>
      </c>
      <c r="L10386" s="38" t="n">
        <f aca="false">Sens!$L$10384*Sens!$L$10385</f>
        <v>141.933292439445</v>
      </c>
      <c r="M10386" s="38" t="n">
        <f aca="false">Sens!$M$10384*Sens!$M$10385</f>
        <v>141.374925547978</v>
      </c>
    </row>
    <row r="10387" customFormat="false" ht="15" hidden="false" customHeight="false" outlineLevel="0" collapsed="false">
      <c r="A10387" s="5" t="s">
        <v>918</v>
      </c>
      <c r="B10387" s="0" t="s">
        <v>86</v>
      </c>
      <c r="C10387" s="38" t="n">
        <f aca="false">SUM(Sens!$H$10386:$M$10386)</f>
        <v>376.982181035423</v>
      </c>
    </row>
    <row r="10388" customFormat="false" ht="17.15" hidden="false" customHeight="false" outlineLevel="0" collapsed="false">
      <c r="A10388" s="5" t="s">
        <v>919</v>
      </c>
      <c r="B10388" s="0" t="s">
        <v>86</v>
      </c>
      <c r="C10388" s="38" t="n">
        <f aca="false">Sens!$M$10379*(1+tg)*(1-tg/ronic)/(wacc-tg)</f>
        <v>2318.14495093334</v>
      </c>
    </row>
    <row r="10389" customFormat="false" ht="15" hidden="false" customHeight="false" outlineLevel="0" collapsed="false">
      <c r="A10389" s="5" t="s">
        <v>920</v>
      </c>
      <c r="B10389" s="0" t="s">
        <v>86</v>
      </c>
      <c r="C10389" s="38" t="n">
        <f aca="false">Sens!$C$10388/(1+wacc)^6</f>
        <v>1217.51232455754</v>
      </c>
    </row>
    <row r="10390" customFormat="false" ht="17.15" hidden="false" customHeight="false" outlineLevel="0" collapsed="false">
      <c r="A10390" s="5" t="s">
        <v>921</v>
      </c>
      <c r="B10390" s="0" t="s">
        <v>86</v>
      </c>
      <c r="C10390" s="38" t="n">
        <f aca="false">Sens!$C$10387+Sens!$C$10389</f>
        <v>1594.49450559296</v>
      </c>
    </row>
    <row r="10391" customFormat="false" ht="17.15" hidden="false" customHeight="false" outlineLevel="0" collapsed="false">
      <c r="A10391" s="5" t="s">
        <v>922</v>
      </c>
      <c r="B10391" s="0" t="s">
        <v>52</v>
      </c>
      <c r="C10391" s="13" t="n">
        <f aca="false">Sens!$C$10389/Sens!$C$10390</f>
        <v>0.763572605792561</v>
      </c>
    </row>
    <row r="10392" customFormat="false" ht="17.15" hidden="false" customHeight="false" outlineLevel="0" collapsed="false">
      <c r="A10392" s="5" t="s">
        <v>923</v>
      </c>
      <c r="B10392" s="0" t="s">
        <v>86</v>
      </c>
      <c r="C10392" s="38" t="n">
        <f aca="false">Sens!$G$10368+fin_debt</f>
        <v>96.9281473383469</v>
      </c>
    </row>
    <row r="10393" customFormat="false" ht="17.15" hidden="false" customHeight="false" outlineLevel="0" collapsed="false">
      <c r="A10393" s="5" t="s">
        <v>924</v>
      </c>
      <c r="B10393" s="0" t="s">
        <v>86</v>
      </c>
      <c r="C10393" s="38" t="n">
        <f aca="false">(ant_val*ant_sh+oai_val*oai_sh)*(1-liq_disc)</f>
        <v>178.944</v>
      </c>
    </row>
    <row r="10394" customFormat="false" ht="15" hidden="false" customHeight="false" outlineLevel="0" collapsed="false">
      <c r="A10394" s="5" t="s">
        <v>925</v>
      </c>
      <c r="B10394" s="0" t="s">
        <v>86</v>
      </c>
      <c r="C10394" s="38" t="n">
        <f aca="false">Sens!$C$10390-Sens!$C$10392+Sens!$C$10393</f>
        <v>1676.51035825461</v>
      </c>
    </row>
    <row r="10395" customFormat="false" ht="17.15" hidden="false" customHeight="false" outlineLevel="0" collapsed="false">
      <c r="A10395" s="5" t="s">
        <v>926</v>
      </c>
      <c r="B10395" s="0" t="s">
        <v>27</v>
      </c>
      <c r="C10395" s="30" t="n">
        <f aca="false">Sens!$C$10394/sh_out</f>
        <v>155.429404174087</v>
      </c>
    </row>
    <row r="10396" customFormat="false" ht="17.15" hidden="false" customHeight="false" outlineLevel="0" collapsed="false">
      <c r="A10396" s="1" t="s">
        <v>927</v>
      </c>
      <c r="B10396" s="8" t="s">
        <v>27</v>
      </c>
      <c r="C10396" s="30" t="n">
        <f aca="false">Sens!$C$10395*(1+ke)^tp_yf-dps*tp_yf</f>
        <v>170.25252715841</v>
      </c>
    </row>
    <row r="10397" customFormat="false" ht="17.15" hidden="false" customHeight="false" outlineLevel="0" collapsed="false">
      <c r="A10397" s="3" t="s">
        <v>928</v>
      </c>
    </row>
    <row r="10398" customFormat="false" ht="17.15" hidden="false" customHeight="false" outlineLevel="0" collapsed="false">
      <c r="A10398" s="5" t="s">
        <v>929</v>
      </c>
      <c r="B10398" s="0" t="s">
        <v>86</v>
      </c>
      <c r="C10398" s="38" t="n">
        <f aca="false">(1-tp_yf)*(Sens!$H$10325+Sens!$H$10349*Sens!$H$10191/Sens!$H$10266)+tp_yf*(Sens!$I$10325+Sens!$I$10349*Sens!$I$10191/Sens!$I$10266)</f>
        <v>59.3686197674187</v>
      </c>
    </row>
    <row r="10399" customFormat="false" ht="15" hidden="false" customHeight="false" outlineLevel="0" collapsed="false">
      <c r="A10399" s="5" t="s">
        <v>930</v>
      </c>
      <c r="B10399" s="0" t="s">
        <v>57</v>
      </c>
      <c r="C10399" s="30" t="n">
        <f aca="false">m_ads*m_x</f>
        <v>9.11</v>
      </c>
    </row>
    <row r="10400" customFormat="false" ht="17.15" hidden="false" customHeight="false" outlineLevel="0" collapsed="false">
      <c r="A10400" s="5" t="s">
        <v>931</v>
      </c>
      <c r="B10400" s="0" t="s">
        <v>86</v>
      </c>
      <c r="C10400" s="38" t="n">
        <f aca="false">Sens!$C$10398*Sens!$C$10399</f>
        <v>540.848126081184</v>
      </c>
    </row>
    <row r="10401" customFormat="false" ht="17.15" hidden="false" customHeight="false" outlineLevel="0" collapsed="false">
      <c r="A10401" s="5" t="s">
        <v>932</v>
      </c>
      <c r="B10401" s="0" t="s">
        <v>86</v>
      </c>
      <c r="C10401" s="38" t="n">
        <f aca="false">(1-tp_yf)*(Sens!$H$10326+Sens!$H$10349*(Sens!$H$10198-Sens!$H$10191)/Sens!$H$10266+IF(1=2,1,0)*(1-ext_sh)*Sens!$H$10228)+tp_yf*(Sens!$I$10326+Sens!$I$10349*(Sens!$I$10198-Sens!$I$10191)/Sens!$I$10266+IF(1=2,1,0)*(1-ext_sh)*Sens!$I$10228)</f>
        <v>46.5951794394574</v>
      </c>
    </row>
    <row r="10402" customFormat="false" ht="17.15" hidden="false" customHeight="false" outlineLevel="0" collapsed="false">
      <c r="A10402" s="5" t="s">
        <v>933</v>
      </c>
      <c r="B10402" s="0" t="s">
        <v>57</v>
      </c>
      <c r="C10402" s="30" t="n">
        <f aca="false">m_retail*m_x</f>
        <v>17.72</v>
      </c>
    </row>
    <row r="10403" customFormat="false" ht="17.15" hidden="false" customHeight="false" outlineLevel="0" collapsed="false">
      <c r="A10403" s="5" t="s">
        <v>934</v>
      </c>
      <c r="B10403" s="0" t="s">
        <v>86</v>
      </c>
      <c r="C10403" s="38" t="n">
        <f aca="false">Sens!$C$10401*Sens!$C$10402</f>
        <v>825.666579667185</v>
      </c>
    </row>
    <row r="10404" customFormat="false" ht="17.15" hidden="false" customHeight="false" outlineLevel="0" collapsed="false">
      <c r="A10404" s="0" t="s">
        <v>935</v>
      </c>
      <c r="B10404" s="0" t="s">
        <v>86</v>
      </c>
      <c r="C10404" s="38" t="n">
        <f aca="false">(1-tp_yf)*(Sens!$H$10327+Sens!$H$10349*Sens!$H$10264/Sens!$H$10266)+tp_yf*(Sens!$I$10327+Sens!$I$10349*Sens!$I$10264/Sens!$I$10266)</f>
        <v>97.3363031479074</v>
      </c>
    </row>
    <row r="10405" customFormat="false" ht="17.15" hidden="false" customHeight="false" outlineLevel="0" collapsed="false">
      <c r="A10405" s="0" t="s">
        <v>936</v>
      </c>
      <c r="B10405" s="0" t="s">
        <v>57</v>
      </c>
      <c r="C10405" s="30" t="n">
        <f aca="false">m_cloud*m_x</f>
        <v>13.82</v>
      </c>
    </row>
    <row r="10406" customFormat="false" ht="17.15" hidden="false" customHeight="false" outlineLevel="0" collapsed="false">
      <c r="A10406" s="0" t="s">
        <v>937</v>
      </c>
      <c r="B10406" s="0" t="s">
        <v>86</v>
      </c>
      <c r="C10406" s="38" t="n">
        <f aca="false">Sens!$C$10404*Sens!$C$10405</f>
        <v>1345.18770950408</v>
      </c>
    </row>
    <row r="10407" customFormat="false" ht="17.15" hidden="false" customHeight="false" outlineLevel="0" collapsed="false">
      <c r="A10407" s="0" t="s">
        <v>938</v>
      </c>
      <c r="B10407" s="0" t="s">
        <v>86</v>
      </c>
      <c r="H10407" s="38" t="n">
        <f aca="false">Sens!$H$10245-tax*Sens!$H$10246-ext_sh*Sens!$H$10235</f>
        <v>-100.194922249854</v>
      </c>
      <c r="I10407" s="38" t="n">
        <f aca="false">Sens!$I$10245-tax*Sens!$I$10246-ext_sh*Sens!$I$10235</f>
        <v>-54.5682479438799</v>
      </c>
      <c r="J10407" s="38" t="n">
        <f aca="false">Sens!$J$10245-tax*Sens!$J$10246-ext_sh*Sens!$J$10235</f>
        <v>-7.76857572284416</v>
      </c>
      <c r="K10407" s="38" t="n">
        <f aca="false">Sens!$K$10245-tax*Sens!$K$10246-ext_sh*Sens!$K$10235</f>
        <v>81.4650424249502</v>
      </c>
      <c r="L10407" s="38" t="n">
        <f aca="false">Sens!$L$10245-tax*Sens!$L$10246-ext_sh*Sens!$L$10235</f>
        <v>130.362154366593</v>
      </c>
      <c r="M10407" s="38" t="n">
        <f aca="false">Sens!$M$10245-tax*Sens!$M$10246-ext_sh*Sens!$M$10235</f>
        <v>143.926941582603</v>
      </c>
    </row>
    <row r="10408" customFormat="false" ht="17.15" hidden="false" customHeight="false" outlineLevel="0" collapsed="false">
      <c r="A10408" s="5" t="s">
        <v>939</v>
      </c>
      <c r="B10408" s="0" t="s">
        <v>86</v>
      </c>
      <c r="H10408" s="38" t="n">
        <f aca="false">Sens!$H$10407*Sens!$H$10385</f>
        <v>-94.959869857694</v>
      </c>
      <c r="I10408" s="38" t="n">
        <f aca="false">Sens!$I$10407*Sens!$I$10385</f>
        <v>-46.4540094863278</v>
      </c>
      <c r="J10408" s="38" t="n">
        <f aca="false">Sens!$J$10407*Sens!$J$10385</f>
        <v>-5.94036860319017</v>
      </c>
      <c r="K10408" s="38" t="n">
        <f aca="false">Sens!$K$10407*Sens!$K$10385</f>
        <v>55.9541206611132</v>
      </c>
      <c r="L10408" s="38" t="n">
        <f aca="false">Sens!$L$10407*Sens!$L$10385</f>
        <v>80.426859791345</v>
      </c>
      <c r="M10408" s="38" t="n">
        <f aca="false">Sens!$M$10407*Sens!$M$10385</f>
        <v>79.7591425456657</v>
      </c>
    </row>
    <row r="10409" customFormat="false" ht="17.15" hidden="false" customHeight="false" outlineLevel="0" collapsed="false">
      <c r="A10409" s="5" t="s">
        <v>940</v>
      </c>
      <c r="B10409" s="0" t="s">
        <v>86</v>
      </c>
      <c r="C10409" s="38" t="n">
        <f aca="false">Sens!$M$10246*(1-tax)*(1+tg)*(1-tg/ronic)/(wacc-tg)</f>
        <v>1162.67766916056</v>
      </c>
    </row>
    <row r="10410" customFormat="false" ht="17.15" hidden="false" customHeight="false" outlineLevel="0" collapsed="false">
      <c r="A10410" s="0" t="s">
        <v>941</v>
      </c>
      <c r="B10410" s="0" t="s">
        <v>86</v>
      </c>
      <c r="C10410" s="38" t="n">
        <f aca="false">(SUM(Sens!$H$10408:$M$10408)+Sens!$C$10409/(1+wacc)^6)*(1+wacc)^tp_yf</f>
        <v>742.093838969568</v>
      </c>
    </row>
    <row r="10411" customFormat="false" ht="17.15" hidden="false" customHeight="false" outlineLevel="0" collapsed="false">
      <c r="A10411" s="5" t="s">
        <v>942</v>
      </c>
      <c r="B10411" s="0" t="s">
        <v>86</v>
      </c>
      <c r="C10411" s="38" t="n">
        <f aca="false">(1-tp_yf)*(Sens!$H$10328)+tp_yf*(Sens!$I$10328)</f>
        <v>116.623020306649</v>
      </c>
    </row>
    <row r="10412" customFormat="false" ht="17.15" hidden="false" customHeight="false" outlineLevel="0" collapsed="false">
      <c r="A10412" s="5" t="s">
        <v>943</v>
      </c>
      <c r="B10412" s="0" t="s">
        <v>86</v>
      </c>
      <c r="C10412" s="38" t="n">
        <f aca="false">Sens!$C$10411*m_ai</f>
        <v>699.738121839894</v>
      </c>
    </row>
    <row r="10413" customFormat="false" ht="17.15" hidden="false" customHeight="false" outlineLevel="0" collapsed="false">
      <c r="A10413" s="0" t="s">
        <v>944</v>
      </c>
      <c r="B10413" s="0" t="s">
        <v>86</v>
      </c>
      <c r="C10413" s="38" t="n">
        <f aca="false">IF(ai_leg=1,Sens!$C$10410,Sens!$C$10412)</f>
        <v>742.093838969568</v>
      </c>
    </row>
    <row r="10414" customFormat="false" ht="17.15" hidden="false" customHeight="false" outlineLevel="0" collapsed="false">
      <c r="A10414" s="5" t="s">
        <v>945</v>
      </c>
      <c r="B10414" s="0" t="s">
        <v>86</v>
      </c>
      <c r="C10414" s="38" t="n">
        <f aca="false">Sens!$C$10400+Sens!$C$10403+Sens!$C$10406+Sens!$C$10413</f>
        <v>3453.79625422202</v>
      </c>
    </row>
    <row r="10415" customFormat="false" ht="17.15" hidden="false" customHeight="false" outlineLevel="0" collapsed="false">
      <c r="A10415" s="5" t="s">
        <v>946</v>
      </c>
      <c r="B10415" s="0" t="s">
        <v>86</v>
      </c>
      <c r="C10415" s="38" t="n">
        <f aca="false">Sens!$H$10368+fin_debt</f>
        <v>136.948016444082</v>
      </c>
    </row>
    <row r="10416" customFormat="false" ht="15" hidden="false" customHeight="false" outlineLevel="0" collapsed="false">
      <c r="A10416" s="5" t="s">
        <v>947</v>
      </c>
      <c r="B10416" s="0" t="s">
        <v>86</v>
      </c>
      <c r="C10416" s="38" t="n">
        <f aca="false">Sens!$C$10414-Sens!$C$10415+Sens!$C$10393</f>
        <v>3495.79223777794</v>
      </c>
    </row>
    <row r="10417" customFormat="false" ht="15" hidden="false" customHeight="false" outlineLevel="0" collapsed="false">
      <c r="A10417" s="3" t="s">
        <v>948</v>
      </c>
      <c r="B10417" s="8" t="s">
        <v>27</v>
      </c>
      <c r="C10417" s="30" t="n">
        <f aca="false">Sens!$C$10416/sh_val</f>
        <v>316.925904174436</v>
      </c>
    </row>
    <row r="10418" customFormat="false" ht="17.15" hidden="false" customHeight="false" outlineLevel="0" collapsed="false">
      <c r="A10418" s="47" t="s">
        <v>949</v>
      </c>
      <c r="B10418" s="14" t="s">
        <v>27</v>
      </c>
      <c r="C10418" s="44" t="n">
        <f aca="false">w_dcf*Sens!$C$10396+(1-w_dcf)*Sens!$C$10417</f>
        <v>243.589215666423</v>
      </c>
      <c r="D10418" s="14"/>
      <c r="E10418" s="14"/>
      <c r="F10418" s="14"/>
      <c r="G10418" s="14"/>
      <c r="H10418" s="14"/>
      <c r="I10418" s="14"/>
      <c r="J10418" s="14"/>
      <c r="K10418" s="14"/>
      <c r="L10418" s="14"/>
      <c r="M10418" s="14"/>
      <c r="N10418" s="14"/>
      <c r="O10418" s="14"/>
    </row>
    <row r="10419" customFormat="false" ht="17.15" hidden="false" customHeight="false" outlineLevel="0" collapsed="false">
      <c r="A10419" s="5" t="s">
        <v>950</v>
      </c>
      <c r="B10419" s="0" t="s">
        <v>27</v>
      </c>
      <c r="C10419" s="30" t="n">
        <f aca="false">v022_wdcf*Sens!$C$10396+(1-v022_wdcf)*Sens!$C$10417</f>
        <v>250.922884517224</v>
      </c>
    </row>
    <row r="10420" customFormat="false" ht="17.15" hidden="false" customHeight="false" outlineLevel="0" collapsed="false">
      <c r="A10420" s="5" t="s">
        <v>951</v>
      </c>
      <c r="B10420" s="0" t="s">
        <v>27</v>
      </c>
      <c r="C10420" s="30" t="n">
        <f aca="false">(Sens!$C$10416-Sens!$C$10413+Sens!$C$10412)/sh_val</f>
        <v>313.085966605145</v>
      </c>
    </row>
    <row r="10423" customFormat="false" ht="19.4" hidden="false" customHeight="false" outlineLevel="0" collapsed="false">
      <c r="A10423" s="31" t="s">
        <v>1342</v>
      </c>
    </row>
    <row r="10424" customFormat="false" ht="17.15" hidden="false" customHeight="false" outlineLevel="0" collapsed="false">
      <c r="A10424" s="6" t="s">
        <v>16</v>
      </c>
      <c r="B10424" s="6" t="s">
        <v>17</v>
      </c>
      <c r="C10424" s="20" t="s">
        <v>494</v>
      </c>
      <c r="D10424" s="20" t="s">
        <v>495</v>
      </c>
      <c r="E10424" s="20" t="s">
        <v>577</v>
      </c>
      <c r="F10424" s="20" t="s">
        <v>578</v>
      </c>
      <c r="G10424" s="20" t="s">
        <v>579</v>
      </c>
      <c r="H10424" s="20" t="s">
        <v>580</v>
      </c>
      <c r="I10424" s="20" t="s">
        <v>581</v>
      </c>
      <c r="J10424" s="20" t="s">
        <v>582</v>
      </c>
      <c r="K10424" s="20" t="s">
        <v>583</v>
      </c>
      <c r="L10424" s="20" t="s">
        <v>584</v>
      </c>
      <c r="M10424" s="20" t="s">
        <v>585</v>
      </c>
      <c r="N10424" s="20" t="s">
        <v>586</v>
      </c>
      <c r="O10424" s="20" t="s">
        <v>587</v>
      </c>
      <c r="P10424" s="6" t="s">
        <v>23</v>
      </c>
      <c r="R10424" s="20" t="n">
        <v>2023</v>
      </c>
      <c r="S10424" s="20" t="n">
        <v>2024</v>
      </c>
      <c r="T10424" s="20" t="n">
        <v>2025</v>
      </c>
      <c r="U10424" s="20" t="n">
        <v>2026</v>
      </c>
      <c r="V10424" s="20" t="n">
        <v>2027</v>
      </c>
      <c r="W10424" s="20" t="n">
        <v>2028</v>
      </c>
      <c r="X10424" s="20" t="n">
        <v>2029</v>
      </c>
      <c r="Y10424" s="20" t="n">
        <v>2030</v>
      </c>
      <c r="Z10424" s="20" t="n">
        <v>2031</v>
      </c>
      <c r="AA10424" s="20" t="n">
        <v>2032</v>
      </c>
    </row>
    <row r="10425" customFormat="false" ht="17.15" hidden="false" customHeight="false" outlineLevel="0" collapsed="false">
      <c r="A10425" s="1" t="s">
        <v>660</v>
      </c>
    </row>
    <row r="10426" customFormat="false" ht="17.15" hidden="false" customHeight="false" outlineLevel="0" collapsed="false">
      <c r="A10426" s="0" t="s">
        <v>516</v>
      </c>
      <c r="B10426" s="0" t="s">
        <v>86</v>
      </c>
      <c r="C10426" s="38" t="n">
        <f aca="false">Q!$D$10</f>
        <v>247.029</v>
      </c>
      <c r="D10426" s="38" t="n">
        <f aca="false">Q!$E$10</f>
        <v>269.287</v>
      </c>
      <c r="E10426" s="38" t="n">
        <f aca="false">Q!$P$10</f>
        <v>134.686</v>
      </c>
      <c r="F10426" s="38" t="n">
        <f aca="false">Sens!$O$10426*(1+Sens!$F$10427)*Sens!$F$10438</f>
        <v>158.293876822267</v>
      </c>
      <c r="G10426" s="38" t="n">
        <f aca="false">Sens!$E$10426+Sens!$F$10426</f>
        <v>292.979876822267</v>
      </c>
      <c r="H10426" s="38" t="n">
        <f aca="false">Sens!$G$10426*(1+Sens!$H$10427)</f>
        <v>318.184543087396</v>
      </c>
      <c r="I10426" s="38" t="n">
        <f aca="false">Sens!$H$10426*(1+Sens!$I$10427)</f>
        <v>341.736278761793</v>
      </c>
      <c r="J10426" s="38" t="n">
        <f aca="false">Sens!$I$10426*(1+Sens!$J$10427)</f>
        <v>362.927192787048</v>
      </c>
      <c r="K10426" s="38" t="n">
        <f aca="false">Sens!$J$10426*(1+Sens!$K$10427)</f>
        <v>381.0735524264</v>
      </c>
      <c r="L10426" s="38" t="n">
        <f aca="false">Sens!$K$10426*(1+Sens!$L$10427)</f>
        <v>400.12723004772</v>
      </c>
      <c r="M10426" s="38" t="n">
        <f aca="false">Sens!$L$10426*(1+Sens!$M$10427)</f>
        <v>420.133591550106</v>
      </c>
      <c r="N10426" s="38" t="n">
        <f aca="false">Q!$N$10</f>
        <v>118.892</v>
      </c>
      <c r="O10426" s="38" t="n">
        <f aca="false">Q!$O$10</f>
        <v>150.395</v>
      </c>
      <c r="P10426" s="8" t="s">
        <v>661</v>
      </c>
    </row>
    <row r="10427" customFormat="false" ht="17.15" hidden="false" customHeight="false" outlineLevel="0" collapsed="false">
      <c r="A10427" s="0" t="s">
        <v>662</v>
      </c>
      <c r="B10427" s="0" t="s">
        <v>52</v>
      </c>
      <c r="E10427" s="13" t="n">
        <f aca="false">Sens!$E$10426/Sens!$N$10426-1</f>
        <v>0.132843252699929</v>
      </c>
      <c r="F10427" s="13" t="n">
        <f aca="false">Sens!$O$10426/(Q!$F$10+Q!$G$10)-1</f>
        <v>0.0980382135842941</v>
      </c>
      <c r="G10427" s="13" t="n">
        <f aca="false">Sens!$G$10426/Sens!$D$10426-1</f>
        <v>0.0879837378791657</v>
      </c>
      <c r="H10427" s="13" t="n">
        <f aca="false">Sens!$F$10427+(g_os-Sens!$F$10427)*1/4</f>
        <v>0.0860286601882206</v>
      </c>
      <c r="I10427" s="13" t="n">
        <f aca="false">Sens!$F$10427+(g_os-Sens!$F$10427)*2/4</f>
        <v>0.074019106792147</v>
      </c>
      <c r="J10427" s="13" t="n">
        <f aca="false">Sens!$F$10427+(g_os-Sens!$F$10427)*3/4</f>
        <v>0.0620095533960735</v>
      </c>
      <c r="K10427" s="13" t="n">
        <f aca="false">Sens!$F$10427+(g_os-Sens!$F$10427)*4/4</f>
        <v>0.05</v>
      </c>
      <c r="L10427" s="13" t="n">
        <f aca="false">g_os</f>
        <v>0.05</v>
      </c>
      <c r="M10427" s="13" t="n">
        <f aca="false">g_os</f>
        <v>0.05</v>
      </c>
      <c r="P10427" s="8" t="s">
        <v>663</v>
      </c>
    </row>
    <row r="10428" customFormat="false" ht="17.15" hidden="false" customHeight="false" outlineLevel="0" collapsed="false">
      <c r="A10428" s="0" t="s">
        <v>517</v>
      </c>
      <c r="B10428" s="0" t="s">
        <v>86</v>
      </c>
      <c r="C10428" s="38" t="n">
        <f aca="false">Q!$D$11</f>
        <v>21.215</v>
      </c>
      <c r="D10428" s="38" t="n">
        <f aca="false">Q!$E$11</f>
        <v>22.561</v>
      </c>
      <c r="E10428" s="38" t="n">
        <f aca="false">Q!$P$11</f>
        <v>11.579</v>
      </c>
      <c r="F10428" s="38" t="n">
        <f aca="false">Sens!$O$10428*(1+Sens!$F$10429)*Sens!$F$10438</f>
        <v>11.5938724610325</v>
      </c>
      <c r="G10428" s="38" t="n">
        <f aca="false">Sens!$E$10428+Sens!$F$10428</f>
        <v>23.1728724610325</v>
      </c>
      <c r="H10428" s="38" t="n">
        <f aca="false">Sens!$G$10428*(1+Sens!$H$10429)</f>
        <v>24.353392759506</v>
      </c>
      <c r="I10428" s="38" t="n">
        <f aca="false">Sens!$H$10428*(1+Sens!$I$10429)</f>
        <v>25.4240338872015</v>
      </c>
      <c r="J10428" s="38" t="n">
        <f aca="false">Sens!$I$10428*(1+Sens!$J$10429)</f>
        <v>26.3642491017174</v>
      </c>
      <c r="K10428" s="38" t="n">
        <f aca="false">Sens!$J$10428*(1+Sens!$K$10429)</f>
        <v>27.155176574769</v>
      </c>
      <c r="L10428" s="38" t="n">
        <f aca="false">Sens!$K$10428*(1+Sens!$L$10429)</f>
        <v>27.969831872012</v>
      </c>
      <c r="M10428" s="38" t="n">
        <f aca="false">Sens!$L$10428*(1+Sens!$M$10429)</f>
        <v>28.8089268281724</v>
      </c>
      <c r="N10428" s="38" t="n">
        <f aca="false">Q!$N$11</f>
        <v>11.128</v>
      </c>
      <c r="O10428" s="38" t="n">
        <f aca="false">Q!$O$11</f>
        <v>11.433</v>
      </c>
      <c r="P10428" s="8" t="s">
        <v>661</v>
      </c>
    </row>
    <row r="10429" customFormat="false" ht="17.15" hidden="false" customHeight="false" outlineLevel="0" collapsed="false">
      <c r="A10429" s="0" t="s">
        <v>664</v>
      </c>
      <c r="B10429" s="0" t="s">
        <v>52</v>
      </c>
      <c r="E10429" s="13" t="n">
        <f aca="false">Sens!$E$10428/Sens!$N$10428-1</f>
        <v>0.0405283968368082</v>
      </c>
      <c r="F10429" s="13" t="n">
        <f aca="false">Sens!$O$10428/(Q!$F$11+Q!$G$11)-1</f>
        <v>0.0579254187100955</v>
      </c>
      <c r="G10429" s="13" t="n">
        <f aca="false">Sens!$G$10428/Sens!$D$10428-1</f>
        <v>0.0271208040881397</v>
      </c>
      <c r="H10429" s="13" t="n">
        <f aca="false">Sens!$F$10429+(g_ps-Sens!$F$10429)*1/4</f>
        <v>0.0509440640325716</v>
      </c>
      <c r="I10429" s="13" t="n">
        <f aca="false">Sens!$F$10429+(g_ps-Sens!$F$10429)*2/4</f>
        <v>0.0439627093550477</v>
      </c>
      <c r="J10429" s="13" t="n">
        <f aca="false">Sens!$F$10429+(g_ps-Sens!$F$10429)*3/4</f>
        <v>0.0369813546775239</v>
      </c>
      <c r="K10429" s="13" t="n">
        <f aca="false">Sens!$F$10429+(g_ps-Sens!$F$10429)*4/4</f>
        <v>0.03</v>
      </c>
      <c r="L10429" s="13" t="n">
        <f aca="false">g_ps</f>
        <v>0.03</v>
      </c>
      <c r="M10429" s="13" t="n">
        <f aca="false">g_ps</f>
        <v>0.03</v>
      </c>
      <c r="P10429" s="8" t="s">
        <v>665</v>
      </c>
    </row>
    <row r="10430" customFormat="false" ht="17.15" hidden="false" customHeight="false" outlineLevel="0" collapsed="false">
      <c r="A10430" s="0" t="s">
        <v>518</v>
      </c>
      <c r="B10430" s="0" t="s">
        <v>86</v>
      </c>
      <c r="C10430" s="38" t="n">
        <f aca="false">Q!$D$12</f>
        <v>156.146</v>
      </c>
      <c r="D10430" s="38" t="n">
        <f aca="false">Q!$E$12</f>
        <v>172.162</v>
      </c>
      <c r="E10430" s="38" t="n">
        <f aca="false">Q!$P$12</f>
        <v>88.358</v>
      </c>
      <c r="F10430" s="38" t="n">
        <f aca="false">Sens!$O$10430*(1+Sens!$F$10431)*Sens!$F$10438</f>
        <v>102.004388260171</v>
      </c>
      <c r="G10430" s="38" t="n">
        <f aca="false">Sens!$E$10430+Sens!$F$10430</f>
        <v>190.362388260171</v>
      </c>
      <c r="H10430" s="38" t="n">
        <f aca="false">Sens!$G$10430*(1+Sens!$H$10431)</f>
        <v>210.343106588311</v>
      </c>
      <c r="I10430" s="38" t="n">
        <f aca="false">Sens!$H$10430*(1+Sens!$I$10431)</f>
        <v>229.969728494648</v>
      </c>
      <c r="J10430" s="38" t="n">
        <f aca="false">Sens!$I$10430*(1+Sens!$J$10431)</f>
        <v>248.747636972598</v>
      </c>
      <c r="K10430" s="38" t="n">
        <f aca="false">Sens!$J$10430*(1+Sens!$K$10431)</f>
        <v>266.15997156068</v>
      </c>
      <c r="L10430" s="38" t="n">
        <f aca="false">Sens!$K$10430*(1+Sens!$L$10431)</f>
        <v>284.791169569927</v>
      </c>
      <c r="M10430" s="38" t="n">
        <f aca="false">Sens!$L$10430*(1+Sens!$M$10431)</f>
        <v>304.726551439822</v>
      </c>
      <c r="N10430" s="38" t="n">
        <f aca="false">Q!$N$12</f>
        <v>76.86</v>
      </c>
      <c r="O10430" s="38" t="n">
        <f aca="false">Q!$O$12</f>
        <v>95.302</v>
      </c>
      <c r="P10430" s="8" t="s">
        <v>661</v>
      </c>
    </row>
    <row r="10431" customFormat="false" ht="17.15" hidden="false" customHeight="false" outlineLevel="0" collapsed="false">
      <c r="A10431" s="0" t="s">
        <v>666</v>
      </c>
      <c r="B10431" s="0" t="s">
        <v>52</v>
      </c>
      <c r="E10431" s="13" t="n">
        <f aca="false">Sens!$E$10430/Sens!$N$10430-1</f>
        <v>0.1495966692688</v>
      </c>
      <c r="F10431" s="13" t="n">
        <f aca="false">Sens!$O$10430/(Q!$F$12+Q!$G$12)-1</f>
        <v>0.11661530890813</v>
      </c>
      <c r="G10431" s="13" t="n">
        <f aca="false">Sens!$G$10430/Sens!$D$10430-1</f>
        <v>0.105716640490767</v>
      </c>
      <c r="H10431" s="13" t="n">
        <f aca="false">Sens!$F$10431+(g_sp-Sens!$F$10431)*1/4</f>
        <v>0.104961481681098</v>
      </c>
      <c r="I10431" s="13" t="n">
        <f aca="false">Sens!$F$10431+(g_sp-Sens!$F$10431)*2/4</f>
        <v>0.0933076544540651</v>
      </c>
      <c r="J10431" s="13" t="n">
        <f aca="false">Sens!$F$10431+(g_sp-Sens!$F$10431)*3/4</f>
        <v>0.0816538272270325</v>
      </c>
      <c r="K10431" s="13" t="n">
        <f aca="false">Sens!$F$10431+(g_sp-Sens!$F$10431)*4/4</f>
        <v>0.07</v>
      </c>
      <c r="L10431" s="13" t="n">
        <f aca="false">g_sp</f>
        <v>0.07</v>
      </c>
      <c r="M10431" s="13" t="n">
        <f aca="false">g_sp</f>
        <v>0.07</v>
      </c>
      <c r="P10431" s="8" t="s">
        <v>667</v>
      </c>
    </row>
    <row r="10432" customFormat="false" ht="17.15" hidden="false" customHeight="false" outlineLevel="0" collapsed="false">
      <c r="A10432" s="0" t="s">
        <v>519</v>
      </c>
      <c r="B10432" s="0" t="s">
        <v>86</v>
      </c>
      <c r="C10432" s="38" t="n">
        <f aca="false">Q!$D$13</f>
        <v>56.214</v>
      </c>
      <c r="D10432" s="38" t="n">
        <f aca="false">Q!$E$13</f>
        <v>68.635</v>
      </c>
      <c r="E10432" s="38" t="n">
        <f aca="false">Q!$P$13</f>
        <v>37.052</v>
      </c>
      <c r="F10432" s="38" t="n">
        <f aca="false">Sens!$O$10432*(1+Sens!$F$10433)*Sens!$F$10438</f>
        <v>46.1572219944148</v>
      </c>
      <c r="G10432" s="38" t="n">
        <f aca="false">Sens!$E$10432+Sens!$F$10432</f>
        <v>83.2092219944148</v>
      </c>
      <c r="H10432" s="38" t="n">
        <f aca="false">Sens!$G$10432*(1+Sens!$H$10433)</f>
        <v>99.8969223878976</v>
      </c>
      <c r="I10432" s="38" t="n">
        <f aca="false">Sens!$H$10432*(1+Sens!$I$10433)</f>
        <v>116.583111095496</v>
      </c>
      <c r="J10432" s="38" t="n">
        <f aca="false">Sens!$I$10432*(1+Sens!$J$10433)</f>
        <v>132.148941941952</v>
      </c>
      <c r="K10432" s="38" t="n">
        <f aca="false">Sens!$J$10432*(1+Sens!$K$10433)</f>
        <v>145.363836136147</v>
      </c>
      <c r="L10432" s="38" t="n">
        <f aca="false">Sens!$K$10432*(1+Sens!$L$10433)</f>
        <v>159.900219749762</v>
      </c>
      <c r="M10432" s="38" t="n">
        <f aca="false">Sens!$L$10432*(1+Sens!$M$10433)</f>
        <v>175.890241724738</v>
      </c>
      <c r="N10432" s="38" t="n">
        <f aca="false">Q!$N$13</f>
        <v>29.615</v>
      </c>
      <c r="O10432" s="38" t="n">
        <f aca="false">Q!$O$13</f>
        <v>39.02</v>
      </c>
      <c r="P10432" s="8" t="s">
        <v>661</v>
      </c>
    </row>
    <row r="10433" customFormat="false" ht="17.15" hidden="false" customHeight="false" outlineLevel="0" collapsed="false">
      <c r="A10433" s="0" t="s">
        <v>668</v>
      </c>
      <c r="B10433" s="0" t="s">
        <v>52</v>
      </c>
      <c r="E10433" s="13" t="n">
        <f aca="false">Sens!$E$10432/Sens!$N$10432-1</f>
        <v>0.25112274185379</v>
      </c>
      <c r="F10433" s="13" t="n">
        <f aca="false">Sens!$O$10432/(Q!$F$13+Q!$G$13)-1</f>
        <v>0.234068123596572</v>
      </c>
      <c r="G10433" s="13" t="n">
        <f aca="false">Sens!$G$10432/Sens!$D$10432-1</f>
        <v>0.212343876949294</v>
      </c>
      <c r="H10433" s="13" t="n">
        <f aca="false">Sens!$F$10433+(g_ad-Sens!$F$10433)*1/4</f>
        <v>0.200551092697429</v>
      </c>
      <c r="I10433" s="13" t="n">
        <f aca="false">Sens!$F$10433+(g_ad-Sens!$F$10433)*2/4</f>
        <v>0.167034061798286</v>
      </c>
      <c r="J10433" s="13" t="n">
        <f aca="false">Sens!$F$10433+(g_ad-Sens!$F$10433)*3/4</f>
        <v>0.133517030899143</v>
      </c>
      <c r="K10433" s="13" t="n">
        <f aca="false">Sens!$F$10433+(g_ad-Sens!$F$10433)*4/4</f>
        <v>0.1</v>
      </c>
      <c r="L10433" s="13" t="n">
        <f aca="false">g_ad</f>
        <v>0.1</v>
      </c>
      <c r="M10433" s="13" t="n">
        <f aca="false">g_ad</f>
        <v>0.1</v>
      </c>
      <c r="P10433" s="8" t="s">
        <v>669</v>
      </c>
    </row>
    <row r="10434" customFormat="false" ht="17.15" hidden="false" customHeight="false" outlineLevel="0" collapsed="false">
      <c r="A10434" s="0" t="s">
        <v>520</v>
      </c>
      <c r="B10434" s="0" t="s">
        <v>86</v>
      </c>
      <c r="C10434" s="38" t="n">
        <f aca="false">Q!$D$14</f>
        <v>44.374</v>
      </c>
      <c r="D10434" s="38" t="n">
        <f aca="false">Q!$E$14</f>
        <v>49.619</v>
      </c>
      <c r="E10434" s="38" t="n">
        <f aca="false">Q!$P$14</f>
        <v>27.157</v>
      </c>
      <c r="F10434" s="38" t="n">
        <f aca="false">Sens!$O$10434*(1+Sens!$F$10435)*Sens!$F$10438</f>
        <v>27.7764165988154</v>
      </c>
      <c r="G10434" s="38" t="n">
        <f aca="false">Sens!$E$10434+Sens!$F$10434</f>
        <v>54.9334165988154</v>
      </c>
      <c r="H10434" s="38" t="n">
        <f aca="false">Sens!$G$10434*(1+Sens!$H$10435)</f>
        <v>61.1564112561829</v>
      </c>
      <c r="I10434" s="38" t="n">
        <f aca="false">Sens!$H$10434*(1+Sens!$I$10435)</f>
        <v>67.2020282103945</v>
      </c>
      <c r="J10434" s="38" t="n">
        <f aca="false">Sens!$I$10434*(1+Sens!$J$10435)</f>
        <v>72.8757274028885</v>
      </c>
      <c r="K10434" s="38" t="n">
        <f aca="false">Sens!$J$10434*(1+Sens!$K$10435)</f>
        <v>77.9770283210907</v>
      </c>
      <c r="L10434" s="38" t="n">
        <f aca="false">Sens!$K$10434*(1+Sens!$L$10435)</f>
        <v>83.4354203035671</v>
      </c>
      <c r="M10434" s="38" t="n">
        <f aca="false">Sens!$L$10434*(1+Sens!$M$10435)</f>
        <v>89.2758997248168</v>
      </c>
      <c r="N10434" s="38" t="n">
        <f aca="false">Q!$N$14</f>
        <v>23.923</v>
      </c>
      <c r="O10434" s="38" t="n">
        <f aca="false">Q!$O$14</f>
        <v>25.696</v>
      </c>
      <c r="P10434" s="8" t="s">
        <v>661</v>
      </c>
    </row>
    <row r="10435" customFormat="false" ht="17.15" hidden="false" customHeight="false" outlineLevel="0" collapsed="false">
      <c r="A10435" s="0" t="s">
        <v>670</v>
      </c>
      <c r="B10435" s="0" t="s">
        <v>52</v>
      </c>
      <c r="E10435" s="13" t="n">
        <f aca="false">Sens!$E$10434/Sens!$N$10434-1</f>
        <v>0.135183714417088</v>
      </c>
      <c r="F10435" s="13" t="n">
        <f aca="false">Sens!$O$10434/(Q!$F$14+Q!$G$14)-1</f>
        <v>0.127709997366804</v>
      </c>
      <c r="G10435" s="13" t="n">
        <f aca="false">Sens!$G$10434/Sens!$D$10434-1</f>
        <v>0.107104468022641</v>
      </c>
      <c r="H10435" s="13" t="n">
        <f aca="false">Sens!$F$10435+(g_sub-Sens!$F$10435)*1/4</f>
        <v>0.113282498025103</v>
      </c>
      <c r="I10435" s="13" t="n">
        <f aca="false">Sens!$F$10435+(g_sub-Sens!$F$10435)*2/4</f>
        <v>0.0988549986834021</v>
      </c>
      <c r="J10435" s="13" t="n">
        <f aca="false">Sens!$F$10435+(g_sub-Sens!$F$10435)*3/4</f>
        <v>0.084427499341701</v>
      </c>
      <c r="K10435" s="13" t="n">
        <f aca="false">Sens!$F$10435+(g_sub-Sens!$F$10435)*4/4</f>
        <v>0.07</v>
      </c>
      <c r="L10435" s="13" t="n">
        <f aca="false">g_sub</f>
        <v>0.07</v>
      </c>
      <c r="M10435" s="13" t="n">
        <f aca="false">g_sub</f>
        <v>0.07</v>
      </c>
      <c r="P10435" s="8" t="s">
        <v>671</v>
      </c>
    </row>
    <row r="10436" customFormat="false" ht="17.15" hidden="false" customHeight="false" outlineLevel="0" collapsed="false">
      <c r="A10436" s="0" t="s">
        <v>521</v>
      </c>
      <c r="B10436" s="0" t="s">
        <v>86</v>
      </c>
      <c r="C10436" s="38" t="n">
        <f aca="false">Q!$D$15</f>
        <v>5.425</v>
      </c>
      <c r="D10436" s="38" t="n">
        <f aca="false">Q!$E$15</f>
        <v>5.935</v>
      </c>
      <c r="E10436" s="38" t="n">
        <f aca="false">Q!$P$15</f>
        <v>3.474</v>
      </c>
      <c r="F10436" s="38" t="n">
        <f aca="false">Sens!$O$10436*(1+Sens!$F$10437)*Sens!$F$10438</f>
        <v>3.22246550883619</v>
      </c>
      <c r="G10436" s="38" t="n">
        <f aca="false">Sens!$E$10436+Sens!$F$10436</f>
        <v>6.69646550883619</v>
      </c>
      <c r="H10436" s="38" t="n">
        <f aca="false">Sens!$G$10436*(1+Sens!$H$10437)</f>
        <v>7.16251344209196</v>
      </c>
      <c r="I10436" s="38" t="n">
        <f aca="false">Sens!$H$10436*(1+Sens!$I$10437)</f>
        <v>7.61421070299826</v>
      </c>
      <c r="J10436" s="38" t="n">
        <f aca="false">Sens!$I$10436*(1+Sens!$J$10437)</f>
        <v>8.04465753523932</v>
      </c>
      <c r="K10436" s="38" t="n">
        <f aca="false">Sens!$J$10436*(1+Sens!$K$10437)</f>
        <v>8.44689041200128</v>
      </c>
      <c r="L10436" s="38" t="n">
        <f aca="false">Sens!$K$10436*(1+Sens!$L$10437)</f>
        <v>8.86923493260135</v>
      </c>
      <c r="M10436" s="38" t="n">
        <f aca="false">Sens!$L$10436*(1+Sens!$M$10437)</f>
        <v>9.31269667923142</v>
      </c>
      <c r="N10436" s="38" t="n">
        <f aca="false">Q!$N$15</f>
        <v>2.811</v>
      </c>
      <c r="O10436" s="38" t="n">
        <f aca="false">Q!$O$15</f>
        <v>3.124</v>
      </c>
      <c r="P10436" s="8" t="s">
        <v>661</v>
      </c>
    </row>
    <row r="10437" customFormat="false" ht="17.15" hidden="false" customHeight="false" outlineLevel="0" collapsed="false">
      <c r="A10437" s="0" t="s">
        <v>672</v>
      </c>
      <c r="B10437" s="0" t="s">
        <v>52</v>
      </c>
      <c r="E10437" s="13" t="n">
        <f aca="false">Sens!$E$10436/Sens!$N$10436-1</f>
        <v>0.235859124866596</v>
      </c>
      <c r="F10437" s="13" t="n">
        <f aca="false">Sens!$O$10436/(Q!$F$15+Q!$G$15)-1</f>
        <v>0.0761281433000345</v>
      </c>
      <c r="G10437" s="13" t="n">
        <f aca="false">Sens!$G$10436/Sens!$D$10436-1</f>
        <v>0.128300843948811</v>
      </c>
      <c r="H10437" s="13" t="n">
        <f aca="false">Sens!$F$10437+(g_ot-Sens!$F$10437)*1/4</f>
        <v>0.0695961074750259</v>
      </c>
      <c r="I10437" s="13" t="n">
        <f aca="false">Sens!$F$10437+(g_ot-Sens!$F$10437)*2/4</f>
        <v>0.0630640716500172</v>
      </c>
      <c r="J10437" s="13" t="n">
        <f aca="false">Sens!$F$10437+(g_ot-Sens!$F$10437)*3/4</f>
        <v>0.0565320358250086</v>
      </c>
      <c r="K10437" s="13" t="n">
        <f aca="false">Sens!$F$10437+(g_ot-Sens!$F$10437)*4/4</f>
        <v>0.05</v>
      </c>
      <c r="L10437" s="13" t="n">
        <f aca="false">g_ot</f>
        <v>0.05</v>
      </c>
      <c r="M10437" s="13" t="n">
        <f aca="false">g_ot</f>
        <v>0.05</v>
      </c>
      <c r="P10437" s="8" t="s">
        <v>673</v>
      </c>
    </row>
    <row r="10438" customFormat="false" ht="17.15" hidden="false" customHeight="false" outlineLevel="0" collapsed="false">
      <c r="A10438" s="0" t="s">
        <v>674</v>
      </c>
      <c r="B10438" s="0" t="s">
        <v>57</v>
      </c>
      <c r="F10438" s="40" t="n">
        <f aca="false">(g26q3_mid*Q!$O$8/Q!$J$8-Sens!$F$10467-Sens!$F$10471)/(Sens!$O$10426*(1+Sens!$F$10427)+Sens!$O$10428*(1+Sens!$F$10429)+Sens!$O$10430*(1+Sens!$F$10431)+Sens!$O$10432*(1+Sens!$F$10433)+Sens!$O$10434*(1+Sens!$F$10435)+Sens!$O$10436*(1+Sens!$F$10437))</f>
        <v>0.958546670622329</v>
      </c>
      <c r="P10438" s="8" t="s">
        <v>675</v>
      </c>
    </row>
    <row r="10439" customFormat="false" ht="17.15" hidden="false" customHeight="false" outlineLevel="0" collapsed="false">
      <c r="A10439" s="3" t="s">
        <v>676</v>
      </c>
      <c r="B10439" s="8" t="s">
        <v>86</v>
      </c>
      <c r="C10439" s="38" t="n">
        <f aca="false">Sens!$C$10426+Sens!$C$10428+Sens!$C$10430+Sens!$C$10432+Sens!$C$10434+Sens!$C$10436</f>
        <v>530.403</v>
      </c>
      <c r="D10439" s="38" t="n">
        <f aca="false">Sens!$D$10426+Sens!$D$10428+Sens!$D$10430+Sens!$D$10432+Sens!$D$10434+Sens!$D$10436</f>
        <v>588.199</v>
      </c>
      <c r="E10439" s="38" t="n">
        <f aca="false">Sens!$E$10426+Sens!$E$10428+Sens!$E$10430+Sens!$E$10432+Sens!$E$10434+Sens!$E$10436</f>
        <v>302.306</v>
      </c>
      <c r="F10439" s="38" t="n">
        <f aca="false">Sens!$F$10426+Sens!$F$10428+Sens!$F$10430+Sens!$F$10432+Sens!$F$10434+Sens!$F$10436</f>
        <v>349.048241645537</v>
      </c>
      <c r="G10439" s="38" t="n">
        <f aca="false">Sens!$G$10426+Sens!$G$10428+Sens!$G$10430+Sens!$G$10432+Sens!$G$10434+Sens!$G$10436</f>
        <v>651.354241645537</v>
      </c>
      <c r="H10439" s="38" t="n">
        <f aca="false">Sens!$H$10426+Sens!$H$10428+Sens!$H$10430+Sens!$H$10432+Sens!$H$10434+Sens!$H$10436</f>
        <v>721.096889521386</v>
      </c>
      <c r="I10439" s="38" t="n">
        <f aca="false">Sens!$I$10426+Sens!$I$10428+Sens!$I$10430+Sens!$I$10432+Sens!$I$10434+Sens!$I$10436</f>
        <v>788.529391152531</v>
      </c>
      <c r="J10439" s="38" t="n">
        <f aca="false">Sens!$J$10426+Sens!$J$10428+Sens!$J$10430+Sens!$J$10432+Sens!$J$10434+Sens!$J$10436</f>
        <v>851.108405741443</v>
      </c>
      <c r="K10439" s="38" t="n">
        <f aca="false">Sens!$K$10426+Sens!$K$10428+Sens!$K$10430+Sens!$K$10432+Sens!$K$10434+Sens!$K$10436</f>
        <v>906.176455431088</v>
      </c>
      <c r="L10439" s="38" t="n">
        <f aca="false">Sens!$L$10426+Sens!$L$10428+Sens!$L$10430+Sens!$L$10432+Sens!$L$10434+Sens!$L$10436</f>
        <v>965.093106475589</v>
      </c>
      <c r="M10439" s="38" t="n">
        <f aca="false">Sens!$M$10426+Sens!$M$10428+Sens!$M$10430+Sens!$M$10432+Sens!$M$10434+Sens!$M$10436</f>
        <v>1028.14790794689</v>
      </c>
      <c r="N10439" s="38" t="n">
        <f aca="false">Sens!$N$10426+Sens!$N$10428+Sens!$N$10430+Sens!$N$10432+Sens!$N$10434+Sens!$N$10436</f>
        <v>263.229</v>
      </c>
      <c r="O10439" s="38" t="n">
        <f aca="false">Sens!$O$10426+Sens!$O$10428+Sens!$O$10430+Sens!$O$10432+Sens!$O$10434+Sens!$O$10436</f>
        <v>324.97</v>
      </c>
    </row>
    <row r="10440" customFormat="false" ht="17.15" hidden="false" customHeight="false" outlineLevel="0" collapsed="false">
      <c r="A10440" s="5" t="s">
        <v>677</v>
      </c>
      <c r="B10440" s="0" t="s">
        <v>52</v>
      </c>
      <c r="C10440" s="13" t="n">
        <f aca="false">Q!$D$5/(Q!$D$5+Q!$D$6)</f>
        <v>0.730570905519011</v>
      </c>
      <c r="D10440" s="13" t="n">
        <f aca="false">Q!$E$5/(Q!$E$5+Q!$E$6)</f>
        <v>0.724763217890544</v>
      </c>
      <c r="E10440" s="13" t="n">
        <f aca="false">Q!$P$5/(Q!$P$5+Q!$P$6)</f>
        <v>0.728797972914861</v>
      </c>
      <c r="F10440" s="13" t="n">
        <f aca="false">Sens!$O$10440</f>
        <v>0.718066283041511</v>
      </c>
      <c r="G10440" s="13" t="n">
        <f aca="false">Sens!$G$10441/Sens!$G$10439</f>
        <v>0.723047066202847</v>
      </c>
      <c r="H10440" s="13" t="n">
        <f aca="false">Sens!$G$10440</f>
        <v>0.723047066202847</v>
      </c>
      <c r="I10440" s="13" t="n">
        <f aca="false">Sens!$G$10440</f>
        <v>0.723047066202847</v>
      </c>
      <c r="J10440" s="13" t="n">
        <f aca="false">Sens!$G$10440</f>
        <v>0.723047066202847</v>
      </c>
      <c r="K10440" s="13" t="n">
        <f aca="false">Sens!$G$10440</f>
        <v>0.723047066202847</v>
      </c>
      <c r="L10440" s="13" t="n">
        <f aca="false">Sens!$G$10440</f>
        <v>0.723047066202847</v>
      </c>
      <c r="M10440" s="13" t="n">
        <f aca="false">Sens!$G$10440</f>
        <v>0.723047066202847</v>
      </c>
      <c r="N10440" s="13" t="n">
        <f aca="false">Q!$N$5/(Q!$N$5+Q!$N$6)</f>
        <v>0.733030935041352</v>
      </c>
      <c r="O10440" s="13" t="n">
        <f aca="false">Q!$O$5/(Q!$O$5+Q!$O$6)</f>
        <v>0.718066283041511</v>
      </c>
      <c r="P10440" s="8" t="s">
        <v>678</v>
      </c>
    </row>
    <row r="10441" customFormat="false" ht="17.15" hidden="false" customHeight="false" outlineLevel="0" collapsed="false">
      <c r="A10441" s="1" t="s">
        <v>509</v>
      </c>
      <c r="B10441" s="8" t="s">
        <v>86</v>
      </c>
      <c r="C10441" s="38" t="n">
        <f aca="false">Q!$D$5</f>
        <v>387.497</v>
      </c>
      <c r="D10441" s="38" t="n">
        <f aca="false">Q!$E$5</f>
        <v>426.305</v>
      </c>
      <c r="E10441" s="38" t="n">
        <f aca="false">Q!$P$5</f>
        <v>220.32</v>
      </c>
      <c r="F10441" s="38" t="n">
        <f aca="false">Sens!$F$10439*Sens!$F$10440</f>
        <v>250.639773480586</v>
      </c>
      <c r="G10441" s="38" t="n">
        <f aca="false">Sens!$E$10441+Sens!$F$10441</f>
        <v>470.959773480586</v>
      </c>
      <c r="H10441" s="38" t="n">
        <f aca="false">Sens!$H$10439*Sens!$H$10440</f>
        <v>521.386990416437</v>
      </c>
      <c r="I10441" s="38" t="n">
        <f aca="false">Sens!$I$10439*Sens!$I$10440</f>
        <v>570.143862887555</v>
      </c>
      <c r="J10441" s="38" t="n">
        <f aca="false">Sens!$J$10439*Sens!$J$10440</f>
        <v>615.391435791933</v>
      </c>
      <c r="K10441" s="38" t="n">
        <f aca="false">Sens!$K$10439*Sens!$K$10440</f>
        <v>655.208227561543</v>
      </c>
      <c r="L10441" s="38" t="n">
        <f aca="false">Sens!$L$10439*Sens!$L$10440</f>
        <v>697.807739249767</v>
      </c>
      <c r="M10441" s="38" t="n">
        <f aca="false">Sens!$M$10439*Sens!$M$10440</f>
        <v>743.399328463592</v>
      </c>
      <c r="N10441" s="38" t="n">
        <f aca="false">Q!$N$5</f>
        <v>192.955</v>
      </c>
      <c r="O10441" s="38" t="n">
        <f aca="false">Q!$O$5</f>
        <v>233.35</v>
      </c>
      <c r="P10441" s="5" t="s">
        <v>679</v>
      </c>
    </row>
    <row r="10442" customFormat="false" ht="17.15" hidden="false" customHeight="false" outlineLevel="0" collapsed="false">
      <c r="A10442" s="1" t="s">
        <v>512</v>
      </c>
      <c r="B10442" s="8" t="s">
        <v>86</v>
      </c>
      <c r="C10442" s="38" t="n">
        <f aca="false">Q!$D$6</f>
        <v>142.906</v>
      </c>
      <c r="D10442" s="38" t="n">
        <f aca="false">Q!$E$6</f>
        <v>161.894</v>
      </c>
      <c r="E10442" s="38" t="n">
        <f aca="false">Q!$P$6</f>
        <v>81.986</v>
      </c>
      <c r="F10442" s="38" t="n">
        <f aca="false">Sens!$F$10439*(1-Sens!$F$10440)</f>
        <v>98.408468164951</v>
      </c>
      <c r="G10442" s="38" t="n">
        <f aca="false">Sens!$E$10442+Sens!$F$10442</f>
        <v>180.394468164951</v>
      </c>
      <c r="H10442" s="38" t="n">
        <f aca="false">Sens!$H$10439*(1-Sens!$H$10440)</f>
        <v>199.709899104949</v>
      </c>
      <c r="I10442" s="38" t="n">
        <f aca="false">Sens!$I$10439*(1-Sens!$I$10440)</f>
        <v>218.385528264976</v>
      </c>
      <c r="J10442" s="38" t="n">
        <f aca="false">Sens!$J$10439*(1-Sens!$J$10440)</f>
        <v>235.71696994951</v>
      </c>
      <c r="K10442" s="38" t="n">
        <f aca="false">Sens!$K$10439*(1-Sens!$K$10440)</f>
        <v>250.968227869545</v>
      </c>
      <c r="L10442" s="38" t="n">
        <f aca="false">Sens!$L$10439*(1-Sens!$L$10440)</f>
        <v>267.285367225822</v>
      </c>
      <c r="M10442" s="38" t="n">
        <f aca="false">Sens!$M$10439*(1-Sens!$M$10440)</f>
        <v>284.748579483295</v>
      </c>
      <c r="N10442" s="38" t="n">
        <f aca="false">Q!$N$6</f>
        <v>70.274</v>
      </c>
      <c r="O10442" s="38" t="n">
        <f aca="false">Q!$O$6</f>
        <v>91.62</v>
      </c>
      <c r="P10442" s="5" t="s">
        <v>680</v>
      </c>
    </row>
    <row r="10443" customFormat="false" ht="17.15" hidden="false" customHeight="false" outlineLevel="0" collapsed="false">
      <c r="A10443" s="5" t="s">
        <v>681</v>
      </c>
      <c r="B10443" s="0" t="s">
        <v>86</v>
      </c>
      <c r="C10443" s="38" t="n">
        <f aca="false">Sens!$C$10432*Sens!$C$10440</f>
        <v>41.0683128828457</v>
      </c>
      <c r="D10443" s="38" t="n">
        <f aca="false">Sens!$D$10432*Sens!$D$10440</f>
        <v>49.7441234599175</v>
      </c>
      <c r="E10443" s="38" t="n">
        <f aca="false">Sens!$E$10432*Sens!$E$10440</f>
        <v>27.0034224924414</v>
      </c>
      <c r="F10443" s="38" t="n">
        <f aca="false">Sens!$F$10432*Sens!$F$10440</f>
        <v>33.1439448330513</v>
      </c>
      <c r="G10443" s="38" t="n">
        <f aca="false">Sens!$G$10432*Sens!$G$10440</f>
        <v>60.164183844083</v>
      </c>
      <c r="H10443" s="38" t="n">
        <f aca="false">Sens!$H$10432*Sens!$H$10440</f>
        <v>72.2301766552629</v>
      </c>
      <c r="I10443" s="38" t="n">
        <f aca="false">Sens!$I$10432*Sens!$I$10440</f>
        <v>84.2950764463991</v>
      </c>
      <c r="J10443" s="38" t="n">
        <f aca="false">Sens!$J$10432*Sens!$J$10440</f>
        <v>95.5499047729386</v>
      </c>
      <c r="K10443" s="38" t="n">
        <f aca="false">Sens!$K$10432*Sens!$K$10440</f>
        <v>105.104895250232</v>
      </c>
      <c r="L10443" s="38" t="n">
        <f aca="false">Sens!$L$10432*Sens!$L$10440</f>
        <v>115.615384775256</v>
      </c>
      <c r="M10443" s="38" t="n">
        <f aca="false">Sens!$M$10432*Sens!$M$10440</f>
        <v>127.176923252781</v>
      </c>
      <c r="N10443" s="38" t="n">
        <f aca="false">Sens!$N$10432*Sens!$N$10440</f>
        <v>21.7087111412496</v>
      </c>
      <c r="O10443" s="38" t="n">
        <f aca="false">Sens!$O$10432*Sens!$O$10440</f>
        <v>28.0189463642798</v>
      </c>
      <c r="P10443" s="5" t="s">
        <v>682</v>
      </c>
    </row>
    <row r="10444" customFormat="false" ht="15" hidden="false" customHeight="false" outlineLevel="0" collapsed="false">
      <c r="A10444" s="5" t="s">
        <v>683</v>
      </c>
      <c r="B10444" s="0" t="s">
        <v>86</v>
      </c>
      <c r="C10444" s="38" t="n">
        <f aca="false">Sens!$C$10432-Sens!$C$10443</f>
        <v>15.1456871171543</v>
      </c>
      <c r="D10444" s="38" t="n">
        <f aca="false">Sens!$D$10432-Sens!$D$10443</f>
        <v>18.8908765400825</v>
      </c>
      <c r="E10444" s="38" t="n">
        <f aca="false">Sens!$E$10432-Sens!$E$10443</f>
        <v>10.0485775075586</v>
      </c>
      <c r="F10444" s="38" t="n">
        <f aca="false">Sens!$F$10432-Sens!$F$10443</f>
        <v>13.0132771613635</v>
      </c>
      <c r="G10444" s="38" t="n">
        <f aca="false">Sens!$G$10432-Sens!$G$10443</f>
        <v>23.0450381503318</v>
      </c>
      <c r="H10444" s="38" t="n">
        <f aca="false">Sens!$H$10432-Sens!$H$10443</f>
        <v>27.6667457326347</v>
      </c>
      <c r="I10444" s="38" t="n">
        <f aca="false">Sens!$I$10432-Sens!$I$10443</f>
        <v>32.2880346490971</v>
      </c>
      <c r="J10444" s="38" t="n">
        <f aca="false">Sens!$J$10432-Sens!$J$10443</f>
        <v>36.5990371690132</v>
      </c>
      <c r="K10444" s="38" t="n">
        <f aca="false">Sens!$K$10432-Sens!$K$10443</f>
        <v>40.2589408859145</v>
      </c>
      <c r="L10444" s="38" t="n">
        <f aca="false">Sens!$L$10432-Sens!$L$10443</f>
        <v>44.2848349745059</v>
      </c>
      <c r="M10444" s="38" t="n">
        <f aca="false">Sens!$M$10432-Sens!$M$10443</f>
        <v>48.7133184719565</v>
      </c>
      <c r="N10444" s="38" t="n">
        <f aca="false">Sens!$N$10432-Sens!$N$10443</f>
        <v>7.90628885875037</v>
      </c>
      <c r="O10444" s="38" t="n">
        <f aca="false">Sens!$O$10432-Sens!$O$10443</f>
        <v>11.0010536357202</v>
      </c>
    </row>
    <row r="10445" customFormat="false" ht="19.4" hidden="false" customHeight="false" outlineLevel="0" collapsed="false">
      <c r="A10445" s="31" t="s">
        <v>1343</v>
      </c>
    </row>
    <row r="10446" customFormat="false" ht="17.15" hidden="false" customHeight="false" outlineLevel="0" collapsed="false">
      <c r="A10446" s="6" t="s">
        <v>16</v>
      </c>
      <c r="B10446" s="6" t="s">
        <v>17</v>
      </c>
      <c r="C10446" s="20" t="s">
        <v>494</v>
      </c>
      <c r="D10446" s="20" t="s">
        <v>495</v>
      </c>
      <c r="E10446" s="20" t="s">
        <v>577</v>
      </c>
      <c r="F10446" s="20" t="s">
        <v>578</v>
      </c>
      <c r="G10446" s="20" t="s">
        <v>579</v>
      </c>
      <c r="H10446" s="20" t="s">
        <v>580</v>
      </c>
      <c r="I10446" s="20" t="s">
        <v>581</v>
      </c>
      <c r="J10446" s="20" t="s">
        <v>582</v>
      </c>
      <c r="K10446" s="20" t="s">
        <v>583</v>
      </c>
      <c r="L10446" s="20" t="s">
        <v>584</v>
      </c>
      <c r="M10446" s="20" t="s">
        <v>585</v>
      </c>
      <c r="N10446" s="20" t="s">
        <v>586</v>
      </c>
      <c r="O10446" s="20" t="s">
        <v>587</v>
      </c>
      <c r="P10446" s="6" t="s">
        <v>23</v>
      </c>
      <c r="R10446" s="20" t="n">
        <v>2023</v>
      </c>
      <c r="S10446" s="20" t="n">
        <v>2024</v>
      </c>
      <c r="T10446" s="20" t="n">
        <v>2025</v>
      </c>
      <c r="U10446" s="20" t="n">
        <v>2026</v>
      </c>
      <c r="V10446" s="20" t="n">
        <v>2027</v>
      </c>
      <c r="W10446" s="20" t="n">
        <v>2028</v>
      </c>
      <c r="X10446" s="20" t="n">
        <v>2029</v>
      </c>
      <c r="Y10446" s="20" t="n">
        <v>2030</v>
      </c>
      <c r="Z10446" s="20" t="n">
        <v>2031</v>
      </c>
      <c r="AA10446" s="20" t="n">
        <v>2032</v>
      </c>
    </row>
    <row r="10447" customFormat="false" ht="17.15" hidden="false" customHeight="false" outlineLevel="0" collapsed="false">
      <c r="A10447" s="1" t="s">
        <v>588</v>
      </c>
    </row>
    <row r="10448" customFormat="false" ht="17.15" hidden="false" customHeight="false" outlineLevel="0" collapsed="false">
      <c r="A10448" s="5" t="s">
        <v>589</v>
      </c>
      <c r="B10448" s="0" t="s">
        <v>144</v>
      </c>
      <c r="H10448" s="32" t="n">
        <f aca="false">pace_B</f>
        <v>3634.3</v>
      </c>
      <c r="I10448" s="32" t="n">
        <f aca="false">pace_B</f>
        <v>3634.3</v>
      </c>
      <c r="J10448" s="32" t="n">
        <f aca="false">pace_B</f>
        <v>3634.3</v>
      </c>
      <c r="K10448" s="32" t="n">
        <f aca="false">pace_B+(Sens!$J$10449*tg-pace_B)*1/3</f>
        <v>2570.86716666667</v>
      </c>
      <c r="L10448" s="32" t="n">
        <f aca="false">pace_B+(Sens!$J$10449*tg-pace_B)*2/3</f>
        <v>1507.43433333333</v>
      </c>
      <c r="M10448" s="32" t="n">
        <f aca="false">pace_B+(Sens!$J$10449*tg-pace_B)*3/3</f>
        <v>444.0015</v>
      </c>
      <c r="P10448" s="5" t="s">
        <v>590</v>
      </c>
    </row>
    <row r="10449" customFormat="false" ht="17.15" hidden="false" customHeight="false" outlineLevel="0" collapsed="false">
      <c r="A10449" s="15" t="s">
        <v>591</v>
      </c>
      <c r="B10449" s="14" t="s">
        <v>129</v>
      </c>
      <c r="C10449" s="33" t="n">
        <f aca="false">mw_ye24</f>
        <v>360</v>
      </c>
      <c r="D10449" s="33" t="n">
        <f aca="false">mw_ye25</f>
        <v>1440</v>
      </c>
      <c r="E10449" s="33" t="n">
        <f aca="false">mw_open</f>
        <v>2080</v>
      </c>
      <c r="F10449" s="33" t="n">
        <f aca="false">Sens!$E$10449+pace_B*0.5</f>
        <v>3897.15</v>
      </c>
      <c r="G10449" s="33" t="n">
        <f aca="false">Sens!$F$10449</f>
        <v>3897.15</v>
      </c>
      <c r="H10449" s="33" t="n">
        <f aca="false">Sens!$G$10449+Sens!$H$10448</f>
        <v>7531.45</v>
      </c>
      <c r="I10449" s="33" t="n">
        <f aca="false">Sens!$H$10449+Sens!$I$10448</f>
        <v>11165.75</v>
      </c>
      <c r="J10449" s="33" t="n">
        <f aca="false">Sens!$I$10449+Sens!$J$10448</f>
        <v>14800.05</v>
      </c>
      <c r="K10449" s="33" t="n">
        <f aca="false">Sens!$J$10449+Sens!$K$10448</f>
        <v>17370.9171666667</v>
      </c>
      <c r="L10449" s="33" t="n">
        <f aca="false">Sens!$K$10449+Sens!$L$10448</f>
        <v>18878.3515</v>
      </c>
      <c r="M10449" s="33" t="n">
        <f aca="false">Sens!$L$10449+Sens!$M$10448</f>
        <v>19322.353</v>
      </c>
      <c r="N10449" s="33" t="n">
        <f aca="false">(mw_ye24+mw_ye25)/2</f>
        <v>900</v>
      </c>
      <c r="O10449" s="33" t="n">
        <f aca="false">mw_ye25</f>
        <v>1440</v>
      </c>
      <c r="P10449" s="5" t="s">
        <v>592</v>
      </c>
    </row>
    <row r="10450" customFormat="false" ht="17.15" hidden="false" customHeight="false" outlineLevel="0" collapsed="false">
      <c r="A10450" s="5" t="s">
        <v>593</v>
      </c>
      <c r="B10450" s="0" t="s">
        <v>129</v>
      </c>
      <c r="C10450" s="32" t="n">
        <f aca="false">(mw_ye23+mw_ye24)/2</f>
        <v>240</v>
      </c>
      <c r="D10450" s="32" t="n">
        <f aca="false">(Sens!$C$10449+Sens!$D$10449)/2</f>
        <v>900</v>
      </c>
      <c r="E10450" s="32" t="n">
        <f aca="false">(Sens!$D$10449+Sens!$E$10449)/2</f>
        <v>1760</v>
      </c>
      <c r="F10450" s="32" t="n">
        <f aca="false">(Sens!$E$10449+Sens!$F$10449)/2</f>
        <v>2988.575</v>
      </c>
      <c r="G10450" s="32" t="n">
        <f aca="false">(Sens!$E$10450+Sens!$F$10450)/2</f>
        <v>2374.2875</v>
      </c>
      <c r="H10450" s="32" t="n">
        <f aca="false">(Sens!$G$10449+Sens!$H$10449)/2</f>
        <v>5714.3</v>
      </c>
      <c r="I10450" s="32" t="n">
        <f aca="false">(Sens!$H$10449+Sens!$I$10449)/2</f>
        <v>9348.6</v>
      </c>
      <c r="J10450" s="32" t="n">
        <f aca="false">(Sens!$I$10449+Sens!$J$10449)/2</f>
        <v>12982.9</v>
      </c>
      <c r="K10450" s="32" t="n">
        <f aca="false">(Sens!$J$10449+Sens!$K$10449)/2</f>
        <v>16085.4835833333</v>
      </c>
      <c r="L10450" s="32" t="n">
        <f aca="false">(Sens!$K$10449+Sens!$L$10449)/2</f>
        <v>18124.6343333333</v>
      </c>
      <c r="M10450" s="32" t="n">
        <f aca="false">(Sens!$L$10449+Sens!$M$10449)/2</f>
        <v>19100.35225</v>
      </c>
      <c r="N10450" s="32" t="n">
        <f aca="false">(Sens!$C$10449+Sens!$N$10449)/2</f>
        <v>630</v>
      </c>
      <c r="O10450" s="32" t="n">
        <f aca="false">(Sens!$N$10449+Sens!$O$10449)/2</f>
        <v>1170</v>
      </c>
    </row>
    <row r="10451" customFormat="false" ht="15" hidden="false" customHeight="false" outlineLevel="0" collapsed="false">
      <c r="A10451" s="5" t="s">
        <v>594</v>
      </c>
      <c r="B10451" s="5" t="s">
        <v>123</v>
      </c>
      <c r="C10451" s="34" t="n">
        <v>1</v>
      </c>
      <c r="D10451" s="34" t="n">
        <v>1</v>
      </c>
      <c r="E10451" s="34" t="n">
        <v>0.5</v>
      </c>
      <c r="F10451" s="34" t="n">
        <v>0.5</v>
      </c>
      <c r="G10451" s="34" t="n">
        <v>1</v>
      </c>
      <c r="H10451" s="34" t="n">
        <v>1</v>
      </c>
      <c r="I10451" s="34" t="n">
        <v>1</v>
      </c>
      <c r="J10451" s="34" t="n">
        <v>1</v>
      </c>
      <c r="K10451" s="34" t="n">
        <v>1</v>
      </c>
      <c r="L10451" s="34" t="n">
        <v>1</v>
      </c>
      <c r="M10451" s="34" t="n">
        <v>1</v>
      </c>
      <c r="N10451" s="34" t="n">
        <v>0.5</v>
      </c>
      <c r="O10451" s="34" t="n">
        <v>0.5</v>
      </c>
    </row>
    <row r="10452" customFormat="false" ht="17.15" hidden="false" customHeight="false" outlineLevel="0" collapsed="false">
      <c r="A10452" s="5" t="s">
        <v>595</v>
      </c>
      <c r="B10452" s="0" t="s">
        <v>129</v>
      </c>
      <c r="C10452" s="32" t="n">
        <f aca="false">Sens!$C$10449-mw_ye23</f>
        <v>240</v>
      </c>
      <c r="D10452" s="32" t="n">
        <f aca="false">Sens!$D$10449-Sens!$C$10449</f>
        <v>1080</v>
      </c>
      <c r="E10452" s="32" t="n">
        <f aca="false">Sens!$E$10449-Sens!$D$10449</f>
        <v>640</v>
      </c>
      <c r="F10452" s="32" t="n">
        <f aca="false">Sens!$F$10449-Sens!$E$10449</f>
        <v>1817.15</v>
      </c>
      <c r="G10452" s="32" t="n">
        <f aca="false">Sens!$E$10452+Sens!$F$10452</f>
        <v>2457.15</v>
      </c>
      <c r="H10452" s="32" t="n">
        <f aca="false">Sens!$H$10449-Sens!$G$10449</f>
        <v>3634.3</v>
      </c>
      <c r="I10452" s="32" t="n">
        <f aca="false">Sens!$I$10449-Sens!$H$10449</f>
        <v>3634.3</v>
      </c>
      <c r="J10452" s="32" t="n">
        <f aca="false">Sens!$J$10449-Sens!$I$10449</f>
        <v>3634.3</v>
      </c>
      <c r="K10452" s="32" t="n">
        <f aca="false">Sens!$K$10449-Sens!$J$10449</f>
        <v>2570.86716666667</v>
      </c>
      <c r="L10452" s="32" t="n">
        <f aca="false">Sens!$L$10449-Sens!$K$10449</f>
        <v>1507.43433333333</v>
      </c>
      <c r="M10452" s="32" t="n">
        <f aca="false">Sens!$M$10449-Sens!$L$10449</f>
        <v>444.001499999999</v>
      </c>
      <c r="N10452" s="32" t="n">
        <f aca="false">Sens!$N$10449-Sens!$C$10449</f>
        <v>540</v>
      </c>
      <c r="O10452" s="32" t="n">
        <f aca="false">Sens!$O$10449-Sens!$N$10449</f>
        <v>540</v>
      </c>
    </row>
    <row r="10453" customFormat="false" ht="17.15" hidden="false" customHeight="false" outlineLevel="0" collapsed="false">
      <c r="A10453" s="5" t="s">
        <v>596</v>
      </c>
      <c r="B10453" s="0" t="s">
        <v>129</v>
      </c>
      <c r="C10453" s="32" t="n">
        <f aca="false">Sens!$C$10452/ext_sh</f>
        <v>300</v>
      </c>
      <c r="D10453" s="32" t="n">
        <f aca="false">Sens!$D$10452/ext_sh</f>
        <v>1350</v>
      </c>
      <c r="E10453" s="32" t="n">
        <f aca="false">Sens!$E$10452/ext_sh</f>
        <v>800</v>
      </c>
      <c r="F10453" s="32" t="n">
        <f aca="false">Sens!$F$10452/ext_sh</f>
        <v>2271.4375</v>
      </c>
      <c r="G10453" s="32" t="n">
        <f aca="false">Sens!$G$10452/ext_sh</f>
        <v>3071.4375</v>
      </c>
      <c r="H10453" s="32" t="n">
        <f aca="false">Sens!$H$10452/ext_sh</f>
        <v>4542.875</v>
      </c>
      <c r="I10453" s="32" t="n">
        <f aca="false">Sens!$I$10452/ext_sh</f>
        <v>4542.875</v>
      </c>
      <c r="J10453" s="32" t="n">
        <f aca="false">Sens!$J$10452/ext_sh</f>
        <v>4542.875</v>
      </c>
      <c r="K10453" s="32" t="n">
        <f aca="false">Sens!$K$10452/ext_sh</f>
        <v>3213.58395833333</v>
      </c>
      <c r="L10453" s="32" t="n">
        <f aca="false">Sens!$L$10452/ext_sh</f>
        <v>1884.29291666667</v>
      </c>
      <c r="M10453" s="32" t="n">
        <f aca="false">Sens!$M$10452/ext_sh</f>
        <v>555.001874999998</v>
      </c>
      <c r="N10453" s="32" t="n">
        <f aca="false">Sens!$N$10452/ext_sh</f>
        <v>675</v>
      </c>
      <c r="O10453" s="32" t="n">
        <f aca="false">Sens!$O$10452/ext_sh</f>
        <v>675</v>
      </c>
      <c r="P10453" s="8" t="s">
        <v>597</v>
      </c>
      <c r="R10453" s="32" t="n">
        <f aca="false">mw_ye23/ext_sh</f>
        <v>150</v>
      </c>
      <c r="S10453" s="32" t="n">
        <f aca="false">Sens!$C$10453</f>
        <v>300</v>
      </c>
      <c r="T10453" s="32" t="n">
        <f aca="false">Sens!$D$10453</f>
        <v>1350</v>
      </c>
      <c r="U10453" s="32" t="n">
        <f aca="false">Sens!$G$10453</f>
        <v>3071.4375</v>
      </c>
      <c r="V10453" s="32" t="n">
        <f aca="false">Sens!$H$10453</f>
        <v>4542.875</v>
      </c>
      <c r="W10453" s="32" t="n">
        <f aca="false">Sens!$I$10453</f>
        <v>4542.875</v>
      </c>
      <c r="X10453" s="32" t="n">
        <f aca="false">Sens!$J$10453</f>
        <v>4542.875</v>
      </c>
      <c r="Y10453" s="32" t="n">
        <f aca="false">Sens!$K$10453</f>
        <v>3213.58395833333</v>
      </c>
      <c r="Z10453" s="32" t="n">
        <f aca="false">Sens!$L$10453</f>
        <v>1884.29291666667</v>
      </c>
      <c r="AA10453" s="32" t="n">
        <f aca="false">Sens!$M$10453</f>
        <v>555.001874999998</v>
      </c>
    </row>
    <row r="10454" customFormat="false" ht="17.15" hidden="false" customHeight="false" outlineLevel="0" collapsed="false">
      <c r="A10454" s="1" t="s">
        <v>598</v>
      </c>
    </row>
    <row r="10455" customFormat="false" ht="17.15" hidden="false" customHeight="false" outlineLevel="0" collapsed="false">
      <c r="A10455" s="0" t="s">
        <v>599</v>
      </c>
      <c r="B10455" s="0" t="s">
        <v>52</v>
      </c>
      <c r="F10455" s="35" t="n">
        <f aca="false">na_vr26</f>
        <v>0</v>
      </c>
      <c r="G10455" s="35" t="n">
        <f aca="false">na_vr26</f>
        <v>0</v>
      </c>
      <c r="H10455" s="35" t="n">
        <f aca="false">na_vr27</f>
        <v>0.5</v>
      </c>
      <c r="I10455" s="35" t="n">
        <f aca="false">na_vr28</f>
        <v>1</v>
      </c>
      <c r="J10455" s="35" t="n">
        <f aca="false">na_vr28</f>
        <v>1</v>
      </c>
      <c r="K10455" s="35" t="n">
        <f aca="false">na_vr28</f>
        <v>1</v>
      </c>
      <c r="L10455" s="35" t="n">
        <f aca="false">na_vr28</f>
        <v>1</v>
      </c>
      <c r="M10455" s="35" t="n">
        <f aca="false">na_vr28</f>
        <v>1</v>
      </c>
    </row>
    <row r="10456" customFormat="false" ht="17.15" hidden="false" customHeight="false" outlineLevel="0" collapsed="false">
      <c r="A10456" s="5" t="s">
        <v>600</v>
      </c>
      <c r="B10456" s="0" t="s">
        <v>173</v>
      </c>
      <c r="F10456" s="36" t="n">
        <f aca="false">cust_sh*tk_he_gb300*cf_chip+(1-cust_sh)*((1-Sens!$F$10455)*tk_he_gb300+Sens!$F$10455*tk_he_vr200)</f>
        <v>10.8864110021101</v>
      </c>
      <c r="G10456" s="36" t="n">
        <f aca="false">cust_sh*tk_he_gb300*cf_chip+(1-cust_sh)*((1-Sens!$G$10455)*tk_he_gb300+Sens!$G$10455*tk_he_vr200)</f>
        <v>10.8864110021101</v>
      </c>
      <c r="H10456" s="36" t="n">
        <f aca="false">cust_sh*tk_he_gb300*cf_chip+(1-cust_sh)*((1-Sens!$H$10455)*tk_he_gb300+Sens!$H$10455*tk_he_vr200)</f>
        <v>11.2211760027286</v>
      </c>
      <c r="I10456" s="36" t="n">
        <f aca="false">cust_sh*tk_he_gb300*cf_chip+(1-cust_sh)*((1-Sens!$I$10455)*tk_he_gb300+Sens!$I$10455*tk_he_vr200)</f>
        <v>11.5559410033471</v>
      </c>
      <c r="J10456" s="36" t="n">
        <f aca="false">cust_sh*tk_he_gb300*cf_chip+(1-cust_sh)*((1-Sens!$J$10455)*tk_he_gb300+Sens!$J$10455*tk_he_vr200)</f>
        <v>11.5559410033471</v>
      </c>
      <c r="K10456" s="36" t="n">
        <f aca="false">cust_sh*tk_he_gb300*cf_chip+(1-cust_sh)*((1-Sens!$K$10455)*tk_he_gb300+Sens!$K$10455*tk_he_vr200)</f>
        <v>11.5559410033471</v>
      </c>
      <c r="L10456" s="36" t="n">
        <f aca="false">cust_sh*tk_he_gb300*cf_chip+(1-cust_sh)*((1-Sens!$L$10455)*tk_he_gb300+Sens!$L$10455*tk_he_vr200)</f>
        <v>11.5559410033471</v>
      </c>
      <c r="M10456" s="36" t="n">
        <f aca="false">cust_sh*tk_he_gb300*cf_chip+(1-cust_sh)*((1-Sens!$M$10455)*tk_he_gb300+Sens!$M$10455*tk_he_vr200)</f>
        <v>11.5559410033471</v>
      </c>
    </row>
    <row r="10457" customFormat="false" ht="17.15" hidden="false" customHeight="false" outlineLevel="0" collapsed="false">
      <c r="A10457" s="5" t="s">
        <v>601</v>
      </c>
      <c r="B10457" s="0" t="s">
        <v>173</v>
      </c>
      <c r="F10457" s="36" t="n">
        <f aca="false">cust_sh*tk_ox_gb300+(1-cust_sh)*((1-Sens!$F$10455)*tk_ox_gb300+Sens!$F$10455*tk_ox_vr200)</f>
        <v>1.98263481314457</v>
      </c>
      <c r="G10457" s="36" t="n">
        <f aca="false">cust_sh*tk_ox_gb300+(1-cust_sh)*((1-Sens!$G$10455)*tk_ox_gb300+Sens!$G$10455*tk_ox_vr200)</f>
        <v>1.98263481314457</v>
      </c>
      <c r="H10457" s="36" t="n">
        <f aca="false">cust_sh*tk_ox_gb300+(1-cust_sh)*((1-Sens!$H$10455)*tk_ox_gb300+Sens!$H$10455*tk_ox_vr200)</f>
        <v>2.01034999693694</v>
      </c>
      <c r="I10457" s="36" t="n">
        <f aca="false">cust_sh*tk_ox_gb300+(1-cust_sh)*((1-Sens!$I$10455)*tk_ox_gb300+Sens!$I$10455*tk_ox_vr200)</f>
        <v>2.0380651807293</v>
      </c>
      <c r="J10457" s="36" t="n">
        <f aca="false">cust_sh*tk_ox_gb300+(1-cust_sh)*((1-Sens!$J$10455)*tk_ox_gb300+Sens!$J$10455*tk_ox_vr200)</f>
        <v>2.0380651807293</v>
      </c>
      <c r="K10457" s="36" t="n">
        <f aca="false">cust_sh*tk_ox_gb300+(1-cust_sh)*((1-Sens!$K$10455)*tk_ox_gb300+Sens!$K$10455*tk_ox_vr200)</f>
        <v>2.0380651807293</v>
      </c>
      <c r="L10457" s="36" t="n">
        <f aca="false">cust_sh*tk_ox_gb300+(1-cust_sh)*((1-Sens!$L$10455)*tk_ox_gb300+Sens!$L$10455*tk_ox_vr200)</f>
        <v>2.0380651807293</v>
      </c>
      <c r="M10457" s="36" t="n">
        <f aca="false">cust_sh*tk_ox_gb300+(1-cust_sh)*((1-Sens!$M$10455)*tk_ox_gb300+Sens!$M$10455*tk_ox_vr200)</f>
        <v>2.0380651807293</v>
      </c>
    </row>
    <row r="10458" customFormat="false" ht="17.15" hidden="false" customHeight="false" outlineLevel="0" collapsed="false">
      <c r="A10458" s="5" t="s">
        <v>602</v>
      </c>
      <c r="B10458" s="0" t="s">
        <v>192</v>
      </c>
      <c r="F10458" s="36" t="n">
        <f aca="false">cust_sh*tk_cx_gb300*cf_cx+(1-cust_sh)*((1-Sens!$F$10455)*tk_cx_gb300+Sens!$F$10455*tk_cx_vr200)</f>
        <v>32.237224</v>
      </c>
      <c r="G10458" s="36" t="n">
        <f aca="false">cust_sh*tk_cx_gb300*cf_cx+(1-cust_sh)*((1-Sens!$G$10455)*tk_cx_gb300+Sens!$G$10455*tk_cx_vr200)</f>
        <v>32.237224</v>
      </c>
      <c r="H10458" s="36" t="n">
        <f aca="false">cust_sh*tk_cx_gb300*cf_cx+(1-cust_sh)*((1-Sens!$H$10455)*tk_cx_gb300+Sens!$H$10455*tk_cx_vr200)</f>
        <v>33.574506</v>
      </c>
      <c r="I10458" s="36" t="n">
        <f aca="false">cust_sh*tk_cx_gb300*cf_cx+(1-cust_sh)*((1-Sens!$I$10455)*tk_cx_gb300+Sens!$I$10455*tk_cx_vr200)</f>
        <v>34.911788</v>
      </c>
      <c r="J10458" s="36" t="n">
        <f aca="false">cust_sh*tk_cx_gb300*cf_cx+(1-cust_sh)*((1-Sens!$J$10455)*tk_cx_gb300+Sens!$J$10455*tk_cx_vr200)</f>
        <v>34.911788</v>
      </c>
      <c r="K10458" s="36" t="n">
        <f aca="false">cust_sh*tk_cx_gb300*cf_cx+(1-cust_sh)*((1-Sens!$K$10455)*tk_cx_gb300+Sens!$K$10455*tk_cx_vr200)</f>
        <v>34.911788</v>
      </c>
      <c r="L10458" s="36" t="n">
        <f aca="false">cust_sh*tk_cx_gb300*cf_cx+(1-cust_sh)*((1-Sens!$L$10455)*tk_cx_gb300+Sens!$L$10455*tk_cx_vr200)</f>
        <v>34.911788</v>
      </c>
      <c r="M10458" s="36" t="n">
        <f aca="false">cust_sh*tk_cx_gb300*cf_cx+(1-cust_sh)*((1-Sens!$M$10455)*tk_cx_gb300+Sens!$M$10455*tk_cx_vr200)</f>
        <v>34.911788</v>
      </c>
    </row>
    <row r="10459" customFormat="false" ht="17.15" hidden="false" customHeight="false" outlineLevel="0" collapsed="false">
      <c r="A10459" s="5" t="s">
        <v>603</v>
      </c>
      <c r="B10459" s="0" t="s">
        <v>129</v>
      </c>
      <c r="F10459" s="32" t="n">
        <f aca="false">Sens!$F$10449-mw_open</f>
        <v>1817.15</v>
      </c>
      <c r="G10459" s="32" t="n">
        <f aca="false">Sens!$F$10459</f>
        <v>1817.15</v>
      </c>
      <c r="H10459" s="32" t="n">
        <f aca="false">Sens!$H$10449-mw_open</f>
        <v>5451.45</v>
      </c>
      <c r="I10459" s="32" t="n">
        <f aca="false">Sens!$I$10449-mw_open</f>
        <v>9085.75</v>
      </c>
      <c r="J10459" s="32" t="n">
        <f aca="false">Sens!$J$10449-mw_open</f>
        <v>12720.05</v>
      </c>
      <c r="K10459" s="32" t="n">
        <f aca="false">Sens!$K$10449-mw_open</f>
        <v>15290.9171666667</v>
      </c>
      <c r="L10459" s="32" t="n">
        <f aca="false">Sens!$L$10449-mw_open</f>
        <v>16798.3515</v>
      </c>
      <c r="M10459" s="32" t="n">
        <f aca="false">Sens!$M$10449-mw_open</f>
        <v>17242.353</v>
      </c>
    </row>
    <row r="10460" customFormat="false" ht="17.15" hidden="false" customHeight="false" outlineLevel="0" collapsed="false">
      <c r="A10460" s="0" t="s">
        <v>604</v>
      </c>
      <c r="B10460" s="0" t="s">
        <v>605</v>
      </c>
      <c r="F10460" s="32" t="n">
        <f aca="false">Sens!$F$10452*Sens!$F$10456</f>
        <v>19782.2417524844</v>
      </c>
      <c r="G10460" s="32" t="n">
        <f aca="false">Sens!$F$10460</f>
        <v>19782.2417524844</v>
      </c>
      <c r="H10460" s="32" t="n">
        <f aca="false">Sens!$G$10460+Sens!$H$10452*Sens!$H$10456</f>
        <v>60563.3616992009</v>
      </c>
      <c r="I10460" s="32" t="n">
        <f aca="false">Sens!$H$10460+Sens!$I$10452*Sens!$I$10456</f>
        <v>102561.118087665</v>
      </c>
      <c r="J10460" s="32" t="n">
        <f aca="false">Sens!$I$10460+Sens!$J$10452*Sens!$J$10456</f>
        <v>144558.87447613</v>
      </c>
      <c r="K10460" s="32" t="n">
        <f aca="false">Sens!$J$10460+Sens!$K$10452*Sens!$K$10456</f>
        <v>174267.663781572</v>
      </c>
      <c r="L10460" s="32" t="n">
        <f aca="false">Sens!$K$10460+Sens!$L$10452*Sens!$L$10456</f>
        <v>191687.486003992</v>
      </c>
      <c r="M10460" s="32" t="n">
        <f aca="false">Sens!$L$10460+Sens!$M$10452*Sens!$M$10456</f>
        <v>196818.341143389</v>
      </c>
    </row>
    <row r="10461" customFormat="false" ht="17.15" hidden="false" customHeight="false" outlineLevel="0" collapsed="false">
      <c r="A10461" s="0" t="s">
        <v>606</v>
      </c>
      <c r="B10461" s="0" t="s">
        <v>605</v>
      </c>
      <c r="F10461" s="32" t="n">
        <f aca="false">Sens!$F$10452*Sens!$F$10457</f>
        <v>3602.74485070566</v>
      </c>
      <c r="G10461" s="32" t="n">
        <f aca="false">Sens!$F$10461</f>
        <v>3602.74485070566</v>
      </c>
      <c r="H10461" s="32" t="n">
        <f aca="false">Sens!$G$10461+Sens!$H$10452*Sens!$H$10457</f>
        <v>10908.9598445736</v>
      </c>
      <c r="I10461" s="32" t="n">
        <f aca="false">Sens!$H$10461+Sens!$I$10452*Sens!$I$10457</f>
        <v>18315.9001308981</v>
      </c>
      <c r="J10461" s="32" t="n">
        <f aca="false">Sens!$I$10461+Sens!$J$10452*Sens!$J$10457</f>
        <v>25722.8404172225</v>
      </c>
      <c r="K10461" s="32" t="n">
        <f aca="false">Sens!$J$10461+Sens!$K$10452*Sens!$K$10457</f>
        <v>30962.4352738861</v>
      </c>
      <c r="L10461" s="32" t="n">
        <f aca="false">Sens!$K$10461+Sens!$L$10452*Sens!$L$10457</f>
        <v>34034.6847008886</v>
      </c>
      <c r="M10461" s="32" t="n">
        <f aca="false">Sens!$L$10461+Sens!$M$10452*Sens!$M$10457</f>
        <v>34939.5886982302</v>
      </c>
    </row>
    <row r="10462" customFormat="false" ht="17.15" hidden="false" customHeight="false" outlineLevel="0" collapsed="false">
      <c r="A10462" s="5" t="s">
        <v>607</v>
      </c>
      <c r="B10462" s="0" t="s">
        <v>173</v>
      </c>
      <c r="F10462" s="36" t="n">
        <f aca="false">IF(Sens!$F$10459&gt;0,Sens!$F$10460/Sens!$F$10459,Sens!$F$10456)</f>
        <v>10.8864110021101</v>
      </c>
      <c r="G10462" s="36" t="n">
        <f aca="false">IF(Sens!$G$10459&gt;0,Sens!$G$10460/Sens!$G$10459,Sens!$G$10456)</f>
        <v>10.8864110021101</v>
      </c>
      <c r="H10462" s="36" t="n">
        <f aca="false">IF(Sens!$H$10459&gt;0,Sens!$H$10460/Sens!$H$10459,Sens!$H$10456)</f>
        <v>11.1095876691891</v>
      </c>
      <c r="I10462" s="36" t="n">
        <f aca="false">IF(Sens!$I$10459&gt;0,Sens!$I$10460/Sens!$I$10459,Sens!$I$10456)</f>
        <v>11.2881290028523</v>
      </c>
      <c r="J10462" s="36" t="n">
        <f aca="false">IF(Sens!$J$10459&gt;0,Sens!$J$10460/Sens!$J$10459,Sens!$J$10456)</f>
        <v>11.3646467172794</v>
      </c>
      <c r="K10462" s="36" t="n">
        <f aca="false">IF(Sens!$K$10459&gt;0,Sens!$K$10460/Sens!$K$10459,Sens!$K$10456)</f>
        <v>11.3968090914432</v>
      </c>
      <c r="L10462" s="36" t="n">
        <f aca="false">IF(Sens!$L$10459&gt;0,Sens!$L$10460/Sens!$L$10459,Sens!$L$10456)</f>
        <v>11.4110891181192</v>
      </c>
      <c r="M10462" s="36" t="n">
        <f aca="false">IF(Sens!$M$10459&gt;0,Sens!$M$10460/Sens!$M$10459,Sens!$M$10456)</f>
        <v>11.4148191458201</v>
      </c>
    </row>
    <row r="10463" customFormat="false" ht="17.15" hidden="false" customHeight="false" outlineLevel="0" collapsed="false">
      <c r="A10463" s="5" t="s">
        <v>608</v>
      </c>
      <c r="B10463" s="0" t="s">
        <v>173</v>
      </c>
      <c r="F10463" s="36" t="n">
        <f aca="false">IF(Sens!$F$10459&gt;0,Sens!$F$10461/Sens!$F$10459,Sens!$F$10457)</f>
        <v>1.98263481314457</v>
      </c>
      <c r="G10463" s="36" t="n">
        <f aca="false">IF(Sens!$G$10459&gt;0,Sens!$G$10461/Sens!$G$10459,Sens!$G$10457)</f>
        <v>1.98263481314457</v>
      </c>
      <c r="H10463" s="36" t="n">
        <f aca="false">IF(Sens!$H$10459&gt;0,Sens!$H$10461/Sens!$H$10459,Sens!$H$10457)</f>
        <v>2.00111160233948</v>
      </c>
      <c r="I10463" s="36" t="n">
        <f aca="false">IF(Sens!$I$10459&gt;0,Sens!$I$10461/Sens!$I$10459,Sens!$I$10457)</f>
        <v>2.01589303369541</v>
      </c>
      <c r="J10463" s="36" t="n">
        <f aca="false">IF(Sens!$J$10459&gt;0,Sens!$J$10461/Sens!$J$10459,Sens!$J$10457)</f>
        <v>2.02222793284795</v>
      </c>
      <c r="K10463" s="36" t="n">
        <f aca="false">IF(Sens!$K$10459&gt;0,Sens!$K$10461/Sens!$K$10459,Sens!$K$10457)</f>
        <v>2.02489065478573</v>
      </c>
      <c r="L10463" s="36" t="n">
        <f aca="false">IF(Sens!$L$10459&gt;0,Sens!$L$10461/Sens!$L$10459,Sens!$L$10457)</f>
        <v>2.0260728977417</v>
      </c>
      <c r="M10463" s="36" t="n">
        <f aca="false">IF(Sens!$M$10459&gt;0,Sens!$M$10461/Sens!$M$10459,Sens!$M$10457)</f>
        <v>2.02638170661685</v>
      </c>
    </row>
    <row r="10464" customFormat="false" ht="17.15" hidden="false" customHeight="false" outlineLevel="0" collapsed="false">
      <c r="A10464" s="15" t="s">
        <v>609</v>
      </c>
      <c r="B10464" s="14" t="s">
        <v>173</v>
      </c>
      <c r="C10464" s="14"/>
      <c r="D10464" s="14"/>
      <c r="E10464" s="14"/>
      <c r="F10464" s="37" t="n">
        <f aca="false">Sens!$F$10462*k_B</f>
        <v>10.7987645808025</v>
      </c>
      <c r="G10464" s="37" t="n">
        <f aca="false">Sens!$G$10462*k_B</f>
        <v>10.7987645808025</v>
      </c>
      <c r="H10464" s="37" t="n">
        <f aca="false">Sens!$H$10462*k_B</f>
        <v>11.0201444540452</v>
      </c>
      <c r="I10464" s="37" t="n">
        <f aca="false">Sens!$I$10462*k_B</f>
        <v>11.1972483526393</v>
      </c>
      <c r="J10464" s="37" t="n">
        <f aca="false">Sens!$J$10462*k_B</f>
        <v>11.2731500234653</v>
      </c>
      <c r="K10464" s="37" t="n">
        <f aca="false">Sens!$K$10462*k_B</f>
        <v>11.3050534585724</v>
      </c>
      <c r="L10464" s="37" t="n">
        <f aca="false">Sens!$L$10462*k_B</f>
        <v>11.3192185168503</v>
      </c>
      <c r="M10464" s="37" t="n">
        <f aca="false">Sens!$M$10462*k_B</f>
        <v>11.3229185141234</v>
      </c>
      <c r="N10464" s="14"/>
      <c r="O10464" s="14"/>
      <c r="P10464" s="5" t="s">
        <v>610</v>
      </c>
    </row>
    <row r="10465" customFormat="false" ht="17.15" hidden="false" customHeight="false" outlineLevel="0" collapsed="false">
      <c r="A10465" s="5" t="s">
        <v>611</v>
      </c>
      <c r="B10465" s="0" t="s">
        <v>129</v>
      </c>
      <c r="F10465" s="32" t="n">
        <f aca="false">Sens!$F$10459/2</f>
        <v>908.575</v>
      </c>
      <c r="H10465" s="32" t="n">
        <f aca="false">(Sens!$G$10459+Sens!$H$10459)/2</f>
        <v>3634.3</v>
      </c>
      <c r="I10465" s="32" t="n">
        <f aca="false">(Sens!$H$10459+Sens!$I$10459)/2</f>
        <v>7268.6</v>
      </c>
      <c r="J10465" s="32" t="n">
        <f aca="false">(Sens!$I$10459+Sens!$J$10459)/2</f>
        <v>10902.9</v>
      </c>
      <c r="K10465" s="32" t="n">
        <f aca="false">(Sens!$J$10459+Sens!$K$10459)/2</f>
        <v>14005.4835833333</v>
      </c>
      <c r="L10465" s="32" t="n">
        <f aca="false">(Sens!$K$10459+Sens!$L$10459)/2</f>
        <v>16044.6343333333</v>
      </c>
      <c r="M10465" s="32" t="n">
        <f aca="false">(Sens!$L$10459+Sens!$M$10459)/2</f>
        <v>17020.35225</v>
      </c>
    </row>
    <row r="10466" customFormat="false" ht="17.15" hidden="false" customHeight="false" outlineLevel="0" collapsed="false">
      <c r="A10466" s="1" t="s">
        <v>612</v>
      </c>
    </row>
    <row r="10467" customFormat="false" ht="17.15" hidden="false" customHeight="false" outlineLevel="0" collapsed="false">
      <c r="A10467" s="1" t="s">
        <v>613</v>
      </c>
      <c r="B10467" s="8" t="s">
        <v>86</v>
      </c>
      <c r="C10467" s="38" t="n">
        <f aca="false">Sens!$C$10450*rpm_open*Sens!$C$10451/1000</f>
        <v>2.32100535697364</v>
      </c>
      <c r="D10467" s="38" t="n">
        <f aca="false">Sens!$D$10450*rpm_open*Sens!$D$10451/1000</f>
        <v>8.70377008865116</v>
      </c>
      <c r="E10467" s="38" t="n">
        <f aca="false">Sens!$E$10450*rpm_open*Sens!$E$10451/1000</f>
        <v>8.51035297557002</v>
      </c>
      <c r="F10467" s="38" t="n">
        <f aca="false">(mw_open*rpm_open+Sens!$F$10465*Sens!$F$10464)*Sens!$F$10451/1000</f>
        <v>14.9634336447205</v>
      </c>
      <c r="G10467" s="38" t="n">
        <f aca="false">Sens!$E$10467+Sens!$F$10467</f>
        <v>23.4737866202905</v>
      </c>
      <c r="H10467" s="38" t="n">
        <f aca="false">(mw_open*rpm_open+Sens!$H$10465*Sens!$H$10464)/1000</f>
        <v>60.1658907497746</v>
      </c>
      <c r="I10467" s="38" t="n">
        <f aca="false">(mw_open*rpm_open+Sens!$I$10465*Sens!$I$10464)/1000</f>
        <v>101.503699136432</v>
      </c>
      <c r="J10467" s="38" t="n">
        <f aca="false">(mw_open*rpm_open+Sens!$J$10465*Sens!$J$10464)/1000</f>
        <v>143.025407151278</v>
      </c>
      <c r="K10467" s="38" t="n">
        <f aca="false">(mw_open*rpm_open+Sens!$K$10465*Sens!$K$10464)/1000</f>
        <v>178.44812038318</v>
      </c>
      <c r="L10467" s="38" t="n">
        <f aca="false">(mw_open*rpm_open+Sens!$L$10465*Sens!$L$10464)/1000</f>
        <v>201.728101802396</v>
      </c>
      <c r="M10467" s="38" t="n">
        <f aca="false">(mw_open*rpm_open+Sens!$M$10465*Sens!$M$10464)/1000</f>
        <v>212.835441368865</v>
      </c>
      <c r="N10467" s="38" t="n">
        <f aca="false">Sens!$N$10450*rpm_open*Sens!$N$10451/1000</f>
        <v>3.04631953102791</v>
      </c>
      <c r="O10467" s="38" t="n">
        <f aca="false">Sens!$O$10450*rpm_open*Sens!$O$10451/1000</f>
        <v>5.65745055762326</v>
      </c>
      <c r="P10467" s="5" t="s">
        <v>614</v>
      </c>
    </row>
    <row r="10468" customFormat="false" ht="17.15" hidden="false" customHeight="false" outlineLevel="0" collapsed="false">
      <c r="A10468" s="5" t="s">
        <v>615</v>
      </c>
      <c r="B10468" s="0" t="s">
        <v>173</v>
      </c>
      <c r="C10468" s="36" t="n">
        <f aca="false">Sens!$C$10467*1000/(Sens!$C$10450*Sens!$C$10451)</f>
        <v>9.67085565405685</v>
      </c>
      <c r="D10468" s="36" t="n">
        <f aca="false">Sens!$D$10467*1000/(Sens!$D$10450*Sens!$D$10451)</f>
        <v>9.67085565405685</v>
      </c>
      <c r="E10468" s="36" t="n">
        <f aca="false">Sens!$E$10467*1000/(Sens!$E$10450*Sens!$E$10451)</f>
        <v>9.67085565405685</v>
      </c>
      <c r="F10468" s="36" t="n">
        <f aca="false">Sens!$F$10467*1000/(Sens!$F$10450*Sens!$F$10451)</f>
        <v>10.0137581588017</v>
      </c>
      <c r="G10468" s="36" t="n">
        <f aca="false">Sens!$G$10467*1000/(Sens!$G$10450*Sens!$G$10451)</f>
        <v>9.88666562928478</v>
      </c>
      <c r="H10468" s="36" t="n">
        <f aca="false">Sens!$H$10467*1000/(Sens!$H$10450*Sens!$H$10451)</f>
        <v>10.5290045586992</v>
      </c>
      <c r="I10468" s="36" t="n">
        <f aca="false">Sens!$I$10467*1000/(Sens!$I$10450*Sens!$I$10451)</f>
        <v>10.8576363451674</v>
      </c>
      <c r="J10468" s="36" t="n">
        <f aca="false">Sens!$J$10467*1000/(Sens!$J$10450*Sens!$J$10451)</f>
        <v>11.0164452588619</v>
      </c>
      <c r="K10468" s="36" t="n">
        <f aca="false">Sens!$K$10467*1000/(Sens!$K$10450*Sens!$K$10451)</f>
        <v>11.0937367508227</v>
      </c>
      <c r="L10468" s="36" t="n">
        <f aca="false">Sens!$L$10467*1000/(Sens!$L$10450*Sens!$L$10451)</f>
        <v>11.1300508519168</v>
      </c>
      <c r="M10468" s="36" t="n">
        <f aca="false">Sens!$M$10467*1000/(Sens!$M$10450*Sens!$M$10451)</f>
        <v>11.1430113216297</v>
      </c>
      <c r="N10468" s="36" t="n">
        <f aca="false">Sens!$N$10467*1000/(Sens!$N$10450*Sens!$N$10451)</f>
        <v>9.67085565405685</v>
      </c>
      <c r="O10468" s="36" t="n">
        <f aca="false">Sens!$O$10467*1000/(Sens!$O$10450*Sens!$O$10451)</f>
        <v>9.67085565405685</v>
      </c>
    </row>
    <row r="10469" customFormat="false" ht="17.15" hidden="false" customHeight="false" outlineLevel="0" collapsed="false">
      <c r="A10469" s="0" t="s">
        <v>616</v>
      </c>
      <c r="B10469" s="0" t="s">
        <v>86</v>
      </c>
      <c r="C10469" s="38" t="n">
        <f aca="false">Sens!$C$10450/ext_sh*(ox_open+rent_mw)*Sens!$C$10451/1000</f>
        <v>0.642569210675032</v>
      </c>
      <c r="D10469" s="38" t="n">
        <f aca="false">Sens!$D$10450/ext_sh*(ox_open+rent_mw)*Sens!$D$10451/1000</f>
        <v>2.40963454003137</v>
      </c>
      <c r="E10469" s="38" t="n">
        <f aca="false">Sens!$E$10450/ext_sh*(ox_open+rent_mw)*Sens!$E$10451/1000</f>
        <v>2.35608710580845</v>
      </c>
      <c r="F10469" s="38" t="n">
        <f aca="false">((mw_open*ox_open+Sens!$F$10465*Sens!$F$10463)/ext_sh+Sens!$F$10450/ext_sh*rent_mw)*Sens!$F$10451/1000</f>
        <v>4.05421991106232</v>
      </c>
      <c r="G10469" s="38" t="n">
        <f aca="false">Sens!$E$10469+Sens!$F$10469</f>
        <v>6.41030701687077</v>
      </c>
      <c r="H10469" s="38" t="n">
        <f aca="false">((mw_open*ox_open+Sens!$H$10465*Sens!$H$10463)/ext_sh+Sens!$H$10450/ext_sh*rent_mw)*Sens!$H$10451/1000</f>
        <v>15.8108975546616</v>
      </c>
      <c r="I10469" s="38" t="n">
        <f aca="false">((mw_open*ox_open+Sens!$I$10465*Sens!$I$10463)/ext_sh+Sens!$I$10450/ext_sh*rent_mw)*Sens!$I$10451/1000</f>
        <v>26.1871623400817</v>
      </c>
      <c r="J10469" s="38" t="n">
        <f aca="false">((mw_open*ox_open+Sens!$J$10465*Sens!$J$10463)/ext_sh+Sens!$J$10450/ext_sh*rent_mw)*Sens!$J$10451/1000</f>
        <v>36.5826128954935</v>
      </c>
      <c r="K10469" s="38" t="n">
        <f aca="false">((mw_open*ox_open+Sens!$K$10465*Sens!$K$10463)/ext_sh+Sens!$K$10450/ext_sh*rent_mw)*Sens!$K$10451/1000</f>
        <v>45.4546361137628</v>
      </c>
      <c r="L10469" s="38" t="n">
        <f aca="false">((mw_open*ox_open+Sens!$L$10465*Sens!$L$10463)/ext_sh+Sens!$L$10450/ext_sh*rent_mw)*Sens!$L$10451/1000</f>
        <v>51.2855695554452</v>
      </c>
      <c r="M10469" s="38" t="n">
        <f aca="false">((mw_open*ox_open+Sens!$M$10465*Sens!$M$10463)/ext_sh+Sens!$M$10450/ext_sh*rent_mw)*Sens!$M$10451/1000</f>
        <v>54.0722927838398</v>
      </c>
      <c r="N10469" s="38" t="n">
        <f aca="false">Sens!$N$10450/ext_sh*(ox_open+rent_mw)*Sens!$N$10451/1000</f>
        <v>0.84337208901098</v>
      </c>
      <c r="O10469" s="38" t="n">
        <f aca="false">Sens!$O$10450/ext_sh*(ox_open+rent_mw)*Sens!$O$10451/1000</f>
        <v>1.56626245102039</v>
      </c>
    </row>
    <row r="10470" customFormat="false" ht="17.15" hidden="false" customHeight="false" outlineLevel="0" collapsed="false">
      <c r="A10470" s="0" t="s">
        <v>617</v>
      </c>
      <c r="B10470" s="0" t="s">
        <v>86</v>
      </c>
      <c r="C10470" s="38" t="n">
        <f aca="false">Q!$D$7</f>
        <v>107.556</v>
      </c>
      <c r="D10470" s="38" t="n">
        <f aca="false">Q!$E$7</f>
        <v>128.725</v>
      </c>
      <c r="E10470" s="38" t="n">
        <f aca="false">Q!$P$7</f>
        <v>79.819</v>
      </c>
      <c r="N10470" s="38" t="n">
        <f aca="false">Q!$N$7</f>
        <v>60.14</v>
      </c>
      <c r="O10470" s="38" t="n">
        <f aca="false">Q!$O$7</f>
        <v>68.585</v>
      </c>
    </row>
    <row r="10471" customFormat="false" ht="17.15" hidden="false" customHeight="false" outlineLevel="0" collapsed="false">
      <c r="A10471" s="1" t="s">
        <v>618</v>
      </c>
      <c r="B10471" s="8" t="s">
        <v>86</v>
      </c>
      <c r="C10471" s="38" t="n">
        <f aca="false">Sens!$C$10470-Sens!$C$10467</f>
        <v>105.234994643026</v>
      </c>
      <c r="D10471" s="38" t="n">
        <f aca="false">Sens!$D$10470-Sens!$D$10467</f>
        <v>120.021229911349</v>
      </c>
      <c r="E10471" s="38" t="n">
        <f aca="false">Sens!$E$10470-Sens!$E$10467</f>
        <v>71.30864702443</v>
      </c>
      <c r="F10471" s="38" t="n">
        <f aca="false">Sens!$O$10471*(1+Sens!$F$10472)</f>
        <v>71.7692997942464</v>
      </c>
      <c r="G10471" s="38" t="n">
        <f aca="false">Sens!$E$10471+Sens!$F$10471</f>
        <v>143.077946818676</v>
      </c>
      <c r="H10471" s="38" t="n">
        <f aca="false">Sens!$G$10471*(1+Sens!$H$10472)</f>
        <v>161.017077079203</v>
      </c>
      <c r="I10471" s="38" t="n">
        <f aca="false">Sens!$H$10471*(1+Sens!$I$10472)</f>
        <v>178.769759521457</v>
      </c>
      <c r="J10471" s="38" t="n">
        <f aca="false">Sens!$I$10471*(1+Sens!$J$10472)</f>
        <v>195.775538045907</v>
      </c>
      <c r="K10471" s="38" t="n">
        <f aca="false">Sens!$J$10471*(1+Sens!$K$10472)</f>
        <v>211.43758108958</v>
      </c>
      <c r="L10471" s="38" t="n">
        <f aca="false">Sens!$K$10471*(1+Sens!$L$10472)</f>
        <v>228.352587576746</v>
      </c>
      <c r="M10471" s="38" t="n">
        <f aca="false">Sens!$L$10471*(1+Sens!$M$10472)</f>
        <v>246.620794582886</v>
      </c>
      <c r="N10471" s="38" t="n">
        <f aca="false">Sens!$N$10470-Sens!$N$10467</f>
        <v>57.0936804689721</v>
      </c>
      <c r="O10471" s="38" t="n">
        <f aca="false">Sens!$O$10470-Sens!$O$10467</f>
        <v>62.9275494423768</v>
      </c>
      <c r="P10471" s="5" t="s">
        <v>619</v>
      </c>
    </row>
    <row r="10472" customFormat="false" ht="17.15" hidden="false" customHeight="false" outlineLevel="0" collapsed="false">
      <c r="A10472" s="0" t="s">
        <v>620</v>
      </c>
      <c r="B10472" s="0" t="s">
        <v>52</v>
      </c>
      <c r="D10472" s="13" t="n">
        <f aca="false">Sens!$D$10471/Sens!$C$10471-1</f>
        <v>0.140506827776062</v>
      </c>
      <c r="E10472" s="13" t="n">
        <f aca="false">Sens!$E$10471/Sens!$N$10471-1</f>
        <v>0.248976181579029</v>
      </c>
      <c r="F10472" s="13" t="n">
        <f aca="false">Sens!$D$10472</f>
        <v>0.140506827776062</v>
      </c>
      <c r="G10472" s="13" t="n">
        <f aca="false">Sens!$G$10471/Sens!$D$10471-1</f>
        <v>0.19210532106993</v>
      </c>
      <c r="H10472" s="13" t="n">
        <f aca="false">Sens!$F$10472+(g_awso_lt-Sens!$F$10472)*1/4</f>
        <v>0.125380120832046</v>
      </c>
      <c r="I10472" s="13" t="n">
        <f aca="false">Sens!$F$10472+(g_awso_lt-Sens!$F$10472)*2/4</f>
        <v>0.110253413888031</v>
      </c>
      <c r="J10472" s="13" t="n">
        <f aca="false">Sens!$F$10472+(g_awso_lt-Sens!$F$10472)*3/4</f>
        <v>0.0951267069440154</v>
      </c>
      <c r="K10472" s="13" t="n">
        <f aca="false">Sens!$F$10472+(g_awso_lt-Sens!$F$10472)*4/4</f>
        <v>0.08</v>
      </c>
      <c r="L10472" s="13" t="n">
        <f aca="false">g_awso_lt</f>
        <v>0.08</v>
      </c>
      <c r="M10472" s="13" t="n">
        <f aca="false">g_awso_lt</f>
        <v>0.08</v>
      </c>
      <c r="P10472" s="5" t="s">
        <v>621</v>
      </c>
    </row>
    <row r="10473" customFormat="false" ht="17.15" hidden="false" customHeight="false" outlineLevel="0" collapsed="false">
      <c r="A10473" s="1" t="s">
        <v>622</v>
      </c>
    </row>
    <row r="10474" customFormat="false" ht="17.15" hidden="false" customHeight="false" outlineLevel="0" collapsed="false">
      <c r="A10474" s="0" t="s">
        <v>623</v>
      </c>
      <c r="B10474" s="0" t="s">
        <v>86</v>
      </c>
      <c r="F10474" s="38" t="n">
        <f aca="false">cx_rt*Sens!$F$10439+cx_awso*Sens!$F$10471</f>
        <v>34.9734495387866</v>
      </c>
    </row>
    <row r="10475" customFormat="false" ht="17.15" hidden="false" customHeight="false" outlineLevel="0" collapsed="false">
      <c r="A10475" s="0" t="s">
        <v>624</v>
      </c>
      <c r="B10475" s="0" t="s">
        <v>52</v>
      </c>
      <c r="C10475" s="13" t="n">
        <f aca="false">tk_cx_h100/(tk_cx_h100+tk_fac*(1-colo_sh))</f>
        <v>0.730756458006641</v>
      </c>
      <c r="D10475" s="13" t="n">
        <f aca="false">tk_cx_h100/(tk_cx_h100+tk_fac*(1-colo_sh))</f>
        <v>0.730756458006641</v>
      </c>
      <c r="E10475" s="13" t="n">
        <f aca="false">Sens!$F$10475</f>
        <v>0.760792334328868</v>
      </c>
      <c r="F10475" s="13" t="n">
        <f aca="false">Sens!$F$10458/(Sens!$F$10458+tk_fac*(1-colo_sh))</f>
        <v>0.760792334328868</v>
      </c>
      <c r="G10475" s="13" t="n">
        <f aca="false">Sens!$G$10458/(Sens!$G$10458+tk_fac*(1-colo_sh))</f>
        <v>0.760792334328868</v>
      </c>
      <c r="H10475" s="13" t="n">
        <f aca="false">Sens!$H$10458/(Sens!$H$10458+tk_fac*(1-colo_sh))</f>
        <v>0.768110668862996</v>
      </c>
      <c r="I10475" s="13" t="n">
        <f aca="false">Sens!$I$10458/(Sens!$I$10458+tk_fac*(1-colo_sh))</f>
        <v>0.77499450139483</v>
      </c>
      <c r="J10475" s="13" t="n">
        <f aca="false">Sens!$J$10458/(Sens!$J$10458+tk_fac*(1-colo_sh))</f>
        <v>0.77499450139483</v>
      </c>
      <c r="K10475" s="13" t="n">
        <f aca="false">Sens!$K$10458/(Sens!$K$10458+tk_fac*(1-colo_sh))</f>
        <v>0.77499450139483</v>
      </c>
      <c r="L10475" s="13" t="n">
        <f aca="false">Sens!$L$10458/(Sens!$L$10458+tk_fac*(1-colo_sh))</f>
        <v>0.77499450139483</v>
      </c>
      <c r="M10475" s="13" t="n">
        <f aca="false">Sens!$M$10458/(Sens!$M$10458+tk_fac*(1-colo_sh))</f>
        <v>0.77499450139483</v>
      </c>
    </row>
    <row r="10476" customFormat="false" ht="17.15" hidden="false" customHeight="false" outlineLevel="0" collapsed="false">
      <c r="A10476" s="1" t="s">
        <v>625</v>
      </c>
      <c r="B10476" s="8" t="s">
        <v>86</v>
      </c>
      <c r="C10476" s="38" t="n">
        <f aca="false">Q!$D$46-cx_rt*Q!$D$16-cx_awso*Sens!$C$10471</f>
        <v>25.2781053077374</v>
      </c>
      <c r="D10476" s="38" t="n">
        <f aca="false">Q!$E$46-cx_rt*Q!$E$16-cx_awso*Sens!$D$10471</f>
        <v>69.5686316310026</v>
      </c>
      <c r="E10476" s="38" t="n">
        <f aca="false">Q!$P$46-cx_rt*Q!$P$16-cx_awso*Sens!$E$10471</f>
        <v>64.1899206485108</v>
      </c>
      <c r="F10476" s="38" t="n">
        <f aca="false">MAX(Sens!$F$10453*(Sens!$F$10458+tk_fac*(1-colo_sh))/1000,capex_g26-Q!$P$46-Sens!$F$10474)</f>
        <v>96.2481299895</v>
      </c>
      <c r="G10476" s="38" t="n">
        <f aca="false">Sens!$E$10476+Sens!$F$10476</f>
        <v>160.438050638011</v>
      </c>
      <c r="H10476" s="38" t="n">
        <f aca="false">Sens!$H$10453*(Sens!$H$10458+tk_fac*(1-colo_sh))/1000+Sens!$H$10477</f>
        <v>198.57136494475</v>
      </c>
      <c r="I10476" s="38" t="n">
        <f aca="false">Sens!$I$10453*(Sens!$I$10458+tk_fac*(1-colo_sh))/1000+Sens!$I$10477</f>
        <v>204.6464699105</v>
      </c>
      <c r="J10476" s="38" t="n">
        <f aca="false">Sens!$J$10453*(Sens!$J$10458+tk_fac*(1-colo_sh))/1000+Sens!$J$10477</f>
        <v>209.8832381105</v>
      </c>
      <c r="K10476" s="38" t="n">
        <f aca="false">Sens!$K$10453*(Sens!$K$10458+tk_fac*(1-colo_sh))/1000+Sens!$K$10477</f>
        <v>155.238385275201</v>
      </c>
      <c r="L10476" s="38" t="n">
        <f aca="false">Sens!$L$10453*(Sens!$L$10458+tk_fac*(1-colo_sh))/1000+Sens!$L$10477</f>
        <v>132.014141639902</v>
      </c>
      <c r="M10476" s="38" t="n">
        <f aca="false">Sens!$M$10453*(Sens!$M$10458+tk_fac*(1-colo_sh))/1000+Sens!$M$10477</f>
        <v>132.230981659852</v>
      </c>
      <c r="P10476" s="5" t="s">
        <v>626</v>
      </c>
      <c r="R10476" s="38" t="n">
        <f aca="false">Q!$C$46-cx_rt*Q!$C$16-cx_awso*(Q!$C$7-mw_ye23/2*rpm_open/1000)</f>
        <v>1.50429979529945</v>
      </c>
      <c r="S10476" s="38" t="n">
        <f aca="false">Sens!$C$10476</f>
        <v>25.2781053077374</v>
      </c>
      <c r="T10476" s="38" t="n">
        <f aca="false">Sens!$D$10476</f>
        <v>69.5686316310026</v>
      </c>
      <c r="U10476" s="38" t="n">
        <f aca="false">Sens!$G$10476</f>
        <v>160.438050638011</v>
      </c>
      <c r="V10476" s="38" t="n">
        <f aca="false">Sens!$H$10476</f>
        <v>198.57136494475</v>
      </c>
      <c r="W10476" s="38" t="n">
        <f aca="false">Sens!$I$10476</f>
        <v>204.6464699105</v>
      </c>
      <c r="X10476" s="38" t="n">
        <f aca="false">Sens!$J$10476</f>
        <v>209.8832381105</v>
      </c>
      <c r="Y10476" s="38" t="n">
        <f aca="false">Sens!$K$10476</f>
        <v>155.238385275201</v>
      </c>
      <c r="Z10476" s="38" t="n">
        <f aca="false">Sens!$L$10476</f>
        <v>132.014141639902</v>
      </c>
      <c r="AA10476" s="38" t="n">
        <f aca="false">Sens!$M$10476</f>
        <v>132.230981659852</v>
      </c>
    </row>
    <row r="10477" customFormat="false" ht="17.15" hidden="false" customHeight="false" outlineLevel="0" collapsed="false">
      <c r="A10477" s="0" t="s">
        <v>627</v>
      </c>
      <c r="B10477" s="0" t="s">
        <v>86</v>
      </c>
      <c r="H10477" s="38" t="n">
        <f aca="false">SUMPRODUCT(--(Sens!$R$10446:$AA$10446=2027-tk_life),Sens!$R$10453:$AA$10453)*Sens!$H$10458/1000</f>
        <v>0</v>
      </c>
      <c r="I10477" s="38" t="n">
        <f aca="false">SUMPRODUCT(--(Sens!$R$10446:$AA$10446=2028-tk_life),Sens!$R$10453:$AA$10453)*Sens!$I$10458/1000</f>
        <v>0</v>
      </c>
      <c r="J10477" s="38" t="n">
        <f aca="false">SUMPRODUCT(--(Sens!$R$10446:$AA$10446=2029-tk_life),Sens!$R$10453:$AA$10453)*Sens!$J$10458/1000</f>
        <v>5.2367682</v>
      </c>
      <c r="K10477" s="38" t="n">
        <f aca="false">SUMPRODUCT(--(Sens!$R$10446:$AA$10446=2030-tk_life),Sens!$R$10453:$AA$10453)*Sens!$K$10458/1000</f>
        <v>10.4735364</v>
      </c>
      <c r="L10477" s="38" t="n">
        <f aca="false">SUMPRODUCT(--(Sens!$R$10446:$AA$10446=2031-tk_life),Sens!$R$10453:$AA$10453)*Sens!$L$10458/1000</f>
        <v>47.1309138</v>
      </c>
      <c r="M10477" s="38" t="n">
        <f aca="false">SUMPRODUCT(--(Sens!$R$10446:$AA$10446=2032-tk_life),Sens!$R$10453:$AA$10453)*Sens!$M$10458/1000</f>
        <v>107.22937485525</v>
      </c>
    </row>
    <row r="10478" customFormat="false" ht="17.15" hidden="false" customHeight="false" outlineLevel="0" collapsed="false">
      <c r="A10478" s="5" t="s">
        <v>628</v>
      </c>
      <c r="B10478" s="0" t="s">
        <v>86</v>
      </c>
      <c r="C10478" s="38" t="n">
        <f aca="false">Sens!$C$10476*Sens!$C$10475</f>
        <v>18.472138699801</v>
      </c>
      <c r="D10478" s="38" t="n">
        <f aca="false">Sens!$D$10476*Sens!$D$10475</f>
        <v>50.8377268390402</v>
      </c>
      <c r="E10478" s="38" t="n">
        <f aca="false">Sens!$E$10476*Sens!$E$10475</f>
        <v>48.8351995705653</v>
      </c>
      <c r="F10478" s="38" t="n">
        <f aca="false">Sens!$F$10476*Sens!$F$10475</f>
        <v>73.2248394895</v>
      </c>
      <c r="G10478" s="38" t="n">
        <f aca="false">Sens!$E$10478+Sens!$F$10478</f>
        <v>122.060039060065</v>
      </c>
      <c r="H10478" s="38" t="n">
        <f aca="false">(Sens!$H$10476-Sens!$H$10477)*Sens!$H$10475+Sens!$H$10477</f>
        <v>152.52478394475</v>
      </c>
      <c r="I10478" s="38" t="n">
        <f aca="false">(Sens!$I$10476-Sens!$I$10477)*Sens!$I$10475+Sens!$I$10477</f>
        <v>158.5998889105</v>
      </c>
      <c r="J10478" s="38" t="n">
        <f aca="false">(Sens!$J$10476-Sens!$J$10477)*Sens!$J$10475+Sens!$J$10477</f>
        <v>163.8366571105</v>
      </c>
      <c r="K10478" s="38" t="n">
        <f aca="false">(Sens!$K$10476-Sens!$K$10477)*Sens!$K$10475+Sens!$K$10477</f>
        <v>122.665498273534</v>
      </c>
      <c r="L10478" s="38" t="n">
        <f aca="false">(Sens!$L$10476-Sens!$L$10477)*Sens!$L$10475+Sens!$L$10477</f>
        <v>112.914948636568</v>
      </c>
      <c r="M10478" s="38" t="n">
        <f aca="false">(Sens!$M$10476-Sens!$M$10477)*Sens!$M$10475+Sens!$M$10477</f>
        <v>126.605482654852</v>
      </c>
      <c r="R10478" s="38" t="n">
        <f aca="false">Sens!$R$10476*Sens!$C$10475</f>
        <v>1.09927679019314</v>
      </c>
      <c r="S10478" s="38" t="n">
        <f aca="false">Sens!$C$10478</f>
        <v>18.472138699801</v>
      </c>
      <c r="T10478" s="38" t="n">
        <f aca="false">Sens!$D$10478</f>
        <v>50.8377268390402</v>
      </c>
      <c r="U10478" s="38" t="n">
        <f aca="false">Sens!$G$10478</f>
        <v>122.060039060065</v>
      </c>
      <c r="V10478" s="38" t="n">
        <f aca="false">Sens!$H$10478</f>
        <v>152.52478394475</v>
      </c>
      <c r="W10478" s="38" t="n">
        <f aca="false">Sens!$I$10478</f>
        <v>158.5998889105</v>
      </c>
      <c r="X10478" s="38" t="n">
        <f aca="false">Sens!$J$10478</f>
        <v>163.8366571105</v>
      </c>
      <c r="Y10478" s="38" t="n">
        <f aca="false">Sens!$K$10478</f>
        <v>122.665498273534</v>
      </c>
      <c r="Z10478" s="38" t="n">
        <f aca="false">Sens!$L$10478</f>
        <v>112.914948636568</v>
      </c>
      <c r="AA10478" s="38" t="n">
        <f aca="false">Sens!$M$10478</f>
        <v>126.605482654852</v>
      </c>
    </row>
    <row r="10479" customFormat="false" ht="15" hidden="false" customHeight="false" outlineLevel="0" collapsed="false">
      <c r="A10479" s="5" t="s">
        <v>629</v>
      </c>
      <c r="B10479" s="0" t="s">
        <v>86</v>
      </c>
      <c r="C10479" s="38" t="n">
        <f aca="false">Sens!$C$10476-Sens!$C$10478</f>
        <v>6.80596660793636</v>
      </c>
      <c r="D10479" s="38" t="n">
        <f aca="false">Sens!$D$10476-Sens!$D$10478</f>
        <v>18.7309047919624</v>
      </c>
      <c r="E10479" s="38" t="n">
        <f aca="false">Sens!$E$10476-Sens!$E$10478</f>
        <v>15.3547210779455</v>
      </c>
      <c r="F10479" s="38" t="n">
        <f aca="false">Sens!$F$10476-Sens!$F$10478</f>
        <v>23.0232905</v>
      </c>
      <c r="G10479" s="38" t="n">
        <f aca="false">Sens!$G$10476-Sens!$G$10478</f>
        <v>38.3780115779455</v>
      </c>
      <c r="H10479" s="38" t="n">
        <f aca="false">Sens!$H$10476-Sens!$H$10478</f>
        <v>46.046581</v>
      </c>
      <c r="I10479" s="38" t="n">
        <f aca="false">Sens!$I$10476-Sens!$I$10478</f>
        <v>46.046581</v>
      </c>
      <c r="J10479" s="38" t="n">
        <f aca="false">Sens!$J$10476-Sens!$J$10478</f>
        <v>46.046581</v>
      </c>
      <c r="K10479" s="38" t="n">
        <f aca="false">Sens!$K$10476-Sens!$K$10478</f>
        <v>32.5728870016667</v>
      </c>
      <c r="L10479" s="38" t="n">
        <f aca="false">Sens!$L$10476-Sens!$L$10478</f>
        <v>19.0991930033334</v>
      </c>
      <c r="M10479" s="38" t="n">
        <f aca="false">Sens!$M$10476-Sens!$M$10478</f>
        <v>5.62549900499998</v>
      </c>
      <c r="R10479" s="38" t="n">
        <f aca="false">Sens!$R$10476-Sens!$R$10478</f>
        <v>0.405023005106309</v>
      </c>
      <c r="S10479" s="38" t="n">
        <f aca="false">Sens!$S$10476-Sens!$S$10478</f>
        <v>6.80596660793636</v>
      </c>
      <c r="T10479" s="38" t="n">
        <f aca="false">Sens!$T$10476-Sens!$T$10478</f>
        <v>18.7309047919624</v>
      </c>
      <c r="U10479" s="38" t="n">
        <f aca="false">Sens!$U$10476-Sens!$U$10478</f>
        <v>38.3780115779455</v>
      </c>
      <c r="V10479" s="38" t="n">
        <f aca="false">Sens!$V$10476-Sens!$V$10478</f>
        <v>46.046581</v>
      </c>
      <c r="W10479" s="38" t="n">
        <f aca="false">Sens!$W$10476-Sens!$W$10478</f>
        <v>46.046581</v>
      </c>
      <c r="X10479" s="38" t="n">
        <f aca="false">Sens!$X$10476-Sens!$X$10478</f>
        <v>46.046581</v>
      </c>
      <c r="Y10479" s="38" t="n">
        <f aca="false">Sens!$Y$10476-Sens!$Y$10478</f>
        <v>32.5728870016667</v>
      </c>
      <c r="Z10479" s="38" t="n">
        <f aca="false">Sens!$Z$10476-Sens!$Z$10478</f>
        <v>19.0991930033334</v>
      </c>
      <c r="AA10479" s="38" t="n">
        <f aca="false">Sens!$AA$10476-Sens!$AA$10478</f>
        <v>5.62549900499998</v>
      </c>
    </row>
    <row r="10480" customFormat="false" ht="17.15" hidden="false" customHeight="false" outlineLevel="0" collapsed="false">
      <c r="A10480" s="0" t="s">
        <v>630</v>
      </c>
      <c r="B10480" s="0" t="s">
        <v>52</v>
      </c>
      <c r="C10480" s="13" t="n">
        <f aca="false">Sens!$C$10476/Sens!$C$10596</f>
        <v>0.325505489553393</v>
      </c>
      <c r="D10480" s="13" t="n">
        <f aca="false">Sens!$D$10476/Sens!$D$10596</f>
        <v>0.54214956071542</v>
      </c>
      <c r="E10480" s="13" t="n">
        <f aca="false">Sens!$E$10476/Sens!$E$10596</f>
        <v>0.666492790452817</v>
      </c>
      <c r="F10480" s="13" t="n">
        <f aca="false">Sens!$F$10476/Sens!$F$10596</f>
        <v>0.733477910687338</v>
      </c>
      <c r="G10480" s="13" t="n">
        <f aca="false">Sens!$G$10476/Sens!$G$10596</f>
        <v>0.705124321514523</v>
      </c>
      <c r="H10480" s="13" t="n">
        <f aca="false">Sens!$H$10476/Sens!$H$10596</f>
        <v>0.726376041178204</v>
      </c>
      <c r="I10480" s="13" t="n">
        <f aca="false">Sens!$I$10476/Sens!$I$10596</f>
        <v>0.713099092661699</v>
      </c>
      <c r="J10480" s="13" t="n">
        <f aca="false">Sens!$J$10476/Sens!$J$10596</f>
        <v>0.701208348786245</v>
      </c>
      <c r="K10480" s="13" t="n">
        <f aca="false">Sens!$K$10476/Sens!$K$10596</f>
        <v>0.618338844562383</v>
      </c>
      <c r="L10480" s="13" t="n">
        <f aca="false">Sens!$L$10476/Sens!$L$10596</f>
        <v>0.562489158462506</v>
      </c>
      <c r="M10480" s="13" t="n">
        <f aca="false">Sens!$M$10476/Sens!$M$10596</f>
        <v>0.545751190895923</v>
      </c>
    </row>
    <row r="10481" customFormat="false" ht="17.15" hidden="false" customHeight="false" outlineLevel="0" collapsed="false">
      <c r="A10481" s="0" t="s">
        <v>631</v>
      </c>
      <c r="B10481" s="0" t="s">
        <v>86</v>
      </c>
      <c r="C10481" s="38" t="n">
        <f aca="false">Sens!$S$10481</f>
        <v>0.183212798365523</v>
      </c>
      <c r="D10481" s="38" t="n">
        <f aca="false">Sens!$T$10481</f>
        <v>3.2619025816657</v>
      </c>
      <c r="E10481" s="38" t="n">
        <f aca="false">Sens!$G$10481/2</f>
        <v>5.86742852741953</v>
      </c>
      <c r="F10481" s="38" t="n">
        <f aca="false">Sens!$G$10481/2</f>
        <v>5.86742852741953</v>
      </c>
      <c r="G10481" s="38" t="n">
        <f aca="false">Sens!$U$10481</f>
        <v>11.7348570548391</v>
      </c>
      <c r="H10481" s="38" t="n">
        <f aca="false">Sens!$V$10481</f>
        <v>32.0781968981833</v>
      </c>
      <c r="I10481" s="38" t="n">
        <f aca="false">Sens!$W$10481</f>
        <v>57.4989942223083</v>
      </c>
      <c r="J10481" s="38" t="n">
        <f aca="false">Sens!$X$10481</f>
        <v>83.932309040725</v>
      </c>
      <c r="K10481" s="38" t="n">
        <f aca="false">Sens!$Y$10481</f>
        <v>111.055205760776</v>
      </c>
      <c r="L10481" s="38" t="n">
        <f aca="false">Sens!$Z$10481</f>
        <v>128.420765689732</v>
      </c>
      <c r="M10481" s="38" t="n">
        <f aca="false">Sens!$AA$10481</f>
        <v>138.766969322653</v>
      </c>
      <c r="N10481" s="38" t="n">
        <f aca="false">Sens!$D$10481/2</f>
        <v>1.63095129083285</v>
      </c>
      <c r="O10481" s="38" t="n">
        <f aca="false">Sens!$D$10481/2</f>
        <v>1.63095129083285</v>
      </c>
      <c r="R10481" s="38" t="n">
        <f aca="false">SUMPRODUCT(--(Sens!$R$10446:$AA$10446&lt;Sens!R$10446),--(Sens!$R$10446:$AA$10446&gt;=Sens!R$10446-tk_life),Sens!$R$10478:$AA$10478)/tk_life</f>
        <v>0</v>
      </c>
      <c r="S10481" s="38" t="n">
        <f aca="false">SUMPRODUCT(--(Sens!$R$10446:$AA$10446&lt;Sens!S$10446),--(Sens!$R$10446:$AA$10446&gt;=Sens!S$10446-tk_life),Sens!$R$10478:$AA$10478)/tk_life</f>
        <v>0.183212798365523</v>
      </c>
      <c r="T10481" s="38" t="n">
        <f aca="false">SUMPRODUCT(--(Sens!$R$10446:$AA$10446&lt;Sens!T$10446),--(Sens!$R$10446:$AA$10446&gt;=Sens!T$10446-tk_life),Sens!$R$10478:$AA$10478)/tk_life</f>
        <v>3.2619025816657</v>
      </c>
      <c r="U10481" s="38" t="n">
        <f aca="false">SUMPRODUCT(--(Sens!$R$10446:$AA$10446&lt;Sens!U$10446),--(Sens!$R$10446:$AA$10446&gt;=Sens!U$10446-tk_life),Sens!$R$10478:$AA$10478)/tk_life</f>
        <v>11.7348570548391</v>
      </c>
      <c r="V10481" s="38" t="n">
        <f aca="false">SUMPRODUCT(--(Sens!$R$10446:$AA$10446&lt;Sens!V$10446),--(Sens!$R$10446:$AA$10446&gt;=Sens!V$10446-tk_life),Sens!$R$10478:$AA$10478)/tk_life</f>
        <v>32.0781968981833</v>
      </c>
      <c r="W10481" s="38" t="n">
        <f aca="false">SUMPRODUCT(--(Sens!$R$10446:$AA$10446&lt;Sens!W$10446),--(Sens!$R$10446:$AA$10446&gt;=Sens!W$10446-tk_life),Sens!$R$10478:$AA$10478)/tk_life</f>
        <v>57.4989942223083</v>
      </c>
      <c r="X10481" s="38" t="n">
        <f aca="false">SUMPRODUCT(--(Sens!$R$10446:$AA$10446&lt;Sens!X$10446),--(Sens!$R$10446:$AA$10446&gt;=Sens!X$10446-tk_life),Sens!$R$10478:$AA$10478)/tk_life</f>
        <v>83.932309040725</v>
      </c>
      <c r="Y10481" s="38" t="n">
        <f aca="false">SUMPRODUCT(--(Sens!$R$10446:$AA$10446&lt;Sens!Y$10446),--(Sens!$R$10446:$AA$10446&gt;=Sens!Y$10446-tk_life),Sens!$R$10478:$AA$10478)/tk_life</f>
        <v>111.055205760776</v>
      </c>
      <c r="Z10481" s="38" t="n">
        <f aca="false">SUMPRODUCT(--(Sens!$R$10446:$AA$10446&lt;Sens!Z$10446),--(Sens!$R$10446:$AA$10446&gt;=Sens!Z$10446-tk_life),Sens!$R$10478:$AA$10478)/tk_life</f>
        <v>128.420765689732</v>
      </c>
      <c r="AA10481" s="38" t="n">
        <f aca="false">SUMPRODUCT(--(Sens!$R$10446:$AA$10446&lt;Sens!AA$10446),--(Sens!$R$10446:$AA$10446&gt;=Sens!AA$10446-tk_life),Sens!$R$10478:$AA$10478)/tk_life</f>
        <v>138.766969322653</v>
      </c>
    </row>
    <row r="10482" customFormat="false" ht="17.15" hidden="false" customHeight="false" outlineLevel="0" collapsed="false">
      <c r="A10482" s="0" t="s">
        <v>632</v>
      </c>
      <c r="B10482" s="0" t="s">
        <v>86</v>
      </c>
      <c r="C10482" s="38" t="n">
        <f aca="false">Sens!$S$10482</f>
        <v>0.0202511502553155</v>
      </c>
      <c r="D10482" s="38" t="n">
        <f aca="false">Sens!$T$10482</f>
        <v>0.360549480652134</v>
      </c>
      <c r="E10482" s="38" t="n">
        <f aca="false">Sens!$G$10482/2</f>
        <v>0.648547360125127</v>
      </c>
      <c r="F10482" s="38" t="n">
        <f aca="false">Sens!$G$10482/2</f>
        <v>0.648547360125127</v>
      </c>
      <c r="G10482" s="38" t="n">
        <f aca="false">Sens!$U$10482</f>
        <v>1.29709472025025</v>
      </c>
      <c r="H10482" s="38" t="n">
        <f aca="false">Sens!$V$10482</f>
        <v>3.21599529914753</v>
      </c>
      <c r="I10482" s="38" t="n">
        <f aca="false">Sens!$W$10482</f>
        <v>5.51832434914753</v>
      </c>
      <c r="J10482" s="38" t="n">
        <f aca="false">Sens!$X$10482</f>
        <v>7.82065339914753</v>
      </c>
      <c r="K10482" s="38" t="n">
        <f aca="false">Sens!$Y$10482</f>
        <v>10.1229824491475</v>
      </c>
      <c r="L10482" s="38" t="n">
        <f aca="false">Sens!$Z$10482</f>
        <v>11.7516267992309</v>
      </c>
      <c r="M10482" s="38" t="n">
        <f aca="false">Sens!$AA$10482</f>
        <v>12.7065864493975</v>
      </c>
      <c r="N10482" s="38" t="n">
        <f aca="false">Sens!$D$10482/2</f>
        <v>0.180274740326067</v>
      </c>
      <c r="O10482" s="38" t="n">
        <f aca="false">Sens!$D$10482/2</f>
        <v>0.180274740326067</v>
      </c>
      <c r="R10482" s="38" t="n">
        <f aca="false">SUMPRODUCT(--(Sens!$R$10446:$AA$10446&lt;Sens!R$10446),Sens!$R$10479:$AA$10479)/fac_life</f>
        <v>0</v>
      </c>
      <c r="S10482" s="38" t="n">
        <f aca="false">SUMPRODUCT(--(Sens!$R$10446:$AA$10446&lt;Sens!S$10446),Sens!$R$10479:$AA$10479)/fac_life</f>
        <v>0.0202511502553155</v>
      </c>
      <c r="T10482" s="38" t="n">
        <f aca="false">SUMPRODUCT(--(Sens!$R$10446:$AA$10446&lt;Sens!T$10446),Sens!$R$10479:$AA$10479)/fac_life</f>
        <v>0.360549480652134</v>
      </c>
      <c r="U10482" s="38" t="n">
        <f aca="false">SUMPRODUCT(--(Sens!$R$10446:$AA$10446&lt;Sens!U$10446),Sens!$R$10479:$AA$10479)/fac_life</f>
        <v>1.29709472025025</v>
      </c>
      <c r="V10482" s="38" t="n">
        <f aca="false">SUMPRODUCT(--(Sens!$R$10446:$AA$10446&lt;Sens!V$10446),Sens!$R$10479:$AA$10479)/fac_life</f>
        <v>3.21599529914753</v>
      </c>
      <c r="W10482" s="38" t="n">
        <f aca="false">SUMPRODUCT(--(Sens!$R$10446:$AA$10446&lt;Sens!W$10446),Sens!$R$10479:$AA$10479)/fac_life</f>
        <v>5.51832434914753</v>
      </c>
      <c r="X10482" s="38" t="n">
        <f aca="false">SUMPRODUCT(--(Sens!$R$10446:$AA$10446&lt;Sens!X$10446),Sens!$R$10479:$AA$10479)/fac_life</f>
        <v>7.82065339914753</v>
      </c>
      <c r="Y10482" s="38" t="n">
        <f aca="false">SUMPRODUCT(--(Sens!$R$10446:$AA$10446&lt;Sens!Y$10446),Sens!$R$10479:$AA$10479)/fac_life</f>
        <v>10.1229824491475</v>
      </c>
      <c r="Z10482" s="38" t="n">
        <f aca="false">SUMPRODUCT(--(Sens!$R$10446:$AA$10446&lt;Sens!Z$10446),Sens!$R$10479:$AA$10479)/fac_life</f>
        <v>11.7516267992309</v>
      </c>
      <c r="AA10482" s="38" t="n">
        <f aca="false">SUMPRODUCT(--(Sens!$R$10446:$AA$10446&lt;Sens!AA$10446),Sens!$R$10479:$AA$10479)/fac_life</f>
        <v>12.7065864493975</v>
      </c>
    </row>
    <row r="10483" customFormat="false" ht="17.15" hidden="false" customHeight="false" outlineLevel="0" collapsed="false">
      <c r="A10483" s="1" t="s">
        <v>633</v>
      </c>
      <c r="B10483" s="8" t="s">
        <v>86</v>
      </c>
      <c r="C10483" s="38" t="n">
        <f aca="false">Sens!$C$10481+Sens!$C$10482</f>
        <v>0.203463948620839</v>
      </c>
      <c r="D10483" s="38" t="n">
        <f aca="false">Sens!$D$10481+Sens!$D$10482</f>
        <v>3.62245206231783</v>
      </c>
      <c r="E10483" s="38" t="n">
        <f aca="false">Sens!$E$10481+Sens!$E$10482</f>
        <v>6.51597588754466</v>
      </c>
      <c r="F10483" s="38" t="n">
        <f aca="false">Sens!$F$10481+Sens!$F$10482</f>
        <v>6.51597588754466</v>
      </c>
      <c r="G10483" s="38" t="n">
        <f aca="false">Sens!$G$10481+Sens!$G$10482</f>
        <v>13.0319517750893</v>
      </c>
      <c r="H10483" s="38" t="n">
        <f aca="false">Sens!$H$10481+Sens!$H$10482</f>
        <v>35.2941921973308</v>
      </c>
      <c r="I10483" s="38" t="n">
        <f aca="false">Sens!$I$10481+Sens!$I$10482</f>
        <v>63.0173185714558</v>
      </c>
      <c r="J10483" s="38" t="n">
        <f aca="false">Sens!$J$10481+Sens!$J$10482</f>
        <v>91.7529624398725</v>
      </c>
      <c r="K10483" s="38" t="n">
        <f aca="false">Sens!$K$10481+Sens!$K$10482</f>
        <v>121.178188209924</v>
      </c>
      <c r="L10483" s="38" t="n">
        <f aca="false">Sens!$L$10481+Sens!$L$10482</f>
        <v>140.172392488963</v>
      </c>
      <c r="M10483" s="38" t="n">
        <f aca="false">Sens!$M$10481+Sens!$M$10482</f>
        <v>151.473555772051</v>
      </c>
      <c r="N10483" s="38" t="n">
        <f aca="false">Sens!$N$10481+Sens!$N$10482</f>
        <v>1.81122603115892</v>
      </c>
      <c r="O10483" s="38" t="n">
        <f aca="false">Sens!$O$10481+Sens!$O$10482</f>
        <v>1.81122603115892</v>
      </c>
      <c r="R10483" s="38" t="n">
        <f aca="false">Sens!$R$10481+Sens!$R$10482</f>
        <v>0</v>
      </c>
      <c r="S10483" s="38" t="n">
        <f aca="false">Sens!$S$10481+Sens!$S$10482</f>
        <v>0.203463948620839</v>
      </c>
      <c r="T10483" s="38" t="n">
        <f aca="false">Sens!$T$10481+Sens!$T$10482</f>
        <v>3.62245206231783</v>
      </c>
      <c r="U10483" s="38" t="n">
        <f aca="false">Sens!$U$10481+Sens!$U$10482</f>
        <v>13.0319517750893</v>
      </c>
      <c r="V10483" s="38" t="n">
        <f aca="false">Sens!$V$10481+Sens!$V$10482</f>
        <v>35.2941921973308</v>
      </c>
      <c r="W10483" s="38" t="n">
        <f aca="false">Sens!$W$10481+Sens!$W$10482</f>
        <v>63.0173185714558</v>
      </c>
      <c r="X10483" s="38" t="n">
        <f aca="false">Sens!$X$10481+Sens!$X$10482</f>
        <v>91.7529624398725</v>
      </c>
      <c r="Y10483" s="38" t="n">
        <f aca="false">Sens!$Y$10481+Sens!$Y$10482</f>
        <v>121.178188209924</v>
      </c>
      <c r="Z10483" s="38" t="n">
        <f aca="false">Sens!$Z$10481+Sens!$Z$10482</f>
        <v>140.172392488963</v>
      </c>
      <c r="AA10483" s="38" t="n">
        <f aca="false">Sens!$AA$10481+Sens!$AA$10482</f>
        <v>151.473555772051</v>
      </c>
    </row>
    <row r="10484" customFormat="false" ht="17.15" hidden="false" customHeight="false" outlineLevel="0" collapsed="false">
      <c r="A10484" s="0" t="s">
        <v>634</v>
      </c>
      <c r="B10484" s="0" t="s">
        <v>86</v>
      </c>
      <c r="C10484" s="38" t="n">
        <f aca="false">Sens!$S$10484</f>
        <v>26.578941154416</v>
      </c>
      <c r="D10484" s="38" t="n">
        <f aca="false">Sens!$T$10484</f>
        <v>92.5251207231008</v>
      </c>
      <c r="G10484" s="38" t="n">
        <f aca="false">Sens!$U$10484</f>
        <v>239.931219586022</v>
      </c>
      <c r="H10484" s="38" t="n">
        <f aca="false">Sens!$V$10484</f>
        <v>403.208392333442</v>
      </c>
      <c r="I10484" s="38" t="n">
        <f aca="false">Sens!$W$10484</f>
        <v>544.837543672486</v>
      </c>
      <c r="J10484" s="38" t="n">
        <f aca="false">Sens!$X$10484</f>
        <v>662.967819343113</v>
      </c>
      <c r="K10484" s="38" t="n">
        <f aca="false">Sens!$Y$10484</f>
        <v>697.028016408391</v>
      </c>
      <c r="L10484" s="38" t="n">
        <f aca="false">Sens!$Z$10484</f>
        <v>688.86976555933</v>
      </c>
      <c r="M10484" s="38" t="n">
        <f aca="false">Sens!$AA$10484</f>
        <v>669.627191447132</v>
      </c>
      <c r="R10484" s="38" t="n">
        <f aca="false">SUM(Sens!$R$10476:$R$10476)-SUM(Sens!$R$10483:$R$10483)</f>
        <v>1.50429979529945</v>
      </c>
      <c r="S10484" s="38" t="n">
        <f aca="false">SUM(Sens!$R$10476:$S$10476)-SUM(Sens!$R$10483:$S$10483)</f>
        <v>26.578941154416</v>
      </c>
      <c r="T10484" s="38" t="n">
        <f aca="false">SUM(Sens!$R$10476:$T$10476)-SUM(Sens!$R$10483:$T$10483)</f>
        <v>92.5251207231008</v>
      </c>
      <c r="U10484" s="38" t="n">
        <f aca="false">SUM(Sens!$R$10476:$U$10476)-SUM(Sens!$R$10483:$U$10483)</f>
        <v>239.931219586022</v>
      </c>
      <c r="V10484" s="38" t="n">
        <f aca="false">SUM(Sens!$R$10476:$V$10476)-SUM(Sens!$R$10483:$V$10483)</f>
        <v>403.208392333442</v>
      </c>
      <c r="W10484" s="38" t="n">
        <f aca="false">SUM(Sens!$R$10476:$W$10476)-SUM(Sens!$R$10483:$W$10483)</f>
        <v>544.837543672486</v>
      </c>
      <c r="X10484" s="38" t="n">
        <f aca="false">SUM(Sens!$R$10476:$X$10476)-SUM(Sens!$R$10483:$X$10483)</f>
        <v>662.967819343113</v>
      </c>
      <c r="Y10484" s="38" t="n">
        <f aca="false">SUM(Sens!$R$10476:$Y$10476)-SUM(Sens!$R$10483:$Y$10483)</f>
        <v>697.028016408391</v>
      </c>
      <c r="Z10484" s="38" t="n">
        <f aca="false">SUM(Sens!$R$10476:$Z$10476)-SUM(Sens!$R$10483:$Z$10483)</f>
        <v>688.86976555933</v>
      </c>
      <c r="AA10484" s="38" t="n">
        <f aca="false">SUM(Sens!$R$10476:$AA$10476)-SUM(Sens!$R$10483:$AA$10483)</f>
        <v>669.627191447132</v>
      </c>
    </row>
    <row r="10485" customFormat="false" ht="17.15" hidden="false" customHeight="false" outlineLevel="0" collapsed="false">
      <c r="A10485" s="1" t="s">
        <v>635</v>
      </c>
    </row>
    <row r="10486" customFormat="false" ht="17.15" hidden="false" customHeight="false" outlineLevel="0" collapsed="false">
      <c r="A10486" s="0" t="s">
        <v>636</v>
      </c>
      <c r="B10486" s="0" t="s">
        <v>86</v>
      </c>
      <c r="C10486" s="38" t="n">
        <f aca="false">Sens!$C$10467-ext_sh*Sens!$C$10469</f>
        <v>1.80694998843362</v>
      </c>
      <c r="D10486" s="38" t="n">
        <f aca="false">Sens!$D$10467-ext_sh*Sens!$D$10469</f>
        <v>6.77606245662607</v>
      </c>
      <c r="E10486" s="38" t="n">
        <f aca="false">Sens!$E$10467-ext_sh*Sens!$E$10469</f>
        <v>6.62548329092326</v>
      </c>
      <c r="F10486" s="38" t="n">
        <f aca="false">Sens!$F$10467-ext_sh*Sens!$F$10469</f>
        <v>11.7200577158706</v>
      </c>
      <c r="G10486" s="38" t="n">
        <f aca="false">Sens!$G$10467-ext_sh*Sens!$G$10469</f>
        <v>18.3455410067939</v>
      </c>
      <c r="H10486" s="38" t="n">
        <f aca="false">Sens!$H$10467-ext_sh*Sens!$H$10469</f>
        <v>47.5171727060453</v>
      </c>
      <c r="I10486" s="38" t="n">
        <f aca="false">Sens!$I$10467-ext_sh*Sens!$I$10469</f>
        <v>80.5539692643667</v>
      </c>
      <c r="J10486" s="38" t="n">
        <f aca="false">Sens!$J$10467-ext_sh*Sens!$J$10469</f>
        <v>113.759316834883</v>
      </c>
      <c r="K10486" s="38" t="n">
        <f aca="false">Sens!$K$10467-ext_sh*Sens!$K$10469</f>
        <v>142.084411492169</v>
      </c>
      <c r="L10486" s="38" t="n">
        <f aca="false">Sens!$L$10467-ext_sh*Sens!$L$10469</f>
        <v>160.69964615804</v>
      </c>
      <c r="M10486" s="38" t="n">
        <f aca="false">Sens!$M$10467-ext_sh*Sens!$M$10469</f>
        <v>169.577607141793</v>
      </c>
      <c r="N10486" s="38" t="n">
        <f aca="false">Sens!$N$10467-ext_sh*Sens!$N$10469</f>
        <v>2.37162185981912</v>
      </c>
      <c r="O10486" s="38" t="n">
        <f aca="false">Sens!$O$10467-ext_sh*Sens!$O$10469</f>
        <v>4.40444059680694</v>
      </c>
    </row>
    <row r="10487" customFormat="false" ht="17.15" hidden="false" customHeight="false" outlineLevel="0" collapsed="false">
      <c r="A10487" s="1" t="s">
        <v>637</v>
      </c>
      <c r="B10487" s="8" t="s">
        <v>86</v>
      </c>
      <c r="C10487" s="38" t="n">
        <f aca="false">Sens!$C$10486-ext_sh*Sens!$C$10483</f>
        <v>1.64417882953695</v>
      </c>
      <c r="D10487" s="38" t="n">
        <f aca="false">Sens!$D$10486-ext_sh*Sens!$D$10483</f>
        <v>3.8781008067718</v>
      </c>
      <c r="E10487" s="38" t="n">
        <f aca="false">Sens!$E$10486-ext_sh*Sens!$E$10483</f>
        <v>1.41270258088753</v>
      </c>
      <c r="F10487" s="38" t="n">
        <f aca="false">Sens!$F$10486-ext_sh*Sens!$F$10483</f>
        <v>6.50727700583486</v>
      </c>
      <c r="G10487" s="38" t="n">
        <f aca="false">Sens!$G$10486-ext_sh*Sens!$G$10483</f>
        <v>7.9199795867224</v>
      </c>
      <c r="H10487" s="38" t="n">
        <f aca="false">Sens!$H$10486-ext_sh*Sens!$H$10483</f>
        <v>19.2818189481807</v>
      </c>
      <c r="I10487" s="38" t="n">
        <f aca="false">Sens!$I$10486-ext_sh*Sens!$I$10483</f>
        <v>30.140114407202</v>
      </c>
      <c r="J10487" s="38" t="n">
        <f aca="false">Sens!$J$10486-ext_sh*Sens!$J$10483</f>
        <v>40.3569468829854</v>
      </c>
      <c r="K10487" s="38" t="n">
        <f aca="false">Sens!$K$10486-ext_sh*Sens!$K$10483</f>
        <v>45.1418609242305</v>
      </c>
      <c r="L10487" s="38" t="n">
        <f aca="false">Sens!$L$10486-ext_sh*Sens!$L$10483</f>
        <v>48.5617321668703</v>
      </c>
      <c r="M10487" s="38" t="n">
        <f aca="false">Sens!$M$10486-ext_sh*Sens!$M$10483</f>
        <v>48.3987625241529</v>
      </c>
      <c r="N10487" s="38" t="n">
        <f aca="false">Sens!$N$10486-ext_sh*Sens!$N$10483</f>
        <v>0.92264103489199</v>
      </c>
      <c r="O10487" s="38" t="n">
        <f aca="false">Sens!$O$10486-ext_sh*Sens!$O$10483</f>
        <v>2.95545977187981</v>
      </c>
    </row>
    <row r="10488" customFormat="false" ht="17.15" hidden="false" customHeight="false" outlineLevel="0" collapsed="false">
      <c r="A10488" s="0" t="s">
        <v>638</v>
      </c>
      <c r="B10488" s="0" t="s">
        <v>52</v>
      </c>
      <c r="C10488" s="13" t="n">
        <f aca="false">Sens!$C$10487/Sens!$C$10467</f>
        <v>0.708390794789371</v>
      </c>
      <c r="D10488" s="13" t="n">
        <f aca="false">Sens!$D$10487/Sens!$D$10467</f>
        <v>0.445565630441968</v>
      </c>
      <c r="E10488" s="13" t="n">
        <f aca="false">Sens!$E$10487/Sens!$E$10467</f>
        <v>0.165998118402711</v>
      </c>
      <c r="F10488" s="13" t="n">
        <f aca="false">Sens!$F$10487/Sens!$F$10467</f>
        <v>0.434878595403858</v>
      </c>
      <c r="G10488" s="13" t="n">
        <f aca="false">Sens!$G$10487/Sens!$G$10467</f>
        <v>0.3373967615381</v>
      </c>
      <c r="H10488" s="13" t="n">
        <f aca="false">Sens!$H$10487/Sens!$H$10467</f>
        <v>0.320477578041224</v>
      </c>
      <c r="I10488" s="13" t="n">
        <f aca="false">Sens!$I$10487/Sens!$I$10467</f>
        <v>0.296936118226494</v>
      </c>
      <c r="J10488" s="13" t="n">
        <f aca="false">Sens!$J$10487/Sens!$J$10467</f>
        <v>0.282166278613001</v>
      </c>
      <c r="K10488" s="13" t="n">
        <f aca="false">Sens!$K$10487/Sens!$K$10467</f>
        <v>0.252969102881543</v>
      </c>
      <c r="L10488" s="13" t="n">
        <f aca="false">Sens!$L$10487/Sens!$L$10467</f>
        <v>0.240728642826566</v>
      </c>
      <c r="M10488" s="13" t="n">
        <f aca="false">Sens!$M$10487/Sens!$M$10467</f>
        <v>0.227399920863147</v>
      </c>
      <c r="N10488" s="13" t="n">
        <f aca="false">Sens!$N$10487/Sens!$N$10467</f>
        <v>0.302870734830849</v>
      </c>
      <c r="O10488" s="13" t="n">
        <f aca="false">Sens!$O$10487/Sens!$O$10467</f>
        <v>0.52240134346334</v>
      </c>
    </row>
    <row r="10489" customFormat="false" ht="17.15" hidden="false" customHeight="false" outlineLevel="0" collapsed="false">
      <c r="A10489" s="5" t="s">
        <v>639</v>
      </c>
      <c r="B10489" s="0" t="s">
        <v>86</v>
      </c>
      <c r="C10489" s="39" t="n">
        <v>0</v>
      </c>
      <c r="D10489" s="39" t="n">
        <v>0</v>
      </c>
      <c r="E10489" s="39" t="n">
        <v>0</v>
      </c>
      <c r="F10489" s="38" t="n">
        <f aca="false">IF(1=2,1,0)*(1-ext_sh)/ext_sh*(mw_open*he_open+Sens!$F$10465*Sens!$F$10462)*Sens!$F$10451/1000</f>
        <v>0</v>
      </c>
      <c r="G10489" s="38" t="n">
        <f aca="false">Sens!$E$10489+Sens!$F$10489</f>
        <v>0</v>
      </c>
      <c r="H10489" s="38" t="n">
        <f aca="false">IF(1=2,1,0)*(1-ext_sh)/ext_sh*(mw_open*he_open+Sens!$H$10465*Sens!$H$10462)*Sens!$H$10451/1000</f>
        <v>0</v>
      </c>
      <c r="I10489" s="38" t="n">
        <f aca="false">IF(1=2,1,0)*(1-ext_sh)/ext_sh*(mw_open*he_open+Sens!$I$10465*Sens!$I$10462)*Sens!$I$10451/1000</f>
        <v>0</v>
      </c>
      <c r="J10489" s="38" t="n">
        <f aca="false">IF(1=2,1,0)*(1-ext_sh)/ext_sh*(mw_open*he_open+Sens!$J$10465*Sens!$J$10462)*Sens!$J$10451/1000</f>
        <v>0</v>
      </c>
      <c r="K10489" s="38" t="n">
        <f aca="false">IF(1=2,1,0)*(1-ext_sh)/ext_sh*(mw_open*he_open+Sens!$K$10465*Sens!$K$10462)*Sens!$K$10451/1000</f>
        <v>0</v>
      </c>
      <c r="L10489" s="38" t="n">
        <f aca="false">IF(1=2,1,0)*(1-ext_sh)/ext_sh*(mw_open*he_open+Sens!$L$10465*Sens!$L$10462)*Sens!$L$10451/1000</f>
        <v>0</v>
      </c>
      <c r="M10489" s="38" t="n">
        <f aca="false">IF(1=2,1,0)*(1-ext_sh)/ext_sh*(mw_open*he_open+Sens!$M$10465*Sens!$M$10462)*Sens!$M$10451/1000</f>
        <v>0</v>
      </c>
      <c r="N10489" s="39" t="n">
        <v>0</v>
      </c>
      <c r="O10489" s="39" t="n">
        <v>0</v>
      </c>
      <c r="P10489" s="8" t="s">
        <v>640</v>
      </c>
    </row>
    <row r="10490" customFormat="false" ht="17.15" hidden="false" customHeight="false" outlineLevel="0" collapsed="false">
      <c r="A10490" s="5" t="s">
        <v>641</v>
      </c>
      <c r="B10490" s="0" t="s">
        <v>86</v>
      </c>
      <c r="C10490" s="38" t="n">
        <f aca="false">(1-ext_sh)*(Sens!$C$10469+Sens!$C$10483)</f>
        <v>0.169206631859174</v>
      </c>
      <c r="D10490" s="38" t="n">
        <f aca="false">(1-ext_sh)*(Sens!$D$10469+Sens!$D$10483)</f>
        <v>1.20641732046984</v>
      </c>
      <c r="E10490" s="38" t="n">
        <f aca="false">(1-ext_sh)*(Sens!$E$10469+Sens!$E$10483)</f>
        <v>1.77441259867062</v>
      </c>
      <c r="F10490" s="38" t="n">
        <f aca="false">(1-ext_sh)*(Sens!$F$10469+Sens!$F$10483)</f>
        <v>2.1140391597214</v>
      </c>
      <c r="G10490" s="38" t="n">
        <f aca="false">(1-ext_sh)*(Sens!$G$10469+Sens!$G$10483)</f>
        <v>3.88845175839202</v>
      </c>
      <c r="H10490" s="38" t="n">
        <f aca="false">(1-ext_sh)*(Sens!$H$10469+Sens!$H$10483)</f>
        <v>10.2210179503985</v>
      </c>
      <c r="I10490" s="38" t="n">
        <f aca="false">(1-ext_sh)*(Sens!$I$10469+Sens!$I$10483)</f>
        <v>17.8408961823075</v>
      </c>
      <c r="J10490" s="38" t="n">
        <f aca="false">(1-ext_sh)*(Sens!$J$10469+Sens!$J$10483)</f>
        <v>25.6671150670732</v>
      </c>
      <c r="K10490" s="38" t="n">
        <f aca="false">(1-ext_sh)*(Sens!$K$10469+Sens!$K$10483)</f>
        <v>33.3265648647373</v>
      </c>
      <c r="L10490" s="38" t="n">
        <f aca="false">(1-ext_sh)*(Sens!$L$10469+Sens!$L$10483)</f>
        <v>38.2915924088815</v>
      </c>
      <c r="M10490" s="38" t="n">
        <f aca="false">(1-ext_sh)*(Sens!$M$10469+Sens!$M$10483)</f>
        <v>41.1091697111781</v>
      </c>
      <c r="N10490" s="38" t="n">
        <f aca="false">(1-ext_sh)*(Sens!$N$10469+Sens!$N$10483)</f>
        <v>0.530919624033979</v>
      </c>
      <c r="O10490" s="38" t="n">
        <f aca="false">(1-ext_sh)*(Sens!$O$10469+Sens!$O$10483)</f>
        <v>0.675497696435861</v>
      </c>
    </row>
    <row r="10491" customFormat="false" ht="17.15" hidden="false" customHeight="false" outlineLevel="0" collapsed="false">
      <c r="A10491" s="0" t="s">
        <v>642</v>
      </c>
      <c r="B10491" s="0" t="s">
        <v>86</v>
      </c>
      <c r="C10491" s="38" t="n">
        <f aca="false">Q!$D$24</f>
        <v>39.834</v>
      </c>
      <c r="D10491" s="38" t="n">
        <f aca="false">Q!$E$24</f>
        <v>45.606</v>
      </c>
      <c r="E10491" s="38" t="n">
        <f aca="false">Q!$P$24</f>
        <v>30.782</v>
      </c>
      <c r="N10491" s="38" t="n">
        <f aca="false">Q!$N$24</f>
        <v>21.707</v>
      </c>
      <c r="O10491" s="38" t="n">
        <f aca="false">Q!$O$24</f>
        <v>23.899</v>
      </c>
    </row>
    <row r="10492" customFormat="false" ht="17.15" hidden="false" customHeight="false" outlineLevel="0" collapsed="false">
      <c r="A10492" s="0" t="s">
        <v>643</v>
      </c>
      <c r="B10492" s="0" t="s">
        <v>86</v>
      </c>
      <c r="C10492" s="38" t="n">
        <f aca="false">Sens!$C$10491-Sens!$C$10487</f>
        <v>38.1898211704631</v>
      </c>
      <c r="D10492" s="38" t="n">
        <f aca="false">Sens!$D$10491-Sens!$D$10487</f>
        <v>41.7278991932282</v>
      </c>
      <c r="E10492" s="38" t="n">
        <f aca="false">Sens!$E$10491-Sens!$E$10487</f>
        <v>29.3692974191125</v>
      </c>
      <c r="F10492" s="38" t="n">
        <f aca="false">Sens!$F$10471*Sens!$F$10493</f>
        <v>26.8997276714137</v>
      </c>
      <c r="G10492" s="38" t="n">
        <f aca="false">Sens!$E$10492+Sens!$F$10492</f>
        <v>56.2690250905262</v>
      </c>
      <c r="H10492" s="38" t="n">
        <f aca="false">Sens!$H$10471*Sens!$H$10493</f>
        <v>60.3505333937343</v>
      </c>
      <c r="I10492" s="38" t="n">
        <f aca="false">Sens!$I$10471*Sens!$I$10493</f>
        <v>67.0043857303571</v>
      </c>
      <c r="J10492" s="38" t="n">
        <f aca="false">Sens!$J$10471*Sens!$J$10493</f>
        <v>73.3782922956925</v>
      </c>
      <c r="K10492" s="38" t="n">
        <f aca="false">Sens!$K$10471*Sens!$K$10493</f>
        <v>79.2485556793479</v>
      </c>
      <c r="L10492" s="38" t="n">
        <f aca="false">Sens!$L$10471*Sens!$L$10493</f>
        <v>85.5884401336958</v>
      </c>
      <c r="M10492" s="38" t="n">
        <f aca="false">Sens!$M$10471*Sens!$M$10493</f>
        <v>92.4355153443914</v>
      </c>
      <c r="N10492" s="38" t="n">
        <f aca="false">Sens!$N$10491-Sens!$N$10487</f>
        <v>20.784358965108</v>
      </c>
      <c r="O10492" s="38" t="n">
        <f aca="false">Sens!$O$10491-Sens!$O$10487</f>
        <v>20.9435402281202</v>
      </c>
      <c r="P10492" s="5" t="s">
        <v>644</v>
      </c>
    </row>
    <row r="10493" customFormat="false" ht="17.15" hidden="false" customHeight="false" outlineLevel="0" collapsed="false">
      <c r="A10493" s="0" t="s">
        <v>645</v>
      </c>
      <c r="B10493" s="0" t="s">
        <v>52</v>
      </c>
      <c r="C10493" s="13" t="n">
        <f aca="false">Sens!$C$10492/Sens!$C$10471</f>
        <v>0.362900395443635</v>
      </c>
      <c r="D10493" s="13" t="n">
        <f aca="false">Sens!$D$10492/Sens!$D$10471</f>
        <v>0.34767098474203</v>
      </c>
      <c r="E10493" s="13" t="n">
        <f aca="false">Sens!$E$10492/Sens!$E$10471</f>
        <v>0.411861655558416</v>
      </c>
      <c r="F10493" s="13" t="n">
        <f aca="false">(Sens!$O$10492+Sens!$E$10492)/(Sens!$O$10471+Sens!$E$10471)</f>
        <v>0.37480827803158</v>
      </c>
      <c r="G10493" s="13" t="n">
        <f aca="false">Sens!$G$10492/Sens!$G$10471</f>
        <v>0.393275318395757</v>
      </c>
      <c r="H10493" s="13" t="n">
        <f aca="false">Sens!$F$10493</f>
        <v>0.37480827803158</v>
      </c>
      <c r="I10493" s="13" t="n">
        <f aca="false">Sens!$F$10493</f>
        <v>0.37480827803158</v>
      </c>
      <c r="J10493" s="13" t="n">
        <f aca="false">Sens!$F$10493</f>
        <v>0.37480827803158</v>
      </c>
      <c r="K10493" s="13" t="n">
        <f aca="false">Sens!$F$10493</f>
        <v>0.37480827803158</v>
      </c>
      <c r="L10493" s="13" t="n">
        <f aca="false">Sens!$F$10493</f>
        <v>0.37480827803158</v>
      </c>
      <c r="M10493" s="13" t="n">
        <f aca="false">Sens!$F$10493</f>
        <v>0.37480827803158</v>
      </c>
      <c r="N10493" s="13" t="n">
        <f aca="false">Sens!$N$10492/Sens!$N$10471</f>
        <v>0.364039571356823</v>
      </c>
      <c r="O10493" s="13" t="n">
        <f aca="false">Sens!$O$10492/Sens!$O$10471</f>
        <v>0.332819892300086</v>
      </c>
      <c r="P10493" s="8" t="s">
        <v>646</v>
      </c>
    </row>
    <row r="10494" customFormat="false" ht="17.15" hidden="false" customHeight="false" outlineLevel="0" collapsed="false">
      <c r="A10494" s="0" t="s">
        <v>647</v>
      </c>
      <c r="B10494" s="0" t="s">
        <v>52</v>
      </c>
      <c r="D10494" s="13" t="n">
        <f aca="false">(Q!$E$31-ext_sh*Sens!$D$10483)/Sens!$D$10471</f>
        <v>0.154572973163571</v>
      </c>
    </row>
    <row r="10495" customFormat="false" ht="17.15" hidden="false" customHeight="false" outlineLevel="0" collapsed="false">
      <c r="A10495" s="0" t="s">
        <v>648</v>
      </c>
      <c r="B10495" s="0" t="s">
        <v>86</v>
      </c>
      <c r="C10495" s="38" t="n">
        <f aca="false">Q!$D$31</f>
        <v>13.32</v>
      </c>
      <c r="D10495" s="38" t="n">
        <f aca="false">Q!$E$31</f>
        <v>21.45</v>
      </c>
      <c r="E10495" s="38" t="n">
        <f aca="false">Q!$P$31</f>
        <v>15.353</v>
      </c>
      <c r="F10495" s="38" t="n">
        <f aca="false">ext_sh*Sens!$F$10483+Sens!$D$10494*Sens!$F$10471</f>
        <v>16.3063747611001</v>
      </c>
      <c r="G10495" s="38" t="n">
        <f aca="false">Sens!$E$10495+Sens!$F$10495</f>
        <v>31.6593747611001</v>
      </c>
      <c r="H10495" s="38" t="n">
        <f aca="false">ext_sh*Sens!$H$10483+Sens!$D$10494*Sens!$H$10471</f>
        <v>53.124242092105</v>
      </c>
      <c r="I10495" s="38" t="n">
        <f aca="false">ext_sh*Sens!$I$10483+Sens!$D$10494*Sens!$I$10471</f>
        <v>78.046828098133</v>
      </c>
      <c r="J10495" s="38" t="n">
        <f aca="false">ext_sh*Sens!$J$10483+Sens!$D$10494*Sens!$J$10471</f>
        <v>103.663976940352</v>
      </c>
      <c r="K10495" s="38" t="n">
        <f aca="false">ext_sh*Sens!$K$10483+Sens!$D$10494*Sens!$K$10471</f>
        <v>129.625086115469</v>
      </c>
      <c r="L10495" s="38" t="n">
        <f aca="false">ext_sh*Sens!$L$10483+Sens!$D$10494*Sens!$L$10471</f>
        <v>147.435052382502</v>
      </c>
      <c r="M10495" s="38" t="n">
        <f aca="false">ext_sh*Sens!$M$10483+Sens!$D$10494*Sens!$M$10471</f>
        <v>159.299754080279</v>
      </c>
      <c r="N10495" s="38" t="n">
        <f aca="false">Q!$N$31</f>
        <v>9.234</v>
      </c>
      <c r="O10495" s="38" t="n">
        <f aca="false">Q!$O$31</f>
        <v>12.216</v>
      </c>
    </row>
    <row r="10496" customFormat="false" ht="17.15" hidden="false" customHeight="false" outlineLevel="0" collapsed="false">
      <c r="A10496" s="1" t="s">
        <v>649</v>
      </c>
    </row>
    <row r="10497" customFormat="false" ht="17.15" hidden="false" customHeight="false" outlineLevel="0" collapsed="false">
      <c r="A10497" s="15" t="s">
        <v>650</v>
      </c>
      <c r="B10497" s="14" t="s">
        <v>52</v>
      </c>
      <c r="C10497" s="14"/>
      <c r="D10497" s="14"/>
      <c r="E10497" s="14"/>
      <c r="F10497" s="14"/>
      <c r="G10497" s="17" t="n">
        <f aca="false">Sens!$G$10487*(1-tax)/(ext_sh*(Sens!$D$10484+Sens!$G$10484)/2)</f>
        <v>0.0492184452944045</v>
      </c>
      <c r="H10497" s="17" t="n">
        <f aca="false">Sens!$H$10487*(1-tax)/(ext_sh*(Sens!$G$10484+Sens!$H$10484)/2)</f>
        <v>0.0619414246858107</v>
      </c>
      <c r="I10497" s="17" t="n">
        <f aca="false">Sens!$I$10487*(1-tax)/(ext_sh*(Sens!$H$10484+Sens!$I$10484)/2)</f>
        <v>0.0656831488051666</v>
      </c>
      <c r="J10497" s="17" t="n">
        <f aca="false">Sens!$J$10487*(1-tax)/(ext_sh*(Sens!$I$10484+Sens!$J$10484)/2)</f>
        <v>0.0690334849962116</v>
      </c>
      <c r="K10497" s="17" t="n">
        <f aca="false">Sens!$K$10487*(1-tax)/(ext_sh*(Sens!$J$10484+Sens!$K$10484)/2)</f>
        <v>0.0685772915331967</v>
      </c>
      <c r="L10497" s="17" t="n">
        <f aca="false">Sens!$L$10487*(1-tax)/(ext_sh*(Sens!$K$10484+Sens!$L$10484)/2)</f>
        <v>0.0723938074635756</v>
      </c>
      <c r="M10497" s="17" t="n">
        <f aca="false">Sens!$M$10487*(1-tax)/(ext_sh*(Sens!$L$10484+Sens!$M$10484)/2)</f>
        <v>0.0736061388214139</v>
      </c>
      <c r="N10497" s="14"/>
      <c r="O10497" s="14"/>
      <c r="P10497" s="8" t="s">
        <v>651</v>
      </c>
    </row>
    <row r="10498" customFormat="false" ht="17.15" hidden="false" customHeight="false" outlineLevel="0" collapsed="false">
      <c r="A10498" s="5" t="s">
        <v>652</v>
      </c>
      <c r="B10498" s="0" t="s">
        <v>57</v>
      </c>
      <c r="H10498" s="36" t="n">
        <f aca="false">Sens!$H$10467*1000/(mw_open*he_open+Sens!$H$10465*Sens!$H$10462)</f>
        <v>0.991949006767191</v>
      </c>
      <c r="I10498" s="36" t="n">
        <f aca="false">Sens!$I$10467*1000/(mw_open*he_open+Sens!$I$10465*Sens!$I$10462)</f>
        <v>0.991949006767191</v>
      </c>
      <c r="J10498" s="36" t="n">
        <f aca="false">Sens!$J$10467*1000/(mw_open*he_open+Sens!$J$10465*Sens!$J$10462)</f>
        <v>0.991949006767191</v>
      </c>
      <c r="K10498" s="36" t="n">
        <f aca="false">Sens!$K$10467*1000/(mw_open*he_open+Sens!$K$10465*Sens!$K$10462)</f>
        <v>0.991949006767191</v>
      </c>
      <c r="L10498" s="36" t="n">
        <f aca="false">Sens!$L$10467*1000/(mw_open*he_open+Sens!$L$10465*Sens!$L$10462)</f>
        <v>0.991949006767191</v>
      </c>
      <c r="M10498" s="36" t="n">
        <f aca="false">Sens!$M$10467*1000/(mw_open*he_open+Sens!$M$10465*Sens!$M$10462)</f>
        <v>0.991949006767191</v>
      </c>
    </row>
    <row r="10499" customFormat="false" ht="17.15" hidden="false" customHeight="false" outlineLevel="0" collapsed="false">
      <c r="A10499" s="5" t="s">
        <v>653</v>
      </c>
      <c r="B10499" s="0" t="s">
        <v>57</v>
      </c>
      <c r="H10499" s="36" t="n">
        <f aca="false">Sens!$H$10498*(Sens!$H$10467+wacc*ext_sh*(Sens!$G$10484+Sens!$H$10484)/2/(1-tax)-Sens!$H$10487)/Sens!$H$10467</f>
        <v>1.25551961623259</v>
      </c>
      <c r="I10499" s="36" t="n">
        <f aca="false">Sens!$I$10498*(Sens!$I$10467+wacc*ext_sh*(Sens!$H$10484+Sens!$I$10484)/2/(1-tax)-Sens!$I$10487)/Sens!$I$10467</f>
        <v>1.2054675393263</v>
      </c>
      <c r="J10499" s="36" t="n">
        <f aca="false">Sens!$J$10498*(Sens!$J$10467+wacc*ext_sh*(Sens!$I$10484+Sens!$J$10484)/2/(1-tax)-Sens!$J$10487)/Sens!$J$10467</f>
        <v>1.17141604927023</v>
      </c>
      <c r="K10499" s="36" t="n">
        <f aca="false">Sens!$K$10498*(Sens!$K$10467+wacc*ext_sh*(Sens!$J$10484+Sens!$K$10484)/2/(1-tax)-Sens!$K$10487)/Sens!$K$10467</f>
        <v>1.15558527566281</v>
      </c>
      <c r="L10499" s="36" t="n">
        <f aca="false">Sens!$L$10498*(Sens!$L$10467+wacc*ext_sh*(Sens!$K$10484+Sens!$L$10484)/2/(1-tax)-Sens!$L$10487)/Sens!$L$10467</f>
        <v>1.12686933572495</v>
      </c>
      <c r="M10499" s="36" t="n">
        <f aca="false">Sens!$M$10498*(Sens!$M$10467+wacc*ext_sh*(Sens!$L$10484+Sens!$M$10484)/2/(1-tax)-Sens!$M$10487)/Sens!$M$10467</f>
        <v>1.11358462527531</v>
      </c>
    </row>
    <row r="10500" customFormat="false" ht="17.15" hidden="false" customHeight="false" outlineLevel="0" collapsed="false">
      <c r="A10500" s="5" t="s">
        <v>654</v>
      </c>
      <c r="B10500" s="0" t="s">
        <v>52</v>
      </c>
      <c r="C10500" s="13" t="n">
        <f aca="false">Sens!$C$10468/tk_pq</f>
        <v>0.195316432429398</v>
      </c>
      <c r="D10500" s="13" t="n">
        <f aca="false">Sens!$D$10468/tk_pq</f>
        <v>0.195316432429398</v>
      </c>
      <c r="E10500" s="13" t="n">
        <f aca="false">Sens!$E$10468/tk_pq</f>
        <v>0.195316432429398</v>
      </c>
      <c r="F10500" s="13" t="n">
        <f aca="false">Sens!$F$10468/tk_pq</f>
        <v>0.202241827274866</v>
      </c>
      <c r="G10500" s="13" t="n">
        <f aca="false">Sens!$G$10468/tk_pq</f>
        <v>0.199675016194063</v>
      </c>
      <c r="H10500" s="13" t="n">
        <f aca="false">Sens!$H$10468/tk_pq</f>
        <v>0.212647947710325</v>
      </c>
      <c r="I10500" s="13" t="n">
        <f aca="false">Sens!$I$10468/tk_pq</f>
        <v>0.219285125475351</v>
      </c>
      <c r="J10500" s="13" t="n">
        <f aca="false">Sens!$J$10468/tk_pq</f>
        <v>0.222492493217189</v>
      </c>
      <c r="K10500" s="13" t="n">
        <f aca="false">Sens!$K$10468/tk_pq</f>
        <v>0.224053502812094</v>
      </c>
      <c r="L10500" s="13" t="n">
        <f aca="false">Sens!$L$10468/tk_pq</f>
        <v>0.224786916785614</v>
      </c>
      <c r="M10500" s="13" t="n">
        <f aca="false">Sens!$M$10468/tk_pq</f>
        <v>0.225048671566937</v>
      </c>
      <c r="N10500" s="13" t="n">
        <f aca="false">Sens!$N$10468/tk_pq</f>
        <v>0.195316432429398</v>
      </c>
      <c r="O10500" s="13" t="n">
        <f aca="false">Sens!$O$10468/tk_pq</f>
        <v>0.195316432429398</v>
      </c>
      <c r="P10500" s="5" t="s">
        <v>655</v>
      </c>
    </row>
    <row r="10503" customFormat="false" ht="17.15" hidden="false" customHeight="false" outlineLevel="0" collapsed="false">
      <c r="A10503" s="1" t="s">
        <v>684</v>
      </c>
    </row>
    <row r="10504" customFormat="false" ht="17.15" hidden="false" customHeight="false" outlineLevel="0" collapsed="false">
      <c r="A10504" s="0" t="s">
        <v>685</v>
      </c>
      <c r="B10504" s="0" t="s">
        <v>86</v>
      </c>
      <c r="C10504" s="38" t="n">
        <f aca="false">Sens!$C$10467</f>
        <v>2.32100535697364</v>
      </c>
      <c r="D10504" s="38" t="n">
        <f aca="false">Sens!$D$10467</f>
        <v>8.70377008865116</v>
      </c>
      <c r="E10504" s="38" t="n">
        <f aca="false">Sens!$E$10467</f>
        <v>8.51035297557002</v>
      </c>
      <c r="F10504" s="38" t="n">
        <f aca="false">Sens!$F$10467</f>
        <v>14.9634336447205</v>
      </c>
      <c r="G10504" s="38" t="n">
        <f aca="false">Sens!$G$10467</f>
        <v>23.4737866202905</v>
      </c>
      <c r="H10504" s="38" t="n">
        <f aca="false">Sens!$H$10467</f>
        <v>60.1658907497746</v>
      </c>
      <c r="I10504" s="38" t="n">
        <f aca="false">Sens!$I$10467</f>
        <v>101.503699136432</v>
      </c>
      <c r="J10504" s="38" t="n">
        <f aca="false">Sens!$J$10467</f>
        <v>143.025407151278</v>
      </c>
      <c r="K10504" s="38" t="n">
        <f aca="false">Sens!$K$10467</f>
        <v>178.44812038318</v>
      </c>
      <c r="L10504" s="38" t="n">
        <f aca="false">Sens!$L$10467</f>
        <v>201.728101802396</v>
      </c>
      <c r="M10504" s="38" t="n">
        <f aca="false">Sens!$M$10467</f>
        <v>212.835441368865</v>
      </c>
      <c r="N10504" s="38" t="n">
        <f aca="false">Sens!$N$10467</f>
        <v>3.04631953102791</v>
      </c>
      <c r="O10504" s="38" t="n">
        <f aca="false">Sens!$O$10467</f>
        <v>5.65745055762326</v>
      </c>
      <c r="P10504" s="8" t="s">
        <v>686</v>
      </c>
    </row>
    <row r="10505" customFormat="false" ht="17.15" hidden="false" customHeight="false" outlineLevel="0" collapsed="false">
      <c r="A10505" s="0" t="s">
        <v>687</v>
      </c>
      <c r="B10505" s="0" t="s">
        <v>86</v>
      </c>
      <c r="C10505" s="38" t="n">
        <f aca="false">Sens!$C$10471</f>
        <v>105.234994643026</v>
      </c>
      <c r="D10505" s="38" t="n">
        <f aca="false">Sens!$D$10471</f>
        <v>120.021229911349</v>
      </c>
      <c r="E10505" s="38" t="n">
        <f aca="false">Sens!$E$10471</f>
        <v>71.30864702443</v>
      </c>
      <c r="F10505" s="38" t="n">
        <f aca="false">Sens!$F$10471</f>
        <v>71.7692997942464</v>
      </c>
      <c r="G10505" s="38" t="n">
        <f aca="false">Sens!$G$10471</f>
        <v>143.077946818676</v>
      </c>
      <c r="H10505" s="38" t="n">
        <f aca="false">Sens!$H$10471</f>
        <v>161.017077079203</v>
      </c>
      <c r="I10505" s="38" t="n">
        <f aca="false">Sens!$I$10471</f>
        <v>178.769759521457</v>
      </c>
      <c r="J10505" s="38" t="n">
        <f aca="false">Sens!$J$10471</f>
        <v>195.775538045907</v>
      </c>
      <c r="K10505" s="38" t="n">
        <f aca="false">Sens!$K$10471</f>
        <v>211.43758108958</v>
      </c>
      <c r="L10505" s="38" t="n">
        <f aca="false">Sens!$L$10471</f>
        <v>228.352587576746</v>
      </c>
      <c r="M10505" s="38" t="n">
        <f aca="false">Sens!$M$10471</f>
        <v>246.620794582886</v>
      </c>
      <c r="N10505" s="38" t="n">
        <f aca="false">Sens!$N$10471</f>
        <v>57.0936804689721</v>
      </c>
      <c r="O10505" s="38" t="n">
        <f aca="false">Sens!$O$10471</f>
        <v>62.9275494423768</v>
      </c>
      <c r="P10505" s="8" t="s">
        <v>686</v>
      </c>
    </row>
    <row r="10506" customFormat="false" ht="17.15" hidden="false" customHeight="false" outlineLevel="0" collapsed="false">
      <c r="A10506" s="1" t="s">
        <v>513</v>
      </c>
      <c r="B10506" s="8" t="s">
        <v>86</v>
      </c>
      <c r="C10506" s="38" t="n">
        <f aca="false">Q!$D$7</f>
        <v>107.556</v>
      </c>
      <c r="D10506" s="38" t="n">
        <f aca="false">Q!$E$7</f>
        <v>128.725</v>
      </c>
      <c r="E10506" s="38" t="n">
        <f aca="false">Q!$P$7</f>
        <v>79.819</v>
      </c>
      <c r="F10506" s="38" t="n">
        <f aca="false">Sens!$F$10504+Sens!$F$10505</f>
        <v>86.7327334389669</v>
      </c>
      <c r="G10506" s="38" t="n">
        <f aca="false">Sens!$G$10504+Sens!$G$10505</f>
        <v>166.551733438967</v>
      </c>
      <c r="H10506" s="38" t="n">
        <f aca="false">Sens!$H$10504+Sens!$H$10505</f>
        <v>221.182967828978</v>
      </c>
      <c r="I10506" s="38" t="n">
        <f aca="false">Sens!$I$10504+Sens!$I$10505</f>
        <v>280.27345865789</v>
      </c>
      <c r="J10506" s="38" t="n">
        <f aca="false">Sens!$J$10504+Sens!$J$10505</f>
        <v>338.800945197185</v>
      </c>
      <c r="K10506" s="38" t="n">
        <f aca="false">Sens!$K$10504+Sens!$K$10505</f>
        <v>389.88570147276</v>
      </c>
      <c r="L10506" s="38" t="n">
        <f aca="false">Sens!$L$10504+Sens!$L$10505</f>
        <v>430.080689379143</v>
      </c>
      <c r="M10506" s="38" t="n">
        <f aca="false">Sens!$M$10504+Sens!$M$10505</f>
        <v>459.456235951751</v>
      </c>
      <c r="N10506" s="38" t="n">
        <f aca="false">Q!$N$7</f>
        <v>60.14</v>
      </c>
      <c r="O10506" s="38" t="n">
        <f aca="false">Q!$O$7</f>
        <v>68.585</v>
      </c>
      <c r="P10506" s="5" t="s">
        <v>688</v>
      </c>
    </row>
    <row r="10507" customFormat="false" ht="15" hidden="false" customHeight="false" outlineLevel="0" collapsed="false">
      <c r="A10507" s="3" t="s">
        <v>689</v>
      </c>
      <c r="B10507" s="8" t="s">
        <v>86</v>
      </c>
      <c r="C10507" s="38" t="n">
        <f aca="false">Q!$D$8</f>
        <v>637.959</v>
      </c>
      <c r="D10507" s="38" t="n">
        <f aca="false">Q!$E$8</f>
        <v>716.924</v>
      </c>
      <c r="E10507" s="38" t="n">
        <f aca="false">Q!$P$8</f>
        <v>382.125</v>
      </c>
      <c r="F10507" s="38" t="n">
        <f aca="false">Sens!$F$10439+Sens!$F$10506</f>
        <v>435.780975084504</v>
      </c>
      <c r="G10507" s="38" t="n">
        <f aca="false">Sens!$G$10439+Sens!$G$10506</f>
        <v>817.905975084504</v>
      </c>
      <c r="H10507" s="38" t="n">
        <f aca="false">Sens!$H$10439+Sens!$H$10506</f>
        <v>942.279857350364</v>
      </c>
      <c r="I10507" s="38" t="n">
        <f aca="false">Sens!$I$10439+Sens!$I$10506</f>
        <v>1068.80284981042</v>
      </c>
      <c r="J10507" s="38" t="n">
        <f aca="false">Sens!$J$10439+Sens!$J$10506</f>
        <v>1189.90935093863</v>
      </c>
      <c r="K10507" s="38" t="n">
        <f aca="false">Sens!$K$10439+Sens!$K$10506</f>
        <v>1296.06215690385</v>
      </c>
      <c r="L10507" s="38" t="n">
        <f aca="false">Sens!$L$10439+Sens!$L$10506</f>
        <v>1395.17379585473</v>
      </c>
      <c r="M10507" s="38" t="n">
        <f aca="false">Sens!$M$10439+Sens!$M$10506</f>
        <v>1487.60414389864</v>
      </c>
      <c r="N10507" s="38" t="n">
        <f aca="false">Q!$N$8</f>
        <v>323.369</v>
      </c>
      <c r="O10507" s="38" t="n">
        <f aca="false">Q!$O$8</f>
        <v>393.555</v>
      </c>
    </row>
    <row r="10508" customFormat="false" ht="17.15" hidden="false" customHeight="false" outlineLevel="0" collapsed="false">
      <c r="A10508" s="24" t="s">
        <v>697</v>
      </c>
      <c r="B10508" s="25" t="s">
        <v>86</v>
      </c>
      <c r="C10508" s="41" t="n">
        <f aca="false">Sens!$C$10439-(Sens!$C$10441+Sens!$C$10442)</f>
        <v>0</v>
      </c>
      <c r="D10508" s="41" t="n">
        <f aca="false">Sens!$D$10439-(Sens!$D$10441+Sens!$D$10442)</f>
        <v>0</v>
      </c>
      <c r="E10508" s="41" t="n">
        <f aca="false">Sens!$E$10439-(Sens!$E$10441+Sens!$E$10442)</f>
        <v>0</v>
      </c>
      <c r="F10508" s="41" t="n">
        <f aca="false">Sens!$F$10439-(Sens!$F$10441+Sens!$F$10442)</f>
        <v>0</v>
      </c>
      <c r="G10508" s="41" t="n">
        <f aca="false">Sens!$G$10439-(Sens!$G$10441+Sens!$G$10442)</f>
        <v>0</v>
      </c>
      <c r="H10508" s="41" t="n">
        <f aca="false">Sens!$H$10439-(Sens!$H$10441+Sens!$H$10442)</f>
        <v>0</v>
      </c>
      <c r="I10508" s="41" t="n">
        <f aca="false">Sens!$I$10439-(Sens!$I$10441+Sens!$I$10442)</f>
        <v>0</v>
      </c>
      <c r="J10508" s="41" t="n">
        <f aca="false">Sens!$J$10439-(Sens!$J$10441+Sens!$J$10442)</f>
        <v>0</v>
      </c>
      <c r="K10508" s="41" t="n">
        <f aca="false">Sens!$K$10439-(Sens!$K$10441+Sens!$K$10442)</f>
        <v>0</v>
      </c>
      <c r="L10508" s="41" t="n">
        <f aca="false">Sens!$L$10439-(Sens!$L$10441+Sens!$L$10442)</f>
        <v>0</v>
      </c>
      <c r="M10508" s="41" t="n">
        <f aca="false">Sens!$M$10439-(Sens!$M$10441+Sens!$M$10442)</f>
        <v>0</v>
      </c>
      <c r="N10508" s="41" t="n">
        <f aca="false">Sens!$N$10439-(Sens!$N$10441+Sens!$N$10442)</f>
        <v>0</v>
      </c>
      <c r="O10508" s="41" t="n">
        <f aca="false">Sens!$O$10439-(Sens!$O$10441+Sens!$O$10442)</f>
        <v>0</v>
      </c>
    </row>
    <row r="10509" customFormat="false" ht="17.15" hidden="false" customHeight="false" outlineLevel="0" collapsed="false">
      <c r="A10509" s="24" t="s">
        <v>698</v>
      </c>
      <c r="B10509" s="25" t="s">
        <v>86</v>
      </c>
      <c r="C10509" s="41" t="n">
        <f aca="false">Sens!$C$10504+Sens!$C$10505-Sens!$C$10506</f>
        <v>0</v>
      </c>
      <c r="D10509" s="41" t="n">
        <f aca="false">Sens!$D$10504+Sens!$D$10505-Sens!$D$10506</f>
        <v>0</v>
      </c>
      <c r="E10509" s="41" t="n">
        <f aca="false">Sens!$E$10504+Sens!$E$10505-Sens!$E$10506</f>
        <v>0</v>
      </c>
      <c r="F10509" s="41" t="n">
        <f aca="false">Sens!$F$10504+Sens!$F$10505-Sens!$F$10506</f>
        <v>0</v>
      </c>
      <c r="G10509" s="41" t="n">
        <f aca="false">Sens!$G$10504+Sens!$G$10505-Sens!$G$10506</f>
        <v>0</v>
      </c>
      <c r="H10509" s="41" t="n">
        <f aca="false">Sens!$H$10504+Sens!$H$10505-Sens!$H$10506</f>
        <v>0</v>
      </c>
      <c r="I10509" s="41" t="n">
        <f aca="false">Sens!$I$10504+Sens!$I$10505-Sens!$I$10506</f>
        <v>0</v>
      </c>
      <c r="J10509" s="41" t="n">
        <f aca="false">Sens!$J$10504+Sens!$J$10505-Sens!$J$10506</f>
        <v>0</v>
      </c>
      <c r="K10509" s="41" t="n">
        <f aca="false">Sens!$K$10504+Sens!$K$10505-Sens!$K$10506</f>
        <v>0</v>
      </c>
      <c r="L10509" s="41" t="n">
        <f aca="false">Sens!$L$10504+Sens!$L$10505-Sens!$L$10506</f>
        <v>0</v>
      </c>
      <c r="M10509" s="41" t="n">
        <f aca="false">Sens!$M$10504+Sens!$M$10505-Sens!$M$10506</f>
        <v>0</v>
      </c>
      <c r="N10509" s="41" t="n">
        <f aca="false">Sens!$N$10504+Sens!$N$10505-Sens!$N$10506</f>
        <v>0</v>
      </c>
      <c r="O10509" s="41" t="n">
        <f aca="false">Sens!$O$10504+Sens!$O$10505-Sens!$O$10506</f>
        <v>0</v>
      </c>
    </row>
    <row r="10510" customFormat="false" ht="17.15" hidden="false" customHeight="false" outlineLevel="0" collapsed="false">
      <c r="A10510" s="24" t="s">
        <v>699</v>
      </c>
      <c r="B10510" s="25" t="s">
        <v>86</v>
      </c>
      <c r="C10510" s="41" t="n">
        <f aca="false">Sens!$C$10441+Sens!$C$10442+Sens!$C$10506-Sens!$C$10507</f>
        <v>0</v>
      </c>
      <c r="D10510" s="41" t="n">
        <f aca="false">Sens!$D$10441+Sens!$D$10442+Sens!$D$10506-Sens!$D$10507</f>
        <v>0</v>
      </c>
      <c r="E10510" s="41" t="n">
        <f aca="false">Sens!$E$10441+Sens!$E$10442+Sens!$E$10506-Sens!$E$10507</f>
        <v>0</v>
      </c>
      <c r="F10510" s="41" t="n">
        <f aca="false">Sens!$F$10441+Sens!$F$10442+Sens!$F$10506-Sens!$F$10507</f>
        <v>0</v>
      </c>
      <c r="G10510" s="41" t="n">
        <f aca="false">Sens!$G$10441+Sens!$G$10442+Sens!$G$10506-Sens!$G$10507</f>
        <v>0</v>
      </c>
      <c r="H10510" s="41" t="n">
        <f aca="false">Sens!$H$10441+Sens!$H$10442+Sens!$H$10506-Sens!$H$10507</f>
        <v>0</v>
      </c>
      <c r="I10510" s="41" t="n">
        <f aca="false">Sens!$I$10441+Sens!$I$10442+Sens!$I$10506-Sens!$I$10507</f>
        <v>0</v>
      </c>
      <c r="J10510" s="41" t="n">
        <f aca="false">Sens!$J$10441+Sens!$J$10442+Sens!$J$10506-Sens!$J$10507</f>
        <v>0</v>
      </c>
      <c r="K10510" s="41" t="n">
        <f aca="false">Sens!$K$10441+Sens!$K$10442+Sens!$K$10506-Sens!$K$10507</f>
        <v>0</v>
      </c>
      <c r="L10510" s="41" t="n">
        <f aca="false">Sens!$L$10441+Sens!$L$10442+Sens!$L$10506-Sens!$L$10507</f>
        <v>0</v>
      </c>
      <c r="M10510" s="41" t="n">
        <f aca="false">Sens!$M$10441+Sens!$M$10442+Sens!$M$10506-Sens!$M$10507</f>
        <v>0</v>
      </c>
      <c r="N10510" s="41" t="n">
        <f aca="false">Sens!$N$10441+Sens!$N$10442+Sens!$N$10506-Sens!$N$10507</f>
        <v>0</v>
      </c>
      <c r="O10510" s="41" t="n">
        <f aca="false">Sens!$O$10441+Sens!$O$10442+Sens!$O$10506-Sens!$O$10507</f>
        <v>0</v>
      </c>
    </row>
    <row r="10511" customFormat="false" ht="15" hidden="false" customHeight="false" outlineLevel="0" collapsed="false">
      <c r="A10511" s="5" t="s">
        <v>693</v>
      </c>
      <c r="B10511" s="0" t="s">
        <v>52</v>
      </c>
      <c r="G10511" s="13" t="n">
        <f aca="false">Sens!$G$10507/Sens!$D$10507-1</f>
        <v>0.140854504918937</v>
      </c>
      <c r="H10511" s="13" t="n">
        <f aca="false">Sens!$H$10507/Sens!$G$10507-1</f>
        <v>0.152063789793209</v>
      </c>
      <c r="I10511" s="13" t="n">
        <f aca="false">Sens!$I$10507/Sens!$H$10507-1</f>
        <v>0.134273264437417</v>
      </c>
      <c r="J10511" s="13" t="n">
        <f aca="false">Sens!$J$10507/Sens!$I$10507-1</f>
        <v>0.113310421234083</v>
      </c>
      <c r="K10511" s="13" t="n">
        <f aca="false">Sens!$K$10507/Sens!$J$10507-1</f>
        <v>0.0892108343223652</v>
      </c>
      <c r="L10511" s="13" t="n">
        <f aca="false">Sens!$L$10507/Sens!$K$10507-1</f>
        <v>0.076471362444261</v>
      </c>
      <c r="M10511" s="13" t="n">
        <f aca="false">Sens!$M$10507/Sens!$L$10507-1</f>
        <v>0.066250060256672</v>
      </c>
    </row>
    <row r="10512" customFormat="false" ht="17.15" hidden="false" customHeight="false" outlineLevel="0" collapsed="false">
      <c r="A10512" s="0" t="s">
        <v>694</v>
      </c>
      <c r="B10512" s="0" t="s">
        <v>52</v>
      </c>
      <c r="C10512" s="13" t="n">
        <f aca="false">Sens!$C$10506/Sens!$C$10507</f>
        <v>0.168593906504964</v>
      </c>
      <c r="D10512" s="13" t="n">
        <f aca="false">Sens!$D$10506/Sens!$D$10507</f>
        <v>0.179551807444025</v>
      </c>
      <c r="E10512" s="13" t="n">
        <f aca="false">Sens!$E$10506/Sens!$E$10507</f>
        <v>0.208881910369643</v>
      </c>
      <c r="F10512" s="13" t="n">
        <f aca="false">Sens!$F$10506/Sens!$F$10507</f>
        <v>0.199028269699356</v>
      </c>
      <c r="G10512" s="13" t="n">
        <f aca="false">Sens!$G$10506/Sens!$G$10507</f>
        <v>0.203631882529968</v>
      </c>
      <c r="H10512" s="13" t="n">
        <f aca="false">Sens!$H$10506/Sens!$H$10507</f>
        <v>0.234731715958496</v>
      </c>
      <c r="I10512" s="13" t="n">
        <f aca="false">Sens!$I$10506/Sens!$I$10507</f>
        <v>0.262231204480418</v>
      </c>
      <c r="J10512" s="13" t="n">
        <f aca="false">Sens!$J$10506/Sens!$J$10507</f>
        <v>0.284728366013706</v>
      </c>
      <c r="K10512" s="13" t="n">
        <f aca="false">Sens!$K$10506/Sens!$K$10507</f>
        <v>0.300823304959505</v>
      </c>
      <c r="L10512" s="13" t="n">
        <f aca="false">Sens!$L$10506/Sens!$L$10507</f>
        <v>0.308263164529735</v>
      </c>
      <c r="M10512" s="13" t="n">
        <f aca="false">Sens!$M$10506/Sens!$M$10507</f>
        <v>0.308856517936036</v>
      </c>
      <c r="N10512" s="13" t="n">
        <f aca="false">Sens!$N$10506/Sens!$N$10507</f>
        <v>0.185979484737251</v>
      </c>
      <c r="O10512" s="13" t="n">
        <f aca="false">Sens!$O$10506/Sens!$O$10507</f>
        <v>0.174270432341096</v>
      </c>
    </row>
    <row r="10513" customFormat="false" ht="17.15" hidden="false" customHeight="false" outlineLevel="0" collapsed="false">
      <c r="A10513" s="0" t="s">
        <v>695</v>
      </c>
      <c r="B10513" s="0" t="s">
        <v>52</v>
      </c>
      <c r="C10513" s="13" t="n">
        <f aca="false">Sens!$C$10504/Sens!$C$10506</f>
        <v>0.0215795060896058</v>
      </c>
      <c r="D10513" s="13" t="n">
        <f aca="false">Sens!$D$10504/Sens!$D$10506</f>
        <v>0.0676152269462122</v>
      </c>
      <c r="E10513" s="13" t="n">
        <f aca="false">Sens!$E$10504/Sens!$E$10506</f>
        <v>0.106620641395783</v>
      </c>
      <c r="F10513" s="13" t="n">
        <f aca="false">Sens!$F$10504/Sens!$F$10506</f>
        <v>0.172523487401099</v>
      </c>
      <c r="G10513" s="13" t="n">
        <f aca="false">Sens!$G$10504/Sens!$G$10506</f>
        <v>0.140939911795589</v>
      </c>
      <c r="H10513" s="13" t="n">
        <f aca="false">Sens!$H$10504/Sens!$H$10506</f>
        <v>0.272018642937714</v>
      </c>
      <c r="I10513" s="13" t="n">
        <f aca="false">Sens!$I$10504/Sens!$I$10506</f>
        <v>0.362159512436497</v>
      </c>
      <c r="J10513" s="13" t="n">
        <f aca="false">Sens!$J$10504/Sens!$J$10506</f>
        <v>0.422151735934609</v>
      </c>
      <c r="K10513" s="13" t="n">
        <f aca="false">Sens!$K$10504/Sens!$K$10506</f>
        <v>0.45769342068485</v>
      </c>
      <c r="L10513" s="13" t="n">
        <f aca="false">Sens!$L$10504/Sens!$L$10506</f>
        <v>0.469047103913472</v>
      </c>
      <c r="M10513" s="13" t="n">
        <f aca="false">Sens!$M$10504/Sens!$M$10506</f>
        <v>0.463233328258093</v>
      </c>
      <c r="N10513" s="13" t="n">
        <f aca="false">Sens!$N$10504/Sens!$N$10506</f>
        <v>0.0506537999838362</v>
      </c>
      <c r="O10513" s="13" t="n">
        <f aca="false">Sens!$O$10504/Sens!$O$10506</f>
        <v>0.0824881615167056</v>
      </c>
    </row>
    <row r="10516" customFormat="false" ht="19.4" hidden="false" customHeight="false" outlineLevel="0" collapsed="false">
      <c r="A10516" s="31" t="s">
        <v>1344</v>
      </c>
    </row>
    <row r="10517" customFormat="false" ht="17.15" hidden="false" customHeight="false" outlineLevel="0" collapsed="false">
      <c r="A10517" s="6" t="s">
        <v>16</v>
      </c>
      <c r="B10517" s="6" t="s">
        <v>17</v>
      </c>
      <c r="C10517" s="20" t="s">
        <v>494</v>
      </c>
      <c r="D10517" s="20" t="s">
        <v>495</v>
      </c>
      <c r="E10517" s="20" t="s">
        <v>577</v>
      </c>
      <c r="F10517" s="20" t="s">
        <v>578</v>
      </c>
      <c r="G10517" s="20" t="s">
        <v>579</v>
      </c>
      <c r="H10517" s="20" t="s">
        <v>580</v>
      </c>
      <c r="I10517" s="20" t="s">
        <v>581</v>
      </c>
      <c r="J10517" s="20" t="s">
        <v>582</v>
      </c>
      <c r="K10517" s="20" t="s">
        <v>583</v>
      </c>
      <c r="L10517" s="20" t="s">
        <v>584</v>
      </c>
      <c r="M10517" s="20" t="s">
        <v>585</v>
      </c>
      <c r="N10517" s="20" t="s">
        <v>586</v>
      </c>
      <c r="O10517" s="20" t="s">
        <v>587</v>
      </c>
      <c r="P10517" s="6" t="s">
        <v>23</v>
      </c>
      <c r="R10517" s="20" t="n">
        <v>2023</v>
      </c>
      <c r="S10517" s="20" t="n">
        <v>2024</v>
      </c>
      <c r="T10517" s="20" t="n">
        <v>2025</v>
      </c>
      <c r="U10517" s="20" t="n">
        <v>2026</v>
      </c>
      <c r="V10517" s="20" t="n">
        <v>2027</v>
      </c>
      <c r="W10517" s="20" t="n">
        <v>2028</v>
      </c>
      <c r="X10517" s="20" t="n">
        <v>2029</v>
      </c>
      <c r="Y10517" s="20" t="n">
        <v>2030</v>
      </c>
      <c r="Z10517" s="20" t="n">
        <v>2031</v>
      </c>
      <c r="AA10517" s="20" t="n">
        <v>2032</v>
      </c>
    </row>
    <row r="10518" customFormat="false" ht="17.15" hidden="false" customHeight="false" outlineLevel="0" collapsed="false">
      <c r="A10518" s="1" t="s">
        <v>710</v>
      </c>
    </row>
    <row r="10519" customFormat="false" ht="15" hidden="false" customHeight="false" outlineLevel="0" collapsed="false">
      <c r="A10519" s="0" t="s">
        <v>516</v>
      </c>
      <c r="B10519" s="0" t="s">
        <v>86</v>
      </c>
      <c r="C10519" s="38" t="n">
        <f aca="false">Sens!$C$10426</f>
        <v>247.029</v>
      </c>
      <c r="D10519" s="38" t="n">
        <f aca="false">Sens!$D$10426</f>
        <v>269.287</v>
      </c>
      <c r="E10519" s="38" t="n">
        <f aca="false">Sens!$E$10426</f>
        <v>134.686</v>
      </c>
      <c r="F10519" s="38" t="n">
        <f aca="false">Sens!$F$10426</f>
        <v>158.293876822267</v>
      </c>
      <c r="G10519" s="38" t="n">
        <f aca="false">Sens!$G$10426</f>
        <v>292.979876822267</v>
      </c>
      <c r="H10519" s="38" t="n">
        <f aca="false">Sens!$H$10426</f>
        <v>318.184543087396</v>
      </c>
      <c r="I10519" s="38" t="n">
        <f aca="false">Sens!$I$10426</f>
        <v>341.736278761793</v>
      </c>
      <c r="J10519" s="38" t="n">
        <f aca="false">Sens!$J$10426</f>
        <v>362.927192787048</v>
      </c>
      <c r="K10519" s="38" t="n">
        <f aca="false">Sens!$K$10426</f>
        <v>381.0735524264</v>
      </c>
      <c r="L10519" s="38" t="n">
        <f aca="false">Sens!$L$10426</f>
        <v>400.12723004772</v>
      </c>
      <c r="M10519" s="38" t="n">
        <f aca="false">Sens!$M$10426</f>
        <v>420.133591550106</v>
      </c>
      <c r="N10519" s="38" t="n">
        <f aca="false">Sens!$N$10426</f>
        <v>118.892</v>
      </c>
      <c r="O10519" s="38" t="n">
        <f aca="false">Sens!$O$10426</f>
        <v>150.395</v>
      </c>
    </row>
    <row r="10520" customFormat="false" ht="15" hidden="false" customHeight="false" outlineLevel="0" collapsed="false">
      <c r="A10520" s="0" t="s">
        <v>517</v>
      </c>
      <c r="B10520" s="0" t="s">
        <v>86</v>
      </c>
      <c r="C10520" s="38" t="n">
        <f aca="false">Sens!$C$10428</f>
        <v>21.215</v>
      </c>
      <c r="D10520" s="38" t="n">
        <f aca="false">Sens!$D$10428</f>
        <v>22.561</v>
      </c>
      <c r="E10520" s="38" t="n">
        <f aca="false">Sens!$E$10428</f>
        <v>11.579</v>
      </c>
      <c r="F10520" s="38" t="n">
        <f aca="false">Sens!$F$10428</f>
        <v>11.5938724610325</v>
      </c>
      <c r="G10520" s="38" t="n">
        <f aca="false">Sens!$G$10428</f>
        <v>23.1728724610325</v>
      </c>
      <c r="H10520" s="38" t="n">
        <f aca="false">Sens!$H$10428</f>
        <v>24.353392759506</v>
      </c>
      <c r="I10520" s="38" t="n">
        <f aca="false">Sens!$I$10428</f>
        <v>25.4240338872015</v>
      </c>
      <c r="J10520" s="38" t="n">
        <f aca="false">Sens!$J$10428</f>
        <v>26.3642491017174</v>
      </c>
      <c r="K10520" s="38" t="n">
        <f aca="false">Sens!$K$10428</f>
        <v>27.155176574769</v>
      </c>
      <c r="L10520" s="38" t="n">
        <f aca="false">Sens!$L$10428</f>
        <v>27.969831872012</v>
      </c>
      <c r="M10520" s="38" t="n">
        <f aca="false">Sens!$M$10428</f>
        <v>28.8089268281724</v>
      </c>
      <c r="N10520" s="38" t="n">
        <f aca="false">Sens!$N$10428</f>
        <v>11.128</v>
      </c>
      <c r="O10520" s="38" t="n">
        <f aca="false">Sens!$O$10428</f>
        <v>11.433</v>
      </c>
    </row>
    <row r="10521" customFormat="false" ht="15" hidden="false" customHeight="false" outlineLevel="0" collapsed="false">
      <c r="A10521" s="0" t="s">
        <v>518</v>
      </c>
      <c r="B10521" s="0" t="s">
        <v>86</v>
      </c>
      <c r="C10521" s="38" t="n">
        <f aca="false">Sens!$C$10430</f>
        <v>156.146</v>
      </c>
      <c r="D10521" s="38" t="n">
        <f aca="false">Sens!$D$10430</f>
        <v>172.162</v>
      </c>
      <c r="E10521" s="38" t="n">
        <f aca="false">Sens!$E$10430</f>
        <v>88.358</v>
      </c>
      <c r="F10521" s="38" t="n">
        <f aca="false">Sens!$F$10430</f>
        <v>102.004388260171</v>
      </c>
      <c r="G10521" s="38" t="n">
        <f aca="false">Sens!$G$10430</f>
        <v>190.362388260171</v>
      </c>
      <c r="H10521" s="38" t="n">
        <f aca="false">Sens!$H$10430</f>
        <v>210.343106588311</v>
      </c>
      <c r="I10521" s="38" t="n">
        <f aca="false">Sens!$I$10430</f>
        <v>229.969728494648</v>
      </c>
      <c r="J10521" s="38" t="n">
        <f aca="false">Sens!$J$10430</f>
        <v>248.747636972598</v>
      </c>
      <c r="K10521" s="38" t="n">
        <f aca="false">Sens!$K$10430</f>
        <v>266.15997156068</v>
      </c>
      <c r="L10521" s="38" t="n">
        <f aca="false">Sens!$L$10430</f>
        <v>284.791169569927</v>
      </c>
      <c r="M10521" s="38" t="n">
        <f aca="false">Sens!$M$10430</f>
        <v>304.726551439822</v>
      </c>
      <c r="N10521" s="38" t="n">
        <f aca="false">Sens!$N$10430</f>
        <v>76.86</v>
      </c>
      <c r="O10521" s="38" t="n">
        <f aca="false">Sens!$O$10430</f>
        <v>95.302</v>
      </c>
    </row>
    <row r="10522" customFormat="false" ht="15" hidden="false" customHeight="false" outlineLevel="0" collapsed="false">
      <c r="A10522" s="0" t="s">
        <v>519</v>
      </c>
      <c r="B10522" s="0" t="s">
        <v>86</v>
      </c>
      <c r="C10522" s="38" t="n">
        <f aca="false">Sens!$C$10432</f>
        <v>56.214</v>
      </c>
      <c r="D10522" s="38" t="n">
        <f aca="false">Sens!$D$10432</f>
        <v>68.635</v>
      </c>
      <c r="E10522" s="38" t="n">
        <f aca="false">Sens!$E$10432</f>
        <v>37.052</v>
      </c>
      <c r="F10522" s="38" t="n">
        <f aca="false">Sens!$F$10432</f>
        <v>46.1572219944148</v>
      </c>
      <c r="G10522" s="38" t="n">
        <f aca="false">Sens!$G$10432</f>
        <v>83.2092219944148</v>
      </c>
      <c r="H10522" s="38" t="n">
        <f aca="false">Sens!$H$10432</f>
        <v>99.8969223878976</v>
      </c>
      <c r="I10522" s="38" t="n">
        <f aca="false">Sens!$I$10432</f>
        <v>116.583111095496</v>
      </c>
      <c r="J10522" s="38" t="n">
        <f aca="false">Sens!$J$10432</f>
        <v>132.148941941952</v>
      </c>
      <c r="K10522" s="38" t="n">
        <f aca="false">Sens!$K$10432</f>
        <v>145.363836136147</v>
      </c>
      <c r="L10522" s="38" t="n">
        <f aca="false">Sens!$L$10432</f>
        <v>159.900219749762</v>
      </c>
      <c r="M10522" s="38" t="n">
        <f aca="false">Sens!$M$10432</f>
        <v>175.890241724738</v>
      </c>
      <c r="N10522" s="38" t="n">
        <f aca="false">Sens!$N$10432</f>
        <v>29.615</v>
      </c>
      <c r="O10522" s="38" t="n">
        <f aca="false">Sens!$O$10432</f>
        <v>39.02</v>
      </c>
    </row>
    <row r="10523" customFormat="false" ht="15" hidden="false" customHeight="false" outlineLevel="0" collapsed="false">
      <c r="A10523" s="0" t="s">
        <v>520</v>
      </c>
      <c r="B10523" s="0" t="s">
        <v>86</v>
      </c>
      <c r="C10523" s="38" t="n">
        <f aca="false">Sens!$C$10434</f>
        <v>44.374</v>
      </c>
      <c r="D10523" s="38" t="n">
        <f aca="false">Sens!$D$10434</f>
        <v>49.619</v>
      </c>
      <c r="E10523" s="38" t="n">
        <f aca="false">Sens!$E$10434</f>
        <v>27.157</v>
      </c>
      <c r="F10523" s="38" t="n">
        <f aca="false">Sens!$F$10434</f>
        <v>27.7764165988154</v>
      </c>
      <c r="G10523" s="38" t="n">
        <f aca="false">Sens!$G$10434</f>
        <v>54.9334165988154</v>
      </c>
      <c r="H10523" s="38" t="n">
        <f aca="false">Sens!$H$10434</f>
        <v>61.1564112561829</v>
      </c>
      <c r="I10523" s="38" t="n">
        <f aca="false">Sens!$I$10434</f>
        <v>67.2020282103945</v>
      </c>
      <c r="J10523" s="38" t="n">
        <f aca="false">Sens!$J$10434</f>
        <v>72.8757274028885</v>
      </c>
      <c r="K10523" s="38" t="n">
        <f aca="false">Sens!$K$10434</f>
        <v>77.9770283210907</v>
      </c>
      <c r="L10523" s="38" t="n">
        <f aca="false">Sens!$L$10434</f>
        <v>83.4354203035671</v>
      </c>
      <c r="M10523" s="38" t="n">
        <f aca="false">Sens!$M$10434</f>
        <v>89.2758997248168</v>
      </c>
      <c r="N10523" s="38" t="n">
        <f aca="false">Sens!$N$10434</f>
        <v>23.923</v>
      </c>
      <c r="O10523" s="38" t="n">
        <f aca="false">Sens!$O$10434</f>
        <v>25.696</v>
      </c>
    </row>
    <row r="10524" customFormat="false" ht="15" hidden="false" customHeight="false" outlineLevel="0" collapsed="false">
      <c r="A10524" s="0" t="s">
        <v>521</v>
      </c>
      <c r="B10524" s="0" t="s">
        <v>86</v>
      </c>
      <c r="C10524" s="38" t="n">
        <f aca="false">Sens!$C$10436</f>
        <v>5.425</v>
      </c>
      <c r="D10524" s="38" t="n">
        <f aca="false">Sens!$D$10436</f>
        <v>5.935</v>
      </c>
      <c r="E10524" s="38" t="n">
        <f aca="false">Sens!$E$10436</f>
        <v>3.474</v>
      </c>
      <c r="F10524" s="38" t="n">
        <f aca="false">Sens!$F$10436</f>
        <v>3.22246550883619</v>
      </c>
      <c r="G10524" s="38" t="n">
        <f aca="false">Sens!$G$10436</f>
        <v>6.69646550883619</v>
      </c>
      <c r="H10524" s="38" t="n">
        <f aca="false">Sens!$H$10436</f>
        <v>7.16251344209196</v>
      </c>
      <c r="I10524" s="38" t="n">
        <f aca="false">Sens!$I$10436</f>
        <v>7.61421070299826</v>
      </c>
      <c r="J10524" s="38" t="n">
        <f aca="false">Sens!$J$10436</f>
        <v>8.04465753523932</v>
      </c>
      <c r="K10524" s="38" t="n">
        <f aca="false">Sens!$K$10436</f>
        <v>8.44689041200128</v>
      </c>
      <c r="L10524" s="38" t="n">
        <f aca="false">Sens!$L$10436</f>
        <v>8.86923493260135</v>
      </c>
      <c r="M10524" s="38" t="n">
        <f aca="false">Sens!$M$10436</f>
        <v>9.31269667923142</v>
      </c>
      <c r="N10524" s="38" t="n">
        <f aca="false">Sens!$N$10436</f>
        <v>2.811</v>
      </c>
      <c r="O10524" s="38" t="n">
        <f aca="false">Sens!$O$10436</f>
        <v>3.124</v>
      </c>
    </row>
    <row r="10525" customFormat="false" ht="17.15" hidden="false" customHeight="false" outlineLevel="0" collapsed="false">
      <c r="A10525" s="0" t="s">
        <v>711</v>
      </c>
      <c r="B10525" s="0" t="s">
        <v>86</v>
      </c>
      <c r="C10525" s="38" t="n">
        <f aca="false">Sens!$C$10506</f>
        <v>107.556</v>
      </c>
      <c r="D10525" s="38" t="n">
        <f aca="false">Sens!$D$10506</f>
        <v>128.725</v>
      </c>
      <c r="E10525" s="38" t="n">
        <f aca="false">Sens!$E$10506</f>
        <v>79.819</v>
      </c>
      <c r="F10525" s="38" t="n">
        <f aca="false">Sens!$F$10506</f>
        <v>86.7327334389669</v>
      </c>
      <c r="G10525" s="38" t="n">
        <f aca="false">Sens!$G$10506</f>
        <v>166.551733438967</v>
      </c>
      <c r="H10525" s="38" t="n">
        <f aca="false">Sens!$H$10506</f>
        <v>221.182967828978</v>
      </c>
      <c r="I10525" s="38" t="n">
        <f aca="false">Sens!$I$10506</f>
        <v>280.27345865789</v>
      </c>
      <c r="J10525" s="38" t="n">
        <f aca="false">Sens!$J$10506</f>
        <v>338.800945197185</v>
      </c>
      <c r="K10525" s="38" t="n">
        <f aca="false">Sens!$K$10506</f>
        <v>389.88570147276</v>
      </c>
      <c r="L10525" s="38" t="n">
        <f aca="false">Sens!$L$10506</f>
        <v>430.080689379143</v>
      </c>
      <c r="M10525" s="38" t="n">
        <f aca="false">Sens!$M$10506</f>
        <v>459.456235951751</v>
      </c>
      <c r="N10525" s="38" t="n">
        <f aca="false">Sens!$N$10506</f>
        <v>60.14</v>
      </c>
      <c r="O10525" s="38" t="n">
        <f aca="false">Sens!$O$10506</f>
        <v>68.585</v>
      </c>
    </row>
    <row r="10526" customFormat="false" ht="15" hidden="false" customHeight="false" outlineLevel="0" collapsed="false">
      <c r="A10526" s="1" t="s">
        <v>509</v>
      </c>
      <c r="B10526" s="8" t="s">
        <v>86</v>
      </c>
      <c r="C10526" s="38" t="n">
        <f aca="false">Sens!$C$10441</f>
        <v>387.497</v>
      </c>
      <c r="D10526" s="38" t="n">
        <f aca="false">Sens!$D$10441</f>
        <v>426.305</v>
      </c>
      <c r="E10526" s="38" t="n">
        <f aca="false">Sens!$E$10441</f>
        <v>220.32</v>
      </c>
      <c r="F10526" s="38" t="n">
        <f aca="false">Sens!$F$10441</f>
        <v>250.639773480586</v>
      </c>
      <c r="G10526" s="38" t="n">
        <f aca="false">Sens!$G$10441</f>
        <v>470.959773480586</v>
      </c>
      <c r="H10526" s="38" t="n">
        <f aca="false">Sens!$H$10441</f>
        <v>521.386990416437</v>
      </c>
      <c r="I10526" s="38" t="n">
        <f aca="false">Sens!$I$10441</f>
        <v>570.143862887555</v>
      </c>
      <c r="J10526" s="38" t="n">
        <f aca="false">Sens!$J$10441</f>
        <v>615.391435791933</v>
      </c>
      <c r="K10526" s="38" t="n">
        <f aca="false">Sens!$K$10441</f>
        <v>655.208227561543</v>
      </c>
      <c r="L10526" s="38" t="n">
        <f aca="false">Sens!$L$10441</f>
        <v>697.807739249767</v>
      </c>
      <c r="M10526" s="38" t="n">
        <f aca="false">Sens!$M$10441</f>
        <v>743.399328463592</v>
      </c>
      <c r="N10526" s="38" t="n">
        <f aca="false">Sens!$N$10441</f>
        <v>192.955</v>
      </c>
      <c r="O10526" s="38" t="n">
        <f aca="false">Sens!$O$10441</f>
        <v>233.35</v>
      </c>
    </row>
    <row r="10527" customFormat="false" ht="15" hidden="false" customHeight="false" outlineLevel="0" collapsed="false">
      <c r="A10527" s="1" t="s">
        <v>512</v>
      </c>
      <c r="B10527" s="8" t="s">
        <v>86</v>
      </c>
      <c r="C10527" s="38" t="n">
        <f aca="false">Sens!$C$10442</f>
        <v>142.906</v>
      </c>
      <c r="D10527" s="38" t="n">
        <f aca="false">Sens!$D$10442</f>
        <v>161.894</v>
      </c>
      <c r="E10527" s="38" t="n">
        <f aca="false">Sens!$E$10442</f>
        <v>81.986</v>
      </c>
      <c r="F10527" s="38" t="n">
        <f aca="false">Sens!$F$10442</f>
        <v>98.408468164951</v>
      </c>
      <c r="G10527" s="38" t="n">
        <f aca="false">Sens!$G$10442</f>
        <v>180.394468164951</v>
      </c>
      <c r="H10527" s="38" t="n">
        <f aca="false">Sens!$H$10442</f>
        <v>199.709899104949</v>
      </c>
      <c r="I10527" s="38" t="n">
        <f aca="false">Sens!$I$10442</f>
        <v>218.385528264976</v>
      </c>
      <c r="J10527" s="38" t="n">
        <f aca="false">Sens!$J$10442</f>
        <v>235.71696994951</v>
      </c>
      <c r="K10527" s="38" t="n">
        <f aca="false">Sens!$K$10442</f>
        <v>250.968227869545</v>
      </c>
      <c r="L10527" s="38" t="n">
        <f aca="false">Sens!$L$10442</f>
        <v>267.285367225822</v>
      </c>
      <c r="M10527" s="38" t="n">
        <f aca="false">Sens!$M$10442</f>
        <v>284.748579483295</v>
      </c>
      <c r="N10527" s="38" t="n">
        <f aca="false">Sens!$N$10442</f>
        <v>70.274</v>
      </c>
      <c r="O10527" s="38" t="n">
        <f aca="false">Sens!$O$10442</f>
        <v>91.62</v>
      </c>
    </row>
    <row r="10528" customFormat="false" ht="15" hidden="false" customHeight="false" outlineLevel="0" collapsed="false">
      <c r="A10528" s="1" t="s">
        <v>513</v>
      </c>
      <c r="B10528" s="8" t="s">
        <v>86</v>
      </c>
      <c r="C10528" s="38" t="n">
        <f aca="false">Sens!$C$10506</f>
        <v>107.556</v>
      </c>
      <c r="D10528" s="38" t="n">
        <f aca="false">Sens!$D$10506</f>
        <v>128.725</v>
      </c>
      <c r="E10528" s="38" t="n">
        <f aca="false">Sens!$E$10506</f>
        <v>79.819</v>
      </c>
      <c r="F10528" s="38" t="n">
        <f aca="false">Sens!$F$10506</f>
        <v>86.7327334389669</v>
      </c>
      <c r="G10528" s="38" t="n">
        <f aca="false">Sens!$G$10506</f>
        <v>166.551733438967</v>
      </c>
      <c r="H10528" s="38" t="n">
        <f aca="false">Sens!$H$10506</f>
        <v>221.182967828978</v>
      </c>
      <c r="I10528" s="38" t="n">
        <f aca="false">Sens!$I$10506</f>
        <v>280.27345865789</v>
      </c>
      <c r="J10528" s="38" t="n">
        <f aca="false">Sens!$J$10506</f>
        <v>338.800945197185</v>
      </c>
      <c r="K10528" s="38" t="n">
        <f aca="false">Sens!$K$10506</f>
        <v>389.88570147276</v>
      </c>
      <c r="L10528" s="38" t="n">
        <f aca="false">Sens!$L$10506</f>
        <v>430.080689379143</v>
      </c>
      <c r="M10528" s="38" t="n">
        <f aca="false">Sens!$M$10506</f>
        <v>459.456235951751</v>
      </c>
      <c r="N10528" s="38" t="n">
        <f aca="false">Sens!$N$10506</f>
        <v>60.14</v>
      </c>
      <c r="O10528" s="38" t="n">
        <f aca="false">Sens!$O$10506</f>
        <v>68.585</v>
      </c>
    </row>
    <row r="10529" customFormat="false" ht="17.15" hidden="false" customHeight="false" outlineLevel="0" collapsed="false">
      <c r="A10529" s="0" t="s">
        <v>685</v>
      </c>
      <c r="B10529" s="0" t="s">
        <v>86</v>
      </c>
      <c r="C10529" s="38" t="n">
        <f aca="false">Sens!$C$10504</f>
        <v>2.32100535697364</v>
      </c>
      <c r="D10529" s="38" t="n">
        <f aca="false">Sens!$D$10504</f>
        <v>8.70377008865116</v>
      </c>
      <c r="E10529" s="38" t="n">
        <f aca="false">Sens!$E$10504</f>
        <v>8.51035297557002</v>
      </c>
      <c r="F10529" s="38" t="n">
        <f aca="false">Sens!$F$10504</f>
        <v>14.9634336447205</v>
      </c>
      <c r="G10529" s="38" t="n">
        <f aca="false">Sens!$G$10504</f>
        <v>23.4737866202905</v>
      </c>
      <c r="H10529" s="38" t="n">
        <f aca="false">Sens!$H$10504</f>
        <v>60.1658907497746</v>
      </c>
      <c r="I10529" s="38" t="n">
        <f aca="false">Sens!$I$10504</f>
        <v>101.503699136432</v>
      </c>
      <c r="J10529" s="38" t="n">
        <f aca="false">Sens!$J$10504</f>
        <v>143.025407151278</v>
      </c>
      <c r="K10529" s="38" t="n">
        <f aca="false">Sens!$K$10504</f>
        <v>178.44812038318</v>
      </c>
      <c r="L10529" s="38" t="n">
        <f aca="false">Sens!$L$10504</f>
        <v>201.728101802396</v>
      </c>
      <c r="M10529" s="38" t="n">
        <f aca="false">Sens!$M$10504</f>
        <v>212.835441368865</v>
      </c>
      <c r="N10529" s="38" t="n">
        <f aca="false">Sens!$N$10504</f>
        <v>3.04631953102791</v>
      </c>
      <c r="O10529" s="38" t="n">
        <f aca="false">Sens!$O$10504</f>
        <v>5.65745055762326</v>
      </c>
    </row>
    <row r="10530" customFormat="false" ht="17.15" hidden="false" customHeight="false" outlineLevel="0" collapsed="false">
      <c r="A10530" s="0" t="s">
        <v>687</v>
      </c>
      <c r="B10530" s="0" t="s">
        <v>86</v>
      </c>
      <c r="C10530" s="38" t="n">
        <f aca="false">Sens!$C$10505</f>
        <v>105.234994643026</v>
      </c>
      <c r="D10530" s="38" t="n">
        <f aca="false">Sens!$D$10505</f>
        <v>120.021229911349</v>
      </c>
      <c r="E10530" s="38" t="n">
        <f aca="false">Sens!$E$10505</f>
        <v>71.30864702443</v>
      </c>
      <c r="F10530" s="38" t="n">
        <f aca="false">Sens!$F$10505</f>
        <v>71.7692997942464</v>
      </c>
      <c r="G10530" s="38" t="n">
        <f aca="false">Sens!$G$10505</f>
        <v>143.077946818676</v>
      </c>
      <c r="H10530" s="38" t="n">
        <f aca="false">Sens!$H$10505</f>
        <v>161.017077079203</v>
      </c>
      <c r="I10530" s="38" t="n">
        <f aca="false">Sens!$I$10505</f>
        <v>178.769759521457</v>
      </c>
      <c r="J10530" s="38" t="n">
        <f aca="false">Sens!$J$10505</f>
        <v>195.775538045907</v>
      </c>
      <c r="K10530" s="38" t="n">
        <f aca="false">Sens!$K$10505</f>
        <v>211.43758108958</v>
      </c>
      <c r="L10530" s="38" t="n">
        <f aca="false">Sens!$L$10505</f>
        <v>228.352587576746</v>
      </c>
      <c r="M10530" s="38" t="n">
        <f aca="false">Sens!$M$10505</f>
        <v>246.620794582886</v>
      </c>
      <c r="N10530" s="38" t="n">
        <f aca="false">Sens!$N$10505</f>
        <v>57.0936804689721</v>
      </c>
      <c r="O10530" s="38" t="n">
        <f aca="false">Sens!$O$10505</f>
        <v>62.9275494423768</v>
      </c>
    </row>
    <row r="10531" customFormat="false" ht="15" hidden="false" customHeight="false" outlineLevel="0" collapsed="false">
      <c r="A10531" s="3" t="s">
        <v>514</v>
      </c>
      <c r="B10531" s="8" t="s">
        <v>86</v>
      </c>
      <c r="C10531" s="38" t="n">
        <f aca="false">Sens!$C$10507</f>
        <v>637.959</v>
      </c>
      <c r="D10531" s="38" t="n">
        <f aca="false">Sens!$D$10507</f>
        <v>716.924</v>
      </c>
      <c r="E10531" s="38" t="n">
        <f aca="false">Sens!$E$10507</f>
        <v>382.125</v>
      </c>
      <c r="F10531" s="38" t="n">
        <f aca="false">Sens!$F$10507</f>
        <v>435.780975084504</v>
      </c>
      <c r="G10531" s="38" t="n">
        <f aca="false">Sens!$G$10507</f>
        <v>817.905975084504</v>
      </c>
      <c r="H10531" s="38" t="n">
        <f aca="false">Sens!$H$10507</f>
        <v>942.279857350364</v>
      </c>
      <c r="I10531" s="38" t="n">
        <f aca="false">Sens!$I$10507</f>
        <v>1068.80284981042</v>
      </c>
      <c r="J10531" s="38" t="n">
        <f aca="false">Sens!$J$10507</f>
        <v>1189.90935093863</v>
      </c>
      <c r="K10531" s="38" t="n">
        <f aca="false">Sens!$K$10507</f>
        <v>1296.06215690385</v>
      </c>
      <c r="L10531" s="38" t="n">
        <f aca="false">Sens!$L$10507</f>
        <v>1395.17379585473</v>
      </c>
      <c r="M10531" s="38" t="n">
        <f aca="false">Sens!$M$10507</f>
        <v>1487.60414389864</v>
      </c>
      <c r="N10531" s="38" t="n">
        <f aca="false">Sens!$N$10507</f>
        <v>323.369</v>
      </c>
      <c r="O10531" s="38" t="n">
        <f aca="false">Sens!$O$10507</f>
        <v>393.555</v>
      </c>
    </row>
    <row r="10532" customFormat="false" ht="17.15" hidden="false" customHeight="false" outlineLevel="0" collapsed="false">
      <c r="A10532" s="24" t="s">
        <v>697</v>
      </c>
      <c r="B10532" s="25" t="s">
        <v>86</v>
      </c>
      <c r="C10532" s="41" t="n">
        <f aca="false">Sens!$C$10519+Sens!$C$10520+Sens!$C$10521+Sens!$C$10522+Sens!$C$10523+Sens!$C$10524-(Sens!$C$10526+Sens!$C$10527)</f>
        <v>0</v>
      </c>
      <c r="D10532" s="41" t="n">
        <f aca="false">Sens!$D$10519+Sens!$D$10520+Sens!$D$10521+Sens!$D$10522+Sens!$D$10523+Sens!$D$10524-(Sens!$D$10526+Sens!$D$10527)</f>
        <v>0</v>
      </c>
      <c r="E10532" s="41" t="n">
        <f aca="false">Sens!$E$10519+Sens!$E$10520+Sens!$E$10521+Sens!$E$10522+Sens!$E$10523+Sens!$E$10524-(Sens!$E$10526+Sens!$E$10527)</f>
        <v>0</v>
      </c>
      <c r="F10532" s="41" t="n">
        <f aca="false">Sens!$F$10519+Sens!$F$10520+Sens!$F$10521+Sens!$F$10522+Sens!$F$10523+Sens!$F$10524-(Sens!$F$10526+Sens!$F$10527)</f>
        <v>0</v>
      </c>
      <c r="G10532" s="41" t="n">
        <f aca="false">Sens!$G$10519+Sens!$G$10520+Sens!$G$10521+Sens!$G$10522+Sens!$G$10523+Sens!$G$10524-(Sens!$G$10526+Sens!$G$10527)</f>
        <v>0</v>
      </c>
      <c r="H10532" s="41" t="n">
        <f aca="false">Sens!$H$10519+Sens!$H$10520+Sens!$H$10521+Sens!$H$10522+Sens!$H$10523+Sens!$H$10524-(Sens!$H$10526+Sens!$H$10527)</f>
        <v>0</v>
      </c>
      <c r="I10532" s="41" t="n">
        <f aca="false">Sens!$I$10519+Sens!$I$10520+Sens!$I$10521+Sens!$I$10522+Sens!$I$10523+Sens!$I$10524-(Sens!$I$10526+Sens!$I$10527)</f>
        <v>0</v>
      </c>
      <c r="J10532" s="41" t="n">
        <f aca="false">Sens!$J$10519+Sens!$J$10520+Sens!$J$10521+Sens!$J$10522+Sens!$J$10523+Sens!$J$10524-(Sens!$J$10526+Sens!$J$10527)</f>
        <v>0</v>
      </c>
      <c r="K10532" s="41" t="n">
        <f aca="false">Sens!$K$10519+Sens!$K$10520+Sens!$K$10521+Sens!$K$10522+Sens!$K$10523+Sens!$K$10524-(Sens!$K$10526+Sens!$K$10527)</f>
        <v>0</v>
      </c>
      <c r="L10532" s="41" t="n">
        <f aca="false">Sens!$L$10519+Sens!$L$10520+Sens!$L$10521+Sens!$L$10522+Sens!$L$10523+Sens!$L$10524-(Sens!$L$10526+Sens!$L$10527)</f>
        <v>0</v>
      </c>
      <c r="M10532" s="41" t="n">
        <f aca="false">Sens!$M$10519+Sens!$M$10520+Sens!$M$10521+Sens!$M$10522+Sens!$M$10523+Sens!$M$10524-(Sens!$M$10526+Sens!$M$10527)</f>
        <v>0</v>
      </c>
      <c r="N10532" s="41" t="n">
        <f aca="false">Sens!$N$10519+Sens!$N$10520+Sens!$N$10521+Sens!$N$10522+Sens!$N$10523+Sens!$N$10524-(Sens!$N$10526+Sens!$N$10527)</f>
        <v>0</v>
      </c>
      <c r="O10532" s="41" t="n">
        <f aca="false">Sens!$O$10519+Sens!$O$10520+Sens!$O$10521+Sens!$O$10522+Sens!$O$10523+Sens!$O$10524-(Sens!$O$10526+Sens!$O$10527)</f>
        <v>0</v>
      </c>
    </row>
    <row r="10533" customFormat="false" ht="17.15" hidden="false" customHeight="false" outlineLevel="0" collapsed="false">
      <c r="A10533" s="24" t="s">
        <v>698</v>
      </c>
      <c r="B10533" s="25" t="s">
        <v>86</v>
      </c>
      <c r="C10533" s="41" t="n">
        <f aca="false">Sens!$C$10529+Sens!$C$10530-Sens!$C$10528</f>
        <v>0</v>
      </c>
      <c r="D10533" s="41" t="n">
        <f aca="false">Sens!$D$10529+Sens!$D$10530-Sens!$D$10528</f>
        <v>0</v>
      </c>
      <c r="E10533" s="41" t="n">
        <f aca="false">Sens!$E$10529+Sens!$E$10530-Sens!$E$10528</f>
        <v>0</v>
      </c>
      <c r="F10533" s="41" t="n">
        <f aca="false">Sens!$F$10529+Sens!$F$10530-Sens!$F$10528</f>
        <v>0</v>
      </c>
      <c r="G10533" s="41" t="n">
        <f aca="false">Sens!$G$10529+Sens!$G$10530-Sens!$G$10528</f>
        <v>0</v>
      </c>
      <c r="H10533" s="41" t="n">
        <f aca="false">Sens!$H$10529+Sens!$H$10530-Sens!$H$10528</f>
        <v>0</v>
      </c>
      <c r="I10533" s="41" t="n">
        <f aca="false">Sens!$I$10529+Sens!$I$10530-Sens!$I$10528</f>
        <v>0</v>
      </c>
      <c r="J10533" s="41" t="n">
        <f aca="false">Sens!$J$10529+Sens!$J$10530-Sens!$J$10528</f>
        <v>0</v>
      </c>
      <c r="K10533" s="41" t="n">
        <f aca="false">Sens!$K$10529+Sens!$K$10530-Sens!$K$10528</f>
        <v>0</v>
      </c>
      <c r="L10533" s="41" t="n">
        <f aca="false">Sens!$L$10529+Sens!$L$10530-Sens!$L$10528</f>
        <v>0</v>
      </c>
      <c r="M10533" s="41" t="n">
        <f aca="false">Sens!$M$10529+Sens!$M$10530-Sens!$M$10528</f>
        <v>0</v>
      </c>
      <c r="N10533" s="41" t="n">
        <f aca="false">Sens!$N$10529+Sens!$N$10530-Sens!$N$10528</f>
        <v>0</v>
      </c>
      <c r="O10533" s="41" t="n">
        <f aca="false">Sens!$O$10529+Sens!$O$10530-Sens!$O$10528</f>
        <v>0</v>
      </c>
    </row>
    <row r="10534" customFormat="false" ht="17.15" hidden="false" customHeight="false" outlineLevel="0" collapsed="false">
      <c r="A10534" s="24" t="s">
        <v>757</v>
      </c>
      <c r="B10534" s="25" t="s">
        <v>86</v>
      </c>
      <c r="C10534" s="41" t="n">
        <f aca="false">Sens!$C$10519+Sens!$C$10520+Sens!$C$10521+Sens!$C$10522+Sens!$C$10523+Sens!$C$10524+Sens!$C$10525-Sens!$C$10531</f>
        <v>0</v>
      </c>
      <c r="D10534" s="41" t="n">
        <f aca="false">Sens!$D$10519+Sens!$D$10520+Sens!$D$10521+Sens!$D$10522+Sens!$D$10523+Sens!$D$10524+Sens!$D$10525-Sens!$D$10531</f>
        <v>0</v>
      </c>
      <c r="E10534" s="41" t="n">
        <f aca="false">Sens!$E$10519+Sens!$E$10520+Sens!$E$10521+Sens!$E$10522+Sens!$E$10523+Sens!$E$10524+Sens!$E$10525-Sens!$E$10531</f>
        <v>0</v>
      </c>
      <c r="F10534" s="41" t="n">
        <f aca="false">Sens!$F$10519+Sens!$F$10520+Sens!$F$10521+Sens!$F$10522+Sens!$F$10523+Sens!$F$10524+Sens!$F$10525-Sens!$F$10531</f>
        <v>0</v>
      </c>
      <c r="G10534" s="41" t="n">
        <f aca="false">Sens!$G$10519+Sens!$G$10520+Sens!$G$10521+Sens!$G$10522+Sens!$G$10523+Sens!$G$10524+Sens!$G$10525-Sens!$G$10531</f>
        <v>0</v>
      </c>
      <c r="H10534" s="41" t="n">
        <f aca="false">Sens!$H$10519+Sens!$H$10520+Sens!$H$10521+Sens!$H$10522+Sens!$H$10523+Sens!$H$10524+Sens!$H$10525-Sens!$H$10531</f>
        <v>0</v>
      </c>
      <c r="I10534" s="41" t="n">
        <f aca="false">Sens!$I$10519+Sens!$I$10520+Sens!$I$10521+Sens!$I$10522+Sens!$I$10523+Sens!$I$10524+Sens!$I$10525-Sens!$I$10531</f>
        <v>0</v>
      </c>
      <c r="J10534" s="41" t="n">
        <f aca="false">Sens!$J$10519+Sens!$J$10520+Sens!$J$10521+Sens!$J$10522+Sens!$J$10523+Sens!$J$10524+Sens!$J$10525-Sens!$J$10531</f>
        <v>0</v>
      </c>
      <c r="K10534" s="41" t="n">
        <f aca="false">Sens!$K$10519+Sens!$K$10520+Sens!$K$10521+Sens!$K$10522+Sens!$K$10523+Sens!$K$10524+Sens!$K$10525-Sens!$K$10531</f>
        <v>0</v>
      </c>
      <c r="L10534" s="41" t="n">
        <f aca="false">Sens!$L$10519+Sens!$L$10520+Sens!$L$10521+Sens!$L$10522+Sens!$L$10523+Sens!$L$10524+Sens!$L$10525-Sens!$L$10531</f>
        <v>0</v>
      </c>
      <c r="M10534" s="41" t="n">
        <f aca="false">Sens!$M$10519+Sens!$M$10520+Sens!$M$10521+Sens!$M$10522+Sens!$M$10523+Sens!$M$10524+Sens!$M$10525-Sens!$M$10531</f>
        <v>0</v>
      </c>
      <c r="N10534" s="41" t="n">
        <f aca="false">Sens!$N$10519+Sens!$N$10520+Sens!$N$10521+Sens!$N$10522+Sens!$N$10523+Sens!$N$10524+Sens!$N$10525-Sens!$N$10531</f>
        <v>0</v>
      </c>
      <c r="O10534" s="41" t="n">
        <f aca="false">Sens!$O$10519+Sens!$O$10520+Sens!$O$10521+Sens!$O$10522+Sens!$O$10523+Sens!$O$10524+Sens!$O$10525-Sens!$O$10531</f>
        <v>0</v>
      </c>
    </row>
    <row r="10535" customFormat="false" ht="17.15" hidden="false" customHeight="false" outlineLevel="0" collapsed="false">
      <c r="A10535" s="24" t="s">
        <v>699</v>
      </c>
      <c r="B10535" s="25" t="s">
        <v>86</v>
      </c>
      <c r="C10535" s="41" t="n">
        <f aca="false">Sens!$C$10526+Sens!$C$10527+Sens!$C$10528-Sens!$C$10531</f>
        <v>0</v>
      </c>
      <c r="D10535" s="41" t="n">
        <f aca="false">Sens!$D$10526+Sens!$D$10527+Sens!$D$10528-Sens!$D$10531</f>
        <v>0</v>
      </c>
      <c r="E10535" s="41" t="n">
        <f aca="false">Sens!$E$10526+Sens!$E$10527+Sens!$E$10528-Sens!$E$10531</f>
        <v>0</v>
      </c>
      <c r="F10535" s="41" t="n">
        <f aca="false">Sens!$F$10526+Sens!$F$10527+Sens!$F$10528-Sens!$F$10531</f>
        <v>0</v>
      </c>
      <c r="G10535" s="41" t="n">
        <f aca="false">Sens!$G$10526+Sens!$G$10527+Sens!$G$10528-Sens!$G$10531</f>
        <v>0</v>
      </c>
      <c r="H10535" s="41" t="n">
        <f aca="false">Sens!$H$10526+Sens!$H$10527+Sens!$H$10528-Sens!$H$10531</f>
        <v>0</v>
      </c>
      <c r="I10535" s="41" t="n">
        <f aca="false">Sens!$I$10526+Sens!$I$10527+Sens!$I$10528-Sens!$I$10531</f>
        <v>0</v>
      </c>
      <c r="J10535" s="41" t="n">
        <f aca="false">Sens!$J$10526+Sens!$J$10527+Sens!$J$10528-Sens!$J$10531</f>
        <v>0</v>
      </c>
      <c r="K10535" s="41" t="n">
        <f aca="false">Sens!$K$10526+Sens!$K$10527+Sens!$K$10528-Sens!$K$10531</f>
        <v>0</v>
      </c>
      <c r="L10535" s="41" t="n">
        <f aca="false">Sens!$L$10526+Sens!$L$10527+Sens!$L$10528-Sens!$L$10531</f>
        <v>0</v>
      </c>
      <c r="M10535" s="41" t="n">
        <f aca="false">Sens!$M$10526+Sens!$M$10527+Sens!$M$10528-Sens!$M$10531</f>
        <v>0</v>
      </c>
      <c r="N10535" s="41" t="n">
        <f aca="false">Sens!$N$10526+Sens!$N$10527+Sens!$N$10528-Sens!$N$10531</f>
        <v>0</v>
      </c>
      <c r="O10535" s="41" t="n">
        <f aca="false">Sens!$O$10526+Sens!$O$10527+Sens!$O$10528-Sens!$O$10531</f>
        <v>0</v>
      </c>
    </row>
    <row r="10536" customFormat="false" ht="17.15" hidden="false" customHeight="false" outlineLevel="0" collapsed="false">
      <c r="A10536" s="1" t="s">
        <v>713</v>
      </c>
    </row>
    <row r="10537" customFormat="false" ht="17.15" hidden="false" customHeight="false" outlineLevel="0" collapsed="false">
      <c r="A10537" s="0" t="s">
        <v>714</v>
      </c>
      <c r="B10537" s="0" t="s">
        <v>86</v>
      </c>
      <c r="C10537" s="38" t="n">
        <f aca="false">Sens!$C$10443*m_ad</f>
        <v>20.5341564414228</v>
      </c>
      <c r="D10537" s="38" t="n">
        <f aca="false">Sens!$D$10443*m_ad</f>
        <v>24.8720617299587</v>
      </c>
      <c r="E10537" s="38" t="n">
        <f aca="false">Sens!$E$10443*m_ad</f>
        <v>13.5017112462207</v>
      </c>
      <c r="F10537" s="38" t="n">
        <f aca="false">Sens!$F$10443*m_ad</f>
        <v>16.5719724165257</v>
      </c>
      <c r="G10537" s="38" t="n">
        <f aca="false">Sens!$G$10443*m_ad</f>
        <v>30.0820919220415</v>
      </c>
      <c r="H10537" s="38" t="n">
        <f aca="false">Sens!$H$10443*m_ad</f>
        <v>36.1150883276314</v>
      </c>
      <c r="I10537" s="38" t="n">
        <f aca="false">Sens!$I$10443*m_ad</f>
        <v>42.1475382231996</v>
      </c>
      <c r="J10537" s="38" t="n">
        <f aca="false">Sens!$J$10443*m_ad</f>
        <v>47.7749523864693</v>
      </c>
      <c r="K10537" s="38" t="n">
        <f aca="false">Sens!$K$10443*m_ad</f>
        <v>52.5524476251162</v>
      </c>
      <c r="L10537" s="38" t="n">
        <f aca="false">Sens!$L$10443*m_ad</f>
        <v>57.8076923876279</v>
      </c>
      <c r="M10537" s="38" t="n">
        <f aca="false">Sens!$M$10443*m_ad</f>
        <v>63.5884616263907</v>
      </c>
      <c r="N10537" s="38" t="n">
        <f aca="false">Sens!$N$10443*m_ad</f>
        <v>10.8543555706248</v>
      </c>
      <c r="O10537" s="38" t="n">
        <f aca="false">Sens!$O$10443*m_ad</f>
        <v>14.0094731821399</v>
      </c>
    </row>
    <row r="10538" customFormat="false" ht="17.15" hidden="false" customHeight="false" outlineLevel="0" collapsed="false">
      <c r="A10538" s="0" t="s">
        <v>715</v>
      </c>
      <c r="B10538" s="0" t="s">
        <v>86</v>
      </c>
      <c r="C10538" s="38" t="n">
        <f aca="false">Sens!$C$10441-Sens!$C$10443</f>
        <v>346.428687117154</v>
      </c>
      <c r="D10538" s="38" t="n">
        <f aca="false">Sens!$D$10441-Sens!$D$10443</f>
        <v>376.560876540083</v>
      </c>
      <c r="E10538" s="38" t="n">
        <f aca="false">Sens!$E$10441-Sens!$E$10443</f>
        <v>193.316577507559</v>
      </c>
      <c r="F10538" s="38" t="n">
        <f aca="false">Sens!$F$10441-Sens!$F$10443</f>
        <v>217.495828647535</v>
      </c>
      <c r="G10538" s="38" t="n">
        <f aca="false">Sens!$G$10441-Sens!$G$10443</f>
        <v>410.795589636503</v>
      </c>
      <c r="H10538" s="38" t="n">
        <f aca="false">Sens!$H$10441-Sens!$H$10443</f>
        <v>449.156813761174</v>
      </c>
      <c r="I10538" s="38" t="n">
        <f aca="false">Sens!$I$10441-Sens!$I$10443</f>
        <v>485.848786441156</v>
      </c>
      <c r="J10538" s="38" t="n">
        <f aca="false">Sens!$J$10441-Sens!$J$10443</f>
        <v>519.841531018994</v>
      </c>
      <c r="K10538" s="38" t="n">
        <f aca="false">Sens!$K$10441-Sens!$K$10443</f>
        <v>550.103332311311</v>
      </c>
      <c r="L10538" s="38" t="n">
        <f aca="false">Sens!$L$10441-Sens!$L$10443</f>
        <v>582.192354474511</v>
      </c>
      <c r="M10538" s="38" t="n">
        <f aca="false">Sens!$M$10441-Sens!$M$10443</f>
        <v>616.22240521081</v>
      </c>
      <c r="N10538" s="38" t="n">
        <f aca="false">Sens!$N$10441-Sens!$N$10443</f>
        <v>171.24628885875</v>
      </c>
      <c r="O10538" s="38" t="n">
        <f aca="false">Sens!$O$10441-Sens!$O$10443</f>
        <v>205.33105363572</v>
      </c>
    </row>
    <row r="10539" customFormat="false" ht="17.15" hidden="false" customHeight="false" outlineLevel="0" collapsed="false">
      <c r="A10539" s="0" t="s">
        <v>716</v>
      </c>
      <c r="B10539" s="0" t="s">
        <v>86</v>
      </c>
      <c r="C10539" s="38" t="n">
        <f aca="false">Sens!$C$10490*Sens!$C$10440</f>
        <v>0.123617442257179</v>
      </c>
      <c r="D10539" s="38" t="n">
        <f aca="false">Sens!$D$10490*Sens!$D$10440</f>
        <v>0.874366899302609</v>
      </c>
      <c r="E10539" s="38" t="n">
        <f aca="false">Sens!$E$10490*Sens!$E$10440</f>
        <v>1.29318830502574</v>
      </c>
      <c r="F10539" s="38" t="n">
        <f aca="false">Sens!$F$10490*Sens!$F$10440</f>
        <v>1.51802024162534</v>
      </c>
      <c r="G10539" s="38" t="n">
        <f aca="false">Sens!$G$10490*Sens!$G$10440</f>
        <v>2.81153363597665</v>
      </c>
      <c r="H10539" s="38" t="n">
        <f aca="false">Sens!$H$10490*Sens!$H$10440</f>
        <v>7.39027704264226</v>
      </c>
      <c r="I10539" s="38" t="n">
        <f aca="false">Sens!$I$10490*Sens!$I$10440</f>
        <v>12.899807643047</v>
      </c>
      <c r="J10539" s="38" t="n">
        <f aca="false">Sens!$J$10490*Sens!$J$10440</f>
        <v>18.5585322471382</v>
      </c>
      <c r="K10539" s="38" t="n">
        <f aca="false">Sens!$K$10490*Sens!$K$10440</f>
        <v>24.0966749520672</v>
      </c>
      <c r="L10539" s="38" t="n">
        <f aca="false">Sens!$L$10490*Sens!$L$10440</f>
        <v>27.686623551477</v>
      </c>
      <c r="M10539" s="38" t="n">
        <f aca="false">Sens!$M$10490*Sens!$M$10440</f>
        <v>29.7238645537022</v>
      </c>
      <c r="N10539" s="38" t="n">
        <f aca="false">Sens!$N$10490*Sens!$N$10440</f>
        <v>0.389180508437431</v>
      </c>
      <c r="O10539" s="38" t="n">
        <f aca="false">Sens!$O$10490*Sens!$O$10440</f>
        <v>0.485052120082802</v>
      </c>
    </row>
    <row r="10540" customFormat="false" ht="17.15" hidden="false" customHeight="false" outlineLevel="0" collapsed="false">
      <c r="A10540" s="0" t="s">
        <v>717</v>
      </c>
      <c r="B10540" s="0" t="s">
        <v>52</v>
      </c>
      <c r="C10540" s="28" t="n">
        <f aca="false">(Sens!$C$10541-Sens!$C$10537+Sens!$C$10539)/Sens!$C$10538</f>
        <v>0.0131526665379575</v>
      </c>
      <c r="D10540" s="28" t="n">
        <f aca="false">(Sens!$D$10541-Sens!$D$10537+Sens!$D$10539)/Sens!$D$10538</f>
        <v>0.0149280116962589</v>
      </c>
      <c r="E10540" s="28" t="n">
        <f aca="false">(Sens!$E$10541-Sens!$E$10537+Sens!$E$10539)/Sens!$E$10538</f>
        <v>0.0268030663774938</v>
      </c>
      <c r="F10540" s="28" t="n">
        <f aca="false">Sens!$O$10540+(Sens!$E$10540-Sens!$N$10540)</f>
        <v>0.0232379346966962</v>
      </c>
      <c r="G10540" s="28" t="n">
        <f aca="false">(Sens!$G$10541-Sens!$G$10537+Sens!$G$10539)/Sens!$G$10538</f>
        <v>0.0248969268652583</v>
      </c>
      <c r="H10540" s="28" t="n">
        <f aca="false">Sens!$G$10540+step_na</f>
        <v>0.0278969268652583</v>
      </c>
      <c r="I10540" s="28" t="n">
        <f aca="false">Sens!$H$10540+step_na</f>
        <v>0.0308969268652583</v>
      </c>
      <c r="J10540" s="28" t="n">
        <f aca="false">Sens!$I$10540+step_na</f>
        <v>0.0338969268652583</v>
      </c>
      <c r="K10540" s="28" t="n">
        <f aca="false">Sens!$J$10540+step_na</f>
        <v>0.0368969268652584</v>
      </c>
      <c r="L10540" s="28" t="n">
        <f aca="false">Sens!$K$10540</f>
        <v>0.0368969268652584</v>
      </c>
      <c r="M10540" s="28" t="n">
        <f aca="false">Sens!$L$10540</f>
        <v>0.0368969268652584</v>
      </c>
      <c r="N10540" s="28" t="n">
        <f aca="false">(Sens!$N$10541-Sens!$N$10537+Sens!$N$10539)/Sens!$N$10538</f>
        <v>0.0168927744775755</v>
      </c>
      <c r="O10540" s="28" t="n">
        <f aca="false">(Sens!$O$10541-Sens!$O$10537+Sens!$O$10539)/Sens!$O$10538</f>
        <v>0.0133276427967779</v>
      </c>
      <c r="P10540" s="8" t="s">
        <v>718</v>
      </c>
    </row>
    <row r="10541" customFormat="false" ht="17.15" hidden="false" customHeight="false" outlineLevel="0" collapsed="false">
      <c r="A10541" s="1" t="s">
        <v>719</v>
      </c>
      <c r="B10541" s="8" t="s">
        <v>86</v>
      </c>
      <c r="C10541" s="38" t="n">
        <f aca="false">Q!$D$22</f>
        <v>24.967</v>
      </c>
      <c r="D10541" s="38" t="n">
        <f aca="false">Q!$E$22</f>
        <v>29.619</v>
      </c>
      <c r="E10541" s="38" t="n">
        <f aca="false">Q!$P$22</f>
        <v>17.39</v>
      </c>
      <c r="F10541" s="38" t="n">
        <f aca="false">Sens!$F$10537+Sens!$F$10538*Sens!$F$10540-Sens!$F$10539</f>
        <v>20.1081060378156</v>
      </c>
      <c r="G10541" s="38" t="n">
        <f aca="false">Sens!$E$10541+Sens!$F$10541</f>
        <v>37.4981060378156</v>
      </c>
      <c r="H10541" s="38" t="n">
        <f aca="false">Sens!$H$10537+Sens!$H$10538*Sens!$H$10540-Sens!$H$10539</f>
        <v>41.2549060695171</v>
      </c>
      <c r="I10541" s="38" t="n">
        <f aca="false">Sens!$I$10537+Sens!$I$10538*Sens!$I$10540-Sens!$I$10539</f>
        <v>44.2589650023995</v>
      </c>
      <c r="J10541" s="38" t="n">
        <f aca="false">Sens!$J$10537+Sens!$J$10538*Sens!$J$10540-Sens!$J$10539</f>
        <v>46.8374504978059</v>
      </c>
      <c r="K10541" s="38" t="n">
        <f aca="false">Sens!$K$10537+Sens!$K$10538*Sens!$K$10540-Sens!$K$10539</f>
        <v>48.7528950936744</v>
      </c>
      <c r="L10541" s="38" t="n">
        <f aca="false">Sens!$L$10537+Sens!$L$10538*Sens!$L$10540-Sens!$L$10539</f>
        <v>51.6021775607095</v>
      </c>
      <c r="M10541" s="38" t="n">
        <f aca="false">Sens!$M$10537+Sens!$M$10538*Sens!$M$10540-Sens!$M$10539</f>
        <v>56.6013100904853</v>
      </c>
      <c r="N10541" s="38" t="n">
        <f aca="false">Q!$N$22</f>
        <v>13.358</v>
      </c>
      <c r="O10541" s="38" t="n">
        <f aca="false">Q!$O$22</f>
        <v>16.261</v>
      </c>
    </row>
    <row r="10542" customFormat="false" ht="17.15" hidden="false" customHeight="false" outlineLevel="0" collapsed="false">
      <c r="A10542" s="0" t="s">
        <v>720</v>
      </c>
      <c r="B10542" s="0" t="s">
        <v>86</v>
      </c>
      <c r="C10542" s="38" t="n">
        <f aca="false">Sens!$C$10444*m_ad</f>
        <v>7.57284355857716</v>
      </c>
      <c r="D10542" s="38" t="n">
        <f aca="false">Sens!$D$10444*m_ad</f>
        <v>9.44543827004127</v>
      </c>
      <c r="E10542" s="38" t="n">
        <f aca="false">Sens!$E$10444*m_ad</f>
        <v>5.02428875377928</v>
      </c>
      <c r="F10542" s="38" t="n">
        <f aca="false">Sens!$F$10444*m_ad</f>
        <v>6.50663858068173</v>
      </c>
      <c r="G10542" s="38" t="n">
        <f aca="false">Sens!$G$10444*m_ad</f>
        <v>11.5225190751659</v>
      </c>
      <c r="H10542" s="38" t="n">
        <f aca="false">Sens!$H$10444*m_ad</f>
        <v>13.8333728663174</v>
      </c>
      <c r="I10542" s="38" t="n">
        <f aca="false">Sens!$I$10444*m_ad</f>
        <v>16.1440173245485</v>
      </c>
      <c r="J10542" s="38" t="n">
        <f aca="false">Sens!$J$10444*m_ad</f>
        <v>18.2995185845066</v>
      </c>
      <c r="K10542" s="38" t="n">
        <f aca="false">Sens!$K$10444*m_ad</f>
        <v>20.1294704429572</v>
      </c>
      <c r="L10542" s="38" t="n">
        <f aca="false">Sens!$L$10444*m_ad</f>
        <v>22.142417487253</v>
      </c>
      <c r="M10542" s="38" t="n">
        <f aca="false">Sens!$M$10444*m_ad</f>
        <v>24.3566592359783</v>
      </c>
      <c r="N10542" s="38" t="n">
        <f aca="false">Sens!$N$10444*m_ad</f>
        <v>3.95314442937518</v>
      </c>
      <c r="O10542" s="38" t="n">
        <f aca="false">Sens!$O$10444*m_ad</f>
        <v>5.50052681786011</v>
      </c>
    </row>
    <row r="10543" customFormat="false" ht="17.15" hidden="false" customHeight="false" outlineLevel="0" collapsed="false">
      <c r="A10543" s="0" t="s">
        <v>721</v>
      </c>
      <c r="B10543" s="0" t="s">
        <v>86</v>
      </c>
      <c r="C10543" s="38" t="n">
        <f aca="false">Sens!$C$10442-Sens!$C$10444</f>
        <v>127.760312882846</v>
      </c>
      <c r="D10543" s="38" t="n">
        <f aca="false">Sens!$D$10442-Sens!$D$10444</f>
        <v>143.003123459917</v>
      </c>
      <c r="E10543" s="38" t="n">
        <f aca="false">Sens!$E$10442-Sens!$E$10444</f>
        <v>71.9374224924414</v>
      </c>
      <c r="F10543" s="38" t="n">
        <f aca="false">Sens!$F$10442-Sens!$F$10444</f>
        <v>85.3951910035875</v>
      </c>
      <c r="G10543" s="38" t="n">
        <f aca="false">Sens!$G$10442-Sens!$G$10444</f>
        <v>157.349430014619</v>
      </c>
      <c r="H10543" s="38" t="n">
        <f aca="false">Sens!$H$10442-Sens!$H$10444</f>
        <v>172.043153372315</v>
      </c>
      <c r="I10543" s="38" t="n">
        <f aca="false">Sens!$I$10442-Sens!$I$10444</f>
        <v>186.097493615879</v>
      </c>
      <c r="J10543" s="38" t="n">
        <f aca="false">Sens!$J$10442-Sens!$J$10444</f>
        <v>199.117932780497</v>
      </c>
      <c r="K10543" s="38" t="n">
        <f aca="false">Sens!$K$10442-Sens!$K$10444</f>
        <v>210.70928698363</v>
      </c>
      <c r="L10543" s="38" t="n">
        <f aca="false">Sens!$L$10442-Sens!$L$10444</f>
        <v>223.000532251316</v>
      </c>
      <c r="M10543" s="38" t="n">
        <f aca="false">Sens!$M$10442-Sens!$M$10444</f>
        <v>236.035261011339</v>
      </c>
      <c r="N10543" s="38" t="n">
        <f aca="false">Sens!$N$10442-Sens!$N$10444</f>
        <v>62.3677111412496</v>
      </c>
      <c r="O10543" s="38" t="n">
        <f aca="false">Sens!$O$10442-Sens!$O$10444</f>
        <v>80.6189463642798</v>
      </c>
    </row>
    <row r="10544" customFormat="false" ht="17.15" hidden="false" customHeight="false" outlineLevel="0" collapsed="false">
      <c r="A10544" s="0" t="s">
        <v>722</v>
      </c>
      <c r="B10544" s="0" t="s">
        <v>86</v>
      </c>
      <c r="C10544" s="38" t="n">
        <f aca="false">Sens!$C$10490*(1-Sens!$C$10440)</f>
        <v>0.0455891896019953</v>
      </c>
      <c r="D10544" s="38" t="n">
        <f aca="false">Sens!$D$10490*(1-Sens!$D$10440)</f>
        <v>0.332050421167231</v>
      </c>
      <c r="E10544" s="38" t="n">
        <f aca="false">Sens!$E$10490*(1-Sens!$E$10440)</f>
        <v>0.481224293644882</v>
      </c>
      <c r="F10544" s="38" t="n">
        <f aca="false">Sens!$F$10490*(1-Sens!$F$10440)</f>
        <v>0.596018918096053</v>
      </c>
      <c r="G10544" s="38" t="n">
        <f aca="false">Sens!$G$10490*(1-Sens!$G$10440)</f>
        <v>1.07691812241537</v>
      </c>
      <c r="H10544" s="38" t="n">
        <f aca="false">Sens!$H$10490*(1-Sens!$H$10440)</f>
        <v>2.83074090775622</v>
      </c>
      <c r="I10544" s="38" t="n">
        <f aca="false">Sens!$I$10490*(1-Sens!$I$10440)</f>
        <v>4.94108853926048</v>
      </c>
      <c r="J10544" s="38" t="n">
        <f aca="false">Sens!$J$10490*(1-Sens!$J$10440)</f>
        <v>7.10858281993502</v>
      </c>
      <c r="K10544" s="38" t="n">
        <f aca="false">Sens!$K$10490*(1-Sens!$K$10440)</f>
        <v>9.2298899126701</v>
      </c>
      <c r="L10544" s="38" t="n">
        <f aca="false">Sens!$L$10490*(1-Sens!$L$10440)</f>
        <v>10.6049688574045</v>
      </c>
      <c r="M10544" s="38" t="n">
        <f aca="false">Sens!$M$10490*(1-Sens!$M$10440)</f>
        <v>11.3853051574758</v>
      </c>
      <c r="N10544" s="38" t="n">
        <f aca="false">Sens!$N$10490*(1-Sens!$N$10440)</f>
        <v>0.141739115596548</v>
      </c>
      <c r="O10544" s="38" t="n">
        <f aca="false">Sens!$O$10490*(1-Sens!$O$10440)</f>
        <v>0.190445576353059</v>
      </c>
    </row>
    <row r="10545" customFormat="false" ht="17.15" hidden="false" customHeight="false" outlineLevel="0" collapsed="false">
      <c r="A10545" s="0" t="s">
        <v>723</v>
      </c>
      <c r="B10545" s="0" t="s">
        <v>52</v>
      </c>
      <c r="C10545" s="28" t="n">
        <f aca="false">(Sens!$C$10546-Sens!$C$10542+Sens!$C$10544)/Sens!$C$10543</f>
        <v>-0.0292364215826579</v>
      </c>
      <c r="D10545" s="28" t="n">
        <f aca="false">(Sens!$D$10546-Sens!$D$10542+Sens!$D$10544)/Sens!$D$10543</f>
        <v>-0.0305125352740778</v>
      </c>
      <c r="E10545" s="28" t="n">
        <f aca="false">(Sens!$E$10546-Sens!$E$10542+Sens!$E$10544)/Sens!$E$10543</f>
        <v>-0.019490056934994</v>
      </c>
      <c r="F10545" s="28" t="n">
        <f aca="false">Sens!$O$10545+(Sens!$E$10545-Sens!$N$10545)</f>
        <v>-0.0367332293992226</v>
      </c>
      <c r="G10545" s="28" t="n">
        <f aca="false">(Sens!$G$10546-Sens!$G$10542+Sens!$G$10544)/Sens!$G$10543</f>
        <v>-0.0287946542321067</v>
      </c>
      <c r="H10545" s="28" t="n">
        <f aca="false">Sens!$G$10545+step_in</f>
        <v>-0.0287946542321067</v>
      </c>
      <c r="I10545" s="28" t="n">
        <f aca="false">Sens!$H$10545+step_in</f>
        <v>-0.0287946542321067</v>
      </c>
      <c r="J10545" s="28" t="n">
        <f aca="false">Sens!$I$10545+step_in</f>
        <v>-0.0287946542321067</v>
      </c>
      <c r="K10545" s="28" t="n">
        <f aca="false">Sens!$J$10545+step_in</f>
        <v>-0.0287946542321067</v>
      </c>
      <c r="L10545" s="28" t="n">
        <f aca="false">Sens!$K$10545</f>
        <v>-0.0287946542321067</v>
      </c>
      <c r="M10545" s="28" t="n">
        <f aca="false">Sens!$L$10545</f>
        <v>-0.0287946542321067</v>
      </c>
      <c r="N10545" s="28" t="n">
        <f aca="false">(Sens!$N$10546-Sens!$N$10542+Sens!$N$10544)/Sens!$N$10543</f>
        <v>-0.02085061789158</v>
      </c>
      <c r="O10545" s="28" t="n">
        <f aca="false">(Sens!$O$10546-Sens!$O$10542+Sens!$O$10544)/Sens!$O$10543</f>
        <v>-0.0380937903558086</v>
      </c>
      <c r="P10545" s="8" t="s">
        <v>718</v>
      </c>
    </row>
    <row r="10546" customFormat="false" ht="17.15" hidden="false" customHeight="false" outlineLevel="0" collapsed="false">
      <c r="A10546" s="1" t="s">
        <v>724</v>
      </c>
      <c r="B10546" s="8" t="s">
        <v>86</v>
      </c>
      <c r="C10546" s="38" t="n">
        <f aca="false">Q!$D$23</f>
        <v>3.792</v>
      </c>
      <c r="D10546" s="38" t="n">
        <f aca="false">Q!$E$23</f>
        <v>4.75</v>
      </c>
      <c r="E10546" s="38" t="n">
        <f aca="false">Q!$P$23</f>
        <v>3.141</v>
      </c>
      <c r="F10546" s="38" t="n">
        <f aca="false">Sens!$F$10542+Sens!$F$10543*Sens!$F$10545-Sens!$F$10544</f>
        <v>2.77377852186047</v>
      </c>
      <c r="G10546" s="38" t="n">
        <f aca="false">Sens!$E$10546+Sens!$F$10546</f>
        <v>5.91477852186047</v>
      </c>
      <c r="H10546" s="38" t="n">
        <f aca="false">Sens!$H$10542+Sens!$H$10543*Sens!$H$10545-Sens!$H$10544</f>
        <v>6.04870884420403</v>
      </c>
      <c r="I10546" s="38" t="n">
        <f aca="false">Sens!$I$10542+Sens!$I$10543*Sens!$I$10545-Sens!$I$10544</f>
        <v>5.84431580315713</v>
      </c>
      <c r="J10546" s="38" t="n">
        <f aca="false">Sens!$J$10542+Sens!$J$10543*Sens!$J$10545-Sens!$J$10544</f>
        <v>5.45740373874528</v>
      </c>
      <c r="K10546" s="38" t="n">
        <f aca="false">Sens!$K$10542+Sens!$K$10543*Sens!$K$10545-Sens!$K$10544</f>
        <v>4.83227946809976</v>
      </c>
      <c r="L10546" s="38" t="n">
        <f aca="false">Sens!$L$10542+Sens!$L$10543*Sens!$L$10545-Sens!$L$10544</f>
        <v>5.11622541009601</v>
      </c>
      <c r="M10546" s="38" t="n">
        <f aca="false">Sens!$M$10542+Sens!$M$10543*Sens!$M$10545-Sens!$M$10544</f>
        <v>6.17480035109588</v>
      </c>
      <c r="N10546" s="38" t="n">
        <f aca="false">Q!$N$23</f>
        <v>2.511</v>
      </c>
      <c r="O10546" s="38" t="n">
        <f aca="false">Q!$O$23</f>
        <v>2.239</v>
      </c>
    </row>
    <row r="10547" customFormat="false" ht="17.15" hidden="false" customHeight="false" outlineLevel="0" collapsed="false">
      <c r="A10547" s="0" t="s">
        <v>725</v>
      </c>
      <c r="B10547" s="0" t="s">
        <v>86</v>
      </c>
      <c r="C10547" s="38" t="n">
        <f aca="false">Sens!$C$10487</f>
        <v>1.64417882953695</v>
      </c>
      <c r="D10547" s="38" t="n">
        <f aca="false">Sens!$D$10487</f>
        <v>3.8781008067718</v>
      </c>
      <c r="E10547" s="38" t="n">
        <f aca="false">Sens!$E$10487</f>
        <v>1.41270258088753</v>
      </c>
      <c r="F10547" s="38" t="n">
        <f aca="false">Sens!$F$10487</f>
        <v>6.50727700583486</v>
      </c>
      <c r="G10547" s="38" t="n">
        <f aca="false">Sens!$G$10487</f>
        <v>7.9199795867224</v>
      </c>
      <c r="H10547" s="38" t="n">
        <f aca="false">Sens!$H$10487</f>
        <v>19.2818189481807</v>
      </c>
      <c r="I10547" s="38" t="n">
        <f aca="false">Sens!$I$10487</f>
        <v>30.140114407202</v>
      </c>
      <c r="J10547" s="38" t="n">
        <f aca="false">Sens!$J$10487</f>
        <v>40.3569468829854</v>
      </c>
      <c r="K10547" s="38" t="n">
        <f aca="false">Sens!$K$10487</f>
        <v>45.1418609242305</v>
      </c>
      <c r="L10547" s="38" t="n">
        <f aca="false">Sens!$L$10487</f>
        <v>48.5617321668703</v>
      </c>
      <c r="M10547" s="38" t="n">
        <f aca="false">Sens!$M$10487</f>
        <v>48.3987625241529</v>
      </c>
      <c r="N10547" s="38" t="n">
        <f aca="false">Sens!$N$10487</f>
        <v>0.92264103489199</v>
      </c>
      <c r="O10547" s="38" t="n">
        <f aca="false">Sens!$O$10487</f>
        <v>2.95545977187981</v>
      </c>
    </row>
    <row r="10548" customFormat="false" ht="17.15" hidden="false" customHeight="false" outlineLevel="0" collapsed="false">
      <c r="A10548" s="0" t="s">
        <v>643</v>
      </c>
      <c r="B10548" s="0" t="s">
        <v>86</v>
      </c>
      <c r="C10548" s="38" t="n">
        <f aca="false">Sens!$C$10492</f>
        <v>38.1898211704631</v>
      </c>
      <c r="D10548" s="38" t="n">
        <f aca="false">Sens!$D$10492</f>
        <v>41.7278991932282</v>
      </c>
      <c r="E10548" s="38" t="n">
        <f aca="false">Sens!$E$10492</f>
        <v>29.3692974191125</v>
      </c>
      <c r="F10548" s="38" t="n">
        <f aca="false">Sens!$F$10492</f>
        <v>26.8997276714137</v>
      </c>
      <c r="G10548" s="38" t="n">
        <f aca="false">Sens!$G$10492</f>
        <v>56.2690250905262</v>
      </c>
      <c r="H10548" s="38" t="n">
        <f aca="false">Sens!$H$10492</f>
        <v>60.3505333937343</v>
      </c>
      <c r="I10548" s="38" t="n">
        <f aca="false">Sens!$I$10492</f>
        <v>67.0043857303571</v>
      </c>
      <c r="J10548" s="38" t="n">
        <f aca="false">Sens!$J$10492</f>
        <v>73.3782922956925</v>
      </c>
      <c r="K10548" s="38" t="n">
        <f aca="false">Sens!$K$10492</f>
        <v>79.2485556793479</v>
      </c>
      <c r="L10548" s="38" t="n">
        <f aca="false">Sens!$L$10492</f>
        <v>85.5884401336958</v>
      </c>
      <c r="M10548" s="38" t="n">
        <f aca="false">Sens!$M$10492</f>
        <v>92.4355153443914</v>
      </c>
      <c r="N10548" s="38" t="n">
        <f aca="false">Sens!$N$10492</f>
        <v>20.784358965108</v>
      </c>
      <c r="O10548" s="38" t="n">
        <f aca="false">Sens!$O$10492</f>
        <v>20.9435402281202</v>
      </c>
    </row>
    <row r="10549" customFormat="false" ht="17.15" hidden="false" customHeight="false" outlineLevel="0" collapsed="false">
      <c r="A10549" s="1" t="s">
        <v>726</v>
      </c>
      <c r="B10549" s="8" t="s">
        <v>86</v>
      </c>
      <c r="C10549" s="38" t="n">
        <f aca="false">Q!$D$24</f>
        <v>39.834</v>
      </c>
      <c r="D10549" s="38" t="n">
        <f aca="false">Q!$E$24</f>
        <v>45.606</v>
      </c>
      <c r="E10549" s="38" t="n">
        <f aca="false">Q!$P$24</f>
        <v>30.782</v>
      </c>
      <c r="F10549" s="38" t="n">
        <f aca="false">Sens!$F$10547+Sens!$F$10548</f>
        <v>33.4070046772486</v>
      </c>
      <c r="G10549" s="38" t="n">
        <f aca="false">Sens!$G$10547+Sens!$G$10548</f>
        <v>64.1890046772486</v>
      </c>
      <c r="H10549" s="38" t="n">
        <f aca="false">Sens!$H$10547+Sens!$H$10548</f>
        <v>79.6323523419149</v>
      </c>
      <c r="I10549" s="38" t="n">
        <f aca="false">Sens!$I$10547+Sens!$I$10548</f>
        <v>97.1445001375591</v>
      </c>
      <c r="J10549" s="38" t="n">
        <f aca="false">Sens!$J$10547+Sens!$J$10548</f>
        <v>113.735239178678</v>
      </c>
      <c r="K10549" s="38" t="n">
        <f aca="false">Sens!$K$10547+Sens!$K$10548</f>
        <v>124.390416603578</v>
      </c>
      <c r="L10549" s="38" t="n">
        <f aca="false">Sens!$L$10547+Sens!$L$10548</f>
        <v>134.150172300566</v>
      </c>
      <c r="M10549" s="38" t="n">
        <f aca="false">Sens!$M$10547+Sens!$M$10548</f>
        <v>140.834277868544</v>
      </c>
      <c r="N10549" s="38" t="n">
        <f aca="false">Q!$N$24</f>
        <v>21.707</v>
      </c>
      <c r="O10549" s="38" t="n">
        <f aca="false">Q!$O$24</f>
        <v>23.899</v>
      </c>
    </row>
    <row r="10550" customFormat="false" ht="17.15" hidden="false" customHeight="false" outlineLevel="0" collapsed="false">
      <c r="A10550" s="5" t="s">
        <v>727</v>
      </c>
      <c r="B10550" s="0" t="s">
        <v>86</v>
      </c>
      <c r="C10550" s="38" t="n">
        <f aca="false">Q!$D$26</f>
        <v>0</v>
      </c>
      <c r="D10550" s="38" t="n">
        <f aca="false">Q!$E$26</f>
        <v>0</v>
      </c>
      <c r="E10550" s="38" t="n">
        <f aca="false">Q!$P$26</f>
        <v>0</v>
      </c>
      <c r="F10550" s="39" t="n">
        <v>0</v>
      </c>
      <c r="G10550" s="38" t="n">
        <f aca="false">Sens!$E$10550+Sens!$F$10550</f>
        <v>0</v>
      </c>
      <c r="H10550" s="39" t="n">
        <v>0</v>
      </c>
      <c r="I10550" s="39" t="n">
        <v>0</v>
      </c>
      <c r="J10550" s="39" t="n">
        <v>0</v>
      </c>
      <c r="K10550" s="39" t="n">
        <v>0</v>
      </c>
      <c r="L10550" s="39" t="n">
        <v>0</v>
      </c>
      <c r="M10550" s="39" t="n">
        <v>0</v>
      </c>
      <c r="N10550" s="38" t="n">
        <f aca="false">Q!$N$26</f>
        <v>0</v>
      </c>
      <c r="O10550" s="38" t="n">
        <f aca="false">Q!$O$26</f>
        <v>0</v>
      </c>
    </row>
    <row r="10551" customFormat="false" ht="15" hidden="false" customHeight="false" outlineLevel="0" collapsed="false">
      <c r="A10551" s="3" t="s">
        <v>531</v>
      </c>
      <c r="B10551" s="8" t="s">
        <v>86</v>
      </c>
      <c r="C10551" s="38" t="n">
        <f aca="false">Q!$D$25</f>
        <v>68.593</v>
      </c>
      <c r="D10551" s="38" t="n">
        <f aca="false">Q!$E$25</f>
        <v>79.975</v>
      </c>
      <c r="E10551" s="38" t="n">
        <f aca="false">Q!$P$25</f>
        <v>51.313</v>
      </c>
      <c r="F10551" s="38" t="n">
        <f aca="false">Sens!$F$10541+Sens!$F$10546+Sens!$F$10549+Sens!$F$10550</f>
        <v>56.2888892369246</v>
      </c>
      <c r="G10551" s="38" t="n">
        <f aca="false">Sens!$G$10541+Sens!$G$10546+Sens!$G$10549+Sens!$G$10550</f>
        <v>107.601889236925</v>
      </c>
      <c r="H10551" s="38" t="n">
        <f aca="false">Sens!$H$10541+Sens!$H$10546+Sens!$H$10549+Sens!$H$10550</f>
        <v>126.935967255636</v>
      </c>
      <c r="I10551" s="38" t="n">
        <f aca="false">Sens!$I$10541+Sens!$I$10546+Sens!$I$10549+Sens!$I$10550</f>
        <v>147.247780943116</v>
      </c>
      <c r="J10551" s="38" t="n">
        <f aca="false">Sens!$J$10541+Sens!$J$10546+Sens!$J$10549+Sens!$J$10550</f>
        <v>166.030093415229</v>
      </c>
      <c r="K10551" s="38" t="n">
        <f aca="false">Sens!$K$10541+Sens!$K$10546+Sens!$K$10549+Sens!$K$10550</f>
        <v>177.975591165353</v>
      </c>
      <c r="L10551" s="38" t="n">
        <f aca="false">Sens!$L$10541+Sens!$L$10546+Sens!$L$10549+Sens!$L$10550</f>
        <v>190.868575271371</v>
      </c>
      <c r="M10551" s="38" t="n">
        <f aca="false">Sens!$M$10541+Sens!$M$10546+Sens!$M$10549+Sens!$M$10550</f>
        <v>203.610388310126</v>
      </c>
      <c r="N10551" s="38" t="n">
        <f aca="false">Q!$N$25</f>
        <v>37.576</v>
      </c>
      <c r="O10551" s="38" t="n">
        <f aca="false">Q!$O$25</f>
        <v>42.399</v>
      </c>
    </row>
    <row r="10552" customFormat="false" ht="17.15" hidden="false" customHeight="false" outlineLevel="0" collapsed="false">
      <c r="A10552" s="24" t="s">
        <v>758</v>
      </c>
      <c r="B10552" s="25" t="s">
        <v>86</v>
      </c>
      <c r="C10552" s="41" t="n">
        <f aca="false">Sens!$C$10541+Sens!$C$10546+Sens!$C$10549+Sens!$C$10550-Sens!$C$10551</f>
        <v>0</v>
      </c>
      <c r="D10552" s="41" t="n">
        <f aca="false">Sens!$D$10541+Sens!$D$10546+Sens!$D$10549+Sens!$D$10550-Sens!$D$10551</f>
        <v>0</v>
      </c>
      <c r="E10552" s="41" t="n">
        <f aca="false">Sens!$E$10541+Sens!$E$10546+Sens!$E$10549+Sens!$E$10550-Sens!$E$10551</f>
        <v>0</v>
      </c>
      <c r="F10552" s="41" t="n">
        <f aca="false">Sens!$F$10541+Sens!$F$10546+Sens!$F$10549+Sens!$F$10550-Sens!$F$10551</f>
        <v>0</v>
      </c>
      <c r="G10552" s="41" t="n">
        <f aca="false">Sens!$G$10541+Sens!$G$10546+Sens!$G$10549+Sens!$G$10550-Sens!$G$10551</f>
        <v>0</v>
      </c>
      <c r="H10552" s="41" t="n">
        <f aca="false">Sens!$H$10541+Sens!$H$10546+Sens!$H$10549+Sens!$H$10550-Sens!$H$10551</f>
        <v>0</v>
      </c>
      <c r="I10552" s="41" t="n">
        <f aca="false">Sens!$I$10541+Sens!$I$10546+Sens!$I$10549+Sens!$I$10550-Sens!$I$10551</f>
        <v>0</v>
      </c>
      <c r="J10552" s="41" t="n">
        <f aca="false">Sens!$J$10541+Sens!$J$10546+Sens!$J$10549+Sens!$J$10550-Sens!$J$10551</f>
        <v>0</v>
      </c>
      <c r="K10552" s="41" t="n">
        <f aca="false">Sens!$K$10541+Sens!$K$10546+Sens!$K$10549+Sens!$K$10550-Sens!$K$10551</f>
        <v>0</v>
      </c>
      <c r="L10552" s="41" t="n">
        <f aca="false">Sens!$L$10541+Sens!$L$10546+Sens!$L$10549+Sens!$L$10550-Sens!$L$10551</f>
        <v>0</v>
      </c>
      <c r="M10552" s="41" t="n">
        <f aca="false">Sens!$M$10541+Sens!$M$10546+Sens!$M$10549+Sens!$M$10550-Sens!$M$10551</f>
        <v>0</v>
      </c>
      <c r="N10552" s="41" t="n">
        <f aca="false">Sens!$N$10541+Sens!$N$10546+Sens!$N$10549+Sens!$N$10550-Sens!$N$10551</f>
        <v>0</v>
      </c>
      <c r="O10552" s="41" t="n">
        <f aca="false">Sens!$O$10541+Sens!$O$10546+Sens!$O$10549+Sens!$O$10550-Sens!$O$10551</f>
        <v>0</v>
      </c>
    </row>
    <row r="10553" customFormat="false" ht="17.15" hidden="false" customHeight="false" outlineLevel="0" collapsed="false">
      <c r="A10553" s="5" t="s">
        <v>729</v>
      </c>
      <c r="B10553" s="0" t="s">
        <v>86</v>
      </c>
      <c r="C10553" s="38" t="n">
        <f aca="false">Sens!$C$10489</f>
        <v>0</v>
      </c>
      <c r="D10553" s="38" t="n">
        <f aca="false">Sens!$D$10489</f>
        <v>0</v>
      </c>
      <c r="E10553" s="38" t="n">
        <f aca="false">Sens!$E$10489</f>
        <v>0</v>
      </c>
      <c r="F10553" s="38" t="n">
        <f aca="false">Sens!$F$10489</f>
        <v>0</v>
      </c>
      <c r="G10553" s="38" t="n">
        <f aca="false">Sens!$G$10489</f>
        <v>0</v>
      </c>
      <c r="H10553" s="38" t="n">
        <f aca="false">Sens!$H$10489</f>
        <v>0</v>
      </c>
      <c r="I10553" s="38" t="n">
        <f aca="false">Sens!$I$10489</f>
        <v>0</v>
      </c>
      <c r="J10553" s="38" t="n">
        <f aca="false">Sens!$J$10489</f>
        <v>0</v>
      </c>
      <c r="K10553" s="38" t="n">
        <f aca="false">Sens!$K$10489</f>
        <v>0</v>
      </c>
      <c r="L10553" s="38" t="n">
        <f aca="false">Sens!$L$10489</f>
        <v>0</v>
      </c>
      <c r="M10553" s="38" t="n">
        <f aca="false">Sens!$M$10489</f>
        <v>0</v>
      </c>
      <c r="N10553" s="38" t="n">
        <f aca="false">Sens!$N$10489</f>
        <v>0</v>
      </c>
      <c r="O10553" s="38" t="n">
        <f aca="false">Sens!$O$10489</f>
        <v>0</v>
      </c>
      <c r="P10553" s="5" t="s">
        <v>730</v>
      </c>
    </row>
    <row r="10554" customFormat="false" ht="17.15" hidden="false" customHeight="false" outlineLevel="0" collapsed="false">
      <c r="A10554" s="5" t="s">
        <v>731</v>
      </c>
      <c r="B10554" s="0" t="s">
        <v>86</v>
      </c>
      <c r="C10554" s="38" t="n">
        <f aca="false">Sens!$C$10551+Sens!$C$10553</f>
        <v>68.593</v>
      </c>
      <c r="D10554" s="38" t="n">
        <f aca="false">Sens!$D$10551+Sens!$D$10553</f>
        <v>79.975</v>
      </c>
      <c r="E10554" s="38" t="n">
        <f aca="false">Sens!$E$10551+Sens!$E$10553</f>
        <v>51.313</v>
      </c>
      <c r="F10554" s="38" t="n">
        <f aca="false">Sens!$F$10551+Sens!$F$10553</f>
        <v>56.2888892369246</v>
      </c>
      <c r="G10554" s="38" t="n">
        <f aca="false">Sens!$G$10551+Sens!$G$10553</f>
        <v>107.601889236925</v>
      </c>
      <c r="H10554" s="38" t="n">
        <f aca="false">Sens!$H$10551+Sens!$H$10553</f>
        <v>126.935967255636</v>
      </c>
      <c r="I10554" s="38" t="n">
        <f aca="false">Sens!$I$10551+Sens!$I$10553</f>
        <v>147.247780943116</v>
      </c>
      <c r="J10554" s="38" t="n">
        <f aca="false">Sens!$J$10551+Sens!$J$10553</f>
        <v>166.030093415229</v>
      </c>
      <c r="K10554" s="38" t="n">
        <f aca="false">Sens!$K$10551+Sens!$K$10553</f>
        <v>177.975591165353</v>
      </c>
      <c r="L10554" s="38" t="n">
        <f aca="false">Sens!$L$10551+Sens!$L$10553</f>
        <v>190.868575271371</v>
      </c>
      <c r="M10554" s="38" t="n">
        <f aca="false">Sens!$M$10551+Sens!$M$10553</f>
        <v>203.610388310126</v>
      </c>
      <c r="N10554" s="38" t="n">
        <f aca="false">Sens!$N$10551+Sens!$N$10553</f>
        <v>37.576</v>
      </c>
      <c r="O10554" s="38" t="n">
        <f aca="false">Sens!$O$10551+Sens!$O$10553</f>
        <v>42.399</v>
      </c>
    </row>
    <row r="10555" customFormat="false" ht="17.15" hidden="false" customHeight="false" outlineLevel="0" collapsed="false">
      <c r="A10555" s="0" t="s">
        <v>732</v>
      </c>
      <c r="B10555" s="0" t="s">
        <v>52</v>
      </c>
      <c r="C10555" s="13" t="n">
        <f aca="false">Sens!$C$10541/Sens!$C$10526</f>
        <v>0.0644314665661928</v>
      </c>
      <c r="D10555" s="13" t="n">
        <f aca="false">Sens!$D$10541/Sens!$D$10526</f>
        <v>0.0694784250712518</v>
      </c>
      <c r="E10555" s="13" t="n">
        <f aca="false">Sens!$E$10541/Sens!$E$10526</f>
        <v>0.0789306463326071</v>
      </c>
      <c r="F10555" s="13" t="n">
        <f aca="false">Sens!$F$10541/Sens!$F$10526</f>
        <v>0.0802271154277638</v>
      </c>
      <c r="G10555" s="13" t="n">
        <f aca="false">Sens!$G$10541/Sens!$G$10526</f>
        <v>0.0796206133714758</v>
      </c>
      <c r="H10555" s="13" t="n">
        <f aca="false">Sens!$H$10541/Sens!$H$10526</f>
        <v>0.0791253077422711</v>
      </c>
      <c r="I10555" s="13" t="n">
        <f aca="false">Sens!$I$10541/Sens!$I$10526</f>
        <v>0.0776277144828766</v>
      </c>
      <c r="J10555" s="13" t="n">
        <f aca="false">Sens!$J$10541/Sens!$J$10526</f>
        <v>0.0761100135193333</v>
      </c>
      <c r="K10555" s="13" t="n">
        <f aca="false">Sens!$K$10541/Sens!$K$10526</f>
        <v>0.074408246177121</v>
      </c>
      <c r="L10555" s="13" t="n">
        <f aca="false">Sens!$L$10541/Sens!$L$10526</f>
        <v>0.0739489900415671</v>
      </c>
      <c r="M10555" s="13" t="n">
        <f aca="false">Sens!$M$10541/Sens!$M$10526</f>
        <v>0.076138500430805</v>
      </c>
      <c r="N10555" s="13" t="n">
        <f aca="false">Sens!$N$10541/Sens!$N$10526</f>
        <v>0.069228576611127</v>
      </c>
      <c r="O10555" s="13" t="n">
        <f aca="false">Sens!$O$10541/Sens!$O$10526</f>
        <v>0.069685022498393</v>
      </c>
    </row>
    <row r="10556" customFormat="false" ht="17.15" hidden="false" customHeight="false" outlineLevel="0" collapsed="false">
      <c r="A10556" s="0" t="s">
        <v>733</v>
      </c>
      <c r="B10556" s="0" t="s">
        <v>52</v>
      </c>
      <c r="C10556" s="13" t="n">
        <f aca="false">Sens!$C$10546/Sens!$C$10527</f>
        <v>0.026534925055631</v>
      </c>
      <c r="D10556" s="13" t="n">
        <f aca="false">Sens!$D$10546/Sens!$D$10527</f>
        <v>0.0293401855535103</v>
      </c>
      <c r="E10556" s="13" t="n">
        <f aca="false">Sens!$E$10546/Sens!$E$10527</f>
        <v>0.03831141902276</v>
      </c>
      <c r="F10556" s="13" t="n">
        <f aca="false">Sens!$F$10546/Sens!$F$10527</f>
        <v>0.028186380436398</v>
      </c>
      <c r="G10556" s="13" t="n">
        <f aca="false">Sens!$G$10546/Sens!$G$10527</f>
        <v>0.0327880260521739</v>
      </c>
      <c r="H10556" s="13" t="n">
        <f aca="false">Sens!$H$10546/Sens!$H$10527</f>
        <v>0.0302874763409969</v>
      </c>
      <c r="I10556" s="13" t="n">
        <f aca="false">Sens!$I$10546/Sens!$I$10527</f>
        <v>0.0267614610253202</v>
      </c>
      <c r="J10556" s="13" t="n">
        <f aca="false">Sens!$J$10546/Sens!$J$10527</f>
        <v>0.0231523582706593</v>
      </c>
      <c r="K10556" s="13" t="n">
        <f aca="false">Sens!$K$10546/Sens!$K$10527</f>
        <v>0.0192545467174101</v>
      </c>
      <c r="L10556" s="13" t="n">
        <f aca="false">Sens!$L$10546/Sens!$L$10527</f>
        <v>0.0191414347264789</v>
      </c>
      <c r="M10556" s="13" t="n">
        <f aca="false">Sens!$M$10546/Sens!$M$10527</f>
        <v>0.0216850962428001</v>
      </c>
      <c r="N10556" s="13" t="n">
        <f aca="false">Sens!$N$10546/Sens!$N$10527</f>
        <v>0.0357315650169337</v>
      </c>
      <c r="O10556" s="13" t="n">
        <f aca="false">Sens!$O$10546/Sens!$O$10527</f>
        <v>0.0244378956559703</v>
      </c>
    </row>
    <row r="10557" customFormat="false" ht="17.15" hidden="false" customHeight="false" outlineLevel="0" collapsed="false">
      <c r="A10557" s="14" t="s">
        <v>734</v>
      </c>
      <c r="B10557" s="14" t="s">
        <v>52</v>
      </c>
      <c r="C10557" s="17" t="n">
        <f aca="false">Sens!$C$10549/Sens!$C$10528</f>
        <v>0.370355907620217</v>
      </c>
      <c r="D10557" s="17" t="n">
        <f aca="false">Sens!$D$10549/Sens!$D$10528</f>
        <v>0.35429015342785</v>
      </c>
      <c r="E10557" s="17" t="n">
        <f aca="false">Sens!$E$10549/Sens!$E$10528</f>
        <v>0.385647527531039</v>
      </c>
      <c r="F10557" s="17" t="n">
        <f aca="false">Sens!$F$10549/Sens!$F$10528</f>
        <v>0.385171818673936</v>
      </c>
      <c r="G10557" s="17" t="n">
        <f aca="false">Sens!$G$10549/Sens!$G$10528</f>
        <v>0.385399799520974</v>
      </c>
      <c r="H10557" s="17" t="n">
        <f aca="false">Sens!$H$10549/Sens!$H$10528</f>
        <v>0.360029314750347</v>
      </c>
      <c r="I10557" s="17" t="n">
        <f aca="false">Sens!$I$10549/Sens!$I$10528</f>
        <v>0.346606134604193</v>
      </c>
      <c r="J10557" s="17" t="n">
        <f aca="false">Sens!$J$10549/Sens!$J$10528</f>
        <v>0.335699297156574</v>
      </c>
      <c r="K10557" s="17" t="n">
        <f aca="false">Sens!$K$10549/Sens!$K$10528</f>
        <v>0.319043289183739</v>
      </c>
      <c r="L10557" s="17" t="n">
        <f aca="false">Sens!$L$10549/Sens!$L$10528</f>
        <v>0.311918613444893</v>
      </c>
      <c r="M10557" s="17" t="n">
        <f aca="false">Sens!$M$10549/Sens!$M$10528</f>
        <v>0.306523814127389</v>
      </c>
      <c r="N10557" s="17" t="n">
        <f aca="false">Sens!$N$10549/Sens!$N$10528</f>
        <v>0.360941137346192</v>
      </c>
      <c r="O10557" s="17" t="n">
        <f aca="false">Sens!$O$10549/Sens!$O$10528</f>
        <v>0.348458117664212</v>
      </c>
    </row>
    <row r="10558" customFormat="false" ht="17.15" hidden="false" customHeight="false" outlineLevel="0" collapsed="false">
      <c r="A10558" s="0" t="s">
        <v>735</v>
      </c>
      <c r="B10558" s="0" t="s">
        <v>52</v>
      </c>
      <c r="C10558" s="13" t="n">
        <f aca="false">Sens!$C$10547/Sens!$C$10529</f>
        <v>0.708390794789371</v>
      </c>
      <c r="D10558" s="13" t="n">
        <f aca="false">Sens!$D$10547/Sens!$D$10529</f>
        <v>0.445565630441968</v>
      </c>
      <c r="E10558" s="13" t="n">
        <f aca="false">Sens!$E$10547/Sens!$E$10529</f>
        <v>0.165998118402711</v>
      </c>
      <c r="F10558" s="13" t="n">
        <f aca="false">Sens!$F$10547/Sens!$F$10529</f>
        <v>0.434878595403858</v>
      </c>
      <c r="G10558" s="13" t="n">
        <f aca="false">Sens!$G$10547/Sens!$G$10529</f>
        <v>0.3373967615381</v>
      </c>
      <c r="H10558" s="13" t="n">
        <f aca="false">Sens!$H$10547/Sens!$H$10529</f>
        <v>0.320477578041224</v>
      </c>
      <c r="I10558" s="13" t="n">
        <f aca="false">Sens!$I$10547/Sens!$I$10529</f>
        <v>0.296936118226494</v>
      </c>
      <c r="J10558" s="13" t="n">
        <f aca="false">Sens!$J$10547/Sens!$J$10529</f>
        <v>0.282166278613001</v>
      </c>
      <c r="K10558" s="13" t="n">
        <f aca="false">Sens!$K$10547/Sens!$K$10529</f>
        <v>0.252969102881543</v>
      </c>
      <c r="L10558" s="13" t="n">
        <f aca="false">Sens!$L$10547/Sens!$L$10529</f>
        <v>0.240728642826566</v>
      </c>
      <c r="M10558" s="13" t="n">
        <f aca="false">Sens!$M$10547/Sens!$M$10529</f>
        <v>0.227399920863147</v>
      </c>
      <c r="N10558" s="13" t="n">
        <f aca="false">Sens!$N$10547/Sens!$N$10529</f>
        <v>0.302870734830849</v>
      </c>
      <c r="O10558" s="13" t="n">
        <f aca="false">Sens!$O$10547/Sens!$O$10529</f>
        <v>0.52240134346334</v>
      </c>
    </row>
    <row r="10559" customFormat="false" ht="15" hidden="false" customHeight="false" outlineLevel="0" collapsed="false">
      <c r="A10559" s="5" t="s">
        <v>736</v>
      </c>
      <c r="B10559" s="0" t="s">
        <v>52</v>
      </c>
      <c r="C10559" s="13" t="n">
        <f aca="false">Sens!$C$10551/Sens!$C$10531</f>
        <v>0.107519448742004</v>
      </c>
      <c r="D10559" s="13" t="n">
        <f aca="false">Sens!$D$10551/Sens!$D$10531</f>
        <v>0.111552967957552</v>
      </c>
      <c r="E10559" s="13" t="n">
        <f aca="false">Sens!$E$10551/Sens!$E$10531</f>
        <v>0.13428328426562</v>
      </c>
      <c r="F10559" s="13" t="n">
        <f aca="false">Sens!$F$10551/Sens!$F$10531</f>
        <v>0.129167844525589</v>
      </c>
      <c r="G10559" s="13" t="n">
        <f aca="false">Sens!$G$10551/Sens!$G$10531</f>
        <v>0.131557773771988</v>
      </c>
      <c r="H10559" s="13" t="n">
        <f aca="false">Sens!$H$10551/Sens!$H$10531</f>
        <v>0.134711536350329</v>
      </c>
      <c r="I10559" s="13" t="n">
        <f aca="false">Sens!$I$10551/Sens!$I$10531</f>
        <v>0.137768888779847</v>
      </c>
      <c r="J10559" s="13" t="n">
        <f aca="false">Sens!$J$10551/Sens!$J$10531</f>
        <v>0.139531715827143</v>
      </c>
      <c r="K10559" s="13" t="n">
        <f aca="false">Sens!$K$10551/Sens!$K$10531</f>
        <v>0.137320259076553</v>
      </c>
      <c r="L10559" s="13" t="n">
        <f aca="false">Sens!$L$10551/Sens!$L$10531</f>
        <v>0.136806307456799</v>
      </c>
      <c r="M10559" s="13" t="n">
        <f aca="false">Sens!$M$10551/Sens!$M$10531</f>
        <v>0.136871350584245</v>
      </c>
      <c r="N10559" s="13" t="n">
        <f aca="false">Sens!$N$10551/Sens!$N$10531</f>
        <v>0.116201614873411</v>
      </c>
      <c r="O10559" s="13" t="n">
        <f aca="false">Sens!$O$10551/Sens!$O$10531</f>
        <v>0.107733353660861</v>
      </c>
    </row>
    <row r="10560" customFormat="false" ht="17.15" hidden="false" customHeight="false" outlineLevel="0" collapsed="false">
      <c r="A10560" s="1" t="s">
        <v>737</v>
      </c>
    </row>
    <row r="10561" customFormat="false" ht="17.15" hidden="false" customHeight="false" outlineLevel="0" collapsed="false">
      <c r="A10561" s="5" t="s">
        <v>738</v>
      </c>
      <c r="B10561" s="0" t="s">
        <v>52</v>
      </c>
      <c r="D10561" s="28" t="n">
        <f aca="false">(Q!$E$29+Q!$E$30-(1-ext_sh)*Sens!$D$10483)/Sens!$D$10439</f>
        <v>0.0334674312393194</v>
      </c>
    </row>
    <row r="10562" customFormat="false" ht="17.15" hidden="false" customHeight="false" outlineLevel="0" collapsed="false">
      <c r="A10562" s="0" t="s">
        <v>535</v>
      </c>
      <c r="B10562" s="0" t="s">
        <v>86</v>
      </c>
      <c r="C10562" s="38" t="n">
        <f aca="false">Q!$D$29</f>
        <v>14.285</v>
      </c>
      <c r="D10562" s="38" t="n">
        <f aca="false">Q!$E$29</f>
        <v>15.503</v>
      </c>
      <c r="E10562" s="38" t="n">
        <f aca="false">Q!$P$29</f>
        <v>8.78</v>
      </c>
      <c r="F10562" s="38" t="n">
        <f aca="false">(Sens!$D$10561*Sens!$F$10439+(1-ext_sh)*Sens!$F$10483)*Sens!$F$10440</f>
        <v>9.32404990199157</v>
      </c>
      <c r="G10562" s="38" t="n">
        <f aca="false">Sens!$E$10562+Sens!$F$10562</f>
        <v>18.1040499019916</v>
      </c>
      <c r="H10562" s="38" t="n">
        <f aca="false">(Sens!$D$10561*Sens!$H$10439+(1-ext_sh)*Sens!$H$10483)*Sens!$H$10440</f>
        <v>22.5533556752937</v>
      </c>
      <c r="I10562" s="38" t="n">
        <f aca="false">(Sens!$D$10561*Sens!$I$10439+(1-ext_sh)*Sens!$I$10483)*Sens!$I$10440</f>
        <v>28.1941479903215</v>
      </c>
      <c r="J10562" s="38" t="n">
        <f aca="false">(Sens!$D$10561*Sens!$J$10439+(1-ext_sh)*Sens!$J$10483)*Sens!$J$10440</f>
        <v>33.8639126241465</v>
      </c>
      <c r="K10562" s="38" t="n">
        <f aca="false">(Sens!$D$10561*Sens!$K$10439+(1-ext_sh)*Sens!$K$10483)*Sens!$K$10440</f>
        <v>39.4516429979446</v>
      </c>
      <c r="L10562" s="38" t="n">
        <f aca="false">(Sens!$D$10561*Sens!$L$10439+(1-ext_sh)*Sens!$L$10483)*Sens!$L$10440</f>
        <v>43.6240799619622</v>
      </c>
      <c r="M10562" s="38" t="n">
        <f aca="false">(Sens!$D$10561*Sens!$M$10439+(1-ext_sh)*Sens!$M$10483)*Sens!$M$10440</f>
        <v>46.7841679303704</v>
      </c>
      <c r="N10562" s="38" t="n">
        <f aca="false">Q!$N$29</f>
        <v>7.272</v>
      </c>
      <c r="O10562" s="38" t="n">
        <f aca="false">Q!$O$29</f>
        <v>8.231</v>
      </c>
    </row>
    <row r="10563" customFormat="false" ht="17.15" hidden="false" customHeight="false" outlineLevel="0" collapsed="false">
      <c r="A10563" s="0" t="s">
        <v>537</v>
      </c>
      <c r="B10563" s="0" t="s">
        <v>86</v>
      </c>
      <c r="C10563" s="38" t="n">
        <f aca="false">Q!$D$30</f>
        <v>4.462</v>
      </c>
      <c r="D10563" s="38" t="n">
        <f aca="false">Q!$E$30</f>
        <v>4.907</v>
      </c>
      <c r="E10563" s="38" t="n">
        <f aca="false">Q!$P$30</f>
        <v>2.57</v>
      </c>
      <c r="F10563" s="38" t="n">
        <f aca="false">(Sens!$D$10561*Sens!$F$10439+(1-ext_sh)*Sens!$F$10483)*(1-Sens!$F$10440)</f>
        <v>3.66089330199472</v>
      </c>
      <c r="G10563" s="38" t="n">
        <f aca="false">Sens!$E$10563+Sens!$F$10563</f>
        <v>6.23089330199472</v>
      </c>
      <c r="H10563" s="38" t="n">
        <f aca="false">(Sens!$D$10561*Sens!$H$10439+(1-ext_sh)*Sens!$H$10483)*(1-Sens!$H$10440)</f>
        <v>8.63874333111657</v>
      </c>
      <c r="I10563" s="38" t="n">
        <f aca="false">(Sens!$D$10561*Sens!$I$10439+(1-ext_sh)*Sens!$I$10483)*(1-Sens!$I$10440)</f>
        <v>10.7993689025494</v>
      </c>
      <c r="J10563" s="38" t="n">
        <f aca="false">(Sens!$D$10561*Sens!$J$10439+(1-ext_sh)*Sens!$J$10483)*(1-Sens!$J$10440)</f>
        <v>12.9710919101865</v>
      </c>
      <c r="K10563" s="38" t="n">
        <f aca="false">(Sens!$D$10561*Sens!$K$10439+(1-ext_sh)*Sens!$K$10483)*(1-Sens!$K$10440)</f>
        <v>15.1113928568702</v>
      </c>
      <c r="L10563" s="38" t="n">
        <f aca="false">(Sens!$D$10561*Sens!$L$10439+(1-ext_sh)*Sens!$L$10483)*(1-Sens!$L$10440)</f>
        <v>16.7095857163433</v>
      </c>
      <c r="M10563" s="38" t="n">
        <f aca="false">(Sens!$D$10561*Sens!$M$10439+(1-ext_sh)*Sens!$M$10483)*(1-Sens!$M$10440)</f>
        <v>17.9200126371023</v>
      </c>
      <c r="N10563" s="38" t="n">
        <f aca="false">Q!$N$30</f>
        <v>2.316</v>
      </c>
      <c r="O10563" s="38" t="n">
        <f aca="false">Q!$O$30</f>
        <v>2.591</v>
      </c>
    </row>
    <row r="10564" customFormat="false" ht="17.15" hidden="false" customHeight="false" outlineLevel="0" collapsed="false">
      <c r="A10564" s="0" t="s">
        <v>538</v>
      </c>
      <c r="B10564" s="0" t="s">
        <v>86</v>
      </c>
      <c r="C10564" s="38" t="n">
        <f aca="false">Sens!$C$10495</f>
        <v>13.32</v>
      </c>
      <c r="D10564" s="38" t="n">
        <f aca="false">Sens!$D$10495</f>
        <v>21.45</v>
      </c>
      <c r="E10564" s="38" t="n">
        <f aca="false">Sens!$E$10495</f>
        <v>15.353</v>
      </c>
      <c r="F10564" s="38" t="n">
        <f aca="false">Sens!$F$10495</f>
        <v>16.3063747611001</v>
      </c>
      <c r="G10564" s="38" t="n">
        <f aca="false">Sens!$G$10495</f>
        <v>31.6593747611001</v>
      </c>
      <c r="H10564" s="38" t="n">
        <f aca="false">Sens!$H$10495</f>
        <v>53.124242092105</v>
      </c>
      <c r="I10564" s="38" t="n">
        <f aca="false">Sens!$I$10495</f>
        <v>78.046828098133</v>
      </c>
      <c r="J10564" s="38" t="n">
        <f aca="false">Sens!$J$10495</f>
        <v>103.663976940352</v>
      </c>
      <c r="K10564" s="38" t="n">
        <f aca="false">Sens!$K$10495</f>
        <v>129.625086115469</v>
      </c>
      <c r="L10564" s="38" t="n">
        <f aca="false">Sens!$L$10495</f>
        <v>147.435052382502</v>
      </c>
      <c r="M10564" s="38" t="n">
        <f aca="false">Sens!$M$10495</f>
        <v>159.299754080279</v>
      </c>
      <c r="N10564" s="38" t="n">
        <f aca="false">Sens!$N$10495</f>
        <v>9.234</v>
      </c>
      <c r="O10564" s="38" t="n">
        <f aca="false">Sens!$O$10495</f>
        <v>12.216</v>
      </c>
    </row>
    <row r="10565" customFormat="false" ht="17.15" hidden="false" customHeight="false" outlineLevel="0" collapsed="false">
      <c r="A10565" s="5" t="s">
        <v>739</v>
      </c>
      <c r="B10565" s="0" t="s">
        <v>86</v>
      </c>
      <c r="C10565" s="38" t="n">
        <f aca="false">Sens!$C$10562+Sens!$C$10563+Sens!$C$10564</f>
        <v>32.067</v>
      </c>
      <c r="D10565" s="38" t="n">
        <f aca="false">Sens!$D$10562+Sens!$D$10563+Sens!$D$10564</f>
        <v>41.86</v>
      </c>
      <c r="E10565" s="38" t="n">
        <f aca="false">Sens!$E$10562+Sens!$E$10563+Sens!$E$10564</f>
        <v>26.703</v>
      </c>
      <c r="F10565" s="38" t="n">
        <f aca="false">Sens!$F$10562+Sens!$F$10563+Sens!$F$10564</f>
        <v>29.2913179650864</v>
      </c>
      <c r="G10565" s="38" t="n">
        <f aca="false">Sens!$G$10562+Sens!$G$10563+Sens!$G$10564</f>
        <v>55.9943179650864</v>
      </c>
      <c r="H10565" s="38" t="n">
        <f aca="false">Sens!$H$10562+Sens!$H$10563+Sens!$H$10564</f>
        <v>84.3163410985152</v>
      </c>
      <c r="I10565" s="38" t="n">
        <f aca="false">Sens!$I$10562+Sens!$I$10563+Sens!$I$10564</f>
        <v>117.040344991004</v>
      </c>
      <c r="J10565" s="38" t="n">
        <f aca="false">Sens!$J$10562+Sens!$J$10563+Sens!$J$10564</f>
        <v>150.498981474685</v>
      </c>
      <c r="K10565" s="38" t="n">
        <f aca="false">Sens!$K$10562+Sens!$K$10563+Sens!$K$10564</f>
        <v>184.188121970284</v>
      </c>
      <c r="L10565" s="38" t="n">
        <f aca="false">Sens!$L$10562+Sens!$L$10563+Sens!$L$10564</f>
        <v>207.768718060808</v>
      </c>
      <c r="M10565" s="38" t="n">
        <f aca="false">Sens!$M$10562+Sens!$M$10563+Sens!$M$10564</f>
        <v>224.003934647752</v>
      </c>
      <c r="N10565" s="38" t="n">
        <f aca="false">Sens!$N$10562+Sens!$N$10563+Sens!$N$10564</f>
        <v>18.822</v>
      </c>
      <c r="O10565" s="38" t="n">
        <f aca="false">Sens!$O$10562+Sens!$O$10563+Sens!$O$10564</f>
        <v>23.038</v>
      </c>
    </row>
    <row r="10566" customFormat="false" ht="17.15" hidden="false" customHeight="false" outlineLevel="0" collapsed="false">
      <c r="A10566" s="0" t="s">
        <v>740</v>
      </c>
      <c r="B10566" s="0" t="s">
        <v>86</v>
      </c>
      <c r="C10566" s="38" t="n">
        <f aca="false">Sens!$C$10537+Sens!$C$10542</f>
        <v>28.107</v>
      </c>
      <c r="D10566" s="38" t="n">
        <f aca="false">Sens!$D$10537+Sens!$D$10542</f>
        <v>34.3175</v>
      </c>
      <c r="E10566" s="38" t="n">
        <f aca="false">Sens!$E$10537+Sens!$E$10542</f>
        <v>18.526</v>
      </c>
      <c r="F10566" s="38" t="n">
        <f aca="false">Sens!$F$10537+Sens!$F$10542</f>
        <v>23.0786109972074</v>
      </c>
      <c r="G10566" s="38" t="n">
        <f aca="false">Sens!$G$10537+Sens!$G$10542</f>
        <v>41.6046109972074</v>
      </c>
      <c r="H10566" s="38" t="n">
        <f aca="false">Sens!$H$10537+Sens!$H$10542</f>
        <v>49.9484611939488</v>
      </c>
      <c r="I10566" s="38" t="n">
        <f aca="false">Sens!$I$10537+Sens!$I$10542</f>
        <v>58.2915555477481</v>
      </c>
      <c r="J10566" s="38" t="n">
        <f aca="false">Sens!$J$10537+Sens!$J$10542</f>
        <v>66.0744709709759</v>
      </c>
      <c r="K10566" s="38" t="n">
        <f aca="false">Sens!$K$10537+Sens!$K$10542</f>
        <v>72.6819180680735</v>
      </c>
      <c r="L10566" s="38" t="n">
        <f aca="false">Sens!$L$10537+Sens!$L$10542</f>
        <v>79.9501098748808</v>
      </c>
      <c r="M10566" s="38" t="n">
        <f aca="false">Sens!$M$10537+Sens!$M$10542</f>
        <v>87.9451208623689</v>
      </c>
      <c r="N10566" s="38" t="n">
        <f aca="false">Sens!$N$10537+Sens!$N$10542</f>
        <v>14.8075</v>
      </c>
      <c r="O10566" s="38" t="n">
        <f aca="false">Sens!$O$10537+Sens!$O$10542</f>
        <v>19.51</v>
      </c>
    </row>
    <row r="10567" customFormat="false" ht="17.15" hidden="false" customHeight="false" outlineLevel="0" collapsed="false">
      <c r="A10567" s="0" t="s">
        <v>741</v>
      </c>
      <c r="B10567" s="0" t="s">
        <v>86</v>
      </c>
      <c r="C10567" s="38" t="n">
        <f aca="false">Sens!$C$10541+Sens!$C$10546+Sens!$C$10562+Sens!$C$10563-Sens!$C$10566</f>
        <v>19.399</v>
      </c>
      <c r="D10567" s="38" t="n">
        <f aca="false">Sens!$D$10541+Sens!$D$10546+Sens!$D$10562+Sens!$D$10563-Sens!$D$10566</f>
        <v>20.4615</v>
      </c>
      <c r="E10567" s="38" t="n">
        <f aca="false">Sens!$E$10541+Sens!$E$10546+Sens!$E$10562+Sens!$E$10563-Sens!$E$10566</f>
        <v>13.355</v>
      </c>
      <c r="F10567" s="38" t="n">
        <f aca="false">Sens!$F$10541+Sens!$F$10546+Sens!$F$10562+Sens!$F$10563-Sens!$F$10566</f>
        <v>12.7882167664549</v>
      </c>
      <c r="G10567" s="38" t="n">
        <f aca="false">Sens!$G$10541+Sens!$G$10546+Sens!$G$10562+Sens!$G$10563-Sens!$G$10566</f>
        <v>26.1432167664549</v>
      </c>
      <c r="H10567" s="38" t="n">
        <f aca="false">Sens!$H$10541+Sens!$H$10546+Sens!$H$10562+Sens!$H$10563-Sens!$H$10566</f>
        <v>28.5472527261826</v>
      </c>
      <c r="I10567" s="38" t="n">
        <f aca="false">Sens!$I$10541+Sens!$I$10546+Sens!$I$10562+Sens!$I$10563-Sens!$I$10566</f>
        <v>30.8052421506794</v>
      </c>
      <c r="J10567" s="38" t="n">
        <f aca="false">Sens!$J$10541+Sens!$J$10546+Sens!$J$10562+Sens!$J$10563-Sens!$J$10566</f>
        <v>33.0553877999083</v>
      </c>
      <c r="K10567" s="38" t="n">
        <f aca="false">Sens!$K$10541+Sens!$K$10546+Sens!$K$10562+Sens!$K$10563-Sens!$K$10566</f>
        <v>35.4662923485155</v>
      </c>
      <c r="L10567" s="38" t="n">
        <f aca="false">Sens!$L$10541+Sens!$L$10546+Sens!$L$10562+Sens!$L$10563-Sens!$L$10566</f>
        <v>37.1019587742301</v>
      </c>
      <c r="M10567" s="38" t="n">
        <f aca="false">Sens!$M$10541+Sens!$M$10546+Sens!$M$10562+Sens!$M$10563-Sens!$M$10566</f>
        <v>39.5351701466849</v>
      </c>
      <c r="N10567" s="38" t="n">
        <f aca="false">Sens!$N$10541+Sens!$N$10546+Sens!$N$10562+Sens!$N$10563-Sens!$N$10566</f>
        <v>10.6495</v>
      </c>
      <c r="O10567" s="38" t="n">
        <f aca="false">Sens!$O$10541+Sens!$O$10546+Sens!$O$10562+Sens!$O$10563-Sens!$O$10566</f>
        <v>9.81200000000001</v>
      </c>
    </row>
    <row r="10568" customFormat="false" ht="17.15" hidden="false" customHeight="false" outlineLevel="0" collapsed="false">
      <c r="A10568" s="0" t="s">
        <v>742</v>
      </c>
      <c r="B10568" s="0" t="s">
        <v>86</v>
      </c>
      <c r="C10568" s="38" t="n">
        <f aca="false">Sens!$C$10548+Sens!$C$10564-ext_sh*Sens!$C$10483</f>
        <v>51.3470500115664</v>
      </c>
      <c r="D10568" s="38" t="n">
        <f aca="false">Sens!$D$10548+Sens!$D$10564-ext_sh*Sens!$D$10483</f>
        <v>60.2799375433739</v>
      </c>
      <c r="E10568" s="38" t="n">
        <f aca="false">Sens!$E$10548+Sens!$E$10564-ext_sh*Sens!$E$10483</f>
        <v>39.5095167090767</v>
      </c>
      <c r="F10568" s="38" t="n">
        <f aca="false">Sens!$F$10548+Sens!$F$10564-ext_sh*Sens!$F$10483</f>
        <v>37.993321722478</v>
      </c>
      <c r="G10568" s="38" t="n">
        <f aca="false">Sens!$G$10548+Sens!$G$10564-ext_sh*Sens!$G$10483</f>
        <v>77.5028384315548</v>
      </c>
      <c r="H10568" s="38" t="n">
        <f aca="false">Sens!$H$10548+Sens!$H$10564-ext_sh*Sens!$H$10483</f>
        <v>85.2394217279746</v>
      </c>
      <c r="I10568" s="38" t="n">
        <f aca="false">Sens!$I$10548+Sens!$I$10564-ext_sh*Sens!$I$10483</f>
        <v>94.6373589713254</v>
      </c>
      <c r="J10568" s="38" t="n">
        <f aca="false">Sens!$J$10548+Sens!$J$10564-ext_sh*Sens!$J$10483</f>
        <v>103.639899284146</v>
      </c>
      <c r="K10568" s="38" t="n">
        <f aca="false">Sens!$K$10548+Sens!$K$10564-ext_sh*Sens!$K$10483</f>
        <v>111.931091226878</v>
      </c>
      <c r="L10568" s="38" t="n">
        <f aca="false">Sens!$L$10548+Sens!$L$10564-ext_sh*Sens!$L$10483</f>
        <v>120.885578525028</v>
      </c>
      <c r="M10568" s="38" t="n">
        <f aca="false">Sens!$M$10548+Sens!$M$10564-ext_sh*Sens!$M$10483</f>
        <v>130.55642480703</v>
      </c>
      <c r="N10568" s="38" t="n">
        <f aca="false">Sens!$N$10548+Sens!$N$10564-ext_sh*Sens!$N$10483</f>
        <v>28.5693781401809</v>
      </c>
      <c r="O10568" s="38" t="n">
        <f aca="false">Sens!$O$10548+Sens!$O$10564-ext_sh*Sens!$O$10483</f>
        <v>31.7105594031931</v>
      </c>
    </row>
    <row r="10569" customFormat="false" ht="17.15" hidden="false" customHeight="false" outlineLevel="0" collapsed="false">
      <c r="A10569" s="0" t="s">
        <v>743</v>
      </c>
      <c r="B10569" s="0" t="s">
        <v>86</v>
      </c>
      <c r="C10569" s="38" t="n">
        <f aca="false">Sens!$C$10486</f>
        <v>1.80694998843362</v>
      </c>
      <c r="D10569" s="38" t="n">
        <f aca="false">Sens!$D$10486</f>
        <v>6.77606245662607</v>
      </c>
      <c r="E10569" s="38" t="n">
        <f aca="false">Sens!$E$10486</f>
        <v>6.62548329092326</v>
      </c>
      <c r="F10569" s="38" t="n">
        <f aca="false">Sens!$F$10486</f>
        <v>11.7200577158706</v>
      </c>
      <c r="G10569" s="38" t="n">
        <f aca="false">Sens!$G$10486</f>
        <v>18.3455410067939</v>
      </c>
      <c r="H10569" s="38" t="n">
        <f aca="false">Sens!$H$10486</f>
        <v>47.5171727060453</v>
      </c>
      <c r="I10569" s="38" t="n">
        <f aca="false">Sens!$I$10486</f>
        <v>80.5539692643667</v>
      </c>
      <c r="J10569" s="38" t="n">
        <f aca="false">Sens!$J$10486</f>
        <v>113.759316834883</v>
      </c>
      <c r="K10569" s="38" t="n">
        <f aca="false">Sens!$K$10486</f>
        <v>142.084411492169</v>
      </c>
      <c r="L10569" s="38" t="n">
        <f aca="false">Sens!$L$10486</f>
        <v>160.69964615804</v>
      </c>
      <c r="M10569" s="38" t="n">
        <f aca="false">Sens!$M$10486</f>
        <v>169.577607141793</v>
      </c>
      <c r="N10569" s="38" t="n">
        <f aca="false">Sens!$N$10486</f>
        <v>2.37162185981912</v>
      </c>
      <c r="O10569" s="38" t="n">
        <f aca="false">Sens!$O$10486</f>
        <v>4.40444059680694</v>
      </c>
    </row>
    <row r="10570" customFormat="false" ht="17.15" hidden="false" customHeight="false" outlineLevel="0" collapsed="false">
      <c r="A10570" s="0" t="s">
        <v>744</v>
      </c>
      <c r="B10570" s="0" t="s">
        <v>86</v>
      </c>
      <c r="C10570" s="38" t="n">
        <f aca="false">Sens!$C$10551+Sens!$C$10565</f>
        <v>100.66</v>
      </c>
      <c r="D10570" s="38" t="n">
        <f aca="false">Sens!$D$10551+Sens!$D$10565</f>
        <v>121.835</v>
      </c>
      <c r="E10570" s="38" t="n">
        <f aca="false">Sens!$E$10551+Sens!$E$10565</f>
        <v>78.016</v>
      </c>
      <c r="F10570" s="38" t="n">
        <f aca="false">Sens!$F$10551+Sens!$F$10565</f>
        <v>85.580207202011</v>
      </c>
      <c r="G10570" s="38" t="n">
        <f aca="false">Sens!$G$10551+Sens!$G$10565</f>
        <v>163.596207202011</v>
      </c>
      <c r="H10570" s="38" t="n">
        <f aca="false">Sens!$H$10551+Sens!$H$10565</f>
        <v>211.252308354151</v>
      </c>
      <c r="I10570" s="38" t="n">
        <f aca="false">Sens!$I$10551+Sens!$I$10565</f>
        <v>264.28812593412</v>
      </c>
      <c r="J10570" s="38" t="n">
        <f aca="false">Sens!$J$10551+Sens!$J$10565</f>
        <v>316.529074889914</v>
      </c>
      <c r="K10570" s="38" t="n">
        <f aca="false">Sens!$K$10551+Sens!$K$10565</f>
        <v>362.163713135636</v>
      </c>
      <c r="L10570" s="38" t="n">
        <f aca="false">Sens!$L$10551+Sens!$L$10565</f>
        <v>398.637293332179</v>
      </c>
      <c r="M10570" s="38" t="n">
        <f aca="false">Sens!$M$10551+Sens!$M$10565</f>
        <v>427.614322957878</v>
      </c>
      <c r="N10570" s="38" t="n">
        <f aca="false">Sens!$N$10551+Sens!$N$10565</f>
        <v>56.398</v>
      </c>
      <c r="O10570" s="38" t="n">
        <f aca="false">Sens!$O$10551+Sens!$O$10565</f>
        <v>65.437</v>
      </c>
    </row>
    <row r="10571" customFormat="false" ht="17.15" hidden="false" customHeight="false" outlineLevel="0" collapsed="false">
      <c r="A10571" s="1" t="s">
        <v>745</v>
      </c>
    </row>
    <row r="10572" customFormat="false" ht="15" hidden="false" customHeight="false" outlineLevel="0" collapsed="false">
      <c r="A10572" s="5" t="s">
        <v>541</v>
      </c>
      <c r="B10572" s="0" t="s">
        <v>86</v>
      </c>
      <c r="C10572" s="38" t="n">
        <f aca="false">Q!$D$34</f>
        <v>2.406</v>
      </c>
      <c r="D10572" s="38" t="n">
        <f aca="false">Q!$E$34</f>
        <v>2.274</v>
      </c>
      <c r="E10572" s="38" t="n">
        <f aca="false">Q!$P$34</f>
        <v>2.114</v>
      </c>
      <c r="F10572" s="38" t="n">
        <f aca="false">Sens!$F$10610</f>
        <v>3.24888962733561</v>
      </c>
      <c r="G10572" s="38" t="n">
        <f aca="false">Sens!$E$10572+Sens!$F$10572</f>
        <v>5.36288962733561</v>
      </c>
      <c r="H10572" s="38" t="n">
        <f aca="false">Sens!$H$10610</f>
        <v>7.42354172302123</v>
      </c>
      <c r="I10572" s="38" t="n">
        <f aca="false">Sens!$I$10610</f>
        <v>8.2931747618896</v>
      </c>
      <c r="J10572" s="38" t="n">
        <f aca="false">Sens!$J$10610</f>
        <v>9.27718179522602</v>
      </c>
      <c r="K10572" s="38" t="n">
        <f aca="false">Sens!$K$10610</f>
        <v>9.27718179522602</v>
      </c>
      <c r="L10572" s="38" t="n">
        <f aca="false">Sens!$L$10610</f>
        <v>9.27718179522602</v>
      </c>
      <c r="M10572" s="38" t="n">
        <f aca="false">Sens!$M$10610</f>
        <v>9.27718179522602</v>
      </c>
      <c r="N10572" s="38" t="n">
        <f aca="false">Q!$N$34</f>
        <v>1.057</v>
      </c>
      <c r="O10572" s="38" t="n">
        <f aca="false">Q!$O$34</f>
        <v>1.217</v>
      </c>
    </row>
    <row r="10573" customFormat="false" ht="15" hidden="false" customHeight="false" outlineLevel="0" collapsed="false">
      <c r="A10573" s="5" t="s">
        <v>746</v>
      </c>
      <c r="B10573" s="0" t="s">
        <v>86</v>
      </c>
      <c r="F10573" s="38" t="n">
        <f aca="false">Sens!$F$10611</f>
        <v>2.59</v>
      </c>
      <c r="H10573" s="38" t="n">
        <f aca="false">Sens!$H$10611</f>
        <v>3.80133635330174</v>
      </c>
      <c r="I10573" s="38" t="n">
        <f aca="false">Sens!$I$10611</f>
        <v>2.10589651022864</v>
      </c>
      <c r="J10573" s="38" t="n">
        <f aca="false">Sens!$J$10611</f>
        <v>2.10589651022864</v>
      </c>
      <c r="K10573" s="38" t="n">
        <f aca="false">Sens!$K$10611</f>
        <v>3.14850442073996</v>
      </c>
      <c r="L10573" s="38" t="n">
        <f aca="false">Sens!$L$10611</f>
        <v>8.25959583122945</v>
      </c>
      <c r="M10573" s="38" t="n">
        <f aca="false">Sens!$M$10611</f>
        <v>15.8335708401143</v>
      </c>
    </row>
    <row r="10574" customFormat="false" ht="17.15" hidden="false" customHeight="false" outlineLevel="0" collapsed="false">
      <c r="A10574" s="5" t="s">
        <v>747</v>
      </c>
      <c r="B10574" s="0" t="s">
        <v>86</v>
      </c>
      <c r="C10574" s="38" t="n">
        <f aca="false">Q!$D$39</f>
        <v>2.427</v>
      </c>
      <c r="D10574" s="38" t="n">
        <f aca="false">Q!$E$39</f>
        <v>19.61</v>
      </c>
      <c r="E10574" s="38" t="n">
        <f aca="false">Q!$P$39</f>
        <v>71.492</v>
      </c>
      <c r="F10574" s="39" t="n">
        <v>0</v>
      </c>
      <c r="G10574" s="38" t="n">
        <f aca="false">Sens!$E$10574+Sens!$F$10574</f>
        <v>71.492</v>
      </c>
      <c r="H10574" s="39" t="n">
        <v>0</v>
      </c>
      <c r="I10574" s="39" t="n">
        <v>0</v>
      </c>
      <c r="J10574" s="39" t="n">
        <v>0</v>
      </c>
      <c r="K10574" s="39" t="n">
        <v>0</v>
      </c>
      <c r="L10574" s="39" t="n">
        <v>0</v>
      </c>
      <c r="M10574" s="39" t="n">
        <v>0</v>
      </c>
      <c r="N10574" s="38" t="n">
        <f aca="false">Q!$N$39</f>
        <v>6.017</v>
      </c>
      <c r="O10574" s="38" t="n">
        <f aca="false">Q!$O$39</f>
        <v>13.593</v>
      </c>
      <c r="P10574" s="5" t="s">
        <v>748</v>
      </c>
    </row>
    <row r="10575" customFormat="false" ht="15" hidden="false" customHeight="false" outlineLevel="0" collapsed="false">
      <c r="A10575" s="5" t="s">
        <v>544</v>
      </c>
      <c r="B10575" s="0" t="s">
        <v>86</v>
      </c>
      <c r="C10575" s="38" t="n">
        <f aca="false">Q!$D$36</f>
        <v>68.614</v>
      </c>
      <c r="D10575" s="38" t="n">
        <f aca="false">Q!$E$36</f>
        <v>97.311</v>
      </c>
      <c r="E10575" s="38" t="n">
        <f aca="false">Q!$P$36</f>
        <v>120.691</v>
      </c>
      <c r="F10575" s="38" t="n">
        <f aca="false">Sens!$F$10551-Sens!$F$10572+Sens!$F$10573+Sens!$F$10574</f>
        <v>55.629999609589</v>
      </c>
      <c r="G10575" s="38" t="n">
        <f aca="false">Sens!$E$10575+Sens!$F$10575</f>
        <v>176.320999609589</v>
      </c>
      <c r="H10575" s="38" t="n">
        <f aca="false">Sens!$H$10551-Sens!$H$10572+Sens!$H$10573+Sens!$H$10574</f>
        <v>123.313761885917</v>
      </c>
      <c r="I10575" s="38" t="n">
        <f aca="false">Sens!$I$10551-Sens!$I$10572+Sens!$I$10573+Sens!$I$10574</f>
        <v>141.060502691455</v>
      </c>
      <c r="J10575" s="38" t="n">
        <f aca="false">Sens!$J$10551-Sens!$J$10572+Sens!$J$10573+Sens!$J$10574</f>
        <v>158.858808130232</v>
      </c>
      <c r="K10575" s="38" t="n">
        <f aca="false">Sens!$K$10551-Sens!$K$10572+Sens!$K$10573+Sens!$K$10574</f>
        <v>171.846913790867</v>
      </c>
      <c r="L10575" s="38" t="n">
        <f aca="false">Sens!$L$10551-Sens!$L$10572+Sens!$L$10573+Sens!$L$10574</f>
        <v>189.850989307375</v>
      </c>
      <c r="M10575" s="38" t="n">
        <f aca="false">Sens!$M$10551-Sens!$M$10572+Sens!$M$10573+Sens!$M$10574</f>
        <v>210.166777355014</v>
      </c>
      <c r="N10575" s="38" t="n">
        <f aca="false">Q!$N$36</f>
        <v>42.536</v>
      </c>
      <c r="O10575" s="38" t="n">
        <f aca="false">Q!$O$36</f>
        <v>54.775</v>
      </c>
    </row>
    <row r="10576" customFormat="false" ht="15" hidden="false" customHeight="false" outlineLevel="0" collapsed="false">
      <c r="A10576" s="5" t="s">
        <v>545</v>
      </c>
      <c r="B10576" s="0" t="s">
        <v>86</v>
      </c>
      <c r="C10576" s="38" t="n">
        <f aca="false">Q!$D$37</f>
        <v>9.265</v>
      </c>
      <c r="D10576" s="38" t="n">
        <f aca="false">Q!$E$37</f>
        <v>19.087</v>
      </c>
      <c r="E10576" s="38" t="n">
        <f aca="false">Q!$P$37</f>
        <v>27.759</v>
      </c>
      <c r="F10576" s="38" t="n">
        <f aca="false">Sens!$F$10575*tax</f>
        <v>9.65650714815835</v>
      </c>
      <c r="G10576" s="38" t="n">
        <f aca="false">Sens!$E$10576+Sens!$F$10576</f>
        <v>37.4155071481584</v>
      </c>
      <c r="H10576" s="38" t="n">
        <f aca="false">Sens!$H$10575*tax</f>
        <v>21.4053609828247</v>
      </c>
      <c r="I10576" s="38" t="n">
        <f aca="false">Sens!$I$10575*tax</f>
        <v>24.4859205846201</v>
      </c>
      <c r="J10576" s="38" t="n">
        <f aca="false">Sens!$J$10575*tax</f>
        <v>27.5754310088666</v>
      </c>
      <c r="K10576" s="38" t="n">
        <f aca="false">Sens!$K$10575*tax</f>
        <v>29.8299651816718</v>
      </c>
      <c r="L10576" s="38" t="n">
        <f aca="false">Sens!$L$10575*tax</f>
        <v>32.9551941074541</v>
      </c>
      <c r="M10576" s="38" t="n">
        <f aca="false">Sens!$M$10575*tax</f>
        <v>36.4817005586366</v>
      </c>
      <c r="N10576" s="38" t="n">
        <f aca="false">Q!$N$37</f>
        <v>7.231</v>
      </c>
      <c r="O10576" s="38" t="n">
        <f aca="false">Q!$O$37</f>
        <v>11.856</v>
      </c>
    </row>
    <row r="10577" customFormat="false" ht="15" hidden="false" customHeight="false" outlineLevel="0" collapsed="false">
      <c r="A10577" s="3" t="s">
        <v>546</v>
      </c>
      <c r="B10577" s="8" t="s">
        <v>86</v>
      </c>
      <c r="C10577" s="38" t="n">
        <f aca="false">Q!$D$38</f>
        <v>59.248</v>
      </c>
      <c r="D10577" s="38" t="n">
        <f aca="false">Q!$E$38</f>
        <v>77.67</v>
      </c>
      <c r="E10577" s="38" t="n">
        <f aca="false">Q!$P$38</f>
        <v>92.902</v>
      </c>
      <c r="F10577" s="38" t="n">
        <f aca="false">Sens!$F$10575-Sens!$F$10576</f>
        <v>45.9734924614306</v>
      </c>
      <c r="G10577" s="38" t="n">
        <f aca="false">Sens!$E$10577+Sens!$F$10577</f>
        <v>138.875492461431</v>
      </c>
      <c r="H10577" s="38" t="n">
        <f aca="false">Sens!$H$10575-Sens!$H$10576</f>
        <v>101.908400903092</v>
      </c>
      <c r="I10577" s="38" t="n">
        <f aca="false">Sens!$I$10575-Sens!$I$10576</f>
        <v>116.574582106835</v>
      </c>
      <c r="J10577" s="38" t="n">
        <f aca="false">Sens!$J$10575-Sens!$J$10576</f>
        <v>131.283377121365</v>
      </c>
      <c r="K10577" s="38" t="n">
        <f aca="false">Sens!$K$10575-Sens!$K$10576</f>
        <v>142.016948609195</v>
      </c>
      <c r="L10577" s="38" t="n">
        <f aca="false">Sens!$L$10575-Sens!$L$10576</f>
        <v>156.895795199921</v>
      </c>
      <c r="M10577" s="38" t="n">
        <f aca="false">Sens!$M$10575-Sens!$M$10576</f>
        <v>173.685076796377</v>
      </c>
      <c r="N10577" s="38" t="n">
        <f aca="false">Q!$N$38</f>
        <v>35.291</v>
      </c>
      <c r="O10577" s="38" t="n">
        <f aca="false">Q!$O$38</f>
        <v>42.379</v>
      </c>
    </row>
    <row r="10578" customFormat="false" ht="17.15" hidden="false" customHeight="false" outlineLevel="0" collapsed="false">
      <c r="A10578" s="5" t="s">
        <v>549</v>
      </c>
      <c r="B10578" s="5" t="s">
        <v>33</v>
      </c>
      <c r="C10578" s="22" t="n">
        <f aca="false">Q!$D$41</f>
        <v>10.721</v>
      </c>
      <c r="D10578" s="22" t="n">
        <f aca="false">Q!$E$41</f>
        <v>10.827</v>
      </c>
      <c r="E10578" s="22" t="n">
        <f aca="false">(Q!$L$41+Q!$M$41)/2</f>
        <v>10.8885</v>
      </c>
      <c r="F10578" s="22" t="n">
        <f aca="false">Sens!$G$10578</f>
        <v>10.924806</v>
      </c>
      <c r="G10578" s="22" t="n">
        <f aca="false">Q!$M$41*(1+sh_g*0.25)</f>
        <v>10.924806</v>
      </c>
      <c r="H10578" s="22" t="n">
        <f aca="false">Sens!$G$10578*(1+sh_g)</f>
        <v>11.012204448</v>
      </c>
      <c r="I10578" s="22" t="n">
        <f aca="false">Sens!$H$10578*(1+sh_g)</f>
        <v>11.100302083584</v>
      </c>
      <c r="J10578" s="22" t="n">
        <f aca="false">Sens!$I$10578*(1+sh_g)</f>
        <v>11.1891045002527</v>
      </c>
      <c r="K10578" s="22" t="n">
        <f aca="false">Sens!$J$10578*(1+sh_g)</f>
        <v>11.2786173362547</v>
      </c>
      <c r="L10578" s="22" t="n">
        <f aca="false">Sens!$K$10578*(1+sh_g)</f>
        <v>11.3688462749447</v>
      </c>
      <c r="M10578" s="22" t="n">
        <f aca="false">Sens!$L$10578*(1+sh_g)</f>
        <v>11.4597970451443</v>
      </c>
      <c r="P10578" s="5" t="s">
        <v>749</v>
      </c>
    </row>
    <row r="10579" customFormat="false" ht="17.15" hidden="false" customHeight="false" outlineLevel="0" collapsed="false">
      <c r="A10579" s="5" t="s">
        <v>750</v>
      </c>
      <c r="B10579" s="0" t="s">
        <v>86</v>
      </c>
      <c r="C10579" s="38" t="n">
        <f aca="false">Sens!$C$10577+Sens!$C$10553*(1-tax)</f>
        <v>59.248</v>
      </c>
      <c r="D10579" s="38" t="n">
        <f aca="false">Sens!$D$10577+Sens!$D$10553*(1-tax)</f>
        <v>77.67</v>
      </c>
      <c r="E10579" s="38" t="n">
        <f aca="false">Sens!$E$10577+Sens!$E$10553*(1-tax)</f>
        <v>92.902</v>
      </c>
      <c r="F10579" s="38" t="n">
        <f aca="false">Sens!$F$10577+Sens!$F$10553*(1-tax)</f>
        <v>45.9734924614306</v>
      </c>
      <c r="G10579" s="38" t="n">
        <f aca="false">Sens!$G$10577+Sens!$G$10553*(1-tax)</f>
        <v>138.875492461431</v>
      </c>
      <c r="H10579" s="38" t="n">
        <f aca="false">Sens!$H$10577+Sens!$H$10553*(1-tax)</f>
        <v>101.908400903092</v>
      </c>
      <c r="I10579" s="38" t="n">
        <f aca="false">Sens!$I$10577+Sens!$I$10553*(1-tax)</f>
        <v>116.574582106835</v>
      </c>
      <c r="J10579" s="38" t="n">
        <f aca="false">Sens!$J$10577+Sens!$J$10553*(1-tax)</f>
        <v>131.283377121365</v>
      </c>
      <c r="K10579" s="38" t="n">
        <f aca="false">Sens!$K$10577+Sens!$K$10553*(1-tax)</f>
        <v>142.016948609195</v>
      </c>
      <c r="L10579" s="38" t="n">
        <f aca="false">Sens!$L$10577+Sens!$L$10553*(1-tax)</f>
        <v>156.895795199921</v>
      </c>
      <c r="M10579" s="38" t="n">
        <f aca="false">Sens!$M$10577+Sens!$M$10553*(1-tax)</f>
        <v>173.685076796377</v>
      </c>
      <c r="N10579" s="38" t="n">
        <f aca="false">Sens!$N$10577+Sens!$N$10553*(1-tax)</f>
        <v>35.291</v>
      </c>
      <c r="O10579" s="38" t="n">
        <f aca="false">Sens!$O$10577+Sens!$O$10553*(1-tax)</f>
        <v>42.379</v>
      </c>
    </row>
    <row r="10580" customFormat="false" ht="17.15" hidden="false" customHeight="false" outlineLevel="0" collapsed="false">
      <c r="A10580" s="43" t="s">
        <v>751</v>
      </c>
      <c r="B10580" s="14" t="s">
        <v>27</v>
      </c>
      <c r="C10580" s="44" t="n">
        <f aca="false">Sens!$C$10579/Sens!$C$10578</f>
        <v>5.52635015390355</v>
      </c>
      <c r="D10580" s="44" t="n">
        <f aca="false">Sens!$D$10579/Sens!$D$10578</f>
        <v>7.1737323358271</v>
      </c>
      <c r="E10580" s="44" t="n">
        <f aca="false">Sens!$E$10579/Sens!$E$10578</f>
        <v>8.53212104513937</v>
      </c>
      <c r="F10580" s="14"/>
      <c r="G10580" s="44" t="n">
        <f aca="false">Sens!$G$10579/Sens!$G$10578</f>
        <v>12.7119412886078</v>
      </c>
      <c r="H10580" s="44" t="n">
        <f aca="false">Sens!$H$10579/Sens!$H$10578</f>
        <v>9.25413266565353</v>
      </c>
      <c r="I10580" s="44" t="n">
        <f aca="false">Sens!$I$10579/Sens!$I$10578</f>
        <v>10.501928796986</v>
      </c>
      <c r="J10580" s="44" t="n">
        <f aca="false">Sens!$J$10579/Sens!$J$10578</f>
        <v>11.7331442492472</v>
      </c>
      <c r="K10580" s="44" t="n">
        <f aca="false">Sens!$K$10579/Sens!$K$10578</f>
        <v>12.5916984657939</v>
      </c>
      <c r="L10580" s="44" t="n">
        <f aca="false">Sens!$L$10579/Sens!$L$10578</f>
        <v>13.8005028307662</v>
      </c>
      <c r="M10580" s="44" t="n">
        <f aca="false">Sens!$M$10579/Sens!$M$10578</f>
        <v>15.1560342746184</v>
      </c>
      <c r="N10580" s="14"/>
      <c r="O10580" s="14"/>
    </row>
    <row r="10581" customFormat="false" ht="17.15" hidden="false" customHeight="false" outlineLevel="0" collapsed="false">
      <c r="A10581" s="0" t="s">
        <v>752</v>
      </c>
      <c r="B10581" s="0" t="s">
        <v>27</v>
      </c>
      <c r="C10581" s="30" t="n">
        <f aca="false">Sens!$C$10577/Sens!$C$10578</f>
        <v>5.52635015390355</v>
      </c>
      <c r="D10581" s="30" t="n">
        <f aca="false">Sens!$D$10577/Sens!$D$10578</f>
        <v>7.1737323358271</v>
      </c>
      <c r="E10581" s="30" t="n">
        <f aca="false">Sens!$E$10577/Sens!$E$10578</f>
        <v>8.53212104513937</v>
      </c>
      <c r="G10581" s="30" t="n">
        <f aca="false">Sens!$G$10577/Sens!$G$10578</f>
        <v>12.7119412886078</v>
      </c>
      <c r="H10581" s="30" t="n">
        <f aca="false">Sens!$H$10577/Sens!$H$10578</f>
        <v>9.25413266565353</v>
      </c>
      <c r="I10581" s="30" t="n">
        <f aca="false">Sens!$I$10577/Sens!$I$10578</f>
        <v>10.501928796986</v>
      </c>
      <c r="J10581" s="30" t="n">
        <f aca="false">Sens!$J$10577/Sens!$J$10578</f>
        <v>11.7331442492472</v>
      </c>
      <c r="K10581" s="30" t="n">
        <f aca="false">Sens!$K$10577/Sens!$K$10578</f>
        <v>12.5916984657939</v>
      </c>
      <c r="L10581" s="30" t="n">
        <f aca="false">Sens!$L$10577/Sens!$L$10578</f>
        <v>13.8005028307662</v>
      </c>
      <c r="M10581" s="30" t="n">
        <f aca="false">Sens!$M$10577/Sens!$M$10578</f>
        <v>15.1560342746184</v>
      </c>
    </row>
    <row r="10582" customFormat="false" ht="17.15" hidden="false" customHeight="false" outlineLevel="0" collapsed="false">
      <c r="A10582" s="0" t="s">
        <v>753</v>
      </c>
      <c r="B10582" s="0" t="s">
        <v>27</v>
      </c>
      <c r="C10582" s="30" t="n">
        <f aca="false">(Sens!$C$10577-Sens!$C$10574*(1-tax))/Sens!$C$10578</f>
        <v>5.33926775917445</v>
      </c>
      <c r="D10582" s="30" t="n">
        <f aca="false">(Sens!$D$10577-Sens!$D$10574*(1-tax))/Sens!$D$10578</f>
        <v>5.67691812755503</v>
      </c>
      <c r="E10582" s="30" t="n">
        <f aca="false">(Sens!$E$10577-Sens!$E$10574*(1-tax))/Sens!$E$10578</f>
        <v>3.10602057006846</v>
      </c>
      <c r="G10582" s="30" t="n">
        <f aca="false">(Sens!$G$10577-Sens!$G$10574*(1-tax))/Sens!$G$10578</f>
        <v>7.30387317071086</v>
      </c>
      <c r="H10582" s="30" t="n">
        <f aca="false">(Sens!$H$10577-Sens!$H$10574*(1-tax))/Sens!$H$10578</f>
        <v>9.25413266565353</v>
      </c>
      <c r="I10582" s="30" t="n">
        <f aca="false">(Sens!$I$10577-Sens!$I$10574*(1-tax))/Sens!$I$10578</f>
        <v>10.501928796986</v>
      </c>
      <c r="J10582" s="30" t="n">
        <f aca="false">(Sens!$J$10577-Sens!$J$10574*(1-tax))/Sens!$J$10578</f>
        <v>11.7331442492472</v>
      </c>
      <c r="K10582" s="30" t="n">
        <f aca="false">(Sens!$K$10577-Sens!$K$10574*(1-tax))/Sens!$K$10578</f>
        <v>12.5916984657939</v>
      </c>
      <c r="L10582" s="30" t="n">
        <f aca="false">(Sens!$L$10577-Sens!$L$10574*(1-tax))/Sens!$L$10578</f>
        <v>13.8005028307662</v>
      </c>
      <c r="M10582" s="30" t="n">
        <f aca="false">(Sens!$M$10577-Sens!$M$10574*(1-tax))/Sens!$M$10578</f>
        <v>15.1560342746184</v>
      </c>
      <c r="P10582" s="5" t="s">
        <v>754</v>
      </c>
    </row>
    <row r="10583" customFormat="false" ht="17.15" hidden="false" customHeight="false" outlineLevel="0" collapsed="false">
      <c r="A10583" s="0" t="s">
        <v>755</v>
      </c>
      <c r="B10583" s="0" t="s">
        <v>52</v>
      </c>
      <c r="H10583" s="13" t="n">
        <f aca="false">Sens!$H$10580/Sens!$G$10580-1</f>
        <v>-0.272012633196562</v>
      </c>
      <c r="I10583" s="13" t="n">
        <f aca="false">Sens!$I$10580/Sens!$H$10580-1</f>
        <v>0.134836637469403</v>
      </c>
      <c r="J10583" s="13" t="n">
        <f aca="false">Sens!$J$10580/Sens!$I$10580-1</f>
        <v>0.117237078641639</v>
      </c>
      <c r="K10583" s="13" t="n">
        <f aca="false">Sens!$K$10580/Sens!$J$10580-1</f>
        <v>0.0731734135631916</v>
      </c>
      <c r="L10583" s="13" t="n">
        <f aca="false">Sens!$L$10580/Sens!$K$10580-1</f>
        <v>0.0960001042159731</v>
      </c>
      <c r="M10583" s="13" t="n">
        <f aca="false">Sens!$M$10580/Sens!$L$10580-1</f>
        <v>0.0982233372562473</v>
      </c>
    </row>
    <row r="10586" customFormat="false" ht="19.4" hidden="false" customHeight="false" outlineLevel="0" collapsed="false">
      <c r="A10586" s="31" t="s">
        <v>1345</v>
      </c>
    </row>
    <row r="10587" customFormat="false" ht="17.15" hidden="false" customHeight="false" outlineLevel="0" collapsed="false">
      <c r="A10587" s="6" t="s">
        <v>16</v>
      </c>
      <c r="B10587" s="6" t="s">
        <v>17</v>
      </c>
      <c r="C10587" s="20" t="s">
        <v>494</v>
      </c>
      <c r="D10587" s="20" t="s">
        <v>495</v>
      </c>
      <c r="E10587" s="20" t="s">
        <v>577</v>
      </c>
      <c r="F10587" s="20" t="s">
        <v>578</v>
      </c>
      <c r="G10587" s="20" t="s">
        <v>579</v>
      </c>
      <c r="H10587" s="20" t="s">
        <v>580</v>
      </c>
      <c r="I10587" s="20" t="s">
        <v>581</v>
      </c>
      <c r="J10587" s="20" t="s">
        <v>582</v>
      </c>
      <c r="K10587" s="20" t="s">
        <v>583</v>
      </c>
      <c r="L10587" s="20" t="s">
        <v>584</v>
      </c>
      <c r="M10587" s="20" t="s">
        <v>585</v>
      </c>
      <c r="N10587" s="20" t="s">
        <v>586</v>
      </c>
      <c r="O10587" s="20" t="s">
        <v>587</v>
      </c>
      <c r="P10587" s="6" t="s">
        <v>23</v>
      </c>
      <c r="R10587" s="20" t="n">
        <v>2023</v>
      </c>
      <c r="S10587" s="20" t="n">
        <v>2024</v>
      </c>
      <c r="T10587" s="20" t="n">
        <v>2025</v>
      </c>
      <c r="U10587" s="20" t="n">
        <v>2026</v>
      </c>
      <c r="V10587" s="20" t="n">
        <v>2027</v>
      </c>
      <c r="W10587" s="20" t="n">
        <v>2028</v>
      </c>
      <c r="X10587" s="20" t="n">
        <v>2029</v>
      </c>
      <c r="Y10587" s="20" t="n">
        <v>2030</v>
      </c>
      <c r="Z10587" s="20" t="n">
        <v>2031</v>
      </c>
      <c r="AA10587" s="20" t="n">
        <v>2032</v>
      </c>
    </row>
    <row r="10588" customFormat="false" ht="15" hidden="false" customHeight="false" outlineLevel="0" collapsed="false">
      <c r="A10588" s="5" t="s">
        <v>546</v>
      </c>
      <c r="B10588" s="0" t="s">
        <v>86</v>
      </c>
      <c r="C10588" s="38" t="n">
        <f aca="false">Sens!$C$10577</f>
        <v>59.248</v>
      </c>
      <c r="D10588" s="38" t="n">
        <f aca="false">Sens!$D$10577</f>
        <v>77.67</v>
      </c>
      <c r="E10588" s="38" t="n">
        <f aca="false">Sens!$E$10577</f>
        <v>92.902</v>
      </c>
      <c r="F10588" s="38" t="n">
        <f aca="false">Sens!$F$10577</f>
        <v>45.9734924614306</v>
      </c>
      <c r="G10588" s="38" t="n">
        <f aca="false">Sens!$G$10577</f>
        <v>138.875492461431</v>
      </c>
      <c r="H10588" s="38" t="n">
        <f aca="false">Sens!$H$10577</f>
        <v>101.908400903092</v>
      </c>
      <c r="I10588" s="38" t="n">
        <f aca="false">Sens!$I$10577</f>
        <v>116.574582106835</v>
      </c>
      <c r="J10588" s="38" t="n">
        <f aca="false">Sens!$J$10577</f>
        <v>131.283377121365</v>
      </c>
      <c r="K10588" s="38" t="n">
        <f aca="false">Sens!$K$10577</f>
        <v>142.016948609195</v>
      </c>
      <c r="L10588" s="38" t="n">
        <f aca="false">Sens!$L$10577</f>
        <v>156.895795199921</v>
      </c>
      <c r="M10588" s="38" t="n">
        <f aca="false">Sens!$M$10577</f>
        <v>173.685076796377</v>
      </c>
    </row>
    <row r="10589" customFormat="false" ht="17.15" hidden="false" customHeight="false" outlineLevel="0" collapsed="false">
      <c r="A10589" s="5" t="s">
        <v>778</v>
      </c>
      <c r="B10589" s="0" t="s">
        <v>86</v>
      </c>
      <c r="C10589" s="38" t="n">
        <f aca="false">Sens!$C$10565</f>
        <v>32.067</v>
      </c>
      <c r="D10589" s="38" t="n">
        <f aca="false">Sens!$D$10565</f>
        <v>41.86</v>
      </c>
      <c r="E10589" s="38" t="n">
        <f aca="false">Sens!$E$10565</f>
        <v>26.703</v>
      </c>
      <c r="F10589" s="38" t="n">
        <f aca="false">Sens!$F$10565</f>
        <v>29.2913179650864</v>
      </c>
      <c r="G10589" s="38" t="n">
        <f aca="false">Sens!$G$10565</f>
        <v>55.9943179650864</v>
      </c>
      <c r="H10589" s="38" t="n">
        <f aca="false">Sens!$H$10565</f>
        <v>84.3163410985152</v>
      </c>
      <c r="I10589" s="38" t="n">
        <f aca="false">Sens!$I$10565</f>
        <v>117.040344991004</v>
      </c>
      <c r="J10589" s="38" t="n">
        <f aca="false">Sens!$J$10565</f>
        <v>150.498981474685</v>
      </c>
      <c r="K10589" s="38" t="n">
        <f aca="false">Sens!$K$10565</f>
        <v>184.188121970284</v>
      </c>
      <c r="L10589" s="38" t="n">
        <f aca="false">Sens!$L$10565</f>
        <v>207.768718060808</v>
      </c>
      <c r="M10589" s="38" t="n">
        <f aca="false">Sens!$M$10565</f>
        <v>224.003934647752</v>
      </c>
    </row>
    <row r="10590" customFormat="false" ht="15" hidden="false" customHeight="false" outlineLevel="0" collapsed="false">
      <c r="A10590" s="5" t="s">
        <v>779</v>
      </c>
      <c r="B10590" s="0" t="s">
        <v>86</v>
      </c>
      <c r="C10590" s="38" t="n">
        <f aca="false">Q!$D$48</f>
        <v>22.011</v>
      </c>
      <c r="D10590" s="38" t="n">
        <f aca="false">Q!$E$48</f>
        <v>19.467</v>
      </c>
      <c r="E10590" s="38" t="n">
        <f aca="false">Q!$P$48</f>
        <v>10.07</v>
      </c>
      <c r="F10590" s="38" t="n">
        <f aca="false">sbc_r*Sens!$F$10507</f>
        <v>10.8507035798037</v>
      </c>
      <c r="G10590" s="38" t="n">
        <f aca="false">Sens!$E$10590+Sens!$F$10590</f>
        <v>20.9207035798037</v>
      </c>
      <c r="H10590" s="38" t="n">
        <f aca="false">sbc_r*Sens!$H$10507</f>
        <v>23.46224366345</v>
      </c>
      <c r="I10590" s="38" t="n">
        <f aca="false">sbc_r*Sens!$I$10507</f>
        <v>26.6125957111676</v>
      </c>
      <c r="J10590" s="38" t="n">
        <f aca="false">sbc_r*Sens!$J$10507</f>
        <v>29.6280801413323</v>
      </c>
      <c r="K10590" s="38" t="n">
        <f aca="false">sbc_r*Sens!$K$10507</f>
        <v>32.2712258901105</v>
      </c>
      <c r="L10590" s="38" t="n">
        <f aca="false">sbc_r*Sens!$L$10507</f>
        <v>34.7390505016737</v>
      </c>
      <c r="M10590" s="38" t="n">
        <f aca="false">sbc_r*Sens!$M$10507</f>
        <v>37.0405146906692</v>
      </c>
    </row>
    <row r="10591" customFormat="false" ht="17.15" hidden="false" customHeight="false" outlineLevel="0" collapsed="false">
      <c r="A10591" s="5" t="s">
        <v>780</v>
      </c>
      <c r="B10591" s="0" t="s">
        <v>86</v>
      </c>
      <c r="C10591" s="38" t="n">
        <f aca="false">Q!$D$44-Sens!$C$10588-Sens!$C$10589-Sens!$C$10590</f>
        <v>2.551</v>
      </c>
      <c r="D10591" s="38" t="n">
        <f aca="false">Q!$E$44-Sens!$D$10588-Sens!$D$10589-Sens!$D$10590</f>
        <v>0.51700000000001</v>
      </c>
      <c r="E10591" s="38" t="n">
        <f aca="false">Q!$P$44-Sens!$E$10588-Sens!$E$10589-Sens!$E$10590</f>
        <v>-58.256</v>
      </c>
      <c r="F10591" s="38" t="n">
        <f aca="false">oth_r*Sens!$F$10507</f>
        <v>5.22265251035878</v>
      </c>
      <c r="G10591" s="38" t="n">
        <f aca="false">Sens!$E$10591+Sens!$F$10591</f>
        <v>-53.0333474896412</v>
      </c>
      <c r="H10591" s="38" t="n">
        <f aca="false">oth_r*Sens!$H$10507</f>
        <v>11.2928295263397</v>
      </c>
      <c r="I10591" s="38" t="n">
        <f aca="false">oth_r*Sens!$I$10507</f>
        <v>12.8091546115766</v>
      </c>
      <c r="J10591" s="38" t="n">
        <f aca="false">oth_r*Sens!$J$10507</f>
        <v>14.2605653162668</v>
      </c>
      <c r="K10591" s="38" t="n">
        <f aca="false">oth_r*Sens!$K$10507</f>
        <v>15.5327622460396</v>
      </c>
      <c r="L10591" s="38" t="n">
        <f aca="false">oth_r*Sens!$L$10507</f>
        <v>16.720573737517</v>
      </c>
      <c r="M10591" s="38" t="n">
        <f aca="false">oth_r*Sens!$M$10507</f>
        <v>17.8283127551536</v>
      </c>
      <c r="P10591" s="8" t="s">
        <v>781</v>
      </c>
    </row>
    <row r="10592" customFormat="false" ht="15" hidden="false" customHeight="false" outlineLevel="0" collapsed="false">
      <c r="A10592" s="3" t="s">
        <v>552</v>
      </c>
      <c r="B10592" s="8" t="s">
        <v>86</v>
      </c>
      <c r="C10592" s="38" t="n">
        <f aca="false">Q!$D$44</f>
        <v>115.877</v>
      </c>
      <c r="D10592" s="38" t="n">
        <f aca="false">Q!$E$44</f>
        <v>139.514</v>
      </c>
      <c r="E10592" s="38" t="n">
        <f aca="false">Q!$P$44</f>
        <v>71.419</v>
      </c>
      <c r="F10592" s="38" t="n">
        <f aca="false">Sens!$F$10588+Sens!$F$10589+Sens!$F$10590+Sens!$F$10591</f>
        <v>91.3381665166794</v>
      </c>
      <c r="G10592" s="38" t="n">
        <f aca="false">Sens!$E$10592+Sens!$F$10592</f>
        <v>162.757166516679</v>
      </c>
      <c r="H10592" s="38" t="n">
        <f aca="false">Sens!$H$10588+Sens!$H$10589+Sens!$H$10590+Sens!$H$10591</f>
        <v>220.979815191397</v>
      </c>
      <c r="I10592" s="38" t="n">
        <f aca="false">Sens!$I$10588+Sens!$I$10589+Sens!$I$10590+Sens!$I$10591</f>
        <v>273.036677420583</v>
      </c>
      <c r="J10592" s="38" t="n">
        <f aca="false">Sens!$J$10588+Sens!$J$10589+Sens!$J$10590+Sens!$J$10591</f>
        <v>325.671004053649</v>
      </c>
      <c r="K10592" s="38" t="n">
        <f aca="false">Sens!$K$10588+Sens!$K$10589+Sens!$K$10590+Sens!$K$10591</f>
        <v>374.009058715629</v>
      </c>
      <c r="L10592" s="38" t="n">
        <f aca="false">Sens!$L$10588+Sens!$L$10589+Sens!$L$10590+Sens!$L$10591</f>
        <v>416.124137499919</v>
      </c>
      <c r="M10592" s="38" t="n">
        <f aca="false">Sens!$M$10588+Sens!$M$10589+Sens!$M$10590+Sens!$M$10591</f>
        <v>452.557838889952</v>
      </c>
    </row>
    <row r="10593" customFormat="false" ht="17.15" hidden="false" customHeight="false" outlineLevel="0" collapsed="false">
      <c r="A10593" s="5" t="s">
        <v>782</v>
      </c>
      <c r="B10593" s="0" t="s">
        <v>86</v>
      </c>
      <c r="C10593" s="38" t="n">
        <f aca="false">Sens!$C$10476</f>
        <v>25.2781053077374</v>
      </c>
      <c r="D10593" s="38" t="n">
        <f aca="false">Sens!$D$10476</f>
        <v>69.5686316310026</v>
      </c>
      <c r="E10593" s="38" t="n">
        <f aca="false">Sens!$E$10476</f>
        <v>64.1899206485108</v>
      </c>
      <c r="F10593" s="38" t="n">
        <f aca="false">Sens!$F$10476</f>
        <v>96.2481299895</v>
      </c>
      <c r="G10593" s="38" t="n">
        <f aca="false">Sens!$G$10476</f>
        <v>160.438050638011</v>
      </c>
      <c r="H10593" s="38" t="n">
        <f aca="false">Sens!$H$10476</f>
        <v>198.57136494475</v>
      </c>
      <c r="I10593" s="38" t="n">
        <f aca="false">Sens!$I$10476</f>
        <v>204.6464699105</v>
      </c>
      <c r="J10593" s="38" t="n">
        <f aca="false">Sens!$J$10476</f>
        <v>209.8832381105</v>
      </c>
      <c r="K10593" s="38" t="n">
        <f aca="false">Sens!$K$10476</f>
        <v>155.238385275201</v>
      </c>
      <c r="L10593" s="38" t="n">
        <f aca="false">Sens!$L$10476</f>
        <v>132.014141639902</v>
      </c>
      <c r="M10593" s="38" t="n">
        <f aca="false">Sens!$M$10476</f>
        <v>132.230981659852</v>
      </c>
    </row>
    <row r="10594" customFormat="false" ht="17.15" hidden="false" customHeight="false" outlineLevel="0" collapsed="false">
      <c r="A10594" s="5" t="s">
        <v>783</v>
      </c>
      <c r="B10594" s="0" t="s">
        <v>86</v>
      </c>
      <c r="C10594" s="38" t="n">
        <f aca="false">cx_awso*Sens!$C$10505</f>
        <v>21.0469989286053</v>
      </c>
      <c r="D10594" s="38" t="n">
        <f aca="false">cx_awso*Sens!$D$10505</f>
        <v>24.0042459822698</v>
      </c>
      <c r="E10594" s="38" t="n">
        <f aca="false">cx_awso*Sens!$E$10505</f>
        <v>14.261729404886</v>
      </c>
      <c r="F10594" s="38" t="n">
        <f aca="false">cx_awso*Sens!$F$10505</f>
        <v>14.3538599588493</v>
      </c>
      <c r="G10594" s="38" t="n">
        <f aca="false">Sens!$E$10594+Sens!$F$10594</f>
        <v>28.6155893637353</v>
      </c>
      <c r="H10594" s="38" t="n">
        <f aca="false">cx_awso*Sens!$H$10505</f>
        <v>32.2034154158406</v>
      </c>
      <c r="I10594" s="38" t="n">
        <f aca="false">cx_awso*Sens!$I$10505</f>
        <v>35.7539519042915</v>
      </c>
      <c r="J10594" s="38" t="n">
        <f aca="false">cx_awso*Sens!$J$10505</f>
        <v>39.1551076091815</v>
      </c>
      <c r="K10594" s="38" t="n">
        <f aca="false">cx_awso*Sens!$K$10505</f>
        <v>42.287516217916</v>
      </c>
      <c r="L10594" s="38" t="n">
        <f aca="false">cx_awso*Sens!$L$10505</f>
        <v>45.6705175153492</v>
      </c>
      <c r="M10594" s="38" t="n">
        <f aca="false">cx_awso*Sens!$M$10505</f>
        <v>49.3241589165772</v>
      </c>
    </row>
    <row r="10595" customFormat="false" ht="17.15" hidden="false" customHeight="false" outlineLevel="0" collapsed="false">
      <c r="A10595" s="5" t="s">
        <v>784</v>
      </c>
      <c r="B10595" s="0" t="s">
        <v>86</v>
      </c>
      <c r="C10595" s="38" t="n">
        <f aca="false">Q!$D$46-Sens!$C$10593-Sens!$C$10594</f>
        <v>31.3328957636573</v>
      </c>
      <c r="D10595" s="38" t="n">
        <f aca="false">Q!$E$46-Sens!$D$10593-Sens!$D$10594</f>
        <v>34.7471223867276</v>
      </c>
      <c r="E10595" s="38" t="n">
        <f aca="false">Q!$P$46-Sens!$E$10593-Sens!$E$10594</f>
        <v>17.8583499466032</v>
      </c>
      <c r="F10595" s="38" t="n">
        <f aca="false">cx_rt*Sens!$F$10439</f>
        <v>20.6195895799373</v>
      </c>
      <c r="G10595" s="38" t="n">
        <f aca="false">Sens!$E$10595+Sens!$F$10595</f>
        <v>38.4779395265405</v>
      </c>
      <c r="H10595" s="38" t="n">
        <f aca="false">cx_rt*Sens!$H$10439</f>
        <v>42.5978994743075</v>
      </c>
      <c r="I10595" s="38" t="n">
        <f aca="false">cx_rt*Sens!$I$10439</f>
        <v>46.5813904136335</v>
      </c>
      <c r="J10595" s="38" t="n">
        <f aca="false">cx_rt*Sens!$J$10439</f>
        <v>50.2781676586844</v>
      </c>
      <c r="K10595" s="38" t="n">
        <f aca="false">cx_rt*Sens!$K$10439</f>
        <v>53.5312440191755</v>
      </c>
      <c r="L10595" s="38" t="n">
        <f aca="false">cx_rt*Sens!$L$10439</f>
        <v>57.0116717051447</v>
      </c>
      <c r="M10595" s="38" t="n">
        <f aca="false">cx_rt*Sens!$M$10439</f>
        <v>60.7365554669226</v>
      </c>
    </row>
    <row r="10596" customFormat="false" ht="15" hidden="false" customHeight="false" outlineLevel="0" collapsed="false">
      <c r="A10596" s="3" t="s">
        <v>785</v>
      </c>
      <c r="B10596" s="8" t="s">
        <v>86</v>
      </c>
      <c r="C10596" s="38" t="n">
        <f aca="false">Q!$D$46</f>
        <v>77.658</v>
      </c>
      <c r="D10596" s="38" t="n">
        <f aca="false">Q!$E$46</f>
        <v>128.32</v>
      </c>
      <c r="E10596" s="38" t="n">
        <f aca="false">Q!$P$46</f>
        <v>96.31</v>
      </c>
      <c r="F10596" s="38" t="n">
        <f aca="false">Sens!$F$10593+Sens!$F$10594+Sens!$F$10595</f>
        <v>131.221579528287</v>
      </c>
      <c r="G10596" s="38" t="n">
        <f aca="false">Sens!$E$10596+Sens!$F$10596</f>
        <v>227.531579528287</v>
      </c>
      <c r="H10596" s="38" t="n">
        <f aca="false">Sens!$H$10593+Sens!$H$10594+Sens!$H$10595</f>
        <v>273.372679834898</v>
      </c>
      <c r="I10596" s="38" t="n">
        <f aca="false">Sens!$I$10593+Sens!$I$10594+Sens!$I$10595</f>
        <v>286.981812228425</v>
      </c>
      <c r="J10596" s="38" t="n">
        <f aca="false">Sens!$J$10593+Sens!$J$10594+Sens!$J$10595</f>
        <v>299.316513378366</v>
      </c>
      <c r="K10596" s="38" t="n">
        <f aca="false">Sens!$K$10593+Sens!$K$10594+Sens!$K$10595</f>
        <v>251.057145512292</v>
      </c>
      <c r="L10596" s="38" t="n">
        <f aca="false">Sens!$L$10593+Sens!$L$10594+Sens!$L$10595</f>
        <v>234.696330860396</v>
      </c>
      <c r="M10596" s="38" t="n">
        <f aca="false">Sens!$M$10593+Sens!$M$10594+Sens!$M$10595</f>
        <v>242.291696043352</v>
      </c>
    </row>
    <row r="10597" customFormat="false" ht="17.15" hidden="false" customHeight="false" outlineLevel="0" collapsed="false">
      <c r="A10597" s="5" t="s">
        <v>560</v>
      </c>
      <c r="B10597" s="0" t="s">
        <v>86</v>
      </c>
      <c r="C10597" s="38" t="n">
        <f aca="false">Q!$D$50</f>
        <v>2.043</v>
      </c>
      <c r="D10597" s="38" t="n">
        <f aca="false">Q!$E$50</f>
        <v>1.557</v>
      </c>
      <c r="E10597" s="38" t="n">
        <f aca="false">lease_pr/2</f>
        <v>0.8</v>
      </c>
      <c r="F10597" s="38" t="n">
        <f aca="false">lease_pr/2</f>
        <v>0.8</v>
      </c>
      <c r="G10597" s="38" t="n">
        <f aca="false">Sens!$E$10597+Sens!$F$10597</f>
        <v>1.6</v>
      </c>
      <c r="H10597" s="38" t="n">
        <f aca="false">lease_pr</f>
        <v>1.6</v>
      </c>
      <c r="I10597" s="38" t="n">
        <f aca="false">lease_pr</f>
        <v>1.6</v>
      </c>
      <c r="J10597" s="38" t="n">
        <f aca="false">lease_pr</f>
        <v>1.6</v>
      </c>
      <c r="K10597" s="38" t="n">
        <f aca="false">lease_pr</f>
        <v>1.6</v>
      </c>
      <c r="L10597" s="38" t="n">
        <f aca="false">lease_pr</f>
        <v>1.6</v>
      </c>
      <c r="M10597" s="38" t="n">
        <f aca="false">lease_pr</f>
        <v>1.6</v>
      </c>
      <c r="P10597" s="8" t="s">
        <v>786</v>
      </c>
    </row>
    <row r="10598" customFormat="false" ht="15" hidden="false" customHeight="false" outlineLevel="0" collapsed="false">
      <c r="A10598" s="47" t="s">
        <v>787</v>
      </c>
      <c r="B10598" s="14" t="s">
        <v>86</v>
      </c>
      <c r="C10598" s="48" t="n">
        <f aca="false">Sens!$C$10592-Sens!$C$10596-Sens!$C$10597</f>
        <v>36.176</v>
      </c>
      <c r="D10598" s="48" t="n">
        <f aca="false">Sens!$D$10592-Sens!$D$10596-Sens!$D$10597</f>
        <v>9.63700000000002</v>
      </c>
      <c r="E10598" s="48" t="n">
        <f aca="false">Sens!$E$10592-Sens!$E$10596-Sens!$E$10597</f>
        <v>-25.691</v>
      </c>
      <c r="F10598" s="48" t="n">
        <f aca="false">Sens!$F$10592-Sens!$F$10596-Sens!$F$10597</f>
        <v>-40.6834130116072</v>
      </c>
      <c r="G10598" s="48" t="n">
        <f aca="false">Sens!$G$10592-Sens!$G$10596-Sens!$G$10597</f>
        <v>-66.3744130116072</v>
      </c>
      <c r="H10598" s="48" t="n">
        <f aca="false">Sens!$H$10592-Sens!$H$10596-Sens!$H$10597</f>
        <v>-53.9928646435014</v>
      </c>
      <c r="I10598" s="48" t="n">
        <f aca="false">Sens!$I$10592-Sens!$I$10596-Sens!$I$10597</f>
        <v>-15.5451348078424</v>
      </c>
      <c r="J10598" s="48" t="n">
        <f aca="false">Sens!$J$10592-Sens!$J$10596-Sens!$J$10597</f>
        <v>24.754490675283</v>
      </c>
      <c r="K10598" s="48" t="n">
        <f aca="false">Sens!$K$10592-Sens!$K$10596-Sens!$K$10597</f>
        <v>121.351913203336</v>
      </c>
      <c r="L10598" s="48" t="n">
        <f aca="false">Sens!$L$10592-Sens!$L$10596-Sens!$L$10597</f>
        <v>179.827806639524</v>
      </c>
      <c r="M10598" s="48" t="n">
        <f aca="false">Sens!$M$10592-Sens!$M$10596-Sens!$M$10597</f>
        <v>208.6661428466</v>
      </c>
      <c r="N10598" s="14"/>
      <c r="O10598" s="14"/>
    </row>
    <row r="10599" customFormat="false" ht="17.15" hidden="false" customHeight="false" outlineLevel="0" collapsed="false">
      <c r="A10599" s="5" t="s">
        <v>788</v>
      </c>
      <c r="B10599" s="0" t="s">
        <v>86</v>
      </c>
      <c r="C10599" s="38" t="n">
        <f aca="false">dps*Sens!$C$10578</f>
        <v>0</v>
      </c>
      <c r="D10599" s="38" t="n">
        <f aca="false">dps*Sens!$D$10578</f>
        <v>0</v>
      </c>
      <c r="E10599" s="38" t="n">
        <f aca="false">dps*Sens!$E$10578</f>
        <v>0</v>
      </c>
      <c r="F10599" s="38" t="n">
        <f aca="false">0</f>
        <v>0</v>
      </c>
      <c r="G10599" s="38" t="n">
        <f aca="false">dps*Sens!$G$10578</f>
        <v>0</v>
      </c>
      <c r="H10599" s="38" t="n">
        <f aca="false">dps*Sens!$H$10578</f>
        <v>0</v>
      </c>
      <c r="I10599" s="38" t="n">
        <f aca="false">dps*Sens!$I$10578</f>
        <v>0</v>
      </c>
      <c r="J10599" s="38" t="n">
        <f aca="false">dps*Sens!$J$10578</f>
        <v>0</v>
      </c>
      <c r="K10599" s="38" t="n">
        <f aca="false">dps*Sens!$K$10578</f>
        <v>0</v>
      </c>
      <c r="L10599" s="38" t="n">
        <f aca="false">dps*Sens!$L$10578</f>
        <v>0</v>
      </c>
      <c r="M10599" s="38" t="n">
        <f aca="false">dps*Sens!$M$10578</f>
        <v>0</v>
      </c>
      <c r="P10599" s="8" t="s">
        <v>789</v>
      </c>
    </row>
    <row r="10600" customFormat="false" ht="17.15" hidden="false" customHeight="false" outlineLevel="0" collapsed="false">
      <c r="A10600" s="5" t="s">
        <v>790</v>
      </c>
      <c r="B10600" s="0" t="s">
        <v>86</v>
      </c>
      <c r="C10600" s="38" t="n">
        <f aca="false">0</f>
        <v>0</v>
      </c>
      <c r="D10600" s="38" t="n">
        <f aca="false">0</f>
        <v>0</v>
      </c>
      <c r="E10600" s="38" t="n">
        <f aca="false">0</f>
        <v>0</v>
      </c>
      <c r="F10600" s="38" t="n">
        <f aca="false">0</f>
        <v>0</v>
      </c>
      <c r="G10600" s="38" t="n">
        <f aca="false">0</f>
        <v>0</v>
      </c>
      <c r="H10600" s="38" t="n">
        <f aca="false">0</f>
        <v>0</v>
      </c>
      <c r="I10600" s="38" t="n">
        <f aca="false">0</f>
        <v>0</v>
      </c>
      <c r="J10600" s="38" t="n">
        <f aca="false">0</f>
        <v>0</v>
      </c>
      <c r="K10600" s="38" t="n">
        <f aca="false">0</f>
        <v>0</v>
      </c>
      <c r="L10600" s="38" t="n">
        <f aca="false">0</f>
        <v>0</v>
      </c>
      <c r="M10600" s="38" t="n">
        <f aca="false">0</f>
        <v>0</v>
      </c>
      <c r="P10600" s="8" t="s">
        <v>791</v>
      </c>
    </row>
    <row r="10601" customFormat="false" ht="15" hidden="false" customHeight="false" outlineLevel="0" collapsed="false">
      <c r="A10601" s="3" t="s">
        <v>792</v>
      </c>
      <c r="B10601" s="8" t="s">
        <v>86</v>
      </c>
      <c r="C10601" s="38" t="n">
        <f aca="false">Sens!$C$10598-Sens!$C$10599</f>
        <v>36.176</v>
      </c>
      <c r="D10601" s="38" t="n">
        <f aca="false">Sens!$D$10598-Sens!$D$10599</f>
        <v>9.63700000000002</v>
      </c>
      <c r="E10601" s="38" t="n">
        <f aca="false">Sens!$E$10598-Sens!$E$10599</f>
        <v>-25.691</v>
      </c>
      <c r="F10601" s="38" t="n">
        <f aca="false">Sens!$F$10598-Sens!$F$10599</f>
        <v>-40.6834130116072</v>
      </c>
      <c r="G10601" s="38" t="n">
        <f aca="false">Sens!$G$10598-Sens!$G$10599</f>
        <v>-66.3744130116072</v>
      </c>
      <c r="H10601" s="38" t="n">
        <f aca="false">Sens!$H$10598-Sens!$H$10599</f>
        <v>-53.9928646435014</v>
      </c>
      <c r="I10601" s="38" t="n">
        <f aca="false">Sens!$I$10598-Sens!$I$10599</f>
        <v>-15.5451348078424</v>
      </c>
      <c r="J10601" s="38" t="n">
        <f aca="false">Sens!$J$10598-Sens!$J$10599</f>
        <v>24.754490675283</v>
      </c>
      <c r="K10601" s="38" t="n">
        <f aca="false">Sens!$K$10598-Sens!$K$10599</f>
        <v>121.351913203336</v>
      </c>
      <c r="L10601" s="38" t="n">
        <f aca="false">Sens!$L$10598-Sens!$L$10599</f>
        <v>179.827806639524</v>
      </c>
      <c r="M10601" s="38" t="n">
        <f aca="false">Sens!$M$10598-Sens!$M$10599</f>
        <v>208.6661428466</v>
      </c>
    </row>
    <row r="10602" customFormat="false" ht="17.15" hidden="false" customHeight="false" outlineLevel="0" collapsed="false">
      <c r="A10602" s="5" t="s">
        <v>793</v>
      </c>
      <c r="B10602" s="0" t="s">
        <v>86</v>
      </c>
      <c r="E10602" s="38" t="n">
        <f aca="false">Q!$P$53</f>
        <v>39.767</v>
      </c>
      <c r="F10602" s="38" t="n">
        <f aca="false">inv_2h26</f>
        <v>21.3</v>
      </c>
      <c r="G10602" s="38" t="n">
        <f aca="false">Sens!$E$10602+Sens!$F$10602</f>
        <v>61.067</v>
      </c>
      <c r="H10602" s="39" t="n">
        <v>0</v>
      </c>
      <c r="I10602" s="39" t="n">
        <v>0</v>
      </c>
      <c r="J10602" s="39" t="n">
        <v>0</v>
      </c>
      <c r="K10602" s="39" t="n">
        <v>0</v>
      </c>
      <c r="L10602" s="39" t="n">
        <v>0</v>
      </c>
      <c r="M10602" s="39" t="n">
        <v>0</v>
      </c>
    </row>
    <row r="10603" customFormat="false" ht="17.15" hidden="false" customHeight="false" outlineLevel="0" collapsed="false">
      <c r="A10603" s="5" t="s">
        <v>794</v>
      </c>
      <c r="B10603" s="0" t="s">
        <v>86</v>
      </c>
      <c r="F10603" s="38" t="n">
        <f aca="false">iss_2h26</f>
        <v>29.249999</v>
      </c>
      <c r="G10603" s="38" t="n">
        <f aca="false">Sens!$F$10603</f>
        <v>29.249999</v>
      </c>
      <c r="H10603" s="39" t="n">
        <v>0</v>
      </c>
      <c r="I10603" s="39" t="n">
        <v>0</v>
      </c>
      <c r="J10603" s="39" t="n">
        <v>0</v>
      </c>
      <c r="K10603" s="39" t="n">
        <v>0</v>
      </c>
      <c r="L10603" s="39" t="n">
        <v>0</v>
      </c>
      <c r="M10603" s="39" t="n">
        <v>0</v>
      </c>
    </row>
    <row r="10604" customFormat="false" ht="17.15" hidden="false" customHeight="false" outlineLevel="0" collapsed="false">
      <c r="A10604" s="5" t="s">
        <v>795</v>
      </c>
      <c r="B10604" s="0" t="s">
        <v>86</v>
      </c>
      <c r="F10604" s="38" t="n">
        <f aca="false">cash_q2</f>
        <v>122.988</v>
      </c>
      <c r="G10604" s="38" t="n">
        <f aca="false">cash_q2</f>
        <v>122.988</v>
      </c>
      <c r="H10604" s="38" t="n">
        <f aca="false">Sens!$G$10607</f>
        <v>90.2545859883928</v>
      </c>
      <c r="I10604" s="38" t="n">
        <f aca="false">Sens!$H$10607</f>
        <v>50</v>
      </c>
      <c r="J10604" s="38" t="n">
        <f aca="false">Sens!$I$10607</f>
        <v>50</v>
      </c>
      <c r="K10604" s="38" t="n">
        <f aca="false">Sens!$J$10607</f>
        <v>74.7544906752831</v>
      </c>
      <c r="L10604" s="38" t="n">
        <f aca="false">Sens!$K$10607</f>
        <v>196.106403878619</v>
      </c>
      <c r="M10604" s="38" t="n">
        <f aca="false">Sens!$L$10607</f>
        <v>375.934210518143</v>
      </c>
    </row>
    <row r="10605" customFormat="false" ht="15" hidden="false" customHeight="false" outlineLevel="0" collapsed="false">
      <c r="A10605" s="5" t="s">
        <v>796</v>
      </c>
      <c r="B10605" s="0" t="s">
        <v>86</v>
      </c>
      <c r="F10605" s="38" t="n">
        <f aca="false">Sens!$F$10604+Sens!$F$10601-Sens!$F$10600-Sens!$F$10602+Sens!$F$10603</f>
        <v>90.2545859883928</v>
      </c>
      <c r="H10605" s="38" t="n">
        <f aca="false">Sens!$H$10604+Sens!$H$10601-Sens!$H$10600-Sens!$H$10602+Sens!$H$10603</f>
        <v>36.2617213448915</v>
      </c>
      <c r="I10605" s="38" t="n">
        <f aca="false">Sens!$I$10604+Sens!$I$10601-Sens!$I$10600-Sens!$I$10602+Sens!$I$10603</f>
        <v>34.4548651921577</v>
      </c>
      <c r="J10605" s="38" t="n">
        <f aca="false">Sens!$J$10604+Sens!$J$10601-Sens!$J$10600-Sens!$J$10602+Sens!$J$10603</f>
        <v>74.7544906752831</v>
      </c>
      <c r="K10605" s="38" t="n">
        <f aca="false">Sens!$K$10604+Sens!$K$10601-Sens!$K$10600-Sens!$K$10602+Sens!$K$10603</f>
        <v>196.106403878619</v>
      </c>
      <c r="L10605" s="38" t="n">
        <f aca="false">Sens!$L$10604+Sens!$L$10601-Sens!$L$10600-Sens!$L$10602+Sens!$L$10603</f>
        <v>375.934210518143</v>
      </c>
      <c r="M10605" s="38" t="n">
        <f aca="false">Sens!$M$10604+Sens!$M$10601-Sens!$M$10600-Sens!$M$10602+Sens!$M$10603</f>
        <v>584.600353364743</v>
      </c>
    </row>
    <row r="10606" customFormat="false" ht="17.15" hidden="false" customHeight="false" outlineLevel="0" collapsed="false">
      <c r="A10606" s="5" t="s">
        <v>797</v>
      </c>
      <c r="B10606" s="0" t="s">
        <v>86</v>
      </c>
      <c r="F10606" s="38" t="n">
        <f aca="false">MAX(0,min_cash-Sens!$F$10605)</f>
        <v>0</v>
      </c>
      <c r="G10606" s="38" t="n">
        <f aca="false">Sens!$F$10606</f>
        <v>0</v>
      </c>
      <c r="H10606" s="38" t="n">
        <f aca="false">MAX(0,min_cash-Sens!$H$10605)</f>
        <v>13.7382786551085</v>
      </c>
      <c r="I10606" s="38" t="n">
        <f aca="false">MAX(0,min_cash-Sens!$I$10605)</f>
        <v>15.5451348078424</v>
      </c>
      <c r="J10606" s="38" t="n">
        <f aca="false">MAX(0,min_cash-Sens!$J$10605)</f>
        <v>0</v>
      </c>
      <c r="K10606" s="38" t="n">
        <f aca="false">MAX(0,min_cash-Sens!$K$10605)</f>
        <v>0</v>
      </c>
      <c r="L10606" s="38" t="n">
        <f aca="false">MAX(0,min_cash-Sens!$L$10605)</f>
        <v>0</v>
      </c>
      <c r="M10606" s="38" t="n">
        <f aca="false">MAX(0,min_cash-Sens!$M$10605)</f>
        <v>0</v>
      </c>
      <c r="P10606" s="5" t="s">
        <v>798</v>
      </c>
    </row>
    <row r="10607" customFormat="false" ht="15" hidden="false" customHeight="false" outlineLevel="0" collapsed="false">
      <c r="A10607" s="5" t="s">
        <v>799</v>
      </c>
      <c r="B10607" s="0" t="s">
        <v>86</v>
      </c>
      <c r="D10607" s="38" t="n">
        <f aca="false">Q!$E$61</f>
        <v>123.029</v>
      </c>
      <c r="E10607" s="38" t="n">
        <f aca="false">Q!$M$61</f>
        <v>122.988</v>
      </c>
      <c r="F10607" s="38" t="n">
        <f aca="false">Sens!$F$10605+Sens!$F$10606</f>
        <v>90.2545859883928</v>
      </c>
      <c r="G10607" s="38" t="n">
        <f aca="false">Sens!$F$10607</f>
        <v>90.2545859883928</v>
      </c>
      <c r="H10607" s="38" t="n">
        <f aca="false">Sens!$H$10605+Sens!$H$10606</f>
        <v>50</v>
      </c>
      <c r="I10607" s="38" t="n">
        <f aca="false">Sens!$I$10605+Sens!$I$10606</f>
        <v>50</v>
      </c>
      <c r="J10607" s="38" t="n">
        <f aca="false">Sens!$J$10605+Sens!$J$10606</f>
        <v>74.7544906752831</v>
      </c>
      <c r="K10607" s="38" t="n">
        <f aca="false">Sens!$K$10605+Sens!$K$10606</f>
        <v>196.106403878619</v>
      </c>
      <c r="L10607" s="38" t="n">
        <f aca="false">Sens!$L$10605+Sens!$L$10606</f>
        <v>375.934210518143</v>
      </c>
      <c r="M10607" s="38" t="n">
        <f aca="false">Sens!$M$10605+Sens!$M$10606</f>
        <v>584.600353364743</v>
      </c>
    </row>
    <row r="10608" customFormat="false" ht="15" hidden="false" customHeight="false" outlineLevel="0" collapsed="false">
      <c r="A10608" s="5" t="s">
        <v>800</v>
      </c>
      <c r="B10608" s="0" t="s">
        <v>86</v>
      </c>
      <c r="D10608" s="38" t="n">
        <f aca="false">Q!$E$62</f>
        <v>68.836</v>
      </c>
      <c r="E10608" s="38" t="n">
        <f aca="false">Q!$M$62</f>
        <v>132.995</v>
      </c>
      <c r="F10608" s="38" t="n">
        <f aca="false">debt_q2+Sens!$F$10603+Sens!$F$10606</f>
        <v>162.244999</v>
      </c>
      <c r="G10608" s="38" t="n">
        <f aca="false">Sens!$F$10608</f>
        <v>162.244999</v>
      </c>
      <c r="H10608" s="38" t="n">
        <f aca="false">Sens!$G$10608+Sens!$H$10606</f>
        <v>175.983277655109</v>
      </c>
      <c r="I10608" s="38" t="n">
        <f aca="false">Sens!$H$10608+Sens!$I$10606</f>
        <v>191.528412462951</v>
      </c>
      <c r="J10608" s="38" t="n">
        <f aca="false">Sens!$I$10608+Sens!$J$10606</f>
        <v>191.528412462951</v>
      </c>
      <c r="K10608" s="38" t="n">
        <f aca="false">Sens!$J$10608+Sens!$K$10606</f>
        <v>191.528412462951</v>
      </c>
      <c r="L10608" s="38" t="n">
        <f aca="false">Sens!$K$10608+Sens!$L$10606</f>
        <v>191.528412462951</v>
      </c>
      <c r="M10608" s="38" t="n">
        <f aca="false">Sens!$L$10608+Sens!$M$10606</f>
        <v>191.528412462951</v>
      </c>
    </row>
    <row r="10609" customFormat="false" ht="15" hidden="false" customHeight="false" outlineLevel="0" collapsed="false">
      <c r="A10609" s="5" t="s">
        <v>801</v>
      </c>
      <c r="B10609" s="0" t="s">
        <v>86</v>
      </c>
      <c r="D10609" s="38" t="n">
        <f aca="false">Sens!$D$10608-Sens!$D$10607</f>
        <v>-54.193</v>
      </c>
      <c r="E10609" s="38" t="n">
        <f aca="false">Sens!$E$10608-Sens!$E$10607</f>
        <v>10.007</v>
      </c>
      <c r="F10609" s="38" t="n">
        <f aca="false">Sens!$F$10608-Sens!$F$10607</f>
        <v>71.9904130116072</v>
      </c>
      <c r="G10609" s="38" t="n">
        <f aca="false">Sens!$G$10608-Sens!$G$10607</f>
        <v>71.9904130116072</v>
      </c>
      <c r="H10609" s="38" t="n">
        <f aca="false">Sens!$H$10608-Sens!$H$10607</f>
        <v>125.983277655109</v>
      </c>
      <c r="I10609" s="38" t="n">
        <f aca="false">Sens!$I$10608-Sens!$I$10607</f>
        <v>141.528412462951</v>
      </c>
      <c r="J10609" s="38" t="n">
        <f aca="false">Sens!$J$10608-Sens!$J$10607</f>
        <v>116.773921787668</v>
      </c>
      <c r="K10609" s="38" t="n">
        <f aca="false">Sens!$K$10608-Sens!$K$10607</f>
        <v>-4.57799141566841</v>
      </c>
      <c r="L10609" s="38" t="n">
        <f aca="false">Sens!$L$10608-Sens!$L$10607</f>
        <v>-184.405798055192</v>
      </c>
      <c r="M10609" s="38" t="n">
        <f aca="false">Sens!$M$10608-Sens!$M$10607</f>
        <v>-393.071940901792</v>
      </c>
    </row>
    <row r="10610" customFormat="false" ht="17.15" hidden="false" customHeight="false" outlineLevel="0" collapsed="false">
      <c r="A10610" s="5" t="s">
        <v>802</v>
      </c>
      <c r="B10610" s="0" t="s">
        <v>86</v>
      </c>
      <c r="F10610" s="38" t="n">
        <f aca="false">debt_q2*kd_book*0.5+iss_2h26*kd_new*iss_t</f>
        <v>3.24888962733561</v>
      </c>
      <c r="H10610" s="38" t="n">
        <f aca="false">debt_q2*kd_book+(Sens!$G$10608-debt_q2)*kd_new</f>
        <v>7.42354172302123</v>
      </c>
      <c r="I10610" s="38" t="n">
        <f aca="false">debt_q2*kd_book+(Sens!$H$10608-debt_q2)*kd_new</f>
        <v>8.2931747618896</v>
      </c>
      <c r="J10610" s="38" t="n">
        <f aca="false">debt_q2*kd_book+(Sens!$I$10608-debt_q2)*kd_new</f>
        <v>9.27718179522602</v>
      </c>
      <c r="K10610" s="38" t="n">
        <f aca="false">debt_q2*kd_book+(Sens!$J$10608-debt_q2)*kd_new</f>
        <v>9.27718179522602</v>
      </c>
      <c r="L10610" s="38" t="n">
        <f aca="false">debt_q2*kd_book+(Sens!$K$10608-debt_q2)*kd_new</f>
        <v>9.27718179522602</v>
      </c>
      <c r="M10610" s="38" t="n">
        <f aca="false">debt_q2*kd_book+(Sens!$L$10608-debt_q2)*kd_new</f>
        <v>9.27718179522602</v>
      </c>
    </row>
    <row r="10611" customFormat="false" ht="17.15" hidden="false" customHeight="false" outlineLevel="0" collapsed="false">
      <c r="A10611" s="5" t="s">
        <v>803</v>
      </c>
      <c r="B10611" s="0" t="s">
        <v>86</v>
      </c>
      <c r="F10611" s="38" t="n">
        <f aca="false">cash_q2*y_cash*0.5</f>
        <v>2.59</v>
      </c>
      <c r="H10611" s="38" t="n">
        <f aca="false">Sens!$G$10607*y_cash</f>
        <v>3.80133635330174</v>
      </c>
      <c r="I10611" s="38" t="n">
        <f aca="false">Sens!$H$10607*y_cash</f>
        <v>2.10589651022864</v>
      </c>
      <c r="J10611" s="38" t="n">
        <f aca="false">Sens!$I$10607*y_cash</f>
        <v>2.10589651022864</v>
      </c>
      <c r="K10611" s="38" t="n">
        <f aca="false">Sens!$J$10607*y_cash</f>
        <v>3.14850442073996</v>
      </c>
      <c r="L10611" s="38" t="n">
        <f aca="false">Sens!$K$10607*y_cash</f>
        <v>8.25959583122945</v>
      </c>
      <c r="M10611" s="38" t="n">
        <f aca="false">Sens!$L$10607*y_cash</f>
        <v>15.8335708401143</v>
      </c>
    </row>
    <row r="10612" customFormat="false" ht="17.15" hidden="false" customHeight="false" outlineLevel="0" collapsed="false">
      <c r="A10612" s="47" t="s">
        <v>804</v>
      </c>
      <c r="B10612" s="14" t="s">
        <v>86</v>
      </c>
      <c r="C10612" s="14"/>
      <c r="D10612" s="14"/>
      <c r="E10612" s="14"/>
      <c r="F10612" s="14"/>
      <c r="G10612" s="48" t="n">
        <f aca="false">SUM(Sens!$G$10601:$K$10601)</f>
        <v>10.1939914156684</v>
      </c>
      <c r="H10612" s="14"/>
      <c r="I10612" s="14"/>
      <c r="J10612" s="14"/>
      <c r="K10612" s="14"/>
      <c r="L10612" s="14"/>
      <c r="M10612" s="14"/>
      <c r="N10612" s="14"/>
      <c r="O10612" s="14"/>
    </row>
    <row r="10613" customFormat="false" ht="17.15" hidden="false" customHeight="false" outlineLevel="0" collapsed="false">
      <c r="A10613" s="0" t="s">
        <v>770</v>
      </c>
      <c r="B10613" s="0" t="s">
        <v>86</v>
      </c>
      <c r="G10613" s="38" t="n">
        <f aca="false">SUM(Sens!$G$10606:$K$10606)</f>
        <v>29.2834134629509</v>
      </c>
    </row>
    <row r="10614" customFormat="false" ht="17.15" hidden="false" customHeight="false" outlineLevel="0" collapsed="false">
      <c r="A10614" s="24" t="s">
        <v>807</v>
      </c>
      <c r="B10614" s="25" t="s">
        <v>86</v>
      </c>
      <c r="C10614" s="25"/>
      <c r="D10614" s="25"/>
      <c r="E10614" s="25"/>
      <c r="F10614" s="25"/>
      <c r="G10614" s="41" t="n">
        <f aca="false">Sens!$G$10612-(Sens!$G$10601+Sens!$H$10601+Sens!$I$10601+Sens!$J$10601+Sens!$K$10601)</f>
        <v>0</v>
      </c>
      <c r="H10614" s="25"/>
      <c r="I10614" s="25"/>
      <c r="J10614" s="25"/>
      <c r="K10614" s="25"/>
      <c r="L10614" s="25"/>
      <c r="M10614" s="25"/>
      <c r="N10614" s="25"/>
      <c r="O10614" s="25"/>
    </row>
    <row r="10617" customFormat="false" ht="19.4" hidden="false" customHeight="false" outlineLevel="0" collapsed="false">
      <c r="A10617" s="31" t="s">
        <v>1346</v>
      </c>
    </row>
    <row r="10618" customFormat="false" ht="17.15" hidden="false" customHeight="false" outlineLevel="0" collapsed="false">
      <c r="A10618" s="6" t="s">
        <v>16</v>
      </c>
      <c r="B10618" s="6" t="s">
        <v>17</v>
      </c>
      <c r="C10618" s="20" t="s">
        <v>494</v>
      </c>
      <c r="D10618" s="20" t="s">
        <v>495</v>
      </c>
      <c r="E10618" s="20" t="s">
        <v>577</v>
      </c>
      <c r="F10618" s="20" t="s">
        <v>578</v>
      </c>
      <c r="G10618" s="20" t="s">
        <v>579</v>
      </c>
      <c r="H10618" s="20" t="s">
        <v>580</v>
      </c>
      <c r="I10618" s="20" t="s">
        <v>581</v>
      </c>
      <c r="J10618" s="20" t="s">
        <v>582</v>
      </c>
      <c r="K10618" s="20" t="s">
        <v>583</v>
      </c>
      <c r="L10618" s="20" t="s">
        <v>584</v>
      </c>
      <c r="M10618" s="20" t="s">
        <v>585</v>
      </c>
      <c r="N10618" s="20" t="s">
        <v>586</v>
      </c>
      <c r="O10618" s="20" t="s">
        <v>587</v>
      </c>
      <c r="P10618" s="6" t="s">
        <v>23</v>
      </c>
      <c r="R10618" s="20" t="n">
        <v>2023</v>
      </c>
      <c r="S10618" s="20" t="n">
        <v>2024</v>
      </c>
      <c r="T10618" s="20" t="n">
        <v>2025</v>
      </c>
      <c r="U10618" s="20" t="n">
        <v>2026</v>
      </c>
      <c r="V10618" s="20" t="n">
        <v>2027</v>
      </c>
      <c r="W10618" s="20" t="n">
        <v>2028</v>
      </c>
      <c r="X10618" s="20" t="n">
        <v>2029</v>
      </c>
      <c r="Y10618" s="20" t="n">
        <v>2030</v>
      </c>
      <c r="Z10618" s="20" t="n">
        <v>2031</v>
      </c>
      <c r="AA10618" s="20" t="n">
        <v>2032</v>
      </c>
    </row>
    <row r="10619" customFormat="false" ht="17.15" hidden="false" customHeight="false" outlineLevel="0" collapsed="false">
      <c r="A10619" s="1" t="s">
        <v>909</v>
      </c>
    </row>
    <row r="10620" customFormat="false" ht="17.15" hidden="false" customHeight="false" outlineLevel="0" collapsed="false">
      <c r="A10620" s="0" t="s">
        <v>910</v>
      </c>
      <c r="B10620" s="0" t="s">
        <v>86</v>
      </c>
      <c r="H10620" s="38" t="n">
        <f aca="false">Sens!$H$10554*(1-tax)</f>
        <v>104.901847468384</v>
      </c>
      <c r="I10620" s="38" t="n">
        <f aca="false">Sens!$I$10554*(1-tax)</f>
        <v>121.687844592108</v>
      </c>
      <c r="J10620" s="38" t="n">
        <f aca="false">Sens!$J$10554*(1-tax)</f>
        <v>137.209838244902</v>
      </c>
      <c r="K10620" s="38" t="n">
        <f aca="false">Sens!$K$10554*(1-tax)</f>
        <v>147.081782422818</v>
      </c>
      <c r="L10620" s="38" t="n">
        <f aca="false">Sens!$L$10554*(1-tax)</f>
        <v>157.736743986061</v>
      </c>
      <c r="M10620" s="38" t="n">
        <f aca="false">Sens!$M$10554*(1-tax)</f>
        <v>168.266775440189</v>
      </c>
    </row>
    <row r="10621" customFormat="false" ht="15" hidden="false" customHeight="false" outlineLevel="0" collapsed="false">
      <c r="A10621" s="5" t="s">
        <v>911</v>
      </c>
      <c r="B10621" s="0" t="s">
        <v>86</v>
      </c>
      <c r="H10621" s="38" t="n">
        <f aca="false">Sens!$H$10565</f>
        <v>84.3163410985152</v>
      </c>
      <c r="I10621" s="38" t="n">
        <f aca="false">Sens!$I$10565</f>
        <v>117.040344991004</v>
      </c>
      <c r="J10621" s="38" t="n">
        <f aca="false">Sens!$J$10565</f>
        <v>150.498981474685</v>
      </c>
      <c r="K10621" s="38" t="n">
        <f aca="false">Sens!$K$10565</f>
        <v>184.188121970284</v>
      </c>
      <c r="L10621" s="38" t="n">
        <f aca="false">Sens!$L$10565</f>
        <v>207.768718060808</v>
      </c>
      <c r="M10621" s="38" t="n">
        <f aca="false">Sens!$M$10565</f>
        <v>224.003934647752</v>
      </c>
    </row>
    <row r="10622" customFormat="false" ht="15" hidden="false" customHeight="false" outlineLevel="0" collapsed="false">
      <c r="A10622" s="5" t="s">
        <v>912</v>
      </c>
      <c r="B10622" s="0" t="s">
        <v>86</v>
      </c>
      <c r="H10622" s="38" t="n">
        <f aca="false">Sens!$H$10596</f>
        <v>273.372679834898</v>
      </c>
      <c r="I10622" s="38" t="n">
        <f aca="false">Sens!$I$10596</f>
        <v>286.981812228425</v>
      </c>
      <c r="J10622" s="38" t="n">
        <f aca="false">Sens!$J$10596</f>
        <v>299.316513378366</v>
      </c>
      <c r="K10622" s="38" t="n">
        <f aca="false">Sens!$K$10596</f>
        <v>251.057145512292</v>
      </c>
      <c r="L10622" s="38" t="n">
        <f aca="false">Sens!$L$10596</f>
        <v>234.696330860396</v>
      </c>
      <c r="M10622" s="38" t="n">
        <f aca="false">Sens!$M$10596</f>
        <v>242.291696043352</v>
      </c>
    </row>
    <row r="10623" customFormat="false" ht="15" hidden="false" customHeight="false" outlineLevel="0" collapsed="false">
      <c r="A10623" s="5" t="s">
        <v>913</v>
      </c>
      <c r="B10623" s="0" t="s">
        <v>86</v>
      </c>
      <c r="H10623" s="38" t="n">
        <f aca="false">Sens!$H$10597</f>
        <v>1.6</v>
      </c>
      <c r="I10623" s="38" t="n">
        <f aca="false">Sens!$I$10597</f>
        <v>1.6</v>
      </c>
      <c r="J10623" s="38" t="n">
        <f aca="false">Sens!$J$10597</f>
        <v>1.6</v>
      </c>
      <c r="K10623" s="38" t="n">
        <f aca="false">Sens!$K$10597</f>
        <v>1.6</v>
      </c>
      <c r="L10623" s="38" t="n">
        <f aca="false">Sens!$L$10597</f>
        <v>1.6</v>
      </c>
      <c r="M10623" s="38" t="n">
        <f aca="false">Sens!$M$10597</f>
        <v>1.6</v>
      </c>
    </row>
    <row r="10624" customFormat="false" ht="15" hidden="false" customHeight="false" outlineLevel="0" collapsed="false">
      <c r="A10624" s="5" t="s">
        <v>914</v>
      </c>
      <c r="B10624" s="0" t="s">
        <v>86</v>
      </c>
      <c r="H10624" s="38" t="n">
        <f aca="false">Sens!$H$10591</f>
        <v>11.2928295263397</v>
      </c>
      <c r="I10624" s="38" t="n">
        <f aca="false">Sens!$I$10591</f>
        <v>12.8091546115766</v>
      </c>
      <c r="J10624" s="38" t="n">
        <f aca="false">Sens!$J$10591</f>
        <v>14.2605653162668</v>
      </c>
      <c r="K10624" s="38" t="n">
        <f aca="false">Sens!$K$10591</f>
        <v>15.5327622460396</v>
      </c>
      <c r="L10624" s="38" t="n">
        <f aca="false">Sens!$L$10591</f>
        <v>16.720573737517</v>
      </c>
      <c r="M10624" s="38" t="n">
        <f aca="false">Sens!$M$10591</f>
        <v>17.8283127551536</v>
      </c>
    </row>
    <row r="10625" customFormat="false" ht="17.15" hidden="false" customHeight="false" outlineLevel="0" collapsed="false">
      <c r="A10625" s="1" t="s">
        <v>915</v>
      </c>
      <c r="B10625" s="8" t="s">
        <v>86</v>
      </c>
      <c r="H10625" s="38" t="n">
        <f aca="false">Sens!$H$10620+Sens!$H$10621-Sens!$H$10622-Sens!$H$10623+Sens!$H$10624</f>
        <v>-74.4616617416588</v>
      </c>
      <c r="I10625" s="38" t="n">
        <f aca="false">Sens!$I$10620+Sens!$I$10621-Sens!$I$10622-Sens!$I$10623+Sens!$I$10624</f>
        <v>-37.0444680337361</v>
      </c>
      <c r="J10625" s="38" t="n">
        <f aca="false">Sens!$J$10620+Sens!$J$10621-Sens!$J$10622-Sens!$J$10623+Sens!$J$10624</f>
        <v>1.05287165748754</v>
      </c>
      <c r="K10625" s="38" t="n">
        <f aca="false">Sens!$K$10620+Sens!$K$10621-Sens!$K$10622-Sens!$K$10623+Sens!$K$10624</f>
        <v>94.1455211268487</v>
      </c>
      <c r="L10625" s="38" t="n">
        <f aca="false">Sens!$L$10620+Sens!$L$10621-Sens!$L$10622-Sens!$L$10623+Sens!$L$10624</f>
        <v>145.92970492399</v>
      </c>
      <c r="M10625" s="38" t="n">
        <f aca="false">Sens!$M$10620+Sens!$M$10621-Sens!$M$10622-Sens!$M$10623+Sens!$M$10624</f>
        <v>166.207326799743</v>
      </c>
    </row>
    <row r="10626" customFormat="false" ht="15" hidden="false" customHeight="false" outlineLevel="0" collapsed="false">
      <c r="A10626" s="5" t="s">
        <v>916</v>
      </c>
      <c r="B10626" s="0" t="s">
        <v>57</v>
      </c>
      <c r="H10626" s="40" t="n">
        <f aca="false">1/(1+wacc)^(2027-2026-0.5)</f>
        <v>0.947751320380232</v>
      </c>
      <c r="I10626" s="40" t="n">
        <f aca="false">1/(1+wacc)^(2028-2026-0.5)</f>
        <v>0.851301099754987</v>
      </c>
      <c r="J10626" s="40" t="n">
        <f aca="false">1/(1+wacc)^(2029-2026-0.5)</f>
        <v>0.764666370660713</v>
      </c>
      <c r="K10626" s="40" t="n">
        <f aca="false">1/(1+wacc)^(2030-2026-0.5)</f>
        <v>0.686848235703811</v>
      </c>
      <c r="L10626" s="40" t="n">
        <f aca="false">1/(1+wacc)^(2031-2026-0.5)</f>
        <v>0.616949452715975</v>
      </c>
      <c r="M10626" s="40" t="n">
        <f aca="false">1/(1+wacc)^(2032-2026-0.5)</f>
        <v>0.554164089562688</v>
      </c>
    </row>
    <row r="10627" customFormat="false" ht="15" hidden="false" customHeight="false" outlineLevel="0" collapsed="false">
      <c r="A10627" s="5" t="s">
        <v>917</v>
      </c>
      <c r="B10627" s="0" t="s">
        <v>86</v>
      </c>
      <c r="H10627" s="38" t="n">
        <f aca="false">Sens!$H$10625*Sens!$H$10626</f>
        <v>-70.5711382333633</v>
      </c>
      <c r="I10627" s="38" t="n">
        <f aca="false">Sens!$I$10625*Sens!$I$10626</f>
        <v>-31.535996376958</v>
      </c>
      <c r="J10627" s="38" t="n">
        <f aca="false">Sens!$J$10625*Sens!$J$10626</f>
        <v>0.805095549102528</v>
      </c>
      <c r="K10627" s="38" t="n">
        <f aca="false">Sens!$K$10625*Sens!$K$10626</f>
        <v>64.6636850853919</v>
      </c>
      <c r="L10627" s="38" t="n">
        <f aca="false">Sens!$L$10625*Sens!$L$10626</f>
        <v>90.0312515878593</v>
      </c>
      <c r="M10627" s="38" t="n">
        <f aca="false">Sens!$M$10625*Sens!$M$10626</f>
        <v>92.1061319346276</v>
      </c>
    </row>
    <row r="10628" customFormat="false" ht="15" hidden="false" customHeight="false" outlineLevel="0" collapsed="false">
      <c r="A10628" s="5" t="s">
        <v>918</v>
      </c>
      <c r="B10628" s="0" t="s">
        <v>86</v>
      </c>
      <c r="C10628" s="38" t="n">
        <f aca="false">SUM(Sens!$H$10627:$M$10627)</f>
        <v>145.49902954666</v>
      </c>
    </row>
    <row r="10629" customFormat="false" ht="17.15" hidden="false" customHeight="false" outlineLevel="0" collapsed="false">
      <c r="A10629" s="5" t="s">
        <v>919</v>
      </c>
      <c r="B10629" s="0" t="s">
        <v>86</v>
      </c>
      <c r="C10629" s="38" t="n">
        <f aca="false">Sens!$M$10620*(1+tg)*(1-tg/ronic)/(wacc-tg)</f>
        <v>1529.73275496453</v>
      </c>
    </row>
    <row r="10630" customFormat="false" ht="15" hidden="false" customHeight="false" outlineLevel="0" collapsed="false">
      <c r="A10630" s="5" t="s">
        <v>920</v>
      </c>
      <c r="B10630" s="0" t="s">
        <v>86</v>
      </c>
      <c r="C10630" s="38" t="n">
        <f aca="false">Sens!$C$10629/(1+wacc)^6</f>
        <v>803.430554115604</v>
      </c>
    </row>
    <row r="10631" customFormat="false" ht="17.15" hidden="false" customHeight="false" outlineLevel="0" collapsed="false">
      <c r="A10631" s="5" t="s">
        <v>921</v>
      </c>
      <c r="B10631" s="0" t="s">
        <v>86</v>
      </c>
      <c r="C10631" s="38" t="n">
        <f aca="false">Sens!$C$10628+Sens!$C$10630</f>
        <v>948.929583662264</v>
      </c>
    </row>
    <row r="10632" customFormat="false" ht="17.15" hidden="false" customHeight="false" outlineLevel="0" collapsed="false">
      <c r="A10632" s="5" t="s">
        <v>922</v>
      </c>
      <c r="B10632" s="0" t="s">
        <v>52</v>
      </c>
      <c r="C10632" s="13" t="n">
        <f aca="false">Sens!$C$10630/Sens!$C$10631</f>
        <v>0.846670362003968</v>
      </c>
    </row>
    <row r="10633" customFormat="false" ht="17.15" hidden="false" customHeight="false" outlineLevel="0" collapsed="false">
      <c r="A10633" s="5" t="s">
        <v>923</v>
      </c>
      <c r="B10633" s="0" t="s">
        <v>86</v>
      </c>
      <c r="C10633" s="38" t="n">
        <f aca="false">Sens!$G$10609+fin_debt</f>
        <v>96.5114130116072</v>
      </c>
    </row>
    <row r="10634" customFormat="false" ht="17.15" hidden="false" customHeight="false" outlineLevel="0" collapsed="false">
      <c r="A10634" s="5" t="s">
        <v>924</v>
      </c>
      <c r="B10634" s="0" t="s">
        <v>86</v>
      </c>
      <c r="C10634" s="38" t="n">
        <f aca="false">(ant_val*ant_sh+oai_val*oai_sh)*(1-liq_disc)</f>
        <v>178.944</v>
      </c>
    </row>
    <row r="10635" customFormat="false" ht="15" hidden="false" customHeight="false" outlineLevel="0" collapsed="false">
      <c r="A10635" s="5" t="s">
        <v>925</v>
      </c>
      <c r="B10635" s="0" t="s">
        <v>86</v>
      </c>
      <c r="C10635" s="38" t="n">
        <f aca="false">Sens!$C$10631-Sens!$C$10633+Sens!$C$10634</f>
        <v>1031.36217065066</v>
      </c>
    </row>
    <row r="10636" customFormat="false" ht="17.15" hidden="false" customHeight="false" outlineLevel="0" collapsed="false">
      <c r="A10636" s="5" t="s">
        <v>926</v>
      </c>
      <c r="B10636" s="0" t="s">
        <v>27</v>
      </c>
      <c r="C10636" s="30" t="n">
        <f aca="false">Sens!$C$10635/sh_out</f>
        <v>95.6176661138047</v>
      </c>
    </row>
    <row r="10637" customFormat="false" ht="17.15" hidden="false" customHeight="false" outlineLevel="0" collapsed="false">
      <c r="A10637" s="1" t="s">
        <v>927</v>
      </c>
      <c r="B10637" s="8" t="s">
        <v>27</v>
      </c>
      <c r="C10637" s="30" t="n">
        <f aca="false">Sens!$C$10636*(1+ke)^tp_yf-dps*tp_yf</f>
        <v>104.736612633675</v>
      </c>
    </row>
    <row r="10638" customFormat="false" ht="17.15" hidden="false" customHeight="false" outlineLevel="0" collapsed="false">
      <c r="A10638" s="3" t="s">
        <v>928</v>
      </c>
    </row>
    <row r="10639" customFormat="false" ht="17.15" hidden="false" customHeight="false" outlineLevel="0" collapsed="false">
      <c r="A10639" s="5" t="s">
        <v>929</v>
      </c>
      <c r="B10639" s="0" t="s">
        <v>86</v>
      </c>
      <c r="C10639" s="38" t="n">
        <f aca="false">(1-tp_yf)*(Sens!$H$10566+Sens!$H$10590*Sens!$H$10432/Sens!$H$10507)+tp_yf*(Sens!$I$10566+Sens!$I$10590*Sens!$I$10432/Sens!$I$10507)</f>
        <v>59.634664536349</v>
      </c>
    </row>
    <row r="10640" customFormat="false" ht="15" hidden="false" customHeight="false" outlineLevel="0" collapsed="false">
      <c r="A10640" s="5" t="s">
        <v>930</v>
      </c>
      <c r="B10640" s="0" t="s">
        <v>57</v>
      </c>
      <c r="C10640" s="30" t="n">
        <f aca="false">m_ads*m_x</f>
        <v>9.11</v>
      </c>
    </row>
    <row r="10641" customFormat="false" ht="17.15" hidden="false" customHeight="false" outlineLevel="0" collapsed="false">
      <c r="A10641" s="5" t="s">
        <v>931</v>
      </c>
      <c r="B10641" s="0" t="s">
        <v>86</v>
      </c>
      <c r="C10641" s="38" t="n">
        <f aca="false">Sens!$C$10639*Sens!$C$10640</f>
        <v>543.271793926139</v>
      </c>
    </row>
    <row r="10642" customFormat="false" ht="17.15" hidden="false" customHeight="false" outlineLevel="0" collapsed="false">
      <c r="A10642" s="5" t="s">
        <v>932</v>
      </c>
      <c r="B10642" s="0" t="s">
        <v>86</v>
      </c>
      <c r="C10642" s="38" t="n">
        <f aca="false">(1-tp_yf)*(Sens!$H$10567+Sens!$H$10590*(Sens!$H$10439-Sens!$H$10432)/Sens!$H$10507+IF(1=2,1,0)*(1-ext_sh)*Sens!$H$10469)+tp_yf*(Sens!$I$10567+Sens!$I$10590*(Sens!$I$10439-Sens!$I$10432)/Sens!$I$10507+IF(1=2,1,0)*(1-ext_sh)*Sens!$I$10469)</f>
        <v>46.9092059595581</v>
      </c>
    </row>
    <row r="10643" customFormat="false" ht="17.15" hidden="false" customHeight="false" outlineLevel="0" collapsed="false">
      <c r="A10643" s="5" t="s">
        <v>933</v>
      </c>
      <c r="B10643" s="0" t="s">
        <v>57</v>
      </c>
      <c r="C10643" s="30" t="n">
        <f aca="false">m_retail*m_x</f>
        <v>17.72</v>
      </c>
    </row>
    <row r="10644" customFormat="false" ht="17.15" hidden="false" customHeight="false" outlineLevel="0" collapsed="false">
      <c r="A10644" s="5" t="s">
        <v>934</v>
      </c>
      <c r="B10644" s="0" t="s">
        <v>86</v>
      </c>
      <c r="C10644" s="38" t="n">
        <f aca="false">Sens!$C$10642*Sens!$C$10643</f>
        <v>831.23112960337</v>
      </c>
    </row>
    <row r="10645" customFormat="false" ht="17.15" hidden="false" customHeight="false" outlineLevel="0" collapsed="false">
      <c r="A10645" s="0" t="s">
        <v>935</v>
      </c>
      <c r="B10645" s="0" t="s">
        <v>86</v>
      </c>
      <c r="C10645" s="38" t="n">
        <f aca="false">(1-tp_yf)*(Sens!$H$10568+Sens!$H$10590*Sens!$H$10505/Sens!$H$10507)+tp_yf*(Sens!$I$10568+Sens!$I$10590*Sens!$I$10505/Sens!$I$10507)</f>
        <v>97.3363031479074</v>
      </c>
    </row>
    <row r="10646" customFormat="false" ht="17.15" hidden="false" customHeight="false" outlineLevel="0" collapsed="false">
      <c r="A10646" s="0" t="s">
        <v>936</v>
      </c>
      <c r="B10646" s="0" t="s">
        <v>57</v>
      </c>
      <c r="C10646" s="30" t="n">
        <f aca="false">m_cloud*m_x</f>
        <v>13.82</v>
      </c>
    </row>
    <row r="10647" customFormat="false" ht="17.15" hidden="false" customHeight="false" outlineLevel="0" collapsed="false">
      <c r="A10647" s="0" t="s">
        <v>937</v>
      </c>
      <c r="B10647" s="0" t="s">
        <v>86</v>
      </c>
      <c r="C10647" s="38" t="n">
        <f aca="false">Sens!$C$10645*Sens!$C$10646</f>
        <v>1345.18770950408</v>
      </c>
    </row>
    <row r="10648" customFormat="false" ht="17.15" hidden="false" customHeight="false" outlineLevel="0" collapsed="false">
      <c r="A10648" s="0" t="s">
        <v>938</v>
      </c>
      <c r="B10648" s="0" t="s">
        <v>86</v>
      </c>
      <c r="H10648" s="38" t="n">
        <f aca="false">Sens!$H$10486-tax*Sens!$H$10487-ext_sh*Sens!$H$10476</f>
        <v>-114.686944664267</v>
      </c>
      <c r="I10648" s="38" t="n">
        <f aca="false">Sens!$I$10486-tax*Sens!$I$10487-ext_sh*Sens!$I$10476</f>
        <v>-88.3950641557111</v>
      </c>
      <c r="J10648" s="38" t="n">
        <f aca="false">Sens!$J$10486-tax*Sens!$J$10487-ext_sh*Sens!$J$10476</f>
        <v>-61.1526151740695</v>
      </c>
      <c r="K10648" s="38" t="n">
        <f aca="false">Sens!$K$10486-tax*Sens!$K$10487-ext_sh*Sens!$K$10476</f>
        <v>10.057774712684</v>
      </c>
      <c r="L10648" s="38" t="n">
        <f aca="false">Sens!$L$10486-tax*Sens!$L$10487-ext_sh*Sens!$L$10476</f>
        <v>46.6587675560356</v>
      </c>
      <c r="M10648" s="38" t="n">
        <f aca="false">Sens!$M$10486-tax*Sens!$M$10487-ext_sh*Sens!$M$10476</f>
        <v>55.3915455321129</v>
      </c>
    </row>
    <row r="10649" customFormat="false" ht="17.15" hidden="false" customHeight="false" outlineLevel="0" collapsed="false">
      <c r="A10649" s="5" t="s">
        <v>939</v>
      </c>
      <c r="B10649" s="0" t="s">
        <v>86</v>
      </c>
      <c r="H10649" s="38" t="n">
        <f aca="false">Sens!$H$10648*Sens!$H$10626</f>
        <v>-108.694703235934</v>
      </c>
      <c r="I10649" s="38" t="n">
        <f aca="false">Sens!$I$10648*Sens!$I$10626</f>
        <v>-75.2508153286695</v>
      </c>
      <c r="J10649" s="38" t="n">
        <f aca="false">Sens!$J$10648*Sens!$J$10626</f>
        <v>-46.761348301567</v>
      </c>
      <c r="K10649" s="38" t="n">
        <f aca="false">Sens!$K$10648*Sens!$K$10626</f>
        <v>6.90816481651338</v>
      </c>
      <c r="L10649" s="38" t="n">
        <f aca="false">Sens!$L$10648*Sens!$L$10626</f>
        <v>28.7861011080981</v>
      </c>
      <c r="M10649" s="38" t="n">
        <f aca="false">Sens!$M$10648*Sens!$M$10626</f>
        <v>30.6960053992735</v>
      </c>
    </row>
    <row r="10650" customFormat="false" ht="17.15" hidden="false" customHeight="false" outlineLevel="0" collapsed="false">
      <c r="A10650" s="5" t="s">
        <v>940</v>
      </c>
      <c r="B10650" s="0" t="s">
        <v>86</v>
      </c>
      <c r="C10650" s="38" t="n">
        <f aca="false">Sens!$M$10487*(1-tax)*(1+tg)*(1-tg/ronic)/(wacc-tg)</f>
        <v>363.621782500497</v>
      </c>
    </row>
    <row r="10651" customFormat="false" ht="17.15" hidden="false" customHeight="false" outlineLevel="0" collapsed="false">
      <c r="A10651" s="0" t="s">
        <v>941</v>
      </c>
      <c r="B10651" s="0" t="s">
        <v>86</v>
      </c>
      <c r="C10651" s="38" t="n">
        <f aca="false">(SUM(Sens!$H$10649:$M$10649)+Sens!$C$10650/(1+wacc)^6)*(1+wacc)^tp_yf</f>
        <v>29.1198269558345</v>
      </c>
    </row>
    <row r="10652" customFormat="false" ht="17.15" hidden="false" customHeight="false" outlineLevel="0" collapsed="false">
      <c r="A10652" s="5" t="s">
        <v>942</v>
      </c>
      <c r="B10652" s="0" t="s">
        <v>86</v>
      </c>
      <c r="C10652" s="38" t="n">
        <f aca="false">(1-tp_yf)*(Sens!$H$10569)+tp_yf*(Sens!$I$10569)</f>
        <v>74.6707041238437</v>
      </c>
    </row>
    <row r="10653" customFormat="false" ht="17.15" hidden="false" customHeight="false" outlineLevel="0" collapsed="false">
      <c r="A10653" s="5" t="s">
        <v>943</v>
      </c>
      <c r="B10653" s="0" t="s">
        <v>86</v>
      </c>
      <c r="C10653" s="38" t="n">
        <f aca="false">Sens!$C$10652*m_ai</f>
        <v>448.024224743062</v>
      </c>
    </row>
    <row r="10654" customFormat="false" ht="17.15" hidden="false" customHeight="false" outlineLevel="0" collapsed="false">
      <c r="A10654" s="0" t="s">
        <v>944</v>
      </c>
      <c r="B10654" s="0" t="s">
        <v>86</v>
      </c>
      <c r="C10654" s="38" t="n">
        <f aca="false">IF(ai_leg=1,Sens!$C$10651,Sens!$C$10653)</f>
        <v>29.1198269558345</v>
      </c>
    </row>
    <row r="10655" customFormat="false" ht="17.15" hidden="false" customHeight="false" outlineLevel="0" collapsed="false">
      <c r="A10655" s="5" t="s">
        <v>945</v>
      </c>
      <c r="B10655" s="0" t="s">
        <v>86</v>
      </c>
      <c r="C10655" s="38" t="n">
        <f aca="false">Sens!$C$10641+Sens!$C$10644+Sens!$C$10647+Sens!$C$10654</f>
        <v>2748.81045998942</v>
      </c>
    </row>
    <row r="10656" customFormat="false" ht="17.15" hidden="false" customHeight="false" outlineLevel="0" collapsed="false">
      <c r="A10656" s="5" t="s">
        <v>946</v>
      </c>
      <c r="B10656" s="0" t="s">
        <v>86</v>
      </c>
      <c r="C10656" s="38" t="n">
        <f aca="false">Sens!$H$10609+fin_debt</f>
        <v>150.504277655109</v>
      </c>
    </row>
    <row r="10657" customFormat="false" ht="15" hidden="false" customHeight="false" outlineLevel="0" collapsed="false">
      <c r="A10657" s="5" t="s">
        <v>947</v>
      </c>
      <c r="B10657" s="0" t="s">
        <v>86</v>
      </c>
      <c r="C10657" s="38" t="n">
        <f aca="false">Sens!$C$10655-Sens!$C$10656+Sens!$C$10634</f>
        <v>2777.25018233432</v>
      </c>
    </row>
    <row r="10658" customFormat="false" ht="15" hidden="false" customHeight="false" outlineLevel="0" collapsed="false">
      <c r="A10658" s="3" t="s">
        <v>948</v>
      </c>
      <c r="B10658" s="8" t="s">
        <v>27</v>
      </c>
      <c r="C10658" s="30" t="n">
        <f aca="false">Sens!$C$10657/sh_val</f>
        <v>251.783419976468</v>
      </c>
    </row>
    <row r="10659" customFormat="false" ht="17.15" hidden="false" customHeight="false" outlineLevel="0" collapsed="false">
      <c r="A10659" s="47" t="s">
        <v>949</v>
      </c>
      <c r="B10659" s="14" t="s">
        <v>27</v>
      </c>
      <c r="C10659" s="44" t="n">
        <f aca="false">w_dcf*Sens!$C$10637+(1-w_dcf)*Sens!$C$10658</f>
        <v>178.260016305072</v>
      </c>
      <c r="D10659" s="14"/>
      <c r="E10659" s="14"/>
      <c r="F10659" s="14"/>
      <c r="G10659" s="14"/>
      <c r="H10659" s="14"/>
      <c r="I10659" s="14"/>
      <c r="J10659" s="14"/>
      <c r="K10659" s="14"/>
      <c r="L10659" s="14"/>
      <c r="M10659" s="14"/>
      <c r="N10659" s="14"/>
      <c r="O10659" s="14"/>
    </row>
    <row r="10660" customFormat="false" ht="17.15" hidden="false" customHeight="false" outlineLevel="0" collapsed="false">
      <c r="A10660" s="5" t="s">
        <v>950</v>
      </c>
      <c r="B10660" s="0" t="s">
        <v>27</v>
      </c>
      <c r="C10660" s="30" t="n">
        <f aca="false">v022_wdcf*Sens!$C$10637+(1-v022_wdcf)*Sens!$C$10658</f>
        <v>185.612356672211</v>
      </c>
    </row>
    <row r="10661" customFormat="false" ht="17.15" hidden="false" customHeight="false" outlineLevel="0" collapsed="false">
      <c r="A10661" s="5" t="s">
        <v>951</v>
      </c>
      <c r="B10661" s="0" t="s">
        <v>27</v>
      </c>
      <c r="C10661" s="30" t="n">
        <f aca="false">(Sens!$C$10657-Sens!$C$10654+Sens!$C$10653)/sh_val</f>
        <v>289.760978710266</v>
      </c>
    </row>
    <row r="10664" customFormat="false" ht="19.4" hidden="false" customHeight="false" outlineLevel="0" collapsed="false">
      <c r="A10664" s="31" t="s">
        <v>1347</v>
      </c>
    </row>
    <row r="10665" customFormat="false" ht="17.15" hidden="false" customHeight="false" outlineLevel="0" collapsed="false">
      <c r="A10665" s="6" t="s">
        <v>16</v>
      </c>
      <c r="B10665" s="6" t="s">
        <v>17</v>
      </c>
      <c r="C10665" s="20" t="s">
        <v>494</v>
      </c>
      <c r="D10665" s="20" t="s">
        <v>495</v>
      </c>
      <c r="E10665" s="20" t="s">
        <v>577</v>
      </c>
      <c r="F10665" s="20" t="s">
        <v>578</v>
      </c>
      <c r="G10665" s="20" t="s">
        <v>579</v>
      </c>
      <c r="H10665" s="20" t="s">
        <v>580</v>
      </c>
      <c r="I10665" s="20" t="s">
        <v>581</v>
      </c>
      <c r="J10665" s="20" t="s">
        <v>582</v>
      </c>
      <c r="K10665" s="20" t="s">
        <v>583</v>
      </c>
      <c r="L10665" s="20" t="s">
        <v>584</v>
      </c>
      <c r="M10665" s="20" t="s">
        <v>585</v>
      </c>
      <c r="N10665" s="20" t="s">
        <v>586</v>
      </c>
      <c r="O10665" s="20" t="s">
        <v>587</v>
      </c>
      <c r="P10665" s="6" t="s">
        <v>23</v>
      </c>
      <c r="R10665" s="20" t="n">
        <v>2023</v>
      </c>
      <c r="S10665" s="20" t="n">
        <v>2024</v>
      </c>
      <c r="T10665" s="20" t="n">
        <v>2025</v>
      </c>
      <c r="U10665" s="20" t="n">
        <v>2026</v>
      </c>
      <c r="V10665" s="20" t="n">
        <v>2027</v>
      </c>
      <c r="W10665" s="20" t="n">
        <v>2028</v>
      </c>
      <c r="X10665" s="20" t="n">
        <v>2029</v>
      </c>
      <c r="Y10665" s="20" t="n">
        <v>2030</v>
      </c>
      <c r="Z10665" s="20" t="n">
        <v>2031</v>
      </c>
      <c r="AA10665" s="20" t="n">
        <v>2032</v>
      </c>
    </row>
    <row r="10666" customFormat="false" ht="17.15" hidden="false" customHeight="false" outlineLevel="0" collapsed="false">
      <c r="A10666" s="1" t="s">
        <v>660</v>
      </c>
    </row>
    <row r="10667" customFormat="false" ht="17.15" hidden="false" customHeight="false" outlineLevel="0" collapsed="false">
      <c r="A10667" s="0" t="s">
        <v>516</v>
      </c>
      <c r="B10667" s="0" t="s">
        <v>86</v>
      </c>
      <c r="C10667" s="38" t="n">
        <f aca="false">Q!$D$10</f>
        <v>247.029</v>
      </c>
      <c r="D10667" s="38" t="n">
        <f aca="false">Q!$E$10</f>
        <v>269.287</v>
      </c>
      <c r="E10667" s="38" t="n">
        <f aca="false">Q!$P$10</f>
        <v>134.686</v>
      </c>
      <c r="F10667" s="38" t="n">
        <f aca="false">Sens!$O$10667*(1+Sens!$F$10668)*Sens!$F$10679</f>
        <v>158.668476412251</v>
      </c>
      <c r="G10667" s="38" t="n">
        <f aca="false">Sens!$E$10667+Sens!$F$10667</f>
        <v>293.354476412251</v>
      </c>
      <c r="H10667" s="38" t="n">
        <f aca="false">Sens!$G$10667*(1+Sens!$H$10668)</f>
        <v>318.591368978214</v>
      </c>
      <c r="I10667" s="38" t="n">
        <f aca="false">Sens!$H$10667*(1+Sens!$I$10668)</f>
        <v>342.173217541669</v>
      </c>
      <c r="J10667" s="38" t="n">
        <f aca="false">Sens!$I$10667*(1+Sens!$J$10668)</f>
        <v>363.391225945525</v>
      </c>
      <c r="K10667" s="38" t="n">
        <f aca="false">Sens!$J$10667*(1+Sens!$K$10668)</f>
        <v>381.560787242802</v>
      </c>
      <c r="L10667" s="38" t="n">
        <f aca="false">Sens!$K$10667*(1+Sens!$L$10668)</f>
        <v>400.638826604942</v>
      </c>
      <c r="M10667" s="38" t="n">
        <f aca="false">Sens!$L$10667*(1+Sens!$M$10668)</f>
        <v>420.670767935189</v>
      </c>
      <c r="N10667" s="38" t="n">
        <f aca="false">Q!$N$10</f>
        <v>118.892</v>
      </c>
      <c r="O10667" s="38" t="n">
        <f aca="false">Q!$O$10</f>
        <v>150.395</v>
      </c>
      <c r="P10667" s="8" t="s">
        <v>661</v>
      </c>
    </row>
    <row r="10668" customFormat="false" ht="17.15" hidden="false" customHeight="false" outlineLevel="0" collapsed="false">
      <c r="A10668" s="0" t="s">
        <v>662</v>
      </c>
      <c r="B10668" s="0" t="s">
        <v>52</v>
      </c>
      <c r="E10668" s="13" t="n">
        <f aca="false">Sens!$E$10667/Sens!$N$10667-1</f>
        <v>0.132843252699929</v>
      </c>
      <c r="F10668" s="13" t="n">
        <f aca="false">Sens!$O$10667/(Q!$F$10+Q!$G$10)-1</f>
        <v>0.0980382135842941</v>
      </c>
      <c r="G10668" s="13" t="n">
        <f aca="false">Sens!$G$10667/Sens!$D$10667-1</f>
        <v>0.0893748172479594</v>
      </c>
      <c r="H10668" s="13" t="n">
        <f aca="false">Sens!$F$10668+(g_os-Sens!$F$10668)*1/4</f>
        <v>0.0860286601882206</v>
      </c>
      <c r="I10668" s="13" t="n">
        <f aca="false">Sens!$F$10668+(g_os-Sens!$F$10668)*2/4</f>
        <v>0.074019106792147</v>
      </c>
      <c r="J10668" s="13" t="n">
        <f aca="false">Sens!$F$10668+(g_os-Sens!$F$10668)*3/4</f>
        <v>0.0620095533960735</v>
      </c>
      <c r="K10668" s="13" t="n">
        <f aca="false">Sens!$F$10668+(g_os-Sens!$F$10668)*4/4</f>
        <v>0.05</v>
      </c>
      <c r="L10668" s="13" t="n">
        <f aca="false">g_os</f>
        <v>0.05</v>
      </c>
      <c r="M10668" s="13" t="n">
        <f aca="false">g_os</f>
        <v>0.05</v>
      </c>
      <c r="P10668" s="8" t="s">
        <v>663</v>
      </c>
    </row>
    <row r="10669" customFormat="false" ht="17.15" hidden="false" customHeight="false" outlineLevel="0" collapsed="false">
      <c r="A10669" s="0" t="s">
        <v>517</v>
      </c>
      <c r="B10669" s="0" t="s">
        <v>86</v>
      </c>
      <c r="C10669" s="38" t="n">
        <f aca="false">Q!$D$11</f>
        <v>21.215</v>
      </c>
      <c r="D10669" s="38" t="n">
        <f aca="false">Q!$E$11</f>
        <v>22.561</v>
      </c>
      <c r="E10669" s="38" t="n">
        <f aca="false">Q!$P$11</f>
        <v>11.579</v>
      </c>
      <c r="F10669" s="38" t="n">
        <f aca="false">Sens!$O$10669*(1+Sens!$F$10670)*Sens!$F$10679</f>
        <v>11.6213091500405</v>
      </c>
      <c r="G10669" s="38" t="n">
        <f aca="false">Sens!$E$10669+Sens!$F$10669</f>
        <v>23.2003091500405</v>
      </c>
      <c r="H10669" s="38" t="n">
        <f aca="false">Sens!$G$10669*(1+Sens!$H$10670)</f>
        <v>24.3822271849556</v>
      </c>
      <c r="I10669" s="38" t="n">
        <f aca="false">Sens!$H$10669*(1+Sens!$I$10670)</f>
        <v>25.4541359521165</v>
      </c>
      <c r="J10669" s="38" t="n">
        <f aca="false">Sens!$I$10669*(1+Sens!$J$10670)</f>
        <v>26.3954643817717</v>
      </c>
      <c r="K10669" s="38" t="n">
        <f aca="false">Sens!$J$10669*(1+Sens!$K$10670)</f>
        <v>27.1873283132248</v>
      </c>
      <c r="L10669" s="38" t="n">
        <f aca="false">Sens!$K$10669*(1+Sens!$L$10670)</f>
        <v>28.0029481626215</v>
      </c>
      <c r="M10669" s="38" t="n">
        <f aca="false">Sens!$L$10669*(1+Sens!$M$10670)</f>
        <v>28.8430366075002</v>
      </c>
      <c r="N10669" s="38" t="n">
        <f aca="false">Q!$N$11</f>
        <v>11.128</v>
      </c>
      <c r="O10669" s="38" t="n">
        <f aca="false">Q!$O$11</f>
        <v>11.433</v>
      </c>
      <c r="P10669" s="8" t="s">
        <v>661</v>
      </c>
    </row>
    <row r="10670" customFormat="false" ht="17.15" hidden="false" customHeight="false" outlineLevel="0" collapsed="false">
      <c r="A10670" s="0" t="s">
        <v>664</v>
      </c>
      <c r="B10670" s="0" t="s">
        <v>52</v>
      </c>
      <c r="E10670" s="13" t="n">
        <f aca="false">Sens!$E$10669/Sens!$N$10669-1</f>
        <v>0.0405283968368082</v>
      </c>
      <c r="F10670" s="13" t="n">
        <f aca="false">Sens!$O$10669/(Q!$F$11+Q!$G$11)-1</f>
        <v>0.0579254187100955</v>
      </c>
      <c r="G10670" s="13" t="n">
        <f aca="false">Sens!$G$10669/Sens!$D$10669-1</f>
        <v>0.0283369154753981</v>
      </c>
      <c r="H10670" s="13" t="n">
        <f aca="false">Sens!$F$10670+(g_ps-Sens!$F$10670)*1/4</f>
        <v>0.0509440640325716</v>
      </c>
      <c r="I10670" s="13" t="n">
        <f aca="false">Sens!$F$10670+(g_ps-Sens!$F$10670)*2/4</f>
        <v>0.0439627093550477</v>
      </c>
      <c r="J10670" s="13" t="n">
        <f aca="false">Sens!$F$10670+(g_ps-Sens!$F$10670)*3/4</f>
        <v>0.0369813546775239</v>
      </c>
      <c r="K10670" s="13" t="n">
        <f aca="false">Sens!$F$10670+(g_ps-Sens!$F$10670)*4/4</f>
        <v>0.03</v>
      </c>
      <c r="L10670" s="13" t="n">
        <f aca="false">g_ps</f>
        <v>0.03</v>
      </c>
      <c r="M10670" s="13" t="n">
        <f aca="false">g_ps</f>
        <v>0.03</v>
      </c>
      <c r="P10670" s="8" t="s">
        <v>665</v>
      </c>
    </row>
    <row r="10671" customFormat="false" ht="17.15" hidden="false" customHeight="false" outlineLevel="0" collapsed="false">
      <c r="A10671" s="0" t="s">
        <v>518</v>
      </c>
      <c r="B10671" s="0" t="s">
        <v>86</v>
      </c>
      <c r="C10671" s="38" t="n">
        <f aca="false">Q!$D$12</f>
        <v>156.146</v>
      </c>
      <c r="D10671" s="38" t="n">
        <f aca="false">Q!$E$12</f>
        <v>172.162</v>
      </c>
      <c r="E10671" s="38" t="n">
        <f aca="false">Q!$P$12</f>
        <v>88.358</v>
      </c>
      <c r="F10671" s="38" t="n">
        <f aca="false">Sens!$O$10671*(1+Sens!$F$10672)*Sens!$F$10679</f>
        <v>102.245779795877</v>
      </c>
      <c r="G10671" s="38" t="n">
        <f aca="false">Sens!$E$10671+Sens!$F$10671</f>
        <v>190.603779795877</v>
      </c>
      <c r="H10671" s="38" t="n">
        <f aca="false">Sens!$G$10671*(1+Sens!$H$10672)</f>
        <v>210.60983493727</v>
      </c>
      <c r="I10671" s="38" t="n">
        <f aca="false">Sens!$H$10671*(1+Sens!$I$10672)</f>
        <v>230.261344640224</v>
      </c>
      <c r="J10671" s="38" t="n">
        <f aca="false">Sens!$I$10671*(1+Sens!$J$10672)</f>
        <v>249.063064692541</v>
      </c>
      <c r="K10671" s="38" t="n">
        <f aca="false">Sens!$J$10671*(1+Sens!$K$10672)</f>
        <v>266.497479221019</v>
      </c>
      <c r="L10671" s="38" t="n">
        <f aca="false">Sens!$K$10671*(1+Sens!$L$10672)</f>
        <v>285.15230276649</v>
      </c>
      <c r="M10671" s="38" t="n">
        <f aca="false">Sens!$L$10671*(1+Sens!$M$10672)</f>
        <v>305.112963960145</v>
      </c>
      <c r="N10671" s="38" t="n">
        <f aca="false">Q!$N$12</f>
        <v>76.86</v>
      </c>
      <c r="O10671" s="38" t="n">
        <f aca="false">Q!$O$12</f>
        <v>95.302</v>
      </c>
      <c r="P10671" s="8" t="s">
        <v>661</v>
      </c>
    </row>
    <row r="10672" customFormat="false" ht="17.15" hidden="false" customHeight="false" outlineLevel="0" collapsed="false">
      <c r="A10672" s="0" t="s">
        <v>666</v>
      </c>
      <c r="B10672" s="0" t="s">
        <v>52</v>
      </c>
      <c r="E10672" s="13" t="n">
        <f aca="false">Sens!$E$10671/Sens!$N$10671-1</f>
        <v>0.1495966692688</v>
      </c>
      <c r="F10672" s="13" t="n">
        <f aca="false">Sens!$O$10671/(Q!$F$12+Q!$G$12)-1</f>
        <v>0.11661530890813</v>
      </c>
      <c r="G10672" s="13" t="n">
        <f aca="false">Sens!$G$10671/Sens!$D$10671-1</f>
        <v>0.107118759051804</v>
      </c>
      <c r="H10672" s="13" t="n">
        <f aca="false">Sens!$F$10672+(g_sp-Sens!$F$10672)*1/4</f>
        <v>0.104961481681098</v>
      </c>
      <c r="I10672" s="13" t="n">
        <f aca="false">Sens!$F$10672+(g_sp-Sens!$F$10672)*2/4</f>
        <v>0.0933076544540651</v>
      </c>
      <c r="J10672" s="13" t="n">
        <f aca="false">Sens!$F$10672+(g_sp-Sens!$F$10672)*3/4</f>
        <v>0.0816538272270325</v>
      </c>
      <c r="K10672" s="13" t="n">
        <f aca="false">Sens!$F$10672+(g_sp-Sens!$F$10672)*4/4</f>
        <v>0.07</v>
      </c>
      <c r="L10672" s="13" t="n">
        <f aca="false">g_sp</f>
        <v>0.07</v>
      </c>
      <c r="M10672" s="13" t="n">
        <f aca="false">g_sp</f>
        <v>0.07</v>
      </c>
      <c r="P10672" s="8" t="s">
        <v>667</v>
      </c>
    </row>
    <row r="10673" customFormat="false" ht="17.15" hidden="false" customHeight="false" outlineLevel="0" collapsed="false">
      <c r="A10673" s="0" t="s">
        <v>519</v>
      </c>
      <c r="B10673" s="0" t="s">
        <v>86</v>
      </c>
      <c r="C10673" s="38" t="n">
        <f aca="false">Q!$D$13</f>
        <v>56.214</v>
      </c>
      <c r="D10673" s="38" t="n">
        <f aca="false">Q!$E$13</f>
        <v>68.635</v>
      </c>
      <c r="E10673" s="38" t="n">
        <f aca="false">Q!$P$13</f>
        <v>37.052</v>
      </c>
      <c r="F10673" s="38" t="n">
        <f aca="false">Sens!$O$10673*(1+Sens!$F$10674)*Sens!$F$10679</f>
        <v>46.2664522235369</v>
      </c>
      <c r="G10673" s="38" t="n">
        <f aca="false">Sens!$E$10673+Sens!$F$10673</f>
        <v>83.3184522235369</v>
      </c>
      <c r="H10673" s="38" t="n">
        <f aca="false">Sens!$G$10673*(1+Sens!$H$10674)</f>
        <v>100.028058858826</v>
      </c>
      <c r="I10673" s="38" t="n">
        <f aca="false">Sens!$H$10673*(1+Sens!$I$10674)</f>
        <v>116.736151823813</v>
      </c>
      <c r="J10673" s="38" t="n">
        <f aca="false">Sens!$I$10673*(1+Sens!$J$10674)</f>
        <v>132.322416213921</v>
      </c>
      <c r="K10673" s="38" t="n">
        <f aca="false">Sens!$J$10673*(1+Sens!$K$10674)</f>
        <v>145.554657835313</v>
      </c>
      <c r="L10673" s="38" t="n">
        <f aca="false">Sens!$K$10673*(1+Sens!$L$10674)</f>
        <v>160.110123618844</v>
      </c>
      <c r="M10673" s="38" t="n">
        <f aca="false">Sens!$L$10673*(1+Sens!$M$10674)</f>
        <v>176.121135980728</v>
      </c>
      <c r="N10673" s="38" t="n">
        <f aca="false">Q!$N$13</f>
        <v>29.615</v>
      </c>
      <c r="O10673" s="38" t="n">
        <f aca="false">Q!$O$13</f>
        <v>39.02</v>
      </c>
      <c r="P10673" s="8" t="s">
        <v>661</v>
      </c>
    </row>
    <row r="10674" customFormat="false" ht="17.15" hidden="false" customHeight="false" outlineLevel="0" collapsed="false">
      <c r="A10674" s="0" t="s">
        <v>668</v>
      </c>
      <c r="B10674" s="0" t="s">
        <v>52</v>
      </c>
      <c r="E10674" s="13" t="n">
        <f aca="false">Sens!$E$10673/Sens!$N$10673-1</f>
        <v>0.25112274185379</v>
      </c>
      <c r="F10674" s="13" t="n">
        <f aca="false">Sens!$O$10673/(Q!$F$13+Q!$G$13)-1</f>
        <v>0.234068123596572</v>
      </c>
      <c r="G10674" s="13" t="n">
        <f aca="false">Sens!$G$10673/Sens!$D$10673-1</f>
        <v>0.213935342369591</v>
      </c>
      <c r="H10674" s="13" t="n">
        <f aca="false">Sens!$F$10674+(g_ad-Sens!$F$10674)*1/4</f>
        <v>0.200551092697429</v>
      </c>
      <c r="I10674" s="13" t="n">
        <f aca="false">Sens!$F$10674+(g_ad-Sens!$F$10674)*2/4</f>
        <v>0.167034061798286</v>
      </c>
      <c r="J10674" s="13" t="n">
        <f aca="false">Sens!$F$10674+(g_ad-Sens!$F$10674)*3/4</f>
        <v>0.133517030899143</v>
      </c>
      <c r="K10674" s="13" t="n">
        <f aca="false">Sens!$F$10674+(g_ad-Sens!$F$10674)*4/4</f>
        <v>0.1</v>
      </c>
      <c r="L10674" s="13" t="n">
        <f aca="false">g_ad</f>
        <v>0.1</v>
      </c>
      <c r="M10674" s="13" t="n">
        <f aca="false">g_ad</f>
        <v>0.1</v>
      </c>
      <c r="P10674" s="8" t="s">
        <v>669</v>
      </c>
    </row>
    <row r="10675" customFormat="false" ht="17.15" hidden="false" customHeight="false" outlineLevel="0" collapsed="false">
      <c r="A10675" s="0" t="s">
        <v>520</v>
      </c>
      <c r="B10675" s="0" t="s">
        <v>86</v>
      </c>
      <c r="C10675" s="38" t="n">
        <f aca="false">Q!$D$14</f>
        <v>44.374</v>
      </c>
      <c r="D10675" s="38" t="n">
        <f aca="false">Q!$E$14</f>
        <v>49.619</v>
      </c>
      <c r="E10675" s="38" t="n">
        <f aca="false">Q!$P$14</f>
        <v>27.157</v>
      </c>
      <c r="F10675" s="38" t="n">
        <f aca="false">Sens!$O$10675*(1+Sens!$F$10676)*Sens!$F$10679</f>
        <v>27.8421489851719</v>
      </c>
      <c r="G10675" s="38" t="n">
        <f aca="false">Sens!$E$10675+Sens!$F$10675</f>
        <v>54.9991489851719</v>
      </c>
      <c r="H10675" s="38" t="n">
        <f aca="false">Sens!$G$10675*(1+Sens!$H$10676)</f>
        <v>61.229589971467</v>
      </c>
      <c r="I10675" s="38" t="n">
        <f aca="false">Sens!$H$10675*(1+Sens!$I$10676)</f>
        <v>67.2824410074817</v>
      </c>
      <c r="J10675" s="38" t="n">
        <f aca="false">Sens!$I$10675*(1+Sens!$J$10676)</f>
        <v>72.9629292513489</v>
      </c>
      <c r="K10675" s="38" t="n">
        <f aca="false">Sens!$J$10675*(1+Sens!$K$10676)</f>
        <v>78.0703342989433</v>
      </c>
      <c r="L10675" s="38" t="n">
        <f aca="false">Sens!$K$10675*(1+Sens!$L$10676)</f>
        <v>83.5352576998693</v>
      </c>
      <c r="M10675" s="38" t="n">
        <f aca="false">Sens!$L$10675*(1+Sens!$M$10676)</f>
        <v>89.3827257388602</v>
      </c>
      <c r="N10675" s="38" t="n">
        <f aca="false">Q!$N$14</f>
        <v>23.923</v>
      </c>
      <c r="O10675" s="38" t="n">
        <f aca="false">Q!$O$14</f>
        <v>25.696</v>
      </c>
      <c r="P10675" s="8" t="s">
        <v>661</v>
      </c>
    </row>
    <row r="10676" customFormat="false" ht="17.15" hidden="false" customHeight="false" outlineLevel="0" collapsed="false">
      <c r="A10676" s="0" t="s">
        <v>670</v>
      </c>
      <c r="B10676" s="0" t="s">
        <v>52</v>
      </c>
      <c r="E10676" s="13" t="n">
        <f aca="false">Sens!$E$10675/Sens!$N$10675-1</f>
        <v>0.135183714417088</v>
      </c>
      <c r="F10676" s="13" t="n">
        <f aca="false">Sens!$O$10675/(Q!$F$14+Q!$G$14)-1</f>
        <v>0.127709997366804</v>
      </c>
      <c r="G10676" s="13" t="n">
        <f aca="false">Sens!$G$10675/Sens!$D$10675-1</f>
        <v>0.108429210285817</v>
      </c>
      <c r="H10676" s="13" t="n">
        <f aca="false">Sens!$F$10676+(g_sub-Sens!$F$10676)*1/4</f>
        <v>0.113282498025103</v>
      </c>
      <c r="I10676" s="13" t="n">
        <f aca="false">Sens!$F$10676+(g_sub-Sens!$F$10676)*2/4</f>
        <v>0.0988549986834021</v>
      </c>
      <c r="J10676" s="13" t="n">
        <f aca="false">Sens!$F$10676+(g_sub-Sens!$F$10676)*3/4</f>
        <v>0.084427499341701</v>
      </c>
      <c r="K10676" s="13" t="n">
        <f aca="false">Sens!$F$10676+(g_sub-Sens!$F$10676)*4/4</f>
        <v>0.07</v>
      </c>
      <c r="L10676" s="13" t="n">
        <f aca="false">g_sub</f>
        <v>0.07</v>
      </c>
      <c r="M10676" s="13" t="n">
        <f aca="false">g_sub</f>
        <v>0.07</v>
      </c>
      <c r="P10676" s="8" t="s">
        <v>671</v>
      </c>
    </row>
    <row r="10677" customFormat="false" ht="17.15" hidden="false" customHeight="false" outlineLevel="0" collapsed="false">
      <c r="A10677" s="0" t="s">
        <v>521</v>
      </c>
      <c r="B10677" s="0" t="s">
        <v>86</v>
      </c>
      <c r="C10677" s="38" t="n">
        <f aca="false">Q!$D$15</f>
        <v>5.425</v>
      </c>
      <c r="D10677" s="38" t="n">
        <f aca="false">Q!$E$15</f>
        <v>5.935</v>
      </c>
      <c r="E10677" s="38" t="n">
        <f aca="false">Q!$P$15</f>
        <v>3.474</v>
      </c>
      <c r="F10677" s="38" t="n">
        <f aca="false">Sens!$O$10677*(1+Sens!$F$10678)*Sens!$F$10679</f>
        <v>3.23009141504673</v>
      </c>
      <c r="G10677" s="38" t="n">
        <f aca="false">Sens!$E$10677+Sens!$F$10677</f>
        <v>6.70409141504673</v>
      </c>
      <c r="H10677" s="38" t="n">
        <f aca="false">Sens!$G$10677*(1+Sens!$H$10678)</f>
        <v>7.17067008169072</v>
      </c>
      <c r="I10677" s="38" t="n">
        <f aca="false">Sens!$H$10677*(1+Sens!$I$10678)</f>
        <v>7.62288173350109</v>
      </c>
      <c r="J10677" s="38" t="n">
        <f aca="false">Sens!$I$10677*(1+Sens!$J$10678)</f>
        <v>8.05381875674918</v>
      </c>
      <c r="K10677" s="38" t="n">
        <f aca="false">Sens!$J$10677*(1+Sens!$K$10678)</f>
        <v>8.45650969458664</v>
      </c>
      <c r="L10677" s="38" t="n">
        <f aca="false">Sens!$K$10677*(1+Sens!$L$10678)</f>
        <v>8.87933517931597</v>
      </c>
      <c r="M10677" s="38" t="n">
        <f aca="false">Sens!$L$10677*(1+Sens!$M$10678)</f>
        <v>9.32330193828177</v>
      </c>
      <c r="N10677" s="38" t="n">
        <f aca="false">Q!$N$15</f>
        <v>2.811</v>
      </c>
      <c r="O10677" s="38" t="n">
        <f aca="false">Q!$O$15</f>
        <v>3.124</v>
      </c>
      <c r="P10677" s="8" t="s">
        <v>661</v>
      </c>
    </row>
    <row r="10678" customFormat="false" ht="17.15" hidden="false" customHeight="false" outlineLevel="0" collapsed="false">
      <c r="A10678" s="0" t="s">
        <v>672</v>
      </c>
      <c r="B10678" s="0" t="s">
        <v>52</v>
      </c>
      <c r="E10678" s="13" t="n">
        <f aca="false">Sens!$E$10677/Sens!$N$10677-1</f>
        <v>0.235859124866596</v>
      </c>
      <c r="F10678" s="13" t="n">
        <f aca="false">Sens!$O$10677/(Q!$F$15+Q!$G$15)-1</f>
        <v>0.0761281433000345</v>
      </c>
      <c r="G10678" s="13" t="n">
        <f aca="false">Sens!$G$10677/Sens!$D$10677-1</f>
        <v>0.129585748112338</v>
      </c>
      <c r="H10678" s="13" t="n">
        <f aca="false">Sens!$F$10678+(g_ot-Sens!$F$10678)*1/4</f>
        <v>0.0695961074750259</v>
      </c>
      <c r="I10678" s="13" t="n">
        <f aca="false">Sens!$F$10678+(g_ot-Sens!$F$10678)*2/4</f>
        <v>0.0630640716500172</v>
      </c>
      <c r="J10678" s="13" t="n">
        <f aca="false">Sens!$F$10678+(g_ot-Sens!$F$10678)*3/4</f>
        <v>0.0565320358250086</v>
      </c>
      <c r="K10678" s="13" t="n">
        <f aca="false">Sens!$F$10678+(g_ot-Sens!$F$10678)*4/4</f>
        <v>0.05</v>
      </c>
      <c r="L10678" s="13" t="n">
        <f aca="false">g_ot</f>
        <v>0.05</v>
      </c>
      <c r="M10678" s="13" t="n">
        <f aca="false">g_ot</f>
        <v>0.05</v>
      </c>
      <c r="P10678" s="8" t="s">
        <v>673</v>
      </c>
    </row>
    <row r="10679" customFormat="false" ht="17.15" hidden="false" customHeight="false" outlineLevel="0" collapsed="false">
      <c r="A10679" s="0" t="s">
        <v>674</v>
      </c>
      <c r="B10679" s="0" t="s">
        <v>57</v>
      </c>
      <c r="F10679" s="40" t="n">
        <f aca="false">(g26q3_mid*Q!$O$8/Q!$J$8-Sens!$F$10708-Sens!$F$10712)/(Sens!$O$10667*(1+Sens!$F$10668)+Sens!$O$10669*(1+Sens!$F$10670)+Sens!$O$10671*(1+Sens!$F$10672)+Sens!$O$10673*(1+Sens!$F$10674)+Sens!$O$10675*(1+Sens!$F$10676)+Sens!$O$10677*(1+Sens!$F$10678))</f>
        <v>0.96081505394204</v>
      </c>
      <c r="P10679" s="8" t="s">
        <v>675</v>
      </c>
    </row>
    <row r="10680" customFormat="false" ht="17.15" hidden="false" customHeight="false" outlineLevel="0" collapsed="false">
      <c r="A10680" s="3" t="s">
        <v>676</v>
      </c>
      <c r="B10680" s="8" t="s">
        <v>86</v>
      </c>
      <c r="C10680" s="38" t="n">
        <f aca="false">Sens!$C$10667+Sens!$C$10669+Sens!$C$10671+Sens!$C$10673+Sens!$C$10675+Sens!$C$10677</f>
        <v>530.403</v>
      </c>
      <c r="D10680" s="38" t="n">
        <f aca="false">Sens!$D$10667+Sens!$D$10669+Sens!$D$10671+Sens!$D$10673+Sens!$D$10675+Sens!$D$10677</f>
        <v>588.199</v>
      </c>
      <c r="E10680" s="38" t="n">
        <f aca="false">Sens!$E$10667+Sens!$E$10669+Sens!$E$10671+Sens!$E$10673+Sens!$E$10675+Sens!$E$10677</f>
        <v>302.306</v>
      </c>
      <c r="F10680" s="38" t="n">
        <f aca="false">Sens!$F$10667+Sens!$F$10669+Sens!$F$10671+Sens!$F$10673+Sens!$F$10675+Sens!$F$10677</f>
        <v>349.874257981924</v>
      </c>
      <c r="G10680" s="38" t="n">
        <f aca="false">Sens!$G$10667+Sens!$G$10669+Sens!$G$10671+Sens!$G$10673+Sens!$G$10675+Sens!$G$10677</f>
        <v>652.180257981924</v>
      </c>
      <c r="H10680" s="38" t="n">
        <f aca="false">Sens!$H$10667+Sens!$H$10669+Sens!$H$10671+Sens!$H$10673+Sens!$H$10675+Sens!$H$10677</f>
        <v>722.011750012423</v>
      </c>
      <c r="I10680" s="38" t="n">
        <f aca="false">Sens!$I$10667+Sens!$I$10669+Sens!$I$10671+Sens!$I$10673+Sens!$I$10675+Sens!$I$10677</f>
        <v>789.530172698806</v>
      </c>
      <c r="J10680" s="38" t="n">
        <f aca="false">Sens!$J$10667+Sens!$J$10669+Sens!$J$10671+Sens!$J$10673+Sens!$J$10675+Sens!$J$10677</f>
        <v>852.188919241856</v>
      </c>
      <c r="K10680" s="38" t="n">
        <f aca="false">Sens!$K$10667+Sens!$K$10669+Sens!$K$10671+Sens!$K$10673+Sens!$K$10675+Sens!$K$10677</f>
        <v>907.327096605888</v>
      </c>
      <c r="L10680" s="38" t="n">
        <f aca="false">Sens!$L$10667+Sens!$L$10669+Sens!$L$10671+Sens!$L$10673+Sens!$L$10675+Sens!$L$10677</f>
        <v>966.318794032083</v>
      </c>
      <c r="M10680" s="38" t="n">
        <f aca="false">Sens!$M$10667+Sens!$M$10669+Sens!$M$10671+Sens!$M$10673+Sens!$M$10675+Sens!$M$10677</f>
        <v>1029.4539321607</v>
      </c>
      <c r="N10680" s="38" t="n">
        <f aca="false">Sens!$N$10667+Sens!$N$10669+Sens!$N$10671+Sens!$N$10673+Sens!$N$10675+Sens!$N$10677</f>
        <v>263.229</v>
      </c>
      <c r="O10680" s="38" t="n">
        <f aca="false">Sens!$O$10667+Sens!$O$10669+Sens!$O$10671+Sens!$O$10673+Sens!$O$10675+Sens!$O$10677</f>
        <v>324.97</v>
      </c>
    </row>
    <row r="10681" customFormat="false" ht="17.15" hidden="false" customHeight="false" outlineLevel="0" collapsed="false">
      <c r="A10681" s="5" t="s">
        <v>677</v>
      </c>
      <c r="B10681" s="0" t="s">
        <v>52</v>
      </c>
      <c r="C10681" s="13" t="n">
        <f aca="false">Q!$D$5/(Q!$D$5+Q!$D$6)</f>
        <v>0.730570905519011</v>
      </c>
      <c r="D10681" s="13" t="n">
        <f aca="false">Q!$E$5/(Q!$E$5+Q!$E$6)</f>
        <v>0.724763217890544</v>
      </c>
      <c r="E10681" s="13" t="n">
        <f aca="false">Q!$P$5/(Q!$P$5+Q!$P$6)</f>
        <v>0.728797972914861</v>
      </c>
      <c r="F10681" s="13" t="n">
        <f aca="false">Sens!$O$10681</f>
        <v>0.718066283041511</v>
      </c>
      <c r="G10681" s="13" t="n">
        <f aca="false">Sens!$G$10682/Sens!$G$10680</f>
        <v>0.723040757811557</v>
      </c>
      <c r="H10681" s="13" t="n">
        <f aca="false">Sens!$G$10681</f>
        <v>0.723040757811557</v>
      </c>
      <c r="I10681" s="13" t="n">
        <f aca="false">Sens!$G$10681</f>
        <v>0.723040757811557</v>
      </c>
      <c r="J10681" s="13" t="n">
        <f aca="false">Sens!$G$10681</f>
        <v>0.723040757811557</v>
      </c>
      <c r="K10681" s="13" t="n">
        <f aca="false">Sens!$G$10681</f>
        <v>0.723040757811557</v>
      </c>
      <c r="L10681" s="13" t="n">
        <f aca="false">Sens!$G$10681</f>
        <v>0.723040757811557</v>
      </c>
      <c r="M10681" s="13" t="n">
        <f aca="false">Sens!$G$10681</f>
        <v>0.723040757811557</v>
      </c>
      <c r="N10681" s="13" t="n">
        <f aca="false">Q!$N$5/(Q!$N$5+Q!$N$6)</f>
        <v>0.733030935041352</v>
      </c>
      <c r="O10681" s="13" t="n">
        <f aca="false">Q!$O$5/(Q!$O$5+Q!$O$6)</f>
        <v>0.718066283041511</v>
      </c>
      <c r="P10681" s="8" t="s">
        <v>678</v>
      </c>
    </row>
    <row r="10682" customFormat="false" ht="17.15" hidden="false" customHeight="false" outlineLevel="0" collapsed="false">
      <c r="A10682" s="1" t="s">
        <v>509</v>
      </c>
      <c r="B10682" s="8" t="s">
        <v>86</v>
      </c>
      <c r="C10682" s="38" t="n">
        <f aca="false">Q!$D$5</f>
        <v>387.497</v>
      </c>
      <c r="D10682" s="38" t="n">
        <f aca="false">Q!$E$5</f>
        <v>426.305</v>
      </c>
      <c r="E10682" s="38" t="n">
        <f aca="false">Q!$P$5</f>
        <v>220.32</v>
      </c>
      <c r="F10682" s="38" t="n">
        <f aca="false">Sens!$F$10680*Sens!$F$10681</f>
        <v>251.232907960987</v>
      </c>
      <c r="G10682" s="38" t="n">
        <f aca="false">Sens!$E$10682+Sens!$F$10682</f>
        <v>471.552907960987</v>
      </c>
      <c r="H10682" s="38" t="n">
        <f aca="false">Sens!$H$10680*Sens!$H$10681</f>
        <v>522.043922877831</v>
      </c>
      <c r="I10682" s="38" t="n">
        <f aca="false">Sens!$I$10680*Sens!$I$10681</f>
        <v>570.862494383234</v>
      </c>
      <c r="J10682" s="38" t="n">
        <f aca="false">Sens!$J$10680*Sens!$J$10681</f>
        <v>616.167321967244</v>
      </c>
      <c r="K10682" s="38" t="n">
        <f aca="false">Sens!$K$10680*Sens!$K$10681</f>
        <v>656.034471512881</v>
      </c>
      <c r="L10682" s="38" t="n">
        <f aca="false">Sens!$L$10680*Sens!$L$10681</f>
        <v>698.687873124507</v>
      </c>
      <c r="M10682" s="38" t="n">
        <f aca="false">Sens!$M$10680*Sens!$M$10681</f>
        <v>744.337151241562</v>
      </c>
      <c r="N10682" s="38" t="n">
        <f aca="false">Q!$N$5</f>
        <v>192.955</v>
      </c>
      <c r="O10682" s="38" t="n">
        <f aca="false">Q!$O$5</f>
        <v>233.35</v>
      </c>
      <c r="P10682" s="5" t="s">
        <v>679</v>
      </c>
    </row>
    <row r="10683" customFormat="false" ht="17.15" hidden="false" customHeight="false" outlineLevel="0" collapsed="false">
      <c r="A10683" s="1" t="s">
        <v>512</v>
      </c>
      <c r="B10683" s="8" t="s">
        <v>86</v>
      </c>
      <c r="C10683" s="38" t="n">
        <f aca="false">Q!$D$6</f>
        <v>142.906</v>
      </c>
      <c r="D10683" s="38" t="n">
        <f aca="false">Q!$E$6</f>
        <v>161.894</v>
      </c>
      <c r="E10683" s="38" t="n">
        <f aca="false">Q!$P$6</f>
        <v>81.986</v>
      </c>
      <c r="F10683" s="38" t="n">
        <f aca="false">Sens!$F$10680*(1-Sens!$F$10681)</f>
        <v>98.6413500209369</v>
      </c>
      <c r="G10683" s="38" t="n">
        <f aca="false">Sens!$E$10683+Sens!$F$10683</f>
        <v>180.627350020937</v>
      </c>
      <c r="H10683" s="38" t="n">
        <f aca="false">Sens!$H$10680*(1-Sens!$H$10681)</f>
        <v>199.967827134592</v>
      </c>
      <c r="I10683" s="38" t="n">
        <f aca="false">Sens!$I$10680*(1-Sens!$I$10681)</f>
        <v>218.667678315572</v>
      </c>
      <c r="J10683" s="38" t="n">
        <f aca="false">Sens!$J$10680*(1-Sens!$J$10681)</f>
        <v>236.021597274613</v>
      </c>
      <c r="K10683" s="38" t="n">
        <f aca="false">Sens!$K$10680*(1-Sens!$K$10681)</f>
        <v>251.292625093007</v>
      </c>
      <c r="L10683" s="38" t="n">
        <f aca="false">Sens!$L$10680*(1-Sens!$L$10681)</f>
        <v>267.630920907576</v>
      </c>
      <c r="M10683" s="38" t="n">
        <f aca="false">Sens!$M$10680*(1-Sens!$M$10681)</f>
        <v>285.116780919142</v>
      </c>
      <c r="N10683" s="38" t="n">
        <f aca="false">Q!$N$6</f>
        <v>70.274</v>
      </c>
      <c r="O10683" s="38" t="n">
        <f aca="false">Q!$O$6</f>
        <v>91.62</v>
      </c>
      <c r="P10683" s="5" t="s">
        <v>680</v>
      </c>
    </row>
    <row r="10684" customFormat="false" ht="17.15" hidden="false" customHeight="false" outlineLevel="0" collapsed="false">
      <c r="A10684" s="5" t="s">
        <v>681</v>
      </c>
      <c r="B10684" s="0" t="s">
        <v>86</v>
      </c>
      <c r="C10684" s="38" t="n">
        <f aca="false">Sens!$C$10673*Sens!$C$10681</f>
        <v>41.0683128828457</v>
      </c>
      <c r="D10684" s="38" t="n">
        <f aca="false">Sens!$D$10673*Sens!$D$10681</f>
        <v>49.7441234599175</v>
      </c>
      <c r="E10684" s="38" t="n">
        <f aca="false">Sens!$E$10673*Sens!$E$10681</f>
        <v>27.0034224924414</v>
      </c>
      <c r="F10684" s="38" t="n">
        <f aca="false">Sens!$F$10673*Sens!$F$10681</f>
        <v>33.2223793776728</v>
      </c>
      <c r="G10684" s="38" t="n">
        <f aca="false">Sens!$G$10673*Sens!$G$10681</f>
        <v>60.2426368353921</v>
      </c>
      <c r="H10684" s="38" t="n">
        <f aca="false">Sens!$H$10673*Sens!$H$10681</f>
        <v>72.3243634797044</v>
      </c>
      <c r="I10684" s="38" t="n">
        <f aca="false">Sens!$I$10673*Sens!$I$10681</f>
        <v>84.404995678695</v>
      </c>
      <c r="J10684" s="38" t="n">
        <f aca="false">Sens!$J$10673*Sens!$J$10681</f>
        <v>95.6745000947693</v>
      </c>
      <c r="K10684" s="38" t="n">
        <f aca="false">Sens!$K$10673*Sens!$K$10681</f>
        <v>105.241950104246</v>
      </c>
      <c r="L10684" s="38" t="n">
        <f aca="false">Sens!$L$10673*Sens!$L$10681</f>
        <v>115.766145114671</v>
      </c>
      <c r="M10684" s="38" t="n">
        <f aca="false">Sens!$M$10673*Sens!$M$10681</f>
        <v>127.342759626138</v>
      </c>
      <c r="N10684" s="38" t="n">
        <f aca="false">Sens!$N$10673*Sens!$N$10681</f>
        <v>21.7087111412496</v>
      </c>
      <c r="O10684" s="38" t="n">
        <f aca="false">Sens!$O$10673*Sens!$O$10681</f>
        <v>28.0189463642798</v>
      </c>
      <c r="P10684" s="5" t="s">
        <v>682</v>
      </c>
    </row>
    <row r="10685" customFormat="false" ht="15" hidden="false" customHeight="false" outlineLevel="0" collapsed="false">
      <c r="A10685" s="5" t="s">
        <v>683</v>
      </c>
      <c r="B10685" s="0" t="s">
        <v>86</v>
      </c>
      <c r="C10685" s="38" t="n">
        <f aca="false">Sens!$C$10673-Sens!$C$10684</f>
        <v>15.1456871171543</v>
      </c>
      <c r="D10685" s="38" t="n">
        <f aca="false">Sens!$D$10673-Sens!$D$10684</f>
        <v>18.8908765400825</v>
      </c>
      <c r="E10685" s="38" t="n">
        <f aca="false">Sens!$E$10673-Sens!$E$10684</f>
        <v>10.0485775075586</v>
      </c>
      <c r="F10685" s="38" t="n">
        <f aca="false">Sens!$F$10673-Sens!$F$10684</f>
        <v>13.0440728458641</v>
      </c>
      <c r="G10685" s="38" t="n">
        <f aca="false">Sens!$G$10673-Sens!$G$10684</f>
        <v>23.0758153881448</v>
      </c>
      <c r="H10685" s="38" t="n">
        <f aca="false">Sens!$H$10673-Sens!$H$10684</f>
        <v>27.7036953791214</v>
      </c>
      <c r="I10685" s="38" t="n">
        <f aca="false">Sens!$I$10673-Sens!$I$10684</f>
        <v>32.3311561451184</v>
      </c>
      <c r="J10685" s="38" t="n">
        <f aca="false">Sens!$J$10673-Sens!$J$10684</f>
        <v>36.6479161191512</v>
      </c>
      <c r="K10685" s="38" t="n">
        <f aca="false">Sens!$K$10673-Sens!$K$10684</f>
        <v>40.3127077310663</v>
      </c>
      <c r="L10685" s="38" t="n">
        <f aca="false">Sens!$L$10673-Sens!$L$10684</f>
        <v>44.343978504173</v>
      </c>
      <c r="M10685" s="38" t="n">
        <f aca="false">Sens!$M$10673-Sens!$M$10684</f>
        <v>48.7783763545903</v>
      </c>
      <c r="N10685" s="38" t="n">
        <f aca="false">Sens!$N$10673-Sens!$N$10684</f>
        <v>7.90628885875037</v>
      </c>
      <c r="O10685" s="38" t="n">
        <f aca="false">Sens!$O$10673-Sens!$O$10684</f>
        <v>11.0010536357202</v>
      </c>
    </row>
    <row r="10686" customFormat="false" ht="19.4" hidden="false" customHeight="false" outlineLevel="0" collapsed="false">
      <c r="A10686" s="31" t="s">
        <v>1348</v>
      </c>
    </row>
    <row r="10687" customFormat="false" ht="17.15" hidden="false" customHeight="false" outlineLevel="0" collapsed="false">
      <c r="A10687" s="6" t="s">
        <v>16</v>
      </c>
      <c r="B10687" s="6" t="s">
        <v>17</v>
      </c>
      <c r="C10687" s="20" t="s">
        <v>494</v>
      </c>
      <c r="D10687" s="20" t="s">
        <v>495</v>
      </c>
      <c r="E10687" s="20" t="s">
        <v>577</v>
      </c>
      <c r="F10687" s="20" t="s">
        <v>578</v>
      </c>
      <c r="G10687" s="20" t="s">
        <v>579</v>
      </c>
      <c r="H10687" s="20" t="s">
        <v>580</v>
      </c>
      <c r="I10687" s="20" t="s">
        <v>581</v>
      </c>
      <c r="J10687" s="20" t="s">
        <v>582</v>
      </c>
      <c r="K10687" s="20" t="s">
        <v>583</v>
      </c>
      <c r="L10687" s="20" t="s">
        <v>584</v>
      </c>
      <c r="M10687" s="20" t="s">
        <v>585</v>
      </c>
      <c r="N10687" s="20" t="s">
        <v>586</v>
      </c>
      <c r="O10687" s="20" t="s">
        <v>587</v>
      </c>
      <c r="P10687" s="6" t="s">
        <v>23</v>
      </c>
      <c r="R10687" s="20" t="n">
        <v>2023</v>
      </c>
      <c r="S10687" s="20" t="n">
        <v>2024</v>
      </c>
      <c r="T10687" s="20" t="n">
        <v>2025</v>
      </c>
      <c r="U10687" s="20" t="n">
        <v>2026</v>
      </c>
      <c r="V10687" s="20" t="n">
        <v>2027</v>
      </c>
      <c r="W10687" s="20" t="n">
        <v>2028</v>
      </c>
      <c r="X10687" s="20" t="n">
        <v>2029</v>
      </c>
      <c r="Y10687" s="20" t="n">
        <v>2030</v>
      </c>
      <c r="Z10687" s="20" t="n">
        <v>2031</v>
      </c>
      <c r="AA10687" s="20" t="n">
        <v>2032</v>
      </c>
    </row>
    <row r="10688" customFormat="false" ht="17.15" hidden="false" customHeight="false" outlineLevel="0" collapsed="false">
      <c r="A10688" s="1" t="s">
        <v>588</v>
      </c>
    </row>
    <row r="10689" customFormat="false" ht="17.15" hidden="false" customHeight="false" outlineLevel="0" collapsed="false">
      <c r="A10689" s="5" t="s">
        <v>589</v>
      </c>
      <c r="B10689" s="0" t="s">
        <v>144</v>
      </c>
      <c r="H10689" s="32" t="n">
        <f aca="false">pace_C</f>
        <v>3634.3</v>
      </c>
      <c r="I10689" s="32" t="n">
        <f aca="false">pace_C</f>
        <v>3634.3</v>
      </c>
      <c r="J10689" s="32" t="n">
        <f aca="false">pace_C</f>
        <v>3634.3</v>
      </c>
      <c r="K10689" s="32" t="n">
        <f aca="false">pace_C+(Sens!$J$10690*tg-pace_C)*1/3</f>
        <v>2570.86716666667</v>
      </c>
      <c r="L10689" s="32" t="n">
        <f aca="false">pace_C+(Sens!$J$10690*tg-pace_C)*2/3</f>
        <v>1507.43433333333</v>
      </c>
      <c r="M10689" s="32" t="n">
        <f aca="false">pace_C+(Sens!$J$10690*tg-pace_C)*3/3</f>
        <v>444.0015</v>
      </c>
      <c r="P10689" s="5" t="s">
        <v>590</v>
      </c>
    </row>
    <row r="10690" customFormat="false" ht="17.15" hidden="false" customHeight="false" outlineLevel="0" collapsed="false">
      <c r="A10690" s="15" t="s">
        <v>591</v>
      </c>
      <c r="B10690" s="14" t="s">
        <v>129</v>
      </c>
      <c r="C10690" s="33" t="n">
        <f aca="false">mw_ye24</f>
        <v>360</v>
      </c>
      <c r="D10690" s="33" t="n">
        <f aca="false">mw_ye25</f>
        <v>1440</v>
      </c>
      <c r="E10690" s="33" t="n">
        <f aca="false">mw_open</f>
        <v>2080</v>
      </c>
      <c r="F10690" s="33" t="n">
        <f aca="false">Sens!$E$10690+pace_C*0.5</f>
        <v>3897.15</v>
      </c>
      <c r="G10690" s="33" t="n">
        <f aca="false">Sens!$F$10690</f>
        <v>3897.15</v>
      </c>
      <c r="H10690" s="33" t="n">
        <f aca="false">Sens!$G$10690+Sens!$H$10689</f>
        <v>7531.45</v>
      </c>
      <c r="I10690" s="33" t="n">
        <f aca="false">Sens!$H$10690+Sens!$I$10689</f>
        <v>11165.75</v>
      </c>
      <c r="J10690" s="33" t="n">
        <f aca="false">Sens!$I$10690+Sens!$J$10689</f>
        <v>14800.05</v>
      </c>
      <c r="K10690" s="33" t="n">
        <f aca="false">Sens!$J$10690+Sens!$K$10689</f>
        <v>17370.9171666667</v>
      </c>
      <c r="L10690" s="33" t="n">
        <f aca="false">Sens!$K$10690+Sens!$L$10689</f>
        <v>18878.3515</v>
      </c>
      <c r="M10690" s="33" t="n">
        <f aca="false">Sens!$L$10690+Sens!$M$10689</f>
        <v>19322.353</v>
      </c>
      <c r="N10690" s="33" t="n">
        <f aca="false">(mw_ye24+mw_ye25)/2</f>
        <v>900</v>
      </c>
      <c r="O10690" s="33" t="n">
        <f aca="false">mw_ye25</f>
        <v>1440</v>
      </c>
      <c r="P10690" s="5" t="s">
        <v>592</v>
      </c>
    </row>
    <row r="10691" customFormat="false" ht="17.15" hidden="false" customHeight="false" outlineLevel="0" collapsed="false">
      <c r="A10691" s="5" t="s">
        <v>593</v>
      </c>
      <c r="B10691" s="0" t="s">
        <v>129</v>
      </c>
      <c r="C10691" s="32" t="n">
        <f aca="false">(mw_ye23+mw_ye24)/2</f>
        <v>240</v>
      </c>
      <c r="D10691" s="32" t="n">
        <f aca="false">(Sens!$C$10690+Sens!$D$10690)/2</f>
        <v>900</v>
      </c>
      <c r="E10691" s="32" t="n">
        <f aca="false">(Sens!$D$10690+Sens!$E$10690)/2</f>
        <v>1760</v>
      </c>
      <c r="F10691" s="32" t="n">
        <f aca="false">(Sens!$E$10690+Sens!$F$10690)/2</f>
        <v>2988.575</v>
      </c>
      <c r="G10691" s="32" t="n">
        <f aca="false">(Sens!$E$10691+Sens!$F$10691)/2</f>
        <v>2374.2875</v>
      </c>
      <c r="H10691" s="32" t="n">
        <f aca="false">(Sens!$G$10690+Sens!$H$10690)/2</f>
        <v>5714.3</v>
      </c>
      <c r="I10691" s="32" t="n">
        <f aca="false">(Sens!$H$10690+Sens!$I$10690)/2</f>
        <v>9348.6</v>
      </c>
      <c r="J10691" s="32" t="n">
        <f aca="false">(Sens!$I$10690+Sens!$J$10690)/2</f>
        <v>12982.9</v>
      </c>
      <c r="K10691" s="32" t="n">
        <f aca="false">(Sens!$J$10690+Sens!$K$10690)/2</f>
        <v>16085.4835833333</v>
      </c>
      <c r="L10691" s="32" t="n">
        <f aca="false">(Sens!$K$10690+Sens!$L$10690)/2</f>
        <v>18124.6343333333</v>
      </c>
      <c r="M10691" s="32" t="n">
        <f aca="false">(Sens!$L$10690+Sens!$M$10690)/2</f>
        <v>19100.35225</v>
      </c>
      <c r="N10691" s="32" t="n">
        <f aca="false">(Sens!$C$10690+Sens!$N$10690)/2</f>
        <v>630</v>
      </c>
      <c r="O10691" s="32" t="n">
        <f aca="false">(Sens!$N$10690+Sens!$O$10690)/2</f>
        <v>1170</v>
      </c>
    </row>
    <row r="10692" customFormat="false" ht="15" hidden="false" customHeight="false" outlineLevel="0" collapsed="false">
      <c r="A10692" s="5" t="s">
        <v>594</v>
      </c>
      <c r="B10692" s="5" t="s">
        <v>123</v>
      </c>
      <c r="C10692" s="34" t="n">
        <v>1</v>
      </c>
      <c r="D10692" s="34" t="n">
        <v>1</v>
      </c>
      <c r="E10692" s="34" t="n">
        <v>0.5</v>
      </c>
      <c r="F10692" s="34" t="n">
        <v>0.5</v>
      </c>
      <c r="G10692" s="34" t="n">
        <v>1</v>
      </c>
      <c r="H10692" s="34" t="n">
        <v>1</v>
      </c>
      <c r="I10692" s="34" t="n">
        <v>1</v>
      </c>
      <c r="J10692" s="34" t="n">
        <v>1</v>
      </c>
      <c r="K10692" s="34" t="n">
        <v>1</v>
      </c>
      <c r="L10692" s="34" t="n">
        <v>1</v>
      </c>
      <c r="M10692" s="34" t="n">
        <v>1</v>
      </c>
      <c r="N10692" s="34" t="n">
        <v>0.5</v>
      </c>
      <c r="O10692" s="34" t="n">
        <v>0.5</v>
      </c>
    </row>
    <row r="10693" customFormat="false" ht="17.15" hidden="false" customHeight="false" outlineLevel="0" collapsed="false">
      <c r="A10693" s="5" t="s">
        <v>595</v>
      </c>
      <c r="B10693" s="0" t="s">
        <v>129</v>
      </c>
      <c r="C10693" s="32" t="n">
        <f aca="false">Sens!$C$10690-mw_ye23</f>
        <v>240</v>
      </c>
      <c r="D10693" s="32" t="n">
        <f aca="false">Sens!$D$10690-Sens!$C$10690</f>
        <v>1080</v>
      </c>
      <c r="E10693" s="32" t="n">
        <f aca="false">Sens!$E$10690-Sens!$D$10690</f>
        <v>640</v>
      </c>
      <c r="F10693" s="32" t="n">
        <f aca="false">Sens!$F$10690-Sens!$E$10690</f>
        <v>1817.15</v>
      </c>
      <c r="G10693" s="32" t="n">
        <f aca="false">Sens!$E$10693+Sens!$F$10693</f>
        <v>2457.15</v>
      </c>
      <c r="H10693" s="32" t="n">
        <f aca="false">Sens!$H$10690-Sens!$G$10690</f>
        <v>3634.3</v>
      </c>
      <c r="I10693" s="32" t="n">
        <f aca="false">Sens!$I$10690-Sens!$H$10690</f>
        <v>3634.3</v>
      </c>
      <c r="J10693" s="32" t="n">
        <f aca="false">Sens!$J$10690-Sens!$I$10690</f>
        <v>3634.3</v>
      </c>
      <c r="K10693" s="32" t="n">
        <f aca="false">Sens!$K$10690-Sens!$J$10690</f>
        <v>2570.86716666667</v>
      </c>
      <c r="L10693" s="32" t="n">
        <f aca="false">Sens!$L$10690-Sens!$K$10690</f>
        <v>1507.43433333333</v>
      </c>
      <c r="M10693" s="32" t="n">
        <f aca="false">Sens!$M$10690-Sens!$L$10690</f>
        <v>444.001499999999</v>
      </c>
      <c r="N10693" s="32" t="n">
        <f aca="false">Sens!$N$10690-Sens!$C$10690</f>
        <v>540</v>
      </c>
      <c r="O10693" s="32" t="n">
        <f aca="false">Sens!$O$10690-Sens!$N$10690</f>
        <v>540</v>
      </c>
    </row>
    <row r="10694" customFormat="false" ht="17.15" hidden="false" customHeight="false" outlineLevel="0" collapsed="false">
      <c r="A10694" s="5" t="s">
        <v>596</v>
      </c>
      <c r="B10694" s="0" t="s">
        <v>129</v>
      </c>
      <c r="C10694" s="32" t="n">
        <f aca="false">Sens!$C$10693/ext_sh</f>
        <v>300</v>
      </c>
      <c r="D10694" s="32" t="n">
        <f aca="false">Sens!$D$10693/ext_sh</f>
        <v>1350</v>
      </c>
      <c r="E10694" s="32" t="n">
        <f aca="false">Sens!$E$10693/ext_sh</f>
        <v>800</v>
      </c>
      <c r="F10694" s="32" t="n">
        <f aca="false">Sens!$F$10693/ext_sh</f>
        <v>2271.4375</v>
      </c>
      <c r="G10694" s="32" t="n">
        <f aca="false">Sens!$G$10693/ext_sh</f>
        <v>3071.4375</v>
      </c>
      <c r="H10694" s="32" t="n">
        <f aca="false">Sens!$H$10693/ext_sh</f>
        <v>4542.875</v>
      </c>
      <c r="I10694" s="32" t="n">
        <f aca="false">Sens!$I$10693/ext_sh</f>
        <v>4542.875</v>
      </c>
      <c r="J10694" s="32" t="n">
        <f aca="false">Sens!$J$10693/ext_sh</f>
        <v>4542.875</v>
      </c>
      <c r="K10694" s="32" t="n">
        <f aca="false">Sens!$K$10693/ext_sh</f>
        <v>3213.58395833333</v>
      </c>
      <c r="L10694" s="32" t="n">
        <f aca="false">Sens!$L$10693/ext_sh</f>
        <v>1884.29291666667</v>
      </c>
      <c r="M10694" s="32" t="n">
        <f aca="false">Sens!$M$10693/ext_sh</f>
        <v>555.001874999998</v>
      </c>
      <c r="N10694" s="32" t="n">
        <f aca="false">Sens!$N$10693/ext_sh</f>
        <v>675</v>
      </c>
      <c r="O10694" s="32" t="n">
        <f aca="false">Sens!$O$10693/ext_sh</f>
        <v>675</v>
      </c>
      <c r="P10694" s="8" t="s">
        <v>597</v>
      </c>
      <c r="R10694" s="32" t="n">
        <f aca="false">mw_ye23/ext_sh</f>
        <v>150</v>
      </c>
      <c r="S10694" s="32" t="n">
        <f aca="false">Sens!$C$10694</f>
        <v>300</v>
      </c>
      <c r="T10694" s="32" t="n">
        <f aca="false">Sens!$D$10694</f>
        <v>1350</v>
      </c>
      <c r="U10694" s="32" t="n">
        <f aca="false">Sens!$G$10694</f>
        <v>3071.4375</v>
      </c>
      <c r="V10694" s="32" t="n">
        <f aca="false">Sens!$H$10694</f>
        <v>4542.875</v>
      </c>
      <c r="W10694" s="32" t="n">
        <f aca="false">Sens!$I$10694</f>
        <v>4542.875</v>
      </c>
      <c r="X10694" s="32" t="n">
        <f aca="false">Sens!$J$10694</f>
        <v>4542.875</v>
      </c>
      <c r="Y10694" s="32" t="n">
        <f aca="false">Sens!$K$10694</f>
        <v>3213.58395833333</v>
      </c>
      <c r="Z10694" s="32" t="n">
        <f aca="false">Sens!$L$10694</f>
        <v>1884.29291666667</v>
      </c>
      <c r="AA10694" s="32" t="n">
        <f aca="false">Sens!$M$10694</f>
        <v>555.001874999998</v>
      </c>
    </row>
    <row r="10695" customFormat="false" ht="17.15" hidden="false" customHeight="false" outlineLevel="0" collapsed="false">
      <c r="A10695" s="1" t="s">
        <v>598</v>
      </c>
    </row>
    <row r="10696" customFormat="false" ht="17.15" hidden="false" customHeight="false" outlineLevel="0" collapsed="false">
      <c r="A10696" s="0" t="s">
        <v>599</v>
      </c>
      <c r="B10696" s="0" t="s">
        <v>52</v>
      </c>
      <c r="F10696" s="35" t="n">
        <f aca="false">na_vr26</f>
        <v>0</v>
      </c>
      <c r="G10696" s="35" t="n">
        <f aca="false">na_vr26</f>
        <v>0</v>
      </c>
      <c r="H10696" s="35" t="n">
        <f aca="false">na_vr27</f>
        <v>0.5</v>
      </c>
      <c r="I10696" s="35" t="n">
        <f aca="false">na_vr28</f>
        <v>1</v>
      </c>
      <c r="J10696" s="35" t="n">
        <f aca="false">na_vr28</f>
        <v>1</v>
      </c>
      <c r="K10696" s="35" t="n">
        <f aca="false">na_vr28</f>
        <v>1</v>
      </c>
      <c r="L10696" s="35" t="n">
        <f aca="false">na_vr28</f>
        <v>1</v>
      </c>
      <c r="M10696" s="35" t="n">
        <f aca="false">na_vr28</f>
        <v>1</v>
      </c>
    </row>
    <row r="10697" customFormat="false" ht="17.15" hidden="false" customHeight="false" outlineLevel="0" collapsed="false">
      <c r="A10697" s="5" t="s">
        <v>600</v>
      </c>
      <c r="B10697" s="0" t="s">
        <v>173</v>
      </c>
      <c r="F10697" s="36" t="n">
        <f aca="false">cust_sh*tk_he_gb300*cf_chip+(1-cust_sh)*((1-Sens!$F$10696)*tk_he_gb300+Sens!$F$10696*tk_he_vr200)</f>
        <v>10.8864110021101</v>
      </c>
      <c r="G10697" s="36" t="n">
        <f aca="false">cust_sh*tk_he_gb300*cf_chip+(1-cust_sh)*((1-Sens!$G$10696)*tk_he_gb300+Sens!$G$10696*tk_he_vr200)</f>
        <v>10.8864110021101</v>
      </c>
      <c r="H10697" s="36" t="n">
        <f aca="false">cust_sh*tk_he_gb300*cf_chip+(1-cust_sh)*((1-Sens!$H$10696)*tk_he_gb300+Sens!$H$10696*tk_he_vr200)</f>
        <v>11.2211760027286</v>
      </c>
      <c r="I10697" s="36" t="n">
        <f aca="false">cust_sh*tk_he_gb300*cf_chip+(1-cust_sh)*((1-Sens!$I$10696)*tk_he_gb300+Sens!$I$10696*tk_he_vr200)</f>
        <v>11.5559410033471</v>
      </c>
      <c r="J10697" s="36" t="n">
        <f aca="false">cust_sh*tk_he_gb300*cf_chip+(1-cust_sh)*((1-Sens!$J$10696)*tk_he_gb300+Sens!$J$10696*tk_he_vr200)</f>
        <v>11.5559410033471</v>
      </c>
      <c r="K10697" s="36" t="n">
        <f aca="false">cust_sh*tk_he_gb300*cf_chip+(1-cust_sh)*((1-Sens!$K$10696)*tk_he_gb300+Sens!$K$10696*tk_he_vr200)</f>
        <v>11.5559410033471</v>
      </c>
      <c r="L10697" s="36" t="n">
        <f aca="false">cust_sh*tk_he_gb300*cf_chip+(1-cust_sh)*((1-Sens!$L$10696)*tk_he_gb300+Sens!$L$10696*tk_he_vr200)</f>
        <v>11.5559410033471</v>
      </c>
      <c r="M10697" s="36" t="n">
        <f aca="false">cust_sh*tk_he_gb300*cf_chip+(1-cust_sh)*((1-Sens!$M$10696)*tk_he_gb300+Sens!$M$10696*tk_he_vr200)</f>
        <v>11.5559410033471</v>
      </c>
    </row>
    <row r="10698" customFormat="false" ht="17.15" hidden="false" customHeight="false" outlineLevel="0" collapsed="false">
      <c r="A10698" s="5" t="s">
        <v>601</v>
      </c>
      <c r="B10698" s="0" t="s">
        <v>173</v>
      </c>
      <c r="F10698" s="36" t="n">
        <f aca="false">cust_sh*tk_ox_gb300+(1-cust_sh)*((1-Sens!$F$10696)*tk_ox_gb300+Sens!$F$10696*tk_ox_vr200)</f>
        <v>1.98263481314457</v>
      </c>
      <c r="G10698" s="36" t="n">
        <f aca="false">cust_sh*tk_ox_gb300+(1-cust_sh)*((1-Sens!$G$10696)*tk_ox_gb300+Sens!$G$10696*tk_ox_vr200)</f>
        <v>1.98263481314457</v>
      </c>
      <c r="H10698" s="36" t="n">
        <f aca="false">cust_sh*tk_ox_gb300+(1-cust_sh)*((1-Sens!$H$10696)*tk_ox_gb300+Sens!$H$10696*tk_ox_vr200)</f>
        <v>2.01034999693694</v>
      </c>
      <c r="I10698" s="36" t="n">
        <f aca="false">cust_sh*tk_ox_gb300+(1-cust_sh)*((1-Sens!$I$10696)*tk_ox_gb300+Sens!$I$10696*tk_ox_vr200)</f>
        <v>2.0380651807293</v>
      </c>
      <c r="J10698" s="36" t="n">
        <f aca="false">cust_sh*tk_ox_gb300+(1-cust_sh)*((1-Sens!$J$10696)*tk_ox_gb300+Sens!$J$10696*tk_ox_vr200)</f>
        <v>2.0380651807293</v>
      </c>
      <c r="K10698" s="36" t="n">
        <f aca="false">cust_sh*tk_ox_gb300+(1-cust_sh)*((1-Sens!$K$10696)*tk_ox_gb300+Sens!$K$10696*tk_ox_vr200)</f>
        <v>2.0380651807293</v>
      </c>
      <c r="L10698" s="36" t="n">
        <f aca="false">cust_sh*tk_ox_gb300+(1-cust_sh)*((1-Sens!$L$10696)*tk_ox_gb300+Sens!$L$10696*tk_ox_vr200)</f>
        <v>2.0380651807293</v>
      </c>
      <c r="M10698" s="36" t="n">
        <f aca="false">cust_sh*tk_ox_gb300+(1-cust_sh)*((1-Sens!$M$10696)*tk_ox_gb300+Sens!$M$10696*tk_ox_vr200)</f>
        <v>2.0380651807293</v>
      </c>
    </row>
    <row r="10699" customFormat="false" ht="17.15" hidden="false" customHeight="false" outlineLevel="0" collapsed="false">
      <c r="A10699" s="5" t="s">
        <v>602</v>
      </c>
      <c r="B10699" s="0" t="s">
        <v>192</v>
      </c>
      <c r="F10699" s="36" t="n">
        <f aca="false">cust_sh*tk_cx_gb300*cf_cx+(1-cust_sh)*((1-Sens!$F$10696)*tk_cx_gb300+Sens!$F$10696*tk_cx_vr200)</f>
        <v>32.237224</v>
      </c>
      <c r="G10699" s="36" t="n">
        <f aca="false">cust_sh*tk_cx_gb300*cf_cx+(1-cust_sh)*((1-Sens!$G$10696)*tk_cx_gb300+Sens!$G$10696*tk_cx_vr200)</f>
        <v>32.237224</v>
      </c>
      <c r="H10699" s="36" t="n">
        <f aca="false">cust_sh*tk_cx_gb300*cf_cx+(1-cust_sh)*((1-Sens!$H$10696)*tk_cx_gb300+Sens!$H$10696*tk_cx_vr200)</f>
        <v>33.574506</v>
      </c>
      <c r="I10699" s="36" t="n">
        <f aca="false">cust_sh*tk_cx_gb300*cf_cx+(1-cust_sh)*((1-Sens!$I$10696)*tk_cx_gb300+Sens!$I$10696*tk_cx_vr200)</f>
        <v>34.911788</v>
      </c>
      <c r="J10699" s="36" t="n">
        <f aca="false">cust_sh*tk_cx_gb300*cf_cx+(1-cust_sh)*((1-Sens!$J$10696)*tk_cx_gb300+Sens!$J$10696*tk_cx_vr200)</f>
        <v>34.911788</v>
      </c>
      <c r="K10699" s="36" t="n">
        <f aca="false">cust_sh*tk_cx_gb300*cf_cx+(1-cust_sh)*((1-Sens!$K$10696)*tk_cx_gb300+Sens!$K$10696*tk_cx_vr200)</f>
        <v>34.911788</v>
      </c>
      <c r="L10699" s="36" t="n">
        <f aca="false">cust_sh*tk_cx_gb300*cf_cx+(1-cust_sh)*((1-Sens!$L$10696)*tk_cx_gb300+Sens!$L$10696*tk_cx_vr200)</f>
        <v>34.911788</v>
      </c>
      <c r="M10699" s="36" t="n">
        <f aca="false">cust_sh*tk_cx_gb300*cf_cx+(1-cust_sh)*((1-Sens!$M$10696)*tk_cx_gb300+Sens!$M$10696*tk_cx_vr200)</f>
        <v>34.911788</v>
      </c>
    </row>
    <row r="10700" customFormat="false" ht="17.15" hidden="false" customHeight="false" outlineLevel="0" collapsed="false">
      <c r="A10700" s="5" t="s">
        <v>603</v>
      </c>
      <c r="B10700" s="0" t="s">
        <v>129</v>
      </c>
      <c r="F10700" s="32" t="n">
        <f aca="false">Sens!$F$10690-mw_open</f>
        <v>1817.15</v>
      </c>
      <c r="G10700" s="32" t="n">
        <f aca="false">Sens!$F$10700</f>
        <v>1817.15</v>
      </c>
      <c r="H10700" s="32" t="n">
        <f aca="false">Sens!$H$10690-mw_open</f>
        <v>5451.45</v>
      </c>
      <c r="I10700" s="32" t="n">
        <f aca="false">Sens!$I$10690-mw_open</f>
        <v>9085.75</v>
      </c>
      <c r="J10700" s="32" t="n">
        <f aca="false">Sens!$J$10690-mw_open</f>
        <v>12720.05</v>
      </c>
      <c r="K10700" s="32" t="n">
        <f aca="false">Sens!$K$10690-mw_open</f>
        <v>15290.9171666667</v>
      </c>
      <c r="L10700" s="32" t="n">
        <f aca="false">Sens!$L$10690-mw_open</f>
        <v>16798.3515</v>
      </c>
      <c r="M10700" s="32" t="n">
        <f aca="false">Sens!$M$10690-mw_open</f>
        <v>17242.353</v>
      </c>
    </row>
    <row r="10701" customFormat="false" ht="17.15" hidden="false" customHeight="false" outlineLevel="0" collapsed="false">
      <c r="A10701" s="0" t="s">
        <v>604</v>
      </c>
      <c r="B10701" s="0" t="s">
        <v>605</v>
      </c>
      <c r="F10701" s="32" t="n">
        <f aca="false">Sens!$F$10693*Sens!$F$10697</f>
        <v>19782.2417524844</v>
      </c>
      <c r="G10701" s="32" t="n">
        <f aca="false">Sens!$F$10701</f>
        <v>19782.2417524844</v>
      </c>
      <c r="H10701" s="32" t="n">
        <f aca="false">Sens!$G$10701+Sens!$H$10693*Sens!$H$10697</f>
        <v>60563.3616992009</v>
      </c>
      <c r="I10701" s="32" t="n">
        <f aca="false">Sens!$H$10701+Sens!$I$10693*Sens!$I$10697</f>
        <v>102561.118087665</v>
      </c>
      <c r="J10701" s="32" t="n">
        <f aca="false">Sens!$I$10701+Sens!$J$10693*Sens!$J$10697</f>
        <v>144558.87447613</v>
      </c>
      <c r="K10701" s="32" t="n">
        <f aca="false">Sens!$J$10701+Sens!$K$10693*Sens!$K$10697</f>
        <v>174267.663781572</v>
      </c>
      <c r="L10701" s="32" t="n">
        <f aca="false">Sens!$K$10701+Sens!$L$10693*Sens!$L$10697</f>
        <v>191687.486003992</v>
      </c>
      <c r="M10701" s="32" t="n">
        <f aca="false">Sens!$L$10701+Sens!$M$10693*Sens!$M$10697</f>
        <v>196818.341143389</v>
      </c>
    </row>
    <row r="10702" customFormat="false" ht="17.15" hidden="false" customHeight="false" outlineLevel="0" collapsed="false">
      <c r="A10702" s="0" t="s">
        <v>606</v>
      </c>
      <c r="B10702" s="0" t="s">
        <v>605</v>
      </c>
      <c r="F10702" s="32" t="n">
        <f aca="false">Sens!$F$10693*Sens!$F$10698</f>
        <v>3602.74485070566</v>
      </c>
      <c r="G10702" s="32" t="n">
        <f aca="false">Sens!$F$10702</f>
        <v>3602.74485070566</v>
      </c>
      <c r="H10702" s="32" t="n">
        <f aca="false">Sens!$G$10702+Sens!$H$10693*Sens!$H$10698</f>
        <v>10908.9598445736</v>
      </c>
      <c r="I10702" s="32" t="n">
        <f aca="false">Sens!$H$10702+Sens!$I$10693*Sens!$I$10698</f>
        <v>18315.9001308981</v>
      </c>
      <c r="J10702" s="32" t="n">
        <f aca="false">Sens!$I$10702+Sens!$J$10693*Sens!$J$10698</f>
        <v>25722.8404172225</v>
      </c>
      <c r="K10702" s="32" t="n">
        <f aca="false">Sens!$J$10702+Sens!$K$10693*Sens!$K$10698</f>
        <v>30962.4352738861</v>
      </c>
      <c r="L10702" s="32" t="n">
        <f aca="false">Sens!$K$10702+Sens!$L$10693*Sens!$L$10698</f>
        <v>34034.6847008886</v>
      </c>
      <c r="M10702" s="32" t="n">
        <f aca="false">Sens!$L$10702+Sens!$M$10693*Sens!$M$10698</f>
        <v>34939.5886982302</v>
      </c>
    </row>
    <row r="10703" customFormat="false" ht="17.15" hidden="false" customHeight="false" outlineLevel="0" collapsed="false">
      <c r="A10703" s="5" t="s">
        <v>607</v>
      </c>
      <c r="B10703" s="0" t="s">
        <v>173</v>
      </c>
      <c r="F10703" s="36" t="n">
        <f aca="false">IF(Sens!$F$10700&gt;0,Sens!$F$10701/Sens!$F$10700,Sens!$F$10697)</f>
        <v>10.8864110021101</v>
      </c>
      <c r="G10703" s="36" t="n">
        <f aca="false">IF(Sens!$G$10700&gt;0,Sens!$G$10701/Sens!$G$10700,Sens!$G$10697)</f>
        <v>10.8864110021101</v>
      </c>
      <c r="H10703" s="36" t="n">
        <f aca="false">IF(Sens!$H$10700&gt;0,Sens!$H$10701/Sens!$H$10700,Sens!$H$10697)</f>
        <v>11.1095876691891</v>
      </c>
      <c r="I10703" s="36" t="n">
        <f aca="false">IF(Sens!$I$10700&gt;0,Sens!$I$10701/Sens!$I$10700,Sens!$I$10697)</f>
        <v>11.2881290028523</v>
      </c>
      <c r="J10703" s="36" t="n">
        <f aca="false">IF(Sens!$J$10700&gt;0,Sens!$J$10701/Sens!$J$10700,Sens!$J$10697)</f>
        <v>11.3646467172794</v>
      </c>
      <c r="K10703" s="36" t="n">
        <f aca="false">IF(Sens!$K$10700&gt;0,Sens!$K$10701/Sens!$K$10700,Sens!$K$10697)</f>
        <v>11.3968090914432</v>
      </c>
      <c r="L10703" s="36" t="n">
        <f aca="false">IF(Sens!$L$10700&gt;0,Sens!$L$10701/Sens!$L$10700,Sens!$L$10697)</f>
        <v>11.4110891181192</v>
      </c>
      <c r="M10703" s="36" t="n">
        <f aca="false">IF(Sens!$M$10700&gt;0,Sens!$M$10701/Sens!$M$10700,Sens!$M$10697)</f>
        <v>11.4148191458201</v>
      </c>
    </row>
    <row r="10704" customFormat="false" ht="17.15" hidden="false" customHeight="false" outlineLevel="0" collapsed="false">
      <c r="A10704" s="5" t="s">
        <v>608</v>
      </c>
      <c r="B10704" s="0" t="s">
        <v>173</v>
      </c>
      <c r="F10704" s="36" t="n">
        <f aca="false">IF(Sens!$F$10700&gt;0,Sens!$F$10702/Sens!$F$10700,Sens!$F$10698)</f>
        <v>1.98263481314457</v>
      </c>
      <c r="G10704" s="36" t="n">
        <f aca="false">IF(Sens!$G$10700&gt;0,Sens!$G$10702/Sens!$G$10700,Sens!$G$10698)</f>
        <v>1.98263481314457</v>
      </c>
      <c r="H10704" s="36" t="n">
        <f aca="false">IF(Sens!$H$10700&gt;0,Sens!$H$10702/Sens!$H$10700,Sens!$H$10698)</f>
        <v>2.00111160233948</v>
      </c>
      <c r="I10704" s="36" t="n">
        <f aca="false">IF(Sens!$I$10700&gt;0,Sens!$I$10702/Sens!$I$10700,Sens!$I$10698)</f>
        <v>2.01589303369541</v>
      </c>
      <c r="J10704" s="36" t="n">
        <f aca="false">IF(Sens!$J$10700&gt;0,Sens!$J$10702/Sens!$J$10700,Sens!$J$10698)</f>
        <v>2.02222793284795</v>
      </c>
      <c r="K10704" s="36" t="n">
        <f aca="false">IF(Sens!$K$10700&gt;0,Sens!$K$10702/Sens!$K$10700,Sens!$K$10698)</f>
        <v>2.02489065478573</v>
      </c>
      <c r="L10704" s="36" t="n">
        <f aca="false">IF(Sens!$L$10700&gt;0,Sens!$L$10702/Sens!$L$10700,Sens!$L$10698)</f>
        <v>2.0260728977417</v>
      </c>
      <c r="M10704" s="36" t="n">
        <f aca="false">IF(Sens!$M$10700&gt;0,Sens!$M$10702/Sens!$M$10700,Sens!$M$10698)</f>
        <v>2.02638170661685</v>
      </c>
    </row>
    <row r="10705" customFormat="false" ht="17.15" hidden="false" customHeight="false" outlineLevel="0" collapsed="false">
      <c r="A10705" s="15" t="s">
        <v>609</v>
      </c>
      <c r="B10705" s="14" t="s">
        <v>173</v>
      </c>
      <c r="C10705" s="14"/>
      <c r="D10705" s="14"/>
      <c r="E10705" s="14"/>
      <c r="F10705" s="37" t="n">
        <f aca="false">Sens!$F$10703*k_C</f>
        <v>8.98049677377134</v>
      </c>
      <c r="G10705" s="37" t="n">
        <f aca="false">Sens!$G$10703*k_C</f>
        <v>8.98049677377134</v>
      </c>
      <c r="H10705" s="37" t="n">
        <f aca="false">Sens!$H$10703*k_C</f>
        <v>9.16460128151917</v>
      </c>
      <c r="I10705" s="37" t="n">
        <f aca="false">Sens!$I$10703*k_C</f>
        <v>9.31188488771743</v>
      </c>
      <c r="J10705" s="37" t="n">
        <f aca="false">Sens!$J$10703*k_C</f>
        <v>9.37500643323097</v>
      </c>
      <c r="K10705" s="37" t="n">
        <f aca="false">Sens!$K$10703*k_C</f>
        <v>9.40153805116815</v>
      </c>
      <c r="L10705" s="37" t="n">
        <f aca="false">Sens!$L$10703*k_C</f>
        <v>9.41331803388866</v>
      </c>
      <c r="M10705" s="37" t="n">
        <f aca="false">Sens!$M$10703*k_C</f>
        <v>9.41639503527393</v>
      </c>
      <c r="N10705" s="14"/>
      <c r="O10705" s="14"/>
      <c r="P10705" s="5" t="s">
        <v>610</v>
      </c>
    </row>
    <row r="10706" customFormat="false" ht="17.15" hidden="false" customHeight="false" outlineLevel="0" collapsed="false">
      <c r="A10706" s="5" t="s">
        <v>611</v>
      </c>
      <c r="B10706" s="0" t="s">
        <v>129</v>
      </c>
      <c r="F10706" s="32" t="n">
        <f aca="false">Sens!$F$10700/2</f>
        <v>908.575</v>
      </c>
      <c r="H10706" s="32" t="n">
        <f aca="false">(Sens!$G$10700+Sens!$H$10700)/2</f>
        <v>3634.3</v>
      </c>
      <c r="I10706" s="32" t="n">
        <f aca="false">(Sens!$H$10700+Sens!$I$10700)/2</f>
        <v>7268.6</v>
      </c>
      <c r="J10706" s="32" t="n">
        <f aca="false">(Sens!$I$10700+Sens!$J$10700)/2</f>
        <v>10902.9</v>
      </c>
      <c r="K10706" s="32" t="n">
        <f aca="false">(Sens!$J$10700+Sens!$K$10700)/2</f>
        <v>14005.4835833333</v>
      </c>
      <c r="L10706" s="32" t="n">
        <f aca="false">(Sens!$K$10700+Sens!$L$10700)/2</f>
        <v>16044.6343333333</v>
      </c>
      <c r="M10706" s="32" t="n">
        <f aca="false">(Sens!$L$10700+Sens!$M$10700)/2</f>
        <v>17020.35225</v>
      </c>
    </row>
    <row r="10707" customFormat="false" ht="17.15" hidden="false" customHeight="false" outlineLevel="0" collapsed="false">
      <c r="A10707" s="1" t="s">
        <v>612</v>
      </c>
    </row>
    <row r="10708" customFormat="false" ht="17.15" hidden="false" customHeight="false" outlineLevel="0" collapsed="false">
      <c r="A10708" s="1" t="s">
        <v>613</v>
      </c>
      <c r="B10708" s="8" t="s">
        <v>86</v>
      </c>
      <c r="C10708" s="38" t="n">
        <f aca="false">Sens!$C$10691*rpm_open*Sens!$C$10692/1000</f>
        <v>2.32100535697364</v>
      </c>
      <c r="D10708" s="38" t="n">
        <f aca="false">Sens!$D$10691*rpm_open*Sens!$D$10692/1000</f>
        <v>8.70377008865116</v>
      </c>
      <c r="E10708" s="38" t="n">
        <f aca="false">Sens!$E$10691*rpm_open*Sens!$E$10692/1000</f>
        <v>8.51035297557002</v>
      </c>
      <c r="F10708" s="38" t="n">
        <f aca="false">(mw_open*rpm_open+Sens!$F$10706*Sens!$F$10705)*Sens!$F$10692/1000</f>
        <v>14.1374173083338</v>
      </c>
      <c r="G10708" s="38" t="n">
        <f aca="false">Sens!$E$10708+Sens!$F$10708</f>
        <v>22.6477702839038</v>
      </c>
      <c r="H10708" s="38" t="n">
        <f aca="false">(mw_open*rpm_open+Sens!$H$10706*Sens!$H$10705)/1000</f>
        <v>53.4222901978634</v>
      </c>
      <c r="I10708" s="38" t="n">
        <f aca="false">(mw_open*rpm_open+Sens!$I$10706*Sens!$I$10705)/1000</f>
        <v>87.7997462553011</v>
      </c>
      <c r="J10708" s="38" t="n">
        <f aca="false">(mw_open*rpm_open+Sens!$J$10706*Sens!$J$10705)/1000</f>
        <v>122.330137401312</v>
      </c>
      <c r="K10708" s="38" t="n">
        <f aca="false">(mw_open*rpm_open+Sens!$K$10706*Sens!$K$10705)/1000</f>
        <v>151.788466594157</v>
      </c>
      <c r="L10708" s="38" t="n">
        <f aca="false">(mw_open*rpm_open+Sens!$L$10706*Sens!$L$10705)/1000</f>
        <v>171.148625477554</v>
      </c>
      <c r="M10708" s="38" t="n">
        <f aca="false">(mw_open*rpm_open+Sens!$M$10706*Sens!$M$10705)/1000</f>
        <v>180.385740185952</v>
      </c>
      <c r="N10708" s="38" t="n">
        <f aca="false">Sens!$N$10691*rpm_open*Sens!$N$10692/1000</f>
        <v>3.04631953102791</v>
      </c>
      <c r="O10708" s="38" t="n">
        <f aca="false">Sens!$O$10691*rpm_open*Sens!$O$10692/1000</f>
        <v>5.65745055762326</v>
      </c>
      <c r="P10708" s="5" t="s">
        <v>614</v>
      </c>
    </row>
    <row r="10709" customFormat="false" ht="17.15" hidden="false" customHeight="false" outlineLevel="0" collapsed="false">
      <c r="A10709" s="5" t="s">
        <v>615</v>
      </c>
      <c r="B10709" s="0" t="s">
        <v>173</v>
      </c>
      <c r="C10709" s="36" t="n">
        <f aca="false">Sens!$C$10708*1000/(Sens!$C$10691*Sens!$C$10692)</f>
        <v>9.67085565405685</v>
      </c>
      <c r="D10709" s="36" t="n">
        <f aca="false">Sens!$D$10708*1000/(Sens!$D$10691*Sens!$D$10692)</f>
        <v>9.67085565405685</v>
      </c>
      <c r="E10709" s="36" t="n">
        <f aca="false">Sens!$E$10708*1000/(Sens!$E$10691*Sens!$E$10692)</f>
        <v>9.67085565405685</v>
      </c>
      <c r="F10709" s="36" t="n">
        <f aca="false">Sens!$F$10708*1000/(Sens!$F$10691*Sens!$F$10692)</f>
        <v>9.46097542028142</v>
      </c>
      <c r="G10709" s="36" t="n">
        <f aca="false">Sens!$G$10708*1000/(Sens!$G$10691*Sens!$G$10692)</f>
        <v>9.53876490690525</v>
      </c>
      <c r="H10709" s="36" t="n">
        <f aca="false">Sens!$H$10708*1000/(Sens!$H$10691*Sens!$H$10692)</f>
        <v>9.34887741243255</v>
      </c>
      <c r="I10709" s="36" t="n">
        <f aca="false">Sens!$I$10708*1000/(Sens!$I$10691*Sens!$I$10692)</f>
        <v>9.39175344493305</v>
      </c>
      <c r="J10709" s="36" t="n">
        <f aca="false">Sens!$J$10708*1000/(Sens!$J$10691*Sens!$J$10692)</f>
        <v>9.42240465545542</v>
      </c>
      <c r="K10709" s="36" t="n">
        <f aca="false">Sens!$K$10708*1000/(Sens!$K$10691*Sens!$K$10692)</f>
        <v>9.43636327797009</v>
      </c>
      <c r="L10709" s="36" t="n">
        <f aca="false">Sens!$L$10708*1000/(Sens!$L$10691*Sens!$L$10692)</f>
        <v>9.4428732922237</v>
      </c>
      <c r="M10709" s="36" t="n">
        <f aca="false">Sens!$M$10708*1000/(Sens!$M$10691*Sens!$M$10692)</f>
        <v>9.44410541883864</v>
      </c>
      <c r="N10709" s="36" t="n">
        <f aca="false">Sens!$N$10708*1000/(Sens!$N$10691*Sens!$N$10692)</f>
        <v>9.67085565405685</v>
      </c>
      <c r="O10709" s="36" t="n">
        <f aca="false">Sens!$O$10708*1000/(Sens!$O$10691*Sens!$O$10692)</f>
        <v>9.67085565405685</v>
      </c>
    </row>
    <row r="10710" customFormat="false" ht="17.15" hidden="false" customHeight="false" outlineLevel="0" collapsed="false">
      <c r="A10710" s="0" t="s">
        <v>616</v>
      </c>
      <c r="B10710" s="0" t="s">
        <v>86</v>
      </c>
      <c r="C10710" s="38" t="n">
        <f aca="false">Sens!$C$10691/ext_sh*(ox_open+rent_mw)*Sens!$C$10692/1000</f>
        <v>0.642569210675032</v>
      </c>
      <c r="D10710" s="38" t="n">
        <f aca="false">Sens!$D$10691/ext_sh*(ox_open+rent_mw)*Sens!$D$10692/1000</f>
        <v>2.40963454003137</v>
      </c>
      <c r="E10710" s="38" t="n">
        <f aca="false">Sens!$E$10691/ext_sh*(ox_open+rent_mw)*Sens!$E$10692/1000</f>
        <v>2.35608710580845</v>
      </c>
      <c r="F10710" s="38" t="n">
        <f aca="false">((mw_open*ox_open+Sens!$F$10706*Sens!$F$10704)/ext_sh+Sens!$F$10691/ext_sh*rent_mw)*Sens!$F$10692/1000</f>
        <v>4.05421991106232</v>
      </c>
      <c r="G10710" s="38" t="n">
        <f aca="false">Sens!$E$10710+Sens!$F$10710</f>
        <v>6.41030701687077</v>
      </c>
      <c r="H10710" s="38" t="n">
        <f aca="false">((mw_open*ox_open+Sens!$H$10706*Sens!$H$10704)/ext_sh+Sens!$H$10691/ext_sh*rent_mw)*Sens!$H$10692/1000</f>
        <v>15.8108975546616</v>
      </c>
      <c r="I10710" s="38" t="n">
        <f aca="false">((mw_open*ox_open+Sens!$I$10706*Sens!$I$10704)/ext_sh+Sens!$I$10691/ext_sh*rent_mw)*Sens!$I$10692/1000</f>
        <v>26.1871623400817</v>
      </c>
      <c r="J10710" s="38" t="n">
        <f aca="false">((mw_open*ox_open+Sens!$J$10706*Sens!$J$10704)/ext_sh+Sens!$J$10691/ext_sh*rent_mw)*Sens!$J$10692/1000</f>
        <v>36.5826128954935</v>
      </c>
      <c r="K10710" s="38" t="n">
        <f aca="false">((mw_open*ox_open+Sens!$K$10706*Sens!$K$10704)/ext_sh+Sens!$K$10691/ext_sh*rent_mw)*Sens!$K$10692/1000</f>
        <v>45.4546361137628</v>
      </c>
      <c r="L10710" s="38" t="n">
        <f aca="false">((mw_open*ox_open+Sens!$L$10706*Sens!$L$10704)/ext_sh+Sens!$L$10691/ext_sh*rent_mw)*Sens!$L$10692/1000</f>
        <v>51.2855695554452</v>
      </c>
      <c r="M10710" s="38" t="n">
        <f aca="false">((mw_open*ox_open+Sens!$M$10706*Sens!$M$10704)/ext_sh+Sens!$M$10691/ext_sh*rent_mw)*Sens!$M$10692/1000</f>
        <v>54.0722927838398</v>
      </c>
      <c r="N10710" s="38" t="n">
        <f aca="false">Sens!$N$10691/ext_sh*(ox_open+rent_mw)*Sens!$N$10692/1000</f>
        <v>0.84337208901098</v>
      </c>
      <c r="O10710" s="38" t="n">
        <f aca="false">Sens!$O$10691/ext_sh*(ox_open+rent_mw)*Sens!$O$10692/1000</f>
        <v>1.56626245102039</v>
      </c>
    </row>
    <row r="10711" customFormat="false" ht="17.15" hidden="false" customHeight="false" outlineLevel="0" collapsed="false">
      <c r="A10711" s="0" t="s">
        <v>617</v>
      </c>
      <c r="B10711" s="0" t="s">
        <v>86</v>
      </c>
      <c r="C10711" s="38" t="n">
        <f aca="false">Q!$D$7</f>
        <v>107.556</v>
      </c>
      <c r="D10711" s="38" t="n">
        <f aca="false">Q!$E$7</f>
        <v>128.725</v>
      </c>
      <c r="E10711" s="38" t="n">
        <f aca="false">Q!$P$7</f>
        <v>79.819</v>
      </c>
      <c r="N10711" s="38" t="n">
        <f aca="false">Q!$N$7</f>
        <v>60.14</v>
      </c>
      <c r="O10711" s="38" t="n">
        <f aca="false">Q!$O$7</f>
        <v>68.585</v>
      </c>
    </row>
    <row r="10712" customFormat="false" ht="17.15" hidden="false" customHeight="false" outlineLevel="0" collapsed="false">
      <c r="A10712" s="1" t="s">
        <v>618</v>
      </c>
      <c r="B10712" s="8" t="s">
        <v>86</v>
      </c>
      <c r="C10712" s="38" t="n">
        <f aca="false">Sens!$C$10711-Sens!$C$10708</f>
        <v>105.234994643026</v>
      </c>
      <c r="D10712" s="38" t="n">
        <f aca="false">Sens!$D$10711-Sens!$D$10708</f>
        <v>120.021229911349</v>
      </c>
      <c r="E10712" s="38" t="n">
        <f aca="false">Sens!$E$10711-Sens!$E$10708</f>
        <v>71.30864702443</v>
      </c>
      <c r="F10712" s="38" t="n">
        <f aca="false">Sens!$O$10712*(1+Sens!$F$10713)</f>
        <v>71.7692997942464</v>
      </c>
      <c r="G10712" s="38" t="n">
        <f aca="false">Sens!$E$10712+Sens!$F$10712</f>
        <v>143.077946818676</v>
      </c>
      <c r="H10712" s="38" t="n">
        <f aca="false">Sens!$G$10712*(1+Sens!$H$10713)</f>
        <v>161.017077079203</v>
      </c>
      <c r="I10712" s="38" t="n">
        <f aca="false">Sens!$H$10712*(1+Sens!$I$10713)</f>
        <v>178.769759521457</v>
      </c>
      <c r="J10712" s="38" t="n">
        <f aca="false">Sens!$I$10712*(1+Sens!$J$10713)</f>
        <v>195.775538045907</v>
      </c>
      <c r="K10712" s="38" t="n">
        <f aca="false">Sens!$J$10712*(1+Sens!$K$10713)</f>
        <v>211.43758108958</v>
      </c>
      <c r="L10712" s="38" t="n">
        <f aca="false">Sens!$K$10712*(1+Sens!$L$10713)</f>
        <v>228.352587576746</v>
      </c>
      <c r="M10712" s="38" t="n">
        <f aca="false">Sens!$L$10712*(1+Sens!$M$10713)</f>
        <v>246.620794582886</v>
      </c>
      <c r="N10712" s="38" t="n">
        <f aca="false">Sens!$N$10711-Sens!$N$10708</f>
        <v>57.0936804689721</v>
      </c>
      <c r="O10712" s="38" t="n">
        <f aca="false">Sens!$O$10711-Sens!$O$10708</f>
        <v>62.9275494423768</v>
      </c>
      <c r="P10712" s="5" t="s">
        <v>619</v>
      </c>
    </row>
    <row r="10713" customFormat="false" ht="17.15" hidden="false" customHeight="false" outlineLevel="0" collapsed="false">
      <c r="A10713" s="0" t="s">
        <v>620</v>
      </c>
      <c r="B10713" s="0" t="s">
        <v>52</v>
      </c>
      <c r="D10713" s="13" t="n">
        <f aca="false">Sens!$D$10712/Sens!$C$10712-1</f>
        <v>0.140506827776062</v>
      </c>
      <c r="E10713" s="13" t="n">
        <f aca="false">Sens!$E$10712/Sens!$N$10712-1</f>
        <v>0.248976181579029</v>
      </c>
      <c r="F10713" s="13" t="n">
        <f aca="false">Sens!$D$10713</f>
        <v>0.140506827776062</v>
      </c>
      <c r="G10713" s="13" t="n">
        <f aca="false">Sens!$G$10712/Sens!$D$10712-1</f>
        <v>0.19210532106993</v>
      </c>
      <c r="H10713" s="13" t="n">
        <f aca="false">Sens!$F$10713+(g_awso_lt-Sens!$F$10713)*1/4</f>
        <v>0.125380120832046</v>
      </c>
      <c r="I10713" s="13" t="n">
        <f aca="false">Sens!$F$10713+(g_awso_lt-Sens!$F$10713)*2/4</f>
        <v>0.110253413888031</v>
      </c>
      <c r="J10713" s="13" t="n">
        <f aca="false">Sens!$F$10713+(g_awso_lt-Sens!$F$10713)*3/4</f>
        <v>0.0951267069440154</v>
      </c>
      <c r="K10713" s="13" t="n">
        <f aca="false">Sens!$F$10713+(g_awso_lt-Sens!$F$10713)*4/4</f>
        <v>0.08</v>
      </c>
      <c r="L10713" s="13" t="n">
        <f aca="false">g_awso_lt</f>
        <v>0.08</v>
      </c>
      <c r="M10713" s="13" t="n">
        <f aca="false">g_awso_lt</f>
        <v>0.08</v>
      </c>
      <c r="P10713" s="5" t="s">
        <v>621</v>
      </c>
    </row>
    <row r="10714" customFormat="false" ht="17.15" hidden="false" customHeight="false" outlineLevel="0" collapsed="false">
      <c r="A10714" s="1" t="s">
        <v>622</v>
      </c>
    </row>
    <row r="10715" customFormat="false" ht="17.15" hidden="false" customHeight="false" outlineLevel="0" collapsed="false">
      <c r="A10715" s="0" t="s">
        <v>623</v>
      </c>
      <c r="B10715" s="0" t="s">
        <v>86</v>
      </c>
      <c r="F10715" s="38" t="n">
        <f aca="false">cx_rt*Sens!$F$10680+cx_awso*Sens!$F$10712</f>
        <v>35.0222454237403</v>
      </c>
    </row>
    <row r="10716" customFormat="false" ht="17.15" hidden="false" customHeight="false" outlineLevel="0" collapsed="false">
      <c r="A10716" s="0" t="s">
        <v>624</v>
      </c>
      <c r="B10716" s="0" t="s">
        <v>52</v>
      </c>
      <c r="C10716" s="13" t="n">
        <f aca="false">tk_cx_h100/(tk_cx_h100+tk_fac*(1-colo_sh))</f>
        <v>0.730756458006641</v>
      </c>
      <c r="D10716" s="13" t="n">
        <f aca="false">tk_cx_h100/(tk_cx_h100+tk_fac*(1-colo_sh))</f>
        <v>0.730756458006641</v>
      </c>
      <c r="E10716" s="13" t="n">
        <f aca="false">Sens!$F$10716</f>
        <v>0.760792334328868</v>
      </c>
      <c r="F10716" s="13" t="n">
        <f aca="false">Sens!$F$10699/(Sens!$F$10699+tk_fac*(1-colo_sh))</f>
        <v>0.760792334328868</v>
      </c>
      <c r="G10716" s="13" t="n">
        <f aca="false">Sens!$G$10699/(Sens!$G$10699+tk_fac*(1-colo_sh))</f>
        <v>0.760792334328868</v>
      </c>
      <c r="H10716" s="13" t="n">
        <f aca="false">Sens!$H$10699/(Sens!$H$10699+tk_fac*(1-colo_sh))</f>
        <v>0.768110668862996</v>
      </c>
      <c r="I10716" s="13" t="n">
        <f aca="false">Sens!$I$10699/(Sens!$I$10699+tk_fac*(1-colo_sh))</f>
        <v>0.77499450139483</v>
      </c>
      <c r="J10716" s="13" t="n">
        <f aca="false">Sens!$J$10699/(Sens!$J$10699+tk_fac*(1-colo_sh))</f>
        <v>0.77499450139483</v>
      </c>
      <c r="K10716" s="13" t="n">
        <f aca="false">Sens!$K$10699/(Sens!$K$10699+tk_fac*(1-colo_sh))</f>
        <v>0.77499450139483</v>
      </c>
      <c r="L10716" s="13" t="n">
        <f aca="false">Sens!$L$10699/(Sens!$L$10699+tk_fac*(1-colo_sh))</f>
        <v>0.77499450139483</v>
      </c>
      <c r="M10716" s="13" t="n">
        <f aca="false">Sens!$M$10699/(Sens!$M$10699+tk_fac*(1-colo_sh))</f>
        <v>0.77499450139483</v>
      </c>
    </row>
    <row r="10717" customFormat="false" ht="17.15" hidden="false" customHeight="false" outlineLevel="0" collapsed="false">
      <c r="A10717" s="1" t="s">
        <v>625</v>
      </c>
      <c r="B10717" s="8" t="s">
        <v>86</v>
      </c>
      <c r="C10717" s="38" t="n">
        <f aca="false">Q!$D$46-cx_rt*Q!$D$16-cx_awso*Sens!$C$10712</f>
        <v>25.2781053077374</v>
      </c>
      <c r="D10717" s="38" t="n">
        <f aca="false">Q!$E$46-cx_rt*Q!$E$16-cx_awso*Sens!$D$10712</f>
        <v>69.5686316310026</v>
      </c>
      <c r="E10717" s="38" t="n">
        <f aca="false">Q!$P$46-cx_rt*Q!$P$16-cx_awso*Sens!$E$10712</f>
        <v>64.1899206485108</v>
      </c>
      <c r="F10717" s="38" t="n">
        <f aca="false">MAX(Sens!$F$10694*(Sens!$F$10699+tk_fac*(1-colo_sh))/1000,capex_g26-Q!$P$46-Sens!$F$10715)</f>
        <v>96.2481299895</v>
      </c>
      <c r="G10717" s="38" t="n">
        <f aca="false">Sens!$E$10717+Sens!$F$10717</f>
        <v>160.438050638011</v>
      </c>
      <c r="H10717" s="38" t="n">
        <f aca="false">Sens!$H$10694*(Sens!$H$10699+tk_fac*(1-colo_sh))/1000+Sens!$H$10718</f>
        <v>198.57136494475</v>
      </c>
      <c r="I10717" s="38" t="n">
        <f aca="false">Sens!$I$10694*(Sens!$I$10699+tk_fac*(1-colo_sh))/1000+Sens!$I$10718</f>
        <v>204.6464699105</v>
      </c>
      <c r="J10717" s="38" t="n">
        <f aca="false">Sens!$J$10694*(Sens!$J$10699+tk_fac*(1-colo_sh))/1000+Sens!$J$10718</f>
        <v>209.8832381105</v>
      </c>
      <c r="K10717" s="38" t="n">
        <f aca="false">Sens!$K$10694*(Sens!$K$10699+tk_fac*(1-colo_sh))/1000+Sens!$K$10718</f>
        <v>155.238385275201</v>
      </c>
      <c r="L10717" s="38" t="n">
        <f aca="false">Sens!$L$10694*(Sens!$L$10699+tk_fac*(1-colo_sh))/1000+Sens!$L$10718</f>
        <v>132.014141639902</v>
      </c>
      <c r="M10717" s="38" t="n">
        <f aca="false">Sens!$M$10694*(Sens!$M$10699+tk_fac*(1-colo_sh))/1000+Sens!$M$10718</f>
        <v>132.230981659852</v>
      </c>
      <c r="P10717" s="5" t="s">
        <v>626</v>
      </c>
      <c r="R10717" s="38" t="n">
        <f aca="false">Q!$C$46-cx_rt*Q!$C$16-cx_awso*(Q!$C$7-mw_ye23/2*rpm_open/1000)</f>
        <v>1.50429979529945</v>
      </c>
      <c r="S10717" s="38" t="n">
        <f aca="false">Sens!$C$10717</f>
        <v>25.2781053077374</v>
      </c>
      <c r="T10717" s="38" t="n">
        <f aca="false">Sens!$D$10717</f>
        <v>69.5686316310026</v>
      </c>
      <c r="U10717" s="38" t="n">
        <f aca="false">Sens!$G$10717</f>
        <v>160.438050638011</v>
      </c>
      <c r="V10717" s="38" t="n">
        <f aca="false">Sens!$H$10717</f>
        <v>198.57136494475</v>
      </c>
      <c r="W10717" s="38" t="n">
        <f aca="false">Sens!$I$10717</f>
        <v>204.6464699105</v>
      </c>
      <c r="X10717" s="38" t="n">
        <f aca="false">Sens!$J$10717</f>
        <v>209.8832381105</v>
      </c>
      <c r="Y10717" s="38" t="n">
        <f aca="false">Sens!$K$10717</f>
        <v>155.238385275201</v>
      </c>
      <c r="Z10717" s="38" t="n">
        <f aca="false">Sens!$L$10717</f>
        <v>132.014141639902</v>
      </c>
      <c r="AA10717" s="38" t="n">
        <f aca="false">Sens!$M$10717</f>
        <v>132.230981659852</v>
      </c>
    </row>
    <row r="10718" customFormat="false" ht="17.15" hidden="false" customHeight="false" outlineLevel="0" collapsed="false">
      <c r="A10718" s="0" t="s">
        <v>627</v>
      </c>
      <c r="B10718" s="0" t="s">
        <v>86</v>
      </c>
      <c r="H10718" s="38" t="n">
        <f aca="false">SUMPRODUCT(--(Sens!$R$10687:$AA$10687=2027-tk_life),Sens!$R$10694:$AA$10694)*Sens!$H$10699/1000</f>
        <v>0</v>
      </c>
      <c r="I10718" s="38" t="n">
        <f aca="false">SUMPRODUCT(--(Sens!$R$10687:$AA$10687=2028-tk_life),Sens!$R$10694:$AA$10694)*Sens!$I$10699/1000</f>
        <v>0</v>
      </c>
      <c r="J10718" s="38" t="n">
        <f aca="false">SUMPRODUCT(--(Sens!$R$10687:$AA$10687=2029-tk_life),Sens!$R$10694:$AA$10694)*Sens!$J$10699/1000</f>
        <v>5.2367682</v>
      </c>
      <c r="K10718" s="38" t="n">
        <f aca="false">SUMPRODUCT(--(Sens!$R$10687:$AA$10687=2030-tk_life),Sens!$R$10694:$AA$10694)*Sens!$K$10699/1000</f>
        <v>10.4735364</v>
      </c>
      <c r="L10718" s="38" t="n">
        <f aca="false">SUMPRODUCT(--(Sens!$R$10687:$AA$10687=2031-tk_life),Sens!$R$10694:$AA$10694)*Sens!$L$10699/1000</f>
        <v>47.1309138</v>
      </c>
      <c r="M10718" s="38" t="n">
        <f aca="false">SUMPRODUCT(--(Sens!$R$10687:$AA$10687=2032-tk_life),Sens!$R$10694:$AA$10694)*Sens!$M$10699/1000</f>
        <v>107.22937485525</v>
      </c>
    </row>
    <row r="10719" customFormat="false" ht="17.15" hidden="false" customHeight="false" outlineLevel="0" collapsed="false">
      <c r="A10719" s="5" t="s">
        <v>628</v>
      </c>
      <c r="B10719" s="0" t="s">
        <v>86</v>
      </c>
      <c r="C10719" s="38" t="n">
        <f aca="false">Sens!$C$10717*Sens!$C$10716</f>
        <v>18.472138699801</v>
      </c>
      <c r="D10719" s="38" t="n">
        <f aca="false">Sens!$D$10717*Sens!$D$10716</f>
        <v>50.8377268390402</v>
      </c>
      <c r="E10719" s="38" t="n">
        <f aca="false">Sens!$E$10717*Sens!$E$10716</f>
        <v>48.8351995705653</v>
      </c>
      <c r="F10719" s="38" t="n">
        <f aca="false">Sens!$F$10717*Sens!$F$10716</f>
        <v>73.2248394895</v>
      </c>
      <c r="G10719" s="38" t="n">
        <f aca="false">Sens!$E$10719+Sens!$F$10719</f>
        <v>122.060039060065</v>
      </c>
      <c r="H10719" s="38" t="n">
        <f aca="false">(Sens!$H$10717-Sens!$H$10718)*Sens!$H$10716+Sens!$H$10718</f>
        <v>152.52478394475</v>
      </c>
      <c r="I10719" s="38" t="n">
        <f aca="false">(Sens!$I$10717-Sens!$I$10718)*Sens!$I$10716+Sens!$I$10718</f>
        <v>158.5998889105</v>
      </c>
      <c r="J10719" s="38" t="n">
        <f aca="false">(Sens!$J$10717-Sens!$J$10718)*Sens!$J$10716+Sens!$J$10718</f>
        <v>163.8366571105</v>
      </c>
      <c r="K10719" s="38" t="n">
        <f aca="false">(Sens!$K$10717-Sens!$K$10718)*Sens!$K$10716+Sens!$K$10718</f>
        <v>122.665498273534</v>
      </c>
      <c r="L10719" s="38" t="n">
        <f aca="false">(Sens!$L$10717-Sens!$L$10718)*Sens!$L$10716+Sens!$L$10718</f>
        <v>112.914948636568</v>
      </c>
      <c r="M10719" s="38" t="n">
        <f aca="false">(Sens!$M$10717-Sens!$M$10718)*Sens!$M$10716+Sens!$M$10718</f>
        <v>126.605482654852</v>
      </c>
      <c r="R10719" s="38" t="n">
        <f aca="false">Sens!$R$10717*Sens!$C$10716</f>
        <v>1.09927679019314</v>
      </c>
      <c r="S10719" s="38" t="n">
        <f aca="false">Sens!$C$10719</f>
        <v>18.472138699801</v>
      </c>
      <c r="T10719" s="38" t="n">
        <f aca="false">Sens!$D$10719</f>
        <v>50.8377268390402</v>
      </c>
      <c r="U10719" s="38" t="n">
        <f aca="false">Sens!$G$10719</f>
        <v>122.060039060065</v>
      </c>
      <c r="V10719" s="38" t="n">
        <f aca="false">Sens!$H$10719</f>
        <v>152.52478394475</v>
      </c>
      <c r="W10719" s="38" t="n">
        <f aca="false">Sens!$I$10719</f>
        <v>158.5998889105</v>
      </c>
      <c r="X10719" s="38" t="n">
        <f aca="false">Sens!$J$10719</f>
        <v>163.8366571105</v>
      </c>
      <c r="Y10719" s="38" t="n">
        <f aca="false">Sens!$K$10719</f>
        <v>122.665498273534</v>
      </c>
      <c r="Z10719" s="38" t="n">
        <f aca="false">Sens!$L$10719</f>
        <v>112.914948636568</v>
      </c>
      <c r="AA10719" s="38" t="n">
        <f aca="false">Sens!$M$10719</f>
        <v>126.605482654852</v>
      </c>
    </row>
    <row r="10720" customFormat="false" ht="15" hidden="false" customHeight="false" outlineLevel="0" collapsed="false">
      <c r="A10720" s="5" t="s">
        <v>629</v>
      </c>
      <c r="B10720" s="0" t="s">
        <v>86</v>
      </c>
      <c r="C10720" s="38" t="n">
        <f aca="false">Sens!$C$10717-Sens!$C$10719</f>
        <v>6.80596660793636</v>
      </c>
      <c r="D10720" s="38" t="n">
        <f aca="false">Sens!$D$10717-Sens!$D$10719</f>
        <v>18.7309047919624</v>
      </c>
      <c r="E10720" s="38" t="n">
        <f aca="false">Sens!$E$10717-Sens!$E$10719</f>
        <v>15.3547210779455</v>
      </c>
      <c r="F10720" s="38" t="n">
        <f aca="false">Sens!$F$10717-Sens!$F$10719</f>
        <v>23.0232905</v>
      </c>
      <c r="G10720" s="38" t="n">
        <f aca="false">Sens!$G$10717-Sens!$G$10719</f>
        <v>38.3780115779455</v>
      </c>
      <c r="H10720" s="38" t="n">
        <f aca="false">Sens!$H$10717-Sens!$H$10719</f>
        <v>46.046581</v>
      </c>
      <c r="I10720" s="38" t="n">
        <f aca="false">Sens!$I$10717-Sens!$I$10719</f>
        <v>46.046581</v>
      </c>
      <c r="J10720" s="38" t="n">
        <f aca="false">Sens!$J$10717-Sens!$J$10719</f>
        <v>46.046581</v>
      </c>
      <c r="K10720" s="38" t="n">
        <f aca="false">Sens!$K$10717-Sens!$K$10719</f>
        <v>32.5728870016667</v>
      </c>
      <c r="L10720" s="38" t="n">
        <f aca="false">Sens!$L$10717-Sens!$L$10719</f>
        <v>19.0991930033334</v>
      </c>
      <c r="M10720" s="38" t="n">
        <f aca="false">Sens!$M$10717-Sens!$M$10719</f>
        <v>5.62549900499998</v>
      </c>
      <c r="R10720" s="38" t="n">
        <f aca="false">Sens!$R$10717-Sens!$R$10719</f>
        <v>0.405023005106309</v>
      </c>
      <c r="S10720" s="38" t="n">
        <f aca="false">Sens!$S$10717-Sens!$S$10719</f>
        <v>6.80596660793636</v>
      </c>
      <c r="T10720" s="38" t="n">
        <f aca="false">Sens!$T$10717-Sens!$T$10719</f>
        <v>18.7309047919624</v>
      </c>
      <c r="U10720" s="38" t="n">
        <f aca="false">Sens!$U$10717-Sens!$U$10719</f>
        <v>38.3780115779455</v>
      </c>
      <c r="V10720" s="38" t="n">
        <f aca="false">Sens!$V$10717-Sens!$V$10719</f>
        <v>46.046581</v>
      </c>
      <c r="W10720" s="38" t="n">
        <f aca="false">Sens!$W$10717-Sens!$W$10719</f>
        <v>46.046581</v>
      </c>
      <c r="X10720" s="38" t="n">
        <f aca="false">Sens!$X$10717-Sens!$X$10719</f>
        <v>46.046581</v>
      </c>
      <c r="Y10720" s="38" t="n">
        <f aca="false">Sens!$Y$10717-Sens!$Y$10719</f>
        <v>32.5728870016667</v>
      </c>
      <c r="Z10720" s="38" t="n">
        <f aca="false">Sens!$Z$10717-Sens!$Z$10719</f>
        <v>19.0991930033334</v>
      </c>
      <c r="AA10720" s="38" t="n">
        <f aca="false">Sens!$AA$10717-Sens!$AA$10719</f>
        <v>5.62549900499998</v>
      </c>
    </row>
    <row r="10721" customFormat="false" ht="17.15" hidden="false" customHeight="false" outlineLevel="0" collapsed="false">
      <c r="A10721" s="0" t="s">
        <v>630</v>
      </c>
      <c r="B10721" s="0" t="s">
        <v>52</v>
      </c>
      <c r="C10721" s="13" t="n">
        <f aca="false">Sens!$C$10717/Sens!$C$10837</f>
        <v>0.325505489553393</v>
      </c>
      <c r="D10721" s="13" t="n">
        <f aca="false">Sens!$D$10717/Sens!$D$10837</f>
        <v>0.54214956071542</v>
      </c>
      <c r="E10721" s="13" t="n">
        <f aca="false">Sens!$E$10717/Sens!$E$10837</f>
        <v>0.666492790452817</v>
      </c>
      <c r="F10721" s="13" t="n">
        <f aca="false">Sens!$F$10717/Sens!$F$10837</f>
        <v>0.733205261937509</v>
      </c>
      <c r="G10721" s="13" t="n">
        <f aca="false">Sens!$G$10717/Sens!$G$10837</f>
        <v>0.704973134641717</v>
      </c>
      <c r="H10721" s="13" t="n">
        <f aca="false">Sens!$H$10717/Sens!$H$10837</f>
        <v>0.726232469100108</v>
      </c>
      <c r="I10721" s="13" t="n">
        <f aca="false">Sens!$I$10717/Sens!$I$10837</f>
        <v>0.71295222035933</v>
      </c>
      <c r="J10721" s="13" t="n">
        <f aca="false">Sens!$J$10717/Sens!$J$10837</f>
        <v>0.701058846251574</v>
      </c>
      <c r="K10721" s="13" t="n">
        <f aca="false">Sens!$K$10717/Sens!$K$10837</f>
        <v>0.618171477170346</v>
      </c>
      <c r="L10721" s="13" t="n">
        <f aca="false">Sens!$L$10717/Sens!$L$10837</f>
        <v>0.562315678934408</v>
      </c>
      <c r="M10721" s="13" t="n">
        <f aca="false">Sens!$M$10717/Sens!$M$10837</f>
        <v>0.545577465350118</v>
      </c>
    </row>
    <row r="10722" customFormat="false" ht="17.15" hidden="false" customHeight="false" outlineLevel="0" collapsed="false">
      <c r="A10722" s="0" t="s">
        <v>631</v>
      </c>
      <c r="B10722" s="0" t="s">
        <v>86</v>
      </c>
      <c r="C10722" s="38" t="n">
        <f aca="false">Sens!$S$10722</f>
        <v>0.183212798365523</v>
      </c>
      <c r="D10722" s="38" t="n">
        <f aca="false">Sens!$T$10722</f>
        <v>3.2619025816657</v>
      </c>
      <c r="E10722" s="38" t="n">
        <f aca="false">Sens!$G$10722/2</f>
        <v>5.86742852741953</v>
      </c>
      <c r="F10722" s="38" t="n">
        <f aca="false">Sens!$G$10722/2</f>
        <v>5.86742852741953</v>
      </c>
      <c r="G10722" s="38" t="n">
        <f aca="false">Sens!$U$10722</f>
        <v>11.7348570548391</v>
      </c>
      <c r="H10722" s="38" t="n">
        <f aca="false">Sens!$V$10722</f>
        <v>32.0781968981833</v>
      </c>
      <c r="I10722" s="38" t="n">
        <f aca="false">Sens!$W$10722</f>
        <v>57.4989942223083</v>
      </c>
      <c r="J10722" s="38" t="n">
        <f aca="false">Sens!$X$10722</f>
        <v>83.932309040725</v>
      </c>
      <c r="K10722" s="38" t="n">
        <f aca="false">Sens!$Y$10722</f>
        <v>111.055205760776</v>
      </c>
      <c r="L10722" s="38" t="n">
        <f aca="false">Sens!$Z$10722</f>
        <v>128.420765689732</v>
      </c>
      <c r="M10722" s="38" t="n">
        <f aca="false">Sens!$AA$10722</f>
        <v>138.766969322653</v>
      </c>
      <c r="N10722" s="38" t="n">
        <f aca="false">Sens!$D$10722/2</f>
        <v>1.63095129083285</v>
      </c>
      <c r="O10722" s="38" t="n">
        <f aca="false">Sens!$D$10722/2</f>
        <v>1.63095129083285</v>
      </c>
      <c r="R10722" s="38" t="n">
        <f aca="false">SUMPRODUCT(--(Sens!$R$10687:$AA$10687&lt;Sens!R$10687),--(Sens!$R$10687:$AA$10687&gt;=Sens!R$10687-tk_life),Sens!$R$10719:$AA$10719)/tk_life</f>
        <v>0</v>
      </c>
      <c r="S10722" s="38" t="n">
        <f aca="false">SUMPRODUCT(--(Sens!$R$10687:$AA$10687&lt;Sens!S$10687),--(Sens!$R$10687:$AA$10687&gt;=Sens!S$10687-tk_life),Sens!$R$10719:$AA$10719)/tk_life</f>
        <v>0.183212798365523</v>
      </c>
      <c r="T10722" s="38" t="n">
        <f aca="false">SUMPRODUCT(--(Sens!$R$10687:$AA$10687&lt;Sens!T$10687),--(Sens!$R$10687:$AA$10687&gt;=Sens!T$10687-tk_life),Sens!$R$10719:$AA$10719)/tk_life</f>
        <v>3.2619025816657</v>
      </c>
      <c r="U10722" s="38" t="n">
        <f aca="false">SUMPRODUCT(--(Sens!$R$10687:$AA$10687&lt;Sens!U$10687),--(Sens!$R$10687:$AA$10687&gt;=Sens!U$10687-tk_life),Sens!$R$10719:$AA$10719)/tk_life</f>
        <v>11.7348570548391</v>
      </c>
      <c r="V10722" s="38" t="n">
        <f aca="false">SUMPRODUCT(--(Sens!$R$10687:$AA$10687&lt;Sens!V$10687),--(Sens!$R$10687:$AA$10687&gt;=Sens!V$10687-tk_life),Sens!$R$10719:$AA$10719)/tk_life</f>
        <v>32.0781968981833</v>
      </c>
      <c r="W10722" s="38" t="n">
        <f aca="false">SUMPRODUCT(--(Sens!$R$10687:$AA$10687&lt;Sens!W$10687),--(Sens!$R$10687:$AA$10687&gt;=Sens!W$10687-tk_life),Sens!$R$10719:$AA$10719)/tk_life</f>
        <v>57.4989942223083</v>
      </c>
      <c r="X10722" s="38" t="n">
        <f aca="false">SUMPRODUCT(--(Sens!$R$10687:$AA$10687&lt;Sens!X$10687),--(Sens!$R$10687:$AA$10687&gt;=Sens!X$10687-tk_life),Sens!$R$10719:$AA$10719)/tk_life</f>
        <v>83.932309040725</v>
      </c>
      <c r="Y10722" s="38" t="n">
        <f aca="false">SUMPRODUCT(--(Sens!$R$10687:$AA$10687&lt;Sens!Y$10687),--(Sens!$R$10687:$AA$10687&gt;=Sens!Y$10687-tk_life),Sens!$R$10719:$AA$10719)/tk_life</f>
        <v>111.055205760776</v>
      </c>
      <c r="Z10722" s="38" t="n">
        <f aca="false">SUMPRODUCT(--(Sens!$R$10687:$AA$10687&lt;Sens!Z$10687),--(Sens!$R$10687:$AA$10687&gt;=Sens!Z$10687-tk_life),Sens!$R$10719:$AA$10719)/tk_life</f>
        <v>128.420765689732</v>
      </c>
      <c r="AA10722" s="38" t="n">
        <f aca="false">SUMPRODUCT(--(Sens!$R$10687:$AA$10687&lt;Sens!AA$10687),--(Sens!$R$10687:$AA$10687&gt;=Sens!AA$10687-tk_life),Sens!$R$10719:$AA$10719)/tk_life</f>
        <v>138.766969322653</v>
      </c>
    </row>
    <row r="10723" customFormat="false" ht="17.15" hidden="false" customHeight="false" outlineLevel="0" collapsed="false">
      <c r="A10723" s="0" t="s">
        <v>632</v>
      </c>
      <c r="B10723" s="0" t="s">
        <v>86</v>
      </c>
      <c r="C10723" s="38" t="n">
        <f aca="false">Sens!$S$10723</f>
        <v>0.0202511502553155</v>
      </c>
      <c r="D10723" s="38" t="n">
        <f aca="false">Sens!$T$10723</f>
        <v>0.360549480652134</v>
      </c>
      <c r="E10723" s="38" t="n">
        <f aca="false">Sens!$G$10723/2</f>
        <v>0.648547360125127</v>
      </c>
      <c r="F10723" s="38" t="n">
        <f aca="false">Sens!$G$10723/2</f>
        <v>0.648547360125127</v>
      </c>
      <c r="G10723" s="38" t="n">
        <f aca="false">Sens!$U$10723</f>
        <v>1.29709472025025</v>
      </c>
      <c r="H10723" s="38" t="n">
        <f aca="false">Sens!$V$10723</f>
        <v>3.21599529914753</v>
      </c>
      <c r="I10723" s="38" t="n">
        <f aca="false">Sens!$W$10723</f>
        <v>5.51832434914753</v>
      </c>
      <c r="J10723" s="38" t="n">
        <f aca="false">Sens!$X$10723</f>
        <v>7.82065339914753</v>
      </c>
      <c r="K10723" s="38" t="n">
        <f aca="false">Sens!$Y$10723</f>
        <v>10.1229824491475</v>
      </c>
      <c r="L10723" s="38" t="n">
        <f aca="false">Sens!$Z$10723</f>
        <v>11.7516267992309</v>
      </c>
      <c r="M10723" s="38" t="n">
        <f aca="false">Sens!$AA$10723</f>
        <v>12.7065864493975</v>
      </c>
      <c r="N10723" s="38" t="n">
        <f aca="false">Sens!$D$10723/2</f>
        <v>0.180274740326067</v>
      </c>
      <c r="O10723" s="38" t="n">
        <f aca="false">Sens!$D$10723/2</f>
        <v>0.180274740326067</v>
      </c>
      <c r="R10723" s="38" t="n">
        <f aca="false">SUMPRODUCT(--(Sens!$R$10687:$AA$10687&lt;Sens!R$10687),Sens!$R$10720:$AA$10720)/fac_life</f>
        <v>0</v>
      </c>
      <c r="S10723" s="38" t="n">
        <f aca="false">SUMPRODUCT(--(Sens!$R$10687:$AA$10687&lt;Sens!S$10687),Sens!$R$10720:$AA$10720)/fac_life</f>
        <v>0.0202511502553155</v>
      </c>
      <c r="T10723" s="38" t="n">
        <f aca="false">SUMPRODUCT(--(Sens!$R$10687:$AA$10687&lt;Sens!T$10687),Sens!$R$10720:$AA$10720)/fac_life</f>
        <v>0.360549480652134</v>
      </c>
      <c r="U10723" s="38" t="n">
        <f aca="false">SUMPRODUCT(--(Sens!$R$10687:$AA$10687&lt;Sens!U$10687),Sens!$R$10720:$AA$10720)/fac_life</f>
        <v>1.29709472025025</v>
      </c>
      <c r="V10723" s="38" t="n">
        <f aca="false">SUMPRODUCT(--(Sens!$R$10687:$AA$10687&lt;Sens!V$10687),Sens!$R$10720:$AA$10720)/fac_life</f>
        <v>3.21599529914753</v>
      </c>
      <c r="W10723" s="38" t="n">
        <f aca="false">SUMPRODUCT(--(Sens!$R$10687:$AA$10687&lt;Sens!W$10687),Sens!$R$10720:$AA$10720)/fac_life</f>
        <v>5.51832434914753</v>
      </c>
      <c r="X10723" s="38" t="n">
        <f aca="false">SUMPRODUCT(--(Sens!$R$10687:$AA$10687&lt;Sens!X$10687),Sens!$R$10720:$AA$10720)/fac_life</f>
        <v>7.82065339914753</v>
      </c>
      <c r="Y10723" s="38" t="n">
        <f aca="false">SUMPRODUCT(--(Sens!$R$10687:$AA$10687&lt;Sens!Y$10687),Sens!$R$10720:$AA$10720)/fac_life</f>
        <v>10.1229824491475</v>
      </c>
      <c r="Z10723" s="38" t="n">
        <f aca="false">SUMPRODUCT(--(Sens!$R$10687:$AA$10687&lt;Sens!Z$10687),Sens!$R$10720:$AA$10720)/fac_life</f>
        <v>11.7516267992309</v>
      </c>
      <c r="AA10723" s="38" t="n">
        <f aca="false">SUMPRODUCT(--(Sens!$R$10687:$AA$10687&lt;Sens!AA$10687),Sens!$R$10720:$AA$10720)/fac_life</f>
        <v>12.7065864493975</v>
      </c>
    </row>
    <row r="10724" customFormat="false" ht="17.15" hidden="false" customHeight="false" outlineLevel="0" collapsed="false">
      <c r="A10724" s="1" t="s">
        <v>633</v>
      </c>
      <c r="B10724" s="8" t="s">
        <v>86</v>
      </c>
      <c r="C10724" s="38" t="n">
        <f aca="false">Sens!$C$10722+Sens!$C$10723</f>
        <v>0.203463948620839</v>
      </c>
      <c r="D10724" s="38" t="n">
        <f aca="false">Sens!$D$10722+Sens!$D$10723</f>
        <v>3.62245206231783</v>
      </c>
      <c r="E10724" s="38" t="n">
        <f aca="false">Sens!$E$10722+Sens!$E$10723</f>
        <v>6.51597588754466</v>
      </c>
      <c r="F10724" s="38" t="n">
        <f aca="false">Sens!$F$10722+Sens!$F$10723</f>
        <v>6.51597588754466</v>
      </c>
      <c r="G10724" s="38" t="n">
        <f aca="false">Sens!$G$10722+Sens!$G$10723</f>
        <v>13.0319517750893</v>
      </c>
      <c r="H10724" s="38" t="n">
        <f aca="false">Sens!$H$10722+Sens!$H$10723</f>
        <v>35.2941921973308</v>
      </c>
      <c r="I10724" s="38" t="n">
        <f aca="false">Sens!$I$10722+Sens!$I$10723</f>
        <v>63.0173185714558</v>
      </c>
      <c r="J10724" s="38" t="n">
        <f aca="false">Sens!$J$10722+Sens!$J$10723</f>
        <v>91.7529624398725</v>
      </c>
      <c r="K10724" s="38" t="n">
        <f aca="false">Sens!$K$10722+Sens!$K$10723</f>
        <v>121.178188209924</v>
      </c>
      <c r="L10724" s="38" t="n">
        <f aca="false">Sens!$L$10722+Sens!$L$10723</f>
        <v>140.172392488963</v>
      </c>
      <c r="M10724" s="38" t="n">
        <f aca="false">Sens!$M$10722+Sens!$M$10723</f>
        <v>151.473555772051</v>
      </c>
      <c r="N10724" s="38" t="n">
        <f aca="false">Sens!$N$10722+Sens!$N$10723</f>
        <v>1.81122603115892</v>
      </c>
      <c r="O10724" s="38" t="n">
        <f aca="false">Sens!$O$10722+Sens!$O$10723</f>
        <v>1.81122603115892</v>
      </c>
      <c r="R10724" s="38" t="n">
        <f aca="false">Sens!$R$10722+Sens!$R$10723</f>
        <v>0</v>
      </c>
      <c r="S10724" s="38" t="n">
        <f aca="false">Sens!$S$10722+Sens!$S$10723</f>
        <v>0.203463948620839</v>
      </c>
      <c r="T10724" s="38" t="n">
        <f aca="false">Sens!$T$10722+Sens!$T$10723</f>
        <v>3.62245206231783</v>
      </c>
      <c r="U10724" s="38" t="n">
        <f aca="false">Sens!$U$10722+Sens!$U$10723</f>
        <v>13.0319517750893</v>
      </c>
      <c r="V10724" s="38" t="n">
        <f aca="false">Sens!$V$10722+Sens!$V$10723</f>
        <v>35.2941921973308</v>
      </c>
      <c r="W10724" s="38" t="n">
        <f aca="false">Sens!$W$10722+Sens!$W$10723</f>
        <v>63.0173185714558</v>
      </c>
      <c r="X10724" s="38" t="n">
        <f aca="false">Sens!$X$10722+Sens!$X$10723</f>
        <v>91.7529624398725</v>
      </c>
      <c r="Y10724" s="38" t="n">
        <f aca="false">Sens!$Y$10722+Sens!$Y$10723</f>
        <v>121.178188209924</v>
      </c>
      <c r="Z10724" s="38" t="n">
        <f aca="false">Sens!$Z$10722+Sens!$Z$10723</f>
        <v>140.172392488963</v>
      </c>
      <c r="AA10724" s="38" t="n">
        <f aca="false">Sens!$AA$10722+Sens!$AA$10723</f>
        <v>151.473555772051</v>
      </c>
    </row>
    <row r="10725" customFormat="false" ht="17.15" hidden="false" customHeight="false" outlineLevel="0" collapsed="false">
      <c r="A10725" s="0" t="s">
        <v>634</v>
      </c>
      <c r="B10725" s="0" t="s">
        <v>86</v>
      </c>
      <c r="C10725" s="38" t="n">
        <f aca="false">Sens!$S$10725</f>
        <v>26.578941154416</v>
      </c>
      <c r="D10725" s="38" t="n">
        <f aca="false">Sens!$T$10725</f>
        <v>92.5251207231008</v>
      </c>
      <c r="G10725" s="38" t="n">
        <f aca="false">Sens!$U$10725</f>
        <v>239.931219586022</v>
      </c>
      <c r="H10725" s="38" t="n">
        <f aca="false">Sens!$V$10725</f>
        <v>403.208392333442</v>
      </c>
      <c r="I10725" s="38" t="n">
        <f aca="false">Sens!$W$10725</f>
        <v>544.837543672486</v>
      </c>
      <c r="J10725" s="38" t="n">
        <f aca="false">Sens!$X$10725</f>
        <v>662.967819343113</v>
      </c>
      <c r="K10725" s="38" t="n">
        <f aca="false">Sens!$Y$10725</f>
        <v>697.028016408391</v>
      </c>
      <c r="L10725" s="38" t="n">
        <f aca="false">Sens!$Z$10725</f>
        <v>688.86976555933</v>
      </c>
      <c r="M10725" s="38" t="n">
        <f aca="false">Sens!$AA$10725</f>
        <v>669.627191447132</v>
      </c>
      <c r="R10725" s="38" t="n">
        <f aca="false">SUM(Sens!$R$10717:$R$10717)-SUM(Sens!$R$10724:$R$10724)</f>
        <v>1.50429979529945</v>
      </c>
      <c r="S10725" s="38" t="n">
        <f aca="false">SUM(Sens!$R$10717:$S$10717)-SUM(Sens!$R$10724:$S$10724)</f>
        <v>26.578941154416</v>
      </c>
      <c r="T10725" s="38" t="n">
        <f aca="false">SUM(Sens!$R$10717:$T$10717)-SUM(Sens!$R$10724:$T$10724)</f>
        <v>92.5251207231008</v>
      </c>
      <c r="U10725" s="38" t="n">
        <f aca="false">SUM(Sens!$R$10717:$U$10717)-SUM(Sens!$R$10724:$U$10724)</f>
        <v>239.931219586022</v>
      </c>
      <c r="V10725" s="38" t="n">
        <f aca="false">SUM(Sens!$R$10717:$V$10717)-SUM(Sens!$R$10724:$V$10724)</f>
        <v>403.208392333442</v>
      </c>
      <c r="W10725" s="38" t="n">
        <f aca="false">SUM(Sens!$R$10717:$W$10717)-SUM(Sens!$R$10724:$W$10724)</f>
        <v>544.837543672486</v>
      </c>
      <c r="X10725" s="38" t="n">
        <f aca="false">SUM(Sens!$R$10717:$X$10717)-SUM(Sens!$R$10724:$X$10724)</f>
        <v>662.967819343113</v>
      </c>
      <c r="Y10725" s="38" t="n">
        <f aca="false">SUM(Sens!$R$10717:$Y$10717)-SUM(Sens!$R$10724:$Y$10724)</f>
        <v>697.028016408391</v>
      </c>
      <c r="Z10725" s="38" t="n">
        <f aca="false">SUM(Sens!$R$10717:$Z$10717)-SUM(Sens!$R$10724:$Z$10724)</f>
        <v>688.86976555933</v>
      </c>
      <c r="AA10725" s="38" t="n">
        <f aca="false">SUM(Sens!$R$10717:$AA$10717)-SUM(Sens!$R$10724:$AA$10724)</f>
        <v>669.627191447132</v>
      </c>
    </row>
    <row r="10726" customFormat="false" ht="17.15" hidden="false" customHeight="false" outlineLevel="0" collapsed="false">
      <c r="A10726" s="1" t="s">
        <v>635</v>
      </c>
    </row>
    <row r="10727" customFormat="false" ht="17.15" hidden="false" customHeight="false" outlineLevel="0" collapsed="false">
      <c r="A10727" s="0" t="s">
        <v>636</v>
      </c>
      <c r="B10727" s="0" t="s">
        <v>86</v>
      </c>
      <c r="C10727" s="38" t="n">
        <f aca="false">Sens!$C$10708-ext_sh*Sens!$C$10710</f>
        <v>1.80694998843362</v>
      </c>
      <c r="D10727" s="38" t="n">
        <f aca="false">Sens!$D$10708-ext_sh*Sens!$D$10710</f>
        <v>6.77606245662607</v>
      </c>
      <c r="E10727" s="38" t="n">
        <f aca="false">Sens!$E$10708-ext_sh*Sens!$E$10710</f>
        <v>6.62548329092326</v>
      </c>
      <c r="F10727" s="38" t="n">
        <f aca="false">Sens!$F$10708-ext_sh*Sens!$F$10710</f>
        <v>10.8940413794839</v>
      </c>
      <c r="G10727" s="38" t="n">
        <f aca="false">Sens!$G$10708-ext_sh*Sens!$G$10710</f>
        <v>17.5195246704072</v>
      </c>
      <c r="H10727" s="38" t="n">
        <f aca="false">Sens!$H$10708-ext_sh*Sens!$H$10710</f>
        <v>40.7735721541341</v>
      </c>
      <c r="I10727" s="38" t="n">
        <f aca="false">Sens!$I$10708-ext_sh*Sens!$I$10710</f>
        <v>66.8500163832358</v>
      </c>
      <c r="J10727" s="38" t="n">
        <f aca="false">Sens!$J$10708-ext_sh*Sens!$J$10710</f>
        <v>93.0640470849174</v>
      </c>
      <c r="K10727" s="38" t="n">
        <f aca="false">Sens!$K$10708-ext_sh*Sens!$K$10710</f>
        <v>115.424757703147</v>
      </c>
      <c r="L10727" s="38" t="n">
        <f aca="false">Sens!$L$10708-ext_sh*Sens!$L$10710</f>
        <v>130.120169833198</v>
      </c>
      <c r="M10727" s="38" t="n">
        <f aca="false">Sens!$M$10708-ext_sh*Sens!$M$10710</f>
        <v>137.12790595888</v>
      </c>
      <c r="N10727" s="38" t="n">
        <f aca="false">Sens!$N$10708-ext_sh*Sens!$N$10710</f>
        <v>2.37162185981912</v>
      </c>
      <c r="O10727" s="38" t="n">
        <f aca="false">Sens!$O$10708-ext_sh*Sens!$O$10710</f>
        <v>4.40444059680694</v>
      </c>
    </row>
    <row r="10728" customFormat="false" ht="17.15" hidden="false" customHeight="false" outlineLevel="0" collapsed="false">
      <c r="A10728" s="1" t="s">
        <v>637</v>
      </c>
      <c r="B10728" s="8" t="s">
        <v>86</v>
      </c>
      <c r="C10728" s="38" t="n">
        <f aca="false">Sens!$C$10727-ext_sh*Sens!$C$10724</f>
        <v>1.64417882953695</v>
      </c>
      <c r="D10728" s="38" t="n">
        <f aca="false">Sens!$D$10727-ext_sh*Sens!$D$10724</f>
        <v>3.8781008067718</v>
      </c>
      <c r="E10728" s="38" t="n">
        <f aca="false">Sens!$E$10727-ext_sh*Sens!$E$10724</f>
        <v>1.41270258088753</v>
      </c>
      <c r="F10728" s="38" t="n">
        <f aca="false">Sens!$F$10727-ext_sh*Sens!$F$10724</f>
        <v>5.68126066944818</v>
      </c>
      <c r="G10728" s="38" t="n">
        <f aca="false">Sens!$G$10727-ext_sh*Sens!$G$10724</f>
        <v>7.09396325033571</v>
      </c>
      <c r="H10728" s="38" t="n">
        <f aca="false">Sens!$H$10727-ext_sh*Sens!$H$10724</f>
        <v>12.5382183962694</v>
      </c>
      <c r="I10728" s="38" t="n">
        <f aca="false">Sens!$I$10727-ext_sh*Sens!$I$10724</f>
        <v>16.4361615260712</v>
      </c>
      <c r="J10728" s="38" t="n">
        <f aca="false">Sens!$J$10727-ext_sh*Sens!$J$10724</f>
        <v>19.6616771330194</v>
      </c>
      <c r="K10728" s="38" t="n">
        <f aca="false">Sens!$K$10727-ext_sh*Sens!$K$10724</f>
        <v>18.4822071352082</v>
      </c>
      <c r="L10728" s="38" t="n">
        <f aca="false">Sens!$L$10727-ext_sh*Sens!$L$10724</f>
        <v>17.9822558420278</v>
      </c>
      <c r="M10728" s="38" t="n">
        <f aca="false">Sens!$M$10727-ext_sh*Sens!$M$10724</f>
        <v>15.9490613412395</v>
      </c>
      <c r="N10728" s="38" t="n">
        <f aca="false">Sens!$N$10727-ext_sh*Sens!$N$10724</f>
        <v>0.92264103489199</v>
      </c>
      <c r="O10728" s="38" t="n">
        <f aca="false">Sens!$O$10727-ext_sh*Sens!$O$10724</f>
        <v>2.95545977187981</v>
      </c>
    </row>
    <row r="10729" customFormat="false" ht="17.15" hidden="false" customHeight="false" outlineLevel="0" collapsed="false">
      <c r="A10729" s="0" t="s">
        <v>638</v>
      </c>
      <c r="B10729" s="0" t="s">
        <v>52</v>
      </c>
      <c r="C10729" s="13" t="n">
        <f aca="false">Sens!$C$10728/Sens!$C$10708</f>
        <v>0.708390794789371</v>
      </c>
      <c r="D10729" s="13" t="n">
        <f aca="false">Sens!$D$10728/Sens!$D$10708</f>
        <v>0.445565630441968</v>
      </c>
      <c r="E10729" s="13" t="n">
        <f aca="false">Sens!$E$10728/Sens!$E$10708</f>
        <v>0.165998118402711</v>
      </c>
      <c r="F10729" s="13" t="n">
        <f aca="false">Sens!$F$10728/Sens!$F$10708</f>
        <v>0.401859869136011</v>
      </c>
      <c r="G10729" s="13" t="n">
        <f aca="false">Sens!$G$10728/Sens!$G$10708</f>
        <v>0.313230095563868</v>
      </c>
      <c r="H10729" s="13" t="n">
        <f aca="false">Sens!$H$10728/Sens!$H$10708</f>
        <v>0.23470012891306</v>
      </c>
      <c r="I10729" s="13" t="n">
        <f aca="false">Sens!$I$10728/Sens!$I$10708</f>
        <v>0.187200558396588</v>
      </c>
      <c r="J10729" s="13" t="n">
        <f aca="false">Sens!$J$10728/Sens!$J$10708</f>
        <v>0.160726355342167</v>
      </c>
      <c r="K10729" s="13" t="n">
        <f aca="false">Sens!$K$10728/Sens!$K$10708</f>
        <v>0.121762921451897</v>
      </c>
      <c r="L10729" s="13" t="n">
        <f aca="false">Sens!$L$10728/Sens!$L$10708</f>
        <v>0.105068070467128</v>
      </c>
      <c r="M10729" s="13" t="n">
        <f aca="false">Sens!$M$10728/Sens!$M$10708</f>
        <v>0.0884164198611169</v>
      </c>
      <c r="N10729" s="13" t="n">
        <f aca="false">Sens!$N$10728/Sens!$N$10708</f>
        <v>0.302870734830849</v>
      </c>
      <c r="O10729" s="13" t="n">
        <f aca="false">Sens!$O$10728/Sens!$O$10708</f>
        <v>0.52240134346334</v>
      </c>
    </row>
    <row r="10730" customFormat="false" ht="17.15" hidden="false" customHeight="false" outlineLevel="0" collapsed="false">
      <c r="A10730" s="5" t="s">
        <v>639</v>
      </c>
      <c r="B10730" s="0" t="s">
        <v>86</v>
      </c>
      <c r="C10730" s="39" t="n">
        <v>0</v>
      </c>
      <c r="D10730" s="39" t="n">
        <v>0</v>
      </c>
      <c r="E10730" s="39" t="n">
        <v>0</v>
      </c>
      <c r="F10730" s="38" t="n">
        <f aca="false">IF(1=2,1,0)*(1-ext_sh)/ext_sh*(mw_open*he_open+Sens!$F$10706*Sens!$F$10703)*Sens!$F$10692/1000</f>
        <v>0</v>
      </c>
      <c r="G10730" s="38" t="n">
        <f aca="false">Sens!$E$10730+Sens!$F$10730</f>
        <v>0</v>
      </c>
      <c r="H10730" s="38" t="n">
        <f aca="false">IF(1=2,1,0)*(1-ext_sh)/ext_sh*(mw_open*he_open+Sens!$H$10706*Sens!$H$10703)*Sens!$H$10692/1000</f>
        <v>0</v>
      </c>
      <c r="I10730" s="38" t="n">
        <f aca="false">IF(1=2,1,0)*(1-ext_sh)/ext_sh*(mw_open*he_open+Sens!$I$10706*Sens!$I$10703)*Sens!$I$10692/1000</f>
        <v>0</v>
      </c>
      <c r="J10730" s="38" t="n">
        <f aca="false">IF(1=2,1,0)*(1-ext_sh)/ext_sh*(mw_open*he_open+Sens!$J$10706*Sens!$J$10703)*Sens!$J$10692/1000</f>
        <v>0</v>
      </c>
      <c r="K10730" s="38" t="n">
        <f aca="false">IF(1=2,1,0)*(1-ext_sh)/ext_sh*(mw_open*he_open+Sens!$K$10706*Sens!$K$10703)*Sens!$K$10692/1000</f>
        <v>0</v>
      </c>
      <c r="L10730" s="38" t="n">
        <f aca="false">IF(1=2,1,0)*(1-ext_sh)/ext_sh*(mw_open*he_open+Sens!$L$10706*Sens!$L$10703)*Sens!$L$10692/1000</f>
        <v>0</v>
      </c>
      <c r="M10730" s="38" t="n">
        <f aca="false">IF(1=2,1,0)*(1-ext_sh)/ext_sh*(mw_open*he_open+Sens!$M$10706*Sens!$M$10703)*Sens!$M$10692/1000</f>
        <v>0</v>
      </c>
      <c r="N10730" s="39" t="n">
        <v>0</v>
      </c>
      <c r="O10730" s="39" t="n">
        <v>0</v>
      </c>
      <c r="P10730" s="8" t="s">
        <v>640</v>
      </c>
    </row>
    <row r="10731" customFormat="false" ht="17.15" hidden="false" customHeight="false" outlineLevel="0" collapsed="false">
      <c r="A10731" s="5" t="s">
        <v>641</v>
      </c>
      <c r="B10731" s="0" t="s">
        <v>86</v>
      </c>
      <c r="C10731" s="38" t="n">
        <f aca="false">(1-ext_sh)*(Sens!$C$10710+Sens!$C$10724)</f>
        <v>0.169206631859174</v>
      </c>
      <c r="D10731" s="38" t="n">
        <f aca="false">(1-ext_sh)*(Sens!$D$10710+Sens!$D$10724)</f>
        <v>1.20641732046984</v>
      </c>
      <c r="E10731" s="38" t="n">
        <f aca="false">(1-ext_sh)*(Sens!$E$10710+Sens!$E$10724)</f>
        <v>1.77441259867062</v>
      </c>
      <c r="F10731" s="38" t="n">
        <f aca="false">(1-ext_sh)*(Sens!$F$10710+Sens!$F$10724)</f>
        <v>2.1140391597214</v>
      </c>
      <c r="G10731" s="38" t="n">
        <f aca="false">(1-ext_sh)*(Sens!$G$10710+Sens!$G$10724)</f>
        <v>3.88845175839202</v>
      </c>
      <c r="H10731" s="38" t="n">
        <f aca="false">(1-ext_sh)*(Sens!$H$10710+Sens!$H$10724)</f>
        <v>10.2210179503985</v>
      </c>
      <c r="I10731" s="38" t="n">
        <f aca="false">(1-ext_sh)*(Sens!$I$10710+Sens!$I$10724)</f>
        <v>17.8408961823075</v>
      </c>
      <c r="J10731" s="38" t="n">
        <f aca="false">(1-ext_sh)*(Sens!$J$10710+Sens!$J$10724)</f>
        <v>25.6671150670732</v>
      </c>
      <c r="K10731" s="38" t="n">
        <f aca="false">(1-ext_sh)*(Sens!$K$10710+Sens!$K$10724)</f>
        <v>33.3265648647373</v>
      </c>
      <c r="L10731" s="38" t="n">
        <f aca="false">(1-ext_sh)*(Sens!$L$10710+Sens!$L$10724)</f>
        <v>38.2915924088815</v>
      </c>
      <c r="M10731" s="38" t="n">
        <f aca="false">(1-ext_sh)*(Sens!$M$10710+Sens!$M$10724)</f>
        <v>41.1091697111781</v>
      </c>
      <c r="N10731" s="38" t="n">
        <f aca="false">(1-ext_sh)*(Sens!$N$10710+Sens!$N$10724)</f>
        <v>0.530919624033979</v>
      </c>
      <c r="O10731" s="38" t="n">
        <f aca="false">(1-ext_sh)*(Sens!$O$10710+Sens!$O$10724)</f>
        <v>0.675497696435861</v>
      </c>
    </row>
    <row r="10732" customFormat="false" ht="17.15" hidden="false" customHeight="false" outlineLevel="0" collapsed="false">
      <c r="A10732" s="0" t="s">
        <v>642</v>
      </c>
      <c r="B10732" s="0" t="s">
        <v>86</v>
      </c>
      <c r="C10732" s="38" t="n">
        <f aca="false">Q!$D$24</f>
        <v>39.834</v>
      </c>
      <c r="D10732" s="38" t="n">
        <f aca="false">Q!$E$24</f>
        <v>45.606</v>
      </c>
      <c r="E10732" s="38" t="n">
        <f aca="false">Q!$P$24</f>
        <v>30.782</v>
      </c>
      <c r="N10732" s="38" t="n">
        <f aca="false">Q!$N$24</f>
        <v>21.707</v>
      </c>
      <c r="O10732" s="38" t="n">
        <f aca="false">Q!$O$24</f>
        <v>23.899</v>
      </c>
    </row>
    <row r="10733" customFormat="false" ht="17.15" hidden="false" customHeight="false" outlineLevel="0" collapsed="false">
      <c r="A10733" s="0" t="s">
        <v>643</v>
      </c>
      <c r="B10733" s="0" t="s">
        <v>86</v>
      </c>
      <c r="C10733" s="38" t="n">
        <f aca="false">Sens!$C$10732-Sens!$C$10728</f>
        <v>38.1898211704631</v>
      </c>
      <c r="D10733" s="38" t="n">
        <f aca="false">Sens!$D$10732-Sens!$D$10728</f>
        <v>41.7278991932282</v>
      </c>
      <c r="E10733" s="38" t="n">
        <f aca="false">Sens!$E$10732-Sens!$E$10728</f>
        <v>29.3692974191125</v>
      </c>
      <c r="F10733" s="38" t="n">
        <f aca="false">Sens!$F$10712*Sens!$F$10734</f>
        <v>26.8997276714137</v>
      </c>
      <c r="G10733" s="38" t="n">
        <f aca="false">Sens!$E$10733+Sens!$F$10733</f>
        <v>56.2690250905262</v>
      </c>
      <c r="H10733" s="38" t="n">
        <f aca="false">Sens!$H$10712*Sens!$H$10734</f>
        <v>60.3505333937343</v>
      </c>
      <c r="I10733" s="38" t="n">
        <f aca="false">Sens!$I$10712*Sens!$I$10734</f>
        <v>67.0043857303571</v>
      </c>
      <c r="J10733" s="38" t="n">
        <f aca="false">Sens!$J$10712*Sens!$J$10734</f>
        <v>73.3782922956925</v>
      </c>
      <c r="K10733" s="38" t="n">
        <f aca="false">Sens!$K$10712*Sens!$K$10734</f>
        <v>79.2485556793479</v>
      </c>
      <c r="L10733" s="38" t="n">
        <f aca="false">Sens!$L$10712*Sens!$L$10734</f>
        <v>85.5884401336958</v>
      </c>
      <c r="M10733" s="38" t="n">
        <f aca="false">Sens!$M$10712*Sens!$M$10734</f>
        <v>92.4355153443914</v>
      </c>
      <c r="N10733" s="38" t="n">
        <f aca="false">Sens!$N$10732-Sens!$N$10728</f>
        <v>20.784358965108</v>
      </c>
      <c r="O10733" s="38" t="n">
        <f aca="false">Sens!$O$10732-Sens!$O$10728</f>
        <v>20.9435402281202</v>
      </c>
      <c r="P10733" s="5" t="s">
        <v>644</v>
      </c>
    </row>
    <row r="10734" customFormat="false" ht="17.15" hidden="false" customHeight="false" outlineLevel="0" collapsed="false">
      <c r="A10734" s="0" t="s">
        <v>645</v>
      </c>
      <c r="B10734" s="0" t="s">
        <v>52</v>
      </c>
      <c r="C10734" s="13" t="n">
        <f aca="false">Sens!$C$10733/Sens!$C$10712</f>
        <v>0.362900395443635</v>
      </c>
      <c r="D10734" s="13" t="n">
        <f aca="false">Sens!$D$10733/Sens!$D$10712</f>
        <v>0.34767098474203</v>
      </c>
      <c r="E10734" s="13" t="n">
        <f aca="false">Sens!$E$10733/Sens!$E$10712</f>
        <v>0.411861655558416</v>
      </c>
      <c r="F10734" s="13" t="n">
        <f aca="false">(Sens!$O$10733+Sens!$E$10733)/(Sens!$O$10712+Sens!$E$10712)</f>
        <v>0.37480827803158</v>
      </c>
      <c r="G10734" s="13" t="n">
        <f aca="false">Sens!$G$10733/Sens!$G$10712</f>
        <v>0.393275318395757</v>
      </c>
      <c r="H10734" s="13" t="n">
        <f aca="false">Sens!$F$10734</f>
        <v>0.37480827803158</v>
      </c>
      <c r="I10734" s="13" t="n">
        <f aca="false">Sens!$F$10734</f>
        <v>0.37480827803158</v>
      </c>
      <c r="J10734" s="13" t="n">
        <f aca="false">Sens!$F$10734</f>
        <v>0.37480827803158</v>
      </c>
      <c r="K10734" s="13" t="n">
        <f aca="false">Sens!$F$10734</f>
        <v>0.37480827803158</v>
      </c>
      <c r="L10734" s="13" t="n">
        <f aca="false">Sens!$F$10734</f>
        <v>0.37480827803158</v>
      </c>
      <c r="M10734" s="13" t="n">
        <f aca="false">Sens!$F$10734</f>
        <v>0.37480827803158</v>
      </c>
      <c r="N10734" s="13" t="n">
        <f aca="false">Sens!$N$10733/Sens!$N$10712</f>
        <v>0.364039571356823</v>
      </c>
      <c r="O10734" s="13" t="n">
        <f aca="false">Sens!$O$10733/Sens!$O$10712</f>
        <v>0.332819892300086</v>
      </c>
      <c r="P10734" s="8" t="s">
        <v>646</v>
      </c>
    </row>
    <row r="10735" customFormat="false" ht="17.15" hidden="false" customHeight="false" outlineLevel="0" collapsed="false">
      <c r="A10735" s="0" t="s">
        <v>647</v>
      </c>
      <c r="B10735" s="0" t="s">
        <v>52</v>
      </c>
      <c r="D10735" s="13" t="n">
        <f aca="false">(Q!$E$31-ext_sh*Sens!$D$10724)/Sens!$D$10712</f>
        <v>0.154572973163571</v>
      </c>
    </row>
    <row r="10736" customFormat="false" ht="17.15" hidden="false" customHeight="false" outlineLevel="0" collapsed="false">
      <c r="A10736" s="0" t="s">
        <v>648</v>
      </c>
      <c r="B10736" s="0" t="s">
        <v>86</v>
      </c>
      <c r="C10736" s="38" t="n">
        <f aca="false">Q!$D$31</f>
        <v>13.32</v>
      </c>
      <c r="D10736" s="38" t="n">
        <f aca="false">Q!$E$31</f>
        <v>21.45</v>
      </c>
      <c r="E10736" s="38" t="n">
        <f aca="false">Q!$P$31</f>
        <v>15.353</v>
      </c>
      <c r="F10736" s="38" t="n">
        <f aca="false">ext_sh*Sens!$F$10724+Sens!$D$10735*Sens!$F$10712</f>
        <v>16.3063747611001</v>
      </c>
      <c r="G10736" s="38" t="n">
        <f aca="false">Sens!$E$10736+Sens!$F$10736</f>
        <v>31.6593747611001</v>
      </c>
      <c r="H10736" s="38" t="n">
        <f aca="false">ext_sh*Sens!$H$10724+Sens!$D$10735*Sens!$H$10712</f>
        <v>53.124242092105</v>
      </c>
      <c r="I10736" s="38" t="n">
        <f aca="false">ext_sh*Sens!$I$10724+Sens!$D$10735*Sens!$I$10712</f>
        <v>78.046828098133</v>
      </c>
      <c r="J10736" s="38" t="n">
        <f aca="false">ext_sh*Sens!$J$10724+Sens!$D$10735*Sens!$J$10712</f>
        <v>103.663976940352</v>
      </c>
      <c r="K10736" s="38" t="n">
        <f aca="false">ext_sh*Sens!$K$10724+Sens!$D$10735*Sens!$K$10712</f>
        <v>129.625086115469</v>
      </c>
      <c r="L10736" s="38" t="n">
        <f aca="false">ext_sh*Sens!$L$10724+Sens!$D$10735*Sens!$L$10712</f>
        <v>147.435052382502</v>
      </c>
      <c r="M10736" s="38" t="n">
        <f aca="false">ext_sh*Sens!$M$10724+Sens!$D$10735*Sens!$M$10712</f>
        <v>159.299754080279</v>
      </c>
      <c r="N10736" s="38" t="n">
        <f aca="false">Q!$N$31</f>
        <v>9.234</v>
      </c>
      <c r="O10736" s="38" t="n">
        <f aca="false">Q!$O$31</f>
        <v>12.216</v>
      </c>
    </row>
    <row r="10737" customFormat="false" ht="17.15" hidden="false" customHeight="false" outlineLevel="0" collapsed="false">
      <c r="A10737" s="1" t="s">
        <v>649</v>
      </c>
    </row>
    <row r="10738" customFormat="false" ht="17.15" hidden="false" customHeight="false" outlineLevel="0" collapsed="false">
      <c r="A10738" s="15" t="s">
        <v>650</v>
      </c>
      <c r="B10738" s="14" t="s">
        <v>52</v>
      </c>
      <c r="C10738" s="14"/>
      <c r="D10738" s="14"/>
      <c r="E10738" s="14"/>
      <c r="F10738" s="14"/>
      <c r="G10738" s="17" t="n">
        <f aca="false">Sens!$G$10728*(1-tax)/(ext_sh*(Sens!$D$10725+Sens!$G$10725)/2)</f>
        <v>0.0440851947071316</v>
      </c>
      <c r="H10738" s="17" t="n">
        <f aca="false">Sens!$H$10728*(1-tax)/(ext_sh*(Sens!$G$10725+Sens!$H$10725)/2)</f>
        <v>0.0402781040820865</v>
      </c>
      <c r="I10738" s="17" t="n">
        <f aca="false">Sens!$I$10728*(1-tax)/(ext_sh*(Sens!$H$10725+Sens!$I$10725)/2)</f>
        <v>0.0358186710480674</v>
      </c>
      <c r="J10738" s="17" t="n">
        <f aca="false">Sens!$J$10728*(1-tax)/(ext_sh*(Sens!$I$10725+Sens!$J$10725)/2)</f>
        <v>0.0336327249258515</v>
      </c>
      <c r="K10738" s="17" t="n">
        <f aca="false">Sens!$K$10728*(1-tax)/(ext_sh*(Sens!$J$10725+Sens!$K$10725)/2)</f>
        <v>0.0280772586893461</v>
      </c>
      <c r="L10738" s="17" t="n">
        <f aca="false">Sens!$L$10728*(1-tax)/(ext_sh*(Sens!$K$10725+Sens!$L$10725)/2)</f>
        <v>0.0268071979540432</v>
      </c>
      <c r="M10738" s="17" t="n">
        <f aca="false">Sens!$M$10728*(1-tax)/(ext_sh*(Sens!$L$10725+Sens!$M$10725)/2)</f>
        <v>0.0242557611378735</v>
      </c>
      <c r="N10738" s="14"/>
      <c r="O10738" s="14"/>
      <c r="P10738" s="8" t="s">
        <v>651</v>
      </c>
    </row>
    <row r="10739" customFormat="false" ht="17.15" hidden="false" customHeight="false" outlineLevel="0" collapsed="false">
      <c r="A10739" s="5" t="s">
        <v>652</v>
      </c>
      <c r="B10739" s="0" t="s">
        <v>57</v>
      </c>
      <c r="H10739" s="36" t="n">
        <f aca="false">Sens!$H$10708*1000/(mw_open*he_open+Sens!$H$10706*Sens!$H$10703)</f>
        <v>0.880767940782091</v>
      </c>
      <c r="I10739" s="36" t="n">
        <f aca="false">Sens!$I$10708*1000/(mw_open*he_open+Sens!$I$10706*Sens!$I$10703)</f>
        <v>0.858026572758645</v>
      </c>
      <c r="J10739" s="36" t="n">
        <f aca="false">Sens!$J$10708*1000/(mw_open*he_open+Sens!$J$10706*Sens!$J$10703)</f>
        <v>0.848417499448742</v>
      </c>
      <c r="K10739" s="36" t="n">
        <f aca="false">Sens!$K$10708*1000/(mw_open*he_open+Sens!$K$10706*Sens!$K$10703)</f>
        <v>0.843754578941374</v>
      </c>
      <c r="L10739" s="36" t="n">
        <f aca="false">Sens!$L$10708*1000/(mw_open*he_open+Sens!$L$10706*Sens!$L$10703)</f>
        <v>0.841581849703465</v>
      </c>
      <c r="M10739" s="36" t="n">
        <f aca="false">Sens!$M$10708*1000/(mw_open*he_open+Sens!$M$10706*Sens!$M$10703)</f>
        <v>0.840712687048722</v>
      </c>
    </row>
    <row r="10740" customFormat="false" ht="17.15" hidden="false" customHeight="false" outlineLevel="0" collapsed="false">
      <c r="A10740" s="5" t="s">
        <v>653</v>
      </c>
      <c r="B10740" s="0" t="s">
        <v>57</v>
      </c>
      <c r="H10740" s="36" t="n">
        <f aca="false">Sens!$H$10739*(Sens!$H$10708+wacc*ext_sh*(Sens!$G$10725+Sens!$H$10725)/2/(1-tax)-Sens!$H$10728)/Sens!$H$10708</f>
        <v>1.25551961623259</v>
      </c>
      <c r="I10740" s="36" t="n">
        <f aca="false">Sens!$I$10739*(Sens!$I$10708+wacc*ext_sh*(Sens!$H$10725+Sens!$I$10725)/2/(1-tax)-Sens!$I$10728)/Sens!$I$10708</f>
        <v>1.2054675393263</v>
      </c>
      <c r="J10740" s="36" t="n">
        <f aca="false">Sens!$J$10739*(Sens!$J$10708+wacc*ext_sh*(Sens!$I$10725+Sens!$J$10725)/2/(1-tax)-Sens!$J$10728)/Sens!$J$10708</f>
        <v>1.17141604927023</v>
      </c>
      <c r="K10740" s="36" t="n">
        <f aca="false">Sens!$K$10739*(Sens!$K$10708+wacc*ext_sh*(Sens!$J$10725+Sens!$K$10725)/2/(1-tax)-Sens!$K$10728)/Sens!$K$10708</f>
        <v>1.15558527566281</v>
      </c>
      <c r="L10740" s="36" t="n">
        <f aca="false">Sens!$L$10739*(Sens!$L$10708+wacc*ext_sh*(Sens!$K$10725+Sens!$L$10725)/2/(1-tax)-Sens!$L$10728)/Sens!$L$10708</f>
        <v>1.12686933572495</v>
      </c>
      <c r="M10740" s="36" t="n">
        <f aca="false">Sens!$M$10739*(Sens!$M$10708+wacc*ext_sh*(Sens!$L$10725+Sens!$M$10725)/2/(1-tax)-Sens!$M$10728)/Sens!$M$10708</f>
        <v>1.11358462527531</v>
      </c>
    </row>
    <row r="10741" customFormat="false" ht="17.15" hidden="false" customHeight="false" outlineLevel="0" collapsed="false">
      <c r="A10741" s="5" t="s">
        <v>654</v>
      </c>
      <c r="B10741" s="0" t="s">
        <v>52</v>
      </c>
      <c r="C10741" s="13" t="n">
        <f aca="false">Sens!$C$10709/tk_pq</f>
        <v>0.195316432429398</v>
      </c>
      <c r="D10741" s="13" t="n">
        <f aca="false">Sens!$D$10709/tk_pq</f>
        <v>0.195316432429398</v>
      </c>
      <c r="E10741" s="13" t="n">
        <f aca="false">Sens!$E$10709/tk_pq</f>
        <v>0.195316432429398</v>
      </c>
      <c r="F10741" s="13" t="n">
        <f aca="false">Sens!$F$10709/tk_pq</f>
        <v>0.191077608072499</v>
      </c>
      <c r="G10741" s="13" t="n">
        <f aca="false">Sens!$G$10709/tk_pq</f>
        <v>0.192648675364927</v>
      </c>
      <c r="H10741" s="13" t="n">
        <f aca="false">Sens!$H$10709/tk_pq</f>
        <v>0.188813632292207</v>
      </c>
      <c r="I10741" s="13" t="n">
        <f aca="false">Sens!$I$10709/tk_pq</f>
        <v>0.18967957363228</v>
      </c>
      <c r="J10741" s="13" t="n">
        <f aca="false">Sens!$J$10709/tk_pq</f>
        <v>0.190298617624149</v>
      </c>
      <c r="K10741" s="13" t="n">
        <f aca="false">Sens!$K$10709/tk_pq</f>
        <v>0.190580531494929</v>
      </c>
      <c r="L10741" s="13" t="n">
        <f aca="false">Sens!$L$10709/tk_pq</f>
        <v>0.190712010322094</v>
      </c>
      <c r="M10741" s="13" t="n">
        <f aca="false">Sens!$M$10709/tk_pq</f>
        <v>0.190736894839384</v>
      </c>
      <c r="N10741" s="13" t="n">
        <f aca="false">Sens!$N$10709/tk_pq</f>
        <v>0.195316432429398</v>
      </c>
      <c r="O10741" s="13" t="n">
        <f aca="false">Sens!$O$10709/tk_pq</f>
        <v>0.195316432429398</v>
      </c>
      <c r="P10741" s="5" t="s">
        <v>655</v>
      </c>
    </row>
    <row r="10744" customFormat="false" ht="17.15" hidden="false" customHeight="false" outlineLevel="0" collapsed="false">
      <c r="A10744" s="1" t="s">
        <v>684</v>
      </c>
    </row>
    <row r="10745" customFormat="false" ht="17.15" hidden="false" customHeight="false" outlineLevel="0" collapsed="false">
      <c r="A10745" s="0" t="s">
        <v>685</v>
      </c>
      <c r="B10745" s="0" t="s">
        <v>86</v>
      </c>
      <c r="C10745" s="38" t="n">
        <f aca="false">Sens!$C$10708</f>
        <v>2.32100535697364</v>
      </c>
      <c r="D10745" s="38" t="n">
        <f aca="false">Sens!$D$10708</f>
        <v>8.70377008865116</v>
      </c>
      <c r="E10745" s="38" t="n">
        <f aca="false">Sens!$E$10708</f>
        <v>8.51035297557002</v>
      </c>
      <c r="F10745" s="38" t="n">
        <f aca="false">Sens!$F$10708</f>
        <v>14.1374173083338</v>
      </c>
      <c r="G10745" s="38" t="n">
        <f aca="false">Sens!$G$10708</f>
        <v>22.6477702839038</v>
      </c>
      <c r="H10745" s="38" t="n">
        <f aca="false">Sens!$H$10708</f>
        <v>53.4222901978634</v>
      </c>
      <c r="I10745" s="38" t="n">
        <f aca="false">Sens!$I$10708</f>
        <v>87.7997462553011</v>
      </c>
      <c r="J10745" s="38" t="n">
        <f aca="false">Sens!$J$10708</f>
        <v>122.330137401312</v>
      </c>
      <c r="K10745" s="38" t="n">
        <f aca="false">Sens!$K$10708</f>
        <v>151.788466594157</v>
      </c>
      <c r="L10745" s="38" t="n">
        <f aca="false">Sens!$L$10708</f>
        <v>171.148625477554</v>
      </c>
      <c r="M10745" s="38" t="n">
        <f aca="false">Sens!$M$10708</f>
        <v>180.385740185952</v>
      </c>
      <c r="N10745" s="38" t="n">
        <f aca="false">Sens!$N$10708</f>
        <v>3.04631953102791</v>
      </c>
      <c r="O10745" s="38" t="n">
        <f aca="false">Sens!$O$10708</f>
        <v>5.65745055762326</v>
      </c>
      <c r="P10745" s="8" t="s">
        <v>686</v>
      </c>
    </row>
    <row r="10746" customFormat="false" ht="17.15" hidden="false" customHeight="false" outlineLevel="0" collapsed="false">
      <c r="A10746" s="0" t="s">
        <v>687</v>
      </c>
      <c r="B10746" s="0" t="s">
        <v>86</v>
      </c>
      <c r="C10746" s="38" t="n">
        <f aca="false">Sens!$C$10712</f>
        <v>105.234994643026</v>
      </c>
      <c r="D10746" s="38" t="n">
        <f aca="false">Sens!$D$10712</f>
        <v>120.021229911349</v>
      </c>
      <c r="E10746" s="38" t="n">
        <f aca="false">Sens!$E$10712</f>
        <v>71.30864702443</v>
      </c>
      <c r="F10746" s="38" t="n">
        <f aca="false">Sens!$F$10712</f>
        <v>71.7692997942464</v>
      </c>
      <c r="G10746" s="38" t="n">
        <f aca="false">Sens!$G$10712</f>
        <v>143.077946818676</v>
      </c>
      <c r="H10746" s="38" t="n">
        <f aca="false">Sens!$H$10712</f>
        <v>161.017077079203</v>
      </c>
      <c r="I10746" s="38" t="n">
        <f aca="false">Sens!$I$10712</f>
        <v>178.769759521457</v>
      </c>
      <c r="J10746" s="38" t="n">
        <f aca="false">Sens!$J$10712</f>
        <v>195.775538045907</v>
      </c>
      <c r="K10746" s="38" t="n">
        <f aca="false">Sens!$K$10712</f>
        <v>211.43758108958</v>
      </c>
      <c r="L10746" s="38" t="n">
        <f aca="false">Sens!$L$10712</f>
        <v>228.352587576746</v>
      </c>
      <c r="M10746" s="38" t="n">
        <f aca="false">Sens!$M$10712</f>
        <v>246.620794582886</v>
      </c>
      <c r="N10746" s="38" t="n">
        <f aca="false">Sens!$N$10712</f>
        <v>57.0936804689721</v>
      </c>
      <c r="O10746" s="38" t="n">
        <f aca="false">Sens!$O$10712</f>
        <v>62.9275494423768</v>
      </c>
      <c r="P10746" s="8" t="s">
        <v>686</v>
      </c>
    </row>
    <row r="10747" customFormat="false" ht="17.15" hidden="false" customHeight="false" outlineLevel="0" collapsed="false">
      <c r="A10747" s="1" t="s">
        <v>513</v>
      </c>
      <c r="B10747" s="8" t="s">
        <v>86</v>
      </c>
      <c r="C10747" s="38" t="n">
        <f aca="false">Q!$D$7</f>
        <v>107.556</v>
      </c>
      <c r="D10747" s="38" t="n">
        <f aca="false">Q!$E$7</f>
        <v>128.725</v>
      </c>
      <c r="E10747" s="38" t="n">
        <f aca="false">Q!$P$7</f>
        <v>79.819</v>
      </c>
      <c r="F10747" s="38" t="n">
        <f aca="false">Sens!$F$10745+Sens!$F$10746</f>
        <v>85.9067171025802</v>
      </c>
      <c r="G10747" s="38" t="n">
        <f aca="false">Sens!$G$10745+Sens!$G$10746</f>
        <v>165.72571710258</v>
      </c>
      <c r="H10747" s="38" t="n">
        <f aca="false">Sens!$H$10745+Sens!$H$10746</f>
        <v>214.439367277066</v>
      </c>
      <c r="I10747" s="38" t="n">
        <f aca="false">Sens!$I$10745+Sens!$I$10746</f>
        <v>266.569505776759</v>
      </c>
      <c r="J10747" s="38" t="n">
        <f aca="false">Sens!$J$10745+Sens!$J$10746</f>
        <v>318.105675447219</v>
      </c>
      <c r="K10747" s="38" t="n">
        <f aca="false">Sens!$K$10745+Sens!$K$10746</f>
        <v>363.226047683737</v>
      </c>
      <c r="L10747" s="38" t="n">
        <f aca="false">Sens!$L$10745+Sens!$L$10746</f>
        <v>399.5012130543</v>
      </c>
      <c r="M10747" s="38" t="n">
        <f aca="false">Sens!$M$10745+Sens!$M$10746</f>
        <v>427.006534768838</v>
      </c>
      <c r="N10747" s="38" t="n">
        <f aca="false">Q!$N$7</f>
        <v>60.14</v>
      </c>
      <c r="O10747" s="38" t="n">
        <f aca="false">Q!$O$7</f>
        <v>68.585</v>
      </c>
      <c r="P10747" s="5" t="s">
        <v>688</v>
      </c>
    </row>
    <row r="10748" customFormat="false" ht="15" hidden="false" customHeight="false" outlineLevel="0" collapsed="false">
      <c r="A10748" s="3" t="s">
        <v>689</v>
      </c>
      <c r="B10748" s="8" t="s">
        <v>86</v>
      </c>
      <c r="C10748" s="38" t="n">
        <f aca="false">Q!$D$8</f>
        <v>637.959</v>
      </c>
      <c r="D10748" s="38" t="n">
        <f aca="false">Q!$E$8</f>
        <v>716.924</v>
      </c>
      <c r="E10748" s="38" t="n">
        <f aca="false">Q!$P$8</f>
        <v>382.125</v>
      </c>
      <c r="F10748" s="38" t="n">
        <f aca="false">Sens!$F$10680+Sens!$F$10747</f>
        <v>435.780975084504</v>
      </c>
      <c r="G10748" s="38" t="n">
        <f aca="false">Sens!$G$10680+Sens!$G$10747</f>
        <v>817.905975084504</v>
      </c>
      <c r="H10748" s="38" t="n">
        <f aca="false">Sens!$H$10680+Sens!$H$10747</f>
        <v>936.451117289489</v>
      </c>
      <c r="I10748" s="38" t="n">
        <f aca="false">Sens!$I$10680+Sens!$I$10747</f>
        <v>1056.09967847556</v>
      </c>
      <c r="J10748" s="38" t="n">
        <f aca="false">Sens!$J$10680+Sens!$J$10747</f>
        <v>1170.29459468908</v>
      </c>
      <c r="K10748" s="38" t="n">
        <f aca="false">Sens!$K$10680+Sens!$K$10747</f>
        <v>1270.55314428963</v>
      </c>
      <c r="L10748" s="38" t="n">
        <f aca="false">Sens!$L$10680+Sens!$L$10747</f>
        <v>1365.82000708638</v>
      </c>
      <c r="M10748" s="38" t="n">
        <f aca="false">Sens!$M$10680+Sens!$M$10747</f>
        <v>1456.46046692954</v>
      </c>
      <c r="N10748" s="38" t="n">
        <f aca="false">Q!$N$8</f>
        <v>323.369</v>
      </c>
      <c r="O10748" s="38" t="n">
        <f aca="false">Q!$O$8</f>
        <v>393.555</v>
      </c>
    </row>
    <row r="10749" customFormat="false" ht="17.15" hidden="false" customHeight="false" outlineLevel="0" collapsed="false">
      <c r="A10749" s="24" t="s">
        <v>701</v>
      </c>
      <c r="B10749" s="25" t="s">
        <v>86</v>
      </c>
      <c r="C10749" s="41" t="n">
        <f aca="false">Sens!$C$10680-(Sens!$C$10682+Sens!$C$10683)</f>
        <v>0</v>
      </c>
      <c r="D10749" s="41" t="n">
        <f aca="false">Sens!$D$10680-(Sens!$D$10682+Sens!$D$10683)</f>
        <v>0</v>
      </c>
      <c r="E10749" s="41" t="n">
        <f aca="false">Sens!$E$10680-(Sens!$E$10682+Sens!$E$10683)</f>
        <v>0</v>
      </c>
      <c r="F10749" s="41" t="n">
        <f aca="false">Sens!$F$10680-(Sens!$F$10682+Sens!$F$10683)</f>
        <v>0</v>
      </c>
      <c r="G10749" s="41" t="n">
        <f aca="false">Sens!$G$10680-(Sens!$G$10682+Sens!$G$10683)</f>
        <v>0</v>
      </c>
      <c r="H10749" s="41" t="n">
        <f aca="false">Sens!$H$10680-(Sens!$H$10682+Sens!$H$10683)</f>
        <v>0</v>
      </c>
      <c r="I10749" s="41" t="n">
        <f aca="false">Sens!$I$10680-(Sens!$I$10682+Sens!$I$10683)</f>
        <v>0</v>
      </c>
      <c r="J10749" s="41" t="n">
        <f aca="false">Sens!$J$10680-(Sens!$J$10682+Sens!$J$10683)</f>
        <v>0</v>
      </c>
      <c r="K10749" s="41" t="n">
        <f aca="false">Sens!$K$10680-(Sens!$K$10682+Sens!$K$10683)</f>
        <v>0</v>
      </c>
      <c r="L10749" s="41" t="n">
        <f aca="false">Sens!$L$10680-(Sens!$L$10682+Sens!$L$10683)</f>
        <v>0</v>
      </c>
      <c r="M10749" s="41" t="n">
        <f aca="false">Sens!$M$10680-(Sens!$M$10682+Sens!$M$10683)</f>
        <v>0</v>
      </c>
      <c r="N10749" s="41" t="n">
        <f aca="false">Sens!$N$10680-(Sens!$N$10682+Sens!$N$10683)</f>
        <v>0</v>
      </c>
      <c r="O10749" s="41" t="n">
        <f aca="false">Sens!$O$10680-(Sens!$O$10682+Sens!$O$10683)</f>
        <v>0</v>
      </c>
    </row>
    <row r="10750" customFormat="false" ht="17.15" hidden="false" customHeight="false" outlineLevel="0" collapsed="false">
      <c r="A10750" s="24" t="s">
        <v>702</v>
      </c>
      <c r="B10750" s="25" t="s">
        <v>86</v>
      </c>
      <c r="C10750" s="41" t="n">
        <f aca="false">Sens!$C$10745+Sens!$C$10746-Sens!$C$10747</f>
        <v>0</v>
      </c>
      <c r="D10750" s="41" t="n">
        <f aca="false">Sens!$D$10745+Sens!$D$10746-Sens!$D$10747</f>
        <v>0</v>
      </c>
      <c r="E10750" s="41" t="n">
        <f aca="false">Sens!$E$10745+Sens!$E$10746-Sens!$E$10747</f>
        <v>0</v>
      </c>
      <c r="F10750" s="41" t="n">
        <f aca="false">Sens!$F$10745+Sens!$F$10746-Sens!$F$10747</f>
        <v>0</v>
      </c>
      <c r="G10750" s="41" t="n">
        <f aca="false">Sens!$G$10745+Sens!$G$10746-Sens!$G$10747</f>
        <v>0</v>
      </c>
      <c r="H10750" s="41" t="n">
        <f aca="false">Sens!$H$10745+Sens!$H$10746-Sens!$H$10747</f>
        <v>0</v>
      </c>
      <c r="I10750" s="41" t="n">
        <f aca="false">Sens!$I$10745+Sens!$I$10746-Sens!$I$10747</f>
        <v>0</v>
      </c>
      <c r="J10750" s="41" t="n">
        <f aca="false">Sens!$J$10745+Sens!$J$10746-Sens!$J$10747</f>
        <v>0</v>
      </c>
      <c r="K10750" s="41" t="n">
        <f aca="false">Sens!$K$10745+Sens!$K$10746-Sens!$K$10747</f>
        <v>0</v>
      </c>
      <c r="L10750" s="41" t="n">
        <f aca="false">Sens!$L$10745+Sens!$L$10746-Sens!$L$10747</f>
        <v>0</v>
      </c>
      <c r="M10750" s="41" t="n">
        <f aca="false">Sens!$M$10745+Sens!$M$10746-Sens!$M$10747</f>
        <v>0</v>
      </c>
      <c r="N10750" s="41" t="n">
        <f aca="false">Sens!$N$10745+Sens!$N$10746-Sens!$N$10747</f>
        <v>0</v>
      </c>
      <c r="O10750" s="41" t="n">
        <f aca="false">Sens!$O$10745+Sens!$O$10746-Sens!$O$10747</f>
        <v>0</v>
      </c>
    </row>
    <row r="10751" customFormat="false" ht="17.15" hidden="false" customHeight="false" outlineLevel="0" collapsed="false">
      <c r="A10751" s="24" t="s">
        <v>703</v>
      </c>
      <c r="B10751" s="25" t="s">
        <v>86</v>
      </c>
      <c r="C10751" s="41" t="n">
        <f aca="false">Sens!$C$10682+Sens!$C$10683+Sens!$C$10747-Sens!$C$10748</f>
        <v>0</v>
      </c>
      <c r="D10751" s="41" t="n">
        <f aca="false">Sens!$D$10682+Sens!$D$10683+Sens!$D$10747-Sens!$D$10748</f>
        <v>0</v>
      </c>
      <c r="E10751" s="41" t="n">
        <f aca="false">Sens!$E$10682+Sens!$E$10683+Sens!$E$10747-Sens!$E$10748</f>
        <v>0</v>
      </c>
      <c r="F10751" s="41" t="n">
        <f aca="false">Sens!$F$10682+Sens!$F$10683+Sens!$F$10747-Sens!$F$10748</f>
        <v>0</v>
      </c>
      <c r="G10751" s="41" t="n">
        <f aca="false">Sens!$G$10682+Sens!$G$10683+Sens!$G$10747-Sens!$G$10748</f>
        <v>0</v>
      </c>
      <c r="H10751" s="41" t="n">
        <f aca="false">Sens!$H$10682+Sens!$H$10683+Sens!$H$10747-Sens!$H$10748</f>
        <v>0</v>
      </c>
      <c r="I10751" s="41" t="n">
        <f aca="false">Sens!$I$10682+Sens!$I$10683+Sens!$I$10747-Sens!$I$10748</f>
        <v>0</v>
      </c>
      <c r="J10751" s="41" t="n">
        <f aca="false">Sens!$J$10682+Sens!$J$10683+Sens!$J$10747-Sens!$J$10748</f>
        <v>0</v>
      </c>
      <c r="K10751" s="41" t="n">
        <f aca="false">Sens!$K$10682+Sens!$K$10683+Sens!$K$10747-Sens!$K$10748</f>
        <v>0</v>
      </c>
      <c r="L10751" s="41" t="n">
        <f aca="false">Sens!$L$10682+Sens!$L$10683+Sens!$L$10747-Sens!$L$10748</f>
        <v>0</v>
      </c>
      <c r="M10751" s="41" t="n">
        <f aca="false">Sens!$M$10682+Sens!$M$10683+Sens!$M$10747-Sens!$M$10748</f>
        <v>0</v>
      </c>
      <c r="N10751" s="41" t="n">
        <f aca="false">Sens!$N$10682+Sens!$N$10683+Sens!$N$10747-Sens!$N$10748</f>
        <v>0</v>
      </c>
      <c r="O10751" s="41" t="n">
        <f aca="false">Sens!$O$10682+Sens!$O$10683+Sens!$O$10747-Sens!$O$10748</f>
        <v>0</v>
      </c>
    </row>
    <row r="10752" customFormat="false" ht="15" hidden="false" customHeight="false" outlineLevel="0" collapsed="false">
      <c r="A10752" s="5" t="s">
        <v>693</v>
      </c>
      <c r="B10752" s="0" t="s">
        <v>52</v>
      </c>
      <c r="G10752" s="13" t="n">
        <f aca="false">Sens!$G$10748/Sens!$D$10748-1</f>
        <v>0.140854504918937</v>
      </c>
      <c r="H10752" s="13" t="n">
        <f aca="false">Sens!$H$10748/Sens!$G$10748-1</f>
        <v>0.144937371551464</v>
      </c>
      <c r="I10752" s="13" t="n">
        <f aca="false">Sens!$I$10748/Sens!$H$10748-1</f>
        <v>0.127768079910451</v>
      </c>
      <c r="J10752" s="13" t="n">
        <f aca="false">Sens!$J$10748/Sens!$I$10748-1</f>
        <v>0.10812891864369</v>
      </c>
      <c r="K10752" s="13" t="n">
        <f aca="false">Sens!$K$10748/Sens!$J$10748-1</f>
        <v>0.0856694972834475</v>
      </c>
      <c r="L10752" s="13" t="n">
        <f aca="false">Sens!$L$10748/Sens!$K$10748-1</f>
        <v>0.0749806202321606</v>
      </c>
      <c r="M10752" s="13" t="n">
        <f aca="false">Sens!$M$10748/Sens!$L$10748-1</f>
        <v>0.0663634002817957</v>
      </c>
    </row>
    <row r="10753" customFormat="false" ht="17.15" hidden="false" customHeight="false" outlineLevel="0" collapsed="false">
      <c r="A10753" s="0" t="s">
        <v>694</v>
      </c>
      <c r="B10753" s="0" t="s">
        <v>52</v>
      </c>
      <c r="C10753" s="13" t="n">
        <f aca="false">Sens!$C$10747/Sens!$C$10748</f>
        <v>0.168593906504964</v>
      </c>
      <c r="D10753" s="13" t="n">
        <f aca="false">Sens!$D$10747/Sens!$D$10748</f>
        <v>0.179551807444025</v>
      </c>
      <c r="E10753" s="13" t="n">
        <f aca="false">Sens!$E$10747/Sens!$E$10748</f>
        <v>0.208881910369643</v>
      </c>
      <c r="F10753" s="13" t="n">
        <f aca="false">Sens!$F$10747/Sens!$F$10748</f>
        <v>0.197132784619433</v>
      </c>
      <c r="G10753" s="13" t="n">
        <f aca="false">Sens!$G$10747/Sens!$G$10748</f>
        <v>0.202621966523056</v>
      </c>
      <c r="H10753" s="13" t="n">
        <f aca="false">Sens!$H$10747/Sens!$H$10748</f>
        <v>0.228991522694479</v>
      </c>
      <c r="I10753" s="13" t="n">
        <f aca="false">Sens!$I$10747/Sens!$I$10748</f>
        <v>0.252409418551799</v>
      </c>
      <c r="J10753" s="13" t="n">
        <f aca="false">Sens!$J$10747/Sens!$J$10748</f>
        <v>0.27181675185959</v>
      </c>
      <c r="K10753" s="13" t="n">
        <f aca="false">Sens!$K$10747/Sens!$K$10748</f>
        <v>0.285880247761552</v>
      </c>
      <c r="L10753" s="13" t="n">
        <f aca="false">Sens!$L$10747/Sens!$L$10748</f>
        <v>0.292499166055219</v>
      </c>
      <c r="M10753" s="13" t="n">
        <f aca="false">Sens!$M$10747/Sens!$M$10748</f>
        <v>0.293180999048356</v>
      </c>
      <c r="N10753" s="13" t="n">
        <f aca="false">Sens!$N$10747/Sens!$N$10748</f>
        <v>0.185979484737251</v>
      </c>
      <c r="O10753" s="13" t="n">
        <f aca="false">Sens!$O$10747/Sens!$O$10748</f>
        <v>0.174270432341096</v>
      </c>
    </row>
    <row r="10754" customFormat="false" ht="17.15" hidden="false" customHeight="false" outlineLevel="0" collapsed="false">
      <c r="A10754" s="0" t="s">
        <v>695</v>
      </c>
      <c r="B10754" s="0" t="s">
        <v>52</v>
      </c>
      <c r="C10754" s="13" t="n">
        <f aca="false">Sens!$C$10745/Sens!$C$10747</f>
        <v>0.0215795060896058</v>
      </c>
      <c r="D10754" s="13" t="n">
        <f aca="false">Sens!$D$10745/Sens!$D$10747</f>
        <v>0.0676152269462122</v>
      </c>
      <c r="E10754" s="13" t="n">
        <f aca="false">Sens!$E$10745/Sens!$E$10747</f>
        <v>0.106620641395783</v>
      </c>
      <c r="F10754" s="13" t="n">
        <f aca="false">Sens!$F$10745/Sens!$F$10747</f>
        <v>0.16456707676831</v>
      </c>
      <c r="G10754" s="13" t="n">
        <f aca="false">Sens!$G$10745/Sens!$G$10747</f>
        <v>0.136658152276302</v>
      </c>
      <c r="H10754" s="13" t="n">
        <f aca="false">Sens!$H$10745/Sens!$H$10747</f>
        <v>0.249125386239547</v>
      </c>
      <c r="I10754" s="13" t="n">
        <f aca="false">Sens!$I$10745/Sens!$I$10747</f>
        <v>0.329369055171787</v>
      </c>
      <c r="J10754" s="13" t="n">
        <f aca="false">Sens!$J$10745/Sens!$J$10747</f>
        <v>0.384558173095561</v>
      </c>
      <c r="K10754" s="13" t="n">
        <f aca="false">Sens!$K$10745/Sens!$K$10747</f>
        <v>0.417889816994403</v>
      </c>
      <c r="L10754" s="13" t="n">
        <f aca="false">Sens!$L$10745/Sens!$L$10747</f>
        <v>0.428405771709863</v>
      </c>
      <c r="M10754" s="13" t="n">
        <f aca="false">Sens!$M$10745/Sens!$M$10747</f>
        <v>0.422442575225704</v>
      </c>
      <c r="N10754" s="13" t="n">
        <f aca="false">Sens!$N$10745/Sens!$N$10747</f>
        <v>0.0506537999838362</v>
      </c>
      <c r="O10754" s="13" t="n">
        <f aca="false">Sens!$O$10745/Sens!$O$10747</f>
        <v>0.0824881615167056</v>
      </c>
    </row>
    <row r="10757" customFormat="false" ht="19.4" hidden="false" customHeight="false" outlineLevel="0" collapsed="false">
      <c r="A10757" s="31" t="s">
        <v>1349</v>
      </c>
    </row>
    <row r="10758" customFormat="false" ht="17.15" hidden="false" customHeight="false" outlineLevel="0" collapsed="false">
      <c r="A10758" s="6" t="s">
        <v>16</v>
      </c>
      <c r="B10758" s="6" t="s">
        <v>17</v>
      </c>
      <c r="C10758" s="20" t="s">
        <v>494</v>
      </c>
      <c r="D10758" s="20" t="s">
        <v>495</v>
      </c>
      <c r="E10758" s="20" t="s">
        <v>577</v>
      </c>
      <c r="F10758" s="20" t="s">
        <v>578</v>
      </c>
      <c r="G10758" s="20" t="s">
        <v>579</v>
      </c>
      <c r="H10758" s="20" t="s">
        <v>580</v>
      </c>
      <c r="I10758" s="20" t="s">
        <v>581</v>
      </c>
      <c r="J10758" s="20" t="s">
        <v>582</v>
      </c>
      <c r="K10758" s="20" t="s">
        <v>583</v>
      </c>
      <c r="L10758" s="20" t="s">
        <v>584</v>
      </c>
      <c r="M10758" s="20" t="s">
        <v>585</v>
      </c>
      <c r="N10758" s="20" t="s">
        <v>586</v>
      </c>
      <c r="O10758" s="20" t="s">
        <v>587</v>
      </c>
      <c r="P10758" s="6" t="s">
        <v>23</v>
      </c>
      <c r="R10758" s="20" t="n">
        <v>2023</v>
      </c>
      <c r="S10758" s="20" t="n">
        <v>2024</v>
      </c>
      <c r="T10758" s="20" t="n">
        <v>2025</v>
      </c>
      <c r="U10758" s="20" t="n">
        <v>2026</v>
      </c>
      <c r="V10758" s="20" t="n">
        <v>2027</v>
      </c>
      <c r="W10758" s="20" t="n">
        <v>2028</v>
      </c>
      <c r="X10758" s="20" t="n">
        <v>2029</v>
      </c>
      <c r="Y10758" s="20" t="n">
        <v>2030</v>
      </c>
      <c r="Z10758" s="20" t="n">
        <v>2031</v>
      </c>
      <c r="AA10758" s="20" t="n">
        <v>2032</v>
      </c>
    </row>
    <row r="10759" customFormat="false" ht="17.15" hidden="false" customHeight="false" outlineLevel="0" collapsed="false">
      <c r="A10759" s="1" t="s">
        <v>710</v>
      </c>
    </row>
    <row r="10760" customFormat="false" ht="15" hidden="false" customHeight="false" outlineLevel="0" collapsed="false">
      <c r="A10760" s="0" t="s">
        <v>516</v>
      </c>
      <c r="B10760" s="0" t="s">
        <v>86</v>
      </c>
      <c r="C10760" s="38" t="n">
        <f aca="false">Sens!$C$10667</f>
        <v>247.029</v>
      </c>
      <c r="D10760" s="38" t="n">
        <f aca="false">Sens!$D$10667</f>
        <v>269.287</v>
      </c>
      <c r="E10760" s="38" t="n">
        <f aca="false">Sens!$E$10667</f>
        <v>134.686</v>
      </c>
      <c r="F10760" s="38" t="n">
        <f aca="false">Sens!$F$10667</f>
        <v>158.668476412251</v>
      </c>
      <c r="G10760" s="38" t="n">
        <f aca="false">Sens!$G$10667</f>
        <v>293.354476412251</v>
      </c>
      <c r="H10760" s="38" t="n">
        <f aca="false">Sens!$H$10667</f>
        <v>318.591368978214</v>
      </c>
      <c r="I10760" s="38" t="n">
        <f aca="false">Sens!$I$10667</f>
        <v>342.173217541669</v>
      </c>
      <c r="J10760" s="38" t="n">
        <f aca="false">Sens!$J$10667</f>
        <v>363.391225945525</v>
      </c>
      <c r="K10760" s="38" t="n">
        <f aca="false">Sens!$K$10667</f>
        <v>381.560787242802</v>
      </c>
      <c r="L10760" s="38" t="n">
        <f aca="false">Sens!$L$10667</f>
        <v>400.638826604942</v>
      </c>
      <c r="M10760" s="38" t="n">
        <f aca="false">Sens!$M$10667</f>
        <v>420.670767935189</v>
      </c>
      <c r="N10760" s="38" t="n">
        <f aca="false">Sens!$N$10667</f>
        <v>118.892</v>
      </c>
      <c r="O10760" s="38" t="n">
        <f aca="false">Sens!$O$10667</f>
        <v>150.395</v>
      </c>
    </row>
    <row r="10761" customFormat="false" ht="15" hidden="false" customHeight="false" outlineLevel="0" collapsed="false">
      <c r="A10761" s="0" t="s">
        <v>517</v>
      </c>
      <c r="B10761" s="0" t="s">
        <v>86</v>
      </c>
      <c r="C10761" s="38" t="n">
        <f aca="false">Sens!$C$10669</f>
        <v>21.215</v>
      </c>
      <c r="D10761" s="38" t="n">
        <f aca="false">Sens!$D$10669</f>
        <v>22.561</v>
      </c>
      <c r="E10761" s="38" t="n">
        <f aca="false">Sens!$E$10669</f>
        <v>11.579</v>
      </c>
      <c r="F10761" s="38" t="n">
        <f aca="false">Sens!$F$10669</f>
        <v>11.6213091500405</v>
      </c>
      <c r="G10761" s="38" t="n">
        <f aca="false">Sens!$G$10669</f>
        <v>23.2003091500405</v>
      </c>
      <c r="H10761" s="38" t="n">
        <f aca="false">Sens!$H$10669</f>
        <v>24.3822271849556</v>
      </c>
      <c r="I10761" s="38" t="n">
        <f aca="false">Sens!$I$10669</f>
        <v>25.4541359521165</v>
      </c>
      <c r="J10761" s="38" t="n">
        <f aca="false">Sens!$J$10669</f>
        <v>26.3954643817717</v>
      </c>
      <c r="K10761" s="38" t="n">
        <f aca="false">Sens!$K$10669</f>
        <v>27.1873283132248</v>
      </c>
      <c r="L10761" s="38" t="n">
        <f aca="false">Sens!$L$10669</f>
        <v>28.0029481626215</v>
      </c>
      <c r="M10761" s="38" t="n">
        <f aca="false">Sens!$M$10669</f>
        <v>28.8430366075002</v>
      </c>
      <c r="N10761" s="38" t="n">
        <f aca="false">Sens!$N$10669</f>
        <v>11.128</v>
      </c>
      <c r="O10761" s="38" t="n">
        <f aca="false">Sens!$O$10669</f>
        <v>11.433</v>
      </c>
    </row>
    <row r="10762" customFormat="false" ht="15" hidden="false" customHeight="false" outlineLevel="0" collapsed="false">
      <c r="A10762" s="0" t="s">
        <v>518</v>
      </c>
      <c r="B10762" s="0" t="s">
        <v>86</v>
      </c>
      <c r="C10762" s="38" t="n">
        <f aca="false">Sens!$C$10671</f>
        <v>156.146</v>
      </c>
      <c r="D10762" s="38" t="n">
        <f aca="false">Sens!$D$10671</f>
        <v>172.162</v>
      </c>
      <c r="E10762" s="38" t="n">
        <f aca="false">Sens!$E$10671</f>
        <v>88.358</v>
      </c>
      <c r="F10762" s="38" t="n">
        <f aca="false">Sens!$F$10671</f>
        <v>102.245779795877</v>
      </c>
      <c r="G10762" s="38" t="n">
        <f aca="false">Sens!$G$10671</f>
        <v>190.603779795877</v>
      </c>
      <c r="H10762" s="38" t="n">
        <f aca="false">Sens!$H$10671</f>
        <v>210.60983493727</v>
      </c>
      <c r="I10762" s="38" t="n">
        <f aca="false">Sens!$I$10671</f>
        <v>230.261344640224</v>
      </c>
      <c r="J10762" s="38" t="n">
        <f aca="false">Sens!$J$10671</f>
        <v>249.063064692541</v>
      </c>
      <c r="K10762" s="38" t="n">
        <f aca="false">Sens!$K$10671</f>
        <v>266.497479221019</v>
      </c>
      <c r="L10762" s="38" t="n">
        <f aca="false">Sens!$L$10671</f>
        <v>285.15230276649</v>
      </c>
      <c r="M10762" s="38" t="n">
        <f aca="false">Sens!$M$10671</f>
        <v>305.112963960145</v>
      </c>
      <c r="N10762" s="38" t="n">
        <f aca="false">Sens!$N$10671</f>
        <v>76.86</v>
      </c>
      <c r="O10762" s="38" t="n">
        <f aca="false">Sens!$O$10671</f>
        <v>95.302</v>
      </c>
    </row>
    <row r="10763" customFormat="false" ht="15" hidden="false" customHeight="false" outlineLevel="0" collapsed="false">
      <c r="A10763" s="0" t="s">
        <v>519</v>
      </c>
      <c r="B10763" s="0" t="s">
        <v>86</v>
      </c>
      <c r="C10763" s="38" t="n">
        <f aca="false">Sens!$C$10673</f>
        <v>56.214</v>
      </c>
      <c r="D10763" s="38" t="n">
        <f aca="false">Sens!$D$10673</f>
        <v>68.635</v>
      </c>
      <c r="E10763" s="38" t="n">
        <f aca="false">Sens!$E$10673</f>
        <v>37.052</v>
      </c>
      <c r="F10763" s="38" t="n">
        <f aca="false">Sens!$F$10673</f>
        <v>46.2664522235369</v>
      </c>
      <c r="G10763" s="38" t="n">
        <f aca="false">Sens!$G$10673</f>
        <v>83.3184522235369</v>
      </c>
      <c r="H10763" s="38" t="n">
        <f aca="false">Sens!$H$10673</f>
        <v>100.028058858826</v>
      </c>
      <c r="I10763" s="38" t="n">
        <f aca="false">Sens!$I$10673</f>
        <v>116.736151823813</v>
      </c>
      <c r="J10763" s="38" t="n">
        <f aca="false">Sens!$J$10673</f>
        <v>132.322416213921</v>
      </c>
      <c r="K10763" s="38" t="n">
        <f aca="false">Sens!$K$10673</f>
        <v>145.554657835313</v>
      </c>
      <c r="L10763" s="38" t="n">
        <f aca="false">Sens!$L$10673</f>
        <v>160.110123618844</v>
      </c>
      <c r="M10763" s="38" t="n">
        <f aca="false">Sens!$M$10673</f>
        <v>176.121135980728</v>
      </c>
      <c r="N10763" s="38" t="n">
        <f aca="false">Sens!$N$10673</f>
        <v>29.615</v>
      </c>
      <c r="O10763" s="38" t="n">
        <f aca="false">Sens!$O$10673</f>
        <v>39.02</v>
      </c>
    </row>
    <row r="10764" customFormat="false" ht="15" hidden="false" customHeight="false" outlineLevel="0" collapsed="false">
      <c r="A10764" s="0" t="s">
        <v>520</v>
      </c>
      <c r="B10764" s="0" t="s">
        <v>86</v>
      </c>
      <c r="C10764" s="38" t="n">
        <f aca="false">Sens!$C$10675</f>
        <v>44.374</v>
      </c>
      <c r="D10764" s="38" t="n">
        <f aca="false">Sens!$D$10675</f>
        <v>49.619</v>
      </c>
      <c r="E10764" s="38" t="n">
        <f aca="false">Sens!$E$10675</f>
        <v>27.157</v>
      </c>
      <c r="F10764" s="38" t="n">
        <f aca="false">Sens!$F$10675</f>
        <v>27.8421489851719</v>
      </c>
      <c r="G10764" s="38" t="n">
        <f aca="false">Sens!$G$10675</f>
        <v>54.9991489851719</v>
      </c>
      <c r="H10764" s="38" t="n">
        <f aca="false">Sens!$H$10675</f>
        <v>61.229589971467</v>
      </c>
      <c r="I10764" s="38" t="n">
        <f aca="false">Sens!$I$10675</f>
        <v>67.2824410074817</v>
      </c>
      <c r="J10764" s="38" t="n">
        <f aca="false">Sens!$J$10675</f>
        <v>72.9629292513489</v>
      </c>
      <c r="K10764" s="38" t="n">
        <f aca="false">Sens!$K$10675</f>
        <v>78.0703342989433</v>
      </c>
      <c r="L10764" s="38" t="n">
        <f aca="false">Sens!$L$10675</f>
        <v>83.5352576998693</v>
      </c>
      <c r="M10764" s="38" t="n">
        <f aca="false">Sens!$M$10675</f>
        <v>89.3827257388602</v>
      </c>
      <c r="N10764" s="38" t="n">
        <f aca="false">Sens!$N$10675</f>
        <v>23.923</v>
      </c>
      <c r="O10764" s="38" t="n">
        <f aca="false">Sens!$O$10675</f>
        <v>25.696</v>
      </c>
    </row>
    <row r="10765" customFormat="false" ht="15" hidden="false" customHeight="false" outlineLevel="0" collapsed="false">
      <c r="A10765" s="0" t="s">
        <v>521</v>
      </c>
      <c r="B10765" s="0" t="s">
        <v>86</v>
      </c>
      <c r="C10765" s="38" t="n">
        <f aca="false">Sens!$C$10677</f>
        <v>5.425</v>
      </c>
      <c r="D10765" s="38" t="n">
        <f aca="false">Sens!$D$10677</f>
        <v>5.935</v>
      </c>
      <c r="E10765" s="38" t="n">
        <f aca="false">Sens!$E$10677</f>
        <v>3.474</v>
      </c>
      <c r="F10765" s="38" t="n">
        <f aca="false">Sens!$F$10677</f>
        <v>3.23009141504673</v>
      </c>
      <c r="G10765" s="38" t="n">
        <f aca="false">Sens!$G$10677</f>
        <v>6.70409141504673</v>
      </c>
      <c r="H10765" s="38" t="n">
        <f aca="false">Sens!$H$10677</f>
        <v>7.17067008169072</v>
      </c>
      <c r="I10765" s="38" t="n">
        <f aca="false">Sens!$I$10677</f>
        <v>7.62288173350109</v>
      </c>
      <c r="J10765" s="38" t="n">
        <f aca="false">Sens!$J$10677</f>
        <v>8.05381875674918</v>
      </c>
      <c r="K10765" s="38" t="n">
        <f aca="false">Sens!$K$10677</f>
        <v>8.45650969458664</v>
      </c>
      <c r="L10765" s="38" t="n">
        <f aca="false">Sens!$L$10677</f>
        <v>8.87933517931597</v>
      </c>
      <c r="M10765" s="38" t="n">
        <f aca="false">Sens!$M$10677</f>
        <v>9.32330193828177</v>
      </c>
      <c r="N10765" s="38" t="n">
        <f aca="false">Sens!$N$10677</f>
        <v>2.811</v>
      </c>
      <c r="O10765" s="38" t="n">
        <f aca="false">Sens!$O$10677</f>
        <v>3.124</v>
      </c>
    </row>
    <row r="10766" customFormat="false" ht="17.15" hidden="false" customHeight="false" outlineLevel="0" collapsed="false">
      <c r="A10766" s="0" t="s">
        <v>711</v>
      </c>
      <c r="B10766" s="0" t="s">
        <v>86</v>
      </c>
      <c r="C10766" s="38" t="n">
        <f aca="false">Sens!$C$10747</f>
        <v>107.556</v>
      </c>
      <c r="D10766" s="38" t="n">
        <f aca="false">Sens!$D$10747</f>
        <v>128.725</v>
      </c>
      <c r="E10766" s="38" t="n">
        <f aca="false">Sens!$E$10747</f>
        <v>79.819</v>
      </c>
      <c r="F10766" s="38" t="n">
        <f aca="false">Sens!$F$10747</f>
        <v>85.9067171025802</v>
      </c>
      <c r="G10766" s="38" t="n">
        <f aca="false">Sens!$G$10747</f>
        <v>165.72571710258</v>
      </c>
      <c r="H10766" s="38" t="n">
        <f aca="false">Sens!$H$10747</f>
        <v>214.439367277066</v>
      </c>
      <c r="I10766" s="38" t="n">
        <f aca="false">Sens!$I$10747</f>
        <v>266.569505776759</v>
      </c>
      <c r="J10766" s="38" t="n">
        <f aca="false">Sens!$J$10747</f>
        <v>318.105675447219</v>
      </c>
      <c r="K10766" s="38" t="n">
        <f aca="false">Sens!$K$10747</f>
        <v>363.226047683737</v>
      </c>
      <c r="L10766" s="38" t="n">
        <f aca="false">Sens!$L$10747</f>
        <v>399.5012130543</v>
      </c>
      <c r="M10766" s="38" t="n">
        <f aca="false">Sens!$M$10747</f>
        <v>427.006534768838</v>
      </c>
      <c r="N10766" s="38" t="n">
        <f aca="false">Sens!$N$10747</f>
        <v>60.14</v>
      </c>
      <c r="O10766" s="38" t="n">
        <f aca="false">Sens!$O$10747</f>
        <v>68.585</v>
      </c>
    </row>
    <row r="10767" customFormat="false" ht="15" hidden="false" customHeight="false" outlineLevel="0" collapsed="false">
      <c r="A10767" s="1" t="s">
        <v>509</v>
      </c>
      <c r="B10767" s="8" t="s">
        <v>86</v>
      </c>
      <c r="C10767" s="38" t="n">
        <f aca="false">Sens!$C$10682</f>
        <v>387.497</v>
      </c>
      <c r="D10767" s="38" t="n">
        <f aca="false">Sens!$D$10682</f>
        <v>426.305</v>
      </c>
      <c r="E10767" s="38" t="n">
        <f aca="false">Sens!$E$10682</f>
        <v>220.32</v>
      </c>
      <c r="F10767" s="38" t="n">
        <f aca="false">Sens!$F$10682</f>
        <v>251.232907960987</v>
      </c>
      <c r="G10767" s="38" t="n">
        <f aca="false">Sens!$G$10682</f>
        <v>471.552907960987</v>
      </c>
      <c r="H10767" s="38" t="n">
        <f aca="false">Sens!$H$10682</f>
        <v>522.043922877831</v>
      </c>
      <c r="I10767" s="38" t="n">
        <f aca="false">Sens!$I$10682</f>
        <v>570.862494383234</v>
      </c>
      <c r="J10767" s="38" t="n">
        <f aca="false">Sens!$J$10682</f>
        <v>616.167321967244</v>
      </c>
      <c r="K10767" s="38" t="n">
        <f aca="false">Sens!$K$10682</f>
        <v>656.034471512881</v>
      </c>
      <c r="L10767" s="38" t="n">
        <f aca="false">Sens!$L$10682</f>
        <v>698.687873124507</v>
      </c>
      <c r="M10767" s="38" t="n">
        <f aca="false">Sens!$M$10682</f>
        <v>744.337151241562</v>
      </c>
      <c r="N10767" s="38" t="n">
        <f aca="false">Sens!$N$10682</f>
        <v>192.955</v>
      </c>
      <c r="O10767" s="38" t="n">
        <f aca="false">Sens!$O$10682</f>
        <v>233.35</v>
      </c>
    </row>
    <row r="10768" customFormat="false" ht="15" hidden="false" customHeight="false" outlineLevel="0" collapsed="false">
      <c r="A10768" s="1" t="s">
        <v>512</v>
      </c>
      <c r="B10768" s="8" t="s">
        <v>86</v>
      </c>
      <c r="C10768" s="38" t="n">
        <f aca="false">Sens!$C$10683</f>
        <v>142.906</v>
      </c>
      <c r="D10768" s="38" t="n">
        <f aca="false">Sens!$D$10683</f>
        <v>161.894</v>
      </c>
      <c r="E10768" s="38" t="n">
        <f aca="false">Sens!$E$10683</f>
        <v>81.986</v>
      </c>
      <c r="F10768" s="38" t="n">
        <f aca="false">Sens!$F$10683</f>
        <v>98.6413500209369</v>
      </c>
      <c r="G10768" s="38" t="n">
        <f aca="false">Sens!$G$10683</f>
        <v>180.627350020937</v>
      </c>
      <c r="H10768" s="38" t="n">
        <f aca="false">Sens!$H$10683</f>
        <v>199.967827134592</v>
      </c>
      <c r="I10768" s="38" t="n">
        <f aca="false">Sens!$I$10683</f>
        <v>218.667678315572</v>
      </c>
      <c r="J10768" s="38" t="n">
        <f aca="false">Sens!$J$10683</f>
        <v>236.021597274613</v>
      </c>
      <c r="K10768" s="38" t="n">
        <f aca="false">Sens!$K$10683</f>
        <v>251.292625093007</v>
      </c>
      <c r="L10768" s="38" t="n">
        <f aca="false">Sens!$L$10683</f>
        <v>267.630920907576</v>
      </c>
      <c r="M10768" s="38" t="n">
        <f aca="false">Sens!$M$10683</f>
        <v>285.116780919142</v>
      </c>
      <c r="N10768" s="38" t="n">
        <f aca="false">Sens!$N$10683</f>
        <v>70.274</v>
      </c>
      <c r="O10768" s="38" t="n">
        <f aca="false">Sens!$O$10683</f>
        <v>91.62</v>
      </c>
    </row>
    <row r="10769" customFormat="false" ht="15" hidden="false" customHeight="false" outlineLevel="0" collapsed="false">
      <c r="A10769" s="1" t="s">
        <v>513</v>
      </c>
      <c r="B10769" s="8" t="s">
        <v>86</v>
      </c>
      <c r="C10769" s="38" t="n">
        <f aca="false">Sens!$C$10747</f>
        <v>107.556</v>
      </c>
      <c r="D10769" s="38" t="n">
        <f aca="false">Sens!$D$10747</f>
        <v>128.725</v>
      </c>
      <c r="E10769" s="38" t="n">
        <f aca="false">Sens!$E$10747</f>
        <v>79.819</v>
      </c>
      <c r="F10769" s="38" t="n">
        <f aca="false">Sens!$F$10747</f>
        <v>85.9067171025802</v>
      </c>
      <c r="G10769" s="38" t="n">
        <f aca="false">Sens!$G$10747</f>
        <v>165.72571710258</v>
      </c>
      <c r="H10769" s="38" t="n">
        <f aca="false">Sens!$H$10747</f>
        <v>214.439367277066</v>
      </c>
      <c r="I10769" s="38" t="n">
        <f aca="false">Sens!$I$10747</f>
        <v>266.569505776759</v>
      </c>
      <c r="J10769" s="38" t="n">
        <f aca="false">Sens!$J$10747</f>
        <v>318.105675447219</v>
      </c>
      <c r="K10769" s="38" t="n">
        <f aca="false">Sens!$K$10747</f>
        <v>363.226047683737</v>
      </c>
      <c r="L10769" s="38" t="n">
        <f aca="false">Sens!$L$10747</f>
        <v>399.5012130543</v>
      </c>
      <c r="M10769" s="38" t="n">
        <f aca="false">Sens!$M$10747</f>
        <v>427.006534768838</v>
      </c>
      <c r="N10769" s="38" t="n">
        <f aca="false">Sens!$N$10747</f>
        <v>60.14</v>
      </c>
      <c r="O10769" s="38" t="n">
        <f aca="false">Sens!$O$10747</f>
        <v>68.585</v>
      </c>
    </row>
    <row r="10770" customFormat="false" ht="17.15" hidden="false" customHeight="false" outlineLevel="0" collapsed="false">
      <c r="A10770" s="0" t="s">
        <v>685</v>
      </c>
      <c r="B10770" s="0" t="s">
        <v>86</v>
      </c>
      <c r="C10770" s="38" t="n">
        <f aca="false">Sens!$C$10745</f>
        <v>2.32100535697364</v>
      </c>
      <c r="D10770" s="38" t="n">
        <f aca="false">Sens!$D$10745</f>
        <v>8.70377008865116</v>
      </c>
      <c r="E10770" s="38" t="n">
        <f aca="false">Sens!$E$10745</f>
        <v>8.51035297557002</v>
      </c>
      <c r="F10770" s="38" t="n">
        <f aca="false">Sens!$F$10745</f>
        <v>14.1374173083338</v>
      </c>
      <c r="G10770" s="38" t="n">
        <f aca="false">Sens!$G$10745</f>
        <v>22.6477702839038</v>
      </c>
      <c r="H10770" s="38" t="n">
        <f aca="false">Sens!$H$10745</f>
        <v>53.4222901978634</v>
      </c>
      <c r="I10770" s="38" t="n">
        <f aca="false">Sens!$I$10745</f>
        <v>87.7997462553011</v>
      </c>
      <c r="J10770" s="38" t="n">
        <f aca="false">Sens!$J$10745</f>
        <v>122.330137401312</v>
      </c>
      <c r="K10770" s="38" t="n">
        <f aca="false">Sens!$K$10745</f>
        <v>151.788466594157</v>
      </c>
      <c r="L10770" s="38" t="n">
        <f aca="false">Sens!$L$10745</f>
        <v>171.148625477554</v>
      </c>
      <c r="M10770" s="38" t="n">
        <f aca="false">Sens!$M$10745</f>
        <v>180.385740185952</v>
      </c>
      <c r="N10770" s="38" t="n">
        <f aca="false">Sens!$N$10745</f>
        <v>3.04631953102791</v>
      </c>
      <c r="O10770" s="38" t="n">
        <f aca="false">Sens!$O$10745</f>
        <v>5.65745055762326</v>
      </c>
    </row>
    <row r="10771" customFormat="false" ht="17.15" hidden="false" customHeight="false" outlineLevel="0" collapsed="false">
      <c r="A10771" s="0" t="s">
        <v>687</v>
      </c>
      <c r="B10771" s="0" t="s">
        <v>86</v>
      </c>
      <c r="C10771" s="38" t="n">
        <f aca="false">Sens!$C$10746</f>
        <v>105.234994643026</v>
      </c>
      <c r="D10771" s="38" t="n">
        <f aca="false">Sens!$D$10746</f>
        <v>120.021229911349</v>
      </c>
      <c r="E10771" s="38" t="n">
        <f aca="false">Sens!$E$10746</f>
        <v>71.30864702443</v>
      </c>
      <c r="F10771" s="38" t="n">
        <f aca="false">Sens!$F$10746</f>
        <v>71.7692997942464</v>
      </c>
      <c r="G10771" s="38" t="n">
        <f aca="false">Sens!$G$10746</f>
        <v>143.077946818676</v>
      </c>
      <c r="H10771" s="38" t="n">
        <f aca="false">Sens!$H$10746</f>
        <v>161.017077079203</v>
      </c>
      <c r="I10771" s="38" t="n">
        <f aca="false">Sens!$I$10746</f>
        <v>178.769759521457</v>
      </c>
      <c r="J10771" s="38" t="n">
        <f aca="false">Sens!$J$10746</f>
        <v>195.775538045907</v>
      </c>
      <c r="K10771" s="38" t="n">
        <f aca="false">Sens!$K$10746</f>
        <v>211.43758108958</v>
      </c>
      <c r="L10771" s="38" t="n">
        <f aca="false">Sens!$L$10746</f>
        <v>228.352587576746</v>
      </c>
      <c r="M10771" s="38" t="n">
        <f aca="false">Sens!$M$10746</f>
        <v>246.620794582886</v>
      </c>
      <c r="N10771" s="38" t="n">
        <f aca="false">Sens!$N$10746</f>
        <v>57.0936804689721</v>
      </c>
      <c r="O10771" s="38" t="n">
        <f aca="false">Sens!$O$10746</f>
        <v>62.9275494423768</v>
      </c>
    </row>
    <row r="10772" customFormat="false" ht="15" hidden="false" customHeight="false" outlineLevel="0" collapsed="false">
      <c r="A10772" s="3" t="s">
        <v>514</v>
      </c>
      <c r="B10772" s="8" t="s">
        <v>86</v>
      </c>
      <c r="C10772" s="38" t="n">
        <f aca="false">Sens!$C$10748</f>
        <v>637.959</v>
      </c>
      <c r="D10772" s="38" t="n">
        <f aca="false">Sens!$D$10748</f>
        <v>716.924</v>
      </c>
      <c r="E10772" s="38" t="n">
        <f aca="false">Sens!$E$10748</f>
        <v>382.125</v>
      </c>
      <c r="F10772" s="38" t="n">
        <f aca="false">Sens!$F$10748</f>
        <v>435.780975084504</v>
      </c>
      <c r="G10772" s="38" t="n">
        <f aca="false">Sens!$G$10748</f>
        <v>817.905975084504</v>
      </c>
      <c r="H10772" s="38" t="n">
        <f aca="false">Sens!$H$10748</f>
        <v>936.451117289489</v>
      </c>
      <c r="I10772" s="38" t="n">
        <f aca="false">Sens!$I$10748</f>
        <v>1056.09967847556</v>
      </c>
      <c r="J10772" s="38" t="n">
        <f aca="false">Sens!$J$10748</f>
        <v>1170.29459468908</v>
      </c>
      <c r="K10772" s="38" t="n">
        <f aca="false">Sens!$K$10748</f>
        <v>1270.55314428963</v>
      </c>
      <c r="L10772" s="38" t="n">
        <f aca="false">Sens!$L$10748</f>
        <v>1365.82000708638</v>
      </c>
      <c r="M10772" s="38" t="n">
        <f aca="false">Sens!$M$10748</f>
        <v>1456.46046692954</v>
      </c>
      <c r="N10772" s="38" t="n">
        <f aca="false">Sens!$N$10748</f>
        <v>323.369</v>
      </c>
      <c r="O10772" s="38" t="n">
        <f aca="false">Sens!$O$10748</f>
        <v>393.555</v>
      </c>
    </row>
    <row r="10773" customFormat="false" ht="17.15" hidden="false" customHeight="false" outlineLevel="0" collapsed="false">
      <c r="A10773" s="24" t="s">
        <v>701</v>
      </c>
      <c r="B10773" s="25" t="s">
        <v>86</v>
      </c>
      <c r="C10773" s="41" t="n">
        <f aca="false">Sens!$C$10760+Sens!$C$10761+Sens!$C$10762+Sens!$C$10763+Sens!$C$10764+Sens!$C$10765-(Sens!$C$10767+Sens!$C$10768)</f>
        <v>0</v>
      </c>
      <c r="D10773" s="41" t="n">
        <f aca="false">Sens!$D$10760+Sens!$D$10761+Sens!$D$10762+Sens!$D$10763+Sens!$D$10764+Sens!$D$10765-(Sens!$D$10767+Sens!$D$10768)</f>
        <v>0</v>
      </c>
      <c r="E10773" s="41" t="n">
        <f aca="false">Sens!$E$10760+Sens!$E$10761+Sens!$E$10762+Sens!$E$10763+Sens!$E$10764+Sens!$E$10765-(Sens!$E$10767+Sens!$E$10768)</f>
        <v>0</v>
      </c>
      <c r="F10773" s="41" t="n">
        <f aca="false">Sens!$F$10760+Sens!$F$10761+Sens!$F$10762+Sens!$F$10763+Sens!$F$10764+Sens!$F$10765-(Sens!$F$10767+Sens!$F$10768)</f>
        <v>0</v>
      </c>
      <c r="G10773" s="41" t="n">
        <f aca="false">Sens!$G$10760+Sens!$G$10761+Sens!$G$10762+Sens!$G$10763+Sens!$G$10764+Sens!$G$10765-(Sens!$G$10767+Sens!$G$10768)</f>
        <v>0</v>
      </c>
      <c r="H10773" s="41" t="n">
        <f aca="false">Sens!$H$10760+Sens!$H$10761+Sens!$H$10762+Sens!$H$10763+Sens!$H$10764+Sens!$H$10765-(Sens!$H$10767+Sens!$H$10768)</f>
        <v>0</v>
      </c>
      <c r="I10773" s="41" t="n">
        <f aca="false">Sens!$I$10760+Sens!$I$10761+Sens!$I$10762+Sens!$I$10763+Sens!$I$10764+Sens!$I$10765-(Sens!$I$10767+Sens!$I$10768)</f>
        <v>0</v>
      </c>
      <c r="J10773" s="41" t="n">
        <f aca="false">Sens!$J$10760+Sens!$J$10761+Sens!$J$10762+Sens!$J$10763+Sens!$J$10764+Sens!$J$10765-(Sens!$J$10767+Sens!$J$10768)</f>
        <v>0</v>
      </c>
      <c r="K10773" s="41" t="n">
        <f aca="false">Sens!$K$10760+Sens!$K$10761+Sens!$K$10762+Sens!$K$10763+Sens!$K$10764+Sens!$K$10765-(Sens!$K$10767+Sens!$K$10768)</f>
        <v>0</v>
      </c>
      <c r="L10773" s="41" t="n">
        <f aca="false">Sens!$L$10760+Sens!$L$10761+Sens!$L$10762+Sens!$L$10763+Sens!$L$10764+Sens!$L$10765-(Sens!$L$10767+Sens!$L$10768)</f>
        <v>0</v>
      </c>
      <c r="M10773" s="41" t="n">
        <f aca="false">Sens!$M$10760+Sens!$M$10761+Sens!$M$10762+Sens!$M$10763+Sens!$M$10764+Sens!$M$10765-(Sens!$M$10767+Sens!$M$10768)</f>
        <v>0</v>
      </c>
      <c r="N10773" s="41" t="n">
        <f aca="false">Sens!$N$10760+Sens!$N$10761+Sens!$N$10762+Sens!$N$10763+Sens!$N$10764+Sens!$N$10765-(Sens!$N$10767+Sens!$N$10768)</f>
        <v>0</v>
      </c>
      <c r="O10773" s="41" t="n">
        <f aca="false">Sens!$O$10760+Sens!$O$10761+Sens!$O$10762+Sens!$O$10763+Sens!$O$10764+Sens!$O$10765-(Sens!$O$10767+Sens!$O$10768)</f>
        <v>0</v>
      </c>
    </row>
    <row r="10774" customFormat="false" ht="17.15" hidden="false" customHeight="false" outlineLevel="0" collapsed="false">
      <c r="A10774" s="24" t="s">
        <v>702</v>
      </c>
      <c r="B10774" s="25" t="s">
        <v>86</v>
      </c>
      <c r="C10774" s="41" t="n">
        <f aca="false">Sens!$C$10770+Sens!$C$10771-Sens!$C$10769</f>
        <v>0</v>
      </c>
      <c r="D10774" s="41" t="n">
        <f aca="false">Sens!$D$10770+Sens!$D$10771-Sens!$D$10769</f>
        <v>0</v>
      </c>
      <c r="E10774" s="41" t="n">
        <f aca="false">Sens!$E$10770+Sens!$E$10771-Sens!$E$10769</f>
        <v>0</v>
      </c>
      <c r="F10774" s="41" t="n">
        <f aca="false">Sens!$F$10770+Sens!$F$10771-Sens!$F$10769</f>
        <v>0</v>
      </c>
      <c r="G10774" s="41" t="n">
        <f aca="false">Sens!$G$10770+Sens!$G$10771-Sens!$G$10769</f>
        <v>0</v>
      </c>
      <c r="H10774" s="41" t="n">
        <f aca="false">Sens!$H$10770+Sens!$H$10771-Sens!$H$10769</f>
        <v>0</v>
      </c>
      <c r="I10774" s="41" t="n">
        <f aca="false">Sens!$I$10770+Sens!$I$10771-Sens!$I$10769</f>
        <v>0</v>
      </c>
      <c r="J10774" s="41" t="n">
        <f aca="false">Sens!$J$10770+Sens!$J$10771-Sens!$J$10769</f>
        <v>0</v>
      </c>
      <c r="K10774" s="41" t="n">
        <f aca="false">Sens!$K$10770+Sens!$K$10771-Sens!$K$10769</f>
        <v>0</v>
      </c>
      <c r="L10774" s="41" t="n">
        <f aca="false">Sens!$L$10770+Sens!$L$10771-Sens!$L$10769</f>
        <v>0</v>
      </c>
      <c r="M10774" s="41" t="n">
        <f aca="false">Sens!$M$10770+Sens!$M$10771-Sens!$M$10769</f>
        <v>0</v>
      </c>
      <c r="N10774" s="41" t="n">
        <f aca="false">Sens!$N$10770+Sens!$N$10771-Sens!$N$10769</f>
        <v>0</v>
      </c>
      <c r="O10774" s="41" t="n">
        <f aca="false">Sens!$O$10770+Sens!$O$10771-Sens!$O$10769</f>
        <v>0</v>
      </c>
    </row>
    <row r="10775" customFormat="false" ht="17.15" hidden="false" customHeight="false" outlineLevel="0" collapsed="false">
      <c r="A10775" s="24" t="s">
        <v>760</v>
      </c>
      <c r="B10775" s="25" t="s">
        <v>86</v>
      </c>
      <c r="C10775" s="41" t="n">
        <f aca="false">Sens!$C$10760+Sens!$C$10761+Sens!$C$10762+Sens!$C$10763+Sens!$C$10764+Sens!$C$10765+Sens!$C$10766-Sens!$C$10772</f>
        <v>0</v>
      </c>
      <c r="D10775" s="41" t="n">
        <f aca="false">Sens!$D$10760+Sens!$D$10761+Sens!$D$10762+Sens!$D$10763+Sens!$D$10764+Sens!$D$10765+Sens!$D$10766-Sens!$D$10772</f>
        <v>0</v>
      </c>
      <c r="E10775" s="41" t="n">
        <f aca="false">Sens!$E$10760+Sens!$E$10761+Sens!$E$10762+Sens!$E$10763+Sens!$E$10764+Sens!$E$10765+Sens!$E$10766-Sens!$E$10772</f>
        <v>0</v>
      </c>
      <c r="F10775" s="41" t="n">
        <f aca="false">Sens!$F$10760+Sens!$F$10761+Sens!$F$10762+Sens!$F$10763+Sens!$F$10764+Sens!$F$10765+Sens!$F$10766-Sens!$F$10772</f>
        <v>0</v>
      </c>
      <c r="G10775" s="41" t="n">
        <f aca="false">Sens!$G$10760+Sens!$G$10761+Sens!$G$10762+Sens!$G$10763+Sens!$G$10764+Sens!$G$10765+Sens!$G$10766-Sens!$G$10772</f>
        <v>0</v>
      </c>
      <c r="H10775" s="41" t="n">
        <f aca="false">Sens!$H$10760+Sens!$H$10761+Sens!$H$10762+Sens!$H$10763+Sens!$H$10764+Sens!$H$10765+Sens!$H$10766-Sens!$H$10772</f>
        <v>0</v>
      </c>
      <c r="I10775" s="41" t="n">
        <f aca="false">Sens!$I$10760+Sens!$I$10761+Sens!$I$10762+Sens!$I$10763+Sens!$I$10764+Sens!$I$10765+Sens!$I$10766-Sens!$I$10772</f>
        <v>0</v>
      </c>
      <c r="J10775" s="41" t="n">
        <f aca="false">Sens!$J$10760+Sens!$J$10761+Sens!$J$10762+Sens!$J$10763+Sens!$J$10764+Sens!$J$10765+Sens!$J$10766-Sens!$J$10772</f>
        <v>0</v>
      </c>
      <c r="K10775" s="41" t="n">
        <f aca="false">Sens!$K$10760+Sens!$K$10761+Sens!$K$10762+Sens!$K$10763+Sens!$K$10764+Sens!$K$10765+Sens!$K$10766-Sens!$K$10772</f>
        <v>0</v>
      </c>
      <c r="L10775" s="41" t="n">
        <f aca="false">Sens!$L$10760+Sens!$L$10761+Sens!$L$10762+Sens!$L$10763+Sens!$L$10764+Sens!$L$10765+Sens!$L$10766-Sens!$L$10772</f>
        <v>0</v>
      </c>
      <c r="M10775" s="41" t="n">
        <f aca="false">Sens!$M$10760+Sens!$M$10761+Sens!$M$10762+Sens!$M$10763+Sens!$M$10764+Sens!$M$10765+Sens!$M$10766-Sens!$M$10772</f>
        <v>0</v>
      </c>
      <c r="N10775" s="41" t="n">
        <f aca="false">Sens!$N$10760+Sens!$N$10761+Sens!$N$10762+Sens!$N$10763+Sens!$N$10764+Sens!$N$10765+Sens!$N$10766-Sens!$N$10772</f>
        <v>0</v>
      </c>
      <c r="O10775" s="41" t="n">
        <f aca="false">Sens!$O$10760+Sens!$O$10761+Sens!$O$10762+Sens!$O$10763+Sens!$O$10764+Sens!$O$10765+Sens!$O$10766-Sens!$O$10772</f>
        <v>0</v>
      </c>
    </row>
    <row r="10776" customFormat="false" ht="17.15" hidden="false" customHeight="false" outlineLevel="0" collapsed="false">
      <c r="A10776" s="24" t="s">
        <v>703</v>
      </c>
      <c r="B10776" s="25" t="s">
        <v>86</v>
      </c>
      <c r="C10776" s="41" t="n">
        <f aca="false">Sens!$C$10767+Sens!$C$10768+Sens!$C$10769-Sens!$C$10772</f>
        <v>0</v>
      </c>
      <c r="D10776" s="41" t="n">
        <f aca="false">Sens!$D$10767+Sens!$D$10768+Sens!$D$10769-Sens!$D$10772</f>
        <v>0</v>
      </c>
      <c r="E10776" s="41" t="n">
        <f aca="false">Sens!$E$10767+Sens!$E$10768+Sens!$E$10769-Sens!$E$10772</f>
        <v>0</v>
      </c>
      <c r="F10776" s="41" t="n">
        <f aca="false">Sens!$F$10767+Sens!$F$10768+Sens!$F$10769-Sens!$F$10772</f>
        <v>0</v>
      </c>
      <c r="G10776" s="41" t="n">
        <f aca="false">Sens!$G$10767+Sens!$G$10768+Sens!$G$10769-Sens!$G$10772</f>
        <v>0</v>
      </c>
      <c r="H10776" s="41" t="n">
        <f aca="false">Sens!$H$10767+Sens!$H$10768+Sens!$H$10769-Sens!$H$10772</f>
        <v>0</v>
      </c>
      <c r="I10776" s="41" t="n">
        <f aca="false">Sens!$I$10767+Sens!$I$10768+Sens!$I$10769-Sens!$I$10772</f>
        <v>0</v>
      </c>
      <c r="J10776" s="41" t="n">
        <f aca="false">Sens!$J$10767+Sens!$J$10768+Sens!$J$10769-Sens!$J$10772</f>
        <v>0</v>
      </c>
      <c r="K10776" s="41" t="n">
        <f aca="false">Sens!$K$10767+Sens!$K$10768+Sens!$K$10769-Sens!$K$10772</f>
        <v>0</v>
      </c>
      <c r="L10776" s="41" t="n">
        <f aca="false">Sens!$L$10767+Sens!$L$10768+Sens!$L$10769-Sens!$L$10772</f>
        <v>0</v>
      </c>
      <c r="M10776" s="41" t="n">
        <f aca="false">Sens!$M$10767+Sens!$M$10768+Sens!$M$10769-Sens!$M$10772</f>
        <v>0</v>
      </c>
      <c r="N10776" s="41" t="n">
        <f aca="false">Sens!$N$10767+Sens!$N$10768+Sens!$N$10769-Sens!$N$10772</f>
        <v>0</v>
      </c>
      <c r="O10776" s="41" t="n">
        <f aca="false">Sens!$O$10767+Sens!$O$10768+Sens!$O$10769-Sens!$O$10772</f>
        <v>0</v>
      </c>
    </row>
    <row r="10777" customFormat="false" ht="17.15" hidden="false" customHeight="false" outlineLevel="0" collapsed="false">
      <c r="A10777" s="1" t="s">
        <v>713</v>
      </c>
    </row>
    <row r="10778" customFormat="false" ht="17.15" hidden="false" customHeight="false" outlineLevel="0" collapsed="false">
      <c r="A10778" s="0" t="s">
        <v>714</v>
      </c>
      <c r="B10778" s="0" t="s">
        <v>86</v>
      </c>
      <c r="C10778" s="38" t="n">
        <f aca="false">Sens!$C$10684*m_ad</f>
        <v>20.5341564414228</v>
      </c>
      <c r="D10778" s="38" t="n">
        <f aca="false">Sens!$D$10684*m_ad</f>
        <v>24.8720617299587</v>
      </c>
      <c r="E10778" s="38" t="n">
        <f aca="false">Sens!$E$10684*m_ad</f>
        <v>13.5017112462207</v>
      </c>
      <c r="F10778" s="38" t="n">
        <f aca="false">Sens!$F$10684*m_ad</f>
        <v>16.6111896888364</v>
      </c>
      <c r="G10778" s="38" t="n">
        <f aca="false">Sens!$G$10684*m_ad</f>
        <v>30.1213184176961</v>
      </c>
      <c r="H10778" s="38" t="n">
        <f aca="false">Sens!$H$10684*m_ad</f>
        <v>36.1621817398522</v>
      </c>
      <c r="I10778" s="38" t="n">
        <f aca="false">Sens!$I$10684*m_ad</f>
        <v>42.2024978393475</v>
      </c>
      <c r="J10778" s="38" t="n">
        <f aca="false">Sens!$J$10684*m_ad</f>
        <v>47.8372500473847</v>
      </c>
      <c r="K10778" s="38" t="n">
        <f aca="false">Sens!$K$10684*m_ad</f>
        <v>52.6209750521231</v>
      </c>
      <c r="L10778" s="38" t="n">
        <f aca="false">Sens!$L$10684*m_ad</f>
        <v>57.8830725573355</v>
      </c>
      <c r="M10778" s="38" t="n">
        <f aca="false">Sens!$M$10684*m_ad</f>
        <v>63.671379813069</v>
      </c>
      <c r="N10778" s="38" t="n">
        <f aca="false">Sens!$N$10684*m_ad</f>
        <v>10.8543555706248</v>
      </c>
      <c r="O10778" s="38" t="n">
        <f aca="false">Sens!$O$10684*m_ad</f>
        <v>14.0094731821399</v>
      </c>
    </row>
    <row r="10779" customFormat="false" ht="17.15" hidden="false" customHeight="false" outlineLevel="0" collapsed="false">
      <c r="A10779" s="0" t="s">
        <v>715</v>
      </c>
      <c r="B10779" s="0" t="s">
        <v>86</v>
      </c>
      <c r="C10779" s="38" t="n">
        <f aca="false">Sens!$C$10682-Sens!$C$10684</f>
        <v>346.428687117154</v>
      </c>
      <c r="D10779" s="38" t="n">
        <f aca="false">Sens!$D$10682-Sens!$D$10684</f>
        <v>376.560876540083</v>
      </c>
      <c r="E10779" s="38" t="n">
        <f aca="false">Sens!$E$10682-Sens!$E$10684</f>
        <v>193.316577507559</v>
      </c>
      <c r="F10779" s="38" t="n">
        <f aca="false">Sens!$F$10682-Sens!$F$10684</f>
        <v>218.010528583314</v>
      </c>
      <c r="G10779" s="38" t="n">
        <f aca="false">Sens!$G$10682-Sens!$G$10684</f>
        <v>411.310271125595</v>
      </c>
      <c r="H10779" s="38" t="n">
        <f aca="false">Sens!$H$10682-Sens!$H$10684</f>
        <v>449.719559398126</v>
      </c>
      <c r="I10779" s="38" t="n">
        <f aca="false">Sens!$I$10682-Sens!$I$10684</f>
        <v>486.457498704539</v>
      </c>
      <c r="J10779" s="38" t="n">
        <f aca="false">Sens!$J$10682-Sens!$J$10684</f>
        <v>520.492821872474</v>
      </c>
      <c r="K10779" s="38" t="n">
        <f aca="false">Sens!$K$10682-Sens!$K$10684</f>
        <v>550.792521408635</v>
      </c>
      <c r="L10779" s="38" t="n">
        <f aca="false">Sens!$L$10682-Sens!$L$10684</f>
        <v>582.921728009836</v>
      </c>
      <c r="M10779" s="38" t="n">
        <f aca="false">Sens!$M$10682-Sens!$M$10684</f>
        <v>616.994391615424</v>
      </c>
      <c r="N10779" s="38" t="n">
        <f aca="false">Sens!$N$10682-Sens!$N$10684</f>
        <v>171.24628885875</v>
      </c>
      <c r="O10779" s="38" t="n">
        <f aca="false">Sens!$O$10682-Sens!$O$10684</f>
        <v>205.33105363572</v>
      </c>
    </row>
    <row r="10780" customFormat="false" ht="17.15" hidden="false" customHeight="false" outlineLevel="0" collapsed="false">
      <c r="A10780" s="0" t="s">
        <v>716</v>
      </c>
      <c r="B10780" s="0" t="s">
        <v>86</v>
      </c>
      <c r="C10780" s="38" t="n">
        <f aca="false">Sens!$C$10731*Sens!$C$10681</f>
        <v>0.123617442257179</v>
      </c>
      <c r="D10780" s="38" t="n">
        <f aca="false">Sens!$D$10731*Sens!$D$10681</f>
        <v>0.874366899302609</v>
      </c>
      <c r="E10780" s="38" t="n">
        <f aca="false">Sens!$E$10731*Sens!$E$10681</f>
        <v>1.29318830502574</v>
      </c>
      <c r="F10780" s="38" t="n">
        <f aca="false">Sens!$F$10731*Sens!$F$10681</f>
        <v>1.51802024162534</v>
      </c>
      <c r="G10780" s="38" t="n">
        <f aca="false">Sens!$G$10731*Sens!$G$10681</f>
        <v>2.81150910610145</v>
      </c>
      <c r="H10780" s="38" t="n">
        <f aca="false">Sens!$H$10731*Sens!$H$10681</f>
        <v>7.39021256446164</v>
      </c>
      <c r="I10780" s="38" t="n">
        <f aca="false">Sens!$I$10731*Sens!$I$10681</f>
        <v>12.8996950956929</v>
      </c>
      <c r="J10780" s="38" t="n">
        <f aca="false">Sens!$J$10731*Sens!$J$10681</f>
        <v>18.558370328933</v>
      </c>
      <c r="K10780" s="38" t="n">
        <f aca="false">Sens!$K$10731*Sens!$K$10681</f>
        <v>24.0964647150556</v>
      </c>
      <c r="L10780" s="38" t="n">
        <f aca="false">Sens!$L$10731*Sens!$L$10681</f>
        <v>27.686381993129</v>
      </c>
      <c r="M10780" s="38" t="n">
        <f aca="false">Sens!$M$10731*Sens!$M$10681</f>
        <v>29.7236052209741</v>
      </c>
      <c r="N10780" s="38" t="n">
        <f aca="false">Sens!$N$10731*Sens!$N$10681</f>
        <v>0.389180508437431</v>
      </c>
      <c r="O10780" s="38" t="n">
        <f aca="false">Sens!$O$10731*Sens!$O$10681</f>
        <v>0.485052120082802</v>
      </c>
    </row>
    <row r="10781" customFormat="false" ht="17.15" hidden="false" customHeight="false" outlineLevel="0" collapsed="false">
      <c r="A10781" s="0" t="s">
        <v>717</v>
      </c>
      <c r="B10781" s="0" t="s">
        <v>52</v>
      </c>
      <c r="C10781" s="28" t="n">
        <f aca="false">(Sens!$C$10782-Sens!$C$10778+Sens!$C$10780)/Sens!$C$10779</f>
        <v>0.0131526665379575</v>
      </c>
      <c r="D10781" s="28" t="n">
        <f aca="false">(Sens!$D$10782-Sens!$D$10778+Sens!$D$10780)/Sens!$D$10779</f>
        <v>0.0149280116962589</v>
      </c>
      <c r="E10781" s="28" t="n">
        <f aca="false">(Sens!$E$10782-Sens!$E$10778+Sens!$E$10780)/Sens!$E$10779</f>
        <v>0.0268030663774938</v>
      </c>
      <c r="F10781" s="28" t="n">
        <f aca="false">Sens!$O$10781+(Sens!$E$10781-Sens!$N$10781)</f>
        <v>0.0232379346966962</v>
      </c>
      <c r="G10781" s="28" t="n">
        <f aca="false">(Sens!$G$10782-Sens!$G$10778+Sens!$G$10780)/Sens!$G$10779</f>
        <v>0.0248947699117902</v>
      </c>
      <c r="H10781" s="28" t="n">
        <f aca="false">Sens!$G$10781+step_na</f>
        <v>0.0278947699117902</v>
      </c>
      <c r="I10781" s="28" t="n">
        <f aca="false">Sens!$H$10781+step_na</f>
        <v>0.0308947699117902</v>
      </c>
      <c r="J10781" s="28" t="n">
        <f aca="false">Sens!$I$10781+step_na</f>
        <v>0.0338947699117902</v>
      </c>
      <c r="K10781" s="28" t="n">
        <f aca="false">Sens!$J$10781+step_na</f>
        <v>0.0368947699117902</v>
      </c>
      <c r="L10781" s="28" t="n">
        <f aca="false">Sens!$K$10781</f>
        <v>0.0368947699117902</v>
      </c>
      <c r="M10781" s="28" t="n">
        <f aca="false">Sens!$L$10781</f>
        <v>0.0368947699117902</v>
      </c>
      <c r="N10781" s="28" t="n">
        <f aca="false">(Sens!$N$10782-Sens!$N$10778+Sens!$N$10780)/Sens!$N$10779</f>
        <v>0.0168927744775755</v>
      </c>
      <c r="O10781" s="28" t="n">
        <f aca="false">(Sens!$O$10782-Sens!$O$10778+Sens!$O$10780)/Sens!$O$10779</f>
        <v>0.0133276427967779</v>
      </c>
      <c r="P10781" s="8" t="s">
        <v>718</v>
      </c>
    </row>
    <row r="10782" customFormat="false" ht="17.15" hidden="false" customHeight="false" outlineLevel="0" collapsed="false">
      <c r="A10782" s="1" t="s">
        <v>719</v>
      </c>
      <c r="B10782" s="8" t="s">
        <v>86</v>
      </c>
      <c r="C10782" s="38" t="n">
        <f aca="false">Q!$D$22</f>
        <v>24.967</v>
      </c>
      <c r="D10782" s="38" t="n">
        <f aca="false">Q!$E$22</f>
        <v>29.619</v>
      </c>
      <c r="E10782" s="38" t="n">
        <f aca="false">Q!$P$22</f>
        <v>17.39</v>
      </c>
      <c r="F10782" s="38" t="n">
        <f aca="false">Sens!$F$10778+Sens!$F$10779*Sens!$F$10781-Sens!$F$10780</f>
        <v>20.1592838736223</v>
      </c>
      <c r="G10782" s="38" t="n">
        <f aca="false">Sens!$E$10782+Sens!$F$10782</f>
        <v>37.5492838736223</v>
      </c>
      <c r="H10782" s="38" t="n">
        <f aca="false">Sens!$H$10778+Sens!$H$10779*Sens!$H$10781-Sens!$H$10780</f>
        <v>41.3167928096329</v>
      </c>
      <c r="I10782" s="38" t="n">
        <f aca="false">Sens!$I$10778+Sens!$I$10779*Sens!$I$10781-Sens!$I$10780</f>
        <v>44.3317952379963</v>
      </c>
      <c r="J10782" s="38" t="n">
        <f aca="false">Sens!$J$10778+Sens!$J$10779*Sens!$J$10781-Sens!$J$10780</f>
        <v>46.9208641565576</v>
      </c>
      <c r="K10782" s="38" t="n">
        <f aca="false">Sens!$K$10778+Sens!$K$10779*Sens!$K$10781-Sens!$K$10780</f>
        <v>48.8458736835738</v>
      </c>
      <c r="L10782" s="38" t="n">
        <f aca="false">Sens!$L$10778+Sens!$L$10779*Sens!$L$10781-Sens!$L$10780</f>
        <v>51.7034535957125</v>
      </c>
      <c r="M10782" s="38" t="n">
        <f aca="false">Sens!$M$10778+Sens!$M$10779*Sens!$M$10781-Sens!$M$10780</f>
        <v>56.711640707611</v>
      </c>
      <c r="N10782" s="38" t="n">
        <f aca="false">Q!$N$22</f>
        <v>13.358</v>
      </c>
      <c r="O10782" s="38" t="n">
        <f aca="false">Q!$O$22</f>
        <v>16.261</v>
      </c>
    </row>
    <row r="10783" customFormat="false" ht="17.15" hidden="false" customHeight="false" outlineLevel="0" collapsed="false">
      <c r="A10783" s="0" t="s">
        <v>720</v>
      </c>
      <c r="B10783" s="0" t="s">
        <v>86</v>
      </c>
      <c r="C10783" s="38" t="n">
        <f aca="false">Sens!$C$10685*m_ad</f>
        <v>7.57284355857716</v>
      </c>
      <c r="D10783" s="38" t="n">
        <f aca="false">Sens!$D$10685*m_ad</f>
        <v>9.44543827004127</v>
      </c>
      <c r="E10783" s="38" t="n">
        <f aca="false">Sens!$E$10685*m_ad</f>
        <v>5.02428875377928</v>
      </c>
      <c r="F10783" s="38" t="n">
        <f aca="false">Sens!$F$10685*m_ad</f>
        <v>6.52203642293204</v>
      </c>
      <c r="G10783" s="38" t="n">
        <f aca="false">Sens!$G$10685*m_ad</f>
        <v>11.5379076940724</v>
      </c>
      <c r="H10783" s="38" t="n">
        <f aca="false">Sens!$H$10685*m_ad</f>
        <v>13.8518476895607</v>
      </c>
      <c r="I10783" s="38" t="n">
        <f aca="false">Sens!$I$10685*m_ad</f>
        <v>16.1655780725592</v>
      </c>
      <c r="J10783" s="38" t="n">
        <f aca="false">Sens!$J$10685*m_ad</f>
        <v>18.3239580595756</v>
      </c>
      <c r="K10783" s="38" t="n">
        <f aca="false">Sens!$K$10685*m_ad</f>
        <v>20.1563538655332</v>
      </c>
      <c r="L10783" s="38" t="n">
        <f aca="false">Sens!$L$10685*m_ad</f>
        <v>22.1719892520865</v>
      </c>
      <c r="M10783" s="38" t="n">
        <f aca="false">Sens!$M$10685*m_ad</f>
        <v>24.3891881772951</v>
      </c>
      <c r="N10783" s="38" t="n">
        <f aca="false">Sens!$N$10685*m_ad</f>
        <v>3.95314442937518</v>
      </c>
      <c r="O10783" s="38" t="n">
        <f aca="false">Sens!$O$10685*m_ad</f>
        <v>5.50052681786011</v>
      </c>
    </row>
    <row r="10784" customFormat="false" ht="17.15" hidden="false" customHeight="false" outlineLevel="0" collapsed="false">
      <c r="A10784" s="0" t="s">
        <v>721</v>
      </c>
      <c r="B10784" s="0" t="s">
        <v>86</v>
      </c>
      <c r="C10784" s="38" t="n">
        <f aca="false">Sens!$C$10683-Sens!$C$10685</f>
        <v>127.760312882846</v>
      </c>
      <c r="D10784" s="38" t="n">
        <f aca="false">Sens!$D$10683-Sens!$D$10685</f>
        <v>143.003123459917</v>
      </c>
      <c r="E10784" s="38" t="n">
        <f aca="false">Sens!$E$10683-Sens!$E$10685</f>
        <v>71.9374224924414</v>
      </c>
      <c r="F10784" s="38" t="n">
        <f aca="false">Sens!$F$10683-Sens!$F$10685</f>
        <v>85.5972771750728</v>
      </c>
      <c r="G10784" s="38" t="n">
        <f aca="false">Sens!$G$10683-Sens!$G$10685</f>
        <v>157.551534632792</v>
      </c>
      <c r="H10784" s="38" t="n">
        <f aca="false">Sens!$H$10683-Sens!$H$10685</f>
        <v>172.264131755471</v>
      </c>
      <c r="I10784" s="38" t="n">
        <f aca="false">Sens!$I$10683-Sens!$I$10685</f>
        <v>186.336522170453</v>
      </c>
      <c r="J10784" s="38" t="n">
        <f aca="false">Sens!$J$10683-Sens!$J$10685</f>
        <v>199.373681155462</v>
      </c>
      <c r="K10784" s="38" t="n">
        <f aca="false">Sens!$K$10683-Sens!$K$10685</f>
        <v>210.979917361941</v>
      </c>
      <c r="L10784" s="38" t="n">
        <f aca="false">Sens!$L$10683-Sens!$L$10685</f>
        <v>223.286942403403</v>
      </c>
      <c r="M10784" s="38" t="n">
        <f aca="false">Sens!$M$10683-Sens!$M$10685</f>
        <v>236.338404564551</v>
      </c>
      <c r="N10784" s="38" t="n">
        <f aca="false">Sens!$N$10683-Sens!$N$10685</f>
        <v>62.3677111412496</v>
      </c>
      <c r="O10784" s="38" t="n">
        <f aca="false">Sens!$O$10683-Sens!$O$10685</f>
        <v>80.6189463642798</v>
      </c>
    </row>
    <row r="10785" customFormat="false" ht="17.15" hidden="false" customHeight="false" outlineLevel="0" collapsed="false">
      <c r="A10785" s="0" t="s">
        <v>722</v>
      </c>
      <c r="B10785" s="0" t="s">
        <v>86</v>
      </c>
      <c r="C10785" s="38" t="n">
        <f aca="false">Sens!$C$10731*(1-Sens!$C$10681)</f>
        <v>0.0455891896019953</v>
      </c>
      <c r="D10785" s="38" t="n">
        <f aca="false">Sens!$D$10731*(1-Sens!$D$10681)</f>
        <v>0.332050421167231</v>
      </c>
      <c r="E10785" s="38" t="n">
        <f aca="false">Sens!$E$10731*(1-Sens!$E$10681)</f>
        <v>0.481224293644882</v>
      </c>
      <c r="F10785" s="38" t="n">
        <f aca="false">Sens!$F$10731*(1-Sens!$F$10681)</f>
        <v>0.596018918096053</v>
      </c>
      <c r="G10785" s="38" t="n">
        <f aca="false">Sens!$G$10731*(1-Sens!$G$10681)</f>
        <v>1.07694265229057</v>
      </c>
      <c r="H10785" s="38" t="n">
        <f aca="false">Sens!$H$10731*(1-Sens!$H$10681)</f>
        <v>2.83080538593684</v>
      </c>
      <c r="I10785" s="38" t="n">
        <f aca="false">Sens!$I$10731*(1-Sens!$I$10681)</f>
        <v>4.94120108661457</v>
      </c>
      <c r="J10785" s="38" t="n">
        <f aca="false">Sens!$J$10731*(1-Sens!$J$10681)</f>
        <v>7.10874473814016</v>
      </c>
      <c r="K10785" s="38" t="n">
        <f aca="false">Sens!$K$10731*(1-Sens!$K$10681)</f>
        <v>9.23010014968163</v>
      </c>
      <c r="L10785" s="38" t="n">
        <f aca="false">Sens!$L$10731*(1-Sens!$L$10681)</f>
        <v>10.6052104157526</v>
      </c>
      <c r="M10785" s="38" t="n">
        <f aca="false">Sens!$M$10731*(1-Sens!$M$10681)</f>
        <v>11.385564490204</v>
      </c>
      <c r="N10785" s="38" t="n">
        <f aca="false">Sens!$N$10731*(1-Sens!$N$10681)</f>
        <v>0.141739115596548</v>
      </c>
      <c r="O10785" s="38" t="n">
        <f aca="false">Sens!$O$10731*(1-Sens!$O$10681)</f>
        <v>0.190445576353059</v>
      </c>
    </row>
    <row r="10786" customFormat="false" ht="17.15" hidden="false" customHeight="false" outlineLevel="0" collapsed="false">
      <c r="A10786" s="0" t="s">
        <v>723</v>
      </c>
      <c r="B10786" s="0" t="s">
        <v>52</v>
      </c>
      <c r="C10786" s="28" t="n">
        <f aca="false">(Sens!$C$10787-Sens!$C$10783+Sens!$C$10785)/Sens!$C$10784</f>
        <v>-0.0292364215826579</v>
      </c>
      <c r="D10786" s="28" t="n">
        <f aca="false">(Sens!$D$10787-Sens!$D$10783+Sens!$D$10785)/Sens!$D$10784</f>
        <v>-0.0305125352740778</v>
      </c>
      <c r="E10786" s="28" t="n">
        <f aca="false">(Sens!$E$10787-Sens!$E$10783+Sens!$E$10785)/Sens!$E$10784</f>
        <v>-0.019490056934994</v>
      </c>
      <c r="F10786" s="28" t="n">
        <f aca="false">Sens!$O$10786+(Sens!$E$10786-Sens!$N$10786)</f>
        <v>-0.0367332293992226</v>
      </c>
      <c r="G10786" s="28" t="n">
        <f aca="false">(Sens!$G$10787-Sens!$G$10783+Sens!$G$10785)/Sens!$G$10784</f>
        <v>-0.0288046191739351</v>
      </c>
      <c r="H10786" s="28" t="n">
        <f aca="false">Sens!$G$10786+step_in</f>
        <v>-0.0288046191739351</v>
      </c>
      <c r="I10786" s="28" t="n">
        <f aca="false">Sens!$H$10786+step_in</f>
        <v>-0.0288046191739351</v>
      </c>
      <c r="J10786" s="28" t="n">
        <f aca="false">Sens!$I$10786+step_in</f>
        <v>-0.0288046191739351</v>
      </c>
      <c r="K10786" s="28" t="n">
        <f aca="false">Sens!$J$10786+step_in</f>
        <v>-0.0288046191739351</v>
      </c>
      <c r="L10786" s="28" t="n">
        <f aca="false">Sens!$K$10786</f>
        <v>-0.0288046191739351</v>
      </c>
      <c r="M10786" s="28" t="n">
        <f aca="false">Sens!$L$10786</f>
        <v>-0.0288046191739351</v>
      </c>
      <c r="N10786" s="28" t="n">
        <f aca="false">(Sens!$N$10787-Sens!$N$10783+Sens!$N$10785)/Sens!$N$10784</f>
        <v>-0.02085061789158</v>
      </c>
      <c r="O10786" s="28" t="n">
        <f aca="false">(Sens!$O$10787-Sens!$O$10783+Sens!$O$10785)/Sens!$O$10784</f>
        <v>-0.0380937903558086</v>
      </c>
      <c r="P10786" s="8" t="s">
        <v>718</v>
      </c>
    </row>
    <row r="10787" customFormat="false" ht="17.15" hidden="false" customHeight="false" outlineLevel="0" collapsed="false">
      <c r="A10787" s="1" t="s">
        <v>724</v>
      </c>
      <c r="B10787" s="8" t="s">
        <v>86</v>
      </c>
      <c r="C10787" s="38" t="n">
        <f aca="false">Q!$D$23</f>
        <v>3.792</v>
      </c>
      <c r="D10787" s="38" t="n">
        <f aca="false">Q!$E$23</f>
        <v>4.75</v>
      </c>
      <c r="E10787" s="38" t="n">
        <f aca="false">Q!$P$23</f>
        <v>3.141</v>
      </c>
      <c r="F10787" s="38" t="n">
        <f aca="false">Sens!$F$10783+Sens!$F$10784*Sens!$F$10786-Sens!$F$10785</f>
        <v>2.7817530864152</v>
      </c>
      <c r="G10787" s="38" t="n">
        <f aca="false">Sens!$E$10787+Sens!$F$10787</f>
        <v>5.9227530864152</v>
      </c>
      <c r="H10787" s="38" t="n">
        <f aca="false">Sens!$H$10783+Sens!$H$10784*Sens!$H$10786-Sens!$H$10785</f>
        <v>6.05903959107893</v>
      </c>
      <c r="I10787" s="38" t="n">
        <f aca="false">Sens!$I$10783+Sens!$I$10784*Sens!$I$10786-Sens!$I$10785</f>
        <v>5.85702442662921</v>
      </c>
      <c r="J10787" s="38" t="n">
        <f aca="false">Sens!$J$10783+Sens!$J$10784*Sens!$J$10786-Sens!$J$10785</f>
        <v>5.47233036244681</v>
      </c>
      <c r="K10787" s="38" t="n">
        <f aca="false">Sens!$K$10783+Sens!$K$10784*Sens!$K$10786-Sens!$K$10785</f>
        <v>4.84905754289254</v>
      </c>
      <c r="L10787" s="38" t="n">
        <f aca="false">Sens!$L$10783+Sens!$L$10784*Sens!$L$10786-Sens!$L$10785</f>
        <v>5.13508349389151</v>
      </c>
      <c r="M10787" s="38" t="n">
        <f aca="false">Sens!$M$10783+Sens!$M$10784*Sens!$M$10786-Sens!$M$10785</f>
        <v>6.19598594743386</v>
      </c>
      <c r="N10787" s="38" t="n">
        <f aca="false">Q!$N$23</f>
        <v>2.511</v>
      </c>
      <c r="O10787" s="38" t="n">
        <f aca="false">Q!$O$23</f>
        <v>2.239</v>
      </c>
    </row>
    <row r="10788" customFormat="false" ht="17.15" hidden="false" customHeight="false" outlineLevel="0" collapsed="false">
      <c r="A10788" s="0" t="s">
        <v>725</v>
      </c>
      <c r="B10788" s="0" t="s">
        <v>86</v>
      </c>
      <c r="C10788" s="38" t="n">
        <f aca="false">Sens!$C$10728</f>
        <v>1.64417882953695</v>
      </c>
      <c r="D10788" s="38" t="n">
        <f aca="false">Sens!$D$10728</f>
        <v>3.8781008067718</v>
      </c>
      <c r="E10788" s="38" t="n">
        <f aca="false">Sens!$E$10728</f>
        <v>1.41270258088753</v>
      </c>
      <c r="F10788" s="38" t="n">
        <f aca="false">Sens!$F$10728</f>
        <v>5.68126066944818</v>
      </c>
      <c r="G10788" s="38" t="n">
        <f aca="false">Sens!$G$10728</f>
        <v>7.09396325033571</v>
      </c>
      <c r="H10788" s="38" t="n">
        <f aca="false">Sens!$H$10728</f>
        <v>12.5382183962694</v>
      </c>
      <c r="I10788" s="38" t="n">
        <f aca="false">Sens!$I$10728</f>
        <v>16.4361615260712</v>
      </c>
      <c r="J10788" s="38" t="n">
        <f aca="false">Sens!$J$10728</f>
        <v>19.6616771330194</v>
      </c>
      <c r="K10788" s="38" t="n">
        <f aca="false">Sens!$K$10728</f>
        <v>18.4822071352082</v>
      </c>
      <c r="L10788" s="38" t="n">
        <f aca="false">Sens!$L$10728</f>
        <v>17.9822558420278</v>
      </c>
      <c r="M10788" s="38" t="n">
        <f aca="false">Sens!$M$10728</f>
        <v>15.9490613412395</v>
      </c>
      <c r="N10788" s="38" t="n">
        <f aca="false">Sens!$N$10728</f>
        <v>0.92264103489199</v>
      </c>
      <c r="O10788" s="38" t="n">
        <f aca="false">Sens!$O$10728</f>
        <v>2.95545977187981</v>
      </c>
    </row>
    <row r="10789" customFormat="false" ht="17.15" hidden="false" customHeight="false" outlineLevel="0" collapsed="false">
      <c r="A10789" s="0" t="s">
        <v>643</v>
      </c>
      <c r="B10789" s="0" t="s">
        <v>86</v>
      </c>
      <c r="C10789" s="38" t="n">
        <f aca="false">Sens!$C$10733</f>
        <v>38.1898211704631</v>
      </c>
      <c r="D10789" s="38" t="n">
        <f aca="false">Sens!$D$10733</f>
        <v>41.7278991932282</v>
      </c>
      <c r="E10789" s="38" t="n">
        <f aca="false">Sens!$E$10733</f>
        <v>29.3692974191125</v>
      </c>
      <c r="F10789" s="38" t="n">
        <f aca="false">Sens!$F$10733</f>
        <v>26.8997276714137</v>
      </c>
      <c r="G10789" s="38" t="n">
        <f aca="false">Sens!$G$10733</f>
        <v>56.2690250905262</v>
      </c>
      <c r="H10789" s="38" t="n">
        <f aca="false">Sens!$H$10733</f>
        <v>60.3505333937343</v>
      </c>
      <c r="I10789" s="38" t="n">
        <f aca="false">Sens!$I$10733</f>
        <v>67.0043857303571</v>
      </c>
      <c r="J10789" s="38" t="n">
        <f aca="false">Sens!$J$10733</f>
        <v>73.3782922956925</v>
      </c>
      <c r="K10789" s="38" t="n">
        <f aca="false">Sens!$K$10733</f>
        <v>79.2485556793479</v>
      </c>
      <c r="L10789" s="38" t="n">
        <f aca="false">Sens!$L$10733</f>
        <v>85.5884401336958</v>
      </c>
      <c r="M10789" s="38" t="n">
        <f aca="false">Sens!$M$10733</f>
        <v>92.4355153443914</v>
      </c>
      <c r="N10789" s="38" t="n">
        <f aca="false">Sens!$N$10733</f>
        <v>20.784358965108</v>
      </c>
      <c r="O10789" s="38" t="n">
        <f aca="false">Sens!$O$10733</f>
        <v>20.9435402281202</v>
      </c>
    </row>
    <row r="10790" customFormat="false" ht="17.15" hidden="false" customHeight="false" outlineLevel="0" collapsed="false">
      <c r="A10790" s="1" t="s">
        <v>726</v>
      </c>
      <c r="B10790" s="8" t="s">
        <v>86</v>
      </c>
      <c r="C10790" s="38" t="n">
        <f aca="false">Q!$D$24</f>
        <v>39.834</v>
      </c>
      <c r="D10790" s="38" t="n">
        <f aca="false">Q!$E$24</f>
        <v>45.606</v>
      </c>
      <c r="E10790" s="38" t="n">
        <f aca="false">Q!$P$24</f>
        <v>30.782</v>
      </c>
      <c r="F10790" s="38" t="n">
        <f aca="false">Sens!$F$10788+Sens!$F$10789</f>
        <v>32.5809883408619</v>
      </c>
      <c r="G10790" s="38" t="n">
        <f aca="false">Sens!$G$10788+Sens!$G$10789</f>
        <v>63.3629883408619</v>
      </c>
      <c r="H10790" s="38" t="n">
        <f aca="false">Sens!$H$10788+Sens!$H$10789</f>
        <v>72.8887517900037</v>
      </c>
      <c r="I10790" s="38" t="n">
        <f aca="false">Sens!$I$10788+Sens!$I$10789</f>
        <v>83.4405472564282</v>
      </c>
      <c r="J10790" s="38" t="n">
        <f aca="false">Sens!$J$10788+Sens!$J$10789</f>
        <v>93.0399694287119</v>
      </c>
      <c r="K10790" s="38" t="n">
        <f aca="false">Sens!$K$10788+Sens!$K$10789</f>
        <v>97.7307628145561</v>
      </c>
      <c r="L10790" s="38" t="n">
        <f aca="false">Sens!$L$10788+Sens!$L$10789</f>
        <v>103.570695975724</v>
      </c>
      <c r="M10790" s="38" t="n">
        <f aca="false">Sens!$M$10788+Sens!$M$10789</f>
        <v>108.384576685631</v>
      </c>
      <c r="N10790" s="38" t="n">
        <f aca="false">Q!$N$24</f>
        <v>21.707</v>
      </c>
      <c r="O10790" s="38" t="n">
        <f aca="false">Q!$O$24</f>
        <v>23.899</v>
      </c>
    </row>
    <row r="10791" customFormat="false" ht="17.15" hidden="false" customHeight="false" outlineLevel="0" collapsed="false">
      <c r="A10791" s="5" t="s">
        <v>727</v>
      </c>
      <c r="B10791" s="0" t="s">
        <v>86</v>
      </c>
      <c r="C10791" s="38" t="n">
        <f aca="false">Q!$D$26</f>
        <v>0</v>
      </c>
      <c r="D10791" s="38" t="n">
        <f aca="false">Q!$E$26</f>
        <v>0</v>
      </c>
      <c r="E10791" s="38" t="n">
        <f aca="false">Q!$P$26</f>
        <v>0</v>
      </c>
      <c r="F10791" s="39" t="n">
        <v>0</v>
      </c>
      <c r="G10791" s="38" t="n">
        <f aca="false">Sens!$E$10791+Sens!$F$10791</f>
        <v>0</v>
      </c>
      <c r="H10791" s="39" t="n">
        <v>0</v>
      </c>
      <c r="I10791" s="39" t="n">
        <v>0</v>
      </c>
      <c r="J10791" s="39" t="n">
        <v>0</v>
      </c>
      <c r="K10791" s="39" t="n">
        <v>0</v>
      </c>
      <c r="L10791" s="39" t="n">
        <v>0</v>
      </c>
      <c r="M10791" s="39" t="n">
        <v>0</v>
      </c>
      <c r="N10791" s="38" t="n">
        <f aca="false">Q!$N$26</f>
        <v>0</v>
      </c>
      <c r="O10791" s="38" t="n">
        <f aca="false">Q!$O$26</f>
        <v>0</v>
      </c>
    </row>
    <row r="10792" customFormat="false" ht="15" hidden="false" customHeight="false" outlineLevel="0" collapsed="false">
      <c r="A10792" s="3" t="s">
        <v>531</v>
      </c>
      <c r="B10792" s="8" t="s">
        <v>86</v>
      </c>
      <c r="C10792" s="38" t="n">
        <f aca="false">Q!$D$25</f>
        <v>68.593</v>
      </c>
      <c r="D10792" s="38" t="n">
        <f aca="false">Q!$E$25</f>
        <v>79.975</v>
      </c>
      <c r="E10792" s="38" t="n">
        <f aca="false">Q!$P$25</f>
        <v>51.313</v>
      </c>
      <c r="F10792" s="38" t="n">
        <f aca="false">Sens!$F$10782+Sens!$F$10787+Sens!$F$10790+Sens!$F$10791</f>
        <v>55.5220253008994</v>
      </c>
      <c r="G10792" s="38" t="n">
        <f aca="false">Sens!$G$10782+Sens!$G$10787+Sens!$G$10790+Sens!$G$10791</f>
        <v>106.835025300899</v>
      </c>
      <c r="H10792" s="38" t="n">
        <f aca="false">Sens!$H$10782+Sens!$H$10787+Sens!$H$10790+Sens!$H$10791</f>
        <v>120.264584190716</v>
      </c>
      <c r="I10792" s="38" t="n">
        <f aca="false">Sens!$I$10782+Sens!$I$10787+Sens!$I$10790+Sens!$I$10791</f>
        <v>133.629366921054</v>
      </c>
      <c r="J10792" s="38" t="n">
        <f aca="false">Sens!$J$10782+Sens!$J$10787+Sens!$J$10790+Sens!$J$10791</f>
        <v>145.433163947716</v>
      </c>
      <c r="K10792" s="38" t="n">
        <f aca="false">Sens!$K$10782+Sens!$K$10787+Sens!$K$10790+Sens!$K$10791</f>
        <v>151.425694041023</v>
      </c>
      <c r="L10792" s="38" t="n">
        <f aca="false">Sens!$L$10782+Sens!$L$10787+Sens!$L$10790+Sens!$L$10791</f>
        <v>160.409233065328</v>
      </c>
      <c r="M10792" s="38" t="n">
        <f aca="false">Sens!$M$10782+Sens!$M$10787+Sens!$M$10790+Sens!$M$10791</f>
        <v>171.292203340676</v>
      </c>
      <c r="N10792" s="38" t="n">
        <f aca="false">Q!$N$25</f>
        <v>37.576</v>
      </c>
      <c r="O10792" s="38" t="n">
        <f aca="false">Q!$O$25</f>
        <v>42.399</v>
      </c>
    </row>
    <row r="10793" customFormat="false" ht="17.15" hidden="false" customHeight="false" outlineLevel="0" collapsed="false">
      <c r="A10793" s="24" t="s">
        <v>761</v>
      </c>
      <c r="B10793" s="25" t="s">
        <v>86</v>
      </c>
      <c r="C10793" s="41" t="n">
        <f aca="false">Sens!$C$10782+Sens!$C$10787+Sens!$C$10790+Sens!$C$10791-Sens!$C$10792</f>
        <v>0</v>
      </c>
      <c r="D10793" s="41" t="n">
        <f aca="false">Sens!$D$10782+Sens!$D$10787+Sens!$D$10790+Sens!$D$10791-Sens!$D$10792</f>
        <v>0</v>
      </c>
      <c r="E10793" s="41" t="n">
        <f aca="false">Sens!$E$10782+Sens!$E$10787+Sens!$E$10790+Sens!$E$10791-Sens!$E$10792</f>
        <v>0</v>
      </c>
      <c r="F10793" s="41" t="n">
        <f aca="false">Sens!$F$10782+Sens!$F$10787+Sens!$F$10790+Sens!$F$10791-Sens!$F$10792</f>
        <v>0</v>
      </c>
      <c r="G10793" s="41" t="n">
        <f aca="false">Sens!$G$10782+Sens!$G$10787+Sens!$G$10790+Sens!$G$10791-Sens!$G$10792</f>
        <v>0</v>
      </c>
      <c r="H10793" s="41" t="n">
        <f aca="false">Sens!$H$10782+Sens!$H$10787+Sens!$H$10790+Sens!$H$10791-Sens!$H$10792</f>
        <v>0</v>
      </c>
      <c r="I10793" s="41" t="n">
        <f aca="false">Sens!$I$10782+Sens!$I$10787+Sens!$I$10790+Sens!$I$10791-Sens!$I$10792</f>
        <v>0</v>
      </c>
      <c r="J10793" s="41" t="n">
        <f aca="false">Sens!$J$10782+Sens!$J$10787+Sens!$J$10790+Sens!$J$10791-Sens!$J$10792</f>
        <v>0</v>
      </c>
      <c r="K10793" s="41" t="n">
        <f aca="false">Sens!$K$10782+Sens!$K$10787+Sens!$K$10790+Sens!$K$10791-Sens!$K$10792</f>
        <v>0</v>
      </c>
      <c r="L10793" s="41" t="n">
        <f aca="false">Sens!$L$10782+Sens!$L$10787+Sens!$L$10790+Sens!$L$10791-Sens!$L$10792</f>
        <v>0</v>
      </c>
      <c r="M10793" s="41" t="n">
        <f aca="false">Sens!$M$10782+Sens!$M$10787+Sens!$M$10790+Sens!$M$10791-Sens!$M$10792</f>
        <v>0</v>
      </c>
      <c r="N10793" s="41" t="n">
        <f aca="false">Sens!$N$10782+Sens!$N$10787+Sens!$N$10790+Sens!$N$10791-Sens!$N$10792</f>
        <v>0</v>
      </c>
      <c r="O10793" s="41" t="n">
        <f aca="false">Sens!$O$10782+Sens!$O$10787+Sens!$O$10790+Sens!$O$10791-Sens!$O$10792</f>
        <v>0</v>
      </c>
    </row>
    <row r="10794" customFormat="false" ht="17.15" hidden="false" customHeight="false" outlineLevel="0" collapsed="false">
      <c r="A10794" s="5" t="s">
        <v>729</v>
      </c>
      <c r="B10794" s="0" t="s">
        <v>86</v>
      </c>
      <c r="C10794" s="38" t="n">
        <f aca="false">Sens!$C$10730</f>
        <v>0</v>
      </c>
      <c r="D10794" s="38" t="n">
        <f aca="false">Sens!$D$10730</f>
        <v>0</v>
      </c>
      <c r="E10794" s="38" t="n">
        <f aca="false">Sens!$E$10730</f>
        <v>0</v>
      </c>
      <c r="F10794" s="38" t="n">
        <f aca="false">Sens!$F$10730</f>
        <v>0</v>
      </c>
      <c r="G10794" s="38" t="n">
        <f aca="false">Sens!$G$10730</f>
        <v>0</v>
      </c>
      <c r="H10794" s="38" t="n">
        <f aca="false">Sens!$H$10730</f>
        <v>0</v>
      </c>
      <c r="I10794" s="38" t="n">
        <f aca="false">Sens!$I$10730</f>
        <v>0</v>
      </c>
      <c r="J10794" s="38" t="n">
        <f aca="false">Sens!$J$10730</f>
        <v>0</v>
      </c>
      <c r="K10794" s="38" t="n">
        <f aca="false">Sens!$K$10730</f>
        <v>0</v>
      </c>
      <c r="L10794" s="38" t="n">
        <f aca="false">Sens!$L$10730</f>
        <v>0</v>
      </c>
      <c r="M10794" s="38" t="n">
        <f aca="false">Sens!$M$10730</f>
        <v>0</v>
      </c>
      <c r="N10794" s="38" t="n">
        <f aca="false">Sens!$N$10730</f>
        <v>0</v>
      </c>
      <c r="O10794" s="38" t="n">
        <f aca="false">Sens!$O$10730</f>
        <v>0</v>
      </c>
      <c r="P10794" s="5" t="s">
        <v>730</v>
      </c>
    </row>
    <row r="10795" customFormat="false" ht="17.15" hidden="false" customHeight="false" outlineLevel="0" collapsed="false">
      <c r="A10795" s="5" t="s">
        <v>731</v>
      </c>
      <c r="B10795" s="0" t="s">
        <v>86</v>
      </c>
      <c r="C10795" s="38" t="n">
        <f aca="false">Sens!$C$10792+Sens!$C$10794</f>
        <v>68.593</v>
      </c>
      <c r="D10795" s="38" t="n">
        <f aca="false">Sens!$D$10792+Sens!$D$10794</f>
        <v>79.975</v>
      </c>
      <c r="E10795" s="38" t="n">
        <f aca="false">Sens!$E$10792+Sens!$E$10794</f>
        <v>51.313</v>
      </c>
      <c r="F10795" s="38" t="n">
        <f aca="false">Sens!$F$10792+Sens!$F$10794</f>
        <v>55.5220253008994</v>
      </c>
      <c r="G10795" s="38" t="n">
        <f aca="false">Sens!$G$10792+Sens!$G$10794</f>
        <v>106.835025300899</v>
      </c>
      <c r="H10795" s="38" t="n">
        <f aca="false">Sens!$H$10792+Sens!$H$10794</f>
        <v>120.264584190716</v>
      </c>
      <c r="I10795" s="38" t="n">
        <f aca="false">Sens!$I$10792+Sens!$I$10794</f>
        <v>133.629366921054</v>
      </c>
      <c r="J10795" s="38" t="n">
        <f aca="false">Sens!$J$10792+Sens!$J$10794</f>
        <v>145.433163947716</v>
      </c>
      <c r="K10795" s="38" t="n">
        <f aca="false">Sens!$K$10792+Sens!$K$10794</f>
        <v>151.425694041023</v>
      </c>
      <c r="L10795" s="38" t="n">
        <f aca="false">Sens!$L$10792+Sens!$L$10794</f>
        <v>160.409233065328</v>
      </c>
      <c r="M10795" s="38" t="n">
        <f aca="false">Sens!$M$10792+Sens!$M$10794</f>
        <v>171.292203340676</v>
      </c>
      <c r="N10795" s="38" t="n">
        <f aca="false">Sens!$N$10792+Sens!$N$10794</f>
        <v>37.576</v>
      </c>
      <c r="O10795" s="38" t="n">
        <f aca="false">Sens!$O$10792+Sens!$O$10794</f>
        <v>42.399</v>
      </c>
    </row>
    <row r="10796" customFormat="false" ht="17.15" hidden="false" customHeight="false" outlineLevel="0" collapsed="false">
      <c r="A10796" s="0" t="s">
        <v>732</v>
      </c>
      <c r="B10796" s="0" t="s">
        <v>52</v>
      </c>
      <c r="C10796" s="13" t="n">
        <f aca="false">Sens!$C$10782/Sens!$C$10767</f>
        <v>0.0644314665661928</v>
      </c>
      <c r="D10796" s="13" t="n">
        <f aca="false">Sens!$D$10782/Sens!$D$10767</f>
        <v>0.0694784250712518</v>
      </c>
      <c r="E10796" s="13" t="n">
        <f aca="false">Sens!$E$10782/Sens!$E$10767</f>
        <v>0.0789306463326071</v>
      </c>
      <c r="F10796" s="13" t="n">
        <f aca="false">Sens!$F$10782/Sens!$F$10767</f>
        <v>0.0802414143801289</v>
      </c>
      <c r="G10796" s="13" t="n">
        <f aca="false">Sens!$G$10782/Sens!$G$10767</f>
        <v>0.0796289944133457</v>
      </c>
      <c r="H10796" s="13" t="n">
        <f aca="false">Sens!$H$10782/Sens!$H$10767</f>
        <v>0.0791442846070674</v>
      </c>
      <c r="I10796" s="13" t="n">
        <f aca="false">Sens!$I$10782/Sens!$I$10767</f>
        <v>0.0776575719620411</v>
      </c>
      <c r="J10796" s="13" t="n">
        <f aca="false">Sens!$J$10782/Sens!$J$10767</f>
        <v>0.0761495497793568</v>
      </c>
      <c r="K10796" s="13" t="n">
        <f aca="false">Sens!$K$10782/Sens!$K$10767</f>
        <v>0.0744562607677161</v>
      </c>
      <c r="L10796" s="13" t="n">
        <f aca="false">Sens!$L$10782/Sens!$L$10767</f>
        <v>0.0740007885989155</v>
      </c>
      <c r="M10796" s="13" t="n">
        <f aca="false">Sens!$M$10782/Sens!$M$10767</f>
        <v>0.0761907968895753</v>
      </c>
      <c r="N10796" s="13" t="n">
        <f aca="false">Sens!$N$10782/Sens!$N$10767</f>
        <v>0.069228576611127</v>
      </c>
      <c r="O10796" s="13" t="n">
        <f aca="false">Sens!$O$10782/Sens!$O$10767</f>
        <v>0.069685022498393</v>
      </c>
    </row>
    <row r="10797" customFormat="false" ht="17.15" hidden="false" customHeight="false" outlineLevel="0" collapsed="false">
      <c r="A10797" s="0" t="s">
        <v>733</v>
      </c>
      <c r="B10797" s="0" t="s">
        <v>52</v>
      </c>
      <c r="C10797" s="13" t="n">
        <f aca="false">Sens!$C$10787/Sens!$C$10768</f>
        <v>0.026534925055631</v>
      </c>
      <c r="D10797" s="13" t="n">
        <f aca="false">Sens!$D$10787/Sens!$D$10768</f>
        <v>0.0293401855535103</v>
      </c>
      <c r="E10797" s="13" t="n">
        <f aca="false">Sens!$E$10787/Sens!$E$10768</f>
        <v>0.03831141902276</v>
      </c>
      <c r="F10797" s="13" t="n">
        <f aca="false">Sens!$F$10787/Sens!$F$10768</f>
        <v>0.0282006793887631</v>
      </c>
      <c r="G10797" s="13" t="n">
        <f aca="false">Sens!$G$10787/Sens!$G$10768</f>
        <v>0.0327899018931999</v>
      </c>
      <c r="H10797" s="13" t="n">
        <f aca="false">Sens!$H$10787/Sens!$H$10768</f>
        <v>0.0303000721561113</v>
      </c>
      <c r="I10797" s="13" t="n">
        <f aca="false">Sens!$I$10787/Sens!$I$10768</f>
        <v>0.0267850487632498</v>
      </c>
      <c r="J10797" s="13" t="n">
        <f aca="false">Sens!$J$10787/Sens!$J$10768</f>
        <v>0.0231857187038681</v>
      </c>
      <c r="K10797" s="13" t="n">
        <f aca="false">Sens!$K$10787/Sens!$K$10768</f>
        <v>0.0192964578291855</v>
      </c>
      <c r="L10797" s="13" t="n">
        <f aca="false">Sens!$L$10787/Sens!$L$10768</f>
        <v>0.0191871831419093</v>
      </c>
      <c r="M10797" s="13" t="n">
        <f aca="false">Sens!$M$10787/Sens!$M$10768</f>
        <v>0.0217313969646389</v>
      </c>
      <c r="N10797" s="13" t="n">
        <f aca="false">Sens!$N$10787/Sens!$N$10768</f>
        <v>0.0357315650169337</v>
      </c>
      <c r="O10797" s="13" t="n">
        <f aca="false">Sens!$O$10787/Sens!$O$10768</f>
        <v>0.0244378956559703</v>
      </c>
    </row>
    <row r="10798" customFormat="false" ht="17.15" hidden="false" customHeight="false" outlineLevel="0" collapsed="false">
      <c r="A10798" s="14" t="s">
        <v>734</v>
      </c>
      <c r="B10798" s="14" t="s">
        <v>52</v>
      </c>
      <c r="C10798" s="17" t="n">
        <f aca="false">Sens!$C$10790/Sens!$C$10769</f>
        <v>0.370355907620217</v>
      </c>
      <c r="D10798" s="17" t="n">
        <f aca="false">Sens!$D$10790/Sens!$D$10769</f>
        <v>0.35429015342785</v>
      </c>
      <c r="E10798" s="17" t="n">
        <f aca="false">Sens!$E$10790/Sens!$E$10769</f>
        <v>0.385647527531039</v>
      </c>
      <c r="F10798" s="17" t="n">
        <f aca="false">Sens!$F$10790/Sens!$F$10769</f>
        <v>0.379260079301568</v>
      </c>
      <c r="G10798" s="17" t="n">
        <f aca="false">Sens!$G$10790/Sens!$G$10769</f>
        <v>0.382336486145006</v>
      </c>
      <c r="H10798" s="17" t="n">
        <f aca="false">Sens!$H$10790/Sens!$H$10769</f>
        <v>0.33990378126712</v>
      </c>
      <c r="I10798" s="17" t="n">
        <f aca="false">Sens!$I$10790/Sens!$I$10769</f>
        <v>0.313016100672469</v>
      </c>
      <c r="J10798" s="17" t="n">
        <f aca="false">Sens!$J$10790/Sens!$J$10769</f>
        <v>0.292481324949354</v>
      </c>
      <c r="K10798" s="17" t="n">
        <f aca="false">Sens!$K$10790/Sens!$K$10769</f>
        <v>0.269063200279212</v>
      </c>
      <c r="L10798" s="17" t="n">
        <f aca="false">Sens!$L$10790/Sens!$L$10769</f>
        <v>0.259250016248752</v>
      </c>
      <c r="M10798" s="17" t="n">
        <f aca="false">Sens!$M$10790/Sens!$M$10769</f>
        <v>0.253824163942375</v>
      </c>
      <c r="N10798" s="17" t="n">
        <f aca="false">Sens!$N$10790/Sens!$N$10769</f>
        <v>0.360941137346192</v>
      </c>
      <c r="O10798" s="17" t="n">
        <f aca="false">Sens!$O$10790/Sens!$O$10769</f>
        <v>0.348458117664212</v>
      </c>
    </row>
    <row r="10799" customFormat="false" ht="17.15" hidden="false" customHeight="false" outlineLevel="0" collapsed="false">
      <c r="A10799" s="0" t="s">
        <v>735</v>
      </c>
      <c r="B10799" s="0" t="s">
        <v>52</v>
      </c>
      <c r="C10799" s="13" t="n">
        <f aca="false">Sens!$C$10788/Sens!$C$10770</f>
        <v>0.708390794789371</v>
      </c>
      <c r="D10799" s="13" t="n">
        <f aca="false">Sens!$D$10788/Sens!$D$10770</f>
        <v>0.445565630441968</v>
      </c>
      <c r="E10799" s="13" t="n">
        <f aca="false">Sens!$E$10788/Sens!$E$10770</f>
        <v>0.165998118402711</v>
      </c>
      <c r="F10799" s="13" t="n">
        <f aca="false">Sens!$F$10788/Sens!$F$10770</f>
        <v>0.401859869136011</v>
      </c>
      <c r="G10799" s="13" t="n">
        <f aca="false">Sens!$G$10788/Sens!$G$10770</f>
        <v>0.313230095563868</v>
      </c>
      <c r="H10799" s="13" t="n">
        <f aca="false">Sens!$H$10788/Sens!$H$10770</f>
        <v>0.23470012891306</v>
      </c>
      <c r="I10799" s="13" t="n">
        <f aca="false">Sens!$I$10788/Sens!$I$10770</f>
        <v>0.187200558396588</v>
      </c>
      <c r="J10799" s="13" t="n">
        <f aca="false">Sens!$J$10788/Sens!$J$10770</f>
        <v>0.160726355342167</v>
      </c>
      <c r="K10799" s="13" t="n">
        <f aca="false">Sens!$K$10788/Sens!$K$10770</f>
        <v>0.121762921451897</v>
      </c>
      <c r="L10799" s="13" t="n">
        <f aca="false">Sens!$L$10788/Sens!$L$10770</f>
        <v>0.105068070467128</v>
      </c>
      <c r="M10799" s="13" t="n">
        <f aca="false">Sens!$M$10788/Sens!$M$10770</f>
        <v>0.0884164198611169</v>
      </c>
      <c r="N10799" s="13" t="n">
        <f aca="false">Sens!$N$10788/Sens!$N$10770</f>
        <v>0.302870734830849</v>
      </c>
      <c r="O10799" s="13" t="n">
        <f aca="false">Sens!$O$10788/Sens!$O$10770</f>
        <v>0.52240134346334</v>
      </c>
    </row>
    <row r="10800" customFormat="false" ht="15" hidden="false" customHeight="false" outlineLevel="0" collapsed="false">
      <c r="A10800" s="5" t="s">
        <v>736</v>
      </c>
      <c r="B10800" s="0" t="s">
        <v>52</v>
      </c>
      <c r="C10800" s="13" t="n">
        <f aca="false">Sens!$C$10792/Sens!$C$10772</f>
        <v>0.107519448742004</v>
      </c>
      <c r="D10800" s="13" t="n">
        <f aca="false">Sens!$D$10792/Sens!$D$10772</f>
        <v>0.111552967957552</v>
      </c>
      <c r="E10800" s="13" t="n">
        <f aca="false">Sens!$E$10792/Sens!$E$10772</f>
        <v>0.13428328426562</v>
      </c>
      <c r="F10800" s="13" t="n">
        <f aca="false">Sens!$F$10792/Sens!$F$10772</f>
        <v>0.127408098277197</v>
      </c>
      <c r="G10800" s="13" t="n">
        <f aca="false">Sens!$G$10792/Sens!$G$10772</f>
        <v>0.130620179525968</v>
      </c>
      <c r="H10800" s="13" t="n">
        <f aca="false">Sens!$H$10792/Sens!$H$10772</f>
        <v>0.128425907097869</v>
      </c>
      <c r="I10800" s="13" t="n">
        <f aca="false">Sens!$I$10792/Sens!$I$10772</f>
        <v>0.126531017520943</v>
      </c>
      <c r="J10800" s="13" t="n">
        <f aca="false">Sens!$J$10792/Sens!$J$10772</f>
        <v>0.124270559402485</v>
      </c>
      <c r="K10800" s="13" t="n">
        <f aca="false">Sens!$K$10792/Sens!$K$10772</f>
        <v>0.119180921098492</v>
      </c>
      <c r="L10800" s="13" t="n">
        <f aca="false">Sens!$L$10792/Sens!$L$10772</f>
        <v>0.117445367788629</v>
      </c>
      <c r="M10800" s="13" t="n">
        <f aca="false">Sens!$M$10792/Sens!$M$10772</f>
        <v>0.117608549789057</v>
      </c>
      <c r="N10800" s="13" t="n">
        <f aca="false">Sens!$N$10792/Sens!$N$10772</f>
        <v>0.116201614873411</v>
      </c>
      <c r="O10800" s="13" t="n">
        <f aca="false">Sens!$O$10792/Sens!$O$10772</f>
        <v>0.107733353660861</v>
      </c>
    </row>
    <row r="10801" customFormat="false" ht="17.15" hidden="false" customHeight="false" outlineLevel="0" collapsed="false">
      <c r="A10801" s="1" t="s">
        <v>737</v>
      </c>
    </row>
    <row r="10802" customFormat="false" ht="17.15" hidden="false" customHeight="false" outlineLevel="0" collapsed="false">
      <c r="A10802" s="5" t="s">
        <v>738</v>
      </c>
      <c r="B10802" s="0" t="s">
        <v>52</v>
      </c>
      <c r="D10802" s="28" t="n">
        <f aca="false">(Q!$E$29+Q!$E$30-(1-ext_sh)*Sens!$D$10724)/Sens!$D$10680</f>
        <v>0.0334674312393194</v>
      </c>
    </row>
    <row r="10803" customFormat="false" ht="17.15" hidden="false" customHeight="false" outlineLevel="0" collapsed="false">
      <c r="A10803" s="0" t="s">
        <v>535</v>
      </c>
      <c r="B10803" s="0" t="s">
        <v>86</v>
      </c>
      <c r="C10803" s="38" t="n">
        <f aca="false">Q!$D$29</f>
        <v>14.285</v>
      </c>
      <c r="D10803" s="38" t="n">
        <f aca="false">Q!$E$29</f>
        <v>15.503</v>
      </c>
      <c r="E10803" s="38" t="n">
        <f aca="false">Q!$P$29</f>
        <v>8.78</v>
      </c>
      <c r="F10803" s="38" t="n">
        <f aca="false">(Sens!$D$10802*Sens!$F$10680+(1-ext_sh)*Sens!$F$10724)*Sens!$F$10681</f>
        <v>9.34390058943005</v>
      </c>
      <c r="G10803" s="38" t="n">
        <f aca="false">Sens!$E$10803+Sens!$F$10803</f>
        <v>18.1239005894301</v>
      </c>
      <c r="H10803" s="38" t="n">
        <f aca="false">(Sens!$D$10802*Sens!$H$10680+(1-ext_sh)*Sens!$H$10724)*Sens!$H$10681</f>
        <v>22.5752969873593</v>
      </c>
      <c r="I10803" s="38" t="n">
        <f aca="false">(Sens!$D$10802*Sens!$I$10680+(1-ext_sh)*Sens!$I$10724)*Sens!$I$10681</f>
        <v>28.2181192329088</v>
      </c>
      <c r="J10803" s="38" t="n">
        <f aca="false">(Sens!$D$10802*Sens!$J$10680+(1-ext_sh)*Sens!$J$10724)*Sens!$J$10681</f>
        <v>33.8897637786504</v>
      </c>
      <c r="K10803" s="38" t="n">
        <f aca="false">(Sens!$D$10802*Sens!$K$10680+(1-ext_sh)*Sens!$K$10724)*Sens!$K$10681</f>
        <v>39.4791423726875</v>
      </c>
      <c r="L10803" s="38" t="n">
        <f aca="false">(Sens!$D$10802*Sens!$L$10680+(1-ext_sh)*Sens!$L$10724)*Sens!$L$10681</f>
        <v>43.6533589294364</v>
      </c>
      <c r="M10803" s="38" t="n">
        <f aca="false">(Sens!$D$10802*Sens!$M$10680+(1-ext_sh)*Sens!$M$10724)*Sens!$M$10681</f>
        <v>46.8153633388148</v>
      </c>
      <c r="N10803" s="38" t="n">
        <f aca="false">Q!$N$29</f>
        <v>7.272</v>
      </c>
      <c r="O10803" s="38" t="n">
        <f aca="false">Q!$O$29</f>
        <v>8.231</v>
      </c>
    </row>
    <row r="10804" customFormat="false" ht="17.15" hidden="false" customHeight="false" outlineLevel="0" collapsed="false">
      <c r="A10804" s="0" t="s">
        <v>537</v>
      </c>
      <c r="B10804" s="0" t="s">
        <v>86</v>
      </c>
      <c r="C10804" s="38" t="n">
        <f aca="false">Q!$D$30</f>
        <v>4.462</v>
      </c>
      <c r="D10804" s="38" t="n">
        <f aca="false">Q!$E$30</f>
        <v>4.907</v>
      </c>
      <c r="E10804" s="38" t="n">
        <f aca="false">Q!$P$30</f>
        <v>2.57</v>
      </c>
      <c r="F10804" s="38" t="n">
        <f aca="false">(Sens!$D$10802*Sens!$F$10680+(1-ext_sh)*Sens!$F$10724)*(1-Sens!$F$10681)</f>
        <v>3.66868725949682</v>
      </c>
      <c r="G10804" s="38" t="n">
        <f aca="false">Sens!$E$10804+Sens!$F$10804</f>
        <v>6.23868725949682</v>
      </c>
      <c r="H10804" s="38" t="n">
        <f aca="false">(Sens!$D$10802*Sens!$H$10680+(1-ext_sh)*Sens!$H$10724)*(1-Sens!$H$10681)</f>
        <v>8.64742004962828</v>
      </c>
      <c r="I10804" s="38" t="n">
        <f aca="false">(Sens!$D$10802*Sens!$I$10680+(1-ext_sh)*Sens!$I$10724)*(1-Sens!$I$10681)</f>
        <v>10.8088912475476</v>
      </c>
      <c r="J10804" s="38" t="n">
        <f aca="false">(Sens!$D$10802*Sens!$J$10680+(1-ext_sh)*Sens!$J$10724)*(1-Sens!$J$10681)</f>
        <v>12.9814027669608</v>
      </c>
      <c r="K10804" s="38" t="n">
        <f aca="false">(Sens!$D$10802*Sens!$K$10680+(1-ext_sh)*Sens!$K$10724)*(1-Sens!$K$10681)</f>
        <v>15.1224024865261</v>
      </c>
      <c r="L10804" s="38" t="n">
        <f aca="false">(Sens!$D$10802*Sens!$L$10680+(1-ext_sh)*Sens!$L$10724)*(1-Sens!$L$10681)</f>
        <v>16.7213273628868</v>
      </c>
      <c r="M10804" s="38" t="n">
        <f aca="false">(Sens!$D$10802*Sens!$M$10680+(1-ext_sh)*Sens!$M$10724)*(1-Sens!$M$10681)</f>
        <v>17.9325265042307</v>
      </c>
      <c r="N10804" s="38" t="n">
        <f aca="false">Q!$N$30</f>
        <v>2.316</v>
      </c>
      <c r="O10804" s="38" t="n">
        <f aca="false">Q!$O$30</f>
        <v>2.591</v>
      </c>
    </row>
    <row r="10805" customFormat="false" ht="17.15" hidden="false" customHeight="false" outlineLevel="0" collapsed="false">
      <c r="A10805" s="0" t="s">
        <v>538</v>
      </c>
      <c r="B10805" s="0" t="s">
        <v>86</v>
      </c>
      <c r="C10805" s="38" t="n">
        <f aca="false">Sens!$C$10736</f>
        <v>13.32</v>
      </c>
      <c r="D10805" s="38" t="n">
        <f aca="false">Sens!$D$10736</f>
        <v>21.45</v>
      </c>
      <c r="E10805" s="38" t="n">
        <f aca="false">Sens!$E$10736</f>
        <v>15.353</v>
      </c>
      <c r="F10805" s="38" t="n">
        <f aca="false">Sens!$F$10736</f>
        <v>16.3063747611001</v>
      </c>
      <c r="G10805" s="38" t="n">
        <f aca="false">Sens!$G$10736</f>
        <v>31.6593747611001</v>
      </c>
      <c r="H10805" s="38" t="n">
        <f aca="false">Sens!$H$10736</f>
        <v>53.124242092105</v>
      </c>
      <c r="I10805" s="38" t="n">
        <f aca="false">Sens!$I$10736</f>
        <v>78.046828098133</v>
      </c>
      <c r="J10805" s="38" t="n">
        <f aca="false">Sens!$J$10736</f>
        <v>103.663976940352</v>
      </c>
      <c r="K10805" s="38" t="n">
        <f aca="false">Sens!$K$10736</f>
        <v>129.625086115469</v>
      </c>
      <c r="L10805" s="38" t="n">
        <f aca="false">Sens!$L$10736</f>
        <v>147.435052382502</v>
      </c>
      <c r="M10805" s="38" t="n">
        <f aca="false">Sens!$M$10736</f>
        <v>159.299754080279</v>
      </c>
      <c r="N10805" s="38" t="n">
        <f aca="false">Sens!$N$10736</f>
        <v>9.234</v>
      </c>
      <c r="O10805" s="38" t="n">
        <f aca="false">Sens!$O$10736</f>
        <v>12.216</v>
      </c>
    </row>
    <row r="10806" customFormat="false" ht="17.15" hidden="false" customHeight="false" outlineLevel="0" collapsed="false">
      <c r="A10806" s="5" t="s">
        <v>739</v>
      </c>
      <c r="B10806" s="0" t="s">
        <v>86</v>
      </c>
      <c r="C10806" s="38" t="n">
        <f aca="false">Sens!$C$10803+Sens!$C$10804+Sens!$C$10805</f>
        <v>32.067</v>
      </c>
      <c r="D10806" s="38" t="n">
        <f aca="false">Sens!$D$10803+Sens!$D$10804+Sens!$D$10805</f>
        <v>41.86</v>
      </c>
      <c r="E10806" s="38" t="n">
        <f aca="false">Sens!$E$10803+Sens!$E$10804+Sens!$E$10805</f>
        <v>26.703</v>
      </c>
      <c r="F10806" s="38" t="n">
        <f aca="false">Sens!$F$10803+Sens!$F$10804+Sens!$F$10805</f>
        <v>29.3189626100269</v>
      </c>
      <c r="G10806" s="38" t="n">
        <f aca="false">Sens!$G$10803+Sens!$G$10804+Sens!$G$10805</f>
        <v>56.0219626100269</v>
      </c>
      <c r="H10806" s="38" t="n">
        <f aca="false">Sens!$H$10803+Sens!$H$10804+Sens!$H$10805</f>
        <v>84.3469591290926</v>
      </c>
      <c r="I10806" s="38" t="n">
        <f aca="false">Sens!$I$10803+Sens!$I$10804+Sens!$I$10805</f>
        <v>117.073838578589</v>
      </c>
      <c r="J10806" s="38" t="n">
        <f aca="false">Sens!$J$10803+Sens!$J$10804+Sens!$J$10805</f>
        <v>150.535143485963</v>
      </c>
      <c r="K10806" s="38" t="n">
        <f aca="false">Sens!$K$10803+Sens!$K$10804+Sens!$K$10805</f>
        <v>184.226630974683</v>
      </c>
      <c r="L10806" s="38" t="n">
        <f aca="false">Sens!$L$10803+Sens!$L$10804+Sens!$L$10805</f>
        <v>207.809738674826</v>
      </c>
      <c r="M10806" s="38" t="n">
        <f aca="false">Sens!$M$10803+Sens!$M$10804+Sens!$M$10805</f>
        <v>224.047643923325</v>
      </c>
      <c r="N10806" s="38" t="n">
        <f aca="false">Sens!$N$10803+Sens!$N$10804+Sens!$N$10805</f>
        <v>18.822</v>
      </c>
      <c r="O10806" s="38" t="n">
        <f aca="false">Sens!$O$10803+Sens!$O$10804+Sens!$O$10805</f>
        <v>23.038</v>
      </c>
    </row>
    <row r="10807" customFormat="false" ht="17.15" hidden="false" customHeight="false" outlineLevel="0" collapsed="false">
      <c r="A10807" s="0" t="s">
        <v>740</v>
      </c>
      <c r="B10807" s="0" t="s">
        <v>86</v>
      </c>
      <c r="C10807" s="38" t="n">
        <f aca="false">Sens!$C$10778+Sens!$C$10783</f>
        <v>28.107</v>
      </c>
      <c r="D10807" s="38" t="n">
        <f aca="false">Sens!$D$10778+Sens!$D$10783</f>
        <v>34.3175</v>
      </c>
      <c r="E10807" s="38" t="n">
        <f aca="false">Sens!$E$10778+Sens!$E$10783</f>
        <v>18.526</v>
      </c>
      <c r="F10807" s="38" t="n">
        <f aca="false">Sens!$F$10778+Sens!$F$10783</f>
        <v>23.1332261117684</v>
      </c>
      <c r="G10807" s="38" t="n">
        <f aca="false">Sens!$G$10778+Sens!$G$10783</f>
        <v>41.6592261117685</v>
      </c>
      <c r="H10807" s="38" t="n">
        <f aca="false">Sens!$H$10778+Sens!$H$10783</f>
        <v>50.0140294294129</v>
      </c>
      <c r="I10807" s="38" t="n">
        <f aca="false">Sens!$I$10778+Sens!$I$10783</f>
        <v>58.3680759119067</v>
      </c>
      <c r="J10807" s="38" t="n">
        <f aca="false">Sens!$J$10778+Sens!$J$10783</f>
        <v>66.1612081069603</v>
      </c>
      <c r="K10807" s="38" t="n">
        <f aca="false">Sens!$K$10778+Sens!$K$10783</f>
        <v>72.7773289176563</v>
      </c>
      <c r="L10807" s="38" t="n">
        <f aca="false">Sens!$L$10778+Sens!$L$10783</f>
        <v>80.0550618094219</v>
      </c>
      <c r="M10807" s="38" t="n">
        <f aca="false">Sens!$M$10778+Sens!$M$10783</f>
        <v>88.0605679903641</v>
      </c>
      <c r="N10807" s="38" t="n">
        <f aca="false">Sens!$N$10778+Sens!$N$10783</f>
        <v>14.8075</v>
      </c>
      <c r="O10807" s="38" t="n">
        <f aca="false">Sens!$O$10778+Sens!$O$10783</f>
        <v>19.51</v>
      </c>
    </row>
    <row r="10808" customFormat="false" ht="17.15" hidden="false" customHeight="false" outlineLevel="0" collapsed="false">
      <c r="A10808" s="0" t="s">
        <v>741</v>
      </c>
      <c r="B10808" s="0" t="s">
        <v>86</v>
      </c>
      <c r="C10808" s="38" t="n">
        <f aca="false">Sens!$C$10782+Sens!$C$10787+Sens!$C$10803+Sens!$C$10804-Sens!$C$10807</f>
        <v>19.399</v>
      </c>
      <c r="D10808" s="38" t="n">
        <f aca="false">Sens!$D$10782+Sens!$D$10787+Sens!$D$10803+Sens!$D$10804-Sens!$D$10807</f>
        <v>20.4615</v>
      </c>
      <c r="E10808" s="38" t="n">
        <f aca="false">Sens!$E$10782+Sens!$E$10787+Sens!$E$10803+Sens!$E$10804-Sens!$E$10807</f>
        <v>13.355</v>
      </c>
      <c r="F10808" s="38" t="n">
        <f aca="false">Sens!$F$10782+Sens!$F$10787+Sens!$F$10803+Sens!$F$10804-Sens!$F$10807</f>
        <v>12.820398697196</v>
      </c>
      <c r="G10808" s="38" t="n">
        <f aca="false">Sens!$G$10782+Sens!$G$10787+Sens!$G$10803+Sens!$G$10804-Sens!$G$10807</f>
        <v>26.175398697196</v>
      </c>
      <c r="H10808" s="38" t="n">
        <f aca="false">Sens!$H$10782+Sens!$H$10787+Sens!$H$10803+Sens!$H$10804-Sens!$H$10807</f>
        <v>28.5845200082866</v>
      </c>
      <c r="I10808" s="38" t="n">
        <f aca="false">Sens!$I$10782+Sens!$I$10787+Sens!$I$10803+Sens!$I$10804-Sens!$I$10807</f>
        <v>30.8477542331752</v>
      </c>
      <c r="J10808" s="38" t="n">
        <f aca="false">Sens!$J$10782+Sens!$J$10787+Sens!$J$10803+Sens!$J$10804-Sens!$J$10807</f>
        <v>33.1031529576554</v>
      </c>
      <c r="K10808" s="38" t="n">
        <f aca="false">Sens!$K$10782+Sens!$K$10787+Sens!$K$10803+Sens!$K$10804-Sens!$K$10807</f>
        <v>35.5191471680237</v>
      </c>
      <c r="L10808" s="38" t="n">
        <f aca="false">Sens!$L$10782+Sens!$L$10787+Sens!$L$10803+Sens!$L$10804-Sens!$L$10807</f>
        <v>37.1581615725054</v>
      </c>
      <c r="M10808" s="38" t="n">
        <f aca="false">Sens!$M$10782+Sens!$M$10787+Sens!$M$10803+Sens!$M$10804-Sens!$M$10807</f>
        <v>39.5949485077261</v>
      </c>
      <c r="N10808" s="38" t="n">
        <f aca="false">Sens!$N$10782+Sens!$N$10787+Sens!$N$10803+Sens!$N$10804-Sens!$N$10807</f>
        <v>10.6495</v>
      </c>
      <c r="O10808" s="38" t="n">
        <f aca="false">Sens!$O$10782+Sens!$O$10787+Sens!$O$10803+Sens!$O$10804-Sens!$O$10807</f>
        <v>9.81200000000001</v>
      </c>
    </row>
    <row r="10809" customFormat="false" ht="17.15" hidden="false" customHeight="false" outlineLevel="0" collapsed="false">
      <c r="A10809" s="0" t="s">
        <v>742</v>
      </c>
      <c r="B10809" s="0" t="s">
        <v>86</v>
      </c>
      <c r="C10809" s="38" t="n">
        <f aca="false">Sens!$C$10789+Sens!$C$10805-ext_sh*Sens!$C$10724</f>
        <v>51.3470500115664</v>
      </c>
      <c r="D10809" s="38" t="n">
        <f aca="false">Sens!$D$10789+Sens!$D$10805-ext_sh*Sens!$D$10724</f>
        <v>60.2799375433739</v>
      </c>
      <c r="E10809" s="38" t="n">
        <f aca="false">Sens!$E$10789+Sens!$E$10805-ext_sh*Sens!$E$10724</f>
        <v>39.5095167090767</v>
      </c>
      <c r="F10809" s="38" t="n">
        <f aca="false">Sens!$F$10789+Sens!$F$10805-ext_sh*Sens!$F$10724</f>
        <v>37.993321722478</v>
      </c>
      <c r="G10809" s="38" t="n">
        <f aca="false">Sens!$G$10789+Sens!$G$10805-ext_sh*Sens!$G$10724</f>
        <v>77.5028384315548</v>
      </c>
      <c r="H10809" s="38" t="n">
        <f aca="false">Sens!$H$10789+Sens!$H$10805-ext_sh*Sens!$H$10724</f>
        <v>85.2394217279746</v>
      </c>
      <c r="I10809" s="38" t="n">
        <f aca="false">Sens!$I$10789+Sens!$I$10805-ext_sh*Sens!$I$10724</f>
        <v>94.6373589713254</v>
      </c>
      <c r="J10809" s="38" t="n">
        <f aca="false">Sens!$J$10789+Sens!$J$10805-ext_sh*Sens!$J$10724</f>
        <v>103.639899284146</v>
      </c>
      <c r="K10809" s="38" t="n">
        <f aca="false">Sens!$K$10789+Sens!$K$10805-ext_sh*Sens!$K$10724</f>
        <v>111.931091226878</v>
      </c>
      <c r="L10809" s="38" t="n">
        <f aca="false">Sens!$L$10789+Sens!$L$10805-ext_sh*Sens!$L$10724</f>
        <v>120.885578525028</v>
      </c>
      <c r="M10809" s="38" t="n">
        <f aca="false">Sens!$M$10789+Sens!$M$10805-ext_sh*Sens!$M$10724</f>
        <v>130.55642480703</v>
      </c>
      <c r="N10809" s="38" t="n">
        <f aca="false">Sens!$N$10789+Sens!$N$10805-ext_sh*Sens!$N$10724</f>
        <v>28.5693781401809</v>
      </c>
      <c r="O10809" s="38" t="n">
        <f aca="false">Sens!$O$10789+Sens!$O$10805-ext_sh*Sens!$O$10724</f>
        <v>31.7105594031931</v>
      </c>
    </row>
    <row r="10810" customFormat="false" ht="17.15" hidden="false" customHeight="false" outlineLevel="0" collapsed="false">
      <c r="A10810" s="0" t="s">
        <v>743</v>
      </c>
      <c r="B10810" s="0" t="s">
        <v>86</v>
      </c>
      <c r="C10810" s="38" t="n">
        <f aca="false">Sens!$C$10727</f>
        <v>1.80694998843362</v>
      </c>
      <c r="D10810" s="38" t="n">
        <f aca="false">Sens!$D$10727</f>
        <v>6.77606245662607</v>
      </c>
      <c r="E10810" s="38" t="n">
        <f aca="false">Sens!$E$10727</f>
        <v>6.62548329092326</v>
      </c>
      <c r="F10810" s="38" t="n">
        <f aca="false">Sens!$F$10727</f>
        <v>10.8940413794839</v>
      </c>
      <c r="G10810" s="38" t="n">
        <f aca="false">Sens!$G$10727</f>
        <v>17.5195246704072</v>
      </c>
      <c r="H10810" s="38" t="n">
        <f aca="false">Sens!$H$10727</f>
        <v>40.7735721541341</v>
      </c>
      <c r="I10810" s="38" t="n">
        <f aca="false">Sens!$I$10727</f>
        <v>66.8500163832358</v>
      </c>
      <c r="J10810" s="38" t="n">
        <f aca="false">Sens!$J$10727</f>
        <v>93.0640470849174</v>
      </c>
      <c r="K10810" s="38" t="n">
        <f aca="false">Sens!$K$10727</f>
        <v>115.424757703147</v>
      </c>
      <c r="L10810" s="38" t="n">
        <f aca="false">Sens!$L$10727</f>
        <v>130.120169833198</v>
      </c>
      <c r="M10810" s="38" t="n">
        <f aca="false">Sens!$M$10727</f>
        <v>137.12790595888</v>
      </c>
      <c r="N10810" s="38" t="n">
        <f aca="false">Sens!$N$10727</f>
        <v>2.37162185981912</v>
      </c>
      <c r="O10810" s="38" t="n">
        <f aca="false">Sens!$O$10727</f>
        <v>4.40444059680694</v>
      </c>
    </row>
    <row r="10811" customFormat="false" ht="17.15" hidden="false" customHeight="false" outlineLevel="0" collapsed="false">
      <c r="A10811" s="0" t="s">
        <v>744</v>
      </c>
      <c r="B10811" s="0" t="s">
        <v>86</v>
      </c>
      <c r="C10811" s="38" t="n">
        <f aca="false">Sens!$C$10792+Sens!$C$10806</f>
        <v>100.66</v>
      </c>
      <c r="D10811" s="38" t="n">
        <f aca="false">Sens!$D$10792+Sens!$D$10806</f>
        <v>121.835</v>
      </c>
      <c r="E10811" s="38" t="n">
        <f aca="false">Sens!$E$10792+Sens!$E$10806</f>
        <v>78.016</v>
      </c>
      <c r="F10811" s="38" t="n">
        <f aca="false">Sens!$F$10792+Sens!$F$10806</f>
        <v>84.8409879109264</v>
      </c>
      <c r="G10811" s="38" t="n">
        <f aca="false">Sens!$G$10792+Sens!$G$10806</f>
        <v>162.856987910926</v>
      </c>
      <c r="H10811" s="38" t="n">
        <f aca="false">Sens!$H$10792+Sens!$H$10806</f>
        <v>204.611543319808</v>
      </c>
      <c r="I10811" s="38" t="n">
        <f aca="false">Sens!$I$10792+Sens!$I$10806</f>
        <v>250.703205499643</v>
      </c>
      <c r="J10811" s="38" t="n">
        <f aca="false">Sens!$J$10792+Sens!$J$10806</f>
        <v>295.968307433679</v>
      </c>
      <c r="K10811" s="38" t="n">
        <f aca="false">Sens!$K$10792+Sens!$K$10806</f>
        <v>335.652325015705</v>
      </c>
      <c r="L10811" s="38" t="n">
        <f aca="false">Sens!$L$10792+Sens!$L$10806</f>
        <v>368.218971740153</v>
      </c>
      <c r="M10811" s="38" t="n">
        <f aca="false">Sens!$M$10792+Sens!$M$10806</f>
        <v>395.339847264001</v>
      </c>
      <c r="N10811" s="38" t="n">
        <f aca="false">Sens!$N$10792+Sens!$N$10806</f>
        <v>56.398</v>
      </c>
      <c r="O10811" s="38" t="n">
        <f aca="false">Sens!$O$10792+Sens!$O$10806</f>
        <v>65.437</v>
      </c>
    </row>
    <row r="10812" customFormat="false" ht="17.15" hidden="false" customHeight="false" outlineLevel="0" collapsed="false">
      <c r="A10812" s="1" t="s">
        <v>745</v>
      </c>
    </row>
    <row r="10813" customFormat="false" ht="15" hidden="false" customHeight="false" outlineLevel="0" collapsed="false">
      <c r="A10813" s="5" t="s">
        <v>541</v>
      </c>
      <c r="B10813" s="0" t="s">
        <v>86</v>
      </c>
      <c r="C10813" s="38" t="n">
        <f aca="false">Q!$D$34</f>
        <v>2.406</v>
      </c>
      <c r="D10813" s="38" t="n">
        <f aca="false">Q!$E$34</f>
        <v>2.274</v>
      </c>
      <c r="E10813" s="38" t="n">
        <f aca="false">Q!$P$34</f>
        <v>2.114</v>
      </c>
      <c r="F10813" s="38" t="n">
        <f aca="false">Sens!$F$10851</f>
        <v>3.24888962733561</v>
      </c>
      <c r="G10813" s="38" t="n">
        <f aca="false">Sens!$E$10813+Sens!$F$10813</f>
        <v>5.36288962733561</v>
      </c>
      <c r="H10813" s="38" t="n">
        <f aca="false">Sens!$H$10851</f>
        <v>7.42354172302123</v>
      </c>
      <c r="I10813" s="38" t="n">
        <f aca="false">Sens!$I$10851</f>
        <v>8.70015845851935</v>
      </c>
      <c r="J10813" s="38" t="n">
        <f aca="false">Sens!$J$10851</f>
        <v>10.4491444796108</v>
      </c>
      <c r="K10813" s="38" t="n">
        <f aca="false">Sens!$K$10851</f>
        <v>10.4491444796108</v>
      </c>
      <c r="L10813" s="38" t="n">
        <f aca="false">Sens!$L$10851</f>
        <v>10.4491444796108</v>
      </c>
      <c r="M10813" s="38" t="n">
        <f aca="false">Sens!$M$10851</f>
        <v>10.4491444796108</v>
      </c>
      <c r="N10813" s="38" t="n">
        <f aca="false">Q!$N$34</f>
        <v>1.057</v>
      </c>
      <c r="O10813" s="38" t="n">
        <f aca="false">Q!$O$34</f>
        <v>1.217</v>
      </c>
    </row>
    <row r="10814" customFormat="false" ht="15" hidden="false" customHeight="false" outlineLevel="0" collapsed="false">
      <c r="A10814" s="5" t="s">
        <v>746</v>
      </c>
      <c r="B10814" s="0" t="s">
        <v>86</v>
      </c>
      <c r="F10814" s="38" t="n">
        <f aca="false">Sens!$F$10852</f>
        <v>2.59</v>
      </c>
      <c r="H10814" s="38" t="n">
        <f aca="false">Sens!$H$10852</f>
        <v>3.77375334343987</v>
      </c>
      <c r="I10814" s="38" t="n">
        <f aca="false">Sens!$I$10852</f>
        <v>2.10589651022864</v>
      </c>
      <c r="J10814" s="38" t="n">
        <f aca="false">Sens!$J$10852</f>
        <v>2.10589651022864</v>
      </c>
      <c r="K10814" s="38" t="n">
        <f aca="false">Sens!$K$10852</f>
        <v>2.35916014245896</v>
      </c>
      <c r="L10814" s="38" t="n">
        <f aca="false">Sens!$L$10852</f>
        <v>6.43699600140942</v>
      </c>
      <c r="M10814" s="38" t="n">
        <f aca="false">Sens!$M$10852</f>
        <v>12.799621611954</v>
      </c>
    </row>
    <row r="10815" customFormat="false" ht="17.15" hidden="false" customHeight="false" outlineLevel="0" collapsed="false">
      <c r="A10815" s="5" t="s">
        <v>747</v>
      </c>
      <c r="B10815" s="0" t="s">
        <v>86</v>
      </c>
      <c r="C10815" s="38" t="n">
        <f aca="false">Q!$D$39</f>
        <v>2.427</v>
      </c>
      <c r="D10815" s="38" t="n">
        <f aca="false">Q!$E$39</f>
        <v>19.61</v>
      </c>
      <c r="E10815" s="38" t="n">
        <f aca="false">Q!$P$39</f>
        <v>71.492</v>
      </c>
      <c r="F10815" s="39" t="n">
        <v>0</v>
      </c>
      <c r="G10815" s="38" t="n">
        <f aca="false">Sens!$E$10815+Sens!$F$10815</f>
        <v>71.492</v>
      </c>
      <c r="H10815" s="39" t="n">
        <v>0</v>
      </c>
      <c r="I10815" s="39" t="n">
        <v>0</v>
      </c>
      <c r="J10815" s="39" t="n">
        <v>0</v>
      </c>
      <c r="K10815" s="39" t="n">
        <v>0</v>
      </c>
      <c r="L10815" s="39" t="n">
        <v>0</v>
      </c>
      <c r="M10815" s="39" t="n">
        <v>0</v>
      </c>
      <c r="N10815" s="38" t="n">
        <f aca="false">Q!$N$39</f>
        <v>6.017</v>
      </c>
      <c r="O10815" s="38" t="n">
        <f aca="false">Q!$O$39</f>
        <v>13.593</v>
      </c>
      <c r="P10815" s="5" t="s">
        <v>748</v>
      </c>
    </row>
    <row r="10816" customFormat="false" ht="15" hidden="false" customHeight="false" outlineLevel="0" collapsed="false">
      <c r="A10816" s="5" t="s">
        <v>544</v>
      </c>
      <c r="B10816" s="0" t="s">
        <v>86</v>
      </c>
      <c r="C10816" s="38" t="n">
        <f aca="false">Q!$D$36</f>
        <v>68.614</v>
      </c>
      <c r="D10816" s="38" t="n">
        <f aca="false">Q!$E$36</f>
        <v>97.311</v>
      </c>
      <c r="E10816" s="38" t="n">
        <f aca="false">Q!$P$36</f>
        <v>120.691</v>
      </c>
      <c r="F10816" s="38" t="n">
        <f aca="false">Sens!$F$10792-Sens!$F$10813+Sens!$F$10814+Sens!$F$10815</f>
        <v>54.8631356735638</v>
      </c>
      <c r="G10816" s="38" t="n">
        <f aca="false">Sens!$E$10816+Sens!$F$10816</f>
        <v>175.554135673564</v>
      </c>
      <c r="H10816" s="38" t="n">
        <f aca="false">Sens!$H$10792-Sens!$H$10813+Sens!$H$10814+Sens!$H$10815</f>
        <v>116.614795811134</v>
      </c>
      <c r="I10816" s="38" t="n">
        <f aca="false">Sens!$I$10792-Sens!$I$10813+Sens!$I$10814+Sens!$I$10815</f>
        <v>127.035104972763</v>
      </c>
      <c r="J10816" s="38" t="n">
        <f aca="false">Sens!$J$10792-Sens!$J$10813+Sens!$J$10814+Sens!$J$10815</f>
        <v>137.089915978334</v>
      </c>
      <c r="K10816" s="38" t="n">
        <f aca="false">Sens!$K$10792-Sens!$K$10813+Sens!$K$10814+Sens!$K$10815</f>
        <v>143.335709703871</v>
      </c>
      <c r="L10816" s="38" t="n">
        <f aca="false">Sens!$L$10792-Sens!$L$10813+Sens!$L$10814+Sens!$L$10815</f>
        <v>156.397084587126</v>
      </c>
      <c r="M10816" s="38" t="n">
        <f aca="false">Sens!$M$10792-Sens!$M$10813+Sens!$M$10814+Sens!$M$10815</f>
        <v>173.642680473019</v>
      </c>
      <c r="N10816" s="38" t="n">
        <f aca="false">Q!$N$36</f>
        <v>42.536</v>
      </c>
      <c r="O10816" s="38" t="n">
        <f aca="false">Q!$O$36</f>
        <v>54.775</v>
      </c>
    </row>
    <row r="10817" customFormat="false" ht="15" hidden="false" customHeight="false" outlineLevel="0" collapsed="false">
      <c r="A10817" s="5" t="s">
        <v>545</v>
      </c>
      <c r="B10817" s="0" t="s">
        <v>86</v>
      </c>
      <c r="C10817" s="38" t="n">
        <f aca="false">Q!$D$37</f>
        <v>9.265</v>
      </c>
      <c r="D10817" s="38" t="n">
        <f aca="false">Q!$E$37</f>
        <v>19.087</v>
      </c>
      <c r="E10817" s="38" t="n">
        <f aca="false">Q!$P$37</f>
        <v>27.759</v>
      </c>
      <c r="F10817" s="38" t="n">
        <f aca="false">Sens!$F$10816*tax</f>
        <v>9.52339143484069</v>
      </c>
      <c r="G10817" s="38" t="n">
        <f aca="false">Sens!$E$10817+Sens!$F$10817</f>
        <v>37.2823914348407</v>
      </c>
      <c r="H10817" s="38" t="n">
        <f aca="false">Sens!$H$10816*tax</f>
        <v>20.2425241278833</v>
      </c>
      <c r="I10817" s="38" t="n">
        <f aca="false">Sens!$I$10816*tax</f>
        <v>22.0513285609494</v>
      </c>
      <c r="J10817" s="38" t="n">
        <f aca="false">Sens!$J$10816*tax</f>
        <v>23.7966881696153</v>
      </c>
      <c r="K10817" s="38" t="n">
        <f aca="false">Sens!$K$10816*tax</f>
        <v>24.8808613168352</v>
      </c>
      <c r="L10817" s="38" t="n">
        <f aca="false">Sens!$L$10816*tax</f>
        <v>27.1481138929648</v>
      </c>
      <c r="M10817" s="38" t="n">
        <f aca="false">Sens!$M$10816*tax</f>
        <v>30.141682491115</v>
      </c>
      <c r="N10817" s="38" t="n">
        <f aca="false">Q!$N$37</f>
        <v>7.231</v>
      </c>
      <c r="O10817" s="38" t="n">
        <f aca="false">Q!$O$37</f>
        <v>11.856</v>
      </c>
    </row>
    <row r="10818" customFormat="false" ht="15" hidden="false" customHeight="false" outlineLevel="0" collapsed="false">
      <c r="A10818" s="3" t="s">
        <v>546</v>
      </c>
      <c r="B10818" s="8" t="s">
        <v>86</v>
      </c>
      <c r="C10818" s="38" t="n">
        <f aca="false">Q!$D$38</f>
        <v>59.248</v>
      </c>
      <c r="D10818" s="38" t="n">
        <f aca="false">Q!$E$38</f>
        <v>77.67</v>
      </c>
      <c r="E10818" s="38" t="n">
        <f aca="false">Q!$P$38</f>
        <v>92.902</v>
      </c>
      <c r="F10818" s="38" t="n">
        <f aca="false">Sens!$F$10816-Sens!$F$10817</f>
        <v>45.3397442387231</v>
      </c>
      <c r="G10818" s="38" t="n">
        <f aca="false">Sens!$E$10818+Sens!$F$10818</f>
        <v>138.241744238723</v>
      </c>
      <c r="H10818" s="38" t="n">
        <f aca="false">Sens!$H$10816-Sens!$H$10817</f>
        <v>96.3722716832509</v>
      </c>
      <c r="I10818" s="38" t="n">
        <f aca="false">Sens!$I$10816-Sens!$I$10817</f>
        <v>104.983776411814</v>
      </c>
      <c r="J10818" s="38" t="n">
        <f aca="false">Sens!$J$10816-Sens!$J$10817</f>
        <v>113.293227808719</v>
      </c>
      <c r="K10818" s="38" t="n">
        <f aca="false">Sens!$K$10816-Sens!$K$10817</f>
        <v>118.454848387036</v>
      </c>
      <c r="L10818" s="38" t="n">
        <f aca="false">Sens!$L$10816-Sens!$L$10817</f>
        <v>129.248970694161</v>
      </c>
      <c r="M10818" s="38" t="n">
        <f aca="false">Sens!$M$10816-Sens!$M$10817</f>
        <v>143.500997981904</v>
      </c>
      <c r="N10818" s="38" t="n">
        <f aca="false">Q!$N$38</f>
        <v>35.291</v>
      </c>
      <c r="O10818" s="38" t="n">
        <f aca="false">Q!$O$38</f>
        <v>42.379</v>
      </c>
    </row>
    <row r="10819" customFormat="false" ht="17.15" hidden="false" customHeight="false" outlineLevel="0" collapsed="false">
      <c r="A10819" s="5" t="s">
        <v>549</v>
      </c>
      <c r="B10819" s="5" t="s">
        <v>33</v>
      </c>
      <c r="C10819" s="22" t="n">
        <f aca="false">Q!$D$41</f>
        <v>10.721</v>
      </c>
      <c r="D10819" s="22" t="n">
        <f aca="false">Q!$E$41</f>
        <v>10.827</v>
      </c>
      <c r="E10819" s="22" t="n">
        <f aca="false">(Q!$L$41+Q!$M$41)/2</f>
        <v>10.8885</v>
      </c>
      <c r="F10819" s="22" t="n">
        <f aca="false">Sens!$G$10819</f>
        <v>10.924806</v>
      </c>
      <c r="G10819" s="22" t="n">
        <f aca="false">Q!$M$41*(1+sh_g*0.25)</f>
        <v>10.924806</v>
      </c>
      <c r="H10819" s="22" t="n">
        <f aca="false">Sens!$G$10819*(1+sh_g)</f>
        <v>11.012204448</v>
      </c>
      <c r="I10819" s="22" t="n">
        <f aca="false">Sens!$H$10819*(1+sh_g)</f>
        <v>11.100302083584</v>
      </c>
      <c r="J10819" s="22" t="n">
        <f aca="false">Sens!$I$10819*(1+sh_g)</f>
        <v>11.1891045002527</v>
      </c>
      <c r="K10819" s="22" t="n">
        <f aca="false">Sens!$J$10819*(1+sh_g)</f>
        <v>11.2786173362547</v>
      </c>
      <c r="L10819" s="22" t="n">
        <f aca="false">Sens!$K$10819*(1+sh_g)</f>
        <v>11.3688462749447</v>
      </c>
      <c r="M10819" s="22" t="n">
        <f aca="false">Sens!$L$10819*(1+sh_g)</f>
        <v>11.4597970451443</v>
      </c>
      <c r="P10819" s="5" t="s">
        <v>749</v>
      </c>
    </row>
    <row r="10820" customFormat="false" ht="17.15" hidden="false" customHeight="false" outlineLevel="0" collapsed="false">
      <c r="A10820" s="5" t="s">
        <v>750</v>
      </c>
      <c r="B10820" s="0" t="s">
        <v>86</v>
      </c>
      <c r="C10820" s="38" t="n">
        <f aca="false">Sens!$C$10818+Sens!$C$10794*(1-tax)</f>
        <v>59.248</v>
      </c>
      <c r="D10820" s="38" t="n">
        <f aca="false">Sens!$D$10818+Sens!$D$10794*(1-tax)</f>
        <v>77.67</v>
      </c>
      <c r="E10820" s="38" t="n">
        <f aca="false">Sens!$E$10818+Sens!$E$10794*(1-tax)</f>
        <v>92.902</v>
      </c>
      <c r="F10820" s="38" t="n">
        <f aca="false">Sens!$F$10818+Sens!$F$10794*(1-tax)</f>
        <v>45.3397442387231</v>
      </c>
      <c r="G10820" s="38" t="n">
        <f aca="false">Sens!$G$10818+Sens!$G$10794*(1-tax)</f>
        <v>138.241744238723</v>
      </c>
      <c r="H10820" s="38" t="n">
        <f aca="false">Sens!$H$10818+Sens!$H$10794*(1-tax)</f>
        <v>96.3722716832509</v>
      </c>
      <c r="I10820" s="38" t="n">
        <f aca="false">Sens!$I$10818+Sens!$I$10794*(1-tax)</f>
        <v>104.983776411814</v>
      </c>
      <c r="J10820" s="38" t="n">
        <f aca="false">Sens!$J$10818+Sens!$J$10794*(1-tax)</f>
        <v>113.293227808719</v>
      </c>
      <c r="K10820" s="38" t="n">
        <f aca="false">Sens!$K$10818+Sens!$K$10794*(1-tax)</f>
        <v>118.454848387036</v>
      </c>
      <c r="L10820" s="38" t="n">
        <f aca="false">Sens!$L$10818+Sens!$L$10794*(1-tax)</f>
        <v>129.248970694161</v>
      </c>
      <c r="M10820" s="38" t="n">
        <f aca="false">Sens!$M$10818+Sens!$M$10794*(1-tax)</f>
        <v>143.500997981904</v>
      </c>
      <c r="N10820" s="38" t="n">
        <f aca="false">Sens!$N$10818+Sens!$N$10794*(1-tax)</f>
        <v>35.291</v>
      </c>
      <c r="O10820" s="38" t="n">
        <f aca="false">Sens!$O$10818+Sens!$O$10794*(1-tax)</f>
        <v>42.379</v>
      </c>
    </row>
    <row r="10821" customFormat="false" ht="17.15" hidden="false" customHeight="false" outlineLevel="0" collapsed="false">
      <c r="A10821" s="43" t="s">
        <v>751</v>
      </c>
      <c r="B10821" s="14" t="s">
        <v>27</v>
      </c>
      <c r="C10821" s="44" t="n">
        <f aca="false">Sens!$C$10820/Sens!$C$10819</f>
        <v>5.52635015390355</v>
      </c>
      <c r="D10821" s="44" t="n">
        <f aca="false">Sens!$D$10820/Sens!$D$10819</f>
        <v>7.1737323358271</v>
      </c>
      <c r="E10821" s="44" t="n">
        <f aca="false">Sens!$E$10820/Sens!$E$10819</f>
        <v>8.53212104513937</v>
      </c>
      <c r="F10821" s="14"/>
      <c r="G10821" s="44" t="n">
        <f aca="false">Sens!$G$10820/Sens!$G$10819</f>
        <v>12.6539312678617</v>
      </c>
      <c r="H10821" s="44" t="n">
        <f aca="false">Sens!$H$10820/Sens!$H$10819</f>
        <v>8.75140596402146</v>
      </c>
      <c r="I10821" s="44" t="n">
        <f aca="false">Sens!$I$10820/Sens!$I$10819</f>
        <v>9.45774048501544</v>
      </c>
      <c r="J10821" s="44" t="n">
        <f aca="false">Sens!$J$10820/Sens!$J$10819</f>
        <v>10.1253168031598</v>
      </c>
      <c r="K10821" s="44" t="n">
        <f aca="false">Sens!$K$10820/Sens!$K$10819</f>
        <v>10.5026037195417</v>
      </c>
      <c r="L10821" s="44" t="n">
        <f aca="false">Sens!$L$10820/Sens!$L$10819</f>
        <v>11.3686971895299</v>
      </c>
      <c r="M10821" s="44" t="n">
        <f aca="false">Sens!$M$10820/Sens!$M$10819</f>
        <v>12.5221238575693</v>
      </c>
      <c r="N10821" s="14"/>
      <c r="O10821" s="14"/>
    </row>
    <row r="10822" customFormat="false" ht="17.15" hidden="false" customHeight="false" outlineLevel="0" collapsed="false">
      <c r="A10822" s="0" t="s">
        <v>752</v>
      </c>
      <c r="B10822" s="0" t="s">
        <v>27</v>
      </c>
      <c r="C10822" s="30" t="n">
        <f aca="false">Sens!$C$10818/Sens!$C$10819</f>
        <v>5.52635015390355</v>
      </c>
      <c r="D10822" s="30" t="n">
        <f aca="false">Sens!$D$10818/Sens!$D$10819</f>
        <v>7.1737323358271</v>
      </c>
      <c r="E10822" s="30" t="n">
        <f aca="false">Sens!$E$10818/Sens!$E$10819</f>
        <v>8.53212104513937</v>
      </c>
      <c r="G10822" s="30" t="n">
        <f aca="false">Sens!$G$10818/Sens!$G$10819</f>
        <v>12.6539312678617</v>
      </c>
      <c r="H10822" s="30" t="n">
        <f aca="false">Sens!$H$10818/Sens!$H$10819</f>
        <v>8.75140596402146</v>
      </c>
      <c r="I10822" s="30" t="n">
        <f aca="false">Sens!$I$10818/Sens!$I$10819</f>
        <v>9.45774048501544</v>
      </c>
      <c r="J10822" s="30" t="n">
        <f aca="false">Sens!$J$10818/Sens!$J$10819</f>
        <v>10.1253168031598</v>
      </c>
      <c r="K10822" s="30" t="n">
        <f aca="false">Sens!$K$10818/Sens!$K$10819</f>
        <v>10.5026037195417</v>
      </c>
      <c r="L10822" s="30" t="n">
        <f aca="false">Sens!$L$10818/Sens!$L$10819</f>
        <v>11.3686971895299</v>
      </c>
      <c r="M10822" s="30" t="n">
        <f aca="false">Sens!$M$10818/Sens!$M$10819</f>
        <v>12.5221238575693</v>
      </c>
    </row>
    <row r="10823" customFormat="false" ht="17.15" hidden="false" customHeight="false" outlineLevel="0" collapsed="false">
      <c r="A10823" s="0" t="s">
        <v>753</v>
      </c>
      <c r="B10823" s="0" t="s">
        <v>27</v>
      </c>
      <c r="C10823" s="30" t="n">
        <f aca="false">(Sens!$C$10818-Sens!$C$10815*(1-tax))/Sens!$C$10819</f>
        <v>5.33926775917445</v>
      </c>
      <c r="D10823" s="30" t="n">
        <f aca="false">(Sens!$D$10818-Sens!$D$10815*(1-tax))/Sens!$D$10819</f>
        <v>5.67691812755503</v>
      </c>
      <c r="E10823" s="30" t="n">
        <f aca="false">(Sens!$E$10818-Sens!$E$10815*(1-tax))/Sens!$E$10819</f>
        <v>3.10602057006846</v>
      </c>
      <c r="G10823" s="30" t="n">
        <f aca="false">(Sens!$G$10818-Sens!$G$10815*(1-tax))/Sens!$G$10819</f>
        <v>7.24586314996472</v>
      </c>
      <c r="H10823" s="30" t="n">
        <f aca="false">(Sens!$H$10818-Sens!$H$10815*(1-tax))/Sens!$H$10819</f>
        <v>8.75140596402146</v>
      </c>
      <c r="I10823" s="30" t="n">
        <f aca="false">(Sens!$I$10818-Sens!$I$10815*(1-tax))/Sens!$I$10819</f>
        <v>9.45774048501544</v>
      </c>
      <c r="J10823" s="30" t="n">
        <f aca="false">(Sens!$J$10818-Sens!$J$10815*(1-tax))/Sens!$J$10819</f>
        <v>10.1253168031598</v>
      </c>
      <c r="K10823" s="30" t="n">
        <f aca="false">(Sens!$K$10818-Sens!$K$10815*(1-tax))/Sens!$K$10819</f>
        <v>10.5026037195417</v>
      </c>
      <c r="L10823" s="30" t="n">
        <f aca="false">(Sens!$L$10818-Sens!$L$10815*(1-tax))/Sens!$L$10819</f>
        <v>11.3686971895299</v>
      </c>
      <c r="M10823" s="30" t="n">
        <f aca="false">(Sens!$M$10818-Sens!$M$10815*(1-tax))/Sens!$M$10819</f>
        <v>12.5221238575693</v>
      </c>
      <c r="P10823" s="5" t="s">
        <v>754</v>
      </c>
    </row>
    <row r="10824" customFormat="false" ht="17.15" hidden="false" customHeight="false" outlineLevel="0" collapsed="false">
      <c r="A10824" s="0" t="s">
        <v>755</v>
      </c>
      <c r="B10824" s="0" t="s">
        <v>52</v>
      </c>
      <c r="H10824" s="13" t="n">
        <f aca="false">Sens!$H$10821/Sens!$G$10821-1</f>
        <v>-0.308404180584719</v>
      </c>
      <c r="I10824" s="13" t="n">
        <f aca="false">Sens!$I$10821/Sens!$H$10821-1</f>
        <v>0.0807109764874168</v>
      </c>
      <c r="J10824" s="13" t="n">
        <f aca="false">Sens!$J$10821/Sens!$I$10821-1</f>
        <v>0.0705851803823547</v>
      </c>
      <c r="K10824" s="13" t="n">
        <f aca="false">Sens!$K$10821/Sens!$J$10821-1</f>
        <v>0.0372617394316159</v>
      </c>
      <c r="L10824" s="13" t="n">
        <f aca="false">Sens!$L$10821/Sens!$K$10821-1</f>
        <v>0.0824646433509371</v>
      </c>
      <c r="M10824" s="13" t="n">
        <f aca="false">Sens!$M$10821/Sens!$L$10821-1</f>
        <v>0.10145636292448</v>
      </c>
    </row>
    <row r="10827" customFormat="false" ht="19.4" hidden="false" customHeight="false" outlineLevel="0" collapsed="false">
      <c r="A10827" s="31" t="s">
        <v>1350</v>
      </c>
    </row>
    <row r="10828" customFormat="false" ht="17.15" hidden="false" customHeight="false" outlineLevel="0" collapsed="false">
      <c r="A10828" s="6" t="s">
        <v>16</v>
      </c>
      <c r="B10828" s="6" t="s">
        <v>17</v>
      </c>
      <c r="C10828" s="20" t="s">
        <v>494</v>
      </c>
      <c r="D10828" s="20" t="s">
        <v>495</v>
      </c>
      <c r="E10828" s="20" t="s">
        <v>577</v>
      </c>
      <c r="F10828" s="20" t="s">
        <v>578</v>
      </c>
      <c r="G10828" s="20" t="s">
        <v>579</v>
      </c>
      <c r="H10828" s="20" t="s">
        <v>580</v>
      </c>
      <c r="I10828" s="20" t="s">
        <v>581</v>
      </c>
      <c r="J10828" s="20" t="s">
        <v>582</v>
      </c>
      <c r="K10828" s="20" t="s">
        <v>583</v>
      </c>
      <c r="L10828" s="20" t="s">
        <v>584</v>
      </c>
      <c r="M10828" s="20" t="s">
        <v>585</v>
      </c>
      <c r="N10828" s="20" t="s">
        <v>586</v>
      </c>
      <c r="O10828" s="20" t="s">
        <v>587</v>
      </c>
      <c r="P10828" s="6" t="s">
        <v>23</v>
      </c>
      <c r="R10828" s="20" t="n">
        <v>2023</v>
      </c>
      <c r="S10828" s="20" t="n">
        <v>2024</v>
      </c>
      <c r="T10828" s="20" t="n">
        <v>2025</v>
      </c>
      <c r="U10828" s="20" t="n">
        <v>2026</v>
      </c>
      <c r="V10828" s="20" t="n">
        <v>2027</v>
      </c>
      <c r="W10828" s="20" t="n">
        <v>2028</v>
      </c>
      <c r="X10828" s="20" t="n">
        <v>2029</v>
      </c>
      <c r="Y10828" s="20" t="n">
        <v>2030</v>
      </c>
      <c r="Z10828" s="20" t="n">
        <v>2031</v>
      </c>
      <c r="AA10828" s="20" t="n">
        <v>2032</v>
      </c>
    </row>
    <row r="10829" customFormat="false" ht="15" hidden="false" customHeight="false" outlineLevel="0" collapsed="false">
      <c r="A10829" s="5" t="s">
        <v>546</v>
      </c>
      <c r="B10829" s="0" t="s">
        <v>86</v>
      </c>
      <c r="C10829" s="38" t="n">
        <f aca="false">Sens!$C$10818</f>
        <v>59.248</v>
      </c>
      <c r="D10829" s="38" t="n">
        <f aca="false">Sens!$D$10818</f>
        <v>77.67</v>
      </c>
      <c r="E10829" s="38" t="n">
        <f aca="false">Sens!$E$10818</f>
        <v>92.902</v>
      </c>
      <c r="F10829" s="38" t="n">
        <f aca="false">Sens!$F$10818</f>
        <v>45.3397442387231</v>
      </c>
      <c r="G10829" s="38" t="n">
        <f aca="false">Sens!$G$10818</f>
        <v>138.241744238723</v>
      </c>
      <c r="H10829" s="38" t="n">
        <f aca="false">Sens!$H$10818</f>
        <v>96.3722716832509</v>
      </c>
      <c r="I10829" s="38" t="n">
        <f aca="false">Sens!$I$10818</f>
        <v>104.983776411814</v>
      </c>
      <c r="J10829" s="38" t="n">
        <f aca="false">Sens!$J$10818</f>
        <v>113.293227808719</v>
      </c>
      <c r="K10829" s="38" t="n">
        <f aca="false">Sens!$K$10818</f>
        <v>118.454848387036</v>
      </c>
      <c r="L10829" s="38" t="n">
        <f aca="false">Sens!$L$10818</f>
        <v>129.248970694161</v>
      </c>
      <c r="M10829" s="38" t="n">
        <f aca="false">Sens!$M$10818</f>
        <v>143.500997981904</v>
      </c>
    </row>
    <row r="10830" customFormat="false" ht="17.15" hidden="false" customHeight="false" outlineLevel="0" collapsed="false">
      <c r="A10830" s="5" t="s">
        <v>778</v>
      </c>
      <c r="B10830" s="0" t="s">
        <v>86</v>
      </c>
      <c r="C10830" s="38" t="n">
        <f aca="false">Sens!$C$10806</f>
        <v>32.067</v>
      </c>
      <c r="D10830" s="38" t="n">
        <f aca="false">Sens!$D$10806</f>
        <v>41.86</v>
      </c>
      <c r="E10830" s="38" t="n">
        <f aca="false">Sens!$E$10806</f>
        <v>26.703</v>
      </c>
      <c r="F10830" s="38" t="n">
        <f aca="false">Sens!$F$10806</f>
        <v>29.3189626100269</v>
      </c>
      <c r="G10830" s="38" t="n">
        <f aca="false">Sens!$G$10806</f>
        <v>56.0219626100269</v>
      </c>
      <c r="H10830" s="38" t="n">
        <f aca="false">Sens!$H$10806</f>
        <v>84.3469591290926</v>
      </c>
      <c r="I10830" s="38" t="n">
        <f aca="false">Sens!$I$10806</f>
        <v>117.073838578589</v>
      </c>
      <c r="J10830" s="38" t="n">
        <f aca="false">Sens!$J$10806</f>
        <v>150.535143485963</v>
      </c>
      <c r="K10830" s="38" t="n">
        <f aca="false">Sens!$K$10806</f>
        <v>184.226630974683</v>
      </c>
      <c r="L10830" s="38" t="n">
        <f aca="false">Sens!$L$10806</f>
        <v>207.809738674826</v>
      </c>
      <c r="M10830" s="38" t="n">
        <f aca="false">Sens!$M$10806</f>
        <v>224.047643923325</v>
      </c>
    </row>
    <row r="10831" customFormat="false" ht="15" hidden="false" customHeight="false" outlineLevel="0" collapsed="false">
      <c r="A10831" s="5" t="s">
        <v>779</v>
      </c>
      <c r="B10831" s="0" t="s">
        <v>86</v>
      </c>
      <c r="C10831" s="38" t="n">
        <f aca="false">Q!$D$48</f>
        <v>22.011</v>
      </c>
      <c r="D10831" s="38" t="n">
        <f aca="false">Q!$E$48</f>
        <v>19.467</v>
      </c>
      <c r="E10831" s="38" t="n">
        <f aca="false">Q!$P$48</f>
        <v>10.07</v>
      </c>
      <c r="F10831" s="38" t="n">
        <f aca="false">sbc_r*Sens!$F$10748</f>
        <v>10.8507035798037</v>
      </c>
      <c r="G10831" s="38" t="n">
        <f aca="false">Sens!$E$10831+Sens!$F$10831</f>
        <v>20.9207035798037</v>
      </c>
      <c r="H10831" s="38" t="n">
        <f aca="false">sbc_r*Sens!$H$10748</f>
        <v>23.3171112821385</v>
      </c>
      <c r="I10831" s="38" t="n">
        <f aca="false">sbc_r*Sens!$I$10748</f>
        <v>26.2962938197157</v>
      </c>
      <c r="J10831" s="38" t="n">
        <f aca="false">sbc_r*Sens!$J$10748</f>
        <v>29.1396836347783</v>
      </c>
      <c r="K10831" s="38" t="n">
        <f aca="false">sbc_r*Sens!$K$10748</f>
        <v>31.6360656827684</v>
      </c>
      <c r="L10831" s="38" t="n">
        <f aca="false">sbc_r*Sens!$L$10748</f>
        <v>34.0081575093678</v>
      </c>
      <c r="M10831" s="38" t="n">
        <f aca="false">sbc_r*Sens!$M$10748</f>
        <v>36.2650544790083</v>
      </c>
    </row>
    <row r="10832" customFormat="false" ht="17.15" hidden="false" customHeight="false" outlineLevel="0" collapsed="false">
      <c r="A10832" s="5" t="s">
        <v>780</v>
      </c>
      <c r="B10832" s="0" t="s">
        <v>86</v>
      </c>
      <c r="C10832" s="38" t="n">
        <f aca="false">Q!$D$44-Sens!$C$10829-Sens!$C$10830-Sens!$C$10831</f>
        <v>2.551</v>
      </c>
      <c r="D10832" s="38" t="n">
        <f aca="false">Q!$E$44-Sens!$D$10829-Sens!$D$10830-Sens!$D$10831</f>
        <v>0.51700000000001</v>
      </c>
      <c r="E10832" s="38" t="n">
        <f aca="false">Q!$P$44-Sens!$E$10829-Sens!$E$10830-Sens!$E$10831</f>
        <v>-58.256</v>
      </c>
      <c r="F10832" s="38" t="n">
        <f aca="false">oth_r*Sens!$F$10748</f>
        <v>5.22265251035878</v>
      </c>
      <c r="G10832" s="38" t="n">
        <f aca="false">Sens!$E$10832+Sens!$F$10832</f>
        <v>-53.0333474896412</v>
      </c>
      <c r="H10832" s="38" t="n">
        <f aca="false">oth_r*Sens!$H$10748</f>
        <v>11.222974517398</v>
      </c>
      <c r="I10832" s="38" t="n">
        <f aca="false">oth_r*Sens!$I$10748</f>
        <v>12.6569124223699</v>
      </c>
      <c r="J10832" s="38" t="n">
        <f aca="false">oth_r*Sens!$J$10748</f>
        <v>14.0254906759686</v>
      </c>
      <c r="K10832" s="38" t="n">
        <f aca="false">oth_r*Sens!$K$10748</f>
        <v>15.2270474113325</v>
      </c>
      <c r="L10832" s="38" t="n">
        <f aca="false">oth_r*Sens!$L$10748</f>
        <v>16.3687808705387</v>
      </c>
      <c r="M10832" s="38" t="n">
        <f aca="false">oth_r*Sens!$M$10748</f>
        <v>17.4550688275753</v>
      </c>
      <c r="P10832" s="8" t="s">
        <v>781</v>
      </c>
    </row>
    <row r="10833" customFormat="false" ht="15" hidden="false" customHeight="false" outlineLevel="0" collapsed="false">
      <c r="A10833" s="3" t="s">
        <v>552</v>
      </c>
      <c r="B10833" s="8" t="s">
        <v>86</v>
      </c>
      <c r="C10833" s="38" t="n">
        <f aca="false">Q!$D$44</f>
        <v>115.877</v>
      </c>
      <c r="D10833" s="38" t="n">
        <f aca="false">Q!$E$44</f>
        <v>139.514</v>
      </c>
      <c r="E10833" s="38" t="n">
        <f aca="false">Q!$P$44</f>
        <v>71.419</v>
      </c>
      <c r="F10833" s="38" t="n">
        <f aca="false">Sens!$F$10829+Sens!$F$10830+Sens!$F$10831+Sens!$F$10832</f>
        <v>90.7320629389125</v>
      </c>
      <c r="G10833" s="38" t="n">
        <f aca="false">Sens!$E$10833+Sens!$F$10833</f>
        <v>162.151062938913</v>
      </c>
      <c r="H10833" s="38" t="n">
        <f aca="false">Sens!$H$10829+Sens!$H$10830+Sens!$H$10831+Sens!$H$10832</f>
        <v>215.25931661188</v>
      </c>
      <c r="I10833" s="38" t="n">
        <f aca="false">Sens!$I$10829+Sens!$I$10830+Sens!$I$10831+Sens!$I$10832</f>
        <v>261.010821232489</v>
      </c>
      <c r="J10833" s="38" t="n">
        <f aca="false">Sens!$J$10829+Sens!$J$10830+Sens!$J$10831+Sens!$J$10832</f>
        <v>306.993545605429</v>
      </c>
      <c r="K10833" s="38" t="n">
        <f aca="false">Sens!$K$10829+Sens!$K$10830+Sens!$K$10831+Sens!$K$10832</f>
        <v>349.544592455819</v>
      </c>
      <c r="L10833" s="38" t="n">
        <f aca="false">Sens!$L$10829+Sens!$L$10830+Sens!$L$10831+Sens!$L$10832</f>
        <v>387.435647748894</v>
      </c>
      <c r="M10833" s="38" t="n">
        <f aca="false">Sens!$M$10829+Sens!$M$10830+Sens!$M$10831+Sens!$M$10832</f>
        <v>421.268765211812</v>
      </c>
    </row>
    <row r="10834" customFormat="false" ht="17.15" hidden="false" customHeight="false" outlineLevel="0" collapsed="false">
      <c r="A10834" s="5" t="s">
        <v>782</v>
      </c>
      <c r="B10834" s="0" t="s">
        <v>86</v>
      </c>
      <c r="C10834" s="38" t="n">
        <f aca="false">Sens!$C$10717</f>
        <v>25.2781053077374</v>
      </c>
      <c r="D10834" s="38" t="n">
        <f aca="false">Sens!$D$10717</f>
        <v>69.5686316310026</v>
      </c>
      <c r="E10834" s="38" t="n">
        <f aca="false">Sens!$E$10717</f>
        <v>64.1899206485108</v>
      </c>
      <c r="F10834" s="38" t="n">
        <f aca="false">Sens!$F$10717</f>
        <v>96.2481299895</v>
      </c>
      <c r="G10834" s="38" t="n">
        <f aca="false">Sens!$G$10717</f>
        <v>160.438050638011</v>
      </c>
      <c r="H10834" s="38" t="n">
        <f aca="false">Sens!$H$10717</f>
        <v>198.57136494475</v>
      </c>
      <c r="I10834" s="38" t="n">
        <f aca="false">Sens!$I$10717</f>
        <v>204.6464699105</v>
      </c>
      <c r="J10834" s="38" t="n">
        <f aca="false">Sens!$J$10717</f>
        <v>209.8832381105</v>
      </c>
      <c r="K10834" s="38" t="n">
        <f aca="false">Sens!$K$10717</f>
        <v>155.238385275201</v>
      </c>
      <c r="L10834" s="38" t="n">
        <f aca="false">Sens!$L$10717</f>
        <v>132.014141639902</v>
      </c>
      <c r="M10834" s="38" t="n">
        <f aca="false">Sens!$M$10717</f>
        <v>132.230981659852</v>
      </c>
    </row>
    <row r="10835" customFormat="false" ht="17.15" hidden="false" customHeight="false" outlineLevel="0" collapsed="false">
      <c r="A10835" s="5" t="s">
        <v>783</v>
      </c>
      <c r="B10835" s="0" t="s">
        <v>86</v>
      </c>
      <c r="C10835" s="38" t="n">
        <f aca="false">cx_awso*Sens!$C$10746</f>
        <v>21.0469989286053</v>
      </c>
      <c r="D10835" s="38" t="n">
        <f aca="false">cx_awso*Sens!$D$10746</f>
        <v>24.0042459822698</v>
      </c>
      <c r="E10835" s="38" t="n">
        <f aca="false">cx_awso*Sens!$E$10746</f>
        <v>14.261729404886</v>
      </c>
      <c r="F10835" s="38" t="n">
        <f aca="false">cx_awso*Sens!$F$10746</f>
        <v>14.3538599588493</v>
      </c>
      <c r="G10835" s="38" t="n">
        <f aca="false">Sens!$E$10835+Sens!$F$10835</f>
        <v>28.6155893637353</v>
      </c>
      <c r="H10835" s="38" t="n">
        <f aca="false">cx_awso*Sens!$H$10746</f>
        <v>32.2034154158406</v>
      </c>
      <c r="I10835" s="38" t="n">
        <f aca="false">cx_awso*Sens!$I$10746</f>
        <v>35.7539519042915</v>
      </c>
      <c r="J10835" s="38" t="n">
        <f aca="false">cx_awso*Sens!$J$10746</f>
        <v>39.1551076091815</v>
      </c>
      <c r="K10835" s="38" t="n">
        <f aca="false">cx_awso*Sens!$K$10746</f>
        <v>42.287516217916</v>
      </c>
      <c r="L10835" s="38" t="n">
        <f aca="false">cx_awso*Sens!$L$10746</f>
        <v>45.6705175153492</v>
      </c>
      <c r="M10835" s="38" t="n">
        <f aca="false">cx_awso*Sens!$M$10746</f>
        <v>49.3241589165772</v>
      </c>
    </row>
    <row r="10836" customFormat="false" ht="17.15" hidden="false" customHeight="false" outlineLevel="0" collapsed="false">
      <c r="A10836" s="5" t="s">
        <v>784</v>
      </c>
      <c r="B10836" s="0" t="s">
        <v>86</v>
      </c>
      <c r="C10836" s="38" t="n">
        <f aca="false">Q!$D$46-Sens!$C$10834-Sens!$C$10835</f>
        <v>31.3328957636573</v>
      </c>
      <c r="D10836" s="38" t="n">
        <f aca="false">Q!$E$46-Sens!$D$10834-Sens!$D$10835</f>
        <v>34.7471223867276</v>
      </c>
      <c r="E10836" s="38" t="n">
        <f aca="false">Q!$P$46-Sens!$E$10834-Sens!$E$10835</f>
        <v>17.8583499466032</v>
      </c>
      <c r="F10836" s="38" t="n">
        <f aca="false">cx_rt*Sens!$F$10680</f>
        <v>20.668385464891</v>
      </c>
      <c r="G10836" s="38" t="n">
        <f aca="false">Sens!$E$10836+Sens!$F$10836</f>
        <v>38.5267354114942</v>
      </c>
      <c r="H10836" s="38" t="n">
        <f aca="false">cx_rt*Sens!$H$10680</f>
        <v>42.6519437169003</v>
      </c>
      <c r="I10836" s="38" t="n">
        <f aca="false">cx_rt*Sens!$I$10680</f>
        <v>46.640510335413</v>
      </c>
      <c r="J10836" s="38" t="n">
        <f aca="false">cx_rt*Sens!$J$10680</f>
        <v>50.3419976462216</v>
      </c>
      <c r="K10836" s="38" t="n">
        <f aca="false">cx_rt*Sens!$K$10680</f>
        <v>53.5992167116214</v>
      </c>
      <c r="L10836" s="38" t="n">
        <f aca="false">cx_rt*Sens!$L$10680</f>
        <v>57.0840776689994</v>
      </c>
      <c r="M10836" s="38" t="n">
        <f aca="false">cx_rt*Sens!$M$10680</f>
        <v>60.8137072186215</v>
      </c>
    </row>
    <row r="10837" customFormat="false" ht="15" hidden="false" customHeight="false" outlineLevel="0" collapsed="false">
      <c r="A10837" s="3" t="s">
        <v>785</v>
      </c>
      <c r="B10837" s="8" t="s">
        <v>86</v>
      </c>
      <c r="C10837" s="38" t="n">
        <f aca="false">Q!$D$46</f>
        <v>77.658</v>
      </c>
      <c r="D10837" s="38" t="n">
        <f aca="false">Q!$E$46</f>
        <v>128.32</v>
      </c>
      <c r="E10837" s="38" t="n">
        <f aca="false">Q!$P$46</f>
        <v>96.31</v>
      </c>
      <c r="F10837" s="38" t="n">
        <f aca="false">Sens!$F$10834+Sens!$F$10835+Sens!$F$10836</f>
        <v>131.27037541324</v>
      </c>
      <c r="G10837" s="38" t="n">
        <f aca="false">Sens!$E$10837+Sens!$F$10837</f>
        <v>227.58037541324</v>
      </c>
      <c r="H10837" s="38" t="n">
        <f aca="false">Sens!$H$10834+Sens!$H$10835+Sens!$H$10836</f>
        <v>273.426724077491</v>
      </c>
      <c r="I10837" s="38" t="n">
        <f aca="false">Sens!$I$10834+Sens!$I$10835+Sens!$I$10836</f>
        <v>287.040932150204</v>
      </c>
      <c r="J10837" s="38" t="n">
        <f aca="false">Sens!$J$10834+Sens!$J$10835+Sens!$J$10836</f>
        <v>299.380343365903</v>
      </c>
      <c r="K10837" s="38" t="n">
        <f aca="false">Sens!$K$10834+Sens!$K$10835+Sens!$K$10836</f>
        <v>251.125118204738</v>
      </c>
      <c r="L10837" s="38" t="n">
        <f aca="false">Sens!$L$10834+Sens!$L$10835+Sens!$L$10836</f>
        <v>234.76873682425</v>
      </c>
      <c r="M10837" s="38" t="n">
        <f aca="false">Sens!$M$10834+Sens!$M$10835+Sens!$M$10836</f>
        <v>242.368847795051</v>
      </c>
    </row>
    <row r="10838" customFormat="false" ht="17.15" hidden="false" customHeight="false" outlineLevel="0" collapsed="false">
      <c r="A10838" s="5" t="s">
        <v>560</v>
      </c>
      <c r="B10838" s="0" t="s">
        <v>86</v>
      </c>
      <c r="C10838" s="38" t="n">
        <f aca="false">Q!$D$50</f>
        <v>2.043</v>
      </c>
      <c r="D10838" s="38" t="n">
        <f aca="false">Q!$E$50</f>
        <v>1.557</v>
      </c>
      <c r="E10838" s="38" t="n">
        <f aca="false">lease_pr/2</f>
        <v>0.8</v>
      </c>
      <c r="F10838" s="38" t="n">
        <f aca="false">lease_pr/2</f>
        <v>0.8</v>
      </c>
      <c r="G10838" s="38" t="n">
        <f aca="false">Sens!$E$10838+Sens!$F$10838</f>
        <v>1.6</v>
      </c>
      <c r="H10838" s="38" t="n">
        <f aca="false">lease_pr</f>
        <v>1.6</v>
      </c>
      <c r="I10838" s="38" t="n">
        <f aca="false">lease_pr</f>
        <v>1.6</v>
      </c>
      <c r="J10838" s="38" t="n">
        <f aca="false">lease_pr</f>
        <v>1.6</v>
      </c>
      <c r="K10838" s="38" t="n">
        <f aca="false">lease_pr</f>
        <v>1.6</v>
      </c>
      <c r="L10838" s="38" t="n">
        <f aca="false">lease_pr</f>
        <v>1.6</v>
      </c>
      <c r="M10838" s="38" t="n">
        <f aca="false">lease_pr</f>
        <v>1.6</v>
      </c>
      <c r="P10838" s="8" t="s">
        <v>786</v>
      </c>
    </row>
    <row r="10839" customFormat="false" ht="15" hidden="false" customHeight="false" outlineLevel="0" collapsed="false">
      <c r="A10839" s="47" t="s">
        <v>787</v>
      </c>
      <c r="B10839" s="14" t="s">
        <v>86</v>
      </c>
      <c r="C10839" s="48" t="n">
        <f aca="false">Sens!$C$10833-Sens!$C$10837-Sens!$C$10838</f>
        <v>36.176</v>
      </c>
      <c r="D10839" s="48" t="n">
        <f aca="false">Sens!$D$10833-Sens!$D$10837-Sens!$D$10838</f>
        <v>9.63700000000002</v>
      </c>
      <c r="E10839" s="48" t="n">
        <f aca="false">Sens!$E$10833-Sens!$E$10837-Sens!$E$10838</f>
        <v>-25.691</v>
      </c>
      <c r="F10839" s="48" t="n">
        <f aca="false">Sens!$F$10833-Sens!$F$10837-Sens!$F$10838</f>
        <v>-41.3383124743278</v>
      </c>
      <c r="G10839" s="48" t="n">
        <f aca="false">Sens!$G$10833-Sens!$G$10837-Sens!$G$10838</f>
        <v>-67.0293124743278</v>
      </c>
      <c r="H10839" s="48" t="n">
        <f aca="false">Sens!$H$10833-Sens!$H$10837-Sens!$H$10838</f>
        <v>-59.7674074656109</v>
      </c>
      <c r="I10839" s="48" t="n">
        <f aca="false">Sens!$I$10833-Sens!$I$10837-Sens!$I$10838</f>
        <v>-27.6301109177159</v>
      </c>
      <c r="J10839" s="48" t="n">
        <f aca="false">Sens!$J$10833-Sens!$J$10837-Sens!$J$10838</f>
        <v>6.01320223952561</v>
      </c>
      <c r="K10839" s="48" t="n">
        <f aca="false">Sens!$K$10833-Sens!$K$10837-Sens!$K$10838</f>
        <v>96.8194742510808</v>
      </c>
      <c r="L10839" s="48" t="n">
        <f aca="false">Sens!$L$10833-Sens!$L$10837-Sens!$L$10838</f>
        <v>151.066910924643</v>
      </c>
      <c r="M10839" s="48" t="n">
        <f aca="false">Sens!$M$10833-Sens!$M$10837-Sens!$M$10838</f>
        <v>177.299917416761</v>
      </c>
      <c r="N10839" s="14"/>
      <c r="O10839" s="14"/>
    </row>
    <row r="10840" customFormat="false" ht="17.15" hidden="false" customHeight="false" outlineLevel="0" collapsed="false">
      <c r="A10840" s="5" t="s">
        <v>788</v>
      </c>
      <c r="B10840" s="0" t="s">
        <v>86</v>
      </c>
      <c r="C10840" s="38" t="n">
        <f aca="false">dps*Sens!$C$10819</f>
        <v>0</v>
      </c>
      <c r="D10840" s="38" t="n">
        <f aca="false">dps*Sens!$D$10819</f>
        <v>0</v>
      </c>
      <c r="E10840" s="38" t="n">
        <f aca="false">dps*Sens!$E$10819</f>
        <v>0</v>
      </c>
      <c r="F10840" s="38" t="n">
        <f aca="false">0</f>
        <v>0</v>
      </c>
      <c r="G10840" s="38" t="n">
        <f aca="false">dps*Sens!$G$10819</f>
        <v>0</v>
      </c>
      <c r="H10840" s="38" t="n">
        <f aca="false">dps*Sens!$H$10819</f>
        <v>0</v>
      </c>
      <c r="I10840" s="38" t="n">
        <f aca="false">dps*Sens!$I$10819</f>
        <v>0</v>
      </c>
      <c r="J10840" s="38" t="n">
        <f aca="false">dps*Sens!$J$10819</f>
        <v>0</v>
      </c>
      <c r="K10840" s="38" t="n">
        <f aca="false">dps*Sens!$K$10819</f>
        <v>0</v>
      </c>
      <c r="L10840" s="38" t="n">
        <f aca="false">dps*Sens!$L$10819</f>
        <v>0</v>
      </c>
      <c r="M10840" s="38" t="n">
        <f aca="false">dps*Sens!$M$10819</f>
        <v>0</v>
      </c>
      <c r="P10840" s="8" t="s">
        <v>789</v>
      </c>
    </row>
    <row r="10841" customFormat="false" ht="17.15" hidden="false" customHeight="false" outlineLevel="0" collapsed="false">
      <c r="A10841" s="5" t="s">
        <v>790</v>
      </c>
      <c r="B10841" s="0" t="s">
        <v>86</v>
      </c>
      <c r="C10841" s="38" t="n">
        <f aca="false">0</f>
        <v>0</v>
      </c>
      <c r="D10841" s="38" t="n">
        <f aca="false">0</f>
        <v>0</v>
      </c>
      <c r="E10841" s="38" t="n">
        <f aca="false">0</f>
        <v>0</v>
      </c>
      <c r="F10841" s="38" t="n">
        <f aca="false">0</f>
        <v>0</v>
      </c>
      <c r="G10841" s="38" t="n">
        <f aca="false">0</f>
        <v>0</v>
      </c>
      <c r="H10841" s="38" t="n">
        <f aca="false">0</f>
        <v>0</v>
      </c>
      <c r="I10841" s="38" t="n">
        <f aca="false">0</f>
        <v>0</v>
      </c>
      <c r="J10841" s="38" t="n">
        <f aca="false">0</f>
        <v>0</v>
      </c>
      <c r="K10841" s="38" t="n">
        <f aca="false">0</f>
        <v>0</v>
      </c>
      <c r="L10841" s="38" t="n">
        <f aca="false">0</f>
        <v>0</v>
      </c>
      <c r="M10841" s="38" t="n">
        <f aca="false">0</f>
        <v>0</v>
      </c>
      <c r="P10841" s="8" t="s">
        <v>791</v>
      </c>
    </row>
    <row r="10842" customFormat="false" ht="15" hidden="false" customHeight="false" outlineLevel="0" collapsed="false">
      <c r="A10842" s="3" t="s">
        <v>792</v>
      </c>
      <c r="B10842" s="8" t="s">
        <v>86</v>
      </c>
      <c r="C10842" s="38" t="n">
        <f aca="false">Sens!$C$10839-Sens!$C$10840</f>
        <v>36.176</v>
      </c>
      <c r="D10842" s="38" t="n">
        <f aca="false">Sens!$D$10839-Sens!$D$10840</f>
        <v>9.63700000000002</v>
      </c>
      <c r="E10842" s="38" t="n">
        <f aca="false">Sens!$E$10839-Sens!$E$10840</f>
        <v>-25.691</v>
      </c>
      <c r="F10842" s="38" t="n">
        <f aca="false">Sens!$F$10839-Sens!$F$10840</f>
        <v>-41.3383124743278</v>
      </c>
      <c r="G10842" s="38" t="n">
        <f aca="false">Sens!$G$10839-Sens!$G$10840</f>
        <v>-67.0293124743278</v>
      </c>
      <c r="H10842" s="38" t="n">
        <f aca="false">Sens!$H$10839-Sens!$H$10840</f>
        <v>-59.7674074656109</v>
      </c>
      <c r="I10842" s="38" t="n">
        <f aca="false">Sens!$I$10839-Sens!$I$10840</f>
        <v>-27.6301109177159</v>
      </c>
      <c r="J10842" s="38" t="n">
        <f aca="false">Sens!$J$10839-Sens!$J$10840</f>
        <v>6.01320223952561</v>
      </c>
      <c r="K10842" s="38" t="n">
        <f aca="false">Sens!$K$10839-Sens!$K$10840</f>
        <v>96.8194742510808</v>
      </c>
      <c r="L10842" s="38" t="n">
        <f aca="false">Sens!$L$10839-Sens!$L$10840</f>
        <v>151.066910924643</v>
      </c>
      <c r="M10842" s="38" t="n">
        <f aca="false">Sens!$M$10839-Sens!$M$10840</f>
        <v>177.299917416761</v>
      </c>
    </row>
    <row r="10843" customFormat="false" ht="17.15" hidden="false" customHeight="false" outlineLevel="0" collapsed="false">
      <c r="A10843" s="5" t="s">
        <v>793</v>
      </c>
      <c r="B10843" s="0" t="s">
        <v>86</v>
      </c>
      <c r="E10843" s="38" t="n">
        <f aca="false">Q!$P$53</f>
        <v>39.767</v>
      </c>
      <c r="F10843" s="38" t="n">
        <f aca="false">inv_2h26</f>
        <v>21.3</v>
      </c>
      <c r="G10843" s="38" t="n">
        <f aca="false">Sens!$E$10843+Sens!$F$10843</f>
        <v>61.067</v>
      </c>
      <c r="H10843" s="39" t="n">
        <v>0</v>
      </c>
      <c r="I10843" s="39" t="n">
        <v>0</v>
      </c>
      <c r="J10843" s="39" t="n">
        <v>0</v>
      </c>
      <c r="K10843" s="39" t="n">
        <v>0</v>
      </c>
      <c r="L10843" s="39" t="n">
        <v>0</v>
      </c>
      <c r="M10843" s="39" t="n">
        <v>0</v>
      </c>
    </row>
    <row r="10844" customFormat="false" ht="17.15" hidden="false" customHeight="false" outlineLevel="0" collapsed="false">
      <c r="A10844" s="5" t="s">
        <v>794</v>
      </c>
      <c r="B10844" s="0" t="s">
        <v>86</v>
      </c>
      <c r="F10844" s="38" t="n">
        <f aca="false">iss_2h26</f>
        <v>29.249999</v>
      </c>
      <c r="G10844" s="38" t="n">
        <f aca="false">Sens!$F$10844</f>
        <v>29.249999</v>
      </c>
      <c r="H10844" s="39" t="n">
        <v>0</v>
      </c>
      <c r="I10844" s="39" t="n">
        <v>0</v>
      </c>
      <c r="J10844" s="39" t="n">
        <v>0</v>
      </c>
      <c r="K10844" s="39" t="n">
        <v>0</v>
      </c>
      <c r="L10844" s="39" t="n">
        <v>0</v>
      </c>
      <c r="M10844" s="39" t="n">
        <v>0</v>
      </c>
    </row>
    <row r="10845" customFormat="false" ht="17.15" hidden="false" customHeight="false" outlineLevel="0" collapsed="false">
      <c r="A10845" s="5" t="s">
        <v>795</v>
      </c>
      <c r="B10845" s="0" t="s">
        <v>86</v>
      </c>
      <c r="F10845" s="38" t="n">
        <f aca="false">cash_q2</f>
        <v>122.988</v>
      </c>
      <c r="G10845" s="38" t="n">
        <f aca="false">cash_q2</f>
        <v>122.988</v>
      </c>
      <c r="H10845" s="38" t="n">
        <f aca="false">Sens!$G$10848</f>
        <v>89.5996865256723</v>
      </c>
      <c r="I10845" s="38" t="n">
        <f aca="false">Sens!$H$10848</f>
        <v>50</v>
      </c>
      <c r="J10845" s="38" t="n">
        <f aca="false">Sens!$I$10848</f>
        <v>50</v>
      </c>
      <c r="K10845" s="38" t="n">
        <f aca="false">Sens!$J$10848</f>
        <v>56.0132022395256</v>
      </c>
      <c r="L10845" s="38" t="n">
        <f aca="false">Sens!$K$10848</f>
        <v>152.832676490606</v>
      </c>
      <c r="M10845" s="38" t="n">
        <f aca="false">Sens!$L$10848</f>
        <v>303.89958741525</v>
      </c>
    </row>
    <row r="10846" customFormat="false" ht="15" hidden="false" customHeight="false" outlineLevel="0" collapsed="false">
      <c r="A10846" s="5" t="s">
        <v>796</v>
      </c>
      <c r="B10846" s="0" t="s">
        <v>86</v>
      </c>
      <c r="F10846" s="38" t="n">
        <f aca="false">Sens!$F$10845+Sens!$F$10842-Sens!$F$10841-Sens!$F$10843+Sens!$F$10844</f>
        <v>89.5996865256723</v>
      </c>
      <c r="H10846" s="38" t="n">
        <f aca="false">Sens!$H$10845+Sens!$H$10842-Sens!$H$10841-Sens!$H$10843+Sens!$H$10844</f>
        <v>29.8322790600613</v>
      </c>
      <c r="I10846" s="38" t="n">
        <f aca="false">Sens!$I$10845+Sens!$I$10842-Sens!$I$10841-Sens!$I$10843+Sens!$I$10844</f>
        <v>22.3698890822841</v>
      </c>
      <c r="J10846" s="38" t="n">
        <f aca="false">Sens!$J$10845+Sens!$J$10842-Sens!$J$10841-Sens!$J$10843+Sens!$J$10844</f>
        <v>56.0132022395256</v>
      </c>
      <c r="K10846" s="38" t="n">
        <f aca="false">Sens!$K$10845+Sens!$K$10842-Sens!$K$10841-Sens!$K$10843+Sens!$K$10844</f>
        <v>152.832676490606</v>
      </c>
      <c r="L10846" s="38" t="n">
        <f aca="false">Sens!$L$10845+Sens!$L$10842-Sens!$L$10841-Sens!$L$10843+Sens!$L$10844</f>
        <v>303.89958741525</v>
      </c>
      <c r="M10846" s="38" t="n">
        <f aca="false">Sens!$M$10845+Sens!$M$10842-Sens!$M$10841-Sens!$M$10843+Sens!$M$10844</f>
        <v>481.199504832011</v>
      </c>
    </row>
    <row r="10847" customFormat="false" ht="17.15" hidden="false" customHeight="false" outlineLevel="0" collapsed="false">
      <c r="A10847" s="5" t="s">
        <v>797</v>
      </c>
      <c r="B10847" s="0" t="s">
        <v>86</v>
      </c>
      <c r="F10847" s="38" t="n">
        <f aca="false">MAX(0,min_cash-Sens!$F$10846)</f>
        <v>0</v>
      </c>
      <c r="G10847" s="38" t="n">
        <f aca="false">Sens!$F$10847</f>
        <v>0</v>
      </c>
      <c r="H10847" s="38" t="n">
        <f aca="false">MAX(0,min_cash-Sens!$H$10846)</f>
        <v>20.1677209399387</v>
      </c>
      <c r="I10847" s="38" t="n">
        <f aca="false">MAX(0,min_cash-Sens!$I$10846)</f>
        <v>27.6301109177159</v>
      </c>
      <c r="J10847" s="38" t="n">
        <f aca="false">MAX(0,min_cash-Sens!$J$10846)</f>
        <v>0</v>
      </c>
      <c r="K10847" s="38" t="n">
        <f aca="false">MAX(0,min_cash-Sens!$K$10846)</f>
        <v>0</v>
      </c>
      <c r="L10847" s="38" t="n">
        <f aca="false">MAX(0,min_cash-Sens!$L$10846)</f>
        <v>0</v>
      </c>
      <c r="M10847" s="38" t="n">
        <f aca="false">MAX(0,min_cash-Sens!$M$10846)</f>
        <v>0</v>
      </c>
      <c r="P10847" s="5" t="s">
        <v>798</v>
      </c>
    </row>
    <row r="10848" customFormat="false" ht="15" hidden="false" customHeight="false" outlineLevel="0" collapsed="false">
      <c r="A10848" s="5" t="s">
        <v>799</v>
      </c>
      <c r="B10848" s="0" t="s">
        <v>86</v>
      </c>
      <c r="D10848" s="38" t="n">
        <f aca="false">Q!$E$61</f>
        <v>123.029</v>
      </c>
      <c r="E10848" s="38" t="n">
        <f aca="false">Q!$M$61</f>
        <v>122.988</v>
      </c>
      <c r="F10848" s="38" t="n">
        <f aca="false">Sens!$F$10846+Sens!$F$10847</f>
        <v>89.5996865256723</v>
      </c>
      <c r="G10848" s="38" t="n">
        <f aca="false">Sens!$F$10848</f>
        <v>89.5996865256723</v>
      </c>
      <c r="H10848" s="38" t="n">
        <f aca="false">Sens!$H$10846+Sens!$H$10847</f>
        <v>50</v>
      </c>
      <c r="I10848" s="38" t="n">
        <f aca="false">Sens!$I$10846+Sens!$I$10847</f>
        <v>50</v>
      </c>
      <c r="J10848" s="38" t="n">
        <f aca="false">Sens!$J$10846+Sens!$J$10847</f>
        <v>56.0132022395256</v>
      </c>
      <c r="K10848" s="38" t="n">
        <f aca="false">Sens!$K$10846+Sens!$K$10847</f>
        <v>152.832676490606</v>
      </c>
      <c r="L10848" s="38" t="n">
        <f aca="false">Sens!$L$10846+Sens!$L$10847</f>
        <v>303.89958741525</v>
      </c>
      <c r="M10848" s="38" t="n">
        <f aca="false">Sens!$M$10846+Sens!$M$10847</f>
        <v>481.199504832011</v>
      </c>
    </row>
    <row r="10849" customFormat="false" ht="15" hidden="false" customHeight="false" outlineLevel="0" collapsed="false">
      <c r="A10849" s="5" t="s">
        <v>800</v>
      </c>
      <c r="B10849" s="0" t="s">
        <v>86</v>
      </c>
      <c r="D10849" s="38" t="n">
        <f aca="false">Q!$E$62</f>
        <v>68.836</v>
      </c>
      <c r="E10849" s="38" t="n">
        <f aca="false">Q!$M$62</f>
        <v>132.995</v>
      </c>
      <c r="F10849" s="38" t="n">
        <f aca="false">debt_q2+Sens!$F$10844+Sens!$F$10847</f>
        <v>162.244999</v>
      </c>
      <c r="G10849" s="38" t="n">
        <f aca="false">Sens!$F$10849</f>
        <v>162.244999</v>
      </c>
      <c r="H10849" s="38" t="n">
        <f aca="false">Sens!$G$10849+Sens!$H$10847</f>
        <v>182.412719939939</v>
      </c>
      <c r="I10849" s="38" t="n">
        <f aca="false">Sens!$H$10849+Sens!$I$10847</f>
        <v>210.042830857655</v>
      </c>
      <c r="J10849" s="38" t="n">
        <f aca="false">Sens!$I$10849+Sens!$J$10847</f>
        <v>210.042830857655</v>
      </c>
      <c r="K10849" s="38" t="n">
        <f aca="false">Sens!$J$10849+Sens!$K$10847</f>
        <v>210.042830857655</v>
      </c>
      <c r="L10849" s="38" t="n">
        <f aca="false">Sens!$K$10849+Sens!$L$10847</f>
        <v>210.042830857655</v>
      </c>
      <c r="M10849" s="38" t="n">
        <f aca="false">Sens!$L$10849+Sens!$M$10847</f>
        <v>210.042830857655</v>
      </c>
    </row>
    <row r="10850" customFormat="false" ht="15" hidden="false" customHeight="false" outlineLevel="0" collapsed="false">
      <c r="A10850" s="5" t="s">
        <v>801</v>
      </c>
      <c r="B10850" s="0" t="s">
        <v>86</v>
      </c>
      <c r="D10850" s="38" t="n">
        <f aca="false">Sens!$D$10849-Sens!$D$10848</f>
        <v>-54.193</v>
      </c>
      <c r="E10850" s="38" t="n">
        <f aca="false">Sens!$E$10849-Sens!$E$10848</f>
        <v>10.007</v>
      </c>
      <c r="F10850" s="38" t="n">
        <f aca="false">Sens!$F$10849-Sens!$F$10848</f>
        <v>72.6453124743278</v>
      </c>
      <c r="G10850" s="38" t="n">
        <f aca="false">Sens!$G$10849-Sens!$G$10848</f>
        <v>72.6453124743278</v>
      </c>
      <c r="H10850" s="38" t="n">
        <f aca="false">Sens!$H$10849-Sens!$H$10848</f>
        <v>132.412719939939</v>
      </c>
      <c r="I10850" s="38" t="n">
        <f aca="false">Sens!$I$10849-Sens!$I$10848</f>
        <v>160.042830857655</v>
      </c>
      <c r="J10850" s="38" t="n">
        <f aca="false">Sens!$J$10849-Sens!$J$10848</f>
        <v>154.029628618129</v>
      </c>
      <c r="K10850" s="38" t="n">
        <f aca="false">Sens!$K$10849-Sens!$K$10848</f>
        <v>57.2101543670482</v>
      </c>
      <c r="L10850" s="38" t="n">
        <f aca="false">Sens!$L$10849-Sens!$L$10848</f>
        <v>-93.8567565575951</v>
      </c>
      <c r="M10850" s="38" t="n">
        <f aca="false">Sens!$M$10849-Sens!$M$10848</f>
        <v>-271.156673974356</v>
      </c>
    </row>
    <row r="10851" customFormat="false" ht="17.15" hidden="false" customHeight="false" outlineLevel="0" collapsed="false">
      <c r="A10851" s="5" t="s">
        <v>802</v>
      </c>
      <c r="B10851" s="0" t="s">
        <v>86</v>
      </c>
      <c r="F10851" s="38" t="n">
        <f aca="false">debt_q2*kd_book*0.5+iss_2h26*kd_new*iss_t</f>
        <v>3.24888962733561</v>
      </c>
      <c r="H10851" s="38" t="n">
        <f aca="false">debt_q2*kd_book+(Sens!$G$10849-debt_q2)*kd_new</f>
        <v>7.42354172302123</v>
      </c>
      <c r="I10851" s="38" t="n">
        <f aca="false">debt_q2*kd_book+(Sens!$H$10849-debt_q2)*kd_new</f>
        <v>8.70015845851935</v>
      </c>
      <c r="J10851" s="38" t="n">
        <f aca="false">debt_q2*kd_book+(Sens!$I$10849-debt_q2)*kd_new</f>
        <v>10.4491444796108</v>
      </c>
      <c r="K10851" s="38" t="n">
        <f aca="false">debt_q2*kd_book+(Sens!$J$10849-debt_q2)*kd_new</f>
        <v>10.4491444796108</v>
      </c>
      <c r="L10851" s="38" t="n">
        <f aca="false">debt_q2*kd_book+(Sens!$K$10849-debt_q2)*kd_new</f>
        <v>10.4491444796108</v>
      </c>
      <c r="M10851" s="38" t="n">
        <f aca="false">debt_q2*kd_book+(Sens!$L$10849-debt_q2)*kd_new</f>
        <v>10.4491444796108</v>
      </c>
    </row>
    <row r="10852" customFormat="false" ht="17.15" hidden="false" customHeight="false" outlineLevel="0" collapsed="false">
      <c r="A10852" s="5" t="s">
        <v>803</v>
      </c>
      <c r="B10852" s="0" t="s">
        <v>86</v>
      </c>
      <c r="F10852" s="38" t="n">
        <f aca="false">cash_q2*y_cash*0.5</f>
        <v>2.59</v>
      </c>
      <c r="H10852" s="38" t="n">
        <f aca="false">Sens!$G$10848*y_cash</f>
        <v>3.77375334343987</v>
      </c>
      <c r="I10852" s="38" t="n">
        <f aca="false">Sens!$H$10848*y_cash</f>
        <v>2.10589651022864</v>
      </c>
      <c r="J10852" s="38" t="n">
        <f aca="false">Sens!$I$10848*y_cash</f>
        <v>2.10589651022864</v>
      </c>
      <c r="K10852" s="38" t="n">
        <f aca="false">Sens!$J$10848*y_cash</f>
        <v>2.35916014245896</v>
      </c>
      <c r="L10852" s="38" t="n">
        <f aca="false">Sens!$K$10848*y_cash</f>
        <v>6.43699600140942</v>
      </c>
      <c r="M10852" s="38" t="n">
        <f aca="false">Sens!$L$10848*y_cash</f>
        <v>12.799621611954</v>
      </c>
    </row>
    <row r="10853" customFormat="false" ht="17.15" hidden="false" customHeight="false" outlineLevel="0" collapsed="false">
      <c r="A10853" s="47" t="s">
        <v>804</v>
      </c>
      <c r="B10853" s="14" t="s">
        <v>86</v>
      </c>
      <c r="C10853" s="14"/>
      <c r="D10853" s="14"/>
      <c r="E10853" s="14"/>
      <c r="F10853" s="14"/>
      <c r="G10853" s="48" t="n">
        <f aca="false">SUM(Sens!$G$10842:$K$10842)</f>
        <v>-51.5941543670482</v>
      </c>
      <c r="H10853" s="14"/>
      <c r="I10853" s="14"/>
      <c r="J10853" s="14"/>
      <c r="K10853" s="14"/>
      <c r="L10853" s="14"/>
      <c r="M10853" s="14"/>
      <c r="N10853" s="14"/>
      <c r="O10853" s="14"/>
    </row>
    <row r="10854" customFormat="false" ht="17.15" hidden="false" customHeight="false" outlineLevel="0" collapsed="false">
      <c r="A10854" s="0" t="s">
        <v>770</v>
      </c>
      <c r="B10854" s="0" t="s">
        <v>86</v>
      </c>
      <c r="G10854" s="38" t="n">
        <f aca="false">SUM(Sens!$G$10847:$K$10847)</f>
        <v>47.7978318576546</v>
      </c>
    </row>
    <row r="10855" customFormat="false" ht="17.15" hidden="false" customHeight="false" outlineLevel="0" collapsed="false">
      <c r="A10855" s="24" t="s">
        <v>809</v>
      </c>
      <c r="B10855" s="25" t="s">
        <v>86</v>
      </c>
      <c r="C10855" s="25"/>
      <c r="D10855" s="25"/>
      <c r="E10855" s="25"/>
      <c r="F10855" s="25"/>
      <c r="G10855" s="41" t="n">
        <f aca="false">Sens!$G$10853-(Sens!$G$10842+Sens!$H$10842+Sens!$I$10842+Sens!$J$10842+Sens!$K$10842)</f>
        <v>0</v>
      </c>
      <c r="H10855" s="25"/>
      <c r="I10855" s="25"/>
      <c r="J10855" s="25"/>
      <c r="K10855" s="25"/>
      <c r="L10855" s="25"/>
      <c r="M10855" s="25"/>
      <c r="N10855" s="25"/>
      <c r="O10855" s="25"/>
    </row>
    <row r="10858" customFormat="false" ht="19.4" hidden="false" customHeight="false" outlineLevel="0" collapsed="false">
      <c r="A10858" s="31" t="s">
        <v>1351</v>
      </c>
    </row>
    <row r="10859" customFormat="false" ht="17.15" hidden="false" customHeight="false" outlineLevel="0" collapsed="false">
      <c r="A10859" s="6" t="s">
        <v>16</v>
      </c>
      <c r="B10859" s="6" t="s">
        <v>17</v>
      </c>
      <c r="C10859" s="20" t="s">
        <v>494</v>
      </c>
      <c r="D10859" s="20" t="s">
        <v>495</v>
      </c>
      <c r="E10859" s="20" t="s">
        <v>577</v>
      </c>
      <c r="F10859" s="20" t="s">
        <v>578</v>
      </c>
      <c r="G10859" s="20" t="s">
        <v>579</v>
      </c>
      <c r="H10859" s="20" t="s">
        <v>580</v>
      </c>
      <c r="I10859" s="20" t="s">
        <v>581</v>
      </c>
      <c r="J10859" s="20" t="s">
        <v>582</v>
      </c>
      <c r="K10859" s="20" t="s">
        <v>583</v>
      </c>
      <c r="L10859" s="20" t="s">
        <v>584</v>
      </c>
      <c r="M10859" s="20" t="s">
        <v>585</v>
      </c>
      <c r="N10859" s="20" t="s">
        <v>586</v>
      </c>
      <c r="O10859" s="20" t="s">
        <v>587</v>
      </c>
      <c r="P10859" s="6" t="s">
        <v>23</v>
      </c>
      <c r="R10859" s="20" t="n">
        <v>2023</v>
      </c>
      <c r="S10859" s="20" t="n">
        <v>2024</v>
      </c>
      <c r="T10859" s="20" t="n">
        <v>2025</v>
      </c>
      <c r="U10859" s="20" t="n">
        <v>2026</v>
      </c>
      <c r="V10859" s="20" t="n">
        <v>2027</v>
      </c>
      <c r="W10859" s="20" t="n">
        <v>2028</v>
      </c>
      <c r="X10859" s="20" t="n">
        <v>2029</v>
      </c>
      <c r="Y10859" s="20" t="n">
        <v>2030</v>
      </c>
      <c r="Z10859" s="20" t="n">
        <v>2031</v>
      </c>
      <c r="AA10859" s="20" t="n">
        <v>2032</v>
      </c>
    </row>
    <row r="10860" customFormat="false" ht="17.15" hidden="false" customHeight="false" outlineLevel="0" collapsed="false">
      <c r="A10860" s="1" t="s">
        <v>909</v>
      </c>
    </row>
    <row r="10861" customFormat="false" ht="17.15" hidden="false" customHeight="false" outlineLevel="0" collapsed="false">
      <c r="A10861" s="0" t="s">
        <v>910</v>
      </c>
      <c r="B10861" s="0" t="s">
        <v>86</v>
      </c>
      <c r="H10861" s="38" t="n">
        <f aca="false">Sens!$H$10795*(1-tax)</f>
        <v>99.3885132746957</v>
      </c>
      <c r="I10861" s="38" t="n">
        <f aca="false">Sens!$I$10795*(1-tax)</f>
        <v>110.433376521395</v>
      </c>
      <c r="J10861" s="38" t="n">
        <f aca="false">Sens!$J$10795*(1-tax)</f>
        <v>120.188217028854</v>
      </c>
      <c r="K10861" s="38" t="n">
        <f aca="false">Sens!$K$10795*(1-tax)</f>
        <v>125.140536622651</v>
      </c>
      <c r="L10861" s="38" t="n">
        <f aca="false">Sens!$L$10795*(1-tax)</f>
        <v>132.564672278041</v>
      </c>
      <c r="M10861" s="38" t="n">
        <f aca="false">Sens!$M$10795*(1-tax)</f>
        <v>141.558527309912</v>
      </c>
    </row>
    <row r="10862" customFormat="false" ht="15" hidden="false" customHeight="false" outlineLevel="0" collapsed="false">
      <c r="A10862" s="5" t="s">
        <v>911</v>
      </c>
      <c r="B10862" s="0" t="s">
        <v>86</v>
      </c>
      <c r="H10862" s="38" t="n">
        <f aca="false">Sens!$H$10806</f>
        <v>84.3469591290926</v>
      </c>
      <c r="I10862" s="38" t="n">
        <f aca="false">Sens!$I$10806</f>
        <v>117.073838578589</v>
      </c>
      <c r="J10862" s="38" t="n">
        <f aca="false">Sens!$J$10806</f>
        <v>150.535143485963</v>
      </c>
      <c r="K10862" s="38" t="n">
        <f aca="false">Sens!$K$10806</f>
        <v>184.226630974683</v>
      </c>
      <c r="L10862" s="38" t="n">
        <f aca="false">Sens!$L$10806</f>
        <v>207.809738674826</v>
      </c>
      <c r="M10862" s="38" t="n">
        <f aca="false">Sens!$M$10806</f>
        <v>224.047643923325</v>
      </c>
    </row>
    <row r="10863" customFormat="false" ht="15" hidden="false" customHeight="false" outlineLevel="0" collapsed="false">
      <c r="A10863" s="5" t="s">
        <v>912</v>
      </c>
      <c r="B10863" s="0" t="s">
        <v>86</v>
      </c>
      <c r="H10863" s="38" t="n">
        <f aca="false">Sens!$H$10837</f>
        <v>273.426724077491</v>
      </c>
      <c r="I10863" s="38" t="n">
        <f aca="false">Sens!$I$10837</f>
        <v>287.040932150204</v>
      </c>
      <c r="J10863" s="38" t="n">
        <f aca="false">Sens!$J$10837</f>
        <v>299.380343365903</v>
      </c>
      <c r="K10863" s="38" t="n">
        <f aca="false">Sens!$K$10837</f>
        <v>251.125118204738</v>
      </c>
      <c r="L10863" s="38" t="n">
        <f aca="false">Sens!$L$10837</f>
        <v>234.76873682425</v>
      </c>
      <c r="M10863" s="38" t="n">
        <f aca="false">Sens!$M$10837</f>
        <v>242.368847795051</v>
      </c>
    </row>
    <row r="10864" customFormat="false" ht="15" hidden="false" customHeight="false" outlineLevel="0" collapsed="false">
      <c r="A10864" s="5" t="s">
        <v>913</v>
      </c>
      <c r="B10864" s="0" t="s">
        <v>86</v>
      </c>
      <c r="H10864" s="38" t="n">
        <f aca="false">Sens!$H$10838</f>
        <v>1.6</v>
      </c>
      <c r="I10864" s="38" t="n">
        <f aca="false">Sens!$I$10838</f>
        <v>1.6</v>
      </c>
      <c r="J10864" s="38" t="n">
        <f aca="false">Sens!$J$10838</f>
        <v>1.6</v>
      </c>
      <c r="K10864" s="38" t="n">
        <f aca="false">Sens!$K$10838</f>
        <v>1.6</v>
      </c>
      <c r="L10864" s="38" t="n">
        <f aca="false">Sens!$L$10838</f>
        <v>1.6</v>
      </c>
      <c r="M10864" s="38" t="n">
        <f aca="false">Sens!$M$10838</f>
        <v>1.6</v>
      </c>
    </row>
    <row r="10865" customFormat="false" ht="15" hidden="false" customHeight="false" outlineLevel="0" collapsed="false">
      <c r="A10865" s="5" t="s">
        <v>914</v>
      </c>
      <c r="B10865" s="0" t="s">
        <v>86</v>
      </c>
      <c r="H10865" s="38" t="n">
        <f aca="false">Sens!$H$10832</f>
        <v>11.222974517398</v>
      </c>
      <c r="I10865" s="38" t="n">
        <f aca="false">Sens!$I$10832</f>
        <v>12.6569124223699</v>
      </c>
      <c r="J10865" s="38" t="n">
        <f aca="false">Sens!$J$10832</f>
        <v>14.0254906759686</v>
      </c>
      <c r="K10865" s="38" t="n">
        <f aca="false">Sens!$K$10832</f>
        <v>15.2270474113325</v>
      </c>
      <c r="L10865" s="38" t="n">
        <f aca="false">Sens!$L$10832</f>
        <v>16.3687808705387</v>
      </c>
      <c r="M10865" s="38" t="n">
        <f aca="false">Sens!$M$10832</f>
        <v>17.4550688275753</v>
      </c>
    </row>
    <row r="10866" customFormat="false" ht="17.15" hidden="false" customHeight="false" outlineLevel="0" collapsed="false">
      <c r="A10866" s="1" t="s">
        <v>915</v>
      </c>
      <c r="B10866" s="8" t="s">
        <v>86</v>
      </c>
      <c r="H10866" s="38" t="n">
        <f aca="false">Sens!$H$10861+Sens!$H$10862-Sens!$H$10863-Sens!$H$10864+Sens!$H$10865</f>
        <v>-80.0682771563047</v>
      </c>
      <c r="I10866" s="38" t="n">
        <f aca="false">Sens!$I$10861+Sens!$I$10862-Sens!$I$10863-Sens!$I$10864+Sens!$I$10865</f>
        <v>-48.47680462785</v>
      </c>
      <c r="J10866" s="38" t="n">
        <f aca="false">Sens!$J$10861+Sens!$J$10862-Sens!$J$10863-Sens!$J$10864+Sens!$J$10865</f>
        <v>-16.2314921751176</v>
      </c>
      <c r="K10866" s="38" t="n">
        <f aca="false">Sens!$K$10861+Sens!$K$10862-Sens!$K$10863-Sens!$K$10864+Sens!$K$10865</f>
        <v>71.8690968039281</v>
      </c>
      <c r="L10866" s="38" t="n">
        <f aca="false">Sens!$L$10861+Sens!$L$10862-Sens!$L$10863-Sens!$L$10864+Sens!$L$10865</f>
        <v>120.374454999155</v>
      </c>
      <c r="M10866" s="38" t="n">
        <f aca="false">Sens!$M$10861+Sens!$M$10862-Sens!$M$10863-Sens!$M$10864+Sens!$M$10865</f>
        <v>139.092392265761</v>
      </c>
    </row>
    <row r="10867" customFormat="false" ht="15" hidden="false" customHeight="false" outlineLevel="0" collapsed="false">
      <c r="A10867" s="5" t="s">
        <v>916</v>
      </c>
      <c r="B10867" s="0" t="s">
        <v>57</v>
      </c>
      <c r="H10867" s="40" t="n">
        <f aca="false">1/(1+wacc)^(2027-2026-0.5)</f>
        <v>0.947751320380232</v>
      </c>
      <c r="I10867" s="40" t="n">
        <f aca="false">1/(1+wacc)^(2028-2026-0.5)</f>
        <v>0.851301099754987</v>
      </c>
      <c r="J10867" s="40" t="n">
        <f aca="false">1/(1+wacc)^(2029-2026-0.5)</f>
        <v>0.764666370660713</v>
      </c>
      <c r="K10867" s="40" t="n">
        <f aca="false">1/(1+wacc)^(2030-2026-0.5)</f>
        <v>0.686848235703811</v>
      </c>
      <c r="L10867" s="40" t="n">
        <f aca="false">1/(1+wacc)^(2031-2026-0.5)</f>
        <v>0.616949452715975</v>
      </c>
      <c r="M10867" s="40" t="n">
        <f aca="false">1/(1+wacc)^(2032-2026-0.5)</f>
        <v>0.554164089562688</v>
      </c>
    </row>
    <row r="10868" customFormat="false" ht="15" hidden="false" customHeight="false" outlineLevel="0" collapsed="false">
      <c r="A10868" s="5" t="s">
        <v>917</v>
      </c>
      <c r="B10868" s="0" t="s">
        <v>86</v>
      </c>
      <c r="H10868" s="38" t="n">
        <f aca="false">Sens!$H$10866*Sens!$H$10867</f>
        <v>-75.8848153954581</v>
      </c>
      <c r="I10868" s="38" t="n">
        <f aca="false">Sens!$I$10866*Sens!$I$10867</f>
        <v>-41.2683570922963</v>
      </c>
      <c r="J10868" s="38" t="n">
        <f aca="false">Sens!$J$10866*Sens!$J$10867</f>
        <v>-12.411676211955</v>
      </c>
      <c r="K10868" s="38" t="n">
        <f aca="false">Sens!$K$10866*Sens!$K$10867</f>
        <v>49.3631623414044</v>
      </c>
      <c r="L10868" s="38" t="n">
        <f aca="false">Sens!$L$10866*Sens!$L$10867</f>
        <v>74.2649541327124</v>
      </c>
      <c r="M10868" s="38" t="n">
        <f aca="false">Sens!$M$10866*Sens!$M$10867</f>
        <v>77.0800089250518</v>
      </c>
    </row>
    <row r="10869" customFormat="false" ht="15" hidden="false" customHeight="false" outlineLevel="0" collapsed="false">
      <c r="A10869" s="5" t="s">
        <v>918</v>
      </c>
      <c r="B10869" s="0" t="s">
        <v>86</v>
      </c>
      <c r="C10869" s="38" t="n">
        <f aca="false">SUM(Sens!$H$10868:$M$10868)</f>
        <v>71.1432766994592</v>
      </c>
    </row>
    <row r="10870" customFormat="false" ht="17.15" hidden="false" customHeight="false" outlineLevel="0" collapsed="false">
      <c r="A10870" s="5" t="s">
        <v>919</v>
      </c>
      <c r="B10870" s="0" t="s">
        <v>86</v>
      </c>
      <c r="C10870" s="38" t="n">
        <f aca="false">Sens!$M$10861*(1+tg)*(1-tg/ronic)/(wacc-tg)</f>
        <v>1286.92497615184</v>
      </c>
    </row>
    <row r="10871" customFormat="false" ht="15" hidden="false" customHeight="false" outlineLevel="0" collapsed="false">
      <c r="A10871" s="5" t="s">
        <v>920</v>
      </c>
      <c r="B10871" s="0" t="s">
        <v>86</v>
      </c>
      <c r="C10871" s="38" t="n">
        <f aca="false">Sens!$C$10870/(1+wacc)^6</f>
        <v>675.905541892422</v>
      </c>
    </row>
    <row r="10872" customFormat="false" ht="17.15" hidden="false" customHeight="false" outlineLevel="0" collapsed="false">
      <c r="A10872" s="5" t="s">
        <v>921</v>
      </c>
      <c r="B10872" s="0" t="s">
        <v>86</v>
      </c>
      <c r="C10872" s="38" t="n">
        <f aca="false">Sens!$C$10869+Sens!$C$10871</f>
        <v>747.048818591881</v>
      </c>
    </row>
    <row r="10873" customFormat="false" ht="17.15" hidden="false" customHeight="false" outlineLevel="0" collapsed="false">
      <c r="A10873" s="5" t="s">
        <v>922</v>
      </c>
      <c r="B10873" s="0" t="s">
        <v>52</v>
      </c>
      <c r="C10873" s="13" t="n">
        <f aca="false">Sens!$C$10871/Sens!$C$10872</f>
        <v>0.90476756681905</v>
      </c>
    </row>
    <row r="10874" customFormat="false" ht="17.15" hidden="false" customHeight="false" outlineLevel="0" collapsed="false">
      <c r="A10874" s="5" t="s">
        <v>923</v>
      </c>
      <c r="B10874" s="0" t="s">
        <v>86</v>
      </c>
      <c r="C10874" s="38" t="n">
        <f aca="false">Sens!$G$10850+fin_debt</f>
        <v>97.1663124743278</v>
      </c>
    </row>
    <row r="10875" customFormat="false" ht="17.15" hidden="false" customHeight="false" outlineLevel="0" collapsed="false">
      <c r="A10875" s="5" t="s">
        <v>924</v>
      </c>
      <c r="B10875" s="0" t="s">
        <v>86</v>
      </c>
      <c r="C10875" s="38" t="n">
        <f aca="false">(ant_val*ant_sh+oai_val*oai_sh)*(1-liq_disc)</f>
        <v>178.944</v>
      </c>
    </row>
    <row r="10876" customFormat="false" ht="15" hidden="false" customHeight="false" outlineLevel="0" collapsed="false">
      <c r="A10876" s="5" t="s">
        <v>925</v>
      </c>
      <c r="B10876" s="0" t="s">
        <v>86</v>
      </c>
      <c r="C10876" s="38" t="n">
        <f aca="false">Sens!$C$10872-Sens!$C$10874+Sens!$C$10875</f>
        <v>828.826506117553</v>
      </c>
    </row>
    <row r="10877" customFormat="false" ht="17.15" hidden="false" customHeight="false" outlineLevel="0" collapsed="false">
      <c r="A10877" s="5" t="s">
        <v>926</v>
      </c>
      <c r="B10877" s="0" t="s">
        <v>27</v>
      </c>
      <c r="C10877" s="30" t="n">
        <f aca="false">Sens!$C$10876/sh_out</f>
        <v>76.8405690876006</v>
      </c>
    </row>
    <row r="10878" customFormat="false" ht="17.15" hidden="false" customHeight="false" outlineLevel="0" collapsed="false">
      <c r="A10878" s="1" t="s">
        <v>927</v>
      </c>
      <c r="B10878" s="8" t="s">
        <v>27</v>
      </c>
      <c r="C10878" s="30" t="n">
        <f aca="false">Sens!$C$10877*(1+ke)^tp_yf-dps*tp_yf</f>
        <v>84.1687655239396</v>
      </c>
    </row>
    <row r="10879" customFormat="false" ht="17.15" hidden="false" customHeight="false" outlineLevel="0" collapsed="false">
      <c r="A10879" s="3" t="s">
        <v>928</v>
      </c>
    </row>
    <row r="10880" customFormat="false" ht="17.15" hidden="false" customHeight="false" outlineLevel="0" collapsed="false">
      <c r="A10880" s="5" t="s">
        <v>929</v>
      </c>
      <c r="B10880" s="0" t="s">
        <v>86</v>
      </c>
      <c r="C10880" s="38" t="n">
        <f aca="false">(1-tp_yf)*(Sens!$H$10807+Sens!$H$10831*Sens!$H$10673/Sens!$H$10748)+tp_yf*(Sens!$I$10807+Sens!$I$10831*Sens!$I$10673/Sens!$I$10748)</f>
        <v>59.7129480236211</v>
      </c>
    </row>
    <row r="10881" customFormat="false" ht="15" hidden="false" customHeight="false" outlineLevel="0" collapsed="false">
      <c r="A10881" s="5" t="s">
        <v>930</v>
      </c>
      <c r="B10881" s="0" t="s">
        <v>57</v>
      </c>
      <c r="C10881" s="30" t="n">
        <f aca="false">m_ads*m_x</f>
        <v>9.11</v>
      </c>
    </row>
    <row r="10882" customFormat="false" ht="17.15" hidden="false" customHeight="false" outlineLevel="0" collapsed="false">
      <c r="A10882" s="5" t="s">
        <v>931</v>
      </c>
      <c r="B10882" s="0" t="s">
        <v>86</v>
      </c>
      <c r="C10882" s="38" t="n">
        <f aca="false">Sens!$C$10880*Sens!$C$10881</f>
        <v>543.984956495188</v>
      </c>
    </row>
    <row r="10883" customFormat="false" ht="17.15" hidden="false" customHeight="false" outlineLevel="0" collapsed="false">
      <c r="A10883" s="5" t="s">
        <v>932</v>
      </c>
      <c r="B10883" s="0" t="s">
        <v>86</v>
      </c>
      <c r="C10883" s="38" t="n">
        <f aca="false">(1-tp_yf)*(Sens!$H$10808+Sens!$H$10831*(Sens!$H$10680-Sens!$H$10673)/Sens!$H$10748+IF(1=2,1,0)*(1-ext_sh)*Sens!$H$10710)+tp_yf*(Sens!$I$10808+Sens!$I$10831*(Sens!$I$10680-Sens!$I$10673)/Sens!$I$10748+IF(1=2,1,0)*(1-ext_sh)*Sens!$I$10710)</f>
        <v>46.9716084508215</v>
      </c>
    </row>
    <row r="10884" customFormat="false" ht="17.15" hidden="false" customHeight="false" outlineLevel="0" collapsed="false">
      <c r="A10884" s="5" t="s">
        <v>933</v>
      </c>
      <c r="B10884" s="0" t="s">
        <v>57</v>
      </c>
      <c r="C10884" s="30" t="n">
        <f aca="false">m_retail*m_x</f>
        <v>17.72</v>
      </c>
    </row>
    <row r="10885" customFormat="false" ht="17.15" hidden="false" customHeight="false" outlineLevel="0" collapsed="false">
      <c r="A10885" s="5" t="s">
        <v>934</v>
      </c>
      <c r="B10885" s="0" t="s">
        <v>86</v>
      </c>
      <c r="C10885" s="38" t="n">
        <f aca="false">Sens!$C$10883*Sens!$C$10884</f>
        <v>832.336901748557</v>
      </c>
    </row>
    <row r="10886" customFormat="false" ht="17.15" hidden="false" customHeight="false" outlineLevel="0" collapsed="false">
      <c r="A10886" s="0" t="s">
        <v>935</v>
      </c>
      <c r="B10886" s="0" t="s">
        <v>86</v>
      </c>
      <c r="C10886" s="38" t="n">
        <f aca="false">(1-tp_yf)*(Sens!$H$10809+Sens!$H$10831*Sens!$H$10746/Sens!$H$10748)+tp_yf*(Sens!$I$10809+Sens!$I$10831*Sens!$I$10746/Sens!$I$10748)</f>
        <v>97.3363031479074</v>
      </c>
    </row>
    <row r="10887" customFormat="false" ht="17.15" hidden="false" customHeight="false" outlineLevel="0" collapsed="false">
      <c r="A10887" s="0" t="s">
        <v>936</v>
      </c>
      <c r="B10887" s="0" t="s">
        <v>57</v>
      </c>
      <c r="C10887" s="30" t="n">
        <f aca="false">m_cloud*m_x</f>
        <v>13.82</v>
      </c>
    </row>
    <row r="10888" customFormat="false" ht="17.15" hidden="false" customHeight="false" outlineLevel="0" collapsed="false">
      <c r="A10888" s="0" t="s">
        <v>937</v>
      </c>
      <c r="B10888" s="0" t="s">
        <v>86</v>
      </c>
      <c r="C10888" s="38" t="n">
        <f aca="false">Sens!$C$10886*Sens!$C$10887</f>
        <v>1345.18770950408</v>
      </c>
    </row>
    <row r="10889" customFormat="false" ht="17.15" hidden="false" customHeight="false" outlineLevel="0" collapsed="false">
      <c r="A10889" s="0" t="s">
        <v>938</v>
      </c>
      <c r="B10889" s="0" t="s">
        <v>86</v>
      </c>
      <c r="H10889" s="38" t="n">
        <f aca="false">Sens!$H$10727-tax*Sens!$H$10728-ext_sh*Sens!$H$10717</f>
        <v>-120.259960506653</v>
      </c>
      <c r="I10889" s="38" t="n">
        <f aca="false">Sens!$I$10727-tax*Sens!$I$10728-ext_sh*Sens!$I$10717</f>
        <v>-99.720222863134</v>
      </c>
      <c r="J10889" s="38" t="n">
        <f aca="false">Sens!$J$10727-tax*Sens!$J$10728-ext_sh*Sens!$J$10717</f>
        <v>-78.2555063211933</v>
      </c>
      <c r="K10889" s="38" t="n">
        <f aca="false">Sens!$K$10727-tax*Sens!$K$10728-ext_sh*Sens!$K$10717</f>
        <v>-11.9741756934904</v>
      </c>
      <c r="L10889" s="38" t="n">
        <f aca="false">Sens!$L$10727-tax*Sens!$L$10728-ext_sh*Sens!$L$10717</f>
        <v>21.3874151533598</v>
      </c>
      <c r="M10889" s="38" t="n">
        <f aca="false">Sens!$M$10727-tax*Sens!$M$10728-ext_sh*Sens!$M$10717</f>
        <v>28.5746103680292</v>
      </c>
    </row>
    <row r="10890" customFormat="false" ht="17.15" hidden="false" customHeight="false" outlineLevel="0" collapsed="false">
      <c r="A10890" s="5" t="s">
        <v>939</v>
      </c>
      <c r="B10890" s="0" t="s">
        <v>86</v>
      </c>
      <c r="H10890" s="38" t="n">
        <f aca="false">Sens!$H$10889*Sens!$H$10867</f>
        <v>-113.976536359055</v>
      </c>
      <c r="I10890" s="38" t="n">
        <f aca="false">Sens!$I$10889*Sens!$I$10867</f>
        <v>-84.8919353911984</v>
      </c>
      <c r="J10890" s="38" t="n">
        <f aca="false">Sens!$J$10889*Sens!$J$10867</f>
        <v>-59.8393540028434</v>
      </c>
      <c r="K10890" s="38" t="n">
        <f aca="false">Sens!$K$10889*Sens!$K$10867</f>
        <v>-8.22444144908136</v>
      </c>
      <c r="L10890" s="38" t="n">
        <f aca="false">Sens!$L$10889*Sens!$L$10867</f>
        <v>13.1949540738747</v>
      </c>
      <c r="M10890" s="38" t="n">
        <f aca="false">Sens!$M$10889*Sens!$M$10867</f>
        <v>15.8350229392074</v>
      </c>
    </row>
    <row r="10891" customFormat="false" ht="17.15" hidden="false" customHeight="false" outlineLevel="0" collapsed="false">
      <c r="A10891" s="5" t="s">
        <v>940</v>
      </c>
      <c r="B10891" s="0" t="s">
        <v>86</v>
      </c>
      <c r="C10891" s="38" t="n">
        <f aca="false">Sens!$M$10728*(1-tax)*(1+tg)*(1-tg/ronic)/(wacc-tg)</f>
        <v>119.825917268383</v>
      </c>
    </row>
    <row r="10892" customFormat="false" ht="17.15" hidden="false" customHeight="false" outlineLevel="0" collapsed="false">
      <c r="A10892" s="0" t="s">
        <v>941</v>
      </c>
      <c r="B10892" s="0" t="s">
        <v>86</v>
      </c>
      <c r="C10892" s="38" t="n">
        <f aca="false">(SUM(Sens!$H$10890:$M$10890)+Sens!$C$10891/(1+wacc)^6)*(1+wacc)^tp_yf</f>
        <v>-191.104349749416</v>
      </c>
    </row>
    <row r="10893" customFormat="false" ht="17.15" hidden="false" customHeight="false" outlineLevel="0" collapsed="false">
      <c r="A10893" s="5" t="s">
        <v>942</v>
      </c>
      <c r="B10893" s="0" t="s">
        <v>86</v>
      </c>
      <c r="C10893" s="38" t="n">
        <f aca="false">(1-tp_yf)*(Sens!$H$10810)+tp_yf*(Sens!$I$10810)</f>
        <v>62.206266041067</v>
      </c>
    </row>
    <row r="10894" customFormat="false" ht="17.15" hidden="false" customHeight="false" outlineLevel="0" collapsed="false">
      <c r="A10894" s="5" t="s">
        <v>943</v>
      </c>
      <c r="B10894" s="0" t="s">
        <v>86</v>
      </c>
      <c r="C10894" s="38" t="n">
        <f aca="false">Sens!$C$10893*m_ai</f>
        <v>373.237596246402</v>
      </c>
    </row>
    <row r="10895" customFormat="false" ht="17.15" hidden="false" customHeight="false" outlineLevel="0" collapsed="false">
      <c r="A10895" s="0" t="s">
        <v>944</v>
      </c>
      <c r="B10895" s="0" t="s">
        <v>86</v>
      </c>
      <c r="C10895" s="38" t="n">
        <f aca="false">IF(ai_leg=1,Sens!$C$10892,Sens!$C$10894)</f>
        <v>-191.104349749416</v>
      </c>
    </row>
    <row r="10896" customFormat="false" ht="17.15" hidden="false" customHeight="false" outlineLevel="0" collapsed="false">
      <c r="A10896" s="5" t="s">
        <v>945</v>
      </c>
      <c r="B10896" s="0" t="s">
        <v>86</v>
      </c>
      <c r="C10896" s="38" t="n">
        <f aca="false">Sens!$C$10882+Sens!$C$10885+Sens!$C$10888+Sens!$C$10895</f>
        <v>2530.40521799841</v>
      </c>
    </row>
    <row r="10897" customFormat="false" ht="17.15" hidden="false" customHeight="false" outlineLevel="0" collapsed="false">
      <c r="A10897" s="5" t="s">
        <v>946</v>
      </c>
      <c r="B10897" s="0" t="s">
        <v>86</v>
      </c>
      <c r="C10897" s="38" t="n">
        <f aca="false">Sens!$H$10850+fin_debt</f>
        <v>156.933719939939</v>
      </c>
    </row>
    <row r="10898" customFormat="false" ht="15" hidden="false" customHeight="false" outlineLevel="0" collapsed="false">
      <c r="A10898" s="5" t="s">
        <v>947</v>
      </c>
      <c r="B10898" s="0" t="s">
        <v>86</v>
      </c>
      <c r="C10898" s="38" t="n">
        <f aca="false">Sens!$C$10896-Sens!$C$10897+Sens!$C$10875</f>
        <v>2552.41549805847</v>
      </c>
    </row>
    <row r="10899" customFormat="false" ht="15" hidden="false" customHeight="false" outlineLevel="0" collapsed="false">
      <c r="A10899" s="3" t="s">
        <v>948</v>
      </c>
      <c r="B10899" s="8" t="s">
        <v>27</v>
      </c>
      <c r="C10899" s="30" t="n">
        <f aca="false">Sens!$C$10898/sh_val</f>
        <v>231.400076014017</v>
      </c>
    </row>
    <row r="10900" customFormat="false" ht="17.15" hidden="false" customHeight="false" outlineLevel="0" collapsed="false">
      <c r="A10900" s="47" t="s">
        <v>949</v>
      </c>
      <c r="B10900" s="14" t="s">
        <v>27</v>
      </c>
      <c r="C10900" s="44" t="n">
        <f aca="false">w_dcf*Sens!$C$10878+(1-w_dcf)*Sens!$C$10899</f>
        <v>157.784420768978</v>
      </c>
      <c r="D10900" s="14"/>
      <c r="E10900" s="14"/>
      <c r="F10900" s="14"/>
      <c r="G10900" s="14"/>
      <c r="H10900" s="14"/>
      <c r="I10900" s="14"/>
      <c r="J10900" s="14"/>
      <c r="K10900" s="14"/>
      <c r="L10900" s="14"/>
      <c r="M10900" s="14"/>
      <c r="N10900" s="14"/>
      <c r="O10900" s="14"/>
    </row>
    <row r="10901" customFormat="false" ht="17.15" hidden="false" customHeight="false" outlineLevel="0" collapsed="false">
      <c r="A10901" s="5" t="s">
        <v>950</v>
      </c>
      <c r="B10901" s="0" t="s">
        <v>27</v>
      </c>
      <c r="C10901" s="30" t="n">
        <f aca="false">v022_wdcf*Sens!$C$10878+(1-v022_wdcf)*Sens!$C$10899</f>
        <v>165.145986293482</v>
      </c>
    </row>
    <row r="10902" customFormat="false" ht="17.15" hidden="false" customHeight="false" outlineLevel="0" collapsed="false">
      <c r="A10902" s="5" t="s">
        <v>951</v>
      </c>
      <c r="B10902" s="0" t="s">
        <v>27</v>
      </c>
      <c r="C10902" s="30" t="n">
        <f aca="false">(Sens!$C$10898-Sens!$C$10895+Sens!$C$10894)/sh_val</f>
        <v>282.562893862703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0"/>
    <col collapsed="false" customWidth="true" hidden="false" outlineLevel="0" max="3" min="3" style="0" width="12"/>
    <col collapsed="false" customWidth="true" hidden="false" outlineLevel="0" max="4" min="4" style="0" width="100"/>
    <col collapsed="false" customWidth="true" hidden="false" outlineLevel="0" max="5" min="5" style="0" width="18"/>
  </cols>
  <sheetData>
    <row r="1" customFormat="false" ht="17.15" hidden="false" customHeight="false" outlineLevel="0" collapsed="false">
      <c r="A1" s="1" t="s">
        <v>1352</v>
      </c>
    </row>
    <row r="2" customFormat="false" ht="15" hidden="false" customHeight="false" outlineLevel="0" collapsed="false">
      <c r="A2" s="6" t="s">
        <v>1353</v>
      </c>
      <c r="B2" s="6" t="s">
        <v>1354</v>
      </c>
      <c r="C2" s="6" t="s">
        <v>1355</v>
      </c>
      <c r="D2" s="6" t="s">
        <v>1356</v>
      </c>
      <c r="E2" s="6" t="s">
        <v>21</v>
      </c>
    </row>
    <row r="3" customFormat="false" ht="17.15" hidden="false" customHeight="false" outlineLevel="0" collapsed="false">
      <c r="A3" s="0" t="s">
        <v>82</v>
      </c>
      <c r="B3" s="0" t="s">
        <v>1357</v>
      </c>
      <c r="C3" s="0" t="s">
        <v>1358</v>
      </c>
      <c r="D3" s="0" t="s">
        <v>1359</v>
      </c>
      <c r="E3" s="0" t="s">
        <v>28</v>
      </c>
    </row>
    <row r="4" customFormat="false" ht="17.15" hidden="false" customHeight="false" outlineLevel="0" collapsed="false">
      <c r="A4" s="0" t="s">
        <v>34</v>
      </c>
      <c r="B4" s="0" t="s">
        <v>1360</v>
      </c>
      <c r="C4" s="0" t="s">
        <v>1361</v>
      </c>
      <c r="D4" s="0" t="s">
        <v>1362</v>
      </c>
      <c r="E4" s="0" t="s">
        <v>28</v>
      </c>
    </row>
    <row r="5" customFormat="false" ht="17.15" hidden="false" customHeight="false" outlineLevel="0" collapsed="false">
      <c r="A5" s="0" t="s">
        <v>1363</v>
      </c>
      <c r="B5" s="0" t="s">
        <v>1364</v>
      </c>
      <c r="C5" s="0" t="s">
        <v>1365</v>
      </c>
      <c r="D5" s="0" t="s">
        <v>1366</v>
      </c>
      <c r="E5" s="0" t="s">
        <v>28</v>
      </c>
    </row>
    <row r="6" customFormat="false" ht="17.15" hidden="false" customHeight="false" outlineLevel="0" collapsed="false">
      <c r="A6" s="0" t="s">
        <v>298</v>
      </c>
      <c r="B6" s="0" t="s">
        <v>1367</v>
      </c>
      <c r="C6" s="0" t="s">
        <v>1368</v>
      </c>
      <c r="D6" s="0" t="s">
        <v>1369</v>
      </c>
      <c r="E6" s="0" t="s">
        <v>46</v>
      </c>
    </row>
    <row r="7" customFormat="false" ht="17.15" hidden="false" customHeight="false" outlineLevel="0" collapsed="false">
      <c r="A7" s="0" t="s">
        <v>1370</v>
      </c>
      <c r="B7" s="0" t="s">
        <v>1371</v>
      </c>
      <c r="C7" s="0" t="s">
        <v>1372</v>
      </c>
      <c r="D7" s="0" t="s">
        <v>1373</v>
      </c>
      <c r="E7" s="0" t="s">
        <v>46</v>
      </c>
    </row>
    <row r="8" customFormat="false" ht="17.15" hidden="false" customHeight="false" outlineLevel="0" collapsed="false">
      <c r="A8" s="0" t="s">
        <v>1374</v>
      </c>
      <c r="B8" s="0" t="s">
        <v>1375</v>
      </c>
      <c r="C8" s="0" t="s">
        <v>1376</v>
      </c>
      <c r="D8" s="0" t="s">
        <v>1377</v>
      </c>
      <c r="E8" s="0" t="s">
        <v>46</v>
      </c>
    </row>
    <row r="9" customFormat="false" ht="17.15" hidden="false" customHeight="false" outlineLevel="0" collapsed="false">
      <c r="A9" s="0" t="s">
        <v>1378</v>
      </c>
      <c r="B9" s="0" t="s">
        <v>1379</v>
      </c>
      <c r="C9" s="0" t="s">
        <v>1380</v>
      </c>
      <c r="D9" s="0" t="s">
        <v>1381</v>
      </c>
      <c r="E9" s="0" t="s">
        <v>46</v>
      </c>
    </row>
    <row r="10" customFormat="false" ht="17.15" hidden="false" customHeight="false" outlineLevel="0" collapsed="false">
      <c r="A10" s="0" t="s">
        <v>1382</v>
      </c>
      <c r="B10" s="0" t="s">
        <v>1383</v>
      </c>
      <c r="C10" s="0" t="s">
        <v>1384</v>
      </c>
      <c r="D10" s="0" t="s">
        <v>1385</v>
      </c>
      <c r="E10" s="0" t="s">
        <v>46</v>
      </c>
    </row>
    <row r="11" customFormat="false" ht="17.15" hidden="false" customHeight="false" outlineLevel="0" collapsed="false">
      <c r="A11" s="0" t="s">
        <v>1386</v>
      </c>
      <c r="B11" s="0" t="s">
        <v>1387</v>
      </c>
      <c r="C11" s="0" t="s">
        <v>1388</v>
      </c>
      <c r="D11" s="0" t="s">
        <v>1389</v>
      </c>
      <c r="E11" s="0" t="s">
        <v>46</v>
      </c>
    </row>
    <row r="12" customFormat="false" ht="17.15" hidden="false" customHeight="false" outlineLevel="0" collapsed="false">
      <c r="A12" s="0" t="s">
        <v>349</v>
      </c>
      <c r="B12" s="0" t="s">
        <v>1390</v>
      </c>
      <c r="C12" s="0" t="s">
        <v>1391</v>
      </c>
      <c r="D12" s="0" t="s">
        <v>1392</v>
      </c>
      <c r="E12" s="0" t="s">
        <v>28</v>
      </c>
    </row>
    <row r="13" customFormat="false" ht="17.15" hidden="false" customHeight="false" outlineLevel="0" collapsed="false">
      <c r="A13" s="0" t="s">
        <v>289</v>
      </c>
      <c r="B13" s="0" t="s">
        <v>1393</v>
      </c>
      <c r="C13" s="0" t="s">
        <v>1368</v>
      </c>
      <c r="D13" s="0" t="s">
        <v>1394</v>
      </c>
      <c r="E13" s="0" t="s">
        <v>46</v>
      </c>
    </row>
    <row r="14" customFormat="false" ht="17.15" hidden="false" customHeight="false" outlineLevel="0" collapsed="false">
      <c r="A14" s="0" t="s">
        <v>367</v>
      </c>
      <c r="B14" s="0" t="s">
        <v>1395</v>
      </c>
      <c r="C14" s="0" t="s">
        <v>1396</v>
      </c>
      <c r="D14" s="0" t="s">
        <v>1397</v>
      </c>
      <c r="E14" s="0" t="s">
        <v>46</v>
      </c>
    </row>
    <row r="15" customFormat="false" ht="17.15" hidden="false" customHeight="false" outlineLevel="0" collapsed="false">
      <c r="A15" s="0" t="s">
        <v>1398</v>
      </c>
      <c r="B15" s="0" t="s">
        <v>1399</v>
      </c>
      <c r="C15" s="0" t="s">
        <v>1400</v>
      </c>
      <c r="D15" s="0" t="s">
        <v>1401</v>
      </c>
      <c r="E15" s="0" t="s">
        <v>28</v>
      </c>
    </row>
    <row r="16" customFormat="false" ht="17.15" hidden="false" customHeight="false" outlineLevel="0" collapsed="false">
      <c r="A16" s="0" t="s">
        <v>1402</v>
      </c>
      <c r="B16" s="0" t="s">
        <v>1403</v>
      </c>
      <c r="C16" s="0" t="s">
        <v>1400</v>
      </c>
      <c r="D16" s="0" t="s">
        <v>1404</v>
      </c>
      <c r="E16" s="0" t="s">
        <v>28</v>
      </c>
    </row>
    <row r="17" customFormat="false" ht="17.15" hidden="false" customHeight="false" outlineLevel="0" collapsed="false">
      <c r="A17" s="0" t="s">
        <v>47</v>
      </c>
      <c r="B17" s="0" t="s">
        <v>1405</v>
      </c>
      <c r="C17" s="0" t="s">
        <v>1400</v>
      </c>
      <c r="D17" s="0" t="s">
        <v>1406</v>
      </c>
      <c r="E17" s="0" t="s">
        <v>46</v>
      </c>
    </row>
    <row r="18" customFormat="false" ht="17.15" hidden="false" customHeight="false" outlineLevel="0" collapsed="false">
      <c r="A18" s="0" t="s">
        <v>416</v>
      </c>
      <c r="B18" s="0" t="s">
        <v>1407</v>
      </c>
      <c r="C18" s="0" t="s">
        <v>1391</v>
      </c>
      <c r="D18" s="0" t="s">
        <v>1408</v>
      </c>
      <c r="E18" s="0" t="s">
        <v>46</v>
      </c>
    </row>
    <row r="19" customFormat="false" ht="17.15" hidden="false" customHeight="false" outlineLevel="0" collapsed="false">
      <c r="A19" s="0" t="s">
        <v>182</v>
      </c>
      <c r="B19" s="0" t="s">
        <v>1409</v>
      </c>
      <c r="C19" s="0" t="s">
        <v>1410</v>
      </c>
      <c r="D19" s="0" t="s">
        <v>1411</v>
      </c>
      <c r="E19" s="0" t="s">
        <v>41</v>
      </c>
    </row>
    <row r="20" customFormat="false" ht="17.15" hidden="false" customHeight="false" outlineLevel="0" collapsed="false">
      <c r="A20" s="0" t="s">
        <v>166</v>
      </c>
      <c r="B20" s="0" t="s">
        <v>1412</v>
      </c>
      <c r="C20" s="0" t="s">
        <v>1391</v>
      </c>
      <c r="D20" s="0" t="s">
        <v>1413</v>
      </c>
      <c r="E20" s="0" t="s">
        <v>28</v>
      </c>
    </row>
    <row r="21" customFormat="false" ht="17.15" hidden="false" customHeight="false" outlineLevel="0" collapsed="false">
      <c r="A21" s="0" t="s">
        <v>1414</v>
      </c>
      <c r="B21" s="0" t="s">
        <v>1415</v>
      </c>
      <c r="C21" s="0" t="s">
        <v>1416</v>
      </c>
      <c r="D21" s="0" t="s">
        <v>1417</v>
      </c>
      <c r="E21" s="0" t="s">
        <v>1418</v>
      </c>
    </row>
    <row r="22" customFormat="false" ht="17.15" hidden="false" customHeight="false" outlineLevel="0" collapsed="false">
      <c r="A22" s="0" t="s">
        <v>242</v>
      </c>
      <c r="B22" s="0" t="s">
        <v>1419</v>
      </c>
      <c r="C22" s="0" t="s">
        <v>1391</v>
      </c>
      <c r="D22" s="0" t="s">
        <v>1420</v>
      </c>
      <c r="E22" s="0" t="s">
        <v>41</v>
      </c>
    </row>
    <row r="23" customFormat="false" ht="17.15" hidden="false" customHeight="false" outlineLevel="0" collapsed="false">
      <c r="A23" s="0" t="s">
        <v>1421</v>
      </c>
      <c r="B23" s="0" t="s">
        <v>1422</v>
      </c>
      <c r="C23" s="0" t="s">
        <v>1410</v>
      </c>
      <c r="D23" s="0" t="s">
        <v>1423</v>
      </c>
      <c r="E23" s="0" t="s">
        <v>41</v>
      </c>
    </row>
    <row r="24" customFormat="false" ht="17.15" hidden="false" customHeight="false" outlineLevel="0" collapsed="false">
      <c r="A24" s="0" t="s">
        <v>888</v>
      </c>
      <c r="B24" s="5" t="s">
        <v>1424</v>
      </c>
      <c r="C24" s="0" t="s">
        <v>1425</v>
      </c>
      <c r="D24" s="0" t="s">
        <v>1426</v>
      </c>
      <c r="E24" s="0" t="s">
        <v>41</v>
      </c>
    </row>
    <row r="25" customFormat="false" ht="17.15" hidden="false" customHeight="false" outlineLevel="0" collapsed="false">
      <c r="A25" s="0" t="s">
        <v>874</v>
      </c>
      <c r="B25" s="5" t="s">
        <v>1427</v>
      </c>
      <c r="C25" s="0" t="s">
        <v>1425</v>
      </c>
      <c r="D25" s="0" t="s">
        <v>1428</v>
      </c>
      <c r="E25" s="0" t="s">
        <v>41</v>
      </c>
    </row>
    <row r="26" customFormat="false" ht="17.15" hidden="false" customHeight="false" outlineLevel="0" collapsed="false">
      <c r="A26" s="0" t="s">
        <v>866</v>
      </c>
      <c r="B26" s="5" t="s">
        <v>1429</v>
      </c>
      <c r="C26" s="0" t="s">
        <v>1425</v>
      </c>
      <c r="D26" s="0" t="s">
        <v>1430</v>
      </c>
      <c r="E26" s="0" t="s">
        <v>41</v>
      </c>
    </row>
    <row r="27" customFormat="false" ht="17.15" hidden="false" customHeight="false" outlineLevel="0" collapsed="false">
      <c r="A27" s="0" t="s">
        <v>386</v>
      </c>
      <c r="B27" s="0" t="s">
        <v>1431</v>
      </c>
      <c r="C27" s="0" t="s">
        <v>1432</v>
      </c>
      <c r="D27" s="0" t="s">
        <v>1433</v>
      </c>
      <c r="E27" s="0" t="s">
        <v>46</v>
      </c>
    </row>
    <row r="28" customFormat="false" ht="17.15" hidden="false" customHeight="false" outlineLevel="0" collapsed="false">
      <c r="A28" s="0" t="s">
        <v>1434</v>
      </c>
      <c r="B28" s="0" t="s">
        <v>1435</v>
      </c>
      <c r="C28" s="0" t="s">
        <v>1436</v>
      </c>
      <c r="D28" s="0" t="s">
        <v>1437</v>
      </c>
      <c r="E28" s="0" t="s">
        <v>1418</v>
      </c>
    </row>
    <row r="29" customFormat="false" ht="17.15" hidden="false" customHeight="false" outlineLevel="0" collapsed="false">
      <c r="A29" s="0" t="s">
        <v>394</v>
      </c>
      <c r="B29" s="0" t="s">
        <v>1438</v>
      </c>
      <c r="C29" s="0" t="s">
        <v>1439</v>
      </c>
      <c r="D29" s="0" t="s">
        <v>1440</v>
      </c>
      <c r="E29" s="0" t="s">
        <v>46</v>
      </c>
    </row>
    <row r="30" customFormat="false" ht="17.15" hidden="false" customHeight="false" outlineLevel="0" collapsed="false">
      <c r="A30" s="0" t="s">
        <v>53</v>
      </c>
      <c r="B30" s="5" t="s">
        <v>1441</v>
      </c>
      <c r="C30" s="0" t="s">
        <v>1425</v>
      </c>
      <c r="D30" s="0" t="s">
        <v>1442</v>
      </c>
      <c r="E30" s="0" t="s">
        <v>28</v>
      </c>
    </row>
    <row r="31" customFormat="false" ht="17.15" hidden="false" customHeight="false" outlineLevel="0" collapsed="false">
      <c r="A31" s="0" t="s">
        <v>279</v>
      </c>
      <c r="B31" s="0" t="s">
        <v>1443</v>
      </c>
      <c r="C31" s="0" t="s">
        <v>1444</v>
      </c>
      <c r="D31" s="0" t="s">
        <v>1445</v>
      </c>
      <c r="E31" s="0" t="s">
        <v>46</v>
      </c>
    </row>
    <row r="32" customFormat="false" ht="17.15" hidden="false" customHeight="false" outlineLevel="0" collapsed="false">
      <c r="A32" s="0" t="s">
        <v>1446</v>
      </c>
      <c r="B32" s="0" t="s">
        <v>1447</v>
      </c>
      <c r="C32" s="0" t="s">
        <v>1448</v>
      </c>
      <c r="D32" s="0" t="s">
        <v>1449</v>
      </c>
      <c r="E32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2026-10-27T06:58:20Z</dcterms:created>
  <dc:creator>openpyxl</dc:creator>
  <dc:description/>
  <dc:language>en-US</dc:language>
  <cp:lastModifiedBy/>
  <dcterms:modified xsi:type="dcterms:W3CDTF">2026-10-27T06:58:22Z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